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ingAny\Transfer Entropy\EyeHeadDirc\"/>
    </mc:Choice>
  </mc:AlternateContent>
  <xr:revisionPtr revIDLastSave="0" documentId="8_{9CA338C8-FC6C-408B-B441-CA048677A00A}" xr6:coauthVersionLast="45" xr6:coauthVersionMax="45" xr10:uidLastSave="{00000000-0000-0000-0000-000000000000}"/>
  <bookViews>
    <workbookView xWindow="1152" yWindow="1152" windowWidth="17280" windowHeight="8964"/>
  </bookViews>
  <sheets>
    <sheet name="TxtToExcel_Tem_Tx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</calcChain>
</file>

<file path=xl/sharedStrings.xml><?xml version="1.0" encoding="utf-8"?>
<sst xmlns="http://schemas.openxmlformats.org/spreadsheetml/2006/main" count="10904" uniqueCount="99">
  <si>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</si>
  <si>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</si>
  <si>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</si>
  <si>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</si>
  <si>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</si>
  <si>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</si>
  <si>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</si>
  <si>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</si>
  <si>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</si>
  <si>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</si>
  <si>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</si>
  <si>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</si>
  <si>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</si>
  <si>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</si>
  <si>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</si>
  <si>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</si>
  <si>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</si>
  <si>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</si>
  <si>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</si>
  <si>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</si>
  <si>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</si>
  <si>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</si>
  <si>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</si>
  <si>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</si>
  <si>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</si>
  <si>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</si>
  <si>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</si>
  <si>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</si>
  <si>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</si>
  <si>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</si>
  <si>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</si>
  <si>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</si>
  <si>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</si>
  <si>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</si>
  <si>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</si>
  <si>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</si>
  <si>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</si>
  <si>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Theta_Head</t>
  </si>
  <si>
    <t>Phi_Head</t>
  </si>
  <si>
    <t>r_Head_value_is_1</t>
  </si>
  <si>
    <t>Testhuanghun_on</t>
  </si>
  <si>
    <t>Kooper</t>
  </si>
  <si>
    <t>mcp_road_part_02</t>
  </si>
  <si>
    <t>Plane_01</t>
  </si>
  <si>
    <t>Floor 01</t>
  </si>
  <si>
    <t>Tree 04 (25)</t>
  </si>
  <si>
    <t>Tree 04 (24)</t>
  </si>
  <si>
    <t>FAR</t>
  </si>
  <si>
    <t>mcp_roads_turn_01 (1)</t>
  </si>
  <si>
    <t>Building 07 (16)</t>
  </si>
  <si>
    <t>Box001</t>
  </si>
  <si>
    <t>Building 07 (17)</t>
  </si>
  <si>
    <t>Building 21 (2)</t>
  </si>
  <si>
    <t>Tong (3)</t>
  </si>
  <si>
    <t>mcp_roads_T_cross_01</t>
  </si>
  <si>
    <t>mcp_road_part_01</t>
  </si>
  <si>
    <t>Wall Small 03 (3)</t>
  </si>
  <si>
    <t>Pilar 02 (2)</t>
  </si>
  <si>
    <t>Building 19</t>
  </si>
  <si>
    <t>Wall Small 03 (10)</t>
  </si>
  <si>
    <t>Pilar 02 (5)</t>
  </si>
  <si>
    <t>mcp_roads_cross_01</t>
  </si>
  <si>
    <t>Building 07 (4)</t>
  </si>
  <si>
    <t>Building 01 (9)</t>
  </si>
  <si>
    <t>Building 15 (31)</t>
  </si>
  <si>
    <t>Building 15 (33)</t>
  </si>
  <si>
    <t>Building 15 (32)</t>
  </si>
  <si>
    <t>Building 09 (4)</t>
  </si>
  <si>
    <t>Building 15 (30)</t>
  </si>
  <si>
    <t>Building 07 (18)</t>
  </si>
  <si>
    <t>Building 24</t>
  </si>
  <si>
    <t>Tree 02 (3)</t>
  </si>
  <si>
    <t>Building 11 (3)</t>
  </si>
  <si>
    <t>mcp_roads_cross_02</t>
  </si>
  <si>
    <t>Building 15 (35)</t>
  </si>
  <si>
    <t>Building 18 (2)</t>
  </si>
  <si>
    <t>Building 23 (4)</t>
  </si>
  <si>
    <t>Building 15 (34)</t>
  </si>
  <si>
    <t>mcp_roads_turn_01</t>
  </si>
  <si>
    <t>Stand 03 (4)</t>
  </si>
  <si>
    <t>Building 24 (1)</t>
  </si>
  <si>
    <t>Building 01 (1)</t>
  </si>
  <si>
    <t>Plane_01 (1)</t>
  </si>
  <si>
    <t>Building 13 (1)</t>
  </si>
  <si>
    <t>mcp_road_part_02 (1)</t>
  </si>
  <si>
    <t>mcp_road_part_02 (2)</t>
  </si>
  <si>
    <t>mcp_road_part_02 (3)</t>
  </si>
  <si>
    <t>Building 07 (15)</t>
  </si>
  <si>
    <t>mcp_road_part_02 (9)</t>
  </si>
  <si>
    <t>mcp_road_part_02 (6)</t>
  </si>
  <si>
    <t>mcp_road_part_02 (8)</t>
  </si>
  <si>
    <t>mcp_road_part_02 (10)</t>
  </si>
  <si>
    <t>mcp_road_part_02 (12)</t>
  </si>
  <si>
    <t>mcp_road_part_02 (11)</t>
  </si>
  <si>
    <t>Building 18 (11)</t>
  </si>
  <si>
    <t>Building 18 (9)</t>
  </si>
  <si>
    <t>Building 15 (22)</t>
  </si>
  <si>
    <t>Canopi 01 (4)</t>
  </si>
  <si>
    <t>Canopi 01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</si>
</sst>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33"/>
  <sheetViews>
    <sheetView tabSelected="1" workbookViewId="0"/>
  </sheetViews>
  <sheetFormatPr defaultRowHeight="13.8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tr">
        <f>"20190305135532546"</f>
        <v>20190305135532546</v>
      </c>
      <c r="B2" t="str">
        <f>"1551765332541781"</f>
        <v>1551765332541781</v>
      </c>
      <c r="C2" t="s">
        <v>40</v>
      </c>
      <c r="D2">
        <v>4.5292949999999896</v>
      </c>
      <c r="E2">
        <v>0.54859080000000005</v>
      </c>
      <c r="F2" t="s">
        <v>41</v>
      </c>
      <c r="G2">
        <v>-475.93680000000001</v>
      </c>
      <c r="H2">
        <v>0.94313230000000003</v>
      </c>
      <c r="I2">
        <v>367.16019999999997</v>
      </c>
      <c r="J2">
        <v>-476.60930000000002</v>
      </c>
      <c r="K2">
        <v>1.109219</v>
      </c>
      <c r="L2">
        <v>367.22070000000002</v>
      </c>
      <c r="M2">
        <v>0.99996750000000001</v>
      </c>
      <c r="N2">
        <v>-8.0640409999999992E-3</v>
      </c>
      <c r="O2">
        <v>-3.0366330000000002E-4</v>
      </c>
      <c r="P2">
        <v>0.99810869999999996</v>
      </c>
      <c r="Q2">
        <v>3.4479299999999997E-2</v>
      </c>
      <c r="R2">
        <v>5.0895080000000002E-2</v>
      </c>
      <c r="S2">
        <v>3.0446780000000002</v>
      </c>
      <c r="T2">
        <v>-0.74061350000000004</v>
      </c>
      <c r="U2">
        <v>-0.26937870000000003</v>
      </c>
      <c r="V2">
        <v>-5.118814E-2</v>
      </c>
      <c r="W2">
        <v>4.2538510000000002E-2</v>
      </c>
      <c r="X2">
        <v>0.99778259999999996</v>
      </c>
      <c r="Y2">
        <v>8.5284180000000001E-2</v>
      </c>
      <c r="Z2">
        <v>-1.0483839999999999E-2</v>
      </c>
      <c r="AA2">
        <v>0.99630149999999995</v>
      </c>
      <c r="AB2">
        <v>1</v>
      </c>
      <c r="AC2">
        <v>0.67250000000001298</v>
      </c>
      <c r="AD2">
        <v>-0.166086699999999</v>
      </c>
      <c r="AE2">
        <v>-6.0500000000047301E-2</v>
      </c>
      <c r="AF2">
        <v>5.6855772839366103E-2</v>
      </c>
      <c r="AG2">
        <v>-0.166086699999999</v>
      </c>
      <c r="AH2">
        <v>0.63414971881096405</v>
      </c>
      <c r="AI2">
        <v>104.62026548603301</v>
      </c>
      <c r="AJ2">
        <v>84.876747480164696</v>
      </c>
      <c r="AK2">
        <v>0.65799941997700695</v>
      </c>
      <c r="AL2">
        <v>87.561987097028606</v>
      </c>
      <c r="AM2">
        <v>92.936807528713501</v>
      </c>
      <c r="AN2">
        <v>0.99999993368621698</v>
      </c>
    </row>
    <row r="3" spans="1:40" x14ac:dyDescent="0.25">
      <c r="A3" t="str">
        <f>"20190305135532571"</f>
        <v>20190305135532571</v>
      </c>
      <c r="B3" t="str">
        <f>"1551765332561808"</f>
        <v>1551765332561808</v>
      </c>
      <c r="C3" t="s">
        <v>40</v>
      </c>
      <c r="D3">
        <v>4.5281379999999896</v>
      </c>
      <c r="E3">
        <v>0.54887439999999998</v>
      </c>
      <c r="F3" t="s">
        <v>41</v>
      </c>
      <c r="G3">
        <v>-475.92689999999999</v>
      </c>
      <c r="H3">
        <v>0.94361830000000002</v>
      </c>
      <c r="I3">
        <v>367.16019999999997</v>
      </c>
      <c r="J3">
        <v>-476.59469999999999</v>
      </c>
      <c r="K3">
        <v>1.1090199999999999</v>
      </c>
      <c r="L3">
        <v>367.22050000000002</v>
      </c>
      <c r="M3">
        <v>0.99997659999999999</v>
      </c>
      <c r="N3">
        <v>-6.8343839999999998E-3</v>
      </c>
      <c r="O3">
        <v>-5.244952E-4</v>
      </c>
      <c r="P3">
        <v>0.99808739999999996</v>
      </c>
      <c r="Q3">
        <v>3.436678E-2</v>
      </c>
      <c r="R3">
        <v>5.1386880000000003E-2</v>
      </c>
      <c r="S3">
        <v>3.0449220000000001</v>
      </c>
      <c r="T3">
        <v>-0.73898299999999995</v>
      </c>
      <c r="U3">
        <v>-0.26889039999999997</v>
      </c>
      <c r="V3">
        <v>-5.1899479999999998E-2</v>
      </c>
      <c r="W3">
        <v>4.1201199999999903E-2</v>
      </c>
      <c r="X3">
        <v>0.99780199999999997</v>
      </c>
      <c r="Y3">
        <v>8.4939109999999998E-2</v>
      </c>
      <c r="Z3">
        <v>-1.031408E-2</v>
      </c>
      <c r="AA3">
        <v>0.99633280000000002</v>
      </c>
      <c r="AB3">
        <v>1</v>
      </c>
      <c r="AC3">
        <v>0.66779999999999895</v>
      </c>
      <c r="AD3">
        <v>-0.16540169999999901</v>
      </c>
      <c r="AE3">
        <v>-6.0300000000040599E-2</v>
      </c>
      <c r="AF3">
        <v>5.6511030396881497E-2</v>
      </c>
      <c r="AG3">
        <v>-0.16540169999999901</v>
      </c>
      <c r="AH3">
        <v>0.62952495295088695</v>
      </c>
      <c r="AI3">
        <v>104.664783068494</v>
      </c>
      <c r="AJ3">
        <v>84.870436480381898</v>
      </c>
      <c r="AK3">
        <v>0.65333979314536195</v>
      </c>
      <c r="AL3">
        <v>87.638676647224202</v>
      </c>
      <c r="AM3">
        <v>92.977488379704596</v>
      </c>
      <c r="AN3">
        <v>0.99999996305485395</v>
      </c>
    </row>
    <row r="4" spans="1:40" x14ac:dyDescent="0.25">
      <c r="A4" t="str">
        <f>"20190305135532589"</f>
        <v>20190305135532589</v>
      </c>
      <c r="B4" t="str">
        <f>"1551765332581327"</f>
        <v>1551765332581327</v>
      </c>
      <c r="C4" t="s">
        <v>40</v>
      </c>
      <c r="D4">
        <v>4.5370980000000003</v>
      </c>
      <c r="E4">
        <v>0.54887559999999902</v>
      </c>
      <c r="F4" t="s">
        <v>41</v>
      </c>
      <c r="G4">
        <v>-475.90230000000003</v>
      </c>
      <c r="H4">
        <v>0.94107070000000004</v>
      </c>
      <c r="I4">
        <v>367.1583</v>
      </c>
      <c r="J4">
        <v>-476.58139999999997</v>
      </c>
      <c r="K4">
        <v>1.108881</v>
      </c>
      <c r="L4">
        <v>367.22030000000001</v>
      </c>
      <c r="M4">
        <v>0.99998240000000005</v>
      </c>
      <c r="N4">
        <v>-5.9133019999999996E-3</v>
      </c>
      <c r="O4">
        <v>-7.2260670000000001E-4</v>
      </c>
      <c r="P4">
        <v>0.99808039999999998</v>
      </c>
      <c r="Q4">
        <v>3.397642E-2</v>
      </c>
      <c r="R4">
        <v>5.178348E-2</v>
      </c>
      <c r="S4">
        <v>3.045013</v>
      </c>
      <c r="T4">
        <v>-0.73838729999999997</v>
      </c>
      <c r="U4">
        <v>-0.2702637</v>
      </c>
      <c r="V4">
        <v>-5.2493190000000002E-2</v>
      </c>
      <c r="W4">
        <v>3.9892879999999999E-2</v>
      </c>
      <c r="X4">
        <v>0.99782409999999999</v>
      </c>
      <c r="Y4">
        <v>8.5196709999999995E-2</v>
      </c>
      <c r="Z4">
        <v>-1.025089E-2</v>
      </c>
      <c r="AA4">
        <v>0.99631139999999996</v>
      </c>
      <c r="AB4">
        <v>1</v>
      </c>
      <c r="AC4">
        <v>0.67909999999994797</v>
      </c>
      <c r="AD4">
        <v>-0.167810299999999</v>
      </c>
      <c r="AE4">
        <v>-6.2000000000011803E-2</v>
      </c>
      <c r="AF4">
        <v>5.7997117696895299E-2</v>
      </c>
      <c r="AG4">
        <v>-0.167810299999999</v>
      </c>
      <c r="AH4">
        <v>0.640365941272387</v>
      </c>
      <c r="AI4">
        <v>104.627095820088</v>
      </c>
      <c r="AJ4">
        <v>84.824914177512596</v>
      </c>
      <c r="AK4">
        <v>0.66452426681717802</v>
      </c>
      <c r="AL4">
        <v>87.713699549372393</v>
      </c>
      <c r="AM4">
        <v>93.011420776680893</v>
      </c>
      <c r="AN4">
        <v>0.99999995570593903</v>
      </c>
    </row>
    <row r="5" spans="1:40" x14ac:dyDescent="0.25">
      <c r="A5" t="str">
        <f>"20190305135532611"</f>
        <v>20190305135532611</v>
      </c>
      <c r="B5" t="str">
        <f>"1551765332601823"</f>
        <v>1551765332601823</v>
      </c>
      <c r="C5" t="s">
        <v>40</v>
      </c>
      <c r="D5">
        <v>4.524864</v>
      </c>
      <c r="E5">
        <v>0.5489368</v>
      </c>
      <c r="F5" t="s">
        <v>41</v>
      </c>
      <c r="G5">
        <v>-475.88639999999998</v>
      </c>
      <c r="H5">
        <v>0.94014350000000002</v>
      </c>
      <c r="I5">
        <v>367.1585</v>
      </c>
      <c r="J5">
        <v>-476.56259999999997</v>
      </c>
      <c r="K5">
        <v>1.1087450000000001</v>
      </c>
      <c r="L5">
        <v>367.22</v>
      </c>
      <c r="M5">
        <v>0.99998790000000004</v>
      </c>
      <c r="N5">
        <v>-4.8460409999999997E-3</v>
      </c>
      <c r="O5">
        <v>-9.9476589999999998E-4</v>
      </c>
      <c r="P5">
        <v>0.99805509999999997</v>
      </c>
      <c r="Q5">
        <v>3.3948779999999998E-2</v>
      </c>
      <c r="R5">
        <v>5.2284999999999998E-2</v>
      </c>
      <c r="S5">
        <v>3.0449220000000001</v>
      </c>
      <c r="T5">
        <v>-0.73916859999999995</v>
      </c>
      <c r="U5">
        <v>-0.2704163</v>
      </c>
      <c r="V5">
        <v>-5.3266269999999998E-2</v>
      </c>
      <c r="W5">
        <v>3.8801290000000002E-2</v>
      </c>
      <c r="X5">
        <v>0.9978262</v>
      </c>
      <c r="Y5">
        <v>8.499727E-2</v>
      </c>
      <c r="Z5">
        <v>-1.012644E-2</v>
      </c>
      <c r="AA5">
        <v>0.99632969999999998</v>
      </c>
      <c r="AB5">
        <v>2</v>
      </c>
      <c r="AC5">
        <v>0.67619999999999403</v>
      </c>
      <c r="AD5">
        <v>-0.16860149999999999</v>
      </c>
      <c r="AE5">
        <v>-6.1500000000023598E-2</v>
      </c>
      <c r="AF5">
        <v>5.7294586833054002E-2</v>
      </c>
      <c r="AG5">
        <v>-0.16860149999999999</v>
      </c>
      <c r="AH5">
        <v>0.636985119923696</v>
      </c>
      <c r="AI5">
        <v>104.768453826225</v>
      </c>
      <c r="AJ5">
        <v>84.860275727938102</v>
      </c>
      <c r="AK5">
        <v>0.66140696888286998</v>
      </c>
      <c r="AL5">
        <v>87.776291581429206</v>
      </c>
      <c r="AM5">
        <v>93.055680845647501</v>
      </c>
      <c r="AN5">
        <v>0.99999998051590799</v>
      </c>
    </row>
    <row r="6" spans="1:40" x14ac:dyDescent="0.25">
      <c r="A6" t="str">
        <f>"20190305135532635"</f>
        <v>20190305135532635</v>
      </c>
      <c r="B6" t="str">
        <f>"1551765332621343"</f>
        <v>1551765332621343</v>
      </c>
      <c r="C6" t="s">
        <v>40</v>
      </c>
      <c r="D6">
        <v>4.5409629999999996</v>
      </c>
      <c r="E6">
        <v>0.54908069999999998</v>
      </c>
      <c r="F6" t="s">
        <v>41</v>
      </c>
      <c r="G6">
        <v>-475.86759999999998</v>
      </c>
      <c r="H6">
        <v>0.94006290000000003</v>
      </c>
      <c r="I6">
        <v>367.15839999999997</v>
      </c>
      <c r="J6">
        <v>-476.54039999999998</v>
      </c>
      <c r="K6">
        <v>1.1086370000000001</v>
      </c>
      <c r="L6">
        <v>367.21969999999999</v>
      </c>
      <c r="M6">
        <v>0.99999179999999999</v>
      </c>
      <c r="N6">
        <v>-3.8440200000000001E-3</v>
      </c>
      <c r="O6">
        <v>-1.3082530000000001E-3</v>
      </c>
      <c r="P6">
        <v>0.998031</v>
      </c>
      <c r="Q6">
        <v>3.4270099999999998E-2</v>
      </c>
      <c r="R6">
        <v>5.2535480000000002E-2</v>
      </c>
      <c r="S6">
        <v>3.045105</v>
      </c>
      <c r="T6">
        <v>-0.73913430000000002</v>
      </c>
      <c r="U6">
        <v>-0.26940920000000002</v>
      </c>
      <c r="V6">
        <v>-5.3828620000000001E-2</v>
      </c>
      <c r="W6">
        <v>3.8123730000000002E-2</v>
      </c>
      <c r="X6">
        <v>0.99782219999999999</v>
      </c>
      <c r="Y6">
        <v>8.4390419999999994E-2</v>
      </c>
      <c r="Z6">
        <v>-9.9339549999999995E-3</v>
      </c>
      <c r="AA6">
        <v>0.99638320000000002</v>
      </c>
      <c r="AB6">
        <v>2</v>
      </c>
      <c r="AC6">
        <v>0.67279999999999496</v>
      </c>
      <c r="AD6">
        <v>-0.1685741</v>
      </c>
      <c r="AE6">
        <v>-6.1300000000017001E-2</v>
      </c>
      <c r="AF6">
        <v>5.6878414646428198E-2</v>
      </c>
      <c r="AG6">
        <v>-0.1685741</v>
      </c>
      <c r="AH6">
        <v>0.63344067216060496</v>
      </c>
      <c r="AI6">
        <v>104.84533880360701</v>
      </c>
      <c r="AJ6">
        <v>84.869011682798401</v>
      </c>
      <c r="AK6">
        <v>0.65795096047561197</v>
      </c>
      <c r="AL6">
        <v>87.815141790792495</v>
      </c>
      <c r="AM6">
        <v>93.087890949738494</v>
      </c>
      <c r="AN6">
        <v>1.00000004096652</v>
      </c>
    </row>
    <row r="7" spans="1:40" x14ac:dyDescent="0.25">
      <c r="A7" t="str">
        <f>"20190305135532666"</f>
        <v>20190305135532666</v>
      </c>
      <c r="B7" t="str">
        <f>"1551765332661359"</f>
        <v>1551765332661359</v>
      </c>
      <c r="C7" t="s">
        <v>40</v>
      </c>
      <c r="D7">
        <v>4.5241499999999997</v>
      </c>
      <c r="E7">
        <v>0.54928859999999902</v>
      </c>
      <c r="F7" t="s">
        <v>41</v>
      </c>
      <c r="G7">
        <v>-475.84649999999999</v>
      </c>
      <c r="H7">
        <v>0.94046949999999996</v>
      </c>
      <c r="I7">
        <v>367.15809999999999</v>
      </c>
      <c r="J7">
        <v>-476.50540000000001</v>
      </c>
      <c r="K7">
        <v>1.108541</v>
      </c>
      <c r="L7">
        <v>367.21910000000003</v>
      </c>
      <c r="M7">
        <v>0.99999490000000002</v>
      </c>
      <c r="N7">
        <v>-2.6738270000000001E-3</v>
      </c>
      <c r="O7">
        <v>-1.7859989999999999E-3</v>
      </c>
      <c r="P7">
        <v>0.99794130000000003</v>
      </c>
      <c r="Q7">
        <v>3.5297160000000001E-2</v>
      </c>
      <c r="R7">
        <v>5.3548360000000003E-2</v>
      </c>
      <c r="S7">
        <v>3.04541</v>
      </c>
      <c r="T7">
        <v>-0.73805500000000002</v>
      </c>
      <c r="U7">
        <v>-0.26959229999999901</v>
      </c>
      <c r="V7">
        <v>-5.531763E-2</v>
      </c>
      <c r="W7">
        <v>3.7984120000000003E-2</v>
      </c>
      <c r="X7">
        <v>0.99774609999999997</v>
      </c>
      <c r="Y7">
        <v>8.4009600000000004E-2</v>
      </c>
      <c r="Z7">
        <v>-9.7088439999999995E-3</v>
      </c>
      <c r="AA7">
        <v>0.99641760000000001</v>
      </c>
      <c r="AB7">
        <v>2</v>
      </c>
      <c r="AC7">
        <v>0.65890000000001603</v>
      </c>
      <c r="AD7">
        <v>-0.16807150000000001</v>
      </c>
      <c r="AE7">
        <v>-6.1000000000035401E-2</v>
      </c>
      <c r="AF7">
        <v>5.6197661548764398E-2</v>
      </c>
      <c r="AG7">
        <v>-0.16807150000000001</v>
      </c>
      <c r="AH7">
        <v>0.61907023015363905</v>
      </c>
      <c r="AI7">
        <v>105.129783455153</v>
      </c>
      <c r="AJ7">
        <v>84.813047724193794</v>
      </c>
      <c r="AK7">
        <v>0.64393645349388196</v>
      </c>
      <c r="AL7">
        <v>87.823146686785506</v>
      </c>
      <c r="AM7">
        <v>93.173377662753396</v>
      </c>
      <c r="AN7">
        <v>1.00000005681309</v>
      </c>
    </row>
    <row r="8" spans="1:40" x14ac:dyDescent="0.25">
      <c r="A8" t="str">
        <f>"20190305135532689"</f>
        <v>20190305135532689</v>
      </c>
      <c r="B8" t="str">
        <f>"1551765332681855"</f>
        <v>1551765332681855</v>
      </c>
      <c r="C8" t="s">
        <v>40</v>
      </c>
      <c r="D8">
        <v>4.5215839999999998</v>
      </c>
      <c r="E8">
        <v>0.54943589999999998</v>
      </c>
      <c r="F8" t="s">
        <v>41</v>
      </c>
      <c r="G8">
        <v>-475.82170000000002</v>
      </c>
      <c r="H8">
        <v>0.94381340000000002</v>
      </c>
      <c r="I8">
        <v>367.15910000000002</v>
      </c>
      <c r="J8">
        <v>-476.47550000000001</v>
      </c>
      <c r="K8">
        <v>1.1085</v>
      </c>
      <c r="L8">
        <v>367.21859999999998</v>
      </c>
      <c r="M8">
        <v>0.99999579999999999</v>
      </c>
      <c r="N8">
        <v>-1.9320120000000001E-3</v>
      </c>
      <c r="O8">
        <v>-2.1837829999999999E-3</v>
      </c>
      <c r="P8">
        <v>0.99790710000000005</v>
      </c>
      <c r="Q8">
        <v>3.6040299999999997E-2</v>
      </c>
      <c r="R8">
        <v>5.3690389999999998E-2</v>
      </c>
      <c r="S8">
        <v>3.0465390000000001</v>
      </c>
      <c r="T8">
        <v>-0.73406229999999995</v>
      </c>
      <c r="U8">
        <v>-0.26779170000000002</v>
      </c>
      <c r="V8">
        <v>-5.5856179999999998E-2</v>
      </c>
      <c r="W8">
        <v>3.7987930000000003E-2</v>
      </c>
      <c r="X8">
        <v>0.99771589999999999</v>
      </c>
      <c r="Y8">
        <v>8.3069290000000004E-2</v>
      </c>
      <c r="Z8">
        <v>-9.4162659999999995E-3</v>
      </c>
      <c r="AA8">
        <v>0.99649929999999998</v>
      </c>
      <c r="AB8">
        <v>2</v>
      </c>
      <c r="AC8">
        <v>0.65379999999998895</v>
      </c>
      <c r="AD8">
        <v>-0.16468659999999999</v>
      </c>
      <c r="AE8">
        <v>-5.9499999999957198E-2</v>
      </c>
      <c r="AF8">
        <v>5.4634079482440999E-2</v>
      </c>
      <c r="AG8">
        <v>-0.16468659999999999</v>
      </c>
      <c r="AH8">
        <v>0.61521412163813105</v>
      </c>
      <c r="AI8">
        <v>104.930019973309</v>
      </c>
      <c r="AJ8">
        <v>84.925161953641705</v>
      </c>
      <c r="AK8">
        <v>0.63921434145631495</v>
      </c>
      <c r="AL8">
        <v>87.822928122388305</v>
      </c>
      <c r="AM8">
        <v>93.204305100843598</v>
      </c>
      <c r="AN8">
        <v>1.0000000063913399</v>
      </c>
    </row>
    <row r="9" spans="1:40" x14ac:dyDescent="0.25">
      <c r="A9" t="str">
        <f>"20190305135532711"</f>
        <v>20190305135532711</v>
      </c>
      <c r="B9" t="str">
        <f>"1551765332702352"</f>
        <v>1551765332702352</v>
      </c>
      <c r="C9" t="s">
        <v>40</v>
      </c>
      <c r="D9">
        <v>4.5061900000000001</v>
      </c>
      <c r="E9">
        <v>0.54963769999999901</v>
      </c>
      <c r="F9" t="s">
        <v>41</v>
      </c>
      <c r="G9">
        <v>-475.77089999999998</v>
      </c>
      <c r="H9">
        <v>0.93938460000000001</v>
      </c>
      <c r="I9">
        <v>367.15629999999999</v>
      </c>
      <c r="J9">
        <v>-476.44499999999999</v>
      </c>
      <c r="K9">
        <v>1.108468</v>
      </c>
      <c r="L9">
        <v>367.21809999999999</v>
      </c>
      <c r="M9">
        <v>0.99999590000000005</v>
      </c>
      <c r="N9">
        <v>-1.3333349999999999E-3</v>
      </c>
      <c r="O9">
        <v>-2.5781350000000001E-3</v>
      </c>
      <c r="P9">
        <v>0.99784340000000005</v>
      </c>
      <c r="Q9">
        <v>3.7450339999999999E-2</v>
      </c>
      <c r="R9">
        <v>5.3909390000000001E-2</v>
      </c>
      <c r="S9">
        <v>3.0471499999999998</v>
      </c>
      <c r="T9">
        <v>-0.73116519999999996</v>
      </c>
      <c r="U9">
        <v>-0.26821899999999999</v>
      </c>
      <c r="V9">
        <v>-5.6468600000000001E-2</v>
      </c>
      <c r="W9">
        <v>3.8800340000000003E-2</v>
      </c>
      <c r="X9">
        <v>0.99765009999999998</v>
      </c>
      <c r="Y9">
        <v>8.2840319999999995E-2</v>
      </c>
      <c r="Z9">
        <v>-9.2322399999999992E-3</v>
      </c>
      <c r="AA9">
        <v>0.99651999999999996</v>
      </c>
      <c r="AB9">
        <v>3</v>
      </c>
      <c r="AC9">
        <v>0.67410000000000903</v>
      </c>
      <c r="AD9">
        <v>-0.16908339999999999</v>
      </c>
      <c r="AE9">
        <v>-6.1800000000005101E-2</v>
      </c>
      <c r="AF9">
        <v>5.6534648204829799E-2</v>
      </c>
      <c r="AG9">
        <v>-0.16908339999999999</v>
      </c>
      <c r="AH9">
        <v>0.63466032176147302</v>
      </c>
      <c r="AI9">
        <v>104.86175687870301</v>
      </c>
      <c r="AJ9">
        <v>84.909608308848604</v>
      </c>
      <c r="AK9">
        <v>0.65922612707748496</v>
      </c>
      <c r="AL9">
        <v>87.776345975760293</v>
      </c>
      <c r="AM9">
        <v>93.2395766202809</v>
      </c>
      <c r="AN9">
        <v>0.99999994560004102</v>
      </c>
    </row>
    <row r="10" spans="1:40" x14ac:dyDescent="0.25">
      <c r="A10" t="str">
        <f>"20190305135532735"</f>
        <v>20190305135532735</v>
      </c>
      <c r="B10" t="str">
        <f>"1551765332721871"</f>
        <v>1551765332721871</v>
      </c>
      <c r="C10" t="s">
        <v>40</v>
      </c>
      <c r="D10">
        <v>4.488626</v>
      </c>
      <c r="E10">
        <v>0.54983789999999999</v>
      </c>
      <c r="F10" t="s">
        <v>41</v>
      </c>
      <c r="G10">
        <v>-475.7405</v>
      </c>
      <c r="H10">
        <v>0.94058050000000004</v>
      </c>
      <c r="I10">
        <v>367.1558</v>
      </c>
      <c r="J10">
        <v>-476.40940000000001</v>
      </c>
      <c r="K10">
        <v>1.1084419999999999</v>
      </c>
      <c r="L10">
        <v>367.21749999999997</v>
      </c>
      <c r="M10">
        <v>0.99999530000000003</v>
      </c>
      <c r="N10">
        <v>-7.5833740000000001E-4</v>
      </c>
      <c r="O10">
        <v>-3.0277490000000002E-3</v>
      </c>
      <c r="P10">
        <v>0.99781940000000002</v>
      </c>
      <c r="Q10">
        <v>3.8330210000000003E-2</v>
      </c>
      <c r="R10">
        <v>5.3736949999999999E-2</v>
      </c>
      <c r="S10">
        <v>3.0482480000000001</v>
      </c>
      <c r="T10">
        <v>-0.72626709999999906</v>
      </c>
      <c r="U10">
        <v>-0.26861570000000001</v>
      </c>
      <c r="V10">
        <v>-5.6743839999999997E-2</v>
      </c>
      <c r="W10">
        <v>3.910719E-2</v>
      </c>
      <c r="X10">
        <v>0.99762249999999997</v>
      </c>
      <c r="Y10">
        <v>8.2547819999999994E-2</v>
      </c>
      <c r="Z10">
        <v>-9.0040480000000006E-3</v>
      </c>
      <c r="AA10">
        <v>0.99654640000000005</v>
      </c>
      <c r="AB10">
        <v>3</v>
      </c>
      <c r="AC10">
        <v>0.66890000000000704</v>
      </c>
      <c r="AD10">
        <v>-0.167861499999999</v>
      </c>
      <c r="AE10">
        <v>-6.1699999999973401E-2</v>
      </c>
      <c r="AF10">
        <v>5.6167081129563E-2</v>
      </c>
      <c r="AG10">
        <v>-0.167861499999999</v>
      </c>
      <c r="AH10">
        <v>0.62975825491781801</v>
      </c>
      <c r="AI10">
        <v>104.868737573366</v>
      </c>
      <c r="AJ10">
        <v>84.903370909921307</v>
      </c>
      <c r="AK10">
        <v>0.65416181776529903</v>
      </c>
      <c r="AL10">
        <v>87.7587514073916</v>
      </c>
      <c r="AM10">
        <v>93.255422997432603</v>
      </c>
      <c r="AN10">
        <v>0.99999994409694404</v>
      </c>
    </row>
    <row r="11" spans="1:40" x14ac:dyDescent="0.25">
      <c r="A11" t="str">
        <f>"20190305135532759"</f>
        <v>20190305135532759</v>
      </c>
      <c r="B11" t="str">
        <f>"1551765332751151"</f>
        <v>1551765332751151</v>
      </c>
      <c r="C11" t="s">
        <v>40</v>
      </c>
      <c r="D11">
        <v>4.5123309999999996</v>
      </c>
      <c r="E11">
        <v>0.55003299999999999</v>
      </c>
      <c r="F11" t="s">
        <v>41</v>
      </c>
      <c r="G11">
        <v>-475.70780000000002</v>
      </c>
      <c r="H11">
        <v>0.94193490000000002</v>
      </c>
      <c r="I11">
        <v>367.1549</v>
      </c>
      <c r="J11">
        <v>-476.36970000000002</v>
      </c>
      <c r="K11">
        <v>1.10842</v>
      </c>
      <c r="L11">
        <v>367.21679999999998</v>
      </c>
      <c r="M11">
        <v>0.99999389999999999</v>
      </c>
      <c r="N11">
        <v>-2.3298080000000001E-4</v>
      </c>
      <c r="O11">
        <v>-3.518668E-3</v>
      </c>
      <c r="P11">
        <v>0.99785469999999998</v>
      </c>
      <c r="Q11">
        <v>3.860997E-2</v>
      </c>
      <c r="R11">
        <v>5.2871960000000003E-2</v>
      </c>
      <c r="S11">
        <v>3.0489199999999999</v>
      </c>
      <c r="T11">
        <v>-0.72344659999999905</v>
      </c>
      <c r="U11">
        <v>-0.270080599999999</v>
      </c>
      <c r="V11">
        <v>-5.6369040000000002E-2</v>
      </c>
      <c r="W11">
        <v>3.8862279999999999E-2</v>
      </c>
      <c r="X11">
        <v>0.99765340000000002</v>
      </c>
      <c r="Y11">
        <v>8.2551540000000007E-2</v>
      </c>
      <c r="Z11">
        <v>-8.8303540000000003E-3</v>
      </c>
      <c r="AA11">
        <v>0.99654770000000004</v>
      </c>
      <c r="AB11">
        <v>3</v>
      </c>
      <c r="AC11">
        <v>0.66190000000000204</v>
      </c>
      <c r="AD11">
        <v>-0.1664851</v>
      </c>
      <c r="AE11">
        <v>-6.1899999999979999E-2</v>
      </c>
      <c r="AF11">
        <v>5.6055016375005803E-2</v>
      </c>
      <c r="AG11">
        <v>-0.1664851</v>
      </c>
      <c r="AH11">
        <v>0.62303868180919197</v>
      </c>
      <c r="AI11">
        <v>104.90322630265899</v>
      </c>
      <c r="AJ11">
        <v>84.858919876822398</v>
      </c>
      <c r="AK11">
        <v>0.64733040436345002</v>
      </c>
      <c r="AL11">
        <v>87.772794575479395</v>
      </c>
      <c r="AM11">
        <v>93.233866369809306</v>
      </c>
      <c r="AN11">
        <v>1.0000000260044299</v>
      </c>
    </row>
    <row r="12" spans="1:40" x14ac:dyDescent="0.25">
      <c r="A12" t="str">
        <f>"20190305135532782"</f>
        <v>20190305135532782</v>
      </c>
      <c r="B12" t="str">
        <f>"1551765332771647"</f>
        <v>1551765332771647</v>
      </c>
      <c r="C12" t="s">
        <v>40</v>
      </c>
      <c r="D12">
        <v>4.522913</v>
      </c>
      <c r="E12">
        <v>0.55019739999999995</v>
      </c>
      <c r="F12" t="s">
        <v>41</v>
      </c>
      <c r="G12">
        <v>-475.6728</v>
      </c>
      <c r="H12">
        <v>0.94331370000000003</v>
      </c>
      <c r="I12">
        <v>367.15410000000003</v>
      </c>
      <c r="J12">
        <v>-476.32760000000002</v>
      </c>
      <c r="K12">
        <v>1.108395</v>
      </c>
      <c r="L12">
        <v>367.21609999999998</v>
      </c>
      <c r="M12">
        <v>0.99999190000000004</v>
      </c>
      <c r="N12">
        <v>2.1902870000000001E-4</v>
      </c>
      <c r="O12">
        <v>-4.0251059999999996E-3</v>
      </c>
      <c r="P12">
        <v>0.99790219999999996</v>
      </c>
      <c r="Q12">
        <v>3.8969190000000001E-2</v>
      </c>
      <c r="R12">
        <v>5.1699410000000001E-2</v>
      </c>
      <c r="S12">
        <v>3.048889</v>
      </c>
      <c r="T12">
        <v>-0.7222807</v>
      </c>
      <c r="U12">
        <v>-0.27413939999999998</v>
      </c>
      <c r="V12">
        <v>-5.5702269999999998E-2</v>
      </c>
      <c r="W12">
        <v>3.8770319999999997E-2</v>
      </c>
      <c r="X12">
        <v>0.99769439999999998</v>
      </c>
      <c r="Y12">
        <v>8.3367549999999999E-2</v>
      </c>
      <c r="Z12">
        <v>-8.7724489999999999E-3</v>
      </c>
      <c r="AA12">
        <v>0.99648020000000004</v>
      </c>
      <c r="AB12">
        <v>4</v>
      </c>
      <c r="AC12">
        <v>0.65480000000002203</v>
      </c>
      <c r="AD12">
        <v>-0.16508129999999999</v>
      </c>
      <c r="AE12">
        <v>-6.1999999999954897E-2</v>
      </c>
      <c r="AF12">
        <v>5.5845878820329799E-2</v>
      </c>
      <c r="AG12">
        <v>-0.16508129999999999</v>
      </c>
      <c r="AH12">
        <v>0.61622547706977804</v>
      </c>
      <c r="AI12">
        <v>104.938426110531</v>
      </c>
      <c r="AJ12">
        <v>84.821674260881096</v>
      </c>
      <c r="AK12">
        <v>0.64039396966303597</v>
      </c>
      <c r="AL12">
        <v>87.778067407248898</v>
      </c>
      <c r="AM12">
        <v>93.195562778060506</v>
      </c>
      <c r="AN12">
        <v>0.999999998193707</v>
      </c>
    </row>
    <row r="13" spans="1:40" x14ac:dyDescent="0.25">
      <c r="A13" t="str">
        <f>"20190305135532802"</f>
        <v>20190305135532802</v>
      </c>
      <c r="B13" t="str">
        <f>"1551765332791168"</f>
        <v>1551765332791168</v>
      </c>
      <c r="C13" t="s">
        <v>40</v>
      </c>
      <c r="D13">
        <v>4.5431910000000002</v>
      </c>
      <c r="E13">
        <v>0.55017240000000001</v>
      </c>
      <c r="F13" t="s">
        <v>41</v>
      </c>
      <c r="G13">
        <v>-475.63560000000001</v>
      </c>
      <c r="H13">
        <v>0.94461019999999896</v>
      </c>
      <c r="I13">
        <v>367.15260000000001</v>
      </c>
      <c r="J13">
        <v>-476.28930000000003</v>
      </c>
      <c r="K13">
        <v>1.108376</v>
      </c>
      <c r="L13">
        <v>367.21550000000002</v>
      </c>
      <c r="M13">
        <v>0.99998989999999999</v>
      </c>
      <c r="N13">
        <v>5.5863279999999896E-4</v>
      </c>
      <c r="O13">
        <v>-4.4767959999999999E-3</v>
      </c>
      <c r="P13">
        <v>0.99793770000000004</v>
      </c>
      <c r="Q13">
        <v>3.9446149999999999E-2</v>
      </c>
      <c r="R13">
        <v>5.0645059999999999E-2</v>
      </c>
      <c r="S13">
        <v>3.0489199999999999</v>
      </c>
      <c r="T13">
        <v>-0.72150829999999999</v>
      </c>
      <c r="U13">
        <v>-0.27850340000000001</v>
      </c>
      <c r="V13">
        <v>-5.5098250000000001E-2</v>
      </c>
      <c r="W13">
        <v>3.8908020000000001E-2</v>
      </c>
      <c r="X13">
        <v>0.99772260000000002</v>
      </c>
      <c r="Y13">
        <v>8.4326199999999907E-2</v>
      </c>
      <c r="Z13">
        <v>-8.7528869999999905E-3</v>
      </c>
      <c r="AA13">
        <v>0.99639979999999995</v>
      </c>
      <c r="AB13">
        <v>4</v>
      </c>
      <c r="AC13">
        <v>0.65370000000001405</v>
      </c>
      <c r="AD13">
        <v>-0.16376579999999999</v>
      </c>
      <c r="AE13">
        <v>-6.2900000000013195E-2</v>
      </c>
      <c r="AF13">
        <v>5.64617998571499E-2</v>
      </c>
      <c r="AG13">
        <v>-0.16376579999999999</v>
      </c>
      <c r="AH13">
        <v>0.61568834014734797</v>
      </c>
      <c r="AI13">
        <v>104.83562545791899</v>
      </c>
      <c r="AJ13">
        <v>84.760336618179906</v>
      </c>
      <c r="AK13">
        <v>0.63959307710930202</v>
      </c>
      <c r="AL13">
        <v>87.770171867080606</v>
      </c>
      <c r="AM13">
        <v>93.160892471425399</v>
      </c>
      <c r="AN13">
        <v>1.0000000188620699</v>
      </c>
    </row>
    <row r="14" spans="1:40" x14ac:dyDescent="0.25">
      <c r="A14" t="str">
        <f>"20190305135532826"</f>
        <v>20190305135532826</v>
      </c>
      <c r="B14" t="str">
        <f>"1551765332811663"</f>
        <v>1551765332811663</v>
      </c>
      <c r="C14" t="s">
        <v>40</v>
      </c>
      <c r="D14">
        <v>4.5246959999999996</v>
      </c>
      <c r="E14">
        <v>0.55015570000000003</v>
      </c>
      <c r="F14" t="s">
        <v>41</v>
      </c>
      <c r="G14">
        <v>-475.5967</v>
      </c>
      <c r="H14">
        <v>0.94479429999999998</v>
      </c>
      <c r="I14">
        <v>367.15159999999997</v>
      </c>
      <c r="J14">
        <v>-476.24270000000001</v>
      </c>
      <c r="K14">
        <v>1.108352</v>
      </c>
      <c r="L14">
        <v>367.21460000000002</v>
      </c>
      <c r="M14">
        <v>0.99998719999999996</v>
      </c>
      <c r="N14">
        <v>9.0503510000000003E-4</v>
      </c>
      <c r="O14">
        <v>-5.0133019999999999E-3</v>
      </c>
      <c r="P14">
        <v>0.99798169999999997</v>
      </c>
      <c r="Q14">
        <v>3.9875819999999999E-2</v>
      </c>
      <c r="R14">
        <v>4.942382E-2</v>
      </c>
      <c r="S14">
        <v>3.04895</v>
      </c>
      <c r="T14">
        <v>-0.72020949999999995</v>
      </c>
      <c r="U14">
        <v>-0.28182980000000002</v>
      </c>
      <c r="V14">
        <v>-5.4412500000000003E-2</v>
      </c>
      <c r="W14">
        <v>3.8992359999999997E-2</v>
      </c>
      <c r="X14">
        <v>0.99775689999999995</v>
      </c>
      <c r="Y14">
        <v>8.4880369999999997E-2</v>
      </c>
      <c r="Z14">
        <v>-8.6595990000000005E-3</v>
      </c>
      <c r="AA14">
        <v>0.9963535</v>
      </c>
      <c r="AB14">
        <v>4</v>
      </c>
      <c r="AC14">
        <v>0.64600000000001501</v>
      </c>
      <c r="AD14">
        <v>-0.163557699999999</v>
      </c>
      <c r="AE14">
        <v>-6.3000000000045006E-2</v>
      </c>
      <c r="AF14">
        <v>5.6192456960989103E-2</v>
      </c>
      <c r="AG14">
        <v>-0.163557699999999</v>
      </c>
      <c r="AH14">
        <v>0.60771829530737898</v>
      </c>
      <c r="AI14">
        <v>105.002228973464</v>
      </c>
      <c r="AJ14">
        <v>84.717187371885899</v>
      </c>
      <c r="AK14">
        <v>0.63184669018671702</v>
      </c>
      <c r="AL14">
        <v>87.765335779755901</v>
      </c>
      <c r="AM14">
        <v>93.121523358566293</v>
      </c>
      <c r="AN14">
        <v>0.99999997789611395</v>
      </c>
    </row>
    <row r="15" spans="1:40" x14ac:dyDescent="0.25">
      <c r="A15" t="str">
        <f>"20190305135532846"</f>
        <v>20190305135532846</v>
      </c>
      <c r="B15" t="str">
        <f>"1551765332840943"</f>
        <v>1551765332840943</v>
      </c>
      <c r="C15" t="s">
        <v>40</v>
      </c>
      <c r="D15">
        <v>4.50969</v>
      </c>
      <c r="E15">
        <v>0.55029479999999997</v>
      </c>
      <c r="F15" t="s">
        <v>41</v>
      </c>
      <c r="G15">
        <v>-475.55500000000001</v>
      </c>
      <c r="H15">
        <v>0.946214</v>
      </c>
      <c r="I15">
        <v>367.1497</v>
      </c>
      <c r="J15">
        <v>-476.19720000000001</v>
      </c>
      <c r="K15">
        <v>1.1083289999999999</v>
      </c>
      <c r="L15">
        <v>367.21379999999999</v>
      </c>
      <c r="M15">
        <v>0.99998410000000004</v>
      </c>
      <c r="N15">
        <v>1.1873330000000001E-3</v>
      </c>
      <c r="O15">
        <v>-5.5251639999999999E-3</v>
      </c>
      <c r="P15">
        <v>0.99801830000000002</v>
      </c>
      <c r="Q15">
        <v>4.0230589999999997E-2</v>
      </c>
      <c r="R15">
        <v>4.8386029999999997E-2</v>
      </c>
      <c r="S15">
        <v>3.04895</v>
      </c>
      <c r="T15">
        <v>-0.71870040000000002</v>
      </c>
      <c r="U15">
        <v>-0.2858887</v>
      </c>
      <c r="V15">
        <v>-5.3885660000000002E-2</v>
      </c>
      <c r="W15">
        <v>3.9065259999999997E-2</v>
      </c>
      <c r="X15">
        <v>0.99778259999999996</v>
      </c>
      <c r="Y15">
        <v>8.5690069999999993E-2</v>
      </c>
      <c r="Z15">
        <v>-8.6018729999999995E-3</v>
      </c>
      <c r="AA15">
        <v>0.99628470000000002</v>
      </c>
      <c r="AB15">
        <v>4</v>
      </c>
      <c r="AC15">
        <v>0.64220000000000199</v>
      </c>
      <c r="AD15">
        <v>-0.16211500000000001</v>
      </c>
      <c r="AE15">
        <v>-6.4099999999996202E-2</v>
      </c>
      <c r="AF15">
        <v>5.6957010620955102E-2</v>
      </c>
      <c r="AG15">
        <v>-0.16211500000000001</v>
      </c>
      <c r="AH15">
        <v>0.60440870735584196</v>
      </c>
      <c r="AI15">
        <v>104.951264771437</v>
      </c>
      <c r="AJ15">
        <v>84.616577603594806</v>
      </c>
      <c r="AK15">
        <v>0.62835918057384599</v>
      </c>
      <c r="AL15">
        <v>87.761155642857602</v>
      </c>
      <c r="AM15">
        <v>93.091279163761101</v>
      </c>
      <c r="AN15">
        <v>0.99999993787762897</v>
      </c>
    </row>
    <row r="16" spans="1:40" x14ac:dyDescent="0.25">
      <c r="A16" t="str">
        <f>"20190305135532891"</f>
        <v>20190305135532891</v>
      </c>
      <c r="B16" t="str">
        <f>"1551765332881935"</f>
        <v>1551765332881935</v>
      </c>
      <c r="C16" t="s">
        <v>40</v>
      </c>
      <c r="D16">
        <v>4.5648099999999996</v>
      </c>
      <c r="E16">
        <v>0.55072299999999996</v>
      </c>
      <c r="F16" t="s">
        <v>41</v>
      </c>
      <c r="G16">
        <v>-475.51130000000001</v>
      </c>
      <c r="H16">
        <v>0.94693519999999998</v>
      </c>
      <c r="I16">
        <v>367.14859999999999</v>
      </c>
      <c r="J16">
        <v>-476.0926</v>
      </c>
      <c r="K16">
        <v>1.10826</v>
      </c>
      <c r="L16">
        <v>367.21199999999999</v>
      </c>
      <c r="M16">
        <v>0.99997650000000005</v>
      </c>
      <c r="N16">
        <v>1.6850019999999999E-3</v>
      </c>
      <c r="O16">
        <v>-6.6583900000000001E-3</v>
      </c>
      <c r="P16">
        <v>0.99814590000000003</v>
      </c>
      <c r="Q16">
        <v>3.9147590000000003E-2</v>
      </c>
      <c r="R16">
        <v>4.6608900000000002E-2</v>
      </c>
      <c r="S16">
        <v>3.0489809999999999</v>
      </c>
      <c r="T16">
        <v>-0.71751030000000005</v>
      </c>
      <c r="U16">
        <v>-0.29040529999999998</v>
      </c>
      <c r="V16">
        <v>-5.3240389999999999E-2</v>
      </c>
      <c r="W16">
        <v>3.7485230000000001E-2</v>
      </c>
      <c r="X16">
        <v>0.99787789999999998</v>
      </c>
      <c r="Y16">
        <v>8.605757E-2</v>
      </c>
      <c r="Z16">
        <v>-8.3407910000000002E-3</v>
      </c>
      <c r="AA16">
        <v>0.99625529999999995</v>
      </c>
      <c r="AB16">
        <v>5</v>
      </c>
      <c r="AC16">
        <v>0.58129999999999804</v>
      </c>
      <c r="AD16">
        <v>-0.16132479999999999</v>
      </c>
      <c r="AE16">
        <v>-6.34000000000014E-2</v>
      </c>
      <c r="AF16">
        <v>5.5317608599235797E-2</v>
      </c>
      <c r="AG16">
        <v>-0.16132479999999999</v>
      </c>
      <c r="AH16">
        <v>0.540564584433738</v>
      </c>
      <c r="AI16">
        <v>106.535477376846</v>
      </c>
      <c r="AJ16">
        <v>84.157088722253306</v>
      </c>
      <c r="AK16">
        <v>0.56682960302034102</v>
      </c>
      <c r="AL16">
        <v>87.851751210995801</v>
      </c>
      <c r="AM16">
        <v>93.054041082847107</v>
      </c>
      <c r="AN16">
        <v>0.99999999245195703</v>
      </c>
    </row>
    <row r="17" spans="1:40" x14ac:dyDescent="0.25">
      <c r="A17" t="str">
        <f>"20190305135532914"</f>
        <v>20190305135532914</v>
      </c>
      <c r="B17" t="str">
        <f>"1551765332901455"</f>
        <v>1551765332901455</v>
      </c>
      <c r="C17" t="s">
        <v>40</v>
      </c>
      <c r="D17">
        <v>4.6613419999999897</v>
      </c>
      <c r="E17">
        <v>0.55079060000000002</v>
      </c>
      <c r="F17" t="s">
        <v>41</v>
      </c>
      <c r="G17">
        <v>-475.3723</v>
      </c>
      <c r="H17">
        <v>0.93760359999999998</v>
      </c>
      <c r="I17">
        <v>367.14139999999998</v>
      </c>
      <c r="J17">
        <v>-476.03489999999999</v>
      </c>
      <c r="K17">
        <v>1.1082299999999901</v>
      </c>
      <c r="L17">
        <v>367.21089999999998</v>
      </c>
      <c r="M17">
        <v>0.99997190000000002</v>
      </c>
      <c r="N17">
        <v>1.892873E-3</v>
      </c>
      <c r="O17">
        <v>-7.2610159999999899E-3</v>
      </c>
      <c r="P17">
        <v>0.99820299999999995</v>
      </c>
      <c r="Q17">
        <v>3.8265510000000003E-2</v>
      </c>
      <c r="R17">
        <v>4.6114580000000002E-2</v>
      </c>
      <c r="S17">
        <v>3.0477289999999999</v>
      </c>
      <c r="T17">
        <v>-0.72198609999999996</v>
      </c>
      <c r="U17">
        <v>-0.29727170000000003</v>
      </c>
      <c r="V17">
        <v>-5.3347699999999998E-2</v>
      </c>
      <c r="W17">
        <v>3.6396400000000002E-2</v>
      </c>
      <c r="X17">
        <v>0.99791249999999998</v>
      </c>
      <c r="Y17">
        <v>8.7667579999999995E-2</v>
      </c>
      <c r="Z17">
        <v>-8.4285149999999993E-3</v>
      </c>
      <c r="AA17">
        <v>0.9961141</v>
      </c>
      <c r="AB17">
        <v>5</v>
      </c>
      <c r="AC17">
        <v>0.66259999999999697</v>
      </c>
      <c r="AD17">
        <v>-0.17062639999999901</v>
      </c>
      <c r="AE17">
        <v>-6.9500000000005002E-2</v>
      </c>
      <c r="AF17">
        <v>6.07053466161784E-2</v>
      </c>
      <c r="AG17">
        <v>-0.17062639999999901</v>
      </c>
      <c r="AH17">
        <v>0.62227233201057397</v>
      </c>
      <c r="AI17">
        <v>105.26451117984</v>
      </c>
      <c r="AJ17">
        <v>84.428180631289294</v>
      </c>
      <c r="AK17">
        <v>0.64809055128942294</v>
      </c>
      <c r="AL17">
        <v>87.914179237919598</v>
      </c>
      <c r="AM17">
        <v>93.060079141278607</v>
      </c>
      <c r="AN17">
        <v>1.00000001634224</v>
      </c>
    </row>
    <row r="18" spans="1:40" x14ac:dyDescent="0.25">
      <c r="A18" t="str">
        <f>"20190305135532936"</f>
        <v>20190305135532936</v>
      </c>
      <c r="B18" t="str">
        <f>"1551765332931711"</f>
        <v>1551765332931711</v>
      </c>
      <c r="C18" t="s">
        <v>40</v>
      </c>
      <c r="D18">
        <v>4.6057689999999996</v>
      </c>
      <c r="E18">
        <v>0.59757119999999997</v>
      </c>
      <c r="F18" t="s">
        <v>41</v>
      </c>
      <c r="G18">
        <v>-475.31970000000001</v>
      </c>
      <c r="H18">
        <v>0.93818449999999998</v>
      </c>
      <c r="I18">
        <v>367.14069999999998</v>
      </c>
      <c r="J18">
        <v>-475.976</v>
      </c>
      <c r="K18">
        <v>1.108188</v>
      </c>
      <c r="L18">
        <v>367.2099</v>
      </c>
      <c r="M18">
        <v>0.99996700000000005</v>
      </c>
      <c r="N18">
        <v>2.0733000000000001E-3</v>
      </c>
      <c r="O18">
        <v>-7.8619699999999994E-3</v>
      </c>
      <c r="P18">
        <v>0.99822149999999998</v>
      </c>
      <c r="Q18">
        <v>3.7802620000000002E-2</v>
      </c>
      <c r="R18">
        <v>4.6095419999999998E-2</v>
      </c>
      <c r="S18">
        <v>3.0469360000000001</v>
      </c>
      <c r="T18">
        <v>-0.72440799999999905</v>
      </c>
      <c r="U18">
        <v>-0.29919430000000002</v>
      </c>
      <c r="V18">
        <v>-5.3928509999999999E-2</v>
      </c>
      <c r="W18">
        <v>3.5754040000000001E-2</v>
      </c>
      <c r="X18">
        <v>0.99790449999999997</v>
      </c>
      <c r="Y18">
        <v>8.7718900000000002E-2</v>
      </c>
      <c r="Z18">
        <v>-8.3130870000000003E-3</v>
      </c>
      <c r="AA18">
        <v>0.99611059999999996</v>
      </c>
      <c r="AB18">
        <v>6</v>
      </c>
      <c r="AC18">
        <v>0.656299999999987</v>
      </c>
      <c r="AD18">
        <v>-0.170003499999999</v>
      </c>
      <c r="AE18">
        <v>-6.9200000000023396E-2</v>
      </c>
      <c r="AF18">
        <v>6.0052902299287302E-2</v>
      </c>
      <c r="AG18">
        <v>-0.170003499999999</v>
      </c>
      <c r="AH18">
        <v>0.61594910918623003</v>
      </c>
      <c r="AI18">
        <v>105.36027017087299</v>
      </c>
      <c r="AJ18">
        <v>84.431459728300098</v>
      </c>
      <c r="AK18">
        <v>0.641795018829321</v>
      </c>
      <c r="AL18">
        <v>87.951007721230894</v>
      </c>
      <c r="AM18">
        <v>93.093355398775998</v>
      </c>
      <c r="AN18">
        <v>1.0000000133436899</v>
      </c>
    </row>
    <row r="19" spans="1:40" x14ac:dyDescent="0.25">
      <c r="A19" t="str">
        <f>"20190305135532959"</f>
        <v>20190305135532959</v>
      </c>
      <c r="B19" t="str">
        <f>"1551765332951231"</f>
        <v>1551765332951231</v>
      </c>
      <c r="C19" t="s">
        <v>40</v>
      </c>
      <c r="D19">
        <v>4.5780349999999999</v>
      </c>
      <c r="E19">
        <v>0.6018715</v>
      </c>
      <c r="F19" t="s">
        <v>41</v>
      </c>
      <c r="G19">
        <v>-475.26069999999999</v>
      </c>
      <c r="H19">
        <v>0.9437006</v>
      </c>
      <c r="I19">
        <v>367.05259999999998</v>
      </c>
      <c r="J19">
        <v>-475.91390000000001</v>
      </c>
      <c r="K19">
        <v>1.108155</v>
      </c>
      <c r="L19">
        <v>367.20870000000002</v>
      </c>
      <c r="M19">
        <v>0.99996169999999995</v>
      </c>
      <c r="N19">
        <v>2.2351319999999999E-3</v>
      </c>
      <c r="O19">
        <v>-8.4812800000000008E-3</v>
      </c>
      <c r="P19">
        <v>0.99826199999999998</v>
      </c>
      <c r="Q19">
        <v>3.7031250000000002E-2</v>
      </c>
      <c r="R19">
        <v>4.5850429999999998E-2</v>
      </c>
      <c r="S19">
        <v>3.0630489999999999</v>
      </c>
      <c r="T19">
        <v>-0.70423780000000002</v>
      </c>
      <c r="U19">
        <v>-0.67205809999999999</v>
      </c>
      <c r="V19">
        <v>-5.4302400000000001E-2</v>
      </c>
      <c r="W19">
        <v>3.4821449999999997E-2</v>
      </c>
      <c r="X19">
        <v>0.99791719999999895</v>
      </c>
      <c r="Y19">
        <v>0.2012748</v>
      </c>
      <c r="Z19">
        <v>-2.0430029999999998E-2</v>
      </c>
      <c r="AA19">
        <v>0.97932169999999996</v>
      </c>
      <c r="AB19">
        <v>6</v>
      </c>
      <c r="AC19">
        <v>0.65320000000002598</v>
      </c>
      <c r="AD19">
        <v>-0.1644544</v>
      </c>
      <c r="AE19">
        <v>-0.15610000000003699</v>
      </c>
      <c r="AF19">
        <v>0.14203750304236001</v>
      </c>
      <c r="AG19">
        <v>-0.1644544</v>
      </c>
      <c r="AH19">
        <v>0.61747519514645999</v>
      </c>
      <c r="AI19">
        <v>104.550338533426</v>
      </c>
      <c r="AJ19">
        <v>77.045630840681397</v>
      </c>
      <c r="AK19">
        <v>0.65459569091999603</v>
      </c>
      <c r="AL19">
        <v>88.004474488330402</v>
      </c>
      <c r="AM19">
        <v>93.114720194490303</v>
      </c>
      <c r="AN19">
        <v>1.00000001104085</v>
      </c>
    </row>
    <row r="20" spans="1:40" x14ac:dyDescent="0.25">
      <c r="A20" t="str">
        <f>"20190305135532981"</f>
        <v>20190305135532981</v>
      </c>
      <c r="B20" t="str">
        <f>"1551765332971727"</f>
        <v>1551765332971727</v>
      </c>
      <c r="C20" t="s">
        <v>40</v>
      </c>
      <c r="D20">
        <v>4.5998380000000001</v>
      </c>
      <c r="E20">
        <v>0.6034851</v>
      </c>
      <c r="F20" t="s">
        <v>41</v>
      </c>
      <c r="G20">
        <v>-475.2045</v>
      </c>
      <c r="H20">
        <v>0.94194460000000002</v>
      </c>
      <c r="I20">
        <v>367.04489999999998</v>
      </c>
      <c r="J20">
        <v>-475.84690000000001</v>
      </c>
      <c r="K20">
        <v>1.10812</v>
      </c>
      <c r="L20">
        <v>367.20740000000001</v>
      </c>
      <c r="M20">
        <v>0.9999555</v>
      </c>
      <c r="N20">
        <v>2.3831210000000002E-3</v>
      </c>
      <c r="O20">
        <v>-9.1326529999999993E-3</v>
      </c>
      <c r="P20">
        <v>0.99830019999999997</v>
      </c>
      <c r="Q20">
        <v>3.6070280000000003E-2</v>
      </c>
      <c r="R20">
        <v>4.5776419999999998E-2</v>
      </c>
      <c r="S20">
        <v>3.0643310000000001</v>
      </c>
      <c r="T20">
        <v>-0.71803099999999997</v>
      </c>
      <c r="U20">
        <v>-0.70751949999999997</v>
      </c>
      <c r="V20">
        <v>-5.4878349999999999E-2</v>
      </c>
      <c r="W20">
        <v>3.3713460000000001E-2</v>
      </c>
      <c r="X20">
        <v>0.99792369999999997</v>
      </c>
      <c r="Y20">
        <v>0.2109357</v>
      </c>
      <c r="Z20">
        <v>-2.171503E-2</v>
      </c>
      <c r="AA20">
        <v>0.97725870000000004</v>
      </c>
      <c r="AB20">
        <v>6</v>
      </c>
      <c r="AC20">
        <v>0.64240000000000896</v>
      </c>
      <c r="AD20">
        <v>-0.166175399999999</v>
      </c>
      <c r="AE20">
        <v>-0.16250000000002199</v>
      </c>
      <c r="AF20">
        <v>0.14735889863545401</v>
      </c>
      <c r="AG20">
        <v>-0.166175399999999</v>
      </c>
      <c r="AH20">
        <v>0.60576061212349497</v>
      </c>
      <c r="AI20">
        <v>104.92526845496999</v>
      </c>
      <c r="AJ20">
        <v>76.327646020668894</v>
      </c>
      <c r="AK20">
        <v>0.64519363587410405</v>
      </c>
      <c r="AL20">
        <v>88.067994869634404</v>
      </c>
      <c r="AM20">
        <v>93.147669447380395</v>
      </c>
      <c r="AN20">
        <v>0.99999997085279102</v>
      </c>
    </row>
    <row r="21" spans="1:40" x14ac:dyDescent="0.25">
      <c r="A21" t="str">
        <f>"20190305135533002"</f>
        <v>20190305135533002</v>
      </c>
      <c r="B21" t="str">
        <f>"1551765332991247"</f>
        <v>1551765332991247</v>
      </c>
      <c r="C21" t="s">
        <v>40</v>
      </c>
      <c r="D21">
        <v>4.6067809999999998</v>
      </c>
      <c r="E21">
        <v>0.60438979999999998</v>
      </c>
      <c r="F21" t="s">
        <v>41</v>
      </c>
      <c r="G21">
        <v>-475.14519999999999</v>
      </c>
      <c r="H21">
        <v>0.94237519999999997</v>
      </c>
      <c r="I21">
        <v>367.0419</v>
      </c>
      <c r="J21">
        <v>-475.7833</v>
      </c>
      <c r="K21">
        <v>1.1080909999999999</v>
      </c>
      <c r="L21">
        <v>367.20620000000002</v>
      </c>
      <c r="M21">
        <v>0.99994959999999999</v>
      </c>
      <c r="N21">
        <v>2.5026010000000001E-3</v>
      </c>
      <c r="O21">
        <v>-9.7364410000000002E-3</v>
      </c>
      <c r="P21">
        <v>0.99833970000000005</v>
      </c>
      <c r="Q21">
        <v>3.5577770000000002E-2</v>
      </c>
      <c r="R21">
        <v>4.5304150000000001E-2</v>
      </c>
      <c r="S21">
        <v>3.0643009999999999</v>
      </c>
      <c r="T21">
        <v>-0.72369839999999996</v>
      </c>
      <c r="U21">
        <v>-0.72051999999999905</v>
      </c>
      <c r="V21">
        <v>-5.5009370000000002E-2</v>
      </c>
      <c r="W21">
        <v>3.3102489999999998E-2</v>
      </c>
      <c r="X21">
        <v>0.99793699999999996</v>
      </c>
      <c r="Y21">
        <v>0.21414179999999999</v>
      </c>
      <c r="Z21">
        <v>-2.2084400000000001E-2</v>
      </c>
      <c r="AA21">
        <v>0.97655289999999995</v>
      </c>
      <c r="AB21">
        <v>6</v>
      </c>
      <c r="AC21">
        <v>0.63810000000000799</v>
      </c>
      <c r="AD21">
        <v>-0.165715799999999</v>
      </c>
      <c r="AE21">
        <v>-0.16430000000002501</v>
      </c>
      <c r="AF21">
        <v>0.14867540438191701</v>
      </c>
      <c r="AG21">
        <v>-0.165715799999999</v>
      </c>
      <c r="AH21">
        <v>0.60161623072494397</v>
      </c>
      <c r="AI21">
        <v>104.970987356363</v>
      </c>
      <c r="AJ21">
        <v>76.118807580281796</v>
      </c>
      <c r="AK21">
        <v>0.64148904223646397</v>
      </c>
      <c r="AL21">
        <v>88.103020538714702</v>
      </c>
      <c r="AM21">
        <v>93.155127259004999</v>
      </c>
      <c r="AN21">
        <v>1.0000000308004899</v>
      </c>
    </row>
    <row r="22" spans="1:40" x14ac:dyDescent="0.25">
      <c r="A22" t="str">
        <f>"20190305135533025"</f>
        <v>20190305135533025</v>
      </c>
      <c r="B22" t="str">
        <f>"1551765333011747"</f>
        <v>1551765333011747</v>
      </c>
      <c r="C22" t="s">
        <v>40</v>
      </c>
      <c r="D22">
        <v>4.6279589999999997</v>
      </c>
      <c r="E22">
        <v>0.60458429999999996</v>
      </c>
      <c r="F22" t="s">
        <v>41</v>
      </c>
      <c r="G22">
        <v>-475.08409999999998</v>
      </c>
      <c r="H22">
        <v>0.9419246</v>
      </c>
      <c r="I22">
        <v>367.03960000000001</v>
      </c>
      <c r="J22">
        <v>-475.71129999999999</v>
      </c>
      <c r="K22">
        <v>1.108063</v>
      </c>
      <c r="L22">
        <v>367.2047</v>
      </c>
      <c r="M22">
        <v>0.99994249999999996</v>
      </c>
      <c r="N22">
        <v>2.6184870000000001E-3</v>
      </c>
      <c r="O22">
        <v>-1.0405319999999999E-2</v>
      </c>
      <c r="P22">
        <v>0.99827540000000003</v>
      </c>
      <c r="Q22">
        <v>3.6412100000000003E-2</v>
      </c>
      <c r="R22">
        <v>4.605277E-2</v>
      </c>
      <c r="S22">
        <v>3.0640559999999999</v>
      </c>
      <c r="T22">
        <v>-0.72813609999999995</v>
      </c>
      <c r="U22">
        <v>-0.7299194</v>
      </c>
      <c r="V22">
        <v>-5.6424580000000002E-2</v>
      </c>
      <c r="W22">
        <v>3.3822110000000002E-2</v>
      </c>
      <c r="X22">
        <v>0.99783379999999999</v>
      </c>
      <c r="Y22">
        <v>0.21624889999999999</v>
      </c>
      <c r="Z22">
        <v>-2.2282819999999998E-2</v>
      </c>
      <c r="AA22">
        <v>0.9760839</v>
      </c>
      <c r="AB22">
        <v>7</v>
      </c>
      <c r="AC22">
        <v>0.62720000000001597</v>
      </c>
      <c r="AD22">
        <v>-0.16613839999999999</v>
      </c>
      <c r="AE22">
        <v>-0.165099999999995</v>
      </c>
      <c r="AF22">
        <v>0.14880062789465001</v>
      </c>
      <c r="AG22">
        <v>-0.16613839999999999</v>
      </c>
      <c r="AH22">
        <v>0.59015819242158196</v>
      </c>
      <c r="AI22">
        <v>105.268163343981</v>
      </c>
      <c r="AJ22">
        <v>75.848583995827795</v>
      </c>
      <c r="AK22">
        <v>0.63089641534780605</v>
      </c>
      <c r="AL22">
        <v>88.061766149279507</v>
      </c>
      <c r="AM22">
        <v>93.236461915288004</v>
      </c>
      <c r="AN22">
        <v>0.99999998038773397</v>
      </c>
    </row>
    <row r="23" spans="1:40" x14ac:dyDescent="0.25">
      <c r="A23" t="str">
        <f>"20190305135533047"</f>
        <v>20190305135533047</v>
      </c>
      <c r="B23" t="str">
        <f>"1551765333041024"</f>
        <v>1551765333041024</v>
      </c>
      <c r="C23" t="s">
        <v>40</v>
      </c>
      <c r="D23">
        <v>4.6212039999999996</v>
      </c>
      <c r="E23">
        <v>0.60501169999999904</v>
      </c>
      <c r="F23" t="s">
        <v>41</v>
      </c>
      <c r="G23">
        <v>-475.01949999999999</v>
      </c>
      <c r="H23">
        <v>0.94436980000000004</v>
      </c>
      <c r="I23">
        <v>367.03949999999998</v>
      </c>
      <c r="J23">
        <v>-475.64060000000001</v>
      </c>
      <c r="K23">
        <v>1.108033</v>
      </c>
      <c r="L23">
        <v>367.20330000000001</v>
      </c>
      <c r="M23">
        <v>0.99993529999999997</v>
      </c>
      <c r="N23">
        <v>2.7148739999999999E-3</v>
      </c>
      <c r="O23">
        <v>-1.104748E-2</v>
      </c>
      <c r="P23">
        <v>0.99822219999999995</v>
      </c>
      <c r="Q23">
        <v>3.759473E-2</v>
      </c>
      <c r="R23">
        <v>4.6251800000000003E-2</v>
      </c>
      <c r="S23">
        <v>3.0653380000000001</v>
      </c>
      <c r="T23">
        <v>-0.72519</v>
      </c>
      <c r="U23">
        <v>-0.73043819999999904</v>
      </c>
      <c r="V23">
        <v>-5.7262689999999998E-2</v>
      </c>
      <c r="W23">
        <v>3.4909610000000001E-2</v>
      </c>
      <c r="X23">
        <v>0.99774859999999999</v>
      </c>
      <c r="Y23">
        <v>0.21576690000000001</v>
      </c>
      <c r="Z23">
        <v>-2.196847E-2</v>
      </c>
      <c r="AA23">
        <v>0.97619769999999995</v>
      </c>
      <c r="AB23">
        <v>7</v>
      </c>
      <c r="AC23">
        <v>0.62110000000001198</v>
      </c>
      <c r="AD23">
        <v>-0.16366320000000001</v>
      </c>
      <c r="AE23">
        <v>-0.163800000000037</v>
      </c>
      <c r="AF23">
        <v>0.14736169169532301</v>
      </c>
      <c r="AG23">
        <v>-0.16366320000000001</v>
      </c>
      <c r="AH23">
        <v>0.58490006306725495</v>
      </c>
      <c r="AI23">
        <v>105.18083763450301</v>
      </c>
      <c r="AJ23">
        <v>75.859007585710799</v>
      </c>
      <c r="AK23">
        <v>0.62498735586380205</v>
      </c>
      <c r="AL23">
        <v>87.999420162748095</v>
      </c>
      <c r="AM23">
        <v>93.284710505983597</v>
      </c>
      <c r="AN23">
        <v>0.999999982669174</v>
      </c>
    </row>
    <row r="24" spans="1:40" x14ac:dyDescent="0.25">
      <c r="A24" t="str">
        <f>"20190305135533070"</f>
        <v>20190305135533070</v>
      </c>
      <c r="B24" t="str">
        <f>"1551765333061520"</f>
        <v>1551765333061520</v>
      </c>
      <c r="C24" t="s">
        <v>40</v>
      </c>
      <c r="D24">
        <v>4.6563499999999998</v>
      </c>
      <c r="E24">
        <v>0.60484090000000001</v>
      </c>
      <c r="F24" t="s">
        <v>41</v>
      </c>
      <c r="G24">
        <v>-474.95299999999997</v>
      </c>
      <c r="H24">
        <v>0.9459379</v>
      </c>
      <c r="I24">
        <v>367.03829999999999</v>
      </c>
      <c r="J24">
        <v>-475.56270000000001</v>
      </c>
      <c r="K24">
        <v>1.10802</v>
      </c>
      <c r="L24">
        <v>367.20170000000002</v>
      </c>
      <c r="M24">
        <v>0.99992720000000002</v>
      </c>
      <c r="N24">
        <v>2.8050879999999999E-3</v>
      </c>
      <c r="O24">
        <v>-1.1739100000000001E-2</v>
      </c>
      <c r="P24">
        <v>0.99822929999999999</v>
      </c>
      <c r="Q24">
        <v>3.7505129999999998E-2</v>
      </c>
      <c r="R24">
        <v>4.6171900000000002E-2</v>
      </c>
      <c r="S24">
        <v>3.0666199999999999</v>
      </c>
      <c r="T24">
        <v>-0.72276969999999996</v>
      </c>
      <c r="U24">
        <v>-0.7351685</v>
      </c>
      <c r="V24">
        <v>-5.7872489999999999E-2</v>
      </c>
      <c r="W24">
        <v>3.4731379999999999E-2</v>
      </c>
      <c r="X24">
        <v>0.99771960000000004</v>
      </c>
      <c r="Y24">
        <v>0.2164692</v>
      </c>
      <c r="Z24">
        <v>-2.1791520000000002E-2</v>
      </c>
      <c r="AA24">
        <v>0.97604619999999997</v>
      </c>
      <c r="AB24">
        <v>7</v>
      </c>
      <c r="AC24">
        <v>0.60969999999997504</v>
      </c>
      <c r="AD24">
        <v>-0.16208209999999901</v>
      </c>
      <c r="AE24">
        <v>-0.163400000000024</v>
      </c>
      <c r="AF24">
        <v>0.14656749812009201</v>
      </c>
      <c r="AG24">
        <v>-0.16208209999999901</v>
      </c>
      <c r="AH24">
        <v>0.57374636423202297</v>
      </c>
      <c r="AI24">
        <v>105.307412498817</v>
      </c>
      <c r="AJ24">
        <v>75.669867862401205</v>
      </c>
      <c r="AK24">
        <v>0.61395238342648195</v>
      </c>
      <c r="AL24">
        <v>88.009638115163796</v>
      </c>
      <c r="AM24">
        <v>93.319708395839598</v>
      </c>
      <c r="AN24">
        <v>0.99999994703982997</v>
      </c>
    </row>
    <row r="25" spans="1:40" x14ac:dyDescent="0.25">
      <c r="A25" t="str">
        <f>"20190305135533092"</f>
        <v>20190305135533092</v>
      </c>
      <c r="B25" t="str">
        <f>"1551765333082016"</f>
        <v>1551765333082016</v>
      </c>
      <c r="C25" t="s">
        <v>40</v>
      </c>
      <c r="D25">
        <v>4.5702680000000004</v>
      </c>
      <c r="E25">
        <v>0.60539869999999996</v>
      </c>
      <c r="F25" t="s">
        <v>41</v>
      </c>
      <c r="G25">
        <v>-474.81990000000002</v>
      </c>
      <c r="H25">
        <v>0.93244970000000005</v>
      </c>
      <c r="I25">
        <v>367.02359999999999</v>
      </c>
      <c r="J25">
        <v>-475.48410000000001</v>
      </c>
      <c r="K25">
        <v>1.1080270000000001</v>
      </c>
      <c r="L25">
        <v>367.20010000000002</v>
      </c>
      <c r="M25">
        <v>0.9999188</v>
      </c>
      <c r="N25">
        <v>2.8812489999999998E-3</v>
      </c>
      <c r="O25">
        <v>-1.242093E-2</v>
      </c>
      <c r="P25">
        <v>0.99819069999999999</v>
      </c>
      <c r="Q25">
        <v>3.9408369999999998E-2</v>
      </c>
      <c r="R25">
        <v>4.5415909999999997E-2</v>
      </c>
      <c r="S25">
        <v>3.0665279999999999</v>
      </c>
      <c r="T25">
        <v>-0.72471589999999997</v>
      </c>
      <c r="U25">
        <v>-0.73370360000000001</v>
      </c>
      <c r="V25">
        <v>-5.7795449999999998E-2</v>
      </c>
      <c r="W25">
        <v>3.6559370000000001E-2</v>
      </c>
      <c r="X25">
        <v>0.99765879999999996</v>
      </c>
      <c r="Y25">
        <v>0.2153891</v>
      </c>
      <c r="Z25">
        <v>-2.156083E-2</v>
      </c>
      <c r="AA25">
        <v>0.9762902</v>
      </c>
      <c r="AB25">
        <v>8</v>
      </c>
      <c r="AC25">
        <v>0.66419999999999302</v>
      </c>
      <c r="AD25">
        <v>-0.17557729999999999</v>
      </c>
      <c r="AE25">
        <v>-0.17650000000003199</v>
      </c>
      <c r="AF25">
        <v>0.15792855272140299</v>
      </c>
      <c r="AG25">
        <v>-0.17557729999999999</v>
      </c>
      <c r="AH25">
        <v>0.62551445050153598</v>
      </c>
      <c r="AI25">
        <v>105.22445909763699</v>
      </c>
      <c r="AJ25">
        <v>75.830214696364706</v>
      </c>
      <c r="AK25">
        <v>0.66860836356286002</v>
      </c>
      <c r="AL25">
        <v>87.904835473976604</v>
      </c>
      <c r="AM25">
        <v>93.315500648348802</v>
      </c>
      <c r="AN25">
        <v>0.999999991396469</v>
      </c>
    </row>
    <row r="26" spans="1:40" x14ac:dyDescent="0.25">
      <c r="A26" t="str">
        <f>"20190305135533115"</f>
        <v>20190305135533115</v>
      </c>
      <c r="B26" t="str">
        <f>"1551765333111296"</f>
        <v>1551765333111296</v>
      </c>
      <c r="C26" t="s">
        <v>40</v>
      </c>
      <c r="D26">
        <v>4.6564399999999999</v>
      </c>
      <c r="E26">
        <v>0.53674980000000005</v>
      </c>
      <c r="F26" t="s">
        <v>41</v>
      </c>
      <c r="G26">
        <v>-474.74650000000003</v>
      </c>
      <c r="H26">
        <v>0.93466649999999996</v>
      </c>
      <c r="I26">
        <v>367.0213</v>
      </c>
      <c r="J26">
        <v>-475.39980000000003</v>
      </c>
      <c r="K26">
        <v>1.108031</v>
      </c>
      <c r="L26">
        <v>367.19819999999999</v>
      </c>
      <c r="M26">
        <v>0.99990950000000001</v>
      </c>
      <c r="N26">
        <v>2.9503590000000001E-3</v>
      </c>
      <c r="O26">
        <v>-1.3134710000000001E-2</v>
      </c>
      <c r="P26">
        <v>0.99810900000000002</v>
      </c>
      <c r="Q26">
        <v>4.127318E-2</v>
      </c>
      <c r="R26">
        <v>4.5554299999999999E-2</v>
      </c>
      <c r="S26">
        <v>3.067596</v>
      </c>
      <c r="T26">
        <v>-0.7209101</v>
      </c>
      <c r="U26">
        <v>-0.74096680000000004</v>
      </c>
      <c r="V26">
        <v>-5.8643010000000002E-2</v>
      </c>
      <c r="W26">
        <v>3.8356260000000003E-2</v>
      </c>
      <c r="X26">
        <v>0.99754189999999998</v>
      </c>
      <c r="Y26">
        <v>0.21684619999999999</v>
      </c>
      <c r="Z26">
        <v>-2.1426520000000001E-2</v>
      </c>
      <c r="AA26">
        <v>0.97597060000000002</v>
      </c>
      <c r="AB26">
        <v>8</v>
      </c>
      <c r="AC26">
        <v>0.65330000000000099</v>
      </c>
      <c r="AD26">
        <v>-0.17336449999999901</v>
      </c>
      <c r="AE26">
        <v>-0.17689999999998901</v>
      </c>
      <c r="AF26">
        <v>0.15794137747540599</v>
      </c>
      <c r="AG26">
        <v>-0.17336449999999901</v>
      </c>
      <c r="AH26">
        <v>0.61520408670761595</v>
      </c>
      <c r="AI26">
        <v>105.26691302669801</v>
      </c>
      <c r="AJ26">
        <v>75.601414115720999</v>
      </c>
      <c r="AK26">
        <v>0.65838954797356097</v>
      </c>
      <c r="AL26">
        <v>87.801809014119698</v>
      </c>
      <c r="AM26">
        <v>93.364404334527094</v>
      </c>
      <c r="AN26">
        <v>1.0000000237793201</v>
      </c>
    </row>
    <row r="27" spans="1:40" x14ac:dyDescent="0.25">
      <c r="A27" t="str">
        <f>"20190305135533139"</f>
        <v>20190305135533139</v>
      </c>
      <c r="B27" t="str">
        <f>"1551765333131792"</f>
        <v>1551765333131792</v>
      </c>
      <c r="C27" t="s">
        <v>40</v>
      </c>
      <c r="D27">
        <v>4.6311450000000001</v>
      </c>
      <c r="E27">
        <v>0.53592280000000003</v>
      </c>
      <c r="F27" t="s">
        <v>41</v>
      </c>
      <c r="G27">
        <v>-474.62169999999998</v>
      </c>
      <c r="H27">
        <v>1.043669</v>
      </c>
      <c r="I27">
        <v>367.15350000000001</v>
      </c>
      <c r="J27">
        <v>-475.30939999999998</v>
      </c>
      <c r="K27">
        <v>1.108023</v>
      </c>
      <c r="L27">
        <v>367.19619999999998</v>
      </c>
      <c r="M27">
        <v>0.99989919999999999</v>
      </c>
      <c r="N27">
        <v>3.0128149999999999E-3</v>
      </c>
      <c r="O27">
        <v>-1.3877219999999999E-2</v>
      </c>
      <c r="P27">
        <v>0.99805049999999995</v>
      </c>
      <c r="Q27">
        <v>4.1343610000000003E-2</v>
      </c>
      <c r="R27">
        <v>4.675501E-2</v>
      </c>
      <c r="S27">
        <v>3.0239259999999999</v>
      </c>
      <c r="T27">
        <v>-0.25015009999999999</v>
      </c>
      <c r="U27">
        <v>-0.1735535</v>
      </c>
      <c r="V27">
        <v>-6.0583600000000001E-2</v>
      </c>
      <c r="W27">
        <v>3.8365780000000002E-2</v>
      </c>
      <c r="X27">
        <v>0.99742560000000002</v>
      </c>
      <c r="Y27">
        <v>4.3347740000000003E-2</v>
      </c>
      <c r="Z27">
        <v>-5.3631529999999998E-4</v>
      </c>
      <c r="AA27">
        <v>0.9990599</v>
      </c>
      <c r="AB27">
        <v>8</v>
      </c>
      <c r="AC27">
        <v>0.68770000000000597</v>
      </c>
      <c r="AD27">
        <v>-6.4353999999999995E-2</v>
      </c>
      <c r="AE27">
        <v>-4.2699999999967903E-2</v>
      </c>
      <c r="AF27">
        <v>3.2865782223416899E-2</v>
      </c>
      <c r="AG27">
        <v>-6.4353999999999995E-2</v>
      </c>
      <c r="AH27">
        <v>0.68227463679744804</v>
      </c>
      <c r="AI27">
        <v>95.382147757178998</v>
      </c>
      <c r="AJ27">
        <v>87.242142650179304</v>
      </c>
      <c r="AK27">
        <v>0.68609057490556302</v>
      </c>
      <c r="AL27">
        <v>87.801263250727501</v>
      </c>
      <c r="AM27">
        <v>93.475873503247698</v>
      </c>
      <c r="AN27">
        <v>1.00000006659966</v>
      </c>
    </row>
    <row r="28" spans="1:40" x14ac:dyDescent="0.25">
      <c r="A28" t="str">
        <f>"20190305135533162"</f>
        <v>20190305135533162</v>
      </c>
      <c r="B28" t="str">
        <f>"1551765333151313"</f>
        <v>1551765333151313</v>
      </c>
      <c r="C28" t="s">
        <v>40</v>
      </c>
      <c r="D28">
        <v>4.606573</v>
      </c>
      <c r="E28">
        <v>0.53603140000000005</v>
      </c>
      <c r="F28" t="s">
        <v>41</v>
      </c>
      <c r="G28">
        <v>-474.53500000000003</v>
      </c>
      <c r="H28">
        <v>1.057534</v>
      </c>
      <c r="I28">
        <v>367.15460000000002</v>
      </c>
      <c r="J28">
        <v>-475.2201</v>
      </c>
      <c r="K28">
        <v>1.1080139999999901</v>
      </c>
      <c r="L28">
        <v>367.19420000000002</v>
      </c>
      <c r="M28">
        <v>0.99988909999999998</v>
      </c>
      <c r="N28">
        <v>3.0647259999999998E-3</v>
      </c>
      <c r="O28">
        <v>-1.4582650000000001E-2</v>
      </c>
      <c r="P28">
        <v>0.99800239999999996</v>
      </c>
      <c r="Q28">
        <v>4.0865310000000002E-2</v>
      </c>
      <c r="R28">
        <v>4.818182E-2</v>
      </c>
      <c r="S28">
        <v>3.0215450000000001</v>
      </c>
      <c r="T28">
        <v>-0.19711490000000001</v>
      </c>
      <c r="U28">
        <v>-0.16052249999999901</v>
      </c>
      <c r="V28">
        <v>-6.2713080000000004E-2</v>
      </c>
      <c r="W28">
        <v>3.7836889999999998E-2</v>
      </c>
      <c r="X28">
        <v>0.99731409999999998</v>
      </c>
      <c r="Y28">
        <v>3.8439569999999999E-2</v>
      </c>
      <c r="Z28">
        <v>-1.9847349999999999E-4</v>
      </c>
      <c r="AA28">
        <v>0.99926090000000001</v>
      </c>
      <c r="AB28">
        <v>8</v>
      </c>
      <c r="AC28">
        <v>0.68509999999997695</v>
      </c>
      <c r="AD28">
        <v>-5.0479999999999803E-2</v>
      </c>
      <c r="AE28">
        <v>-3.9600000000007102E-2</v>
      </c>
      <c r="AF28">
        <v>2.9445836924957301E-2</v>
      </c>
      <c r="AG28">
        <v>-5.0479999999999803E-2</v>
      </c>
      <c r="AH28">
        <v>0.68191474636912297</v>
      </c>
      <c r="AI28">
        <v>94.229776484534099</v>
      </c>
      <c r="AJ28">
        <v>87.527440558829198</v>
      </c>
      <c r="AK28">
        <v>0.68441435477923496</v>
      </c>
      <c r="AL28">
        <v>87.8315882616739</v>
      </c>
      <c r="AM28">
        <v>93.598134235750095</v>
      </c>
      <c r="AN28">
        <v>0.99999998735338402</v>
      </c>
    </row>
    <row r="29" spans="1:40" x14ac:dyDescent="0.25">
      <c r="A29" t="str">
        <f>"20190305135533183"</f>
        <v>20190305135533183</v>
      </c>
      <c r="B29" t="str">
        <f>"1551765333171809"</f>
        <v>1551765333171809</v>
      </c>
      <c r="C29" t="s">
        <v>40</v>
      </c>
      <c r="D29">
        <v>4.6593650000000002</v>
      </c>
      <c r="E29">
        <v>0.53547659999999997</v>
      </c>
      <c r="F29" t="s">
        <v>42</v>
      </c>
      <c r="G29">
        <v>-456.56130000000002</v>
      </c>
      <c r="H29" s="1">
        <v>-2.0573070000000002E-6</v>
      </c>
      <c r="I29">
        <v>366.23489999999998</v>
      </c>
      <c r="J29">
        <v>-475.13420000000002</v>
      </c>
      <c r="K29">
        <v>1.1080139999999901</v>
      </c>
      <c r="L29">
        <v>367.19229999999999</v>
      </c>
      <c r="M29">
        <v>0.99987939999999997</v>
      </c>
      <c r="N29">
        <v>3.1067600000000001E-3</v>
      </c>
      <c r="O29">
        <v>-1.522514E-2</v>
      </c>
      <c r="P29">
        <v>0.99792749999999997</v>
      </c>
      <c r="Q29">
        <v>4.1024959999999999E-2</v>
      </c>
      <c r="R29">
        <v>4.9576660000000002E-2</v>
      </c>
      <c r="S29">
        <v>3.020813</v>
      </c>
      <c r="T29">
        <v>-0.1793845</v>
      </c>
      <c r="U29">
        <v>-0.155304</v>
      </c>
      <c r="V29">
        <v>-6.4748520000000004E-2</v>
      </c>
      <c r="W29">
        <v>3.7955049999999997E-2</v>
      </c>
      <c r="X29">
        <v>0.99717960000000005</v>
      </c>
      <c r="Y29">
        <v>3.6101950000000001E-2</v>
      </c>
      <c r="Z29" s="1">
        <v>-6.4266260000000002E-5</v>
      </c>
      <c r="AA29">
        <v>0.99934809999999996</v>
      </c>
      <c r="AB29">
        <v>9</v>
      </c>
      <c r="AC29">
        <v>18.572900000000001</v>
      </c>
      <c r="AD29">
        <v>-1.1080160573069999</v>
      </c>
      <c r="AE29">
        <v>-0.95740000000000602</v>
      </c>
      <c r="AF29">
        <v>0.67212691261651103</v>
      </c>
      <c r="AG29">
        <v>-1.1080160573069999</v>
      </c>
      <c r="AH29">
        <v>18.519586587340498</v>
      </c>
      <c r="AI29">
        <v>93.4216442663745</v>
      </c>
      <c r="AJ29">
        <v>87.921490280463104</v>
      </c>
      <c r="AK29">
        <v>18.564873862644902</v>
      </c>
      <c r="AL29">
        <v>87.824813474420793</v>
      </c>
      <c r="AM29">
        <v>93.715094450134799</v>
      </c>
      <c r="AN29">
        <v>1.00000005565942</v>
      </c>
    </row>
    <row r="30" spans="1:40" x14ac:dyDescent="0.25">
      <c r="A30" t="str">
        <f>"20190305135533204"</f>
        <v>20190305135533204</v>
      </c>
      <c r="B30" t="str">
        <f>"1551765333191327"</f>
        <v>1551765333191327</v>
      </c>
      <c r="C30" t="s">
        <v>40</v>
      </c>
      <c r="D30">
        <v>4.6200839999999896</v>
      </c>
      <c r="E30">
        <v>0.53566219999999998</v>
      </c>
      <c r="F30" t="s">
        <v>42</v>
      </c>
      <c r="G30">
        <v>-455.78910000000002</v>
      </c>
      <c r="H30" s="1">
        <v>-2.3843939999999998E-6</v>
      </c>
      <c r="I30">
        <v>366.25850000000003</v>
      </c>
      <c r="J30">
        <v>-475.04250000000002</v>
      </c>
      <c r="K30">
        <v>1.1080159999999999</v>
      </c>
      <c r="L30">
        <v>367.19009999999997</v>
      </c>
      <c r="M30">
        <v>0.99986929999999996</v>
      </c>
      <c r="N30">
        <v>3.1445930000000002E-3</v>
      </c>
      <c r="O30">
        <v>-1.5863720000000001E-2</v>
      </c>
      <c r="P30">
        <v>0.99794970000000005</v>
      </c>
      <c r="Q30">
        <v>3.9447139999999999E-2</v>
      </c>
      <c r="R30">
        <v>5.0406079999999999E-2</v>
      </c>
      <c r="S30">
        <v>3.0205380000000002</v>
      </c>
      <c r="T30">
        <v>-0.173004399999999</v>
      </c>
      <c r="U30">
        <v>-0.14578250000000001</v>
      </c>
      <c r="V30">
        <v>-6.6216460000000005E-2</v>
      </c>
      <c r="W30">
        <v>3.6337790000000002E-2</v>
      </c>
      <c r="X30">
        <v>0.99714340000000001</v>
      </c>
      <c r="Y30">
        <v>3.2335120000000002E-2</v>
      </c>
      <c r="Z30" s="1">
        <v>8.3235379999999998E-5</v>
      </c>
      <c r="AA30">
        <v>0.99947710000000001</v>
      </c>
      <c r="AB30">
        <v>9</v>
      </c>
      <c r="AC30">
        <v>19.253399999999999</v>
      </c>
      <c r="AD30">
        <v>-1.1080183843939999</v>
      </c>
      <c r="AE30">
        <v>-0.93159999999994603</v>
      </c>
      <c r="AF30">
        <v>0.62398896672311199</v>
      </c>
      <c r="AG30">
        <v>-1.1080183843939999</v>
      </c>
      <c r="AH30">
        <v>19.2023080560983</v>
      </c>
      <c r="AI30">
        <v>93.300701010280207</v>
      </c>
      <c r="AJ30">
        <v>88.138798839742094</v>
      </c>
      <c r="AK30">
        <v>19.244368050212699</v>
      </c>
      <c r="AL30">
        <v>87.917539547652197</v>
      </c>
      <c r="AM30">
        <v>93.799214450926797</v>
      </c>
      <c r="AN30">
        <v>1.0000000073602799</v>
      </c>
    </row>
    <row r="31" spans="1:40" x14ac:dyDescent="0.25">
      <c r="A31" t="str">
        <f>"20190305135533226"</f>
        <v>20190305135533226</v>
      </c>
      <c r="B31" t="str">
        <f>"1551765333221583"</f>
        <v>1551765333221583</v>
      </c>
      <c r="C31" t="s">
        <v>40</v>
      </c>
      <c r="D31">
        <v>4.7792849999999998</v>
      </c>
      <c r="E31">
        <v>0.5360007</v>
      </c>
      <c r="F31" t="s">
        <v>42</v>
      </c>
      <c r="G31">
        <v>-455.81049999999999</v>
      </c>
      <c r="H31" s="1">
        <v>-2.3728209999999999E-6</v>
      </c>
      <c r="I31">
        <v>366.27190000000002</v>
      </c>
      <c r="J31">
        <v>-474.95150000000001</v>
      </c>
      <c r="K31">
        <v>1.1080030000000001</v>
      </c>
      <c r="L31">
        <v>367.18799999999999</v>
      </c>
      <c r="M31">
        <v>0.99985990000000002</v>
      </c>
      <c r="N31">
        <v>3.1760579999999998E-3</v>
      </c>
      <c r="O31">
        <v>-1.6440920000000001E-2</v>
      </c>
      <c r="P31">
        <v>0.99806340000000004</v>
      </c>
      <c r="Q31">
        <v>3.6713820000000001E-2</v>
      </c>
      <c r="R31">
        <v>5.0219800000000002E-2</v>
      </c>
      <c r="S31">
        <v>3.0203549999999999</v>
      </c>
      <c r="T31">
        <v>-0.1740119</v>
      </c>
      <c r="U31">
        <v>-0.14419560000000001</v>
      </c>
      <c r="V31">
        <v>-6.6610909999999995E-2</v>
      </c>
      <c r="W31">
        <v>3.3570009999999997E-2</v>
      </c>
      <c r="X31">
        <v>0.99721409999999999</v>
      </c>
      <c r="Y31">
        <v>3.1239659999999999E-2</v>
      </c>
      <c r="Z31">
        <v>1.489405E-4</v>
      </c>
      <c r="AA31">
        <v>0.99951190000000001</v>
      </c>
      <c r="AB31">
        <v>9</v>
      </c>
      <c r="AC31">
        <v>19.140999999999998</v>
      </c>
      <c r="AD31">
        <v>-1.108005372821</v>
      </c>
      <c r="AE31">
        <v>-0.916100000000028</v>
      </c>
      <c r="AF31">
        <v>0.599275483285717</v>
      </c>
      <c r="AG31">
        <v>-1.108005372821</v>
      </c>
      <c r="AH31">
        <v>19.089654153209501</v>
      </c>
      <c r="AI31">
        <v>93.320213695235097</v>
      </c>
      <c r="AJ31">
        <v>88.201922204632297</v>
      </c>
      <c r="AK31">
        <v>19.131170970440198</v>
      </c>
      <c r="AL31">
        <v>88.076218583692693</v>
      </c>
      <c r="AM31">
        <v>93.821509264014296</v>
      </c>
      <c r="AN31">
        <v>0.99999996007061798</v>
      </c>
    </row>
    <row r="32" spans="1:40" x14ac:dyDescent="0.25">
      <c r="A32" t="str">
        <f>"20190305135533249"</f>
        <v>20190305135533249</v>
      </c>
      <c r="B32" t="str">
        <f>"1551765333241103"</f>
        <v>1551765333241103</v>
      </c>
      <c r="C32" t="s">
        <v>40</v>
      </c>
      <c r="D32">
        <v>4.5481559999999996</v>
      </c>
      <c r="E32">
        <v>0.53635319999999997</v>
      </c>
      <c r="F32" t="s">
        <v>41</v>
      </c>
      <c r="G32">
        <v>-474.19170000000003</v>
      </c>
      <c r="H32">
        <v>1.0593220000000001</v>
      </c>
      <c r="I32">
        <v>367.15050000000002</v>
      </c>
      <c r="J32">
        <v>-474.84969999999998</v>
      </c>
      <c r="K32">
        <v>1.107993</v>
      </c>
      <c r="L32">
        <v>367.18560000000002</v>
      </c>
      <c r="M32">
        <v>0.99985009999999996</v>
      </c>
      <c r="N32">
        <v>3.2053369999999999E-3</v>
      </c>
      <c r="O32">
        <v>-1.7014330000000001E-2</v>
      </c>
      <c r="P32">
        <v>0.99823079999999997</v>
      </c>
      <c r="Q32">
        <v>3.3085690000000001E-2</v>
      </c>
      <c r="R32">
        <v>4.9406789999999999E-2</v>
      </c>
      <c r="S32">
        <v>3.0203549999999999</v>
      </c>
      <c r="T32">
        <v>-0.19382769999999999</v>
      </c>
      <c r="U32">
        <v>-0.14746090000000001</v>
      </c>
      <c r="V32">
        <v>-6.637564E-2</v>
      </c>
      <c r="W32">
        <v>2.9907840000000002E-2</v>
      </c>
      <c r="X32">
        <v>0.99734639999999997</v>
      </c>
      <c r="Y32">
        <v>3.1739690000000001E-2</v>
      </c>
      <c r="Z32">
        <v>1.78575999999999E-4</v>
      </c>
      <c r="AA32">
        <v>0.99949619999999995</v>
      </c>
      <c r="AB32">
        <v>9</v>
      </c>
      <c r="AC32">
        <v>0.65799999999995795</v>
      </c>
      <c r="AD32">
        <v>-4.8671000000000103E-2</v>
      </c>
      <c r="AE32">
        <v>-3.5099999999999902E-2</v>
      </c>
      <c r="AF32">
        <v>2.3769750443741501E-2</v>
      </c>
      <c r="AG32">
        <v>-4.8671000000000103E-2</v>
      </c>
      <c r="AH32">
        <v>0.65492882682122</v>
      </c>
      <c r="AI32">
        <v>94.247333963183706</v>
      </c>
      <c r="AJ32">
        <v>87.921439984918706</v>
      </c>
      <c r="AK32">
        <v>0.657164846502442</v>
      </c>
      <c r="AL32">
        <v>88.286151468127699</v>
      </c>
      <c r="AM32">
        <v>93.807547802223695</v>
      </c>
      <c r="AN32">
        <v>1.0000000230359101</v>
      </c>
    </row>
    <row r="33" spans="1:40" x14ac:dyDescent="0.25">
      <c r="A33" t="str">
        <f>"20190305135533273"</f>
        <v>20190305135533273</v>
      </c>
      <c r="B33" t="str">
        <f>"1551765333261599"</f>
        <v>1551765333261599</v>
      </c>
      <c r="C33" t="s">
        <v>40</v>
      </c>
      <c r="D33">
        <v>4.5510140000000003</v>
      </c>
      <c r="E33">
        <v>0.53626209999999996</v>
      </c>
      <c r="F33" t="s">
        <v>41</v>
      </c>
      <c r="G33">
        <v>-474.02769999999998</v>
      </c>
      <c r="H33">
        <v>1.0539510000000001</v>
      </c>
      <c r="I33">
        <v>367.14389999999997</v>
      </c>
      <c r="J33">
        <v>-474.74220000000003</v>
      </c>
      <c r="K33">
        <v>1.107993</v>
      </c>
      <c r="L33">
        <v>367.1832</v>
      </c>
      <c r="M33">
        <v>0.99984130000000004</v>
      </c>
      <c r="N33">
        <v>3.2298549999999998E-3</v>
      </c>
      <c r="O33">
        <v>-1.7520299999999999E-2</v>
      </c>
      <c r="P33">
        <v>0.99836250000000004</v>
      </c>
      <c r="Q33">
        <v>2.981727E-2</v>
      </c>
      <c r="R33">
        <v>4.881978E-2</v>
      </c>
      <c r="S33">
        <v>3.019409</v>
      </c>
      <c r="T33">
        <v>-0.1987071</v>
      </c>
      <c r="U33">
        <v>-0.15200810000000001</v>
      </c>
      <c r="V33">
        <v>-6.6298599999999999E-2</v>
      </c>
      <c r="W33">
        <v>2.6608969999999999E-2</v>
      </c>
      <c r="X33">
        <v>0.99744500000000003</v>
      </c>
      <c r="Y33">
        <v>3.2748449999999998E-2</v>
      </c>
      <c r="Z33">
        <v>1.8459379999999999E-4</v>
      </c>
      <c r="AA33">
        <v>0.99946360000000001</v>
      </c>
      <c r="AB33">
        <v>10</v>
      </c>
      <c r="AC33">
        <v>0.71450000000004299</v>
      </c>
      <c r="AD33">
        <v>-5.4041999999999903E-2</v>
      </c>
      <c r="AE33">
        <v>-3.9300000000025599E-2</v>
      </c>
      <c r="AF33">
        <v>2.6623797585719099E-2</v>
      </c>
      <c r="AG33">
        <v>-5.4041999999999903E-2</v>
      </c>
      <c r="AH33">
        <v>0.71102351084378401</v>
      </c>
      <c r="AI33">
        <v>94.343429725146095</v>
      </c>
      <c r="AJ33">
        <v>87.855599867248003</v>
      </c>
      <c r="AK33">
        <v>0.71357115786339498</v>
      </c>
      <c r="AL33">
        <v>88.475238407480006</v>
      </c>
      <c r="AM33">
        <v>93.802766637699605</v>
      </c>
      <c r="AN33">
        <v>1.0000000348357001</v>
      </c>
    </row>
    <row r="34" spans="1:40" x14ac:dyDescent="0.25">
      <c r="A34" t="str">
        <f>"20190305135533291"</f>
        <v>20190305135533291</v>
      </c>
      <c r="B34" t="str">
        <f>"1551765333281123"</f>
        <v>1551765333281123</v>
      </c>
      <c r="C34" t="s">
        <v>40</v>
      </c>
      <c r="D34">
        <v>4.5113059999999896</v>
      </c>
      <c r="E34">
        <v>0.53648909999999905</v>
      </c>
      <c r="F34" t="s">
        <v>41</v>
      </c>
      <c r="G34">
        <v>-473.93680000000001</v>
      </c>
      <c r="H34">
        <v>1.051604</v>
      </c>
      <c r="I34">
        <v>367.14210000000003</v>
      </c>
      <c r="J34">
        <v>-474.65010000000001</v>
      </c>
      <c r="K34">
        <v>1.107999</v>
      </c>
      <c r="L34">
        <v>367.18119999999999</v>
      </c>
      <c r="M34">
        <v>0.99983500000000003</v>
      </c>
      <c r="N34">
        <v>3.2472690000000001E-3</v>
      </c>
      <c r="O34">
        <v>-1.788497E-2</v>
      </c>
      <c r="P34">
        <v>0.99855229999999995</v>
      </c>
      <c r="Q34">
        <v>2.420897E-2</v>
      </c>
      <c r="R34">
        <v>4.8038749999999998E-2</v>
      </c>
      <c r="S34">
        <v>3.018707</v>
      </c>
      <c r="T34">
        <v>-0.2115794</v>
      </c>
      <c r="U34">
        <v>-0.15341189999999999</v>
      </c>
      <c r="V34">
        <v>-6.5887920000000003E-2</v>
      </c>
      <c r="W34">
        <v>2.097769E-2</v>
      </c>
      <c r="X34">
        <v>0.99760649999999995</v>
      </c>
      <c r="Y34">
        <v>3.2856009999999998E-2</v>
      </c>
      <c r="Z34">
        <v>2.1315280000000001E-4</v>
      </c>
      <c r="AA34">
        <v>0.99946009999999996</v>
      </c>
      <c r="AB34">
        <v>10</v>
      </c>
      <c r="AC34">
        <v>0.71330000000000304</v>
      </c>
      <c r="AD34">
        <v>-5.6394999999999897E-2</v>
      </c>
      <c r="AE34">
        <v>-3.9099999999962103E-2</v>
      </c>
      <c r="AF34">
        <v>2.6173218535386102E-2</v>
      </c>
      <c r="AG34">
        <v>-5.6394999999999897E-2</v>
      </c>
      <c r="AH34">
        <v>0.70946377064510302</v>
      </c>
      <c r="AI34">
        <v>94.541786317525506</v>
      </c>
      <c r="AJ34">
        <v>87.887227992741003</v>
      </c>
      <c r="AK34">
        <v>0.712182754109834</v>
      </c>
      <c r="AL34">
        <v>88.7979787333323</v>
      </c>
      <c r="AM34">
        <v>93.778669214871599</v>
      </c>
      <c r="AN34">
        <v>1.0000000051609499</v>
      </c>
    </row>
    <row r="35" spans="1:40" x14ac:dyDescent="0.25">
      <c r="A35" t="str">
        <f>"20190305135533315"</f>
        <v>20190305135533315</v>
      </c>
      <c r="B35" t="str">
        <f>"1551765333311375"</f>
        <v>1551765333311375</v>
      </c>
      <c r="C35" t="s">
        <v>40</v>
      </c>
      <c r="D35">
        <v>4.4627650000000001</v>
      </c>
      <c r="E35">
        <v>0.53695509999999902</v>
      </c>
      <c r="F35" t="s">
        <v>41</v>
      </c>
      <c r="G35">
        <v>-473.84390000000002</v>
      </c>
      <c r="H35">
        <v>1.0486979999999999</v>
      </c>
      <c r="I35">
        <v>367.13850000000002</v>
      </c>
      <c r="J35">
        <v>-474.54289999999997</v>
      </c>
      <c r="K35">
        <v>1.108007</v>
      </c>
      <c r="L35">
        <v>367.17880000000002</v>
      </c>
      <c r="M35">
        <v>0.99982890000000002</v>
      </c>
      <c r="N35">
        <v>3.263349E-3</v>
      </c>
      <c r="O35">
        <v>-1.821511E-2</v>
      </c>
      <c r="P35">
        <v>0.99869039999999998</v>
      </c>
      <c r="Q35">
        <v>1.9316380000000001E-2</v>
      </c>
      <c r="R35">
        <v>4.7378480000000001E-2</v>
      </c>
      <c r="S35">
        <v>3.017334</v>
      </c>
      <c r="T35">
        <v>-0.22231229999999999</v>
      </c>
      <c r="U35">
        <v>-0.1581726</v>
      </c>
      <c r="V35">
        <v>-6.5561389999999997E-2</v>
      </c>
      <c r="W35">
        <v>1.606283E-2</v>
      </c>
      <c r="X35">
        <v>0.99771920000000003</v>
      </c>
      <c r="Y35">
        <v>3.4116109999999998E-2</v>
      </c>
      <c r="Z35">
        <v>1.9996559999999999E-4</v>
      </c>
      <c r="AA35">
        <v>0.99941780000000002</v>
      </c>
      <c r="AB35">
        <v>10</v>
      </c>
      <c r="AC35">
        <v>0.69899999999995499</v>
      </c>
      <c r="AD35">
        <v>-5.9309000000000001E-2</v>
      </c>
      <c r="AE35">
        <v>-4.0300000000002001E-2</v>
      </c>
      <c r="AF35">
        <v>2.7364534549566898E-2</v>
      </c>
      <c r="AG35">
        <v>-5.9309000000000001E-2</v>
      </c>
      <c r="AH35">
        <v>0.69463383078646601</v>
      </c>
      <c r="AI35">
        <v>94.876409593340895</v>
      </c>
      <c r="AJ35">
        <v>87.744045910820503</v>
      </c>
      <c r="AK35">
        <v>0.69769802501167699</v>
      </c>
      <c r="AL35">
        <v>89.079628012542102</v>
      </c>
      <c r="AM35">
        <v>93.759573083273096</v>
      </c>
      <c r="AN35">
        <v>0.99999995620748905</v>
      </c>
    </row>
    <row r="36" spans="1:40" x14ac:dyDescent="0.25">
      <c r="A36" t="str">
        <f>"20190305135533336"</f>
        <v>20190305135533336</v>
      </c>
      <c r="B36" t="str">
        <f>"1551765333330896"</f>
        <v>1551765333330896</v>
      </c>
      <c r="C36" t="s">
        <v>40</v>
      </c>
      <c r="D36">
        <v>4.5074319999999997</v>
      </c>
      <c r="E36">
        <v>0.53719759999999905</v>
      </c>
      <c r="F36" t="s">
        <v>41</v>
      </c>
      <c r="G36">
        <v>-473.74759999999998</v>
      </c>
      <c r="H36">
        <v>1.0468109999999999</v>
      </c>
      <c r="I36">
        <v>367.13560000000001</v>
      </c>
      <c r="J36">
        <v>-474.43869999999998</v>
      </c>
      <c r="K36">
        <v>1.1080270000000001</v>
      </c>
      <c r="L36">
        <v>367.17649999999998</v>
      </c>
      <c r="M36">
        <v>0.99982470000000001</v>
      </c>
      <c r="N36">
        <v>3.2759159999999998E-3</v>
      </c>
      <c r="O36">
        <v>-1.8439170000000001E-2</v>
      </c>
      <c r="P36">
        <v>0.99872930000000004</v>
      </c>
      <c r="Q36">
        <v>1.695876E-2</v>
      </c>
      <c r="R36">
        <v>4.7457180000000002E-2</v>
      </c>
      <c r="S36">
        <v>3.0162659999999999</v>
      </c>
      <c r="T36">
        <v>-0.2319514</v>
      </c>
      <c r="U36">
        <v>-0.16473389999999999</v>
      </c>
      <c r="V36">
        <v>-6.5865809999999997E-2</v>
      </c>
      <c r="W36">
        <v>1.368606E-2</v>
      </c>
      <c r="X36">
        <v>0.99773460000000003</v>
      </c>
      <c r="Y36">
        <v>3.607018E-2</v>
      </c>
      <c r="Z36">
        <v>1.5025410000000001E-4</v>
      </c>
      <c r="AA36">
        <v>0.99934920000000005</v>
      </c>
      <c r="AB36">
        <v>11</v>
      </c>
      <c r="AC36">
        <v>0.69110000000000504</v>
      </c>
      <c r="AD36">
        <v>-6.1215999999999902E-2</v>
      </c>
      <c r="AE36">
        <v>-4.0899999999964999E-2</v>
      </c>
      <c r="AF36">
        <v>2.79312846660579E-2</v>
      </c>
      <c r="AG36">
        <v>-6.1215999999999902E-2</v>
      </c>
      <c r="AH36">
        <v>0.68637020400684001</v>
      </c>
      <c r="AI36">
        <v>95.092419411719007</v>
      </c>
      <c r="AJ36">
        <v>87.669680013226099</v>
      </c>
      <c r="AK36">
        <v>0.68966050508020804</v>
      </c>
      <c r="AL36">
        <v>89.215822020552295</v>
      </c>
      <c r="AM36">
        <v>93.776921298669606</v>
      </c>
      <c r="AN36">
        <v>0.99999997260121898</v>
      </c>
    </row>
    <row r="37" spans="1:40" x14ac:dyDescent="0.25">
      <c r="A37" t="str">
        <f>"20190305135533362"</f>
        <v>20190305135533362</v>
      </c>
      <c r="B37" t="str">
        <f>"1551765333351393"</f>
        <v>1551765333351393</v>
      </c>
      <c r="C37" t="s">
        <v>40</v>
      </c>
      <c r="D37">
        <v>4.489776</v>
      </c>
      <c r="E37">
        <v>0.53716739999999996</v>
      </c>
      <c r="F37" t="s">
        <v>41</v>
      </c>
      <c r="G37">
        <v>-473.64890000000003</v>
      </c>
      <c r="H37">
        <v>1.0451699999999999</v>
      </c>
      <c r="I37">
        <v>367.13220000000001</v>
      </c>
      <c r="J37">
        <v>-474.30990000000003</v>
      </c>
      <c r="K37">
        <v>1.1080639999999999</v>
      </c>
      <c r="L37">
        <v>367.1739</v>
      </c>
      <c r="M37">
        <v>0.99982199999999999</v>
      </c>
      <c r="N37">
        <v>3.2878109999999999E-3</v>
      </c>
      <c r="O37">
        <v>-1.8583539999999999E-2</v>
      </c>
      <c r="P37">
        <v>0.99874989999999997</v>
      </c>
      <c r="Q37">
        <v>1.543364E-2</v>
      </c>
      <c r="R37">
        <v>4.7544839999999998E-2</v>
      </c>
      <c r="S37">
        <v>3.0158390000000002</v>
      </c>
      <c r="T37">
        <v>-0.24059340000000001</v>
      </c>
      <c r="U37">
        <v>-0.1674805</v>
      </c>
      <c r="V37">
        <v>-6.6099309999999994E-2</v>
      </c>
      <c r="W37">
        <v>1.2139799999999999E-2</v>
      </c>
      <c r="X37">
        <v>0.99773920000000005</v>
      </c>
      <c r="Y37">
        <v>3.6835550000000002E-2</v>
      </c>
      <c r="Z37">
        <v>1.3459379999999999E-4</v>
      </c>
      <c r="AA37">
        <v>0.99932129999999997</v>
      </c>
      <c r="AB37">
        <v>11</v>
      </c>
      <c r="AC37">
        <v>0.66100000000000103</v>
      </c>
      <c r="AD37">
        <v>-6.28939999999997E-2</v>
      </c>
      <c r="AE37">
        <v>-4.1699999999991598E-2</v>
      </c>
      <c r="AF37">
        <v>2.9146185265538999E-2</v>
      </c>
      <c r="AG37">
        <v>-6.28939999999997E-2</v>
      </c>
      <c r="AH37">
        <v>0.65574752652970303</v>
      </c>
      <c r="AI37">
        <v>95.473218696505896</v>
      </c>
      <c r="AJ37">
        <v>87.455034229903205</v>
      </c>
      <c r="AK37">
        <v>0.65940122376392096</v>
      </c>
      <c r="AL37">
        <v>89.304423611737903</v>
      </c>
      <c r="AM37">
        <v>93.790254427396704</v>
      </c>
      <c r="AN37">
        <v>1.0000000023715701</v>
      </c>
    </row>
    <row r="38" spans="1:40" x14ac:dyDescent="0.25">
      <c r="A38" t="str">
        <f>"20190305135533384"</f>
        <v>20190305135533384</v>
      </c>
      <c r="B38" t="str">
        <f>"1551765333381647"</f>
        <v>1551765333381647</v>
      </c>
      <c r="C38" t="s">
        <v>40</v>
      </c>
      <c r="D38">
        <v>4.4234200000000001</v>
      </c>
      <c r="E38">
        <v>0.53706949999999998</v>
      </c>
      <c r="F38" t="s">
        <v>41</v>
      </c>
      <c r="G38">
        <v>-473.54700000000003</v>
      </c>
      <c r="H38">
        <v>1.045202</v>
      </c>
      <c r="I38">
        <v>367.13130000000001</v>
      </c>
      <c r="J38">
        <v>-474.19439999999997</v>
      </c>
      <c r="K38">
        <v>1.1080989999999999</v>
      </c>
      <c r="L38">
        <v>367.17160000000001</v>
      </c>
      <c r="M38">
        <v>0.99982179999999998</v>
      </c>
      <c r="N38">
        <v>3.2956639999999998E-3</v>
      </c>
      <c r="O38">
        <v>-1.859129E-2</v>
      </c>
      <c r="P38">
        <v>0.99878540000000005</v>
      </c>
      <c r="Q38">
        <v>1.4522210000000001E-2</v>
      </c>
      <c r="R38">
        <v>4.7081739999999997E-2</v>
      </c>
      <c r="S38">
        <v>3.0155940000000001</v>
      </c>
      <c r="T38">
        <v>-0.24854619999999999</v>
      </c>
      <c r="U38">
        <v>-0.16802979999999901</v>
      </c>
      <c r="V38">
        <v>-6.5646129999999997E-2</v>
      </c>
      <c r="W38">
        <v>1.121289E-2</v>
      </c>
      <c r="X38">
        <v>0.99778</v>
      </c>
      <c r="Y38">
        <v>3.7009689999999998E-2</v>
      </c>
      <c r="Z38">
        <v>1.29102E-4</v>
      </c>
      <c r="AA38">
        <v>0.99931490000000001</v>
      </c>
      <c r="AB38">
        <v>11</v>
      </c>
      <c r="AC38">
        <v>0.64740000000000397</v>
      </c>
      <c r="AD38">
        <v>-6.2896999999999897E-2</v>
      </c>
      <c r="AE38">
        <v>-4.0300000000002001E-2</v>
      </c>
      <c r="AF38">
        <v>2.79937628092513E-2</v>
      </c>
      <c r="AG38">
        <v>-6.2896999999999897E-2</v>
      </c>
      <c r="AH38">
        <v>0.64200104282218595</v>
      </c>
      <c r="AI38">
        <v>95.590147187826702</v>
      </c>
      <c r="AJ38">
        <v>87.503260901619498</v>
      </c>
      <c r="AK38">
        <v>0.64568182748935699</v>
      </c>
      <c r="AL38">
        <v>89.357535286673794</v>
      </c>
      <c r="AM38">
        <v>93.764189751077893</v>
      </c>
      <c r="AN38">
        <v>1.0000000358430601</v>
      </c>
    </row>
    <row r="39" spans="1:40" x14ac:dyDescent="0.25">
      <c r="A39" t="str">
        <f>"20190305135533405"</f>
        <v>20190305135533405</v>
      </c>
      <c r="B39" t="str">
        <f>"1551765333401168"</f>
        <v>1551765333401168</v>
      </c>
      <c r="C39" t="s">
        <v>40</v>
      </c>
      <c r="D39">
        <v>4.4240550000000001</v>
      </c>
      <c r="E39">
        <v>0.53713330000000004</v>
      </c>
      <c r="F39" t="s">
        <v>41</v>
      </c>
      <c r="G39">
        <v>-473.44319999999999</v>
      </c>
      <c r="H39">
        <v>1.045024</v>
      </c>
      <c r="I39">
        <v>367.12900000000002</v>
      </c>
      <c r="J39">
        <v>-474.0874</v>
      </c>
      <c r="K39">
        <v>1.1081209999999999</v>
      </c>
      <c r="L39">
        <v>367.1696</v>
      </c>
      <c r="M39">
        <v>0.99982360000000003</v>
      </c>
      <c r="N39">
        <v>3.3010359999999998E-3</v>
      </c>
      <c r="O39">
        <v>-1.849698E-2</v>
      </c>
      <c r="P39">
        <v>0.99883449999999996</v>
      </c>
      <c r="Q39">
        <v>1.2925570000000001E-2</v>
      </c>
      <c r="R39">
        <v>4.6508229999999998E-2</v>
      </c>
      <c r="S39">
        <v>3.0152890000000001</v>
      </c>
      <c r="T39">
        <v>-0.2537181</v>
      </c>
      <c r="U39">
        <v>-0.16897579999999901</v>
      </c>
      <c r="V39">
        <v>-6.4980159999999995E-2</v>
      </c>
      <c r="W39">
        <v>9.6031789999999999E-3</v>
      </c>
      <c r="X39">
        <v>0.99784030000000001</v>
      </c>
      <c r="Y39">
        <v>3.7417989999999998E-2</v>
      </c>
      <c r="Z39">
        <v>1.0476039999999999E-4</v>
      </c>
      <c r="AA39">
        <v>0.99929970000000001</v>
      </c>
      <c r="AB39">
        <v>11</v>
      </c>
      <c r="AC39">
        <v>0.64420000000001199</v>
      </c>
      <c r="AD39">
        <v>-6.3096999999999903E-2</v>
      </c>
      <c r="AE39">
        <v>-4.0599999999983503E-2</v>
      </c>
      <c r="AF39">
        <v>2.8405803815872099E-2</v>
      </c>
      <c r="AG39">
        <v>-6.3096999999999903E-2</v>
      </c>
      <c r="AH39">
        <v>0.63873730031339504</v>
      </c>
      <c r="AI39">
        <v>95.636066081517697</v>
      </c>
      <c r="AJ39">
        <v>87.453630786192306</v>
      </c>
      <c r="AK39">
        <v>0.642474481914317</v>
      </c>
      <c r="AL39">
        <v>89.449769890326095</v>
      </c>
      <c r="AM39">
        <v>93.725886209387795</v>
      </c>
      <c r="AN39">
        <v>0.99999995327230895</v>
      </c>
    </row>
    <row r="40" spans="1:40" x14ac:dyDescent="0.25">
      <c r="A40" t="str">
        <f>"20190305135533425"</f>
        <v>20190305135533425</v>
      </c>
      <c r="B40" t="str">
        <f>"1551765333421664"</f>
        <v>1551765333421664</v>
      </c>
      <c r="C40" t="s">
        <v>40</v>
      </c>
      <c r="D40">
        <v>4.3738599999999996</v>
      </c>
      <c r="E40">
        <v>0.53720069999999998</v>
      </c>
      <c r="F40" t="s">
        <v>41</v>
      </c>
      <c r="G40">
        <v>-473.33769999999998</v>
      </c>
      <c r="H40">
        <v>1.0437620000000001</v>
      </c>
      <c r="I40">
        <v>367.1268</v>
      </c>
      <c r="J40">
        <v>-473.9742</v>
      </c>
      <c r="K40">
        <v>1.108144</v>
      </c>
      <c r="L40">
        <v>367.16759999999999</v>
      </c>
      <c r="M40">
        <v>0.99982709999999997</v>
      </c>
      <c r="N40">
        <v>3.3051840000000001E-3</v>
      </c>
      <c r="O40">
        <v>-1.8301930000000001E-2</v>
      </c>
      <c r="P40">
        <v>0.99886889999999995</v>
      </c>
      <c r="Q40">
        <v>9.7928140000000004E-3</v>
      </c>
      <c r="R40">
        <v>4.6529939999999999E-2</v>
      </c>
      <c r="S40">
        <v>3.0148619999999999</v>
      </c>
      <c r="T40">
        <v>-0.25903019999999999</v>
      </c>
      <c r="U40">
        <v>-0.17117309999999999</v>
      </c>
      <c r="V40">
        <v>-6.4807160000000003E-2</v>
      </c>
      <c r="W40">
        <v>6.4590169999999896E-3</v>
      </c>
      <c r="X40">
        <v>0.99787689999999996</v>
      </c>
      <c r="Y40">
        <v>3.8340180000000001E-2</v>
      </c>
      <c r="Z40" s="1">
        <v>4.9198859999999998E-5</v>
      </c>
      <c r="AA40">
        <v>0.99926470000000001</v>
      </c>
      <c r="AB40">
        <v>12</v>
      </c>
      <c r="AC40">
        <v>0.63650000000001195</v>
      </c>
      <c r="AD40">
        <v>-6.4381999999999898E-2</v>
      </c>
      <c r="AE40">
        <v>-4.0799999999990101E-2</v>
      </c>
      <c r="AF40">
        <v>2.8849959154561702E-2</v>
      </c>
      <c r="AG40">
        <v>-6.4381999999999898E-2</v>
      </c>
      <c r="AH40">
        <v>0.63071347970921099</v>
      </c>
      <c r="AI40">
        <v>95.822407110751101</v>
      </c>
      <c r="AJ40">
        <v>87.381014443083302</v>
      </c>
      <c r="AK40">
        <v>0.63464703225818397</v>
      </c>
      <c r="AL40">
        <v>89.629923011836894</v>
      </c>
      <c r="AM40">
        <v>93.715858509685205</v>
      </c>
      <c r="AN40">
        <v>0.99999999722074095</v>
      </c>
    </row>
    <row r="41" spans="1:40" x14ac:dyDescent="0.25">
      <c r="A41" t="str">
        <f>"20190305135533449"</f>
        <v>20190305135533449</v>
      </c>
      <c r="B41" t="str">
        <f>"1551765333441184"</f>
        <v>1551765333441184</v>
      </c>
      <c r="C41" t="s">
        <v>40</v>
      </c>
      <c r="D41">
        <v>4.3790190000000004</v>
      </c>
      <c r="E41">
        <v>0.53726269999999998</v>
      </c>
      <c r="F41" t="s">
        <v>41</v>
      </c>
      <c r="G41">
        <v>-473.23009999999999</v>
      </c>
      <c r="H41">
        <v>1.042049</v>
      </c>
      <c r="I41">
        <v>367.12470000000002</v>
      </c>
      <c r="J41">
        <v>-473.8433</v>
      </c>
      <c r="K41">
        <v>1.108163</v>
      </c>
      <c r="L41">
        <v>367.16539999999998</v>
      </c>
      <c r="M41">
        <v>0.99983319999999998</v>
      </c>
      <c r="N41">
        <v>3.3083169999999999E-3</v>
      </c>
      <c r="O41">
        <v>-1.7970409999999999E-2</v>
      </c>
      <c r="P41">
        <v>0.99887879999999996</v>
      </c>
      <c r="Q41">
        <v>5.5408369999999998E-3</v>
      </c>
      <c r="R41">
        <v>4.7017339999999998E-2</v>
      </c>
      <c r="S41">
        <v>3.014008</v>
      </c>
      <c r="T41">
        <v>-0.26834390000000002</v>
      </c>
      <c r="U41">
        <v>-0.17193599999999901</v>
      </c>
      <c r="V41">
        <v>-6.4962069999999997E-2</v>
      </c>
      <c r="W41">
        <v>2.1961350000000001E-3</v>
      </c>
      <c r="X41">
        <v>0.99788529999999998</v>
      </c>
      <c r="Y41">
        <v>3.8931E-2</v>
      </c>
      <c r="Z41" s="1">
        <v>-9.1444240000000007E-6</v>
      </c>
      <c r="AA41">
        <v>0.99924190000000002</v>
      </c>
      <c r="AB41">
        <v>12</v>
      </c>
      <c r="AC41">
        <v>0.61320000000000596</v>
      </c>
      <c r="AD41">
        <v>-6.6113999999999895E-2</v>
      </c>
      <c r="AE41">
        <v>-4.0699999999958401E-2</v>
      </c>
      <c r="AF41">
        <v>2.9334405008482198E-2</v>
      </c>
      <c r="AG41">
        <v>-6.6113999999999895E-2</v>
      </c>
      <c r="AH41">
        <v>0.606809328024705</v>
      </c>
      <c r="AI41">
        <v>96.210852350924895</v>
      </c>
      <c r="AJ41">
        <v>87.232359345561093</v>
      </c>
      <c r="AK41">
        <v>0.61110484279785804</v>
      </c>
      <c r="AL41">
        <v>89.874170629942498</v>
      </c>
      <c r="AM41">
        <v>93.724684369828495</v>
      </c>
      <c r="AN41">
        <v>0.99999998275185598</v>
      </c>
    </row>
    <row r="42" spans="1:40" x14ac:dyDescent="0.25">
      <c r="A42" t="str">
        <f>"20190305135533471"</f>
        <v>20190305135533471</v>
      </c>
      <c r="B42" t="str">
        <f>"1551765333461680"</f>
        <v>1551765333461680</v>
      </c>
      <c r="C42" t="s">
        <v>40</v>
      </c>
      <c r="D42">
        <v>4.3937010000000001</v>
      </c>
      <c r="E42">
        <v>0.53717320000000002</v>
      </c>
      <c r="F42" t="s">
        <v>41</v>
      </c>
      <c r="G42">
        <v>-473.012</v>
      </c>
      <c r="H42">
        <v>1.0312330000000001</v>
      </c>
      <c r="I42">
        <v>367.11799999999999</v>
      </c>
      <c r="J42">
        <v>-473.71460000000002</v>
      </c>
      <c r="K42">
        <v>1.1081829999999999</v>
      </c>
      <c r="L42">
        <v>367.1635</v>
      </c>
      <c r="M42">
        <v>0.99984079999999997</v>
      </c>
      <c r="N42">
        <v>3.310323E-3</v>
      </c>
      <c r="O42">
        <v>-1.7535499999999999E-2</v>
      </c>
      <c r="P42">
        <v>0.99885420000000003</v>
      </c>
      <c r="Q42">
        <v>2.3315570000000002E-3</v>
      </c>
      <c r="R42">
        <v>4.7802850000000001E-2</v>
      </c>
      <c r="S42">
        <v>3.0129389999999998</v>
      </c>
      <c r="T42">
        <v>-0.27913490000000002</v>
      </c>
      <c r="U42">
        <v>-0.17105100000000001</v>
      </c>
      <c r="V42">
        <v>-6.5310010000000002E-2</v>
      </c>
      <c r="W42">
        <v>-1.0216260000000001E-3</v>
      </c>
      <c r="X42">
        <v>0.99786450000000004</v>
      </c>
      <c r="Y42">
        <v>3.9084229999999998E-2</v>
      </c>
      <c r="Z42" s="1">
        <v>-6.2862530000000005E-5</v>
      </c>
      <c r="AA42">
        <v>0.99923589999999995</v>
      </c>
      <c r="AB42">
        <v>12</v>
      </c>
      <c r="AC42">
        <v>0.70260000000007405</v>
      </c>
      <c r="AD42">
        <v>-7.6949999999999796E-2</v>
      </c>
      <c r="AE42">
        <v>-4.5499999999947201E-2</v>
      </c>
      <c r="AF42">
        <v>3.2780928837633297E-2</v>
      </c>
      <c r="AG42">
        <v>-7.6949999999999796E-2</v>
      </c>
      <c r="AH42">
        <v>0.69498825497831895</v>
      </c>
      <c r="AI42">
        <v>96.311168516485395</v>
      </c>
      <c r="AJ42">
        <v>87.299497013059096</v>
      </c>
      <c r="AK42">
        <v>0.70000326167330595</v>
      </c>
      <c r="AL42">
        <v>90.058534868179606</v>
      </c>
      <c r="AM42">
        <v>93.744655183770604</v>
      </c>
      <c r="AN42">
        <v>1.0000000007430601</v>
      </c>
    </row>
    <row r="43" spans="1:40" x14ac:dyDescent="0.25">
      <c r="A43" t="str">
        <f>"20190305135533493"</f>
        <v>20190305135533493</v>
      </c>
      <c r="B43" t="str">
        <f>"1551765333490959"</f>
        <v>1551765333490959</v>
      </c>
      <c r="C43" t="s">
        <v>40</v>
      </c>
      <c r="D43">
        <v>4.3660920000000001</v>
      </c>
      <c r="E43">
        <v>0.5370374</v>
      </c>
      <c r="F43" t="s">
        <v>41</v>
      </c>
      <c r="G43">
        <v>-472.89760000000001</v>
      </c>
      <c r="H43">
        <v>1.030052</v>
      </c>
      <c r="I43">
        <v>367.11779999999999</v>
      </c>
      <c r="J43">
        <v>-473.5856</v>
      </c>
      <c r="K43">
        <v>1.1081970000000001</v>
      </c>
      <c r="L43">
        <v>367.16160000000002</v>
      </c>
      <c r="M43">
        <v>0.99984960000000001</v>
      </c>
      <c r="N43">
        <v>3.3115229999999998E-3</v>
      </c>
      <c r="O43">
        <v>-1.7019260000000001E-2</v>
      </c>
      <c r="P43">
        <v>0.99879609999999996</v>
      </c>
      <c r="Q43">
        <v>8.3620660000000002E-4</v>
      </c>
      <c r="R43">
        <v>4.9047449999999999E-2</v>
      </c>
      <c r="S43">
        <v>3.0121769999999999</v>
      </c>
      <c r="T43">
        <v>-0.28801870000000002</v>
      </c>
      <c r="U43">
        <v>-0.16830439999999999</v>
      </c>
      <c r="V43">
        <v>-6.6036869999999998E-2</v>
      </c>
      <c r="W43">
        <v>-2.5239569999999998E-3</v>
      </c>
      <c r="X43">
        <v>0.99781399999999998</v>
      </c>
      <c r="Y43">
        <v>3.8699780000000003E-2</v>
      </c>
      <c r="Z43">
        <v>-1.019619E-4</v>
      </c>
      <c r="AA43">
        <v>0.99925090000000005</v>
      </c>
      <c r="AB43">
        <v>13</v>
      </c>
      <c r="AC43">
        <v>0.68799999999998795</v>
      </c>
      <c r="AD43">
        <v>-7.8144999999999895E-2</v>
      </c>
      <c r="AE43">
        <v>-4.3800000000032903E-2</v>
      </c>
      <c r="AF43">
        <v>3.1677318562395203E-2</v>
      </c>
      <c r="AG43">
        <v>-7.8144999999999895E-2</v>
      </c>
      <c r="AH43">
        <v>0.67990964763245398</v>
      </c>
      <c r="AI43">
        <v>96.549443541410497</v>
      </c>
      <c r="AJ43">
        <v>87.3324909660587</v>
      </c>
      <c r="AK43">
        <v>0.68511840033675298</v>
      </c>
      <c r="AL43">
        <v>90.144612236070998</v>
      </c>
      <c r="AM43">
        <v>93.786401387462604</v>
      </c>
      <c r="AN43">
        <v>1.0000000085771601</v>
      </c>
    </row>
    <row r="44" spans="1:40" x14ac:dyDescent="0.25">
      <c r="A44" t="str">
        <f>"20190305135533515"</f>
        <v>20190305135533515</v>
      </c>
      <c r="B44" t="str">
        <f>"1551765333511456"</f>
        <v>1551765333511456</v>
      </c>
      <c r="C44" t="s">
        <v>40</v>
      </c>
      <c r="D44">
        <v>4.3229639999999998</v>
      </c>
      <c r="E44">
        <v>0.53695740000000003</v>
      </c>
      <c r="F44" t="s">
        <v>41</v>
      </c>
      <c r="G44">
        <v>-472.78</v>
      </c>
      <c r="H44">
        <v>1.0306959999999901</v>
      </c>
      <c r="I44">
        <v>367.1173</v>
      </c>
      <c r="J44">
        <v>-473.46379999999999</v>
      </c>
      <c r="K44">
        <v>1.108215</v>
      </c>
      <c r="L44">
        <v>367.1601</v>
      </c>
      <c r="M44">
        <v>0.99985900000000005</v>
      </c>
      <c r="N44">
        <v>3.3143280000000001E-3</v>
      </c>
      <c r="O44">
        <v>-1.6470080000000002E-2</v>
      </c>
      <c r="P44">
        <v>0.99873719999999999</v>
      </c>
      <c r="Q44">
        <v>-2.5870089999999998E-4</v>
      </c>
      <c r="R44">
        <v>5.0240489999999999E-2</v>
      </c>
      <c r="S44">
        <v>3.0119630000000002</v>
      </c>
      <c r="T44">
        <v>-0.29011479999999901</v>
      </c>
      <c r="U44">
        <v>-0.16424559999999999</v>
      </c>
      <c r="V44">
        <v>-6.6679890000000006E-2</v>
      </c>
      <c r="W44">
        <v>-3.6263020000000001E-3</v>
      </c>
      <c r="X44">
        <v>0.99776779999999998</v>
      </c>
      <c r="Y44">
        <v>3.7909529999999997E-2</v>
      </c>
      <c r="Z44">
        <v>-1.2139569999999999E-4</v>
      </c>
      <c r="AA44">
        <v>0.99928119999999998</v>
      </c>
      <c r="AB44">
        <v>13</v>
      </c>
      <c r="AC44">
        <v>0.68380000000001895</v>
      </c>
      <c r="AD44">
        <v>-7.7519000000000102E-2</v>
      </c>
      <c r="AE44">
        <v>-4.2799999999999699E-2</v>
      </c>
      <c r="AF44">
        <v>3.1133340757503899E-2</v>
      </c>
      <c r="AG44">
        <v>-7.7519000000000102E-2</v>
      </c>
      <c r="AH44">
        <v>0.67576142761755398</v>
      </c>
      <c r="AI44">
        <v>96.5371243603133</v>
      </c>
      <c r="AJ44">
        <v>87.362162938799997</v>
      </c>
      <c r="AK44">
        <v>0.68090527044768601</v>
      </c>
      <c r="AL44">
        <v>90.207772261391199</v>
      </c>
      <c r="AM44">
        <v>93.823338350008299</v>
      </c>
      <c r="AN44">
        <v>0.99999997025672305</v>
      </c>
    </row>
    <row r="45" spans="1:40" x14ac:dyDescent="0.25">
      <c r="A45" t="str">
        <f>"20190305135533537"</f>
        <v>20190305135533537</v>
      </c>
      <c r="B45" t="str">
        <f>"1551765333530976"</f>
        <v>1551765333530976</v>
      </c>
      <c r="C45" t="s">
        <v>40</v>
      </c>
      <c r="D45">
        <v>4.3097839999999996</v>
      </c>
      <c r="E45">
        <v>0.53690499999999997</v>
      </c>
      <c r="F45" t="s">
        <v>41</v>
      </c>
      <c r="G45">
        <v>-472.66059999999999</v>
      </c>
      <c r="H45">
        <v>1.0303979999999999</v>
      </c>
      <c r="I45">
        <v>367.11700000000002</v>
      </c>
      <c r="J45">
        <v>-473.32429999999999</v>
      </c>
      <c r="K45">
        <v>1.1082350000000001</v>
      </c>
      <c r="L45">
        <v>367.15839999999997</v>
      </c>
      <c r="M45">
        <v>0.99987009999999998</v>
      </c>
      <c r="N45">
        <v>3.329949E-3</v>
      </c>
      <c r="O45">
        <v>-1.5776930000000002E-2</v>
      </c>
      <c r="P45">
        <v>0.99864580000000003</v>
      </c>
      <c r="Q45">
        <v>-1.047676E-3</v>
      </c>
      <c r="R45">
        <v>5.2017590000000002E-2</v>
      </c>
      <c r="S45">
        <v>3.011749</v>
      </c>
      <c r="T45">
        <v>-0.29217169999999998</v>
      </c>
      <c r="U45">
        <v>-0.16018679999999999</v>
      </c>
      <c r="V45">
        <v>-6.7762500000000003E-2</v>
      </c>
      <c r="W45">
        <v>-4.4357829999999996E-3</v>
      </c>
      <c r="X45">
        <v>0.99769160000000001</v>
      </c>
      <c r="Y45">
        <v>3.726148E-2</v>
      </c>
      <c r="Z45">
        <v>-1.6161260000000001E-4</v>
      </c>
      <c r="AA45">
        <v>0.99930549999999996</v>
      </c>
      <c r="AB45">
        <v>13</v>
      </c>
      <c r="AC45">
        <v>0.66370000000000495</v>
      </c>
      <c r="AD45">
        <v>-7.7837000000000101E-2</v>
      </c>
      <c r="AE45">
        <v>-4.1400000000009998E-2</v>
      </c>
      <c r="AF45">
        <v>3.0505693173960801E-2</v>
      </c>
      <c r="AG45">
        <v>-7.7837000000000101E-2</v>
      </c>
      <c r="AH45">
        <v>0.65529260935679601</v>
      </c>
      <c r="AI45">
        <v>96.766710551913107</v>
      </c>
      <c r="AJ45">
        <v>87.334646443778396</v>
      </c>
      <c r="AK45">
        <v>0.66060396589989001</v>
      </c>
      <c r="AL45">
        <v>90.254152483117906</v>
      </c>
      <c r="AM45">
        <v>93.885521028933397</v>
      </c>
      <c r="AN45">
        <v>0.99999998064381601</v>
      </c>
    </row>
    <row r="46" spans="1:40" x14ac:dyDescent="0.25">
      <c r="A46" t="str">
        <f>"20190305135533562"</f>
        <v>20190305135533562</v>
      </c>
      <c r="B46" t="str">
        <f>"1551765333551472"</f>
        <v>1551765333551472</v>
      </c>
      <c r="C46" t="s">
        <v>40</v>
      </c>
      <c r="D46">
        <v>4.3443420000000001</v>
      </c>
      <c r="E46">
        <v>0.53674630000000001</v>
      </c>
      <c r="F46" t="s">
        <v>41</v>
      </c>
      <c r="G46">
        <v>-472.53809999999999</v>
      </c>
      <c r="H46">
        <v>1.0319579999999999</v>
      </c>
      <c r="I46">
        <v>367.11779999999999</v>
      </c>
      <c r="J46">
        <v>-473.17630000000003</v>
      </c>
      <c r="K46">
        <v>1.1082419999999999</v>
      </c>
      <c r="L46">
        <v>367.15690000000001</v>
      </c>
      <c r="M46">
        <v>0.9998821</v>
      </c>
      <c r="N46">
        <v>3.370166E-3</v>
      </c>
      <c r="O46">
        <v>-1.4977839999999999E-2</v>
      </c>
      <c r="P46">
        <v>0.99857320000000005</v>
      </c>
      <c r="Q46">
        <v>-9.4445789999999998E-4</v>
      </c>
      <c r="R46">
        <v>5.3391399999999999E-2</v>
      </c>
      <c r="S46">
        <v>3.0117799999999999</v>
      </c>
      <c r="T46">
        <v>-0.29265239999999998</v>
      </c>
      <c r="U46">
        <v>-0.1541138</v>
      </c>
      <c r="V46">
        <v>-6.8337659999999995E-2</v>
      </c>
      <c r="W46">
        <v>-4.3770720000000001E-3</v>
      </c>
      <c r="X46">
        <v>0.9976526</v>
      </c>
      <c r="Y46">
        <v>3.6051279999999998E-2</v>
      </c>
      <c r="Z46">
        <v>-1.8418819999999999E-4</v>
      </c>
      <c r="AA46">
        <v>0.99934999999999996</v>
      </c>
      <c r="AB46">
        <v>13</v>
      </c>
      <c r="AC46">
        <v>0.63820000000003996</v>
      </c>
      <c r="AD46">
        <v>-7.6284000000000005E-2</v>
      </c>
      <c r="AE46">
        <v>-3.9100000000019002E-2</v>
      </c>
      <c r="AF46">
        <v>2.91221773523547E-2</v>
      </c>
      <c r="AG46">
        <v>-7.6284000000000005E-2</v>
      </c>
      <c r="AH46">
        <v>0.62975019734150794</v>
      </c>
      <c r="AI46">
        <v>96.899499295778</v>
      </c>
      <c r="AJ46">
        <v>87.352299434712194</v>
      </c>
      <c r="AK46">
        <v>0.63502177987956498</v>
      </c>
      <c r="AL46">
        <v>90.250788564963798</v>
      </c>
      <c r="AM46">
        <v>93.918551261018493</v>
      </c>
      <c r="AN46">
        <v>0.99999995241016304</v>
      </c>
    </row>
    <row r="47" spans="1:40" x14ac:dyDescent="0.25">
      <c r="A47" t="str">
        <f>"20190305135533585"</f>
        <v>20190305135533585</v>
      </c>
      <c r="B47" t="str">
        <f>"1551765333581729"</f>
        <v>1551765333581729</v>
      </c>
      <c r="C47" t="s">
        <v>40</v>
      </c>
      <c r="D47">
        <v>4.2995429999999999</v>
      </c>
      <c r="E47">
        <v>0.53682350000000001</v>
      </c>
      <c r="F47" t="s">
        <v>41</v>
      </c>
      <c r="G47">
        <v>-472.4128</v>
      </c>
      <c r="H47">
        <v>1.0344979999999999</v>
      </c>
      <c r="I47">
        <v>367.11900000000003</v>
      </c>
      <c r="J47">
        <v>-473.03199999999998</v>
      </c>
      <c r="K47">
        <v>1.1082430000000001</v>
      </c>
      <c r="L47">
        <v>367.15559999999999</v>
      </c>
      <c r="M47">
        <v>0.99989410000000001</v>
      </c>
      <c r="N47">
        <v>3.4393029999999999E-3</v>
      </c>
      <c r="O47">
        <v>-1.4143889999999999E-2</v>
      </c>
      <c r="P47">
        <v>0.99849909999999997</v>
      </c>
      <c r="Q47">
        <v>-6.7291039999999903E-4</v>
      </c>
      <c r="R47">
        <v>5.4766269999999999E-2</v>
      </c>
      <c r="S47">
        <v>3.0119319999999998</v>
      </c>
      <c r="T47">
        <v>-0.29100179999999998</v>
      </c>
      <c r="U47">
        <v>-0.1485901</v>
      </c>
      <c r="V47">
        <v>-6.8879079999999995E-2</v>
      </c>
      <c r="W47">
        <v>-4.1784429999999996E-3</v>
      </c>
      <c r="X47">
        <v>0.99761630000000001</v>
      </c>
      <c r="Y47">
        <v>3.5055629999999997E-2</v>
      </c>
      <c r="Z47">
        <v>-2.1718E-4</v>
      </c>
      <c r="AA47">
        <v>0.99938539999999998</v>
      </c>
      <c r="AB47">
        <v>14</v>
      </c>
      <c r="AC47">
        <v>0.61919999999997799</v>
      </c>
      <c r="AD47">
        <v>-7.3745000000000102E-2</v>
      </c>
      <c r="AE47">
        <v>-3.6599999999964397E-2</v>
      </c>
      <c r="AF47">
        <v>2.7450386042374701E-2</v>
      </c>
      <c r="AG47">
        <v>-7.3745000000000102E-2</v>
      </c>
      <c r="AH47">
        <v>0.61101911914568596</v>
      </c>
      <c r="AI47">
        <v>96.874977060052004</v>
      </c>
      <c r="AJ47">
        <v>87.4276837318274</v>
      </c>
      <c r="AK47">
        <v>0.61606510425477401</v>
      </c>
      <c r="AL47">
        <v>90.239407837223297</v>
      </c>
      <c r="AM47">
        <v>93.949642225435298</v>
      </c>
      <c r="AN47">
        <v>1.00000003453661</v>
      </c>
    </row>
    <row r="48" spans="1:40" x14ac:dyDescent="0.25">
      <c r="A48" t="str">
        <f>"20190305135533607"</f>
        <v>20190305135533607</v>
      </c>
      <c r="B48" t="str">
        <f>"1551765333601249"</f>
        <v>1551765333601249</v>
      </c>
      <c r="C48" t="s">
        <v>40</v>
      </c>
      <c r="D48">
        <v>4.3395710000000003</v>
      </c>
      <c r="E48">
        <v>0.53688829999999998</v>
      </c>
      <c r="F48" t="s">
        <v>41</v>
      </c>
      <c r="G48">
        <v>-472.28500000000003</v>
      </c>
      <c r="H48">
        <v>1.0371429999999999</v>
      </c>
      <c r="I48">
        <v>367.11919999999998</v>
      </c>
      <c r="J48">
        <v>-472.89409999999998</v>
      </c>
      <c r="K48">
        <v>1.1082369999999999</v>
      </c>
      <c r="L48">
        <v>367.15440000000001</v>
      </c>
      <c r="M48">
        <v>0.99990520000000005</v>
      </c>
      <c r="N48">
        <v>3.534513E-3</v>
      </c>
      <c r="O48">
        <v>-1.3302939999999999E-2</v>
      </c>
      <c r="P48">
        <v>0.99841679999999999</v>
      </c>
      <c r="Q48">
        <v>-5.7233869999999995E-4</v>
      </c>
      <c r="R48">
        <v>5.6244929999999999E-2</v>
      </c>
      <c r="S48">
        <v>3.0122070000000001</v>
      </c>
      <c r="T48">
        <v>-0.28723860000000001</v>
      </c>
      <c r="U48">
        <v>-0.14440919999999999</v>
      </c>
      <c r="V48">
        <v>-6.9517460000000003E-2</v>
      </c>
      <c r="W48">
        <v>-4.1763779999999997E-3</v>
      </c>
      <c r="X48">
        <v>0.99757200000000001</v>
      </c>
      <c r="Y48">
        <v>3.4508730000000001E-2</v>
      </c>
      <c r="Z48">
        <v>-2.6782089999999998E-4</v>
      </c>
      <c r="AA48">
        <v>0.99940439999999997</v>
      </c>
      <c r="AB48">
        <v>14</v>
      </c>
      <c r="AC48">
        <v>0.60909999999995501</v>
      </c>
      <c r="AD48">
        <v>-7.1094000000000199E-2</v>
      </c>
      <c r="AE48">
        <v>-3.5200000000031602E-2</v>
      </c>
      <c r="AF48">
        <v>2.6731054930890601E-2</v>
      </c>
      <c r="AG48">
        <v>-7.1094000000000199E-2</v>
      </c>
      <c r="AH48">
        <v>0.60134915678138001</v>
      </c>
      <c r="AI48">
        <v>96.735858366938302</v>
      </c>
      <c r="AJ48">
        <v>87.454774772716405</v>
      </c>
      <c r="AK48">
        <v>0.606126813872638</v>
      </c>
      <c r="AL48">
        <v>90.239289526932396</v>
      </c>
      <c r="AM48">
        <v>93.986306987692899</v>
      </c>
      <c r="AN48">
        <v>1.00000000728102</v>
      </c>
    </row>
    <row r="49" spans="1:40" x14ac:dyDescent="0.25">
      <c r="A49" t="str">
        <f>"20190305135533627"</f>
        <v>20190305135533627</v>
      </c>
      <c r="B49" t="str">
        <f>"1551765333621745"</f>
        <v>1551765333621745</v>
      </c>
      <c r="C49" t="s">
        <v>40</v>
      </c>
      <c r="D49">
        <v>4.2959550000000002</v>
      </c>
      <c r="E49">
        <v>0.53694989999999998</v>
      </c>
      <c r="F49" t="s">
        <v>41</v>
      </c>
      <c r="G49">
        <v>-472.15539999999999</v>
      </c>
      <c r="H49">
        <v>1.0385</v>
      </c>
      <c r="I49">
        <v>367.11989999999997</v>
      </c>
      <c r="J49">
        <v>-472.75549999999998</v>
      </c>
      <c r="K49">
        <v>1.1082110000000001</v>
      </c>
      <c r="L49">
        <v>367.15350000000001</v>
      </c>
      <c r="M49">
        <v>0.99991609999999997</v>
      </c>
      <c r="N49">
        <v>3.65023E-3</v>
      </c>
      <c r="O49">
        <v>-1.243033E-2</v>
      </c>
      <c r="P49">
        <v>0.99832710000000002</v>
      </c>
      <c r="Q49">
        <v>-8.2937440000000005E-4</v>
      </c>
      <c r="R49">
        <v>5.7816100000000002E-2</v>
      </c>
      <c r="S49">
        <v>3.0124819999999999</v>
      </c>
      <c r="T49">
        <v>-0.28447840000000002</v>
      </c>
      <c r="U49">
        <v>-0.14083860000000001</v>
      </c>
      <c r="V49">
        <v>-7.0216109999999998E-2</v>
      </c>
      <c r="W49">
        <v>-4.5518579999999998E-3</v>
      </c>
      <c r="X49">
        <v>0.9975214</v>
      </c>
      <c r="Y49">
        <v>3.4193880000000003E-2</v>
      </c>
      <c r="Z49">
        <v>-3.3175050000000002E-4</v>
      </c>
      <c r="AA49">
        <v>0.99941519999999995</v>
      </c>
      <c r="AB49">
        <v>14</v>
      </c>
      <c r="AC49">
        <v>0.60009999999999697</v>
      </c>
      <c r="AD49">
        <v>-6.9710999999999995E-2</v>
      </c>
      <c r="AE49">
        <v>-3.3600000000035303E-2</v>
      </c>
      <c r="AF49">
        <v>2.5790966096496601E-2</v>
      </c>
      <c r="AG49">
        <v>-6.9710999999999995E-2</v>
      </c>
      <c r="AH49">
        <v>0.59250080900254398</v>
      </c>
      <c r="AI49">
        <v>96.704025422876796</v>
      </c>
      <c r="AJ49">
        <v>87.507545587751196</v>
      </c>
      <c r="AK49">
        <v>0.59714487867004296</v>
      </c>
      <c r="AL49">
        <v>90.260803157530404</v>
      </c>
      <c r="AM49">
        <v>94.0264418041304</v>
      </c>
      <c r="AN49">
        <v>0.99999998248637201</v>
      </c>
    </row>
    <row r="50" spans="1:40" x14ac:dyDescent="0.25">
      <c r="A50" t="str">
        <f>"20190305135533650"</f>
        <v>20190305135533650</v>
      </c>
      <c r="B50" t="str">
        <f>"1551765333641264"</f>
        <v>1551765333641264</v>
      </c>
      <c r="C50" t="s">
        <v>40</v>
      </c>
      <c r="D50">
        <v>4.2826589999999998</v>
      </c>
      <c r="E50">
        <v>0.53714019999999996</v>
      </c>
      <c r="F50" t="s">
        <v>41</v>
      </c>
      <c r="G50">
        <v>-472.02339999999998</v>
      </c>
      <c r="H50">
        <v>1.0396160000000001</v>
      </c>
      <c r="I50">
        <v>367.12</v>
      </c>
      <c r="J50">
        <v>-472.6053</v>
      </c>
      <c r="K50">
        <v>1.1081890000000001</v>
      </c>
      <c r="L50">
        <v>367.15260000000001</v>
      </c>
      <c r="M50">
        <v>0.99992700000000001</v>
      </c>
      <c r="N50">
        <v>3.7743099999999999E-3</v>
      </c>
      <c r="O50">
        <v>-1.148475E-2</v>
      </c>
      <c r="P50">
        <v>0.99825299999999995</v>
      </c>
      <c r="Q50">
        <v>-1.6951100000000001E-3</v>
      </c>
      <c r="R50">
        <v>5.9061809999999999E-2</v>
      </c>
      <c r="S50">
        <v>3.0126949999999999</v>
      </c>
      <c r="T50">
        <v>-0.28272930000000002</v>
      </c>
      <c r="U50">
        <v>-0.13644410000000001</v>
      </c>
      <c r="V50">
        <v>-7.0516380000000004E-2</v>
      </c>
      <c r="W50">
        <v>-5.542834E-3</v>
      </c>
      <c r="X50">
        <v>0.99749520000000003</v>
      </c>
      <c r="Y50">
        <v>3.3680069999999999E-2</v>
      </c>
      <c r="Z50">
        <v>-3.9434719999999998E-4</v>
      </c>
      <c r="AA50">
        <v>0.9994326</v>
      </c>
      <c r="AB50">
        <v>14</v>
      </c>
      <c r="AC50">
        <v>0.58190000000001796</v>
      </c>
      <c r="AD50">
        <v>-6.8572999999999704E-2</v>
      </c>
      <c r="AE50">
        <v>-3.26000000000021E-2</v>
      </c>
      <c r="AF50">
        <v>2.5560971282282002E-2</v>
      </c>
      <c r="AG50">
        <v>-6.8572999999999704E-2</v>
      </c>
      <c r="AH50">
        <v>0.57428585136362598</v>
      </c>
      <c r="AI50">
        <v>96.802531558010799</v>
      </c>
      <c r="AJ50">
        <v>87.451495964558603</v>
      </c>
      <c r="AK50">
        <v>0.57892992551632605</v>
      </c>
      <c r="AL50">
        <v>90.3175826277851</v>
      </c>
      <c r="AM50">
        <v>94.043709215453504</v>
      </c>
      <c r="AN50">
        <v>0.99999997844004695</v>
      </c>
    </row>
    <row r="51" spans="1:40" x14ac:dyDescent="0.25">
      <c r="A51" t="str">
        <f>"20190305135533672"</f>
        <v>20190305135533672</v>
      </c>
      <c r="B51" t="str">
        <f>"1551765333661759"</f>
        <v>1551765333661759</v>
      </c>
      <c r="C51" t="s">
        <v>40</v>
      </c>
      <c r="D51">
        <v>4.2555230000000002</v>
      </c>
      <c r="E51">
        <v>0.53743649999999998</v>
      </c>
      <c r="F51" t="s">
        <v>41</v>
      </c>
      <c r="G51">
        <v>-471.75839999999999</v>
      </c>
      <c r="H51">
        <v>1.028939</v>
      </c>
      <c r="I51">
        <v>367.11430000000001</v>
      </c>
      <c r="J51">
        <v>-472.45229999999998</v>
      </c>
      <c r="K51">
        <v>1.10816</v>
      </c>
      <c r="L51">
        <v>367.15190000000001</v>
      </c>
      <c r="M51">
        <v>0.99993670000000001</v>
      </c>
      <c r="N51">
        <v>3.8656950000000002E-3</v>
      </c>
      <c r="O51">
        <v>-1.057144E-2</v>
      </c>
      <c r="P51">
        <v>0.9982027</v>
      </c>
      <c r="Q51">
        <v>-2.907289E-3</v>
      </c>
      <c r="R51">
        <v>5.9858519999999998E-2</v>
      </c>
      <c r="S51">
        <v>3.012756</v>
      </c>
      <c r="T51">
        <v>-0.2822868</v>
      </c>
      <c r="U51">
        <v>-0.1346436</v>
      </c>
      <c r="V51">
        <v>-7.0399729999999994E-2</v>
      </c>
      <c r="W51">
        <v>-6.8449740000000002E-3</v>
      </c>
      <c r="X51">
        <v>0.99749540000000003</v>
      </c>
      <c r="Y51">
        <v>3.3990819999999998E-2</v>
      </c>
      <c r="Z51">
        <v>-4.9374140000000004E-4</v>
      </c>
      <c r="AA51">
        <v>0.99942200000000003</v>
      </c>
      <c r="AB51">
        <v>15</v>
      </c>
      <c r="AC51">
        <v>0.69389999999998497</v>
      </c>
      <c r="AD51">
        <v>-7.9220999999999903E-2</v>
      </c>
      <c r="AE51">
        <v>-3.7599999999997601E-2</v>
      </c>
      <c r="AF51">
        <v>2.9874075321649401E-2</v>
      </c>
      <c r="AG51">
        <v>-7.9220999999999903E-2</v>
      </c>
      <c r="AH51">
        <v>0.68535180259353101</v>
      </c>
      <c r="AI51">
        <v>96.587455040393706</v>
      </c>
      <c r="AJ51">
        <v>87.504091198659395</v>
      </c>
      <c r="AK51">
        <v>0.69056174273958004</v>
      </c>
      <c r="AL51">
        <v>90.392191174171799</v>
      </c>
      <c r="AM51">
        <v>94.037041337045196</v>
      </c>
      <c r="AN51">
        <v>1.0000000243371401</v>
      </c>
    </row>
    <row r="52" spans="1:40" x14ac:dyDescent="0.25">
      <c r="A52" t="str">
        <f>"20190305135533694"</f>
        <v>20190305135533694</v>
      </c>
      <c r="B52" t="str">
        <f>"1551765333692016"</f>
        <v>1551765333692016</v>
      </c>
      <c r="C52" t="s">
        <v>40</v>
      </c>
      <c r="D52">
        <v>4.2655240000000001</v>
      </c>
      <c r="E52">
        <v>0.53779719999999998</v>
      </c>
      <c r="F52" t="s">
        <v>41</v>
      </c>
      <c r="G52">
        <v>-471.6191</v>
      </c>
      <c r="H52">
        <v>1.0301579999999999</v>
      </c>
      <c r="I52">
        <v>367.11470000000003</v>
      </c>
      <c r="J52">
        <v>-472.29899999999998</v>
      </c>
      <c r="K52">
        <v>1.1081379999999901</v>
      </c>
      <c r="L52">
        <v>367.15129999999999</v>
      </c>
      <c r="M52">
        <v>0.99994490000000003</v>
      </c>
      <c r="N52">
        <v>3.9115570000000004E-3</v>
      </c>
      <c r="O52">
        <v>-9.7383920000000002E-3</v>
      </c>
      <c r="P52">
        <v>0.99815949999999998</v>
      </c>
      <c r="Q52">
        <v>-3.4867100000000001E-3</v>
      </c>
      <c r="R52">
        <v>6.0542760000000001E-2</v>
      </c>
      <c r="S52">
        <v>3.0126339999999998</v>
      </c>
      <c r="T52">
        <v>-0.28215659999999998</v>
      </c>
      <c r="U52">
        <v>-0.13421629999999901</v>
      </c>
      <c r="V52">
        <v>-7.0252439999999999E-2</v>
      </c>
      <c r="W52">
        <v>-7.4663999999999998E-3</v>
      </c>
      <c r="X52">
        <v>0.99750130000000004</v>
      </c>
      <c r="Y52">
        <v>3.4677149999999997E-2</v>
      </c>
      <c r="Z52">
        <v>-6.0398599999999896E-4</v>
      </c>
      <c r="AA52">
        <v>0.99939840000000002</v>
      </c>
      <c r="AB52">
        <v>15</v>
      </c>
      <c r="AC52">
        <v>0.67990000000003104</v>
      </c>
      <c r="AD52">
        <v>-7.7979999999999897E-2</v>
      </c>
      <c r="AE52">
        <v>-3.6599999999964397E-2</v>
      </c>
      <c r="AF52">
        <v>2.9588975514085201E-2</v>
      </c>
      <c r="AG52">
        <v>-7.7979999999999897E-2</v>
      </c>
      <c r="AH52">
        <v>0.67141750432629199</v>
      </c>
      <c r="AI52">
        <v>96.618418290134798</v>
      </c>
      <c r="AJ52">
        <v>87.476641314909998</v>
      </c>
      <c r="AK52">
        <v>0.67657804648667097</v>
      </c>
      <c r="AL52">
        <v>90.427797183828204</v>
      </c>
      <c r="AM52">
        <v>94.028599147025304</v>
      </c>
      <c r="AN52">
        <v>0.99999999797830097</v>
      </c>
    </row>
    <row r="53" spans="1:40" x14ac:dyDescent="0.25">
      <c r="A53" t="str">
        <f>"20190305135533715"</f>
        <v>20190305135533715</v>
      </c>
      <c r="B53" t="str">
        <f>"1551765333711535"</f>
        <v>1551765333711535</v>
      </c>
      <c r="C53" t="s">
        <v>40</v>
      </c>
      <c r="D53">
        <v>4.2834130000000004</v>
      </c>
      <c r="E53">
        <v>0.53800209999999904</v>
      </c>
      <c r="F53" t="s">
        <v>41</v>
      </c>
      <c r="G53">
        <v>-471.47719999999998</v>
      </c>
      <c r="H53">
        <v>1.032176</v>
      </c>
      <c r="I53">
        <v>367.11410000000001</v>
      </c>
      <c r="J53">
        <v>-472.15089999999998</v>
      </c>
      <c r="K53">
        <v>1.108109</v>
      </c>
      <c r="L53">
        <v>367.1508</v>
      </c>
      <c r="M53">
        <v>0.99995179999999995</v>
      </c>
      <c r="N53">
        <v>3.9196509999999997E-3</v>
      </c>
      <c r="O53">
        <v>-9.0213930000000008E-3</v>
      </c>
      <c r="P53">
        <v>0.99813209999999997</v>
      </c>
      <c r="Q53">
        <v>-3.3179479999999998E-3</v>
      </c>
      <c r="R53">
        <v>6.1005299999999998E-2</v>
      </c>
      <c r="S53">
        <v>3.012756</v>
      </c>
      <c r="T53">
        <v>-0.27877010000000002</v>
      </c>
      <c r="U53">
        <v>-0.13461300000000001</v>
      </c>
      <c r="V53">
        <v>-6.9999969999999995E-2</v>
      </c>
      <c r="W53">
        <v>-7.2994490000000004E-3</v>
      </c>
      <c r="X53">
        <v>0.99752030000000003</v>
      </c>
      <c r="Y53">
        <v>3.551903E-2</v>
      </c>
      <c r="Z53">
        <v>-7.014101E-4</v>
      </c>
      <c r="AA53">
        <v>0.9993687</v>
      </c>
      <c r="AB53">
        <v>16</v>
      </c>
      <c r="AC53">
        <v>0.67369999999999597</v>
      </c>
      <c r="AD53">
        <v>-7.5933E-2</v>
      </c>
      <c r="AE53">
        <v>-3.6699999999996097E-2</v>
      </c>
      <c r="AF53">
        <v>3.0237755567958699E-2</v>
      </c>
      <c r="AG53">
        <v>-7.5933E-2</v>
      </c>
      <c r="AH53">
        <v>0.66557348604833599</v>
      </c>
      <c r="AI53">
        <v>96.501889875214999</v>
      </c>
      <c r="AJ53">
        <v>87.398776639551301</v>
      </c>
      <c r="AK53">
        <v>0.67057304425492903</v>
      </c>
      <c r="AL53">
        <v>90.418231328980795</v>
      </c>
      <c r="AM53">
        <v>94.014092557421193</v>
      </c>
      <c r="AN53">
        <v>1.00000001333389</v>
      </c>
    </row>
    <row r="54" spans="1:40" x14ac:dyDescent="0.25">
      <c r="A54" t="str">
        <f>"20190305135533738"</f>
        <v>20190305135533738</v>
      </c>
      <c r="B54" t="str">
        <f>"1551765333732032"</f>
        <v>1551765333732032</v>
      </c>
      <c r="C54" t="s">
        <v>40</v>
      </c>
      <c r="D54">
        <v>4.339893</v>
      </c>
      <c r="E54">
        <v>0.5380566</v>
      </c>
      <c r="F54" t="s">
        <v>41</v>
      </c>
      <c r="G54">
        <v>-471.33330000000001</v>
      </c>
      <c r="H54">
        <v>1.0334700000000001</v>
      </c>
      <c r="I54">
        <v>367.11380000000003</v>
      </c>
      <c r="J54">
        <v>-471.97919999999999</v>
      </c>
      <c r="K54">
        <v>1.1080650000000001</v>
      </c>
      <c r="L54">
        <v>367.15039999999999</v>
      </c>
      <c r="M54">
        <v>0.99995800000000001</v>
      </c>
      <c r="N54">
        <v>3.899071E-3</v>
      </c>
      <c r="O54">
        <v>-8.2894309999999999E-3</v>
      </c>
      <c r="P54">
        <v>0.99808859999999999</v>
      </c>
      <c r="Q54">
        <v>-3.1062889999999999E-3</v>
      </c>
      <c r="R54">
        <v>6.1722979999999997E-2</v>
      </c>
      <c r="S54">
        <v>3.0129090000000001</v>
      </c>
      <c r="T54">
        <v>-0.27556229999999998</v>
      </c>
      <c r="U54">
        <v>-0.13436890000000001</v>
      </c>
      <c r="V54">
        <v>-6.9988679999999998E-2</v>
      </c>
      <c r="W54">
        <v>-7.0578280000000004E-3</v>
      </c>
      <c r="X54">
        <v>0.99752280000000004</v>
      </c>
      <c r="Y54">
        <v>3.6164010000000003E-2</v>
      </c>
      <c r="Z54">
        <v>-7.9045359999999998E-4</v>
      </c>
      <c r="AA54">
        <v>0.9993455</v>
      </c>
      <c r="AB54">
        <v>16</v>
      </c>
      <c r="AC54">
        <v>0.64589999999998304</v>
      </c>
      <c r="AD54">
        <v>-7.4594999999999703E-2</v>
      </c>
      <c r="AE54">
        <v>-3.6599999999964397E-2</v>
      </c>
      <c r="AF54">
        <v>3.0834604214395801E-2</v>
      </c>
      <c r="AG54">
        <v>-7.4594999999999703E-2</v>
      </c>
      <c r="AH54">
        <v>0.63770278345220699</v>
      </c>
      <c r="AI54">
        <v>96.664112734308006</v>
      </c>
      <c r="AJ54">
        <v>87.2317546201798</v>
      </c>
      <c r="AK54">
        <v>0.64279081112345604</v>
      </c>
      <c r="AL54">
        <v>90.404387121382101</v>
      </c>
      <c r="AM54">
        <v>94.013437231572098</v>
      </c>
      <c r="AN54">
        <v>0.99999998239202903</v>
      </c>
    </row>
    <row r="55" spans="1:40" x14ac:dyDescent="0.25">
      <c r="A55" t="str">
        <f>"20190305135533763"</f>
        <v>20190305135533763</v>
      </c>
      <c r="B55" t="str">
        <f>"1551765333751551"</f>
        <v>1551765333751551</v>
      </c>
      <c r="C55" t="s">
        <v>40</v>
      </c>
      <c r="D55">
        <v>4.3906660000000004</v>
      </c>
      <c r="E55">
        <v>0.53817869999999901</v>
      </c>
      <c r="F55" t="s">
        <v>41</v>
      </c>
      <c r="G55">
        <v>-471.18639999999999</v>
      </c>
      <c r="H55">
        <v>1.0360769999999999</v>
      </c>
      <c r="I55">
        <v>367.11500000000001</v>
      </c>
      <c r="J55">
        <v>-471.80250000000001</v>
      </c>
      <c r="K55">
        <v>1.108009</v>
      </c>
      <c r="L55">
        <v>367.1499</v>
      </c>
      <c r="M55">
        <v>0.99996370000000001</v>
      </c>
      <c r="N55">
        <v>3.8582579999999998E-3</v>
      </c>
      <c r="O55">
        <v>-7.6143799999999996E-3</v>
      </c>
      <c r="P55">
        <v>0.99810149999999997</v>
      </c>
      <c r="Q55">
        <v>-2.6777459999999999E-3</v>
      </c>
      <c r="R55">
        <v>6.1532490000000002E-2</v>
      </c>
      <c r="S55">
        <v>3.0130309999999998</v>
      </c>
      <c r="T55">
        <v>-0.27414739999999999</v>
      </c>
      <c r="U55">
        <v>-0.13229369999999999</v>
      </c>
      <c r="V55">
        <v>-6.9126030000000005E-2</v>
      </c>
      <c r="W55">
        <v>-6.5776719999999997E-3</v>
      </c>
      <c r="X55">
        <v>0.99758630000000004</v>
      </c>
      <c r="Y55">
        <v>3.6147989999999998E-2</v>
      </c>
      <c r="Z55">
        <v>-8.5010149999999998E-4</v>
      </c>
      <c r="AA55">
        <v>0.99934610000000001</v>
      </c>
      <c r="AB55">
        <v>16</v>
      </c>
      <c r="AC55">
        <v>0.61610000000001697</v>
      </c>
      <c r="AD55">
        <v>-7.1931999999999802E-2</v>
      </c>
      <c r="AE55">
        <v>-3.48999999999932E-2</v>
      </c>
      <c r="AF55">
        <v>2.9802778965198898E-2</v>
      </c>
      <c r="AG55">
        <v>-7.1931999999999802E-2</v>
      </c>
      <c r="AH55">
        <v>0.60808531546859101</v>
      </c>
      <c r="AI55">
        <v>96.738303009846703</v>
      </c>
      <c r="AJ55">
        <v>87.194130259544593</v>
      </c>
      <c r="AK55">
        <v>0.61304989123772302</v>
      </c>
      <c r="AL55">
        <v>90.376875543494705</v>
      </c>
      <c r="AM55">
        <v>93.963876516308602</v>
      </c>
      <c r="AN55">
        <v>1.0000000498700901</v>
      </c>
    </row>
    <row r="56" spans="1:40" x14ac:dyDescent="0.25">
      <c r="A56" t="str">
        <f>"20190305135533787"</f>
        <v>20190305135533787</v>
      </c>
      <c r="B56" t="str">
        <f>"1551765333781808"</f>
        <v>1551765333781808</v>
      </c>
      <c r="C56" t="s">
        <v>40</v>
      </c>
      <c r="D56">
        <v>4.3983819999999998</v>
      </c>
      <c r="E56">
        <v>0.53827860000000005</v>
      </c>
      <c r="F56" t="s">
        <v>41</v>
      </c>
      <c r="G56">
        <v>-471.03710000000001</v>
      </c>
      <c r="H56">
        <v>1.0389790000000001</v>
      </c>
      <c r="I56">
        <v>367.11590000000001</v>
      </c>
      <c r="J56">
        <v>-471.62209999999999</v>
      </c>
      <c r="K56">
        <v>1.107977</v>
      </c>
      <c r="L56">
        <v>367.14940000000001</v>
      </c>
      <c r="M56">
        <v>0.99996850000000004</v>
      </c>
      <c r="N56">
        <v>3.804857E-3</v>
      </c>
      <c r="O56">
        <v>-6.9734410000000004E-3</v>
      </c>
      <c r="P56">
        <v>0.998139</v>
      </c>
      <c r="Q56">
        <v>-2.0655109999999999E-3</v>
      </c>
      <c r="R56">
        <v>6.0945989999999998E-2</v>
      </c>
      <c r="S56">
        <v>3.0131839999999999</v>
      </c>
      <c r="T56">
        <v>-0.27194859999999998</v>
      </c>
      <c r="U56">
        <v>-0.1329041</v>
      </c>
      <c r="V56">
        <v>-6.790185E-2</v>
      </c>
      <c r="W56">
        <v>-5.9022299999999996E-3</v>
      </c>
      <c r="X56">
        <v>0.99767450000000002</v>
      </c>
      <c r="Y56">
        <v>3.6983950000000002E-2</v>
      </c>
      <c r="Z56">
        <v>-9.4000409999999996E-4</v>
      </c>
      <c r="AA56">
        <v>0.99931539999999996</v>
      </c>
      <c r="AB56">
        <v>16</v>
      </c>
      <c r="AC56">
        <v>0.58499999999997898</v>
      </c>
      <c r="AD56">
        <v>-6.8997999999999796E-2</v>
      </c>
      <c r="AE56">
        <v>-3.3500000000003603E-2</v>
      </c>
      <c r="AF56">
        <v>2.90173494794576E-2</v>
      </c>
      <c r="AG56">
        <v>-6.8997999999999796E-2</v>
      </c>
      <c r="AH56">
        <v>0.57721592837243996</v>
      </c>
      <c r="AI56">
        <v>96.808039632291397</v>
      </c>
      <c r="AJ56">
        <v>87.122093920026799</v>
      </c>
      <c r="AK56">
        <v>0.58204893139809999</v>
      </c>
      <c r="AL56">
        <v>90.338174848174404</v>
      </c>
      <c r="AM56">
        <v>93.893553375490796</v>
      </c>
      <c r="AN56">
        <v>0.99999995275132103</v>
      </c>
    </row>
    <row r="57" spans="1:40" x14ac:dyDescent="0.25">
      <c r="A57" t="str">
        <f>"20190305135533808"</f>
        <v>20190305135533808</v>
      </c>
      <c r="B57" t="str">
        <f>"1551765333801329"</f>
        <v>1551765333801329</v>
      </c>
      <c r="C57" t="s">
        <v>40</v>
      </c>
      <c r="D57">
        <v>4.462154</v>
      </c>
      <c r="E57">
        <v>0.53825849999999997</v>
      </c>
      <c r="F57" t="s">
        <v>41</v>
      </c>
      <c r="G57">
        <v>-470.88529999999997</v>
      </c>
      <c r="H57">
        <v>1.0424020000000001</v>
      </c>
      <c r="I57">
        <v>367.11599999999999</v>
      </c>
      <c r="J57">
        <v>-471.46660000000003</v>
      </c>
      <c r="K57">
        <v>1.1079540000000001</v>
      </c>
      <c r="L57">
        <v>367.149</v>
      </c>
      <c r="M57">
        <v>0.99997230000000004</v>
      </c>
      <c r="N57">
        <v>3.755562E-3</v>
      </c>
      <c r="O57">
        <v>-6.4393360000000004E-3</v>
      </c>
      <c r="P57">
        <v>0.99818799999999996</v>
      </c>
      <c r="Q57">
        <v>-2.1394439999999999E-3</v>
      </c>
      <c r="R57">
        <v>6.0137030000000001E-2</v>
      </c>
      <c r="S57">
        <v>3.013245</v>
      </c>
      <c r="T57">
        <v>-0.26867489999999999</v>
      </c>
      <c r="U57">
        <v>-0.13458249999999999</v>
      </c>
      <c r="V57">
        <v>-6.6560709999999995E-2</v>
      </c>
      <c r="W57">
        <v>-5.9209579999999996E-3</v>
      </c>
      <c r="X57">
        <v>0.99776480000000001</v>
      </c>
      <c r="Y57">
        <v>3.8068629999999999E-2</v>
      </c>
      <c r="Z57">
        <v>-1.0244939999999999E-3</v>
      </c>
      <c r="AA57">
        <v>0.99927460000000001</v>
      </c>
      <c r="AB57">
        <v>17</v>
      </c>
      <c r="AC57">
        <v>0.58130000000005499</v>
      </c>
      <c r="AD57">
        <v>-6.5551999999999999E-2</v>
      </c>
      <c r="AE57">
        <v>-3.3000000000015399E-2</v>
      </c>
      <c r="AF57">
        <v>2.8889902358587599E-2</v>
      </c>
      <c r="AG57">
        <v>-6.5551999999999999E-2</v>
      </c>
      <c r="AH57">
        <v>0.57422175259096697</v>
      </c>
      <c r="AI57">
        <v>96.504421547638103</v>
      </c>
      <c r="AJ57">
        <v>87.119797432112506</v>
      </c>
      <c r="AK57">
        <v>0.57867288886808099</v>
      </c>
      <c r="AL57">
        <v>90.339247889361701</v>
      </c>
      <c r="AM57">
        <v>93.816536378802994</v>
      </c>
      <c r="AN57">
        <v>0.99999999098919101</v>
      </c>
    </row>
    <row r="58" spans="1:40" x14ac:dyDescent="0.25">
      <c r="A58" t="str">
        <f>"20190305135533830"</f>
        <v>20190305135533830</v>
      </c>
      <c r="B58" t="str">
        <f>"1551765333821824"</f>
        <v>1551765333821824</v>
      </c>
      <c r="C58" t="s">
        <v>40</v>
      </c>
      <c r="D58">
        <v>4.4122570000000003</v>
      </c>
      <c r="E58">
        <v>0.53826989999999997</v>
      </c>
      <c r="F58" t="s">
        <v>41</v>
      </c>
      <c r="G58">
        <v>-470.73289999999997</v>
      </c>
      <c r="H58">
        <v>1.0423389999999999</v>
      </c>
      <c r="I58">
        <v>367.1155</v>
      </c>
      <c r="J58">
        <v>-471.2953</v>
      </c>
      <c r="K58">
        <v>1.1079399999999999</v>
      </c>
      <c r="L58">
        <v>367.14870000000002</v>
      </c>
      <c r="M58">
        <v>0.99997619999999998</v>
      </c>
      <c r="N58">
        <v>3.703221E-3</v>
      </c>
      <c r="O58">
        <v>-5.8455909999999998E-3</v>
      </c>
      <c r="P58">
        <v>0.99824120000000005</v>
      </c>
      <c r="Q58">
        <v>-2.2597849999999998E-3</v>
      </c>
      <c r="R58">
        <v>5.9243179999999999E-2</v>
      </c>
      <c r="S58">
        <v>3.0130919999999999</v>
      </c>
      <c r="T58">
        <v>-0.26980009999999999</v>
      </c>
      <c r="U58">
        <v>-0.136322</v>
      </c>
      <c r="V58">
        <v>-6.5074779999999999E-2</v>
      </c>
      <c r="W58">
        <v>-5.9857779999999998E-3</v>
      </c>
      <c r="X58">
        <v>0.99786249999999999</v>
      </c>
      <c r="Y58">
        <v>3.9231750000000003E-2</v>
      </c>
      <c r="Z58">
        <v>-1.135549E-3</v>
      </c>
      <c r="AA58">
        <v>0.99922949999999999</v>
      </c>
      <c r="AB58">
        <v>17</v>
      </c>
      <c r="AC58">
        <v>0.56240000000002499</v>
      </c>
      <c r="AD58">
        <v>-6.5601000000000007E-2</v>
      </c>
      <c r="AE58">
        <v>-3.3200000000022101E-2</v>
      </c>
      <c r="AF58">
        <v>2.9511708587780801E-2</v>
      </c>
      <c r="AG58">
        <v>-6.5601000000000007E-2</v>
      </c>
      <c r="AH58">
        <v>0.55505856865109804</v>
      </c>
      <c r="AI58">
        <v>96.730958967221895</v>
      </c>
      <c r="AJ58">
        <v>86.956527100359196</v>
      </c>
      <c r="AK58">
        <v>0.55970031872223902</v>
      </c>
      <c r="AL58">
        <v>90.3429618430403</v>
      </c>
      <c r="AM58">
        <v>93.731213516039105</v>
      </c>
      <c r="AN58">
        <v>1.0000000627182799</v>
      </c>
    </row>
    <row r="59" spans="1:40" x14ac:dyDescent="0.25">
      <c r="A59" t="str">
        <f>"20190305135533852"</f>
        <v>20190305135533852</v>
      </c>
      <c r="B59" t="str">
        <f>"1551765333841344"</f>
        <v>1551765333841344</v>
      </c>
      <c r="C59" t="s">
        <v>40</v>
      </c>
      <c r="D59">
        <v>4.4832769999999904</v>
      </c>
      <c r="E59">
        <v>0.53831090000000004</v>
      </c>
      <c r="F59" t="s">
        <v>41</v>
      </c>
      <c r="G59">
        <v>-470.4273</v>
      </c>
      <c r="H59">
        <v>1.030284</v>
      </c>
      <c r="I59">
        <v>367.10849999999999</v>
      </c>
      <c r="J59">
        <v>-471.1207</v>
      </c>
      <c r="K59">
        <v>1.107944</v>
      </c>
      <c r="L59">
        <v>367.14839999999998</v>
      </c>
      <c r="M59">
        <v>0.99997990000000003</v>
      </c>
      <c r="N59">
        <v>3.6557949999999999E-3</v>
      </c>
      <c r="O59">
        <v>-5.217162E-3</v>
      </c>
      <c r="P59">
        <v>0.9983031</v>
      </c>
      <c r="Q59">
        <v>-2.2030439999999999E-3</v>
      </c>
      <c r="R59">
        <v>5.8192960000000002E-2</v>
      </c>
      <c r="S59">
        <v>3.0129090000000001</v>
      </c>
      <c r="T59">
        <v>-0.26978229999999997</v>
      </c>
      <c r="U59">
        <v>-0.13842769999999999</v>
      </c>
      <c r="V59">
        <v>-6.3397460000000003E-2</v>
      </c>
      <c r="W59">
        <v>-5.8818940000000004E-3</v>
      </c>
      <c r="X59">
        <v>0.99797100000000005</v>
      </c>
      <c r="Y59">
        <v>4.0551459999999998E-2</v>
      </c>
      <c r="Z59">
        <v>-1.251666E-3</v>
      </c>
      <c r="AA59">
        <v>0.99917670000000003</v>
      </c>
      <c r="AB59">
        <v>17</v>
      </c>
      <c r="AC59">
        <v>0.69339999999999602</v>
      </c>
      <c r="AD59">
        <v>-7.7660000000000007E-2</v>
      </c>
      <c r="AE59">
        <v>-3.9899999999988701E-2</v>
      </c>
      <c r="AF59">
        <v>3.5833846273233098E-2</v>
      </c>
      <c r="AG59">
        <v>-7.7660000000000007E-2</v>
      </c>
      <c r="AH59">
        <v>0.68503419567082402</v>
      </c>
      <c r="AI59">
        <v>96.459058038287097</v>
      </c>
      <c r="AJ59">
        <v>87.005611421600406</v>
      </c>
      <c r="AK59">
        <v>0.69035280065855198</v>
      </c>
      <c r="AL59">
        <v>90.337009653178598</v>
      </c>
      <c r="AM59">
        <v>93.634907603835003</v>
      </c>
      <c r="AN59">
        <v>0.999999975726239</v>
      </c>
    </row>
    <row r="60" spans="1:40" x14ac:dyDescent="0.25">
      <c r="A60" t="str">
        <f>"20190305135533875"</f>
        <v>20190305135533875</v>
      </c>
      <c r="B60" t="str">
        <f>"1551765333871600"</f>
        <v>1551765333871600</v>
      </c>
      <c r="C60" t="s">
        <v>40</v>
      </c>
      <c r="D60">
        <v>4.3582650000000003</v>
      </c>
      <c r="E60">
        <v>0.51132319999999998</v>
      </c>
      <c r="F60" t="s">
        <v>41</v>
      </c>
      <c r="G60">
        <v>-470.26749999999998</v>
      </c>
      <c r="H60">
        <v>1.0317989999999999</v>
      </c>
      <c r="I60">
        <v>367.10789999999997</v>
      </c>
      <c r="J60">
        <v>-470.9359</v>
      </c>
      <c r="K60">
        <v>1.107969</v>
      </c>
      <c r="L60">
        <v>367.1481</v>
      </c>
      <c r="M60">
        <v>0.99998319999999996</v>
      </c>
      <c r="N60">
        <v>3.6124970000000001E-3</v>
      </c>
      <c r="O60">
        <v>-4.5188600000000004E-3</v>
      </c>
      <c r="P60">
        <v>0.99837240000000005</v>
      </c>
      <c r="Q60">
        <v>-1.810035E-3</v>
      </c>
      <c r="R60">
        <v>5.7001679999999999E-2</v>
      </c>
      <c r="S60">
        <v>3.012756</v>
      </c>
      <c r="T60">
        <v>-0.26913130000000002</v>
      </c>
      <c r="U60">
        <v>-0.14169309999999999</v>
      </c>
      <c r="V60">
        <v>-6.1509719999999997E-2</v>
      </c>
      <c r="W60">
        <v>-5.448545E-3</v>
      </c>
      <c r="X60">
        <v>0.99809159999999997</v>
      </c>
      <c r="Y60">
        <v>4.2322869999999999E-2</v>
      </c>
      <c r="Z60">
        <v>-1.3900179999999901E-3</v>
      </c>
      <c r="AA60">
        <v>0.99910299999999996</v>
      </c>
      <c r="AB60">
        <v>18</v>
      </c>
      <c r="AC60">
        <v>0.66840000000001898</v>
      </c>
      <c r="AD60">
        <v>-7.6170000000000002E-2</v>
      </c>
      <c r="AE60">
        <v>-4.0200000000027103E-2</v>
      </c>
      <c r="AF60">
        <v>3.6704219082616597E-2</v>
      </c>
      <c r="AG60">
        <v>-7.6170000000000002E-2</v>
      </c>
      <c r="AH60">
        <v>0.66003413798877797</v>
      </c>
      <c r="AI60">
        <v>96.572924834591802</v>
      </c>
      <c r="AJ60">
        <v>86.817084224108299</v>
      </c>
      <c r="AK60">
        <v>0.66542778113710699</v>
      </c>
      <c r="AL60">
        <v>90.312180181610401</v>
      </c>
      <c r="AM60">
        <v>93.526525904216498</v>
      </c>
      <c r="AN60">
        <v>0.99999998714382698</v>
      </c>
    </row>
    <row r="61" spans="1:40" x14ac:dyDescent="0.25">
      <c r="A61" t="str">
        <f>"20190305135533896"</f>
        <v>20190305135533896</v>
      </c>
      <c r="B61" t="str">
        <f>"1551765333891120"</f>
        <v>1551765333891120</v>
      </c>
      <c r="C61" t="s">
        <v>40</v>
      </c>
      <c r="D61">
        <v>4.1321389999999996</v>
      </c>
      <c r="E61">
        <v>0.50962790000000002</v>
      </c>
      <c r="F61" t="s">
        <v>42</v>
      </c>
      <c r="G61">
        <v>-452.15359999999998</v>
      </c>
      <c r="H61" s="1">
        <v>-3.7043319999999999E-6</v>
      </c>
      <c r="I61">
        <v>367.60969999999998</v>
      </c>
      <c r="J61">
        <v>-470.77210000000002</v>
      </c>
      <c r="K61">
        <v>1.1080030000000001</v>
      </c>
      <c r="L61">
        <v>367.14789999999999</v>
      </c>
      <c r="M61">
        <v>0.99998609999999999</v>
      </c>
      <c r="N61">
        <v>3.57888E-3</v>
      </c>
      <c r="O61">
        <v>-3.869258E-3</v>
      </c>
      <c r="P61">
        <v>0.99846829999999998</v>
      </c>
      <c r="Q61">
        <v>-7.6583960000000003E-4</v>
      </c>
      <c r="R61">
        <v>5.532128E-2</v>
      </c>
      <c r="S61">
        <v>3.000397</v>
      </c>
      <c r="T61">
        <v>-0.1769936</v>
      </c>
      <c r="U61">
        <v>7.3760989999999999E-2</v>
      </c>
      <c r="V61">
        <v>-5.9181159999999997E-2</v>
      </c>
      <c r="W61">
        <v>-4.374508E-3</v>
      </c>
      <c r="X61">
        <v>0.99823770000000001</v>
      </c>
      <c r="Y61">
        <v>-2.839036E-2</v>
      </c>
      <c r="Z61">
        <v>1.0275200000000001E-3</v>
      </c>
      <c r="AA61">
        <v>0.99959640000000005</v>
      </c>
      <c r="AB61">
        <v>18</v>
      </c>
      <c r="AC61">
        <v>18.618500000000001</v>
      </c>
      <c r="AD61">
        <v>-1.1080067043320001</v>
      </c>
      <c r="AE61">
        <v>0.461799999999982</v>
      </c>
      <c r="AF61">
        <v>-0.531953993136005</v>
      </c>
      <c r="AG61">
        <v>-1.1080067043320001</v>
      </c>
      <c r="AH61">
        <v>18.550914887893999</v>
      </c>
      <c r="AI61">
        <v>93.4166932450552</v>
      </c>
      <c r="AJ61">
        <v>91.642526475632494</v>
      </c>
      <c r="AK61">
        <v>18.591586728559399</v>
      </c>
      <c r="AL61">
        <v>90.250641638761905</v>
      </c>
      <c r="AM61">
        <v>93.392845580809606</v>
      </c>
      <c r="AN61">
        <v>1.00000002586023</v>
      </c>
    </row>
    <row r="62" spans="1:40" x14ac:dyDescent="0.25">
      <c r="A62" t="str">
        <f>"20190305135533917"</f>
        <v>20190305135533917</v>
      </c>
      <c r="B62" t="str">
        <f>"1551765333911616"</f>
        <v>1551765333911616</v>
      </c>
      <c r="C62" t="s">
        <v>40</v>
      </c>
      <c r="D62">
        <v>4.2939769999999999</v>
      </c>
      <c r="E62">
        <v>0.50983849999999997</v>
      </c>
      <c r="F62" t="s">
        <v>42</v>
      </c>
      <c r="G62">
        <v>-453.42779999999999</v>
      </c>
      <c r="H62" s="1">
        <v>-3.1558739999999998E-6</v>
      </c>
      <c r="I62">
        <v>367.62</v>
      </c>
      <c r="J62">
        <v>-470.59160000000003</v>
      </c>
      <c r="K62">
        <v>1.1080509999999999</v>
      </c>
      <c r="L62">
        <v>367.14800000000002</v>
      </c>
      <c r="M62">
        <v>0.99998889999999996</v>
      </c>
      <c r="N62">
        <v>3.5452690000000002E-3</v>
      </c>
      <c r="O62">
        <v>-3.1216019999999998E-3</v>
      </c>
      <c r="P62">
        <v>0.99855839999999996</v>
      </c>
      <c r="Q62">
        <v>2.4949390000000003E-4</v>
      </c>
      <c r="R62">
        <v>5.3677910000000002E-2</v>
      </c>
      <c r="S62">
        <v>2.9999690000000001</v>
      </c>
      <c r="T62">
        <v>-0.19164619999999999</v>
      </c>
      <c r="U62">
        <v>8.1665039999999994E-2</v>
      </c>
      <c r="V62">
        <v>-5.6792670000000003E-2</v>
      </c>
      <c r="W62">
        <v>-3.3303859999999998E-3</v>
      </c>
      <c r="X62">
        <v>0.99838039999999995</v>
      </c>
      <c r="Y62">
        <v>-3.0266899999999999E-2</v>
      </c>
      <c r="Z62">
        <v>1.122121E-3</v>
      </c>
      <c r="AA62">
        <v>0.99954120000000002</v>
      </c>
      <c r="AB62">
        <v>18</v>
      </c>
      <c r="AC62">
        <v>17.163799999999998</v>
      </c>
      <c r="AD62">
        <v>-1.108054155874</v>
      </c>
      <c r="AE62">
        <v>0.47199999999997899</v>
      </c>
      <c r="AF62">
        <v>-0.52339688042864196</v>
      </c>
      <c r="AG62">
        <v>-1.108054155874</v>
      </c>
      <c r="AH62">
        <v>17.091066580062201</v>
      </c>
      <c r="AI62">
        <v>93.7076957966554</v>
      </c>
      <c r="AJ62">
        <v>91.754077939512399</v>
      </c>
      <c r="AK62">
        <v>17.134943395030799</v>
      </c>
      <c r="AL62">
        <v>90.190817422139105</v>
      </c>
      <c r="AM62">
        <v>93.255750279646193</v>
      </c>
      <c r="AN62">
        <v>0.99999996097039801</v>
      </c>
    </row>
    <row r="63" spans="1:40" x14ac:dyDescent="0.25">
      <c r="A63" t="str">
        <f>"20190305135533940"</f>
        <v>20190305135533940</v>
      </c>
      <c r="B63" t="str">
        <f>"1551765333931136"</f>
        <v>1551765333931136</v>
      </c>
      <c r="C63" t="s">
        <v>40</v>
      </c>
      <c r="D63">
        <v>4.2955449999999997</v>
      </c>
      <c r="E63">
        <v>0.51007400000000003</v>
      </c>
      <c r="F63" t="s">
        <v>42</v>
      </c>
      <c r="G63">
        <v>-452.39789999999999</v>
      </c>
      <c r="H63" s="1">
        <v>-3.6002779999999999E-6</v>
      </c>
      <c r="I63">
        <v>367.60559999999998</v>
      </c>
      <c r="J63">
        <v>-470.3972</v>
      </c>
      <c r="K63">
        <v>1.1081000000000001</v>
      </c>
      <c r="L63">
        <v>367.14819999999997</v>
      </c>
      <c r="M63">
        <v>0.99999130000000003</v>
      </c>
      <c r="N63">
        <v>3.5100050000000001E-3</v>
      </c>
      <c r="O63">
        <v>-2.2879060000000001E-3</v>
      </c>
      <c r="P63">
        <v>0.9986138</v>
      </c>
      <c r="Q63">
        <v>8.4130089999999999E-4</v>
      </c>
      <c r="R63">
        <v>5.2629599999999901E-2</v>
      </c>
      <c r="S63">
        <v>3.0003359999999999</v>
      </c>
      <c r="T63">
        <v>-0.1827288</v>
      </c>
      <c r="U63">
        <v>7.5469969999999997E-2</v>
      </c>
      <c r="V63">
        <v>-5.4912219999999998E-2</v>
      </c>
      <c r="W63">
        <v>-2.708692E-3</v>
      </c>
      <c r="X63">
        <v>0.99848749999999997</v>
      </c>
      <c r="Y63">
        <v>-2.738051E-2</v>
      </c>
      <c r="Z63">
        <v>9.3198019999999996E-4</v>
      </c>
      <c r="AA63">
        <v>0.99962470000000003</v>
      </c>
      <c r="AB63">
        <v>18</v>
      </c>
      <c r="AC63">
        <v>17.999300000000002</v>
      </c>
      <c r="AD63">
        <v>-1.108103600278</v>
      </c>
      <c r="AE63">
        <v>0.45740000000000602</v>
      </c>
      <c r="AF63">
        <v>-0.49669844300987598</v>
      </c>
      <c r="AG63">
        <v>-1.108103600278</v>
      </c>
      <c r="AH63">
        <v>17.9302928327741</v>
      </c>
      <c r="AI63">
        <v>93.535065602162504</v>
      </c>
      <c r="AJ63">
        <v>91.5867810153714</v>
      </c>
      <c r="AK63">
        <v>17.971366225228</v>
      </c>
      <c r="AL63">
        <v>90.155196811199204</v>
      </c>
      <c r="AM63">
        <v>93.147833364813195</v>
      </c>
      <c r="AN63">
        <v>0.99999998828696401</v>
      </c>
    </row>
    <row r="64" spans="1:40" x14ac:dyDescent="0.25">
      <c r="A64" t="str">
        <f>"20190305135533965"</f>
        <v>20190305135533965</v>
      </c>
      <c r="B64" t="str">
        <f>"1551765333961393"</f>
        <v>1551765333961393</v>
      </c>
      <c r="C64" t="s">
        <v>40</v>
      </c>
      <c r="D64">
        <v>4.276376</v>
      </c>
      <c r="E64">
        <v>0.50997029999999999</v>
      </c>
      <c r="F64" t="s">
        <v>42</v>
      </c>
      <c r="G64">
        <v>-451.38440000000003</v>
      </c>
      <c r="H64" s="1">
        <v>-4.036814E-6</v>
      </c>
      <c r="I64">
        <v>367.59559999999999</v>
      </c>
      <c r="J64">
        <v>-470.19170000000003</v>
      </c>
      <c r="K64">
        <v>1.108147</v>
      </c>
      <c r="L64">
        <v>367.14859999999999</v>
      </c>
      <c r="M64">
        <v>0.99999309999999997</v>
      </c>
      <c r="N64">
        <v>3.4711949999999998E-3</v>
      </c>
      <c r="O64">
        <v>-1.387206E-3</v>
      </c>
      <c r="P64">
        <v>0.99866929999999998</v>
      </c>
      <c r="Q64">
        <v>1.3611109999999999E-3</v>
      </c>
      <c r="R64">
        <v>5.1557520000000003E-2</v>
      </c>
      <c r="S64">
        <v>3.0005489999999999</v>
      </c>
      <c r="T64">
        <v>-0.17487800000000001</v>
      </c>
      <c r="U64">
        <v>7.0617680000000002E-2</v>
      </c>
      <c r="V64">
        <v>-5.294107E-2</v>
      </c>
      <c r="W64">
        <v>-2.1548380000000001E-3</v>
      </c>
      <c r="X64">
        <v>0.99859529999999996</v>
      </c>
      <c r="Y64">
        <v>-2.48729E-2</v>
      </c>
      <c r="Z64">
        <v>7.6647689999999997E-4</v>
      </c>
      <c r="AA64">
        <v>0.99969039999999998</v>
      </c>
      <c r="AB64">
        <v>19</v>
      </c>
      <c r="AC64">
        <v>18.807300000000001</v>
      </c>
      <c r="AD64">
        <v>-1.108151036814</v>
      </c>
      <c r="AE64">
        <v>0.44700000000000201</v>
      </c>
      <c r="AF64">
        <v>-0.47145349256602098</v>
      </c>
      <c r="AG64">
        <v>-1.108151036814</v>
      </c>
      <c r="AH64">
        <v>18.7416328041088</v>
      </c>
      <c r="AI64">
        <v>93.382764555831898</v>
      </c>
      <c r="AJ64">
        <v>91.440995032777295</v>
      </c>
      <c r="AK64">
        <v>18.780284004244798</v>
      </c>
      <c r="AL64">
        <v>90.123463220123099</v>
      </c>
      <c r="AM64">
        <v>93.034725690289207</v>
      </c>
      <c r="AN64">
        <v>0.99999998670082002</v>
      </c>
    </row>
    <row r="65" spans="1:40" x14ac:dyDescent="0.25">
      <c r="A65" t="str">
        <f>"20190305135533989"</f>
        <v>20190305135533989</v>
      </c>
      <c r="B65" t="str">
        <f>"1551765333981887"</f>
        <v>1551765333981887</v>
      </c>
      <c r="C65" t="s">
        <v>40</v>
      </c>
      <c r="D65">
        <v>4.2556459999999996</v>
      </c>
      <c r="E65">
        <v>0.50976769999999905</v>
      </c>
      <c r="F65" t="s">
        <v>42</v>
      </c>
      <c r="G65">
        <v>-450.59019999999998</v>
      </c>
      <c r="H65" s="1">
        <v>-4.3772890000000003E-6</v>
      </c>
      <c r="I65">
        <v>367.59699999999998</v>
      </c>
      <c r="J65">
        <v>-469.98329999999999</v>
      </c>
      <c r="K65">
        <v>1.108198</v>
      </c>
      <c r="L65">
        <v>367.14920000000001</v>
      </c>
      <c r="M65">
        <v>0.99999400000000005</v>
      </c>
      <c r="N65">
        <v>3.4281429999999998E-3</v>
      </c>
      <c r="O65">
        <v>-4.6535519999999999E-4</v>
      </c>
      <c r="P65">
        <v>0.99868509999999999</v>
      </c>
      <c r="Q65">
        <v>1.726361E-3</v>
      </c>
      <c r="R65">
        <v>5.1238810000000003E-2</v>
      </c>
      <c r="S65">
        <v>3.000702</v>
      </c>
      <c r="T65">
        <v>-0.16964070000000001</v>
      </c>
      <c r="U65">
        <v>6.8664550000000005E-2</v>
      </c>
      <c r="V65">
        <v>-5.1702070000000003E-2</v>
      </c>
      <c r="W65">
        <v>-1.750487E-3</v>
      </c>
      <c r="X65">
        <v>0.99866100000000002</v>
      </c>
      <c r="Y65">
        <v>-2.3306299999999999E-2</v>
      </c>
      <c r="Z65">
        <v>6.4607749999999995E-4</v>
      </c>
      <c r="AA65">
        <v>0.99972810000000001</v>
      </c>
      <c r="AB65">
        <v>19</v>
      </c>
      <c r="AC65">
        <v>19.3931</v>
      </c>
      <c r="AD65">
        <v>-1.108202377289</v>
      </c>
      <c r="AE65">
        <v>0.447799999999972</v>
      </c>
      <c r="AF65">
        <v>-0.45533858937142702</v>
      </c>
      <c r="AG65">
        <v>-1.108202377289</v>
      </c>
      <c r="AH65">
        <v>19.329802552367401</v>
      </c>
      <c r="AI65">
        <v>93.280340652192393</v>
      </c>
      <c r="AJ65">
        <v>91.349426895145697</v>
      </c>
      <c r="AK65">
        <v>19.366897336783399</v>
      </c>
      <c r="AL65">
        <v>90.100295570360899</v>
      </c>
      <c r="AM65">
        <v>92.963636356053499</v>
      </c>
      <c r="AN65">
        <v>0.99999998058400996</v>
      </c>
    </row>
    <row r="66" spans="1:40" x14ac:dyDescent="0.25">
      <c r="A66" t="str">
        <f>"20190305135534018"</f>
        <v>20190305135534018</v>
      </c>
      <c r="B66" t="str">
        <f>"1551765334011169"</f>
        <v>1551765334011169</v>
      </c>
      <c r="C66" t="s">
        <v>40</v>
      </c>
      <c r="D66">
        <v>4.2659250000000002</v>
      </c>
      <c r="E66">
        <v>0.5094476</v>
      </c>
      <c r="F66" t="s">
        <v>42</v>
      </c>
      <c r="G66">
        <v>-449.86189999999999</v>
      </c>
      <c r="H66" s="1">
        <v>-5.6942339999999997E-7</v>
      </c>
      <c r="I66">
        <v>367.61610000000002</v>
      </c>
      <c r="J66">
        <v>-469.7217</v>
      </c>
      <c r="K66">
        <v>1.1082430000000001</v>
      </c>
      <c r="L66">
        <v>367.15030000000002</v>
      </c>
      <c r="M66">
        <v>0.99999420000000006</v>
      </c>
      <c r="N66">
        <v>3.3680709999999998E-3</v>
      </c>
      <c r="O66">
        <v>6.7790089999999895E-4</v>
      </c>
      <c r="P66">
        <v>0.99867629999999996</v>
      </c>
      <c r="Q66">
        <v>3.9627380000000004E-3</v>
      </c>
      <c r="R66">
        <v>5.1284629999999998E-2</v>
      </c>
      <c r="S66">
        <v>3.0006710000000001</v>
      </c>
      <c r="T66">
        <v>-0.16526440000000001</v>
      </c>
      <c r="U66">
        <v>6.9641110000000006E-2</v>
      </c>
      <c r="V66">
        <v>-5.060829E-2</v>
      </c>
      <c r="W66">
        <v>5.4341939999999998E-4</v>
      </c>
      <c r="X66">
        <v>0.99871840000000001</v>
      </c>
      <c r="Y66">
        <v>-2.249371E-2</v>
      </c>
      <c r="Z66">
        <v>5.4138169999999998E-4</v>
      </c>
      <c r="AA66">
        <v>0.99974689999999999</v>
      </c>
      <c r="AB66">
        <v>19</v>
      </c>
      <c r="AC66">
        <v>19.8598</v>
      </c>
      <c r="AD66">
        <v>-1.1082435694233901</v>
      </c>
      <c r="AE66">
        <v>0.46580000000000099</v>
      </c>
      <c r="AF66">
        <v>-0.450933400361956</v>
      </c>
      <c r="AG66">
        <v>-1.1082435694233901</v>
      </c>
      <c r="AH66">
        <v>19.798492300012999</v>
      </c>
      <c r="AI66">
        <v>93.203025307003799</v>
      </c>
      <c r="AJ66">
        <v>91.304751598257397</v>
      </c>
      <c r="AK66">
        <v>19.834612224452599</v>
      </c>
      <c r="AL66">
        <v>89.968864359358406</v>
      </c>
      <c r="AM66">
        <v>92.900881134320002</v>
      </c>
      <c r="AN66">
        <v>0.99999996840996297</v>
      </c>
    </row>
    <row r="67" spans="1:40" x14ac:dyDescent="0.25">
      <c r="A67" t="str">
        <f>"20190305135534041"</f>
        <v>20190305135534041</v>
      </c>
      <c r="B67" t="str">
        <f>"1551765334031665"</f>
        <v>1551765334031665</v>
      </c>
      <c r="C67" t="s">
        <v>40</v>
      </c>
      <c r="D67">
        <v>4.2278330000000004</v>
      </c>
      <c r="E67">
        <v>0.50940229999999997</v>
      </c>
      <c r="F67" t="s">
        <v>42</v>
      </c>
      <c r="G67">
        <v>-448.62299999999999</v>
      </c>
      <c r="H67" s="1">
        <v>-1.032918E-6</v>
      </c>
      <c r="I67">
        <v>367.66230000000002</v>
      </c>
      <c r="J67">
        <v>-469.51940000000002</v>
      </c>
      <c r="K67">
        <v>1.108266</v>
      </c>
      <c r="L67">
        <v>367.15140000000002</v>
      </c>
      <c r="M67">
        <v>0.99999340000000003</v>
      </c>
      <c r="N67">
        <v>3.3184009999999999E-3</v>
      </c>
      <c r="O67">
        <v>1.5421110000000001E-3</v>
      </c>
      <c r="P67">
        <v>0.99863310000000005</v>
      </c>
      <c r="Q67">
        <v>5.8021949999999996E-3</v>
      </c>
      <c r="R67">
        <v>5.1943639999999999E-2</v>
      </c>
      <c r="S67">
        <v>3.0008240000000002</v>
      </c>
      <c r="T67">
        <v>-0.1576236</v>
      </c>
      <c r="U67">
        <v>7.2814939999999995E-2</v>
      </c>
      <c r="V67">
        <v>-5.0406220000000002E-2</v>
      </c>
      <c r="W67">
        <v>2.4316920000000001E-3</v>
      </c>
      <c r="X67">
        <v>0.9987258</v>
      </c>
      <c r="Y67">
        <v>-2.2689270000000001E-2</v>
      </c>
      <c r="Z67">
        <v>4.7167649999999998E-4</v>
      </c>
      <c r="AA67">
        <v>0.99974240000000003</v>
      </c>
      <c r="AB67">
        <v>20</v>
      </c>
      <c r="AC67">
        <v>20.8963999999999</v>
      </c>
      <c r="AD67">
        <v>-1.108267032918</v>
      </c>
      <c r="AE67">
        <v>0.51089999999999203</v>
      </c>
      <c r="AF67">
        <v>-0.47733278855245298</v>
      </c>
      <c r="AG67">
        <v>-1.108267032918</v>
      </c>
      <c r="AH67">
        <v>20.8385823257311</v>
      </c>
      <c r="AI67">
        <v>93.043520437453495</v>
      </c>
      <c r="AJ67">
        <v>91.312199264407795</v>
      </c>
      <c r="AK67">
        <v>20.873490741932802</v>
      </c>
      <c r="AL67">
        <v>89.860674168702005</v>
      </c>
      <c r="AM67">
        <v>92.889296720014897</v>
      </c>
      <c r="AN67">
        <v>0.99999996186315498</v>
      </c>
    </row>
    <row r="68" spans="1:40" x14ac:dyDescent="0.25">
      <c r="A68" t="str">
        <f>"20190305135534064"</f>
        <v>20190305135534064</v>
      </c>
      <c r="B68" t="str">
        <f>"1551765334051184"</f>
        <v>1551765334051184</v>
      </c>
      <c r="C68" t="s">
        <v>40</v>
      </c>
      <c r="D68">
        <v>4.2243680000000001</v>
      </c>
      <c r="E68">
        <v>0.50928329999999999</v>
      </c>
      <c r="F68" t="s">
        <v>42</v>
      </c>
      <c r="G68">
        <v>-447.67899999999997</v>
      </c>
      <c r="H68" s="1">
        <v>-1.4178710000000001E-6</v>
      </c>
      <c r="I68">
        <v>367.69819999999999</v>
      </c>
      <c r="J68">
        <v>-469.31779999999998</v>
      </c>
      <c r="K68">
        <v>1.1082749999999999</v>
      </c>
      <c r="L68">
        <v>367.15260000000001</v>
      </c>
      <c r="M68">
        <v>0.99999199999999999</v>
      </c>
      <c r="N68">
        <v>3.2668649999999999E-3</v>
      </c>
      <c r="O68">
        <v>2.3734339999999998E-3</v>
      </c>
      <c r="P68">
        <v>0.99855260000000001</v>
      </c>
      <c r="Q68">
        <v>7.8125279999999991E-3</v>
      </c>
      <c r="R68">
        <v>5.3215350000000002E-2</v>
      </c>
      <c r="S68">
        <v>3.0010379999999999</v>
      </c>
      <c r="T68">
        <v>-0.15228449999999999</v>
      </c>
      <c r="U68">
        <v>7.5134279999999998E-2</v>
      </c>
      <c r="V68">
        <v>-5.0850180000000002E-2</v>
      </c>
      <c r="W68">
        <v>4.4939999999999997E-3</v>
      </c>
      <c r="X68">
        <v>0.99869620000000003</v>
      </c>
      <c r="Y68">
        <v>-2.2631720000000001E-2</v>
      </c>
      <c r="Z68">
        <v>4.0866969999999998E-4</v>
      </c>
      <c r="AA68">
        <v>0.99974379999999996</v>
      </c>
      <c r="AB68">
        <v>20</v>
      </c>
      <c r="AC68">
        <v>21.6387999999999</v>
      </c>
      <c r="AD68">
        <v>-1.1082764178709901</v>
      </c>
      <c r="AE68">
        <v>0.54559999999997899</v>
      </c>
      <c r="AF68">
        <v>-0.492947659312515</v>
      </c>
      <c r="AG68">
        <v>-1.1082764178709901</v>
      </c>
      <c r="AH68">
        <v>21.583452466728399</v>
      </c>
      <c r="AI68">
        <v>92.9387017216484</v>
      </c>
      <c r="AJ68">
        <v>91.308359312275499</v>
      </c>
      <c r="AK68">
        <v>21.617508977603201</v>
      </c>
      <c r="AL68">
        <v>89.742511904886399</v>
      </c>
      <c r="AM68">
        <v>92.914787163215493</v>
      </c>
      <c r="AN68">
        <v>1.00000001836823</v>
      </c>
    </row>
    <row r="69" spans="1:40" x14ac:dyDescent="0.25">
      <c r="A69" t="str">
        <f>"20190305135534085"</f>
        <v>20190305135534085</v>
      </c>
      <c r="B69" t="str">
        <f>"1551765334081946"</f>
        <v>1551765334081946</v>
      </c>
      <c r="C69" t="s">
        <v>40</v>
      </c>
      <c r="D69">
        <v>4.1780749999999998</v>
      </c>
      <c r="E69">
        <v>0.50959169999999998</v>
      </c>
      <c r="F69" t="s">
        <v>42</v>
      </c>
      <c r="G69">
        <v>-446.52409999999998</v>
      </c>
      <c r="H69" s="1">
        <v>-1.9521310000000001E-6</v>
      </c>
      <c r="I69">
        <v>367.76389999999998</v>
      </c>
      <c r="J69">
        <v>-469.12279999999998</v>
      </c>
      <c r="K69">
        <v>1.1082620000000001</v>
      </c>
      <c r="L69">
        <v>367.154</v>
      </c>
      <c r="M69">
        <v>0.99998989999999999</v>
      </c>
      <c r="N69">
        <v>3.215683E-3</v>
      </c>
      <c r="O69">
        <v>3.137819E-3</v>
      </c>
      <c r="P69">
        <v>0.99848230000000004</v>
      </c>
      <c r="Q69">
        <v>9.6553469999999999E-3</v>
      </c>
      <c r="R69">
        <v>5.4222369999999999E-2</v>
      </c>
      <c r="S69">
        <v>3.0012210000000001</v>
      </c>
      <c r="T69">
        <v>-0.14592579999999999</v>
      </c>
      <c r="U69">
        <v>8.0474850000000001E-2</v>
      </c>
      <c r="V69">
        <v>-5.1096330000000002E-2</v>
      </c>
      <c r="W69">
        <v>6.3893999999999999E-3</v>
      </c>
      <c r="X69">
        <v>0.99867329999999999</v>
      </c>
      <c r="Y69">
        <v>-2.364571E-2</v>
      </c>
      <c r="Z69">
        <v>3.738333E-4</v>
      </c>
      <c r="AA69">
        <v>0.99972030000000001</v>
      </c>
      <c r="AB69">
        <v>20</v>
      </c>
      <c r="AC69">
        <v>22.598700000000001</v>
      </c>
      <c r="AD69">
        <v>-1.108263952131</v>
      </c>
      <c r="AE69">
        <v>0.60989999999998101</v>
      </c>
      <c r="AF69">
        <v>-0.53769377463423296</v>
      </c>
      <c r="AG69">
        <v>-1.108263952131</v>
      </c>
      <c r="AH69">
        <v>22.546317532915101</v>
      </c>
      <c r="AI69">
        <v>92.813309647654407</v>
      </c>
      <c r="AJ69">
        <v>91.366154155117997</v>
      </c>
      <c r="AK69">
        <v>22.579942379862398</v>
      </c>
      <c r="AL69">
        <v>89.633911859030405</v>
      </c>
      <c r="AM69">
        <v>92.928939282084102</v>
      </c>
      <c r="AN69">
        <v>1.00000000975235</v>
      </c>
    </row>
    <row r="70" spans="1:40" x14ac:dyDescent="0.25">
      <c r="A70" t="str">
        <f>"20190305135534107"</f>
        <v>20190305135534107</v>
      </c>
      <c r="B70" t="str">
        <f>"1551765334101466"</f>
        <v>1551765334101466</v>
      </c>
      <c r="C70" t="s">
        <v>40</v>
      </c>
      <c r="D70">
        <v>4.1374029999999999</v>
      </c>
      <c r="E70">
        <v>0.50955810000000001</v>
      </c>
      <c r="F70" t="s">
        <v>42</v>
      </c>
      <c r="G70">
        <v>-445.42380000000003</v>
      </c>
      <c r="H70" s="1">
        <v>-2.466951E-6</v>
      </c>
      <c r="I70">
        <v>367.7937</v>
      </c>
      <c r="J70">
        <v>-468.91640000000001</v>
      </c>
      <c r="K70">
        <v>1.1082479999999999</v>
      </c>
      <c r="L70">
        <v>367.15550000000002</v>
      </c>
      <c r="M70">
        <v>0.99998739999999997</v>
      </c>
      <c r="N70">
        <v>3.1607570000000001E-3</v>
      </c>
      <c r="O70">
        <v>3.8949919999999999E-3</v>
      </c>
      <c r="P70">
        <v>0.99838059999999995</v>
      </c>
      <c r="Q70">
        <v>1.164871E-2</v>
      </c>
      <c r="R70">
        <v>5.5683299999999998E-2</v>
      </c>
      <c r="S70">
        <v>3.0014949999999998</v>
      </c>
      <c r="T70">
        <v>-0.14036270000000001</v>
      </c>
      <c r="U70">
        <v>8.1024170000000006E-2</v>
      </c>
      <c r="V70">
        <v>-5.1802689999999998E-2</v>
      </c>
      <c r="W70">
        <v>8.4406959999999993E-3</v>
      </c>
      <c r="X70">
        <v>0.9986216</v>
      </c>
      <c r="Y70">
        <v>-2.307234E-2</v>
      </c>
      <c r="Z70">
        <v>3.0828639999999998E-4</v>
      </c>
      <c r="AA70">
        <v>0.99973369999999995</v>
      </c>
      <c r="AB70">
        <v>20</v>
      </c>
      <c r="AC70">
        <v>23.4925999999999</v>
      </c>
      <c r="AD70">
        <v>-1.1082504669509901</v>
      </c>
      <c r="AE70">
        <v>0.638199999999983</v>
      </c>
      <c r="AF70">
        <v>-0.545478183396785</v>
      </c>
      <c r="AG70">
        <v>-1.1082504669509901</v>
      </c>
      <c r="AH70">
        <v>23.4427758386975</v>
      </c>
      <c r="AI70">
        <v>92.705894979173294</v>
      </c>
      <c r="AJ70">
        <v>91.332946204814107</v>
      </c>
      <c r="AK70">
        <v>23.475295622621601</v>
      </c>
      <c r="AL70">
        <v>89.516377967414101</v>
      </c>
      <c r="AM70">
        <v>92.969510671733303</v>
      </c>
      <c r="AN70">
        <v>0.999999932013377</v>
      </c>
    </row>
    <row r="71" spans="1:40" x14ac:dyDescent="0.25">
      <c r="A71" t="str">
        <f>"20190305135534130"</f>
        <v>20190305135534130</v>
      </c>
      <c r="B71" t="str">
        <f>"1551765334121963"</f>
        <v>1551765334121963</v>
      </c>
      <c r="C71" t="s">
        <v>40</v>
      </c>
      <c r="D71">
        <v>4.1281639999999999</v>
      </c>
      <c r="E71">
        <v>0.50945070000000003</v>
      </c>
      <c r="F71" t="s">
        <v>42</v>
      </c>
      <c r="G71">
        <v>-444.15609999999998</v>
      </c>
      <c r="H71" s="1">
        <v>-3.053882E-6</v>
      </c>
      <c r="I71">
        <v>367.86320000000001</v>
      </c>
      <c r="J71">
        <v>-468.70170000000002</v>
      </c>
      <c r="K71">
        <v>1.108225</v>
      </c>
      <c r="L71">
        <v>367.15719999999999</v>
      </c>
      <c r="M71">
        <v>0.9999846</v>
      </c>
      <c r="N71">
        <v>3.103125E-3</v>
      </c>
      <c r="O71">
        <v>4.6165059999999898E-3</v>
      </c>
      <c r="P71">
        <v>0.99829690000000004</v>
      </c>
      <c r="Q71">
        <v>1.277443E-2</v>
      </c>
      <c r="R71">
        <v>5.6923080000000001E-2</v>
      </c>
      <c r="S71">
        <v>3.001617</v>
      </c>
      <c r="T71">
        <v>-0.13435030000000001</v>
      </c>
      <c r="U71">
        <v>8.5784910000000006E-2</v>
      </c>
      <c r="V71">
        <v>-5.2323069999999999E-2</v>
      </c>
      <c r="W71">
        <v>9.6279729999999997E-3</v>
      </c>
      <c r="X71">
        <v>0.99858380000000002</v>
      </c>
      <c r="Y71">
        <v>-2.3935950000000001E-2</v>
      </c>
      <c r="Z71">
        <v>2.7734040000000003E-4</v>
      </c>
      <c r="AA71">
        <v>0.99971350000000003</v>
      </c>
      <c r="AB71">
        <v>21</v>
      </c>
      <c r="AC71">
        <v>24.5456</v>
      </c>
      <c r="AD71">
        <v>-1.108228053882</v>
      </c>
      <c r="AE71">
        <v>0.70600000000001695</v>
      </c>
      <c r="AF71">
        <v>-0.59147230912780502</v>
      </c>
      <c r="AG71">
        <v>-1.108228053882</v>
      </c>
      <c r="AH71">
        <v>24.498698360639501</v>
      </c>
      <c r="AI71">
        <v>92.589324180625695</v>
      </c>
      <c r="AJ71">
        <v>91.383023880636998</v>
      </c>
      <c r="AK71">
        <v>24.5308831939961</v>
      </c>
      <c r="AL71">
        <v>89.448349260772304</v>
      </c>
      <c r="AM71">
        <v>92.999399798280294</v>
      </c>
      <c r="AN71">
        <v>1.00000000357037</v>
      </c>
    </row>
    <row r="72" spans="1:40" x14ac:dyDescent="0.25">
      <c r="A72" t="str">
        <f>"20190305135534154"</f>
        <v>20190305135534154</v>
      </c>
      <c r="B72" t="str">
        <f>"1551765334151242"</f>
        <v>1551765334151242</v>
      </c>
      <c r="C72" t="s">
        <v>40</v>
      </c>
      <c r="D72">
        <v>4.1187620000000003</v>
      </c>
      <c r="E72">
        <v>0.50925419999999999</v>
      </c>
      <c r="F72" t="s">
        <v>42</v>
      </c>
      <c r="G72">
        <v>-443.4203</v>
      </c>
      <c r="H72" s="1">
        <v>-3.392326E-6</v>
      </c>
      <c r="I72">
        <v>367.916</v>
      </c>
      <c r="J72">
        <v>-468.4769</v>
      </c>
      <c r="K72">
        <v>1.108195</v>
      </c>
      <c r="L72">
        <v>367.15910000000002</v>
      </c>
      <c r="M72">
        <v>0.99998129999999996</v>
      </c>
      <c r="N72">
        <v>3.042767E-3</v>
      </c>
      <c r="O72">
        <v>5.2965549999999997E-3</v>
      </c>
      <c r="P72">
        <v>0.99821510000000002</v>
      </c>
      <c r="Q72">
        <v>1.2693380000000001E-2</v>
      </c>
      <c r="R72">
        <v>5.8355890000000001E-2</v>
      </c>
      <c r="S72">
        <v>3.0016780000000001</v>
      </c>
      <c r="T72">
        <v>-0.13158129999999901</v>
      </c>
      <c r="U72">
        <v>9.0087890000000004E-2</v>
      </c>
      <c r="V72">
        <v>-5.3075379999999998E-2</v>
      </c>
      <c r="W72">
        <v>9.6117609999999999E-3</v>
      </c>
      <c r="X72">
        <v>0.99854430000000005</v>
      </c>
      <c r="Y72">
        <v>-2.4688160000000001E-2</v>
      </c>
      <c r="Z72">
        <v>2.5503219999999999E-4</v>
      </c>
      <c r="AA72">
        <v>0.99969520000000001</v>
      </c>
      <c r="AB72">
        <v>21</v>
      </c>
      <c r="AC72">
        <v>25.0566</v>
      </c>
      <c r="AD72">
        <v>-1.1081983923259999</v>
      </c>
      <c r="AE72">
        <v>0.75689999999997304</v>
      </c>
      <c r="AF72">
        <v>-0.62295764710310697</v>
      </c>
      <c r="AG72">
        <v>-1.1081983923259999</v>
      </c>
      <c r="AH72">
        <v>25.011377394606502</v>
      </c>
      <c r="AI72">
        <v>92.536203455797406</v>
      </c>
      <c r="AJ72">
        <v>91.4267693220784</v>
      </c>
      <c r="AK72">
        <v>25.0436654482181</v>
      </c>
      <c r="AL72">
        <v>89.449278208768405</v>
      </c>
      <c r="AM72">
        <v>93.042565355085202</v>
      </c>
      <c r="AN72">
        <v>1.0000000504870701</v>
      </c>
    </row>
    <row r="73" spans="1:40" x14ac:dyDescent="0.25">
      <c r="A73" t="str">
        <f>"20190305135534177"</f>
        <v>20190305135534177</v>
      </c>
      <c r="B73" t="str">
        <f>"1551765334171270"</f>
        <v>1551765334171270</v>
      </c>
      <c r="C73" t="s">
        <v>40</v>
      </c>
      <c r="D73">
        <v>4.104101</v>
      </c>
      <c r="E73">
        <v>0.5092795</v>
      </c>
      <c r="F73" t="s">
        <v>42</v>
      </c>
      <c r="G73">
        <v>-443.25330000000002</v>
      </c>
      <c r="H73" s="1">
        <v>-3.4621240000000001E-6</v>
      </c>
      <c r="I73">
        <v>367.96769999999998</v>
      </c>
      <c r="J73">
        <v>-468.25720000000001</v>
      </c>
      <c r="K73">
        <v>1.1081620000000001</v>
      </c>
      <c r="L73">
        <v>367.161</v>
      </c>
      <c r="M73">
        <v>0.99997829999999999</v>
      </c>
      <c r="N73">
        <v>2.9833300000000002E-3</v>
      </c>
      <c r="O73">
        <v>5.9003950000000001E-3</v>
      </c>
      <c r="P73">
        <v>0.99810489999999996</v>
      </c>
      <c r="Q73">
        <v>1.3089389999999999E-2</v>
      </c>
      <c r="R73">
        <v>6.0130419999999997E-2</v>
      </c>
      <c r="S73">
        <v>3.001404</v>
      </c>
      <c r="T73">
        <v>-0.13186629999999999</v>
      </c>
      <c r="U73">
        <v>9.6221920000000002E-2</v>
      </c>
      <c r="V73">
        <v>-5.4247379999999998E-2</v>
      </c>
      <c r="W73">
        <v>1.0071409999999999E-2</v>
      </c>
      <c r="X73">
        <v>0.99847669999999999</v>
      </c>
      <c r="Y73">
        <v>-2.6127580000000001E-2</v>
      </c>
      <c r="Z73">
        <v>2.5790699999999998E-4</v>
      </c>
      <c r="AA73">
        <v>0.99965859999999995</v>
      </c>
      <c r="AB73">
        <v>21</v>
      </c>
      <c r="AC73">
        <v>25.003899999999899</v>
      </c>
      <c r="AD73">
        <v>-1.108165462124</v>
      </c>
      <c r="AE73">
        <v>0.80669999999997799</v>
      </c>
      <c r="AF73">
        <v>-0.65786158553841301</v>
      </c>
      <c r="AG73">
        <v>-1.108165462124</v>
      </c>
      <c r="AH73">
        <v>24.959249726053599</v>
      </c>
      <c r="AI73">
        <v>92.541323686841096</v>
      </c>
      <c r="AJ73">
        <v>91.509819720512496</v>
      </c>
      <c r="AK73">
        <v>24.9924980633124</v>
      </c>
      <c r="AL73">
        <v>89.422940937846604</v>
      </c>
      <c r="AM73">
        <v>93.1098303617173</v>
      </c>
      <c r="AN73">
        <v>0.99999996598956997</v>
      </c>
    </row>
    <row r="74" spans="1:40" x14ac:dyDescent="0.25">
      <c r="A74" t="str">
        <f>"20190305135534198"</f>
        <v>20190305135534198</v>
      </c>
      <c r="B74" t="str">
        <f>"1551765334191765"</f>
        <v>1551765334191765</v>
      </c>
      <c r="C74" t="s">
        <v>40</v>
      </c>
      <c r="D74">
        <v>4.0470430000000004</v>
      </c>
      <c r="E74">
        <v>0.50934699999999999</v>
      </c>
      <c r="F74" t="s">
        <v>42</v>
      </c>
      <c r="G74">
        <v>-442.84339999999997</v>
      </c>
      <c r="H74" s="1">
        <v>-3.6463269999999998E-6</v>
      </c>
      <c r="I74">
        <v>368.0215</v>
      </c>
      <c r="J74">
        <v>-468.04590000000002</v>
      </c>
      <c r="K74">
        <v>1.108136</v>
      </c>
      <c r="L74">
        <v>367.16289999999998</v>
      </c>
      <c r="M74">
        <v>0.99997510000000001</v>
      </c>
      <c r="N74">
        <v>2.9258460000000002E-3</v>
      </c>
      <c r="O74">
        <v>6.430046E-3</v>
      </c>
      <c r="P74">
        <v>0.99800739999999999</v>
      </c>
      <c r="Q74">
        <v>1.326712E-2</v>
      </c>
      <c r="R74">
        <v>6.1689059999999997E-2</v>
      </c>
      <c r="S74">
        <v>3.0012819999999998</v>
      </c>
      <c r="T74">
        <v>-0.13087069999999901</v>
      </c>
      <c r="U74">
        <v>0.10162350000000001</v>
      </c>
      <c r="V74">
        <v>-5.5277519999999997E-2</v>
      </c>
      <c r="W74">
        <v>1.0309820000000001E-2</v>
      </c>
      <c r="X74">
        <v>0.99841780000000002</v>
      </c>
      <c r="Y74">
        <v>-2.7396259999999999E-2</v>
      </c>
      <c r="Z74">
        <v>2.5778530000000001E-4</v>
      </c>
      <c r="AA74">
        <v>0.99962459999999997</v>
      </c>
      <c r="AB74">
        <v>22</v>
      </c>
      <c r="AC74">
        <v>25.202500000000001</v>
      </c>
      <c r="AD74">
        <v>-1.1081396463269999</v>
      </c>
      <c r="AE74">
        <v>0.85860000000002401</v>
      </c>
      <c r="AF74">
        <v>-0.695185878271671</v>
      </c>
      <c r="AG74">
        <v>-1.1081396463269999</v>
      </c>
      <c r="AH74">
        <v>25.158916222448401</v>
      </c>
      <c r="AI74">
        <v>92.521036120893598</v>
      </c>
      <c r="AJ74">
        <v>91.582782176984395</v>
      </c>
      <c r="AK74">
        <v>25.192902222040399</v>
      </c>
      <c r="AL74">
        <v>89.409280361300603</v>
      </c>
      <c r="AM74">
        <v>93.1689523496606</v>
      </c>
      <c r="AN74">
        <v>0.99999999998131095</v>
      </c>
    </row>
    <row r="75" spans="1:40" x14ac:dyDescent="0.25">
      <c r="A75" t="str">
        <f>"20190305135534220"</f>
        <v>20190305135534220</v>
      </c>
      <c r="B75" t="str">
        <f>"1551765334211285"</f>
        <v>1551765334211285</v>
      </c>
      <c r="C75" t="s">
        <v>40</v>
      </c>
      <c r="D75">
        <v>4.0732860000000004</v>
      </c>
      <c r="E75">
        <v>0.50946219999999998</v>
      </c>
      <c r="F75" t="s">
        <v>42</v>
      </c>
      <c r="G75">
        <v>-442.6028</v>
      </c>
      <c r="H75" s="1">
        <v>-3.753487E-6</v>
      </c>
      <c r="I75">
        <v>368.05880000000002</v>
      </c>
      <c r="J75">
        <v>-467.83949999999999</v>
      </c>
      <c r="K75">
        <v>1.1081110000000001</v>
      </c>
      <c r="L75">
        <v>367.16480000000001</v>
      </c>
      <c r="M75">
        <v>0.99997210000000003</v>
      </c>
      <c r="N75">
        <v>2.8695119999999998E-3</v>
      </c>
      <c r="O75">
        <v>6.9045869999999898E-3</v>
      </c>
      <c r="P75">
        <v>0.99792720000000001</v>
      </c>
      <c r="Q75">
        <v>1.3369890000000001E-2</v>
      </c>
      <c r="R75">
        <v>6.2951800000000002E-2</v>
      </c>
      <c r="S75">
        <v>3.0012210000000001</v>
      </c>
      <c r="T75">
        <v>-0.13071379999999999</v>
      </c>
      <c r="U75">
        <v>0.105682399999999</v>
      </c>
      <c r="V75">
        <v>-5.6066749999999999E-2</v>
      </c>
      <c r="W75">
        <v>1.047241E-2</v>
      </c>
      <c r="X75">
        <v>0.99837209999999998</v>
      </c>
      <c r="Y75">
        <v>-2.827257E-2</v>
      </c>
      <c r="Z75">
        <v>2.5433820000000002E-4</v>
      </c>
      <c r="AA75">
        <v>0.99960020000000005</v>
      </c>
      <c r="AB75">
        <v>22</v>
      </c>
      <c r="AC75">
        <v>25.2366999999999</v>
      </c>
      <c r="AD75">
        <v>-1.1081147534869999</v>
      </c>
      <c r="AE75">
        <v>0.89400000000000501</v>
      </c>
      <c r="AF75">
        <v>-0.71834576462954802</v>
      </c>
      <c r="AG75">
        <v>-1.1081147534869999</v>
      </c>
      <c r="AH75">
        <v>25.193758766902501</v>
      </c>
      <c r="AI75">
        <v>92.517435442548603</v>
      </c>
      <c r="AJ75">
        <v>91.633223241407606</v>
      </c>
      <c r="AK75">
        <v>25.228345561081301</v>
      </c>
      <c r="AL75">
        <v>89.399964138101495</v>
      </c>
      <c r="AM75">
        <v>93.214249986962201</v>
      </c>
      <c r="AN75">
        <v>1.00000000094259</v>
      </c>
    </row>
    <row r="76" spans="1:40" x14ac:dyDescent="0.25">
      <c r="A76" t="str">
        <f>"20190305135534242"</f>
        <v>20190305135534242</v>
      </c>
      <c r="B76" t="str">
        <f>"1551765334231781"</f>
        <v>1551765334231781</v>
      </c>
      <c r="C76" t="s">
        <v>40</v>
      </c>
      <c r="D76">
        <v>4.0262669999999998</v>
      </c>
      <c r="E76">
        <v>0.50958870000000001</v>
      </c>
      <c r="F76" t="s">
        <v>42</v>
      </c>
      <c r="G76">
        <v>-442.40120000000002</v>
      </c>
      <c r="H76" s="1">
        <v>-3.8436059999999997E-6</v>
      </c>
      <c r="I76">
        <v>368.08769999999998</v>
      </c>
      <c r="J76">
        <v>-467.60750000000002</v>
      </c>
      <c r="K76">
        <v>1.1080920000000001</v>
      </c>
      <c r="L76">
        <v>367.1669</v>
      </c>
      <c r="M76">
        <v>0.99996870000000004</v>
      </c>
      <c r="N76">
        <v>2.8059220000000002E-3</v>
      </c>
      <c r="O76">
        <v>7.3996189999999996E-3</v>
      </c>
      <c r="P76">
        <v>0.99777660000000001</v>
      </c>
      <c r="Q76">
        <v>1.4168679999999999E-2</v>
      </c>
      <c r="R76">
        <v>6.5125139999999998E-2</v>
      </c>
      <c r="S76">
        <v>3.0011899999999998</v>
      </c>
      <c r="T76">
        <v>-0.13073460000000001</v>
      </c>
      <c r="U76">
        <v>0.1088867</v>
      </c>
      <c r="V76">
        <v>-5.7746140000000001E-2</v>
      </c>
      <c r="W76">
        <v>1.1336860000000001E-2</v>
      </c>
      <c r="X76">
        <v>0.99826689999999996</v>
      </c>
      <c r="Y76">
        <v>-2.8843939999999998E-2</v>
      </c>
      <c r="Z76">
        <v>2.4442300000000001E-4</v>
      </c>
      <c r="AA76">
        <v>0.99958389999999997</v>
      </c>
      <c r="AB76">
        <v>22</v>
      </c>
      <c r="AC76">
        <v>25.206299999999999</v>
      </c>
      <c r="AD76">
        <v>-1.108095843606</v>
      </c>
      <c r="AE76">
        <v>0.92079999999998496</v>
      </c>
      <c r="AF76">
        <v>-0.73284265633606005</v>
      </c>
      <c r="AG76">
        <v>-1.108095843606</v>
      </c>
      <c r="AH76">
        <v>25.163857262487401</v>
      </c>
      <c r="AI76">
        <v>92.5203358198724</v>
      </c>
      <c r="AJ76">
        <v>91.668143563080505</v>
      </c>
      <c r="AK76">
        <v>25.198901703931501</v>
      </c>
      <c r="AL76">
        <v>89.350431836380693</v>
      </c>
      <c r="AM76">
        <v>93.310664780497703</v>
      </c>
      <c r="AN76">
        <v>0.99999997235758398</v>
      </c>
    </row>
    <row r="77" spans="1:40" x14ac:dyDescent="0.25">
      <c r="A77" t="str">
        <f>"20190305135534277"</f>
        <v>20190305135534277</v>
      </c>
      <c r="B77" t="str">
        <f>"1551765334271325"</f>
        <v>1551765334271325</v>
      </c>
      <c r="C77" t="s">
        <v>40</v>
      </c>
      <c r="D77">
        <v>4.0388299999999999</v>
      </c>
      <c r="E77">
        <v>0.50988529999999999</v>
      </c>
      <c r="F77" t="s">
        <v>42</v>
      </c>
      <c r="G77">
        <v>-441.77679999999998</v>
      </c>
      <c r="H77" s="1">
        <v>-4.1268939999999997E-6</v>
      </c>
      <c r="I77">
        <v>368.15480000000002</v>
      </c>
      <c r="J77">
        <v>-467.2645</v>
      </c>
      <c r="K77">
        <v>1.1080840000000001</v>
      </c>
      <c r="L77">
        <v>367.1703</v>
      </c>
      <c r="M77">
        <v>0.99996370000000001</v>
      </c>
      <c r="N77">
        <v>2.711013E-3</v>
      </c>
      <c r="O77">
        <v>8.0845099999999996E-3</v>
      </c>
      <c r="P77">
        <v>0.99767240000000001</v>
      </c>
      <c r="Q77">
        <v>1.4096249999999999E-2</v>
      </c>
      <c r="R77">
        <v>6.6718730000000004E-2</v>
      </c>
      <c r="S77">
        <v>3.0010680000000001</v>
      </c>
      <c r="T77">
        <v>-0.1287411</v>
      </c>
      <c r="U77">
        <v>0.11477660000000001</v>
      </c>
      <c r="V77">
        <v>-5.8656710000000001E-2</v>
      </c>
      <c r="W77">
        <v>1.13607E-2</v>
      </c>
      <c r="X77">
        <v>0.99821360000000003</v>
      </c>
      <c r="Y77">
        <v>-3.0119920000000001E-2</v>
      </c>
      <c r="Z77">
        <v>2.3624550000000001E-4</v>
      </c>
      <c r="AA77">
        <v>0.9995463</v>
      </c>
      <c r="AB77">
        <v>22</v>
      </c>
      <c r="AC77">
        <v>25.4877</v>
      </c>
      <c r="AD77">
        <v>-1.1080881268939999</v>
      </c>
      <c r="AE77">
        <v>0.98450000000002502</v>
      </c>
      <c r="AF77">
        <v>-0.77694518985044603</v>
      </c>
      <c r="AG77">
        <v>-1.1080881268939999</v>
      </c>
      <c r="AH77">
        <v>25.446800656741299</v>
      </c>
      <c r="AI77">
        <v>92.4922258254105</v>
      </c>
      <c r="AJ77">
        <v>91.748819270026203</v>
      </c>
      <c r="AK77">
        <v>25.482762149910801</v>
      </c>
      <c r="AL77">
        <v>89.349065856580694</v>
      </c>
      <c r="AM77">
        <v>93.362929266749504</v>
      </c>
      <c r="AN77">
        <v>1.00000003317873</v>
      </c>
    </row>
    <row r="78" spans="1:40" x14ac:dyDescent="0.25">
      <c r="A78" t="str">
        <f>"20190305135534297"</f>
        <v>20190305135534297</v>
      </c>
      <c r="B78" t="str">
        <f>"1551765334291822"</f>
        <v>1551765334291822</v>
      </c>
      <c r="C78" t="s">
        <v>40</v>
      </c>
      <c r="D78">
        <v>4.0375040000000002</v>
      </c>
      <c r="E78">
        <v>0.51004479999999996</v>
      </c>
      <c r="F78" t="s">
        <v>42</v>
      </c>
      <c r="G78">
        <v>-441.43770000000001</v>
      </c>
      <c r="H78" s="1">
        <v>-4.2826409999999999E-6</v>
      </c>
      <c r="I78">
        <v>368.18040000000002</v>
      </c>
      <c r="J78">
        <v>-467.04730000000001</v>
      </c>
      <c r="K78">
        <v>1.108088</v>
      </c>
      <c r="L78">
        <v>367.17250000000001</v>
      </c>
      <c r="M78">
        <v>0.99996039999999997</v>
      </c>
      <c r="N78">
        <v>2.6503619999999999E-3</v>
      </c>
      <c r="O78">
        <v>8.5043419999999998E-3</v>
      </c>
      <c r="P78">
        <v>0.9976256</v>
      </c>
      <c r="Q78">
        <v>1.3612269999999999E-2</v>
      </c>
      <c r="R78">
        <v>6.7514229999999995E-2</v>
      </c>
      <c r="S78">
        <v>3.0009459999999999</v>
      </c>
      <c r="T78">
        <v>-0.12875439999999999</v>
      </c>
      <c r="U78">
        <v>0.11737060000000001</v>
      </c>
      <c r="V78">
        <v>-5.9033009999999997E-2</v>
      </c>
      <c r="W78">
        <v>1.09373E-2</v>
      </c>
      <c r="X78">
        <v>0.99819610000000003</v>
      </c>
      <c r="Y78">
        <v>-3.056451E-2</v>
      </c>
      <c r="Z78">
        <v>2.2751990000000001E-4</v>
      </c>
      <c r="AA78">
        <v>0.9995328</v>
      </c>
      <c r="AB78">
        <v>23</v>
      </c>
      <c r="AC78">
        <v>25.6096</v>
      </c>
      <c r="AD78">
        <v>-1.108092282641</v>
      </c>
      <c r="AE78">
        <v>1.0079</v>
      </c>
      <c r="AF78">
        <v>-0.78859590031577398</v>
      </c>
      <c r="AG78">
        <v>-1.108092282641</v>
      </c>
      <c r="AH78">
        <v>25.569449009055401</v>
      </c>
      <c r="AI78">
        <v>92.480272199897598</v>
      </c>
      <c r="AJ78">
        <v>91.766518280272606</v>
      </c>
      <c r="AK78">
        <v>25.605594596250299</v>
      </c>
      <c r="AL78">
        <v>89.373326368172798</v>
      </c>
      <c r="AM78">
        <v>93.384512650614198</v>
      </c>
      <c r="AN78">
        <v>0.99999998742807905</v>
      </c>
    </row>
    <row r="79" spans="1:40" x14ac:dyDescent="0.25">
      <c r="A79" t="str">
        <f>"20190305135534319"</f>
        <v>20190305135534319</v>
      </c>
      <c r="B79" t="str">
        <f>"1551765334311342"</f>
        <v>1551765334311342</v>
      </c>
      <c r="C79" t="s">
        <v>40</v>
      </c>
      <c r="D79">
        <v>4.2870239999999997</v>
      </c>
      <c r="E79">
        <v>0.51017449999999998</v>
      </c>
      <c r="F79" t="s">
        <v>42</v>
      </c>
      <c r="G79">
        <v>-441.54939999999999</v>
      </c>
      <c r="H79" s="1">
        <v>-4.2293030000000002E-6</v>
      </c>
      <c r="I79">
        <v>368.18349999999998</v>
      </c>
      <c r="J79">
        <v>-466.82159999999999</v>
      </c>
      <c r="K79">
        <v>1.10809</v>
      </c>
      <c r="L79">
        <v>367.1748</v>
      </c>
      <c r="M79">
        <v>0.99995670000000003</v>
      </c>
      <c r="N79">
        <v>2.5866800000000001E-3</v>
      </c>
      <c r="O79">
        <v>8.9374450000000005E-3</v>
      </c>
      <c r="P79">
        <v>0.9975851</v>
      </c>
      <c r="Q79">
        <v>1.311241E-2</v>
      </c>
      <c r="R79">
        <v>6.8205970000000005E-2</v>
      </c>
      <c r="S79">
        <v>3.0008539999999999</v>
      </c>
      <c r="T79">
        <v>-0.13041159999999999</v>
      </c>
      <c r="U79">
        <v>0.118988</v>
      </c>
      <c r="V79">
        <v>-5.9293180000000001E-2</v>
      </c>
      <c r="W79">
        <v>1.050006E-2</v>
      </c>
      <c r="X79">
        <v>0.9981854</v>
      </c>
      <c r="Y79">
        <v>-3.0670490000000002E-2</v>
      </c>
      <c r="Z79">
        <v>2.1501779999999999E-4</v>
      </c>
      <c r="AA79">
        <v>0.99952949999999996</v>
      </c>
      <c r="AB79">
        <v>23</v>
      </c>
      <c r="AC79">
        <v>25.272200000000002</v>
      </c>
      <c r="AD79">
        <v>-1.1080942293030001</v>
      </c>
      <c r="AE79">
        <v>1.00869999999997</v>
      </c>
      <c r="AF79">
        <v>-0.78129041101549401</v>
      </c>
      <c r="AG79">
        <v>-1.1080942293030001</v>
      </c>
      <c r="AH79">
        <v>25.231774821394499</v>
      </c>
      <c r="AI79">
        <v>92.513417996076697</v>
      </c>
      <c r="AJ79">
        <v>91.773571016783094</v>
      </c>
      <c r="AK79">
        <v>25.2681765896338</v>
      </c>
      <c r="AL79">
        <v>89.398379829712397</v>
      </c>
      <c r="AM79">
        <v>93.399430309312095</v>
      </c>
      <c r="AN79">
        <v>1.00000001261383</v>
      </c>
    </row>
    <row r="80" spans="1:40" x14ac:dyDescent="0.25">
      <c r="A80" t="str">
        <f>"20190305135534341"</f>
        <v>20190305135534341</v>
      </c>
      <c r="B80" t="str">
        <f>"1551765334331841"</f>
        <v>1551765334331841</v>
      </c>
      <c r="C80" t="s">
        <v>40</v>
      </c>
      <c r="D80">
        <v>4.0547420000000001</v>
      </c>
      <c r="E80">
        <v>0.5102949</v>
      </c>
      <c r="F80" t="s">
        <v>42</v>
      </c>
      <c r="G80">
        <v>-441.56920000000002</v>
      </c>
      <c r="H80" s="1">
        <v>-4.22013E-6</v>
      </c>
      <c r="I80">
        <v>368.1823</v>
      </c>
      <c r="J80">
        <v>-466.58179999999999</v>
      </c>
      <c r="K80">
        <v>1.108109</v>
      </c>
      <c r="L80">
        <v>367.17750000000001</v>
      </c>
      <c r="M80">
        <v>0.99995279999999998</v>
      </c>
      <c r="N80">
        <v>2.5184669999999999E-3</v>
      </c>
      <c r="O80">
        <v>9.4011670000000002E-3</v>
      </c>
      <c r="P80">
        <v>0.99756469999999997</v>
      </c>
      <c r="Q80">
        <v>1.292109E-2</v>
      </c>
      <c r="R80">
        <v>6.8543850000000003E-2</v>
      </c>
      <c r="S80">
        <v>3.0007929999999998</v>
      </c>
      <c r="T80">
        <v>-0.1316773</v>
      </c>
      <c r="U80">
        <v>0.11972049999999999</v>
      </c>
      <c r="V80">
        <v>-5.9168070000000003E-2</v>
      </c>
      <c r="W80">
        <v>1.037514E-2</v>
      </c>
      <c r="X80">
        <v>0.99819409999999997</v>
      </c>
      <c r="Y80">
        <v>-3.0451599999999902E-2</v>
      </c>
      <c r="Z80">
        <v>1.933545E-4</v>
      </c>
      <c r="AA80">
        <v>0.99953619999999999</v>
      </c>
      <c r="AB80">
        <v>23</v>
      </c>
      <c r="AC80">
        <v>25.0125999999999</v>
      </c>
      <c r="AD80">
        <v>-1.1081132201299999</v>
      </c>
      <c r="AE80">
        <v>1.0047999999999799</v>
      </c>
      <c r="AF80">
        <v>-0.76810214502528296</v>
      </c>
      <c r="AG80">
        <v>-1.1081132201299999</v>
      </c>
      <c r="AH80">
        <v>24.972007741585099</v>
      </c>
      <c r="AI80">
        <v>92.539588924230401</v>
      </c>
      <c r="AJ80">
        <v>91.761778255478205</v>
      </c>
      <c r="AK80">
        <v>25.0083799247294</v>
      </c>
      <c r="AL80">
        <v>89.405537590501496</v>
      </c>
      <c r="AM80">
        <v>93.392244702917097</v>
      </c>
      <c r="AN80">
        <v>0.99999998265617696</v>
      </c>
    </row>
    <row r="81" spans="1:40" x14ac:dyDescent="0.25">
      <c r="A81" t="str">
        <f>"20190305135534368"</f>
        <v>20190305135534368</v>
      </c>
      <c r="B81" t="str">
        <f>"1551765334361624"</f>
        <v>1551765334361624</v>
      </c>
      <c r="C81" t="s">
        <v>40</v>
      </c>
      <c r="D81">
        <v>4.051469</v>
      </c>
      <c r="E81">
        <v>0.47773169999999998</v>
      </c>
      <c r="F81" t="s">
        <v>42</v>
      </c>
      <c r="G81">
        <v>-441.38049999999998</v>
      </c>
      <c r="H81" s="1">
        <v>-4.309454E-6</v>
      </c>
      <c r="I81">
        <v>368.1816</v>
      </c>
      <c r="J81">
        <v>-466.30849999999998</v>
      </c>
      <c r="K81">
        <v>1.1081399999999999</v>
      </c>
      <c r="L81">
        <v>367.18049999999999</v>
      </c>
      <c r="M81">
        <v>0.99994769999999999</v>
      </c>
      <c r="N81">
        <v>2.4397220000000001E-3</v>
      </c>
      <c r="O81">
        <v>9.9407560000000002E-3</v>
      </c>
      <c r="P81">
        <v>0.99757870000000004</v>
      </c>
      <c r="Q81">
        <v>1.324641E-2</v>
      </c>
      <c r="R81">
        <v>6.8274150000000006E-2</v>
      </c>
      <c r="S81">
        <v>3.0008539999999999</v>
      </c>
      <c r="T81">
        <v>-0.13194890000000001</v>
      </c>
      <c r="U81">
        <v>0.1195679</v>
      </c>
      <c r="V81">
        <v>-5.836007E-2</v>
      </c>
      <c r="W81">
        <v>1.0776610000000001E-2</v>
      </c>
      <c r="X81">
        <v>0.99823740000000005</v>
      </c>
      <c r="Y81">
        <v>-2.986163E-2</v>
      </c>
      <c r="Z81">
        <v>1.5855899999999901E-4</v>
      </c>
      <c r="AA81">
        <v>0.99955400000000005</v>
      </c>
      <c r="AB81">
        <v>23</v>
      </c>
      <c r="AC81">
        <v>24.928000000000001</v>
      </c>
      <c r="AD81">
        <v>-1.108144309454</v>
      </c>
      <c r="AE81">
        <v>1.0011000000000001</v>
      </c>
      <c r="AF81">
        <v>-0.75176345533231503</v>
      </c>
      <c r="AG81">
        <v>-1.108144309454</v>
      </c>
      <c r="AH81">
        <v>24.8876177748215</v>
      </c>
      <c r="AI81">
        <v>92.548303131523397</v>
      </c>
      <c r="AJ81">
        <v>91.730168814330398</v>
      </c>
      <c r="AK81">
        <v>24.9236163228565</v>
      </c>
      <c r="AL81">
        <v>89.382533758971306</v>
      </c>
      <c r="AM81">
        <v>93.345881331869606</v>
      </c>
      <c r="AN81">
        <v>0.99999996992612805</v>
      </c>
    </row>
    <row r="82" spans="1:40" x14ac:dyDescent="0.25">
      <c r="A82" t="str">
        <f>"20190305135534388"</f>
        <v>20190305135534388</v>
      </c>
      <c r="B82" t="str">
        <f>"1551765334381144"</f>
        <v>1551765334381144</v>
      </c>
      <c r="C82" t="s">
        <v>40</v>
      </c>
      <c r="D82">
        <v>4.0680480000000001</v>
      </c>
      <c r="E82">
        <v>0.47136489999999998</v>
      </c>
      <c r="F82" t="s">
        <v>42</v>
      </c>
      <c r="G82">
        <v>-452.46499999999997</v>
      </c>
      <c r="H82" s="1">
        <v>-3.3382219999999998E-6</v>
      </c>
      <c r="I82">
        <v>368.92059999999998</v>
      </c>
      <c r="J82">
        <v>-466.09350000000001</v>
      </c>
      <c r="K82">
        <v>1.1081639999999999</v>
      </c>
      <c r="L82">
        <v>367.18310000000002</v>
      </c>
      <c r="M82">
        <v>0.99994340000000004</v>
      </c>
      <c r="N82">
        <v>2.3771729999999998E-3</v>
      </c>
      <c r="O82">
        <v>1.0375250000000001E-2</v>
      </c>
      <c r="P82">
        <v>0.99758389999999997</v>
      </c>
      <c r="Q82">
        <v>1.3673100000000001E-2</v>
      </c>
      <c r="R82">
        <v>6.8114649999999999E-2</v>
      </c>
      <c r="S82">
        <v>2.9848020000000002</v>
      </c>
      <c r="T82">
        <v>-0.2389249</v>
      </c>
      <c r="U82">
        <v>0.37518309999999999</v>
      </c>
      <c r="V82">
        <v>-5.7768090000000001E-2</v>
      </c>
      <c r="W82">
        <v>1.126343E-2</v>
      </c>
      <c r="X82">
        <v>0.99826649999999995</v>
      </c>
      <c r="Y82">
        <v>-0.1141017</v>
      </c>
      <c r="Z82">
        <v>3.5549879999999998E-3</v>
      </c>
      <c r="AA82">
        <v>0.99346270000000003</v>
      </c>
      <c r="AB82">
        <v>24</v>
      </c>
      <c r="AC82">
        <v>13.628500000000001</v>
      </c>
      <c r="AD82">
        <v>-1.1081673382220001</v>
      </c>
      <c r="AE82">
        <v>1.7374999999999501</v>
      </c>
      <c r="AF82">
        <v>-1.5856905290693599</v>
      </c>
      <c r="AG82">
        <v>-1.1081673382220001</v>
      </c>
      <c r="AH82">
        <v>13.5575881630401</v>
      </c>
      <c r="AI82">
        <v>94.641344233490997</v>
      </c>
      <c r="AJ82">
        <v>96.670984788554193</v>
      </c>
      <c r="AK82">
        <v>13.694913146934701</v>
      </c>
      <c r="AL82">
        <v>89.354639359202395</v>
      </c>
      <c r="AM82">
        <v>93.311921727208301</v>
      </c>
      <c r="AN82">
        <v>1.0000000110499301</v>
      </c>
    </row>
    <row r="83" spans="1:40" x14ac:dyDescent="0.25">
      <c r="A83" t="str">
        <f>"20190305135534410"</f>
        <v>20190305135534410</v>
      </c>
      <c r="B83" t="str">
        <f>"1551765334401640"</f>
        <v>1551765334401640</v>
      </c>
      <c r="C83" t="s">
        <v>40</v>
      </c>
      <c r="D83">
        <v>4.0432739999999896</v>
      </c>
      <c r="E83">
        <v>0.46949209999999902</v>
      </c>
      <c r="F83" t="s">
        <v>42</v>
      </c>
      <c r="G83">
        <v>-452.87310000000002</v>
      </c>
      <c r="H83" s="1">
        <v>-3.137047E-6</v>
      </c>
      <c r="I83">
        <v>369.0677</v>
      </c>
      <c r="J83">
        <v>-465.8503</v>
      </c>
      <c r="K83">
        <v>1.108187</v>
      </c>
      <c r="L83">
        <v>367.18610000000001</v>
      </c>
      <c r="M83">
        <v>0.9999382</v>
      </c>
      <c r="N83">
        <v>2.3057809999999998E-3</v>
      </c>
      <c r="O83">
        <v>1.0874470000000001E-2</v>
      </c>
      <c r="P83">
        <v>0.99758800000000003</v>
      </c>
      <c r="Q83">
        <v>1.40421E-2</v>
      </c>
      <c r="R83">
        <v>6.7977560000000006E-2</v>
      </c>
      <c r="S83">
        <v>2.9816280000000002</v>
      </c>
      <c r="T83">
        <v>-0.24992619999999999</v>
      </c>
      <c r="U83">
        <v>0.4250488</v>
      </c>
      <c r="V83">
        <v>-5.7133259999999998E-2</v>
      </c>
      <c r="W83">
        <v>1.1701619999999999E-2</v>
      </c>
      <c r="X83">
        <v>0.99829800000000002</v>
      </c>
      <c r="Y83">
        <v>-0.12996060000000001</v>
      </c>
      <c r="Z83">
        <v>4.3291129999999999E-3</v>
      </c>
      <c r="AA83">
        <v>0.99150970000000005</v>
      </c>
      <c r="AB83">
        <v>24</v>
      </c>
      <c r="AC83">
        <v>12.9771999999999</v>
      </c>
      <c r="AD83">
        <v>-1.108190137047</v>
      </c>
      <c r="AE83">
        <v>1.8815999999999899</v>
      </c>
      <c r="AF83">
        <v>-1.7280263103959701</v>
      </c>
      <c r="AG83">
        <v>-1.108190137047</v>
      </c>
      <c r="AH83">
        <v>12.9047261879009</v>
      </c>
      <c r="AI83">
        <v>94.865007114641401</v>
      </c>
      <c r="AJ83">
        <v>97.626905573821603</v>
      </c>
      <c r="AK83">
        <v>13.066985815174201</v>
      </c>
      <c r="AL83">
        <v>89.329531270396103</v>
      </c>
      <c r="AM83">
        <v>93.2755026344241</v>
      </c>
      <c r="AN83">
        <v>1.0000000170564201</v>
      </c>
    </row>
    <row r="84" spans="1:40" x14ac:dyDescent="0.25">
      <c r="A84" t="str">
        <f>"20190305135534431"</f>
        <v>20190305135534431</v>
      </c>
      <c r="B84" t="str">
        <f>"1551765334422136"</f>
        <v>1551765334422136</v>
      </c>
      <c r="C84" t="s">
        <v>40</v>
      </c>
      <c r="D84">
        <v>4.059863</v>
      </c>
      <c r="E84">
        <v>0.46897329999999998</v>
      </c>
      <c r="F84" t="s">
        <v>42</v>
      </c>
      <c r="G84">
        <v>-452.80090000000001</v>
      </c>
      <c r="H84" s="1">
        <v>-3.1609780000000001E-6</v>
      </c>
      <c r="I84">
        <v>369.10739999999998</v>
      </c>
      <c r="J84">
        <v>-465.61259999999999</v>
      </c>
      <c r="K84">
        <v>1.108209</v>
      </c>
      <c r="L84">
        <v>367.18920000000003</v>
      </c>
      <c r="M84">
        <v>0.99993310000000002</v>
      </c>
      <c r="N84">
        <v>2.235562E-3</v>
      </c>
      <c r="O84">
        <v>1.1367749999999999E-2</v>
      </c>
      <c r="P84">
        <v>0.9975541</v>
      </c>
      <c r="Q84">
        <v>1.393142E-2</v>
      </c>
      <c r="R84">
        <v>6.8499589999999999E-2</v>
      </c>
      <c r="S84">
        <v>2.980896</v>
      </c>
      <c r="T84">
        <v>-0.25314439999999999</v>
      </c>
      <c r="U84">
        <v>0.43890380000000001</v>
      </c>
      <c r="V84">
        <v>-5.7163760000000001E-2</v>
      </c>
      <c r="W84">
        <v>1.1658709999999999E-2</v>
      </c>
      <c r="X84">
        <v>0.99829670000000004</v>
      </c>
      <c r="Y84">
        <v>-0.13399539999999999</v>
      </c>
      <c r="Z84">
        <v>4.5147210000000002E-3</v>
      </c>
      <c r="AA84">
        <v>0.99097170000000001</v>
      </c>
      <c r="AB84">
        <v>24</v>
      </c>
      <c r="AC84">
        <v>12.811699999999901</v>
      </c>
      <c r="AD84">
        <v>-1.108212160978</v>
      </c>
      <c r="AE84">
        <v>1.9181999999999499</v>
      </c>
      <c r="AF84">
        <v>-1.75955871588966</v>
      </c>
      <c r="AG84">
        <v>-1.108212160978</v>
      </c>
      <c r="AH84">
        <v>12.7394480003951</v>
      </c>
      <c r="AI84">
        <v>94.925155325433394</v>
      </c>
      <c r="AJ84">
        <v>97.863876731609494</v>
      </c>
      <c r="AK84">
        <v>12.908048513356899</v>
      </c>
      <c r="AL84">
        <v>89.331989962597802</v>
      </c>
      <c r="AM84">
        <v>93.277251675615602</v>
      </c>
      <c r="AN84">
        <v>0.99999996110354505</v>
      </c>
    </row>
    <row r="85" spans="1:40" x14ac:dyDescent="0.25">
      <c r="A85" t="str">
        <f>"20190305135534454"</f>
        <v>20190305135534454</v>
      </c>
      <c r="B85" t="str">
        <f>"1551765334441659"</f>
        <v>1551765334441659</v>
      </c>
      <c r="C85" t="s">
        <v>40</v>
      </c>
      <c r="D85">
        <v>4.0508189999999997</v>
      </c>
      <c r="E85">
        <v>0.46862789999999999</v>
      </c>
      <c r="F85" t="s">
        <v>42</v>
      </c>
      <c r="G85">
        <v>-452.61169999999998</v>
      </c>
      <c r="H85" s="1">
        <v>-3.2386740000000001E-6</v>
      </c>
      <c r="I85">
        <v>369.12689999999998</v>
      </c>
      <c r="J85">
        <v>-465.36579999999998</v>
      </c>
      <c r="K85">
        <v>1.1082299999999901</v>
      </c>
      <c r="L85">
        <v>367.1925</v>
      </c>
      <c r="M85">
        <v>0.99992700000000001</v>
      </c>
      <c r="N85">
        <v>2.1618150000000001E-3</v>
      </c>
      <c r="O85">
        <v>1.188416E-2</v>
      </c>
      <c r="P85">
        <v>0.9975311</v>
      </c>
      <c r="Q85">
        <v>1.334163E-2</v>
      </c>
      <c r="R85">
        <v>6.8947720000000004E-2</v>
      </c>
      <c r="S85">
        <v>2.9804080000000002</v>
      </c>
      <c r="T85">
        <v>-0.25405220000000001</v>
      </c>
      <c r="U85">
        <v>0.44421389999999999</v>
      </c>
      <c r="V85">
        <v>-5.7096500000000001E-2</v>
      </c>
      <c r="W85">
        <v>1.114042E-2</v>
      </c>
      <c r="X85">
        <v>0.99830649999999999</v>
      </c>
      <c r="Y85">
        <v>-0.13522870000000001</v>
      </c>
      <c r="Z85">
        <v>4.5434809999999898E-3</v>
      </c>
      <c r="AA85">
        <v>0.99080400000000002</v>
      </c>
      <c r="AB85">
        <v>25</v>
      </c>
      <c r="AC85">
        <v>12.7540999999999</v>
      </c>
      <c r="AD85">
        <v>-1.1082332386739999</v>
      </c>
      <c r="AE85">
        <v>1.9343999999999799</v>
      </c>
      <c r="AF85">
        <v>-1.76963051503974</v>
      </c>
      <c r="AG85">
        <v>-1.1082332386739999</v>
      </c>
      <c r="AH85">
        <v>12.6825843102626</v>
      </c>
      <c r="AI85">
        <v>94.946274488330204</v>
      </c>
      <c r="AJ85">
        <v>97.943328180292895</v>
      </c>
      <c r="AK85">
        <v>12.853315442249899</v>
      </c>
      <c r="AL85">
        <v>89.361687744072995</v>
      </c>
      <c r="AM85">
        <v>93.273371923529893</v>
      </c>
      <c r="AN85">
        <v>0.999999993606138</v>
      </c>
    </row>
    <row r="86" spans="1:40" x14ac:dyDescent="0.25">
      <c r="A86" t="str">
        <f>"20190305135534477"</f>
        <v>20190305135534477</v>
      </c>
      <c r="B86" t="str">
        <f>"1551765334471442"</f>
        <v>1551765334471442</v>
      </c>
      <c r="C86" t="s">
        <v>40</v>
      </c>
      <c r="D86">
        <v>4.0591220000000003</v>
      </c>
      <c r="E86">
        <v>0.46821580000000002</v>
      </c>
      <c r="F86" t="s">
        <v>42</v>
      </c>
      <c r="G86">
        <v>-452.464</v>
      </c>
      <c r="H86" s="1">
        <v>-3.3009020000000001E-6</v>
      </c>
      <c r="I86">
        <v>369.13350000000003</v>
      </c>
      <c r="J86">
        <v>-465.11380000000003</v>
      </c>
      <c r="K86">
        <v>1.108249</v>
      </c>
      <c r="L86">
        <v>367.1961</v>
      </c>
      <c r="M86">
        <v>0.99992080000000005</v>
      </c>
      <c r="N86">
        <v>2.0860090000000002E-3</v>
      </c>
      <c r="O86">
        <v>1.241191E-2</v>
      </c>
      <c r="P86">
        <v>0.99746710000000005</v>
      </c>
      <c r="Q86">
        <v>1.2502660000000001E-2</v>
      </c>
      <c r="R86">
        <v>7.0024050000000004E-2</v>
      </c>
      <c r="S86">
        <v>2.9798580000000001</v>
      </c>
      <c r="T86">
        <v>-0.25596029999999997</v>
      </c>
      <c r="U86">
        <v>0.44830320000000001</v>
      </c>
      <c r="V86">
        <v>-5.7646299999999998E-2</v>
      </c>
      <c r="W86">
        <v>1.037562E-2</v>
      </c>
      <c r="X86">
        <v>0.99828309999999998</v>
      </c>
      <c r="Y86">
        <v>-0.13605429999999999</v>
      </c>
      <c r="Z86">
        <v>4.5734699999999996E-3</v>
      </c>
      <c r="AA86">
        <v>0.99069079999999998</v>
      </c>
      <c r="AB86">
        <v>25</v>
      </c>
      <c r="AC86">
        <v>12.649800000000001</v>
      </c>
      <c r="AD86">
        <v>-1.108252300902</v>
      </c>
      <c r="AE86">
        <v>1.93740000000002</v>
      </c>
      <c r="AF86">
        <v>-1.7669904488613899</v>
      </c>
      <c r="AG86">
        <v>-1.108252300902</v>
      </c>
      <c r="AH86">
        <v>12.578537958182901</v>
      </c>
      <c r="AI86">
        <v>94.986425290592706</v>
      </c>
      <c r="AJ86">
        <v>97.996391785621398</v>
      </c>
      <c r="AK86">
        <v>12.7502978621784</v>
      </c>
      <c r="AL86">
        <v>89.405510066781702</v>
      </c>
      <c r="AM86">
        <v>93.304900003208701</v>
      </c>
      <c r="AN86">
        <v>0.99999994856983998</v>
      </c>
    </row>
    <row r="87" spans="1:40" x14ac:dyDescent="0.25">
      <c r="A87" t="str">
        <f>"20190305135534498"</f>
        <v>20190305135534498</v>
      </c>
      <c r="B87" t="str">
        <f>"1551765334491938"</f>
        <v>1551765334491938</v>
      </c>
      <c r="C87" t="s">
        <v>40</v>
      </c>
      <c r="D87">
        <v>4.1020810000000001</v>
      </c>
      <c r="E87">
        <v>0.46850510000000001</v>
      </c>
      <c r="F87" t="s">
        <v>42</v>
      </c>
      <c r="G87">
        <v>-452.35070000000002</v>
      </c>
      <c r="H87" s="1">
        <v>-3.3473870000000002E-6</v>
      </c>
      <c r="I87">
        <v>369.14519999999999</v>
      </c>
      <c r="J87">
        <v>-464.86360000000002</v>
      </c>
      <c r="K87">
        <v>1.1082590000000001</v>
      </c>
      <c r="L87">
        <v>367.19970000000001</v>
      </c>
      <c r="M87">
        <v>0.99991430000000003</v>
      </c>
      <c r="N87">
        <v>2.0102179999999998E-3</v>
      </c>
      <c r="O87">
        <v>1.2934960000000001E-2</v>
      </c>
      <c r="P87">
        <v>0.99737419999999999</v>
      </c>
      <c r="Q87">
        <v>1.222939E-2</v>
      </c>
      <c r="R87">
        <v>7.1379020000000001E-2</v>
      </c>
      <c r="S87">
        <v>2.9789430000000001</v>
      </c>
      <c r="T87">
        <v>-0.25866879999999998</v>
      </c>
      <c r="U87">
        <v>0.45495609999999997</v>
      </c>
      <c r="V87">
        <v>-5.848039E-2</v>
      </c>
      <c r="W87">
        <v>1.017583E-2</v>
      </c>
      <c r="X87">
        <v>0.99823669999999998</v>
      </c>
      <c r="Y87">
        <v>-0.13772960000000001</v>
      </c>
      <c r="Z87">
        <v>4.6546230000000001E-3</v>
      </c>
      <c r="AA87">
        <v>0.99045890000000003</v>
      </c>
      <c r="AB87">
        <v>25</v>
      </c>
      <c r="AC87">
        <v>12.5129</v>
      </c>
      <c r="AD87">
        <v>-1.1082623473869999</v>
      </c>
      <c r="AE87">
        <v>1.94549999999998</v>
      </c>
      <c r="AF87">
        <v>-1.76992644914104</v>
      </c>
      <c r="AG87">
        <v>-1.1082623473869999</v>
      </c>
      <c r="AH87">
        <v>12.441721890008299</v>
      </c>
      <c r="AI87">
        <v>95.039785650996095</v>
      </c>
      <c r="AJ87">
        <v>98.096421529707001</v>
      </c>
      <c r="AK87">
        <v>12.6157571573931</v>
      </c>
      <c r="AL87">
        <v>89.416957829286503</v>
      </c>
      <c r="AM87">
        <v>93.352766106062205</v>
      </c>
      <c r="AN87">
        <v>1.0000000063788099</v>
      </c>
    </row>
    <row r="88" spans="1:40" x14ac:dyDescent="0.25">
      <c r="A88" t="str">
        <f>"20190305135534521"</f>
        <v>20190305135534521</v>
      </c>
      <c r="B88" t="str">
        <f>"1551765334511459"</f>
        <v>1551765334511459</v>
      </c>
      <c r="C88" t="s">
        <v>40</v>
      </c>
      <c r="D88">
        <v>4.1411689999999997</v>
      </c>
      <c r="E88">
        <v>0.4689449</v>
      </c>
      <c r="F88" t="s">
        <v>42</v>
      </c>
      <c r="G88">
        <v>-452.29219999999998</v>
      </c>
      <c r="H88" s="1">
        <v>-3.3755160000000001E-6</v>
      </c>
      <c r="I88">
        <v>369.12810000000002</v>
      </c>
      <c r="J88">
        <v>-464.61160000000001</v>
      </c>
      <c r="K88">
        <v>1.1082749999999999</v>
      </c>
      <c r="L88">
        <v>367.20350000000002</v>
      </c>
      <c r="M88">
        <v>0.99990760000000001</v>
      </c>
      <c r="N88">
        <v>1.933333E-3</v>
      </c>
      <c r="O88">
        <v>1.346022E-2</v>
      </c>
      <c r="P88">
        <v>0.99725889999999995</v>
      </c>
      <c r="Q88">
        <v>1.165712E-2</v>
      </c>
      <c r="R88">
        <v>7.306986E-2</v>
      </c>
      <c r="S88">
        <v>2.9784549999999999</v>
      </c>
      <c r="T88">
        <v>-0.26257229999999998</v>
      </c>
      <c r="U88">
        <v>0.45690920000000002</v>
      </c>
      <c r="V88">
        <v>-5.9648260000000002E-2</v>
      </c>
      <c r="W88">
        <v>9.6785150000000004E-3</v>
      </c>
      <c r="X88">
        <v>0.99817250000000002</v>
      </c>
      <c r="Y88">
        <v>-0.13785549999999999</v>
      </c>
      <c r="Z88">
        <v>4.6923989999999999E-3</v>
      </c>
      <c r="AA88">
        <v>0.99044129999999997</v>
      </c>
      <c r="AB88">
        <v>25</v>
      </c>
      <c r="AC88">
        <v>12.3194</v>
      </c>
      <c r="AD88">
        <v>-1.1082783755159999</v>
      </c>
      <c r="AE88">
        <v>1.9245999999999901</v>
      </c>
      <c r="AF88">
        <v>-1.7448188298676699</v>
      </c>
      <c r="AG88">
        <v>-1.1082783755159999</v>
      </c>
      <c r="AH88">
        <v>12.247430536690899</v>
      </c>
      <c r="AI88">
        <v>95.119241263350801</v>
      </c>
      <c r="AJ88">
        <v>98.108030284159497</v>
      </c>
      <c r="AK88">
        <v>12.420637200150599</v>
      </c>
      <c r="AL88">
        <v>89.445453260707097</v>
      </c>
      <c r="AM88">
        <v>93.419783878129905</v>
      </c>
      <c r="AN88">
        <v>0.99999996416493997</v>
      </c>
    </row>
    <row r="89" spans="1:40" x14ac:dyDescent="0.25">
      <c r="A89" t="str">
        <f>"20190305135534612"</f>
        <v>20190305135534612</v>
      </c>
      <c r="B89" t="str">
        <f>"1551765334601756"</f>
        <v>1551765334601756</v>
      </c>
      <c r="C89" t="s">
        <v>40</v>
      </c>
      <c r="D89">
        <v>3.8722910000000001</v>
      </c>
      <c r="E89">
        <v>0.4689449</v>
      </c>
      <c r="F89" t="s">
        <v>42</v>
      </c>
      <c r="G89">
        <v>-452.48570000000001</v>
      </c>
      <c r="H89" s="1">
        <v>-3.3030949999999998E-6</v>
      </c>
      <c r="I89">
        <v>369.0686</v>
      </c>
      <c r="J89">
        <v>-463.54340000000002</v>
      </c>
      <c r="K89">
        <v>1.1083590000000001</v>
      </c>
      <c r="L89">
        <v>367.22109999999998</v>
      </c>
      <c r="M89">
        <v>0.99987630000000005</v>
      </c>
      <c r="N89">
        <v>1.483949E-3</v>
      </c>
      <c r="O89">
        <v>1.5664959999999999E-2</v>
      </c>
      <c r="P89">
        <v>0.99672729999999998</v>
      </c>
      <c r="Q89">
        <v>1.287367E-2</v>
      </c>
      <c r="R89">
        <v>7.9807749999999997E-2</v>
      </c>
      <c r="S89">
        <v>2.9779049999999998</v>
      </c>
      <c r="T89">
        <v>-0.27217019999999997</v>
      </c>
      <c r="U89">
        <v>0.45803830000000001</v>
      </c>
      <c r="V89">
        <v>-6.4194840000000003E-2</v>
      </c>
      <c r="W89">
        <v>1.133639E-2</v>
      </c>
      <c r="X89">
        <v>0.99787300000000001</v>
      </c>
      <c r="Y89">
        <v>-0.13604430000000001</v>
      </c>
      <c r="Z89">
        <v>4.6232340000000004E-3</v>
      </c>
      <c r="AA89">
        <v>0.99069200000000002</v>
      </c>
      <c r="AB89">
        <v>26</v>
      </c>
      <c r="AC89">
        <v>11.057700000000001</v>
      </c>
      <c r="AD89">
        <v>-1.1083623030949901</v>
      </c>
      <c r="AE89">
        <v>1.8475000000000199</v>
      </c>
      <c r="AF89">
        <v>-1.6578507114516201</v>
      </c>
      <c r="AG89">
        <v>-1.1083623030949901</v>
      </c>
      <c r="AH89">
        <v>10.9779843444653</v>
      </c>
      <c r="AI89">
        <v>95.700968348167805</v>
      </c>
      <c r="AJ89">
        <v>98.587685738719301</v>
      </c>
      <c r="AK89">
        <v>11.157646536958699</v>
      </c>
      <c r="AL89">
        <v>89.350458790069496</v>
      </c>
      <c r="AM89">
        <v>93.680861143942494</v>
      </c>
      <c r="AN89">
        <v>1.00000000767492</v>
      </c>
    </row>
    <row r="90" spans="1:40" x14ac:dyDescent="0.25">
      <c r="A90" t="str">
        <f>"20190305135534632"</f>
        <v>20190305135534632</v>
      </c>
      <c r="B90" t="str">
        <f>"1551765334621277"</f>
        <v>1551765334621277</v>
      </c>
      <c r="C90" t="s">
        <v>40</v>
      </c>
      <c r="D90">
        <v>3.8416960000000002</v>
      </c>
      <c r="E90">
        <v>0.3373215</v>
      </c>
      <c r="F90" t="s">
        <v>42</v>
      </c>
      <c r="G90">
        <v>-451.27620000000002</v>
      </c>
      <c r="H90" s="1">
        <v>-3.8004559999999999E-6</v>
      </c>
      <c r="I90">
        <v>369.18990000000002</v>
      </c>
      <c r="J90">
        <v>-463.29689999999999</v>
      </c>
      <c r="K90">
        <v>1.1083989999999999</v>
      </c>
      <c r="L90">
        <v>367.22559999999999</v>
      </c>
      <c r="M90">
        <v>0.99986850000000005</v>
      </c>
      <c r="N90">
        <v>1.2790880000000001E-3</v>
      </c>
      <c r="O90">
        <v>1.6168060000000001E-2</v>
      </c>
      <c r="P90">
        <v>0.99661390000000005</v>
      </c>
      <c r="Q90">
        <v>1.297765E-2</v>
      </c>
      <c r="R90">
        <v>8.1191509999999995E-2</v>
      </c>
      <c r="S90">
        <v>2.9750369999999999</v>
      </c>
      <c r="T90">
        <v>-0.26879779999999998</v>
      </c>
      <c r="U90">
        <v>0.47747800000000001</v>
      </c>
      <c r="V90">
        <v>-6.5078179999999999E-2</v>
      </c>
      <c r="W90">
        <v>1.1642970000000001E-2</v>
      </c>
      <c r="X90">
        <v>0.99781229999999999</v>
      </c>
      <c r="Y90">
        <v>-0.14199300000000001</v>
      </c>
      <c r="Z90">
        <v>4.8009280000000003E-3</v>
      </c>
      <c r="AA90">
        <v>0.98985599999999996</v>
      </c>
      <c r="AB90">
        <v>26</v>
      </c>
      <c r="AC90">
        <v>12.0206999999999</v>
      </c>
      <c r="AD90">
        <v>-1.10840280045599</v>
      </c>
      <c r="AE90">
        <v>1.9643000000000299</v>
      </c>
      <c r="AF90">
        <v>-1.7551569615335401</v>
      </c>
      <c r="AG90">
        <v>-1.10840280045599</v>
      </c>
      <c r="AH90">
        <v>11.9519120455566</v>
      </c>
      <c r="AI90">
        <v>95.242463802651002</v>
      </c>
      <c r="AJ90">
        <v>98.354261988010805</v>
      </c>
      <c r="AK90">
        <v>12.130842273824101</v>
      </c>
      <c r="AL90">
        <v>89.332891923491403</v>
      </c>
      <c r="AM90">
        <v>93.731595109161802</v>
      </c>
      <c r="AN90">
        <v>1.0000000571469101</v>
      </c>
    </row>
    <row r="91" spans="1:40" x14ac:dyDescent="0.25">
      <c r="A91" t="str">
        <f>"20190305135534655"</f>
        <v>20190305135534655</v>
      </c>
      <c r="B91" t="str">
        <f>"1551765334651533"</f>
        <v>1551765334651533</v>
      </c>
      <c r="C91" t="s">
        <v>40</v>
      </c>
      <c r="D91">
        <v>3.7298789999999999</v>
      </c>
      <c r="E91">
        <v>0.33564709999999998</v>
      </c>
      <c r="F91" t="s">
        <v>42</v>
      </c>
      <c r="G91">
        <v>-458.67509999999999</v>
      </c>
      <c r="H91" s="1">
        <v>-5.5794149999999997E-7</v>
      </c>
      <c r="I91">
        <v>369.64359999999999</v>
      </c>
      <c r="J91">
        <v>-463.0378</v>
      </c>
      <c r="K91">
        <v>1.1084689999999999</v>
      </c>
      <c r="L91">
        <v>367.2303</v>
      </c>
      <c r="M91">
        <v>0.99986019999999998</v>
      </c>
      <c r="N91">
        <v>9.6485729999999995E-4</v>
      </c>
      <c r="O91">
        <v>1.6692410000000001E-2</v>
      </c>
      <c r="P91">
        <v>0.99645360000000005</v>
      </c>
      <c r="Q91">
        <v>1.2659899999999899E-2</v>
      </c>
      <c r="R91">
        <v>8.3186090000000004E-2</v>
      </c>
      <c r="S91">
        <v>2.895813</v>
      </c>
      <c r="T91">
        <v>-0.69447109999999901</v>
      </c>
      <c r="U91">
        <v>1.5151059999999901</v>
      </c>
      <c r="V91">
        <v>-6.6552139999999996E-2</v>
      </c>
      <c r="W91">
        <v>1.1636769999999999E-2</v>
      </c>
      <c r="X91">
        <v>0.99771509999999997</v>
      </c>
      <c r="Y91">
        <v>-0.43936700000000001</v>
      </c>
      <c r="Z91">
        <v>4.4966680000000002E-2</v>
      </c>
      <c r="AA91">
        <v>0.89718149999999997</v>
      </c>
      <c r="AB91">
        <v>27</v>
      </c>
      <c r="AC91">
        <v>4.36270000000001</v>
      </c>
      <c r="AD91">
        <v>-1.1084695579415</v>
      </c>
      <c r="AE91">
        <v>2.4132999999999898</v>
      </c>
      <c r="AF91">
        <v>-2.2299137702713199</v>
      </c>
      <c r="AG91">
        <v>-1.1084695579415</v>
      </c>
      <c r="AH91">
        <v>4.1950139069203596</v>
      </c>
      <c r="AI91">
        <v>103.133289085755</v>
      </c>
      <c r="AJ91">
        <v>117.993454518508</v>
      </c>
      <c r="AK91">
        <v>4.8784589639540803</v>
      </c>
      <c r="AL91">
        <v>89.333247150775506</v>
      </c>
      <c r="AM91">
        <v>93.816235964199294</v>
      </c>
      <c r="AN91">
        <v>1.0000000112613101</v>
      </c>
    </row>
    <row r="92" spans="1:40" x14ac:dyDescent="0.25">
      <c r="A92" t="str">
        <f>"20190305135534677"</f>
        <v>20190305135534677</v>
      </c>
      <c r="B92" t="str">
        <f>"1551765334671559"</f>
        <v>1551765334671559</v>
      </c>
      <c r="C92" t="s">
        <v>40</v>
      </c>
      <c r="D92">
        <v>3.8505039999999999</v>
      </c>
      <c r="E92">
        <v>0.33151960000000003</v>
      </c>
      <c r="F92" t="s">
        <v>42</v>
      </c>
      <c r="G92">
        <v>-458.21469999999999</v>
      </c>
      <c r="H92" s="1">
        <v>-7.9441009999999902E-7</v>
      </c>
      <c r="I92">
        <v>369.79</v>
      </c>
      <c r="J92">
        <v>-462.76760000000002</v>
      </c>
      <c r="K92">
        <v>1.108581</v>
      </c>
      <c r="L92">
        <v>367.23540000000003</v>
      </c>
      <c r="M92">
        <v>0.9998515</v>
      </c>
      <c r="N92">
        <v>4.4898319999999998E-4</v>
      </c>
      <c r="O92">
        <v>1.7228489999999999E-2</v>
      </c>
      <c r="P92">
        <v>0.99627730000000003</v>
      </c>
      <c r="Q92">
        <v>1.2019490000000001E-2</v>
      </c>
      <c r="R92">
        <v>8.5366410000000004E-2</v>
      </c>
      <c r="S92">
        <v>2.891022</v>
      </c>
      <c r="T92">
        <v>-0.66442159999999995</v>
      </c>
      <c r="U92">
        <v>1.534332</v>
      </c>
      <c r="V92">
        <v>-6.8200129999999998E-2</v>
      </c>
      <c r="W92">
        <v>1.150899E-2</v>
      </c>
      <c r="X92">
        <v>0.99760530000000003</v>
      </c>
      <c r="Y92">
        <v>-0.44482579999999999</v>
      </c>
      <c r="Z92">
        <v>4.3650000000000001E-2</v>
      </c>
      <c r="AA92">
        <v>0.89455280000000004</v>
      </c>
      <c r="AB92">
        <v>27</v>
      </c>
      <c r="AC92">
        <v>4.5529000000000197</v>
      </c>
      <c r="AD92">
        <v>-1.1085817944101</v>
      </c>
      <c r="AE92">
        <v>2.55459999999999</v>
      </c>
      <c r="AF92">
        <v>-2.3689620446249</v>
      </c>
      <c r="AG92">
        <v>-1.1085817944101</v>
      </c>
      <c r="AH92">
        <v>4.3979285434977999</v>
      </c>
      <c r="AI92">
        <v>102.51239840782399</v>
      </c>
      <c r="AJ92">
        <v>118.309306168001</v>
      </c>
      <c r="AK92">
        <v>5.1169043607911604</v>
      </c>
      <c r="AL92">
        <v>89.340568904513702</v>
      </c>
      <c r="AM92">
        <v>93.910874488775704</v>
      </c>
      <c r="AN92">
        <v>1.0000000245854599</v>
      </c>
    </row>
    <row r="93" spans="1:40" x14ac:dyDescent="0.25">
      <c r="A93" t="str">
        <f>"20190305135534699"</f>
        <v>20190305135534699</v>
      </c>
      <c r="B93" t="str">
        <f>"1551765334691079"</f>
        <v>1551765334691079</v>
      </c>
      <c r="C93" t="s">
        <v>40</v>
      </c>
      <c r="D93">
        <v>3.8075549999999998</v>
      </c>
      <c r="E93">
        <v>0.32631009999999999</v>
      </c>
      <c r="F93" t="s">
        <v>42</v>
      </c>
      <c r="G93">
        <v>-457.64949999999999</v>
      </c>
      <c r="H93" s="1">
        <v>-1.1004099999999999E-6</v>
      </c>
      <c r="I93">
        <v>370.02879999999999</v>
      </c>
      <c r="J93">
        <v>-462.50080000000003</v>
      </c>
      <c r="K93">
        <v>1.108744</v>
      </c>
      <c r="L93">
        <v>367.24059999999997</v>
      </c>
      <c r="M93">
        <v>0.99984249999999997</v>
      </c>
      <c r="N93">
        <v>-3.3154069999999998E-4</v>
      </c>
      <c r="O93">
        <v>1.7744099999999999E-2</v>
      </c>
      <c r="P93">
        <v>0.99611490000000003</v>
      </c>
      <c r="Q93">
        <v>1.141056E-2</v>
      </c>
      <c r="R93">
        <v>8.7322769999999994E-2</v>
      </c>
      <c r="S93">
        <v>2.8838810000000001</v>
      </c>
      <c r="T93">
        <v>-0.62464519999999901</v>
      </c>
      <c r="U93">
        <v>1.5740050000000001</v>
      </c>
      <c r="V93">
        <v>-6.9645079999999998E-2</v>
      </c>
      <c r="W93">
        <v>1.16773E-2</v>
      </c>
      <c r="X93">
        <v>0.99750349999999999</v>
      </c>
      <c r="Y93">
        <v>-0.45559050000000001</v>
      </c>
      <c r="Z93">
        <v>4.2224070000000002E-2</v>
      </c>
      <c r="AA93">
        <v>0.88918750000000002</v>
      </c>
      <c r="AB93">
        <v>27</v>
      </c>
      <c r="AC93">
        <v>4.8513000000000304</v>
      </c>
      <c r="AD93">
        <v>-1.10874510041</v>
      </c>
      <c r="AE93">
        <v>2.78820000000001</v>
      </c>
      <c r="AF93">
        <v>-2.5996086666096501</v>
      </c>
      <c r="AG93">
        <v>-1.10874510041</v>
      </c>
      <c r="AH93">
        <v>4.7148861713497299</v>
      </c>
      <c r="AI93">
        <v>101.636307480139</v>
      </c>
      <c r="AJ93">
        <v>118.870668661506</v>
      </c>
      <c r="AK93">
        <v>5.4970385232395902</v>
      </c>
      <c r="AL93">
        <v>89.330924797236406</v>
      </c>
      <c r="AM93">
        <v>93.993874742571194</v>
      </c>
      <c r="AN93">
        <v>1.00000001450787</v>
      </c>
    </row>
    <row r="94" spans="1:40" x14ac:dyDescent="0.25">
      <c r="A94" t="str">
        <f>"20190305135534722"</f>
        <v>20190305135534722</v>
      </c>
      <c r="B94" t="str">
        <f>"1551765334711578"</f>
        <v>1551765334711578</v>
      </c>
      <c r="C94" t="s">
        <v>40</v>
      </c>
      <c r="D94">
        <v>3.8477160000000001</v>
      </c>
      <c r="E94">
        <v>0.32628770000000001</v>
      </c>
      <c r="F94" t="s">
        <v>42</v>
      </c>
      <c r="G94">
        <v>-456.92360000000002</v>
      </c>
      <c r="H94" s="1">
        <v>-1.5068229999999999E-6</v>
      </c>
      <c r="I94">
        <v>370.38569999999999</v>
      </c>
      <c r="J94">
        <v>-462.22739999999999</v>
      </c>
      <c r="K94">
        <v>1.1089639999999901</v>
      </c>
      <c r="L94">
        <v>367.24610000000001</v>
      </c>
      <c r="M94">
        <v>0.99983259999999996</v>
      </c>
      <c r="N94">
        <v>-1.4279529999999901E-3</v>
      </c>
      <c r="O94">
        <v>1.8246990000000001E-2</v>
      </c>
      <c r="P94">
        <v>0.99592919999999996</v>
      </c>
      <c r="Q94">
        <v>1.0120280000000001E-2</v>
      </c>
      <c r="R94">
        <v>8.9569289999999996E-2</v>
      </c>
      <c r="S94">
        <v>2.8760680000000001</v>
      </c>
      <c r="T94">
        <v>-0.57174480000000005</v>
      </c>
      <c r="U94">
        <v>1.6218870000000001</v>
      </c>
      <c r="V94">
        <v>-7.1392189999999994E-2</v>
      </c>
      <c r="W94">
        <v>1.1480860000000001E-2</v>
      </c>
      <c r="X94">
        <v>0.9973822</v>
      </c>
      <c r="Y94">
        <v>-0.46847929999999999</v>
      </c>
      <c r="Z94">
        <v>4.0051440000000001E-2</v>
      </c>
      <c r="AA94">
        <v>0.88256619999999997</v>
      </c>
      <c r="AB94">
        <v>27</v>
      </c>
      <c r="AC94">
        <v>5.3037999999999599</v>
      </c>
      <c r="AD94">
        <v>-1.10896550682299</v>
      </c>
      <c r="AE94">
        <v>3.13959999999997</v>
      </c>
      <c r="AF94">
        <v>-2.9468959287510801</v>
      </c>
      <c r="AG94">
        <v>-1.10896550682299</v>
      </c>
      <c r="AH94">
        <v>5.1921155869533102</v>
      </c>
      <c r="AI94">
        <v>100.522918686808</v>
      </c>
      <c r="AJ94">
        <v>119.57800155859201</v>
      </c>
      <c r="AK94">
        <v>6.0722371806852502</v>
      </c>
      <c r="AL94">
        <v>89.342180694749004</v>
      </c>
      <c r="AM94">
        <v>94.094224408803498</v>
      </c>
      <c r="AN94">
        <v>0.99999995390808605</v>
      </c>
    </row>
    <row r="95" spans="1:40" x14ac:dyDescent="0.25">
      <c r="A95" t="str">
        <f>"20190305135534744"</f>
        <v>20190305135534744</v>
      </c>
      <c r="B95" t="str">
        <f>"1551765334741831"</f>
        <v>1551765334741831</v>
      </c>
      <c r="C95" t="s">
        <v>40</v>
      </c>
      <c r="D95">
        <v>3.9081899999999998</v>
      </c>
      <c r="E95">
        <v>0.32375150000000003</v>
      </c>
      <c r="F95" t="s">
        <v>42</v>
      </c>
      <c r="G95">
        <v>-456.60059999999999</v>
      </c>
      <c r="H95" s="1">
        <v>-1.658766E-6</v>
      </c>
      <c r="I95">
        <v>370.43610000000001</v>
      </c>
      <c r="J95">
        <v>-461.95600000000002</v>
      </c>
      <c r="K95">
        <v>1.109186</v>
      </c>
      <c r="L95">
        <v>367.2516</v>
      </c>
      <c r="M95">
        <v>0.99982119999999997</v>
      </c>
      <c r="N95">
        <v>-2.714022E-3</v>
      </c>
      <c r="O95">
        <v>1.8717810000000001E-2</v>
      </c>
      <c r="P95">
        <v>0.99575199999999997</v>
      </c>
      <c r="Q95">
        <v>9.2306660000000002E-3</v>
      </c>
      <c r="R95">
        <v>9.1613089999999994E-2</v>
      </c>
      <c r="S95">
        <v>2.8715820000000001</v>
      </c>
      <c r="T95">
        <v>-0.56594469999999997</v>
      </c>
      <c r="U95">
        <v>1.6280209999999999</v>
      </c>
      <c r="V95">
        <v>-7.2968820000000004E-2</v>
      </c>
      <c r="W95">
        <v>1.187565E-2</v>
      </c>
      <c r="X95">
        <v>0.99726349999999997</v>
      </c>
      <c r="Y95">
        <v>-0.4701303</v>
      </c>
      <c r="Z95">
        <v>4.0103729999999997E-2</v>
      </c>
      <c r="AA95">
        <v>0.88168539999999995</v>
      </c>
      <c r="AB95">
        <v>27</v>
      </c>
      <c r="AC95">
        <v>5.3553999999999702</v>
      </c>
      <c r="AD95">
        <v>-1.1091876587659999</v>
      </c>
      <c r="AE95">
        <v>3.1845000000000101</v>
      </c>
      <c r="AF95">
        <v>-2.9889759728726801</v>
      </c>
      <c r="AG95">
        <v>-1.1091876587659999</v>
      </c>
      <c r="AH95">
        <v>5.2477607222064302</v>
      </c>
      <c r="AI95">
        <v>100.407079243428</v>
      </c>
      <c r="AJ95">
        <v>119.664614589343</v>
      </c>
      <c r="AK95">
        <v>6.1402986268015898</v>
      </c>
      <c r="AL95">
        <v>89.319559370685198</v>
      </c>
      <c r="AM95">
        <v>94.184820118084602</v>
      </c>
      <c r="AN95">
        <v>0.99999998409368196</v>
      </c>
    </row>
    <row r="96" spans="1:40" x14ac:dyDescent="0.25">
      <c r="A96" t="str">
        <f>"20190305135534765"</f>
        <v>20190305135534765</v>
      </c>
      <c r="B96" t="str">
        <f>"1551765334761350"</f>
        <v>1551765334761350</v>
      </c>
      <c r="C96" t="s">
        <v>40</v>
      </c>
      <c r="D96">
        <v>3.85039</v>
      </c>
      <c r="E96">
        <v>0.32227860000000003</v>
      </c>
      <c r="F96" t="s">
        <v>42</v>
      </c>
      <c r="G96">
        <v>-456.0992</v>
      </c>
      <c r="H96" s="1">
        <v>-1.9259360000000002E-6</v>
      </c>
      <c r="I96">
        <v>370.6318</v>
      </c>
      <c r="J96">
        <v>-461.71</v>
      </c>
      <c r="K96">
        <v>1.1093679999999999</v>
      </c>
      <c r="L96">
        <v>367.25670000000002</v>
      </c>
      <c r="M96">
        <v>0.99980959999999997</v>
      </c>
      <c r="N96">
        <v>-3.9306769999999996E-3</v>
      </c>
      <c r="O96">
        <v>1.9119540000000001E-2</v>
      </c>
      <c r="P96">
        <v>0.99558979999999997</v>
      </c>
      <c r="Q96">
        <v>8.9118649999999997E-3</v>
      </c>
      <c r="R96">
        <v>9.3390840000000003E-2</v>
      </c>
      <c r="S96">
        <v>2.865631</v>
      </c>
      <c r="T96">
        <v>-0.54269979999999995</v>
      </c>
      <c r="U96">
        <v>1.6538999999999999</v>
      </c>
      <c r="V96">
        <v>-7.4348399999999995E-2</v>
      </c>
      <c r="W96">
        <v>1.27749E-2</v>
      </c>
      <c r="X96">
        <v>0.99715050000000005</v>
      </c>
      <c r="Y96">
        <v>-0.47694180000000003</v>
      </c>
      <c r="Z96">
        <v>3.9371110000000001E-2</v>
      </c>
      <c r="AA96">
        <v>0.87805259999999996</v>
      </c>
      <c r="AB96">
        <v>27</v>
      </c>
      <c r="AC96">
        <v>5.6107999999999798</v>
      </c>
      <c r="AD96">
        <v>-1.1093699259359999</v>
      </c>
      <c r="AE96">
        <v>3.37509999999997</v>
      </c>
      <c r="AF96">
        <v>-3.1760345284224099</v>
      </c>
      <c r="AG96">
        <v>-1.1093699259359999</v>
      </c>
      <c r="AH96">
        <v>5.5159630475903896</v>
      </c>
      <c r="AI96">
        <v>99.8869142171162</v>
      </c>
      <c r="AJ96">
        <v>119.93289275911999</v>
      </c>
      <c r="AK96">
        <v>6.4609399703669501</v>
      </c>
      <c r="AL96">
        <v>89.268032236932697</v>
      </c>
      <c r="AM96">
        <v>94.264132447448105</v>
      </c>
      <c r="AN96">
        <v>1.0000000011514101</v>
      </c>
    </row>
    <row r="97" spans="1:40" x14ac:dyDescent="0.25">
      <c r="A97" t="str">
        <f>"20190305135534791"</f>
        <v>20190305135534791</v>
      </c>
      <c r="B97" t="str">
        <f>"1551765334781847"</f>
        <v>1551765334781847</v>
      </c>
      <c r="C97" t="s">
        <v>40</v>
      </c>
      <c r="D97">
        <v>3.8951389999999999</v>
      </c>
      <c r="E97">
        <v>0.32151629999999998</v>
      </c>
      <c r="F97" t="s">
        <v>41</v>
      </c>
      <c r="G97">
        <v>-460.94670000000002</v>
      </c>
      <c r="H97">
        <v>0.96880169999999999</v>
      </c>
      <c r="I97">
        <v>367.70240000000001</v>
      </c>
      <c r="J97">
        <v>-461.39859999999999</v>
      </c>
      <c r="K97">
        <v>1.109545</v>
      </c>
      <c r="L97">
        <v>367.26319999999998</v>
      </c>
      <c r="M97">
        <v>0.99979370000000001</v>
      </c>
      <c r="N97">
        <v>-5.4150140000000001E-3</v>
      </c>
      <c r="O97">
        <v>1.957507E-2</v>
      </c>
      <c r="P97">
        <v>0.99544820000000001</v>
      </c>
      <c r="Q97">
        <v>8.9170780000000002E-3</v>
      </c>
      <c r="R97">
        <v>9.4888330000000007E-2</v>
      </c>
      <c r="S97">
        <v>2.8612669999999998</v>
      </c>
      <c r="T97">
        <v>-0.52691849999999996</v>
      </c>
      <c r="U97">
        <v>1.670868</v>
      </c>
      <c r="V97">
        <v>-7.5393360000000006E-2</v>
      </c>
      <c r="W97">
        <v>1.4267739999999999E-2</v>
      </c>
      <c r="X97">
        <v>0.99705180000000004</v>
      </c>
      <c r="Y97">
        <v>-0.48125129999999999</v>
      </c>
      <c r="Z97">
        <v>3.8983320000000002E-2</v>
      </c>
      <c r="AA97">
        <v>0.87571540000000003</v>
      </c>
      <c r="AB97">
        <v>27</v>
      </c>
      <c r="AC97">
        <v>0.451899999999966</v>
      </c>
      <c r="AD97">
        <v>-0.14074329999999999</v>
      </c>
      <c r="AE97">
        <v>0.43920000000002701</v>
      </c>
      <c r="AF97">
        <v>-0.40982673729059599</v>
      </c>
      <c r="AG97">
        <v>-0.14074329999999999</v>
      </c>
      <c r="AH97">
        <v>0.438535835924101</v>
      </c>
      <c r="AI97">
        <v>103.19651539406399</v>
      </c>
      <c r="AJ97">
        <v>133.061816069168</v>
      </c>
      <c r="AK97">
        <v>0.61650653725876703</v>
      </c>
      <c r="AL97">
        <v>89.182490984483806</v>
      </c>
      <c r="AM97">
        <v>94.324265125402704</v>
      </c>
      <c r="AN97">
        <v>1.0000000095100099</v>
      </c>
    </row>
    <row r="98" spans="1:40" x14ac:dyDescent="0.25">
      <c r="A98" t="str">
        <f>"20190305135534814"</f>
        <v>20190305135534814</v>
      </c>
      <c r="B98" t="str">
        <f>"1551765334802343"</f>
        <v>1551765334802343</v>
      </c>
      <c r="C98" t="s">
        <v>40</v>
      </c>
      <c r="D98">
        <v>3.9116170000000001</v>
      </c>
      <c r="E98">
        <v>0.32117010000000001</v>
      </c>
      <c r="F98" t="s">
        <v>42</v>
      </c>
      <c r="G98">
        <v>-455.25400000000002</v>
      </c>
      <c r="H98" s="1">
        <v>-2.3536140000000002E-6</v>
      </c>
      <c r="I98">
        <v>370.87650000000002</v>
      </c>
      <c r="J98">
        <v>-461.1354</v>
      </c>
      <c r="K98">
        <v>1.109645</v>
      </c>
      <c r="L98">
        <v>367.2688</v>
      </c>
      <c r="M98">
        <v>0.99978049999999996</v>
      </c>
      <c r="N98">
        <v>-6.570574E-3</v>
      </c>
      <c r="O98">
        <v>1.9893770000000002E-2</v>
      </c>
      <c r="P98">
        <v>0.99536029999999998</v>
      </c>
      <c r="Q98">
        <v>9.4644299999999994E-3</v>
      </c>
      <c r="R98">
        <v>9.5750520000000006E-2</v>
      </c>
      <c r="S98">
        <v>2.8581539999999999</v>
      </c>
      <c r="T98">
        <v>-0.51609609999999995</v>
      </c>
      <c r="U98">
        <v>1.680725</v>
      </c>
      <c r="V98">
        <v>-7.5938610000000004E-2</v>
      </c>
      <c r="W98">
        <v>1.5974619999999998E-2</v>
      </c>
      <c r="X98">
        <v>0.99698450000000005</v>
      </c>
      <c r="Y98">
        <v>-0.48379480000000002</v>
      </c>
      <c r="Z98">
        <v>3.8719990000000003E-2</v>
      </c>
      <c r="AA98">
        <v>0.87432449999999995</v>
      </c>
      <c r="AB98">
        <v>27</v>
      </c>
      <c r="AC98">
        <v>5.8813999999999798</v>
      </c>
      <c r="AD98">
        <v>-1.1096473536139999</v>
      </c>
      <c r="AE98">
        <v>3.6077000000000199</v>
      </c>
      <c r="AF98">
        <v>-3.4019893317707601</v>
      </c>
      <c r="AG98">
        <v>-1.1096473536139999</v>
      </c>
      <c r="AH98">
        <v>5.8019436549155996</v>
      </c>
      <c r="AI98">
        <v>99.368506720208501</v>
      </c>
      <c r="AJ98">
        <v>120.385372431655</v>
      </c>
      <c r="AK98">
        <v>6.8166999961623702</v>
      </c>
      <c r="AL98">
        <v>89.084682741166603</v>
      </c>
      <c r="AM98">
        <v>94.355711478240906</v>
      </c>
      <c r="AN98">
        <v>0.99999997710656297</v>
      </c>
    </row>
    <row r="99" spans="1:40" x14ac:dyDescent="0.25">
      <c r="A99" t="str">
        <f>"20190305135534838"</f>
        <v>20190305135534838</v>
      </c>
      <c r="B99" t="str">
        <f>"1551765334831624"</f>
        <v>1551765334831624</v>
      </c>
      <c r="C99" t="s">
        <v>40</v>
      </c>
      <c r="D99">
        <v>3.851658</v>
      </c>
      <c r="E99">
        <v>0.31973879999999999</v>
      </c>
      <c r="F99" t="s">
        <v>42</v>
      </c>
      <c r="G99">
        <v>-454.91640000000001</v>
      </c>
      <c r="H99" s="1">
        <v>-2.5151669999999998E-6</v>
      </c>
      <c r="I99">
        <v>370.9393</v>
      </c>
      <c r="J99">
        <v>-460.84690000000001</v>
      </c>
      <c r="K99">
        <v>1.109726</v>
      </c>
      <c r="L99">
        <v>367.27480000000003</v>
      </c>
      <c r="M99">
        <v>0.99976670000000001</v>
      </c>
      <c r="N99">
        <v>-7.7166800000000001E-3</v>
      </c>
      <c r="O99">
        <v>2.0175740000000001E-2</v>
      </c>
      <c r="P99">
        <v>0.99520529999999996</v>
      </c>
      <c r="Q99">
        <v>1.0238219999999999E-2</v>
      </c>
      <c r="R99">
        <v>9.7270510000000004E-2</v>
      </c>
      <c r="S99">
        <v>2.8566280000000002</v>
      </c>
      <c r="T99">
        <v>-0.5096984</v>
      </c>
      <c r="U99">
        <v>1.686035</v>
      </c>
      <c r="V99">
        <v>-7.7179199999999906E-2</v>
      </c>
      <c r="W99">
        <v>1.7897429999999999E-2</v>
      </c>
      <c r="X99">
        <v>0.99685659999999998</v>
      </c>
      <c r="Y99">
        <v>-0.48503800000000002</v>
      </c>
      <c r="Z99">
        <v>3.8653710000000001E-2</v>
      </c>
      <c r="AA99">
        <v>0.87363840000000004</v>
      </c>
      <c r="AB99">
        <v>27</v>
      </c>
      <c r="AC99">
        <v>5.9304999999999897</v>
      </c>
      <c r="AD99">
        <v>-1.109728515167</v>
      </c>
      <c r="AE99">
        <v>3.6644999999999701</v>
      </c>
      <c r="AF99">
        <v>-3.4565110628118498</v>
      </c>
      <c r="AG99">
        <v>-1.109728515167</v>
      </c>
      <c r="AH99">
        <v>5.8548679600490097</v>
      </c>
      <c r="AI99">
        <v>99.269984448970305</v>
      </c>
      <c r="AJ99">
        <v>120.55612936083899</v>
      </c>
      <c r="AK99">
        <v>6.8890089950822304</v>
      </c>
      <c r="AL99">
        <v>88.974498058405601</v>
      </c>
      <c r="AM99">
        <v>94.427154771131001</v>
      </c>
      <c r="AN99">
        <v>1.0000000139384</v>
      </c>
    </row>
    <row r="100" spans="1:40" x14ac:dyDescent="0.25">
      <c r="A100" t="str">
        <f>"20190305135534856"</f>
        <v>20190305135534856</v>
      </c>
      <c r="B100" t="str">
        <f>"1551765334852120"</f>
        <v>1551765334852120</v>
      </c>
      <c r="C100" t="s">
        <v>40</v>
      </c>
      <c r="D100">
        <v>3.8644150000000002</v>
      </c>
      <c r="E100">
        <v>0.31902530000000001</v>
      </c>
      <c r="F100" t="s">
        <v>41</v>
      </c>
      <c r="G100">
        <v>-460.00650000000002</v>
      </c>
      <c r="H100">
        <v>0.96411789999999997</v>
      </c>
      <c r="I100">
        <v>367.7758</v>
      </c>
      <c r="J100">
        <v>-460.6216</v>
      </c>
      <c r="K100">
        <v>1.109766</v>
      </c>
      <c r="L100">
        <v>367.27960000000002</v>
      </c>
      <c r="M100">
        <v>0.9997568</v>
      </c>
      <c r="N100">
        <v>-8.5244420000000001E-3</v>
      </c>
      <c r="O100">
        <v>2.0345619999999998E-2</v>
      </c>
      <c r="P100">
        <v>0.9951778</v>
      </c>
      <c r="Q100">
        <v>1.101475E-2</v>
      </c>
      <c r="R100">
        <v>9.7469440000000004E-2</v>
      </c>
      <c r="S100">
        <v>2.8532410000000001</v>
      </c>
      <c r="T100">
        <v>-0.49438209999999999</v>
      </c>
      <c r="U100">
        <v>1.7014769999999999</v>
      </c>
      <c r="V100">
        <v>-7.7208289999999999E-2</v>
      </c>
      <c r="W100">
        <v>1.9485499999999999E-2</v>
      </c>
      <c r="X100">
        <v>0.99682459999999995</v>
      </c>
      <c r="Y100">
        <v>-0.4890911</v>
      </c>
      <c r="Z100">
        <v>3.8105970000000003E-2</v>
      </c>
      <c r="AA100">
        <v>0.87139990000000001</v>
      </c>
      <c r="AB100">
        <v>27</v>
      </c>
      <c r="AC100">
        <v>0.61509999999998399</v>
      </c>
      <c r="AD100">
        <v>-0.1456481</v>
      </c>
      <c r="AE100">
        <v>0.49619999999998698</v>
      </c>
      <c r="AF100">
        <v>-0.46769683647681998</v>
      </c>
      <c r="AG100">
        <v>-0.1456481</v>
      </c>
      <c r="AH100">
        <v>0.60453538476921198</v>
      </c>
      <c r="AI100">
        <v>100.78871457023899</v>
      </c>
      <c r="AJ100">
        <v>127.727211830133</v>
      </c>
      <c r="AK100">
        <v>0.77808529823027395</v>
      </c>
      <c r="AL100">
        <v>88.883492476307893</v>
      </c>
      <c r="AM100">
        <v>94.428958402672507</v>
      </c>
      <c r="AN100">
        <v>1.00000004396006</v>
      </c>
    </row>
    <row r="101" spans="1:40" x14ac:dyDescent="0.25">
      <c r="A101" t="str">
        <f>"20190305135534879"</f>
        <v>20190305135534879</v>
      </c>
      <c r="B101" t="str">
        <f>"1551765334871639"</f>
        <v>1551765334871639</v>
      </c>
      <c r="C101" t="s">
        <v>40</v>
      </c>
      <c r="D101">
        <v>3.919899</v>
      </c>
      <c r="E101">
        <v>0.31836829999999999</v>
      </c>
      <c r="F101" t="s">
        <v>41</v>
      </c>
      <c r="G101">
        <v>-459.7713</v>
      </c>
      <c r="H101">
        <v>0.96370900000000004</v>
      </c>
      <c r="I101">
        <v>367.78859999999997</v>
      </c>
      <c r="J101">
        <v>-460.35199999999998</v>
      </c>
      <c r="K101">
        <v>1.1097840000000001</v>
      </c>
      <c r="L101">
        <v>367.28530000000001</v>
      </c>
      <c r="M101">
        <v>0.99974600000000002</v>
      </c>
      <c r="N101">
        <v>-9.3886009999999999E-3</v>
      </c>
      <c r="O101">
        <v>2.0488300000000001E-2</v>
      </c>
      <c r="P101">
        <v>0.99513260000000003</v>
      </c>
      <c r="Q101">
        <v>1.1669850000000001E-2</v>
      </c>
      <c r="R101">
        <v>9.7852330000000001E-2</v>
      </c>
      <c r="S101">
        <v>2.8526919999999998</v>
      </c>
      <c r="T101">
        <v>-0.48998320000000001</v>
      </c>
      <c r="U101">
        <v>1.7075199999999999</v>
      </c>
      <c r="V101">
        <v>-7.7447340000000003E-2</v>
      </c>
      <c r="W101">
        <v>2.1010109999999999E-2</v>
      </c>
      <c r="X101">
        <v>0.99677499999999997</v>
      </c>
      <c r="Y101">
        <v>-0.49044840000000001</v>
      </c>
      <c r="Z101">
        <v>3.8118829999999999E-2</v>
      </c>
      <c r="AA101">
        <v>0.87063619999999997</v>
      </c>
      <c r="AB101">
        <v>27</v>
      </c>
      <c r="AC101">
        <v>0.58069999999997801</v>
      </c>
      <c r="AD101">
        <v>-0.14607500000000001</v>
      </c>
      <c r="AE101">
        <v>0.503299999999967</v>
      </c>
      <c r="AF101">
        <v>-0.47416291444186998</v>
      </c>
      <c r="AG101">
        <v>-0.14607500000000001</v>
      </c>
      <c r="AH101">
        <v>0.57028374324134001</v>
      </c>
      <c r="AI101">
        <v>101.142234668928</v>
      </c>
      <c r="AJ101">
        <v>129.741858700178</v>
      </c>
      <c r="AK101">
        <v>0.75590470488174799</v>
      </c>
      <c r="AL101">
        <v>88.796120737794695</v>
      </c>
      <c r="AM101">
        <v>94.442836580562897</v>
      </c>
      <c r="AN101">
        <v>0.99999995791014296</v>
      </c>
    </row>
    <row r="102" spans="1:40" x14ac:dyDescent="0.25">
      <c r="A102" t="str">
        <f>"20190305135534900"</f>
        <v>20190305135534900</v>
      </c>
      <c r="B102" t="str">
        <f>"1551765334891159"</f>
        <v>1551765334891159</v>
      </c>
      <c r="C102" t="s">
        <v>40</v>
      </c>
      <c r="D102">
        <v>3.9483450000000002</v>
      </c>
      <c r="E102">
        <v>0.31826569999999998</v>
      </c>
      <c r="F102" t="s">
        <v>41</v>
      </c>
      <c r="G102">
        <v>-459.53120000000001</v>
      </c>
      <c r="H102">
        <v>0.97148500000000004</v>
      </c>
      <c r="I102">
        <v>367.77870000000001</v>
      </c>
      <c r="J102">
        <v>-460.09829999999999</v>
      </c>
      <c r="K102">
        <v>1.1097760000000001</v>
      </c>
      <c r="L102">
        <v>367.29059999999998</v>
      </c>
      <c r="M102">
        <v>0.9997374</v>
      </c>
      <c r="N102">
        <v>-1.010667E-2</v>
      </c>
      <c r="O102">
        <v>2.0568550000000001E-2</v>
      </c>
      <c r="P102">
        <v>0.99514559999999996</v>
      </c>
      <c r="Q102">
        <v>1.1004669999999999E-2</v>
      </c>
      <c r="R102">
        <v>9.7797400000000007E-2</v>
      </c>
      <c r="S102">
        <v>2.8517459999999999</v>
      </c>
      <c r="T102">
        <v>-0.48047570000000001</v>
      </c>
      <c r="U102">
        <v>1.714264</v>
      </c>
      <c r="V102">
        <v>-7.7309890000000006E-2</v>
      </c>
      <c r="W102">
        <v>2.1070180000000001E-2</v>
      </c>
      <c r="X102">
        <v>0.99678440000000001</v>
      </c>
      <c r="Y102">
        <v>-0.492176</v>
      </c>
      <c r="Z102">
        <v>3.7765609999999998E-2</v>
      </c>
      <c r="AA102">
        <v>0.86967609999999995</v>
      </c>
      <c r="AB102">
        <v>26</v>
      </c>
      <c r="AC102">
        <v>0.56709999999998195</v>
      </c>
      <c r="AD102">
        <v>-0.138291</v>
      </c>
      <c r="AE102">
        <v>0.48810000000003101</v>
      </c>
      <c r="AF102">
        <v>-0.46059758968164199</v>
      </c>
      <c r="AG102">
        <v>-0.138291</v>
      </c>
      <c r="AH102">
        <v>0.55795999461025003</v>
      </c>
      <c r="AI102">
        <v>100.820913688186</v>
      </c>
      <c r="AJ102">
        <v>129.53977163824399</v>
      </c>
      <c r="AK102">
        <v>0.73660973105641803</v>
      </c>
      <c r="AL102">
        <v>88.792678215597405</v>
      </c>
      <c r="AM102">
        <v>94.434941466130198</v>
      </c>
      <c r="AN102">
        <v>0.99999995583020096</v>
      </c>
    </row>
    <row r="103" spans="1:40" x14ac:dyDescent="0.25">
      <c r="A103" t="str">
        <f>"20190305135534923"</f>
        <v>20190305135534923</v>
      </c>
      <c r="B103" t="str">
        <f>"1551765334921415"</f>
        <v>1551765334921415</v>
      </c>
      <c r="C103" t="s">
        <v>40</v>
      </c>
      <c r="D103">
        <v>3.9553069999999999</v>
      </c>
      <c r="E103">
        <v>0.31840889999999999</v>
      </c>
      <c r="F103" t="s">
        <v>41</v>
      </c>
      <c r="G103">
        <v>-459.29289999999997</v>
      </c>
      <c r="H103">
        <v>0.97421310000000005</v>
      </c>
      <c r="I103">
        <v>367.77449999999999</v>
      </c>
      <c r="J103">
        <v>-459.82920000000001</v>
      </c>
      <c r="K103">
        <v>1.1097729999999999</v>
      </c>
      <c r="L103">
        <v>367.29629999999997</v>
      </c>
      <c r="M103">
        <v>0.9997296</v>
      </c>
      <c r="N103">
        <v>-1.077619E-2</v>
      </c>
      <c r="O103">
        <v>2.0611330000000001E-2</v>
      </c>
      <c r="P103">
        <v>0.99518419999999996</v>
      </c>
      <c r="Q103">
        <v>1.029094E-2</v>
      </c>
      <c r="R103">
        <v>9.7482669999999993E-2</v>
      </c>
      <c r="S103">
        <v>2.85141</v>
      </c>
      <c r="T103">
        <v>-0.4798229</v>
      </c>
      <c r="U103">
        <v>1.7145999999999999</v>
      </c>
      <c r="V103">
        <v>-7.6949190000000001E-2</v>
      </c>
      <c r="W103">
        <v>2.1031560000000001E-2</v>
      </c>
      <c r="X103">
        <v>0.99681319999999995</v>
      </c>
      <c r="Y103">
        <v>-0.49224430000000002</v>
      </c>
      <c r="Z103">
        <v>3.7911960000000001E-2</v>
      </c>
      <c r="AA103">
        <v>0.86963109999999999</v>
      </c>
      <c r="AB103">
        <v>26</v>
      </c>
      <c r="AC103">
        <v>0.53630000000003897</v>
      </c>
      <c r="AD103">
        <v>-0.13555989999999901</v>
      </c>
      <c r="AE103">
        <v>0.478200000000015</v>
      </c>
      <c r="AF103">
        <v>-0.450991693952487</v>
      </c>
      <c r="AG103">
        <v>-0.13555989999999901</v>
      </c>
      <c r="AH103">
        <v>0.52727557333314101</v>
      </c>
      <c r="AI103">
        <v>101.054988932291</v>
      </c>
      <c r="AJ103">
        <v>130.54118014390099</v>
      </c>
      <c r="AK103">
        <v>0.70695793703440102</v>
      </c>
      <c r="AL103">
        <v>88.794891558571194</v>
      </c>
      <c r="AM103">
        <v>94.414204573381198</v>
      </c>
      <c r="AN103">
        <v>1.0000000300259599</v>
      </c>
    </row>
    <row r="104" spans="1:40" x14ac:dyDescent="0.25">
      <c r="A104" t="str">
        <f>"20190305135534946"</f>
        <v>20190305135534946</v>
      </c>
      <c r="B104" t="str">
        <f>"1551765334941912"</f>
        <v>1551765334941912</v>
      </c>
      <c r="C104" t="s">
        <v>40</v>
      </c>
      <c r="D104">
        <v>3.9721160000000002</v>
      </c>
      <c r="E104">
        <v>0.31853419999999999</v>
      </c>
      <c r="F104" t="s">
        <v>41</v>
      </c>
      <c r="G104">
        <v>-459.05309999999997</v>
      </c>
      <c r="H104">
        <v>0.97863829999999996</v>
      </c>
      <c r="I104">
        <v>367.76220000000001</v>
      </c>
      <c r="J104">
        <v>-459.5659</v>
      </c>
      <c r="K104">
        <v>1.109766</v>
      </c>
      <c r="L104">
        <v>367.30180000000001</v>
      </c>
      <c r="M104">
        <v>0.99972309999999998</v>
      </c>
      <c r="N104">
        <v>-1.134832E-2</v>
      </c>
      <c r="O104">
        <v>2.0619849999999999E-2</v>
      </c>
      <c r="P104">
        <v>0.99527319999999997</v>
      </c>
      <c r="Q104">
        <v>9.916902E-3</v>
      </c>
      <c r="R104">
        <v>9.660734E-2</v>
      </c>
      <c r="S104">
        <v>2.8517760000000001</v>
      </c>
      <c r="T104">
        <v>-0.48181410000000002</v>
      </c>
      <c r="U104">
        <v>1.71258499999999</v>
      </c>
      <c r="V104">
        <v>-7.6062370000000004E-2</v>
      </c>
      <c r="W104">
        <v>2.1234650000000001E-2</v>
      </c>
      <c r="X104">
        <v>0.99687700000000001</v>
      </c>
      <c r="Y104">
        <v>-0.491676</v>
      </c>
      <c r="Z104">
        <v>3.8171150000000001E-2</v>
      </c>
      <c r="AA104">
        <v>0.86994119999999997</v>
      </c>
      <c r="AB104">
        <v>26</v>
      </c>
      <c r="AC104">
        <v>0.51280000000002701</v>
      </c>
      <c r="AD104">
        <v>-0.13112770000000001</v>
      </c>
      <c r="AE104">
        <v>0.46039999999999198</v>
      </c>
      <c r="AF104">
        <v>-0.43401446984859399</v>
      </c>
      <c r="AG104">
        <v>-0.13112770000000001</v>
      </c>
      <c r="AH104">
        <v>0.50394025704169298</v>
      </c>
      <c r="AI104">
        <v>101.15351635531</v>
      </c>
      <c r="AJ104">
        <v>130.736409729325</v>
      </c>
      <c r="AK104">
        <v>0.67787817224962599</v>
      </c>
      <c r="AL104">
        <v>88.783252813039994</v>
      </c>
      <c r="AM104">
        <v>94.363251411269403</v>
      </c>
      <c r="AN104">
        <v>1.00000007380981</v>
      </c>
    </row>
    <row r="105" spans="1:40" x14ac:dyDescent="0.25">
      <c r="A105" t="str">
        <f>"20190305135534968"</f>
        <v>20190305135534968</v>
      </c>
      <c r="B105" t="str">
        <f>"1551765334961431"</f>
        <v>1551765334961431</v>
      </c>
      <c r="C105" t="s">
        <v>40</v>
      </c>
      <c r="D105">
        <v>3.9656159999999998</v>
      </c>
      <c r="E105">
        <v>0.31864940000000003</v>
      </c>
      <c r="F105" t="s">
        <v>41</v>
      </c>
      <c r="G105">
        <v>-458.8143</v>
      </c>
      <c r="H105">
        <v>0.98264039999999997</v>
      </c>
      <c r="I105">
        <v>367.75189999999998</v>
      </c>
      <c r="J105">
        <v>-459.31299999999999</v>
      </c>
      <c r="K105">
        <v>1.1097600000000001</v>
      </c>
      <c r="L105">
        <v>367.30689999999998</v>
      </c>
      <c r="M105">
        <v>0.99971810000000005</v>
      </c>
      <c r="N105">
        <v>-1.1827239999999999E-2</v>
      </c>
      <c r="O105">
        <v>2.0594540000000001E-2</v>
      </c>
      <c r="P105">
        <v>0.99537520000000002</v>
      </c>
      <c r="Q105">
        <v>9.2689360000000002E-3</v>
      </c>
      <c r="R105">
        <v>9.5616560000000003E-2</v>
      </c>
      <c r="S105">
        <v>2.8532099999999998</v>
      </c>
      <c r="T105">
        <v>-0.4826008</v>
      </c>
      <c r="U105">
        <v>1.7089840000000001</v>
      </c>
      <c r="V105">
        <v>-7.5093839999999995E-2</v>
      </c>
      <c r="W105">
        <v>2.106827E-2</v>
      </c>
      <c r="X105">
        <v>0.99695389999999995</v>
      </c>
      <c r="Y105">
        <v>-0.4906722</v>
      </c>
      <c r="Z105">
        <v>3.8277940000000003E-2</v>
      </c>
      <c r="AA105">
        <v>0.87050309999999897</v>
      </c>
      <c r="AB105">
        <v>26</v>
      </c>
      <c r="AC105">
        <v>0.498700000000042</v>
      </c>
      <c r="AD105">
        <v>-0.1271196</v>
      </c>
      <c r="AE105">
        <v>0.44499999999999301</v>
      </c>
      <c r="AF105">
        <v>-0.41946126898566399</v>
      </c>
      <c r="AG105">
        <v>-0.1271196</v>
      </c>
      <c r="AH105">
        <v>0.49003350097128201</v>
      </c>
      <c r="AI105">
        <v>101.148503986981</v>
      </c>
      <c r="AJ105">
        <v>130.56302564139199</v>
      </c>
      <c r="AK105">
        <v>0.65744960335937197</v>
      </c>
      <c r="AL105">
        <v>88.792787749619706</v>
      </c>
      <c r="AM105">
        <v>94.307571985177105</v>
      </c>
      <c r="AN105">
        <v>1.00000001776597</v>
      </c>
    </row>
    <row r="106" spans="1:40" x14ac:dyDescent="0.25">
      <c r="A106" t="str">
        <f>"20190305135534992"</f>
        <v>20190305135534992</v>
      </c>
      <c r="B106" t="str">
        <f>"1551765334981927"</f>
        <v>1551765334981927</v>
      </c>
      <c r="C106" t="s">
        <v>40</v>
      </c>
      <c r="D106">
        <v>3.9742250000000001</v>
      </c>
      <c r="E106">
        <v>0.31891809999999998</v>
      </c>
      <c r="F106" t="s">
        <v>41</v>
      </c>
      <c r="G106">
        <v>-458.5761</v>
      </c>
      <c r="H106">
        <v>0.98463979999999995</v>
      </c>
      <c r="I106">
        <v>367.74680000000001</v>
      </c>
      <c r="J106">
        <v>-459.02379999999999</v>
      </c>
      <c r="K106">
        <v>1.109761</v>
      </c>
      <c r="L106">
        <v>367.31279999999998</v>
      </c>
      <c r="M106">
        <v>0.99971370000000004</v>
      </c>
      <c r="N106">
        <v>-1.2297239999999999E-2</v>
      </c>
      <c r="O106">
        <v>2.052462E-2</v>
      </c>
      <c r="P106">
        <v>0.99551089999999998</v>
      </c>
      <c r="Q106">
        <v>7.9801660000000003E-3</v>
      </c>
      <c r="R106">
        <v>9.4309610000000002E-2</v>
      </c>
      <c r="S106">
        <v>2.8546749999999999</v>
      </c>
      <c r="T106">
        <v>-0.48461270000000001</v>
      </c>
      <c r="U106">
        <v>1.70501699999999</v>
      </c>
      <c r="V106">
        <v>-7.3852840000000003E-2</v>
      </c>
      <c r="W106">
        <v>2.0253050000000002E-2</v>
      </c>
      <c r="X106">
        <v>0.99706349999999999</v>
      </c>
      <c r="Y106">
        <v>-0.48959429999999998</v>
      </c>
      <c r="Z106">
        <v>3.8469669999999997E-2</v>
      </c>
      <c r="AA106">
        <v>0.87110129999999997</v>
      </c>
      <c r="AB106">
        <v>26</v>
      </c>
      <c r="AC106">
        <v>0.44769999999999699</v>
      </c>
      <c r="AD106">
        <v>-0.12512119999999899</v>
      </c>
      <c r="AE106">
        <v>0.43400000000002498</v>
      </c>
      <c r="AF106">
        <v>-0.40827897753853898</v>
      </c>
      <c r="AG106">
        <v>-0.12512119999999899</v>
      </c>
      <c r="AH106">
        <v>0.438843295350207</v>
      </c>
      <c r="AI106">
        <v>101.790924952578</v>
      </c>
      <c r="AJ106">
        <v>132.93365471690299</v>
      </c>
      <c r="AK106">
        <v>0.61231566700778095</v>
      </c>
      <c r="AL106">
        <v>88.839506396751304</v>
      </c>
      <c r="AM106">
        <v>94.236182451512704</v>
      </c>
      <c r="AN106">
        <v>1.0000000255213</v>
      </c>
    </row>
    <row r="107" spans="1:40" x14ac:dyDescent="0.25">
      <c r="A107" t="str">
        <f>"20190305135535014"</f>
        <v>20190305135535014</v>
      </c>
      <c r="B107" t="str">
        <f>"1551765335001447"</f>
        <v>1551765335001447</v>
      </c>
      <c r="C107" t="s">
        <v>40</v>
      </c>
      <c r="D107">
        <v>3.9814530000000001</v>
      </c>
      <c r="E107">
        <v>0.31887270000000001</v>
      </c>
      <c r="F107" t="s">
        <v>42</v>
      </c>
      <c r="G107">
        <v>-452.55070000000001</v>
      </c>
      <c r="H107" s="1">
        <v>-3.589579E-6</v>
      </c>
      <c r="I107">
        <v>371.16309999999999</v>
      </c>
      <c r="J107">
        <v>-458.77249999999998</v>
      </c>
      <c r="K107">
        <v>1.1097680000000001</v>
      </c>
      <c r="L107">
        <v>367.31790000000001</v>
      </c>
      <c r="M107">
        <v>0.99971120000000002</v>
      </c>
      <c r="N107">
        <v>-1.2650299999999901E-2</v>
      </c>
      <c r="O107">
        <v>2.0438459999999999E-2</v>
      </c>
      <c r="P107">
        <v>0.99568760000000001</v>
      </c>
      <c r="Q107">
        <v>8.5639710000000001E-3</v>
      </c>
      <c r="R107">
        <v>9.2374559999999994E-2</v>
      </c>
      <c r="S107">
        <v>2.8564449999999999</v>
      </c>
      <c r="T107">
        <v>-0.48971179999999997</v>
      </c>
      <c r="U107">
        <v>1.699066</v>
      </c>
      <c r="V107">
        <v>-7.1999489999999999E-2</v>
      </c>
      <c r="W107">
        <v>2.1193650000000001E-2</v>
      </c>
      <c r="X107">
        <v>0.99717940000000005</v>
      </c>
      <c r="Y107">
        <v>-0.4879848</v>
      </c>
      <c r="Z107">
        <v>3.8805810000000003E-2</v>
      </c>
      <c r="AA107">
        <v>0.87198909999999996</v>
      </c>
      <c r="AB107">
        <v>26</v>
      </c>
      <c r="AC107">
        <v>6.2217999999999698</v>
      </c>
      <c r="AD107">
        <v>-1.1097715895789999</v>
      </c>
      <c r="AE107">
        <v>3.84519999999997</v>
      </c>
      <c r="AF107">
        <v>-3.6335704411166501</v>
      </c>
      <c r="AG107">
        <v>-1.1097715895789999</v>
      </c>
      <c r="AH107">
        <v>6.15734207557019</v>
      </c>
      <c r="AI107">
        <v>98.823217602140602</v>
      </c>
      <c r="AJ107">
        <v>120.54570289232601</v>
      </c>
      <c r="AK107">
        <v>7.2351426086277204</v>
      </c>
      <c r="AL107">
        <v>88.785602289774502</v>
      </c>
      <c r="AM107">
        <v>94.129768927321905</v>
      </c>
      <c r="AN107">
        <v>0.99999992657246795</v>
      </c>
    </row>
    <row r="108" spans="1:40" x14ac:dyDescent="0.25">
      <c r="A108" t="str">
        <f>"20190305135535036"</f>
        <v>20190305135535036</v>
      </c>
      <c r="B108" t="str">
        <f>"1551765335031703"</f>
        <v>1551765335031703</v>
      </c>
      <c r="C108" t="s">
        <v>40</v>
      </c>
      <c r="D108">
        <v>4.787433</v>
      </c>
      <c r="E108">
        <v>0.31898840000000001</v>
      </c>
      <c r="F108" t="s">
        <v>41</v>
      </c>
      <c r="G108">
        <v>-457.89400000000001</v>
      </c>
      <c r="H108">
        <v>0.96119399999999999</v>
      </c>
      <c r="I108">
        <v>367.83859999999999</v>
      </c>
      <c r="J108">
        <v>-458.50670000000002</v>
      </c>
      <c r="K108">
        <v>1.1097779999999999</v>
      </c>
      <c r="L108">
        <v>367.32330000000002</v>
      </c>
      <c r="M108">
        <v>0.99970919999999996</v>
      </c>
      <c r="N108">
        <v>-1.297355E-2</v>
      </c>
      <c r="O108">
        <v>2.0331749999999999E-2</v>
      </c>
      <c r="P108">
        <v>0.9957918</v>
      </c>
      <c r="Q108">
        <v>8.6683929999999999E-3</v>
      </c>
      <c r="R108">
        <v>9.1233529999999993E-2</v>
      </c>
      <c r="S108">
        <v>2.8598940000000002</v>
      </c>
      <c r="T108">
        <v>-0.48364509999999999</v>
      </c>
      <c r="U108">
        <v>1.6950069999999999</v>
      </c>
      <c r="V108">
        <v>-7.0961750000000004E-2</v>
      </c>
      <c r="W108">
        <v>2.1623659999999999E-2</v>
      </c>
      <c r="X108">
        <v>0.99724469999999998</v>
      </c>
      <c r="Y108">
        <v>-0.48683480000000001</v>
      </c>
      <c r="Z108">
        <v>3.8357500000000003E-2</v>
      </c>
      <c r="AA108">
        <v>0.87265149999999903</v>
      </c>
      <c r="AB108">
        <v>26</v>
      </c>
      <c r="AC108">
        <v>0.61270000000001801</v>
      </c>
      <c r="AD108">
        <v>-0.14858399999999999</v>
      </c>
      <c r="AE108">
        <v>0.51529999999996701</v>
      </c>
      <c r="AF108">
        <v>-0.48599491721625798</v>
      </c>
      <c r="AG108">
        <v>-0.14858399999999999</v>
      </c>
      <c r="AH108">
        <v>0.60230460159788801</v>
      </c>
      <c r="AI108">
        <v>100.867822295053</v>
      </c>
      <c r="AJ108">
        <v>128.89979087908699</v>
      </c>
      <c r="AK108">
        <v>0.78806033888404003</v>
      </c>
      <c r="AL108">
        <v>88.760959061978497</v>
      </c>
      <c r="AM108">
        <v>94.070181808577104</v>
      </c>
      <c r="AN108">
        <v>1.0000000721564699</v>
      </c>
    </row>
    <row r="109" spans="1:40" x14ac:dyDescent="0.25">
      <c r="A109" t="str">
        <f>"20190305135535058"</f>
        <v>20190305135535058</v>
      </c>
      <c r="B109" t="str">
        <f>"1551765335051223"</f>
        <v>1551765335051223</v>
      </c>
      <c r="C109" t="s">
        <v>40</v>
      </c>
      <c r="D109">
        <v>4.582128</v>
      </c>
      <c r="E109">
        <v>0.31898840000000001</v>
      </c>
      <c r="F109" t="s">
        <v>41</v>
      </c>
      <c r="G109">
        <v>-457.65679999999998</v>
      </c>
      <c r="H109">
        <v>0.96654680000000004</v>
      </c>
      <c r="I109">
        <v>367.8254</v>
      </c>
      <c r="J109">
        <v>-458.255</v>
      </c>
      <c r="K109">
        <v>1.109809</v>
      </c>
      <c r="L109">
        <v>367.32819999999998</v>
      </c>
      <c r="M109">
        <v>0.99970789999999998</v>
      </c>
      <c r="N109">
        <v>-1.323862E-2</v>
      </c>
      <c r="O109">
        <v>2.0220689999999999E-2</v>
      </c>
      <c r="P109">
        <v>0.9958979</v>
      </c>
      <c r="Q109">
        <v>1.3498980000000001E-2</v>
      </c>
      <c r="R109">
        <v>8.9472060000000006E-2</v>
      </c>
      <c r="S109">
        <v>2.8620000000000001</v>
      </c>
      <c r="T109">
        <v>-0.48229339999999998</v>
      </c>
      <c r="U109">
        <v>1.6908570000000001</v>
      </c>
      <c r="V109">
        <v>-6.9307789999999994E-2</v>
      </c>
      <c r="W109">
        <v>2.6720509999999999E-2</v>
      </c>
      <c r="X109">
        <v>0.99723740000000005</v>
      </c>
      <c r="Y109">
        <v>-0.48574339999999999</v>
      </c>
      <c r="Z109">
        <v>3.8248379999999998E-2</v>
      </c>
      <c r="AA109">
        <v>0.87326429999999999</v>
      </c>
      <c r="AB109">
        <v>26</v>
      </c>
      <c r="AC109">
        <v>0.59820000000001905</v>
      </c>
      <c r="AD109">
        <v>-0.14326220000000001</v>
      </c>
      <c r="AE109">
        <v>0.49720000000002001</v>
      </c>
      <c r="AF109">
        <v>-0.469089181049059</v>
      </c>
      <c r="AG109">
        <v>-0.14326220000000001</v>
      </c>
      <c r="AH109">
        <v>0.58818049186299703</v>
      </c>
      <c r="AI109">
        <v>100.781445019023</v>
      </c>
      <c r="AJ109">
        <v>128.57326789513999</v>
      </c>
      <c r="AK109">
        <v>0.76584920756916297</v>
      </c>
      <c r="AL109">
        <v>88.468845300269905</v>
      </c>
      <c r="AM109">
        <v>93.975651783105207</v>
      </c>
      <c r="AN109">
        <v>0.99999999368405201</v>
      </c>
    </row>
    <row r="110" spans="1:40" x14ac:dyDescent="0.25">
      <c r="A110" t="str">
        <f>"20190305135535079"</f>
        <v>20190305135535079</v>
      </c>
      <c r="B110" t="str">
        <f>"1551765335071719"</f>
        <v>1551765335071719</v>
      </c>
      <c r="C110" t="s">
        <v>40</v>
      </c>
      <c r="D110">
        <v>4.5010430000000001</v>
      </c>
      <c r="E110">
        <v>0.4430539</v>
      </c>
      <c r="F110" t="s">
        <v>41</v>
      </c>
      <c r="G110">
        <v>-457.42129999999997</v>
      </c>
      <c r="H110">
        <v>0.97283569999999997</v>
      </c>
      <c r="I110">
        <v>367.81790000000001</v>
      </c>
      <c r="J110">
        <v>-458.00360000000001</v>
      </c>
      <c r="K110">
        <v>1.109847</v>
      </c>
      <c r="L110">
        <v>367.33319999999998</v>
      </c>
      <c r="M110">
        <v>0.99970720000000002</v>
      </c>
      <c r="N110">
        <v>-1.3468050000000001E-2</v>
      </c>
      <c r="O110">
        <v>2.0101810000000001E-2</v>
      </c>
      <c r="P110">
        <v>0.99609210000000004</v>
      </c>
      <c r="Q110">
        <v>1.9320469999999999E-2</v>
      </c>
      <c r="R110">
        <v>8.6179610000000004E-2</v>
      </c>
      <c r="S110">
        <v>2.8674010000000001</v>
      </c>
      <c r="T110">
        <v>-0.47099999999999997</v>
      </c>
      <c r="U110">
        <v>1.6849670000000001</v>
      </c>
      <c r="V110">
        <v>-6.6128099999999995E-2</v>
      </c>
      <c r="W110">
        <v>3.2772219999999998E-2</v>
      </c>
      <c r="X110">
        <v>0.99727279999999996</v>
      </c>
      <c r="Y110">
        <v>-0.48404789999999998</v>
      </c>
      <c r="Z110">
        <v>3.7347930000000001E-2</v>
      </c>
      <c r="AA110">
        <v>0.87424409999999897</v>
      </c>
      <c r="AB110">
        <v>26</v>
      </c>
      <c r="AC110">
        <v>0.58230000000003201</v>
      </c>
      <c r="AD110">
        <v>-0.1370113</v>
      </c>
      <c r="AE110">
        <v>0.48470000000003199</v>
      </c>
      <c r="AF110">
        <v>-0.45792007118579803</v>
      </c>
      <c r="AG110">
        <v>-0.1370113</v>
      </c>
      <c r="AH110">
        <v>0.57318146346444798</v>
      </c>
      <c r="AI110">
        <v>100.578440088774</v>
      </c>
      <c r="AJ110">
        <v>128.62168702486699</v>
      </c>
      <c r="AK110">
        <v>0.74632424453567203</v>
      </c>
      <c r="AL110">
        <v>88.121953813091196</v>
      </c>
      <c r="AM110">
        <v>93.793668684503203</v>
      </c>
      <c r="AN110">
        <v>0.99999999081658897</v>
      </c>
    </row>
    <row r="111" spans="1:40" x14ac:dyDescent="0.25">
      <c r="A111" t="str">
        <f>"20190305135535101"</f>
        <v>20190305135535101</v>
      </c>
      <c r="B111" t="str">
        <f>"1551765335092215"</f>
        <v>1551765335092215</v>
      </c>
      <c r="C111" t="s">
        <v>40</v>
      </c>
      <c r="D111">
        <v>4.391934</v>
      </c>
      <c r="E111">
        <v>0.52352600000000005</v>
      </c>
      <c r="F111" t="s">
        <v>42</v>
      </c>
      <c r="G111">
        <v>-447.26909999999998</v>
      </c>
      <c r="H111" s="1">
        <v>-1.3348060000000001E-6</v>
      </c>
      <c r="I111">
        <v>369.85480000000001</v>
      </c>
      <c r="J111">
        <v>-457.74919999999997</v>
      </c>
      <c r="K111">
        <v>1.1098749999999999</v>
      </c>
      <c r="L111">
        <v>367.3381</v>
      </c>
      <c r="M111">
        <v>0.99970709999999996</v>
      </c>
      <c r="N111">
        <v>-1.366889E-2</v>
      </c>
      <c r="O111">
        <v>1.9974889999999999E-2</v>
      </c>
      <c r="P111">
        <v>0.9963438</v>
      </c>
      <c r="Q111">
        <v>2.1397159999999998E-2</v>
      </c>
      <c r="R111">
        <v>8.2712419999999995E-2</v>
      </c>
      <c r="S111">
        <v>2.957611</v>
      </c>
      <c r="T111">
        <v>-0.30579079999999997</v>
      </c>
      <c r="U111">
        <v>0.69476319999999903</v>
      </c>
      <c r="V111">
        <v>-6.2782229999999994E-2</v>
      </c>
      <c r="W111">
        <v>3.5051140000000001E-2</v>
      </c>
      <c r="X111">
        <v>0.99741150000000001</v>
      </c>
      <c r="Y111">
        <v>-0.20806920000000001</v>
      </c>
      <c r="Z111">
        <v>1.026795E-2</v>
      </c>
      <c r="AA111">
        <v>0.97806020000000005</v>
      </c>
      <c r="AB111">
        <v>26</v>
      </c>
      <c r="AC111">
        <v>10.480099999999901</v>
      </c>
      <c r="AD111">
        <v>-1.1098763348059999</v>
      </c>
      <c r="AE111">
        <v>2.5167000000000099</v>
      </c>
      <c r="AF111">
        <v>-2.2826343667185598</v>
      </c>
      <c r="AG111">
        <v>-1.1098763348059999</v>
      </c>
      <c r="AH111">
        <v>10.4178137952422</v>
      </c>
      <c r="AI111">
        <v>95.941248194476799</v>
      </c>
      <c r="AJ111">
        <v>102.358703097042</v>
      </c>
      <c r="AK111">
        <v>10.7225505082992</v>
      </c>
      <c r="AL111">
        <v>87.991306050590197</v>
      </c>
      <c r="AM111">
        <v>93.601740417052696</v>
      </c>
      <c r="AN111">
        <v>0.99999994557565897</v>
      </c>
    </row>
    <row r="112" spans="1:40" x14ac:dyDescent="0.25">
      <c r="A112" t="str">
        <f>"20190305135535125"</f>
        <v>20190305135535125</v>
      </c>
      <c r="B112" t="str">
        <f>"1551765335121495"</f>
        <v>1551765335121495</v>
      </c>
      <c r="C112" t="s">
        <v>40</v>
      </c>
      <c r="D112">
        <v>4.3613330000000001</v>
      </c>
      <c r="E112">
        <v>0.5344991</v>
      </c>
      <c r="F112" t="s">
        <v>42</v>
      </c>
      <c r="G112">
        <v>-443.84570000000002</v>
      </c>
      <c r="H112" s="1">
        <v>-3.2551220000000002E-6</v>
      </c>
      <c r="I112">
        <v>367.55599999999998</v>
      </c>
      <c r="J112">
        <v>-457.4846</v>
      </c>
      <c r="K112">
        <v>1.1098870000000001</v>
      </c>
      <c r="L112">
        <v>367.3433</v>
      </c>
      <c r="M112">
        <v>0.99970729999999997</v>
      </c>
      <c r="N112">
        <v>-1.3848890000000001E-2</v>
      </c>
      <c r="O112">
        <v>1.983975E-2</v>
      </c>
      <c r="P112">
        <v>0.99664589999999997</v>
      </c>
      <c r="Q112">
        <v>2.0684910000000001E-2</v>
      </c>
      <c r="R112">
        <v>7.9177910000000004E-2</v>
      </c>
      <c r="S112">
        <v>3.012238</v>
      </c>
      <c r="T112">
        <v>-0.24045830000000001</v>
      </c>
      <c r="U112">
        <v>4.721069E-2</v>
      </c>
      <c r="V112">
        <v>-5.9377649999999997E-2</v>
      </c>
      <c r="W112">
        <v>3.4520750000000003E-2</v>
      </c>
      <c r="X112">
        <v>0.99763849999999998</v>
      </c>
      <c r="Y112">
        <v>4.1128149999999997E-3</v>
      </c>
      <c r="Z112">
        <v>-1.4990019999999999E-3</v>
      </c>
      <c r="AA112">
        <v>0.99999039999999995</v>
      </c>
      <c r="AB112">
        <v>26</v>
      </c>
      <c r="AC112">
        <v>13.6388999999999</v>
      </c>
      <c r="AD112">
        <v>-1.109890255122</v>
      </c>
      <c r="AE112">
        <v>0.21269999999998301</v>
      </c>
      <c r="AF112">
        <v>5.7578973306260599E-2</v>
      </c>
      <c r="AG112">
        <v>-1.109890255122</v>
      </c>
      <c r="AH112">
        <v>13.550721714933999</v>
      </c>
      <c r="AI112">
        <v>94.682394231130004</v>
      </c>
      <c r="AJ112">
        <v>89.756543424487901</v>
      </c>
      <c r="AK112">
        <v>13.596221192381501</v>
      </c>
      <c r="AL112">
        <v>88.021713636423598</v>
      </c>
      <c r="AM112">
        <v>93.406123615162599</v>
      </c>
      <c r="AN112">
        <v>0.99999998209116703</v>
      </c>
    </row>
    <row r="113" spans="1:40" x14ac:dyDescent="0.25">
      <c r="A113" t="str">
        <f>"20190305135535147"</f>
        <v>20190305135535147</v>
      </c>
      <c r="B113" t="str">
        <f>"1551765335141991"</f>
        <v>1551765335141991</v>
      </c>
      <c r="C113" t="s">
        <v>40</v>
      </c>
      <c r="D113">
        <v>4.3315890000000001</v>
      </c>
      <c r="E113">
        <v>0.53528019999999998</v>
      </c>
      <c r="F113" t="s">
        <v>41</v>
      </c>
      <c r="G113">
        <v>-456.69349999999997</v>
      </c>
      <c r="H113">
        <v>1.049221</v>
      </c>
      <c r="I113">
        <v>367.33019999999999</v>
      </c>
      <c r="J113">
        <v>-457.22469999999998</v>
      </c>
      <c r="K113">
        <v>1.1098980000000001</v>
      </c>
      <c r="L113">
        <v>367.34829999999999</v>
      </c>
      <c r="M113">
        <v>0.99970780000000004</v>
      </c>
      <c r="N113">
        <v>-1.400064E-2</v>
      </c>
      <c r="O113">
        <v>1.970918E-2</v>
      </c>
      <c r="P113">
        <v>0.99690489999999998</v>
      </c>
      <c r="Q113">
        <v>1.8703069999999999E-2</v>
      </c>
      <c r="R113">
        <v>7.6362089999999994E-2</v>
      </c>
      <c r="S113">
        <v>3.018799</v>
      </c>
      <c r="T113">
        <v>-0.23153380000000001</v>
      </c>
      <c r="U113">
        <v>-4.943848E-2</v>
      </c>
      <c r="V113">
        <v>-5.6688389999999998E-2</v>
      </c>
      <c r="W113">
        <v>3.2692150000000003E-2</v>
      </c>
      <c r="X113">
        <v>0.99785650000000004</v>
      </c>
      <c r="Y113">
        <v>3.5916530000000002E-2</v>
      </c>
      <c r="Z113">
        <v>-2.8608359999999998E-3</v>
      </c>
      <c r="AA113">
        <v>0.99935070000000004</v>
      </c>
      <c r="AB113">
        <v>26</v>
      </c>
      <c r="AC113">
        <v>0.531200000000012</v>
      </c>
      <c r="AD113">
        <v>-6.0677000000000002E-2</v>
      </c>
      <c r="AE113">
        <v>-1.8100000000003998E-2</v>
      </c>
      <c r="AF113">
        <v>2.8199514826546299E-2</v>
      </c>
      <c r="AG113">
        <v>-6.0677000000000002E-2</v>
      </c>
      <c r="AH113">
        <v>0.52391213468126396</v>
      </c>
      <c r="AI113">
        <v>96.596826586805605</v>
      </c>
      <c r="AJ113">
        <v>86.919033786162103</v>
      </c>
      <c r="AK113">
        <v>0.52816743162725499</v>
      </c>
      <c r="AL113">
        <v>88.126543911292103</v>
      </c>
      <c r="AM113">
        <v>93.251487610384601</v>
      </c>
      <c r="AN113">
        <v>0.99999997241233196</v>
      </c>
    </row>
    <row r="114" spans="1:40" x14ac:dyDescent="0.25">
      <c r="A114" t="str">
        <f>"20190305135535170"</f>
        <v>20190305135535170</v>
      </c>
      <c r="B114" t="str">
        <f>"1551765335161510"</f>
        <v>1551765335161510</v>
      </c>
      <c r="C114" t="s">
        <v>40</v>
      </c>
      <c r="D114">
        <v>4.3272579999999996</v>
      </c>
      <c r="E114">
        <v>0.53579549999999998</v>
      </c>
      <c r="F114" t="s">
        <v>41</v>
      </c>
      <c r="G114">
        <v>-456.46050000000002</v>
      </c>
      <c r="H114">
        <v>1.050073</v>
      </c>
      <c r="I114">
        <v>367.33179999999999</v>
      </c>
      <c r="J114">
        <v>-456.96179999999998</v>
      </c>
      <c r="K114">
        <v>1.1099209999999999</v>
      </c>
      <c r="L114">
        <v>367.35340000000002</v>
      </c>
      <c r="M114">
        <v>0.99970820000000005</v>
      </c>
      <c r="N114">
        <v>-1.413147E-2</v>
      </c>
      <c r="O114">
        <v>1.9586969999999999E-2</v>
      </c>
      <c r="P114">
        <v>0.99701360000000006</v>
      </c>
      <c r="Q114">
        <v>1.8351119999999999E-2</v>
      </c>
      <c r="R114">
        <v>7.5015520000000002E-2</v>
      </c>
      <c r="S114">
        <v>3.0186459999999999</v>
      </c>
      <c r="T114">
        <v>-0.2366238</v>
      </c>
      <c r="U114">
        <v>-6.3720700000000005E-2</v>
      </c>
      <c r="V114">
        <v>-5.5462579999999997E-2</v>
      </c>
      <c r="W114">
        <v>3.2470550000000001E-2</v>
      </c>
      <c r="X114">
        <v>0.99793270000000001</v>
      </c>
      <c r="Y114">
        <v>4.049784E-2</v>
      </c>
      <c r="Z114">
        <v>-3.1277919999999999E-3</v>
      </c>
      <c r="AA114">
        <v>0.99917469999999997</v>
      </c>
      <c r="AB114">
        <v>26</v>
      </c>
      <c r="AC114">
        <v>0.501299999999957</v>
      </c>
      <c r="AD114">
        <v>-5.9847999999999901E-2</v>
      </c>
      <c r="AE114">
        <v>-2.16000000000349E-2</v>
      </c>
      <c r="AF114">
        <v>3.0975117042639999E-2</v>
      </c>
      <c r="AG114">
        <v>-5.9847999999999901E-2</v>
      </c>
      <c r="AH114">
        <v>0.49375626142731899</v>
      </c>
      <c r="AI114">
        <v>96.897656331278796</v>
      </c>
      <c r="AJ114">
        <v>86.410332535904104</v>
      </c>
      <c r="AK114">
        <v>0.49833371015664701</v>
      </c>
      <c r="AL114">
        <v>88.139247552844097</v>
      </c>
      <c r="AM114">
        <v>93.181082163694498</v>
      </c>
      <c r="AN114">
        <v>1.00000005406342</v>
      </c>
    </row>
    <row r="115" spans="1:40" x14ac:dyDescent="0.25">
      <c r="A115" t="str">
        <f>"20190305135535192"</f>
        <v>20190305135535192</v>
      </c>
      <c r="B115" t="str">
        <f>"1551765335182007"</f>
        <v>1551765335182007</v>
      </c>
      <c r="C115" t="s">
        <v>40</v>
      </c>
      <c r="D115">
        <v>4.345307</v>
      </c>
      <c r="E115">
        <v>0.53566480000000005</v>
      </c>
      <c r="F115" t="s">
        <v>41</v>
      </c>
      <c r="G115">
        <v>-456.01819999999998</v>
      </c>
      <c r="H115">
        <v>1.0350459999999999</v>
      </c>
      <c r="I115">
        <v>367.3306</v>
      </c>
      <c r="J115">
        <v>-456.70179999999999</v>
      </c>
      <c r="K115">
        <v>1.1099570000000001</v>
      </c>
      <c r="L115">
        <v>367.35840000000002</v>
      </c>
      <c r="M115">
        <v>0.99970879999999995</v>
      </c>
      <c r="N115">
        <v>-1.424133E-2</v>
      </c>
      <c r="O115">
        <v>1.948252E-2</v>
      </c>
      <c r="P115">
        <v>0.99700489999999997</v>
      </c>
      <c r="Q115">
        <v>1.905753E-2</v>
      </c>
      <c r="R115">
        <v>7.4954190000000004E-2</v>
      </c>
      <c r="S115">
        <v>3.0187680000000001</v>
      </c>
      <c r="T115">
        <v>-0.23972579999999999</v>
      </c>
      <c r="U115">
        <v>-7.1716310000000005E-2</v>
      </c>
      <c r="V115">
        <v>-5.5506300000000001E-2</v>
      </c>
      <c r="W115">
        <v>3.3285009999999997E-2</v>
      </c>
      <c r="X115">
        <v>0.9979034</v>
      </c>
      <c r="Y115">
        <v>4.3023560000000002E-2</v>
      </c>
      <c r="Z115">
        <v>-3.2797859999999998E-3</v>
      </c>
      <c r="AA115">
        <v>0.99906870000000003</v>
      </c>
      <c r="AB115">
        <v>26</v>
      </c>
      <c r="AC115">
        <v>0.68360000000001198</v>
      </c>
      <c r="AD115">
        <v>-7.4910999999999894E-2</v>
      </c>
      <c r="AE115">
        <v>-2.78000000000133E-2</v>
      </c>
      <c r="AF115">
        <v>4.0627258387473601E-2</v>
      </c>
      <c r="AG115">
        <v>-7.4910999999999894E-2</v>
      </c>
      <c r="AH115">
        <v>0.674838172985604</v>
      </c>
      <c r="AI115">
        <v>96.322880483058995</v>
      </c>
      <c r="AJ115">
        <v>86.554782498896799</v>
      </c>
      <c r="AK115">
        <v>0.68019761228898001</v>
      </c>
      <c r="AL115">
        <v>88.0925571238364</v>
      </c>
      <c r="AM115">
        <v>93.183677871429794</v>
      </c>
      <c r="AN115">
        <v>1.0000000184809701</v>
      </c>
    </row>
    <row r="116" spans="1:40" x14ac:dyDescent="0.25">
      <c r="A116" t="str">
        <f>"20190305135535216"</f>
        <v>20190305135535216</v>
      </c>
      <c r="B116" t="str">
        <f>"1551765335211286"</f>
        <v>1551765335211286</v>
      </c>
      <c r="C116" t="s">
        <v>40</v>
      </c>
      <c r="D116">
        <v>4.3826210000000003</v>
      </c>
      <c r="E116">
        <v>0.53524719999999903</v>
      </c>
      <c r="F116" t="s">
        <v>41</v>
      </c>
      <c r="G116">
        <v>-455.7876</v>
      </c>
      <c r="H116">
        <v>1.0375479999999999</v>
      </c>
      <c r="I116">
        <v>367.33640000000003</v>
      </c>
      <c r="J116">
        <v>-456.43639999999999</v>
      </c>
      <c r="K116">
        <v>1.1099829999999999</v>
      </c>
      <c r="L116">
        <v>367.36340000000001</v>
      </c>
      <c r="M116">
        <v>0.99970919999999996</v>
      </c>
      <c r="N116">
        <v>-1.43372E-2</v>
      </c>
      <c r="O116">
        <v>1.9392220000000002E-2</v>
      </c>
      <c r="P116">
        <v>0.99690780000000001</v>
      </c>
      <c r="Q116">
        <v>1.858255E-2</v>
      </c>
      <c r="R116">
        <v>7.6352840000000005E-2</v>
      </c>
      <c r="S116">
        <v>3.019012</v>
      </c>
      <c r="T116">
        <v>-0.2392367</v>
      </c>
      <c r="U116">
        <v>-7.1716310000000005E-2</v>
      </c>
      <c r="V116">
        <v>-5.6998229999999997E-2</v>
      </c>
      <c r="W116">
        <v>3.290328E-2</v>
      </c>
      <c r="X116">
        <v>0.99783189999999999</v>
      </c>
      <c r="Y116">
        <v>4.2932749999999999E-2</v>
      </c>
      <c r="Z116">
        <v>-3.263017E-3</v>
      </c>
      <c r="AA116">
        <v>0.99907259999999998</v>
      </c>
      <c r="AB116">
        <v>26</v>
      </c>
      <c r="AC116">
        <v>0.64879999999999405</v>
      </c>
      <c r="AD116">
        <v>-7.2434999999999999E-2</v>
      </c>
      <c r="AE116">
        <v>-2.6999999999986798E-2</v>
      </c>
      <c r="AF116">
        <v>3.9091473016615703E-2</v>
      </c>
      <c r="AG116">
        <v>-7.2434999999999999E-2</v>
      </c>
      <c r="AH116">
        <v>0.64018848549696294</v>
      </c>
      <c r="AI116">
        <v>96.443455013859193</v>
      </c>
      <c r="AJ116">
        <v>86.505718361323105</v>
      </c>
      <c r="AK116">
        <v>0.64545818567162305</v>
      </c>
      <c r="AL116">
        <v>88.1144405225523</v>
      </c>
      <c r="AM116">
        <v>93.269301146600498</v>
      </c>
      <c r="AN116">
        <v>0.99999996235774902</v>
      </c>
    </row>
    <row r="117" spans="1:40" x14ac:dyDescent="0.25">
      <c r="A117" t="str">
        <f>"20190305135535237"</f>
        <v>20190305135535237</v>
      </c>
      <c r="B117" t="str">
        <f>"1551765335231784"</f>
        <v>1551765335231784</v>
      </c>
      <c r="C117" t="s">
        <v>40</v>
      </c>
      <c r="D117">
        <v>4.3541790000000002</v>
      </c>
      <c r="E117">
        <v>0.53508630000000001</v>
      </c>
      <c r="F117" t="s">
        <v>41</v>
      </c>
      <c r="G117">
        <v>-455.55779999999999</v>
      </c>
      <c r="H117">
        <v>1.0392060000000001</v>
      </c>
      <c r="I117">
        <v>367.34429999999998</v>
      </c>
      <c r="J117">
        <v>-456.19310000000002</v>
      </c>
      <c r="K117">
        <v>1.1100049999999999</v>
      </c>
      <c r="L117">
        <v>367.36799999999999</v>
      </c>
      <c r="M117">
        <v>0.99970930000000002</v>
      </c>
      <c r="N117">
        <v>-1.441255E-2</v>
      </c>
      <c r="O117">
        <v>1.9327480000000001E-2</v>
      </c>
      <c r="P117">
        <v>0.99680729999999995</v>
      </c>
      <c r="Q117">
        <v>1.716991E-2</v>
      </c>
      <c r="R117">
        <v>7.7977599999999994E-2</v>
      </c>
      <c r="S117">
        <v>3.018799</v>
      </c>
      <c r="T117">
        <v>-0.2433978</v>
      </c>
      <c r="U117">
        <v>-6.4422610000000005E-2</v>
      </c>
      <c r="V117">
        <v>-5.8690270000000003E-2</v>
      </c>
      <c r="W117">
        <v>3.1563590000000002E-2</v>
      </c>
      <c r="X117">
        <v>0.99777709999999997</v>
      </c>
      <c r="Y117">
        <v>4.0459639999999998E-2</v>
      </c>
      <c r="Z117">
        <v>-3.1978800000000002E-3</v>
      </c>
      <c r="AA117">
        <v>0.99917610000000001</v>
      </c>
      <c r="AB117">
        <v>26</v>
      </c>
      <c r="AC117">
        <v>0.63530000000002895</v>
      </c>
      <c r="AD117">
        <v>-7.0799000000000001E-2</v>
      </c>
      <c r="AE117">
        <v>-2.3700000000076198E-2</v>
      </c>
      <c r="AF117">
        <v>3.5534891299880501E-2</v>
      </c>
      <c r="AG117">
        <v>-7.0799000000000001E-2</v>
      </c>
      <c r="AH117">
        <v>0.626947775563647</v>
      </c>
      <c r="AI117">
        <v>96.432677646549493</v>
      </c>
      <c r="AJ117">
        <v>86.755992552381599</v>
      </c>
      <c r="AK117">
        <v>0.631932544014707</v>
      </c>
      <c r="AL117">
        <v>88.191239043268197</v>
      </c>
      <c r="AM117">
        <v>93.366317566211194</v>
      </c>
      <c r="AN117">
        <v>0.99999997464538504</v>
      </c>
    </row>
    <row r="118" spans="1:40" x14ac:dyDescent="0.25">
      <c r="A118" t="str">
        <f>"20190305135535259"</f>
        <v>20190305135535259</v>
      </c>
      <c r="B118" t="str">
        <f>"1551765335251303"</f>
        <v>1551765335251303</v>
      </c>
      <c r="C118" t="s">
        <v>40</v>
      </c>
      <c r="D118">
        <v>4.3432399999999998</v>
      </c>
      <c r="E118">
        <v>0.53500000000000003</v>
      </c>
      <c r="F118" t="s">
        <v>41</v>
      </c>
      <c r="G118">
        <v>-455.32940000000002</v>
      </c>
      <c r="H118">
        <v>1.0389520000000001</v>
      </c>
      <c r="I118">
        <v>367.35109999999997</v>
      </c>
      <c r="J118">
        <v>-455.95030000000003</v>
      </c>
      <c r="K118">
        <v>1.1100589999999999</v>
      </c>
      <c r="L118">
        <v>367.37270000000001</v>
      </c>
      <c r="M118">
        <v>0.99970919999999996</v>
      </c>
      <c r="N118">
        <v>-1.4477230000000001E-2</v>
      </c>
      <c r="O118">
        <v>1.9283040000000001E-2</v>
      </c>
      <c r="P118">
        <v>0.99672419999999995</v>
      </c>
      <c r="Q118">
        <v>1.7230990000000002E-2</v>
      </c>
      <c r="R118">
        <v>7.9018060000000001E-2</v>
      </c>
      <c r="S118">
        <v>3.0184329999999999</v>
      </c>
      <c r="T118">
        <v>-0.24853430000000001</v>
      </c>
      <c r="U118">
        <v>-5.8044430000000001E-2</v>
      </c>
      <c r="V118">
        <v>-5.9777619999999997E-2</v>
      </c>
      <c r="W118">
        <v>3.168559E-2</v>
      </c>
      <c r="X118">
        <v>0.9977087</v>
      </c>
      <c r="Y118">
        <v>3.8307580000000001E-2</v>
      </c>
      <c r="Z118">
        <v>-3.1583280000000002E-3</v>
      </c>
      <c r="AA118">
        <v>0.99926099999999995</v>
      </c>
      <c r="AB118">
        <v>26</v>
      </c>
      <c r="AC118">
        <v>0.620900000000006</v>
      </c>
      <c r="AD118">
        <v>-7.1106999999999795E-2</v>
      </c>
      <c r="AE118">
        <v>-2.16000000000349E-2</v>
      </c>
      <c r="AF118">
        <v>3.3136011344824003E-2</v>
      </c>
      <c r="AG118">
        <v>-7.1106999999999795E-2</v>
      </c>
      <c r="AH118">
        <v>0.61234651235510495</v>
      </c>
      <c r="AI118">
        <v>96.614053401193104</v>
      </c>
      <c r="AJ118">
        <v>86.9025646859114</v>
      </c>
      <c r="AK118">
        <v>0.61735115768118998</v>
      </c>
      <c r="AL118">
        <v>88.184245497363904</v>
      </c>
      <c r="AM118">
        <v>93.428772129337204</v>
      </c>
      <c r="AN118">
        <v>0.99999999526110095</v>
      </c>
    </row>
    <row r="119" spans="1:40" x14ac:dyDescent="0.25">
      <c r="A119" t="str">
        <f>"20190305135535281"</f>
        <v>20190305135535281</v>
      </c>
      <c r="B119" t="str">
        <f>"1551765335271799"</f>
        <v>1551765335271799</v>
      </c>
      <c r="C119" t="s">
        <v>40</v>
      </c>
      <c r="D119">
        <v>4.287903</v>
      </c>
      <c r="E119">
        <v>0.53491299999999997</v>
      </c>
      <c r="F119" t="s">
        <v>41</v>
      </c>
      <c r="G119">
        <v>-455.10090000000002</v>
      </c>
      <c r="H119">
        <v>1.0397069999999999</v>
      </c>
      <c r="I119">
        <v>367.35680000000002</v>
      </c>
      <c r="J119">
        <v>-455.68689999999998</v>
      </c>
      <c r="K119">
        <v>1.110107</v>
      </c>
      <c r="L119">
        <v>367.3777</v>
      </c>
      <c r="M119">
        <v>0.99970899999999996</v>
      </c>
      <c r="N119">
        <v>-1.453692E-2</v>
      </c>
      <c r="O119">
        <v>1.9254810000000001E-2</v>
      </c>
      <c r="P119">
        <v>0.99658100000000005</v>
      </c>
      <c r="Q119">
        <v>1.9364699999999999E-2</v>
      </c>
      <c r="R119">
        <v>8.0322000000000005E-2</v>
      </c>
      <c r="S119">
        <v>3.018494</v>
      </c>
      <c r="T119">
        <v>-0.25042340000000002</v>
      </c>
      <c r="U119">
        <v>-5.4290770000000002E-2</v>
      </c>
      <c r="V119">
        <v>-6.1113349999999997E-2</v>
      </c>
      <c r="W119">
        <v>3.3875009999999997E-2</v>
      </c>
      <c r="X119">
        <v>0.99755590000000005</v>
      </c>
      <c r="Y119">
        <v>3.7038960000000003E-2</v>
      </c>
      <c r="Z119">
        <v>-3.1185319999999998E-3</v>
      </c>
      <c r="AA119">
        <v>0.99930890000000006</v>
      </c>
      <c r="AB119">
        <v>26</v>
      </c>
      <c r="AC119">
        <v>0.585999999999955</v>
      </c>
      <c r="AD119">
        <v>-7.0400000000000004E-2</v>
      </c>
      <c r="AE119">
        <v>-2.0899999999983199E-2</v>
      </c>
      <c r="AF119">
        <v>3.17233599851586E-2</v>
      </c>
      <c r="AG119">
        <v>-7.0400000000000004E-2</v>
      </c>
      <c r="AH119">
        <v>0.57716929338040601</v>
      </c>
      <c r="AI119">
        <v>96.943899730750303</v>
      </c>
      <c r="AJ119">
        <v>86.853977459466805</v>
      </c>
      <c r="AK119">
        <v>0.58231170758450701</v>
      </c>
      <c r="AL119">
        <v>88.058733630424797</v>
      </c>
      <c r="AM119">
        <v>93.505734615400897</v>
      </c>
      <c r="AN119">
        <v>1.0000000657377599</v>
      </c>
    </row>
    <row r="120" spans="1:40" x14ac:dyDescent="0.25">
      <c r="A120" t="str">
        <f>"20190305135535304"</f>
        <v>20190305135535304</v>
      </c>
      <c r="B120" t="str">
        <f>"1551765335291319"</f>
        <v>1551765335291319</v>
      </c>
      <c r="C120" t="s">
        <v>40</v>
      </c>
      <c r="D120">
        <v>4.3161699999999996</v>
      </c>
      <c r="E120">
        <v>0.53481630000000002</v>
      </c>
      <c r="F120" t="s">
        <v>41</v>
      </c>
      <c r="G120">
        <v>-454.86970000000002</v>
      </c>
      <c r="H120">
        <v>1.043528</v>
      </c>
      <c r="I120">
        <v>367.36430000000001</v>
      </c>
      <c r="J120">
        <v>-455.4325</v>
      </c>
      <c r="K120">
        <v>1.1101350000000001</v>
      </c>
      <c r="L120">
        <v>367.38260000000002</v>
      </c>
      <c r="M120">
        <v>0.9997085</v>
      </c>
      <c r="N120">
        <v>-1.458574E-2</v>
      </c>
      <c r="O120">
        <v>1.9243340000000001E-2</v>
      </c>
      <c r="P120">
        <v>0.99648049999999999</v>
      </c>
      <c r="Q120">
        <v>1.8649349999999999E-2</v>
      </c>
      <c r="R120">
        <v>8.1726499999999994E-2</v>
      </c>
      <c r="S120">
        <v>3.0189819999999998</v>
      </c>
      <c r="T120">
        <v>-0.24619820000000001</v>
      </c>
      <c r="U120">
        <v>-4.8431399999999999E-2</v>
      </c>
      <c r="V120">
        <v>-6.2531729999999994E-2</v>
      </c>
      <c r="W120">
        <v>3.3205909999999998E-2</v>
      </c>
      <c r="X120">
        <v>0.9974904</v>
      </c>
      <c r="Y120">
        <v>3.5099699999999998E-2</v>
      </c>
      <c r="Z120">
        <v>-2.9715240000000001E-3</v>
      </c>
      <c r="AA120">
        <v>0.99937940000000003</v>
      </c>
      <c r="AB120">
        <v>26</v>
      </c>
      <c r="AC120">
        <v>0.56279999999998098</v>
      </c>
      <c r="AD120">
        <v>-6.6607E-2</v>
      </c>
      <c r="AE120">
        <v>-1.8300000000010599E-2</v>
      </c>
      <c r="AF120">
        <v>2.8725986516321699E-2</v>
      </c>
      <c r="AG120">
        <v>-6.6607E-2</v>
      </c>
      <c r="AH120">
        <v>0.55458396260041398</v>
      </c>
      <c r="AI120">
        <v>96.839489013758495</v>
      </c>
      <c r="AJ120">
        <v>87.034879620626995</v>
      </c>
      <c r="AK120">
        <v>0.55930764908403796</v>
      </c>
      <c r="AL120">
        <v>88.097091641707706</v>
      </c>
      <c r="AM120">
        <v>93.587124122072495</v>
      </c>
      <c r="AN120">
        <v>0.99999997390394002</v>
      </c>
    </row>
    <row r="121" spans="1:40" x14ac:dyDescent="0.25">
      <c r="A121" t="str">
        <f>"20190305135535324"</f>
        <v>20190305135535324</v>
      </c>
      <c r="B121" t="str">
        <f>"1551765335311818"</f>
        <v>1551765335311818</v>
      </c>
      <c r="C121" t="s">
        <v>40</v>
      </c>
      <c r="D121">
        <v>4.2793340000000004</v>
      </c>
      <c r="E121">
        <v>0.53494730000000001</v>
      </c>
      <c r="F121" t="s">
        <v>41</v>
      </c>
      <c r="G121">
        <v>-454.64069999999998</v>
      </c>
      <c r="H121">
        <v>1.0453950000000001</v>
      </c>
      <c r="I121">
        <v>367.37090000000001</v>
      </c>
      <c r="J121">
        <v>-455.19580000000002</v>
      </c>
      <c r="K121">
        <v>1.1101639999999999</v>
      </c>
      <c r="L121">
        <v>367.38709999999998</v>
      </c>
      <c r="M121">
        <v>0.99970789999999998</v>
      </c>
      <c r="N121">
        <v>-1.4624379999999999E-2</v>
      </c>
      <c r="O121">
        <v>1.924404E-2</v>
      </c>
      <c r="P121">
        <v>0.99643760000000003</v>
      </c>
      <c r="Q121">
        <v>1.6756259999999999E-2</v>
      </c>
      <c r="R121">
        <v>8.2653340000000006E-2</v>
      </c>
      <c r="S121">
        <v>3.0187379999999999</v>
      </c>
      <c r="T121">
        <v>-0.2470012</v>
      </c>
      <c r="U121">
        <v>-4.3243410000000003E-2</v>
      </c>
      <c r="V121">
        <v>-6.3459669999999996E-2</v>
      </c>
      <c r="W121">
        <v>3.1349599999999998E-2</v>
      </c>
      <c r="X121">
        <v>0.99749189999999999</v>
      </c>
      <c r="Y121">
        <v>3.3390049999999998E-2</v>
      </c>
      <c r="Z121">
        <v>-2.899165E-3</v>
      </c>
      <c r="AA121">
        <v>0.99943820000000005</v>
      </c>
      <c r="AB121">
        <v>25</v>
      </c>
      <c r="AC121">
        <v>0.55510000000003801</v>
      </c>
      <c r="AD121">
        <v>-6.4768999999999799E-2</v>
      </c>
      <c r="AE121">
        <v>-1.6199999999969301E-2</v>
      </c>
      <c r="AF121">
        <v>2.6519769969584401E-2</v>
      </c>
      <c r="AG121">
        <v>-6.4768999999999799E-2</v>
      </c>
      <c r="AH121">
        <v>0.54724148414274598</v>
      </c>
      <c r="AI121">
        <v>96.742026927398996</v>
      </c>
      <c r="AJ121">
        <v>87.225570168635002</v>
      </c>
      <c r="AK121">
        <v>0.55169879782993403</v>
      </c>
      <c r="AL121">
        <v>88.203505899536793</v>
      </c>
      <c r="AM121">
        <v>93.640207725153005</v>
      </c>
      <c r="AN121">
        <v>1.0000000088511301</v>
      </c>
    </row>
    <row r="122" spans="1:40" x14ac:dyDescent="0.25">
      <c r="A122" t="str">
        <f>"20190305135535358"</f>
        <v>20190305135535358</v>
      </c>
      <c r="B122" t="str">
        <f>"1551765335351832"</f>
        <v>1551765335351832</v>
      </c>
      <c r="C122" t="s">
        <v>40</v>
      </c>
      <c r="D122">
        <v>4.2497249999999998</v>
      </c>
      <c r="E122">
        <v>0.5350568</v>
      </c>
      <c r="F122" t="s">
        <v>41</v>
      </c>
      <c r="G122">
        <v>-454.4144</v>
      </c>
      <c r="H122">
        <v>1.0446869999999999</v>
      </c>
      <c r="I122">
        <v>367.37599999999998</v>
      </c>
      <c r="J122">
        <v>-454.81810000000002</v>
      </c>
      <c r="K122">
        <v>1.1101829999999999</v>
      </c>
      <c r="L122">
        <v>367.39440000000002</v>
      </c>
      <c r="M122">
        <v>0.99970689999999995</v>
      </c>
      <c r="N122">
        <v>-1.4674370000000001E-2</v>
      </c>
      <c r="O122">
        <v>1.9264679999999999E-2</v>
      </c>
      <c r="P122">
        <v>0.99642620000000004</v>
      </c>
      <c r="Q122">
        <v>1.8100979999999999E-2</v>
      </c>
      <c r="R122">
        <v>8.250768E-2</v>
      </c>
      <c r="S122">
        <v>3.0184329999999999</v>
      </c>
      <c r="T122">
        <v>-0.25315710000000002</v>
      </c>
      <c r="U122">
        <v>-4.1839599999999998E-2</v>
      </c>
      <c r="V122">
        <v>-6.3294169999999997E-2</v>
      </c>
      <c r="W122">
        <v>3.2742670000000001E-2</v>
      </c>
      <c r="X122">
        <v>0.99745760000000006</v>
      </c>
      <c r="Y122">
        <v>3.294039E-2</v>
      </c>
      <c r="Z122">
        <v>-2.9516E-3</v>
      </c>
      <c r="AA122">
        <v>0.99945289999999998</v>
      </c>
      <c r="AB122">
        <v>25</v>
      </c>
      <c r="AC122">
        <v>0.40370000000001399</v>
      </c>
      <c r="AD122">
        <v>-6.5495999999999693E-2</v>
      </c>
      <c r="AE122">
        <v>-1.8400000000042299E-2</v>
      </c>
      <c r="AF122">
        <v>2.5504641113792699E-2</v>
      </c>
      <c r="AG122">
        <v>-6.5495999999999693E-2</v>
      </c>
      <c r="AH122">
        <v>0.39294895868414098</v>
      </c>
      <c r="AI122">
        <v>99.443450048169495</v>
      </c>
      <c r="AJ122">
        <v>86.286384303835206</v>
      </c>
      <c r="AK122">
        <v>0.39918554190413003</v>
      </c>
      <c r="AL122">
        <v>88.123647734198499</v>
      </c>
      <c r="AM122">
        <v>93.630864170009204</v>
      </c>
      <c r="AN122">
        <v>0.99999994909623702</v>
      </c>
    </row>
    <row r="123" spans="1:40" x14ac:dyDescent="0.25">
      <c r="A123" t="str">
        <f>"20190305135535380"</f>
        <v>20190305135535380</v>
      </c>
      <c r="B123" t="str">
        <f>"1551765335371351"</f>
        <v>1551765335371351</v>
      </c>
      <c r="C123" t="s">
        <v>40</v>
      </c>
      <c r="D123">
        <v>4.9859400000000003</v>
      </c>
      <c r="E123">
        <v>0.53547040000000001</v>
      </c>
      <c r="F123" t="s">
        <v>41</v>
      </c>
      <c r="G123">
        <v>-453.96589999999998</v>
      </c>
      <c r="H123">
        <v>1.040756</v>
      </c>
      <c r="I123">
        <v>367.38200000000001</v>
      </c>
      <c r="J123">
        <v>-454.56630000000001</v>
      </c>
      <c r="K123">
        <v>1.110182</v>
      </c>
      <c r="L123">
        <v>367.39929999999998</v>
      </c>
      <c r="M123">
        <v>0.99970599999999998</v>
      </c>
      <c r="N123">
        <v>-1.4701240000000001E-2</v>
      </c>
      <c r="O123">
        <v>1.9286600000000001E-2</v>
      </c>
      <c r="P123">
        <v>0.99657700000000005</v>
      </c>
      <c r="Q123">
        <v>1.5593829999999999E-2</v>
      </c>
      <c r="R123">
        <v>8.1187159999999994E-2</v>
      </c>
      <c r="S123">
        <v>3.018799</v>
      </c>
      <c r="T123">
        <v>-0.24627660000000001</v>
      </c>
      <c r="U123">
        <v>-4.2938230000000001E-2</v>
      </c>
      <c r="V123">
        <v>-6.1949610000000002E-2</v>
      </c>
      <c r="W123">
        <v>3.0263869999999998E-2</v>
      </c>
      <c r="X123">
        <v>0.99762030000000002</v>
      </c>
      <c r="Y123">
        <v>3.3332470000000003E-2</v>
      </c>
      <c r="Z123">
        <v>-2.8904019999999998E-3</v>
      </c>
      <c r="AA123">
        <v>0.99944010000000005</v>
      </c>
      <c r="AB123">
        <v>25</v>
      </c>
      <c r="AC123">
        <v>0.60040000000003602</v>
      </c>
      <c r="AD123">
        <v>-6.9425999999999904E-2</v>
      </c>
      <c r="AE123">
        <v>-1.7300000000034201E-2</v>
      </c>
      <c r="AF123">
        <v>2.8496990227472999E-2</v>
      </c>
      <c r="AG123">
        <v>-6.9425999999999904E-2</v>
      </c>
      <c r="AH123">
        <v>0.59204495654928002</v>
      </c>
      <c r="AI123">
        <v>96.680565580919193</v>
      </c>
      <c r="AJ123">
        <v>87.244300324690599</v>
      </c>
      <c r="AK123">
        <v>0.59678243816609</v>
      </c>
      <c r="AL123">
        <v>88.265743103424697</v>
      </c>
      <c r="AM123">
        <v>93.553355313273002</v>
      </c>
      <c r="AN123">
        <v>0.99999995948930798</v>
      </c>
    </row>
    <row r="124" spans="1:40" x14ac:dyDescent="0.25">
      <c r="A124" t="str">
        <f>"20190305135535404"</f>
        <v>20190305135535404</v>
      </c>
      <c r="B124" t="str">
        <f>"1551765335391848"</f>
        <v>1551765335391848</v>
      </c>
      <c r="C124" t="s">
        <v>40</v>
      </c>
      <c r="D124">
        <v>4.3934350000000002</v>
      </c>
      <c r="E124">
        <v>0.53594989999999998</v>
      </c>
      <c r="F124" t="s">
        <v>41</v>
      </c>
      <c r="G124">
        <v>-453.73950000000002</v>
      </c>
      <c r="H124">
        <v>1.041911</v>
      </c>
      <c r="I124">
        <v>367.38499999999999</v>
      </c>
      <c r="J124">
        <v>-454.29469999999998</v>
      </c>
      <c r="K124">
        <v>1.1101909999999999</v>
      </c>
      <c r="L124">
        <v>367.40449999999998</v>
      </c>
      <c r="M124">
        <v>0.99970519999999996</v>
      </c>
      <c r="N124">
        <v>-1.472536E-2</v>
      </c>
      <c r="O124">
        <v>1.931217E-2</v>
      </c>
      <c r="P124">
        <v>0.99675469999999999</v>
      </c>
      <c r="Q124">
        <v>1.597063E-2</v>
      </c>
      <c r="R124">
        <v>7.8900730000000002E-2</v>
      </c>
      <c r="S124">
        <v>3.0183719999999998</v>
      </c>
      <c r="T124">
        <v>-0.24939349999999999</v>
      </c>
      <c r="U124">
        <v>-5.0933840000000001E-2</v>
      </c>
      <c r="V124">
        <v>-5.963442E-2</v>
      </c>
      <c r="W124">
        <v>3.0665660000000001E-2</v>
      </c>
      <c r="X124">
        <v>0.99774910000000006</v>
      </c>
      <c r="Y124">
        <v>3.5991599999999999E-2</v>
      </c>
      <c r="Z124">
        <v>-3.0586879999999999E-3</v>
      </c>
      <c r="AA124">
        <v>0.9993474</v>
      </c>
      <c r="AB124">
        <v>25</v>
      </c>
      <c r="AC124">
        <v>0.55519999999995595</v>
      </c>
      <c r="AD124">
        <v>-6.8279999999999896E-2</v>
      </c>
      <c r="AE124">
        <v>-1.9499999999993599E-2</v>
      </c>
      <c r="AF124">
        <v>2.97699325070023E-2</v>
      </c>
      <c r="AG124">
        <v>-6.8279999999999896E-2</v>
      </c>
      <c r="AH124">
        <v>0.54646484698021403</v>
      </c>
      <c r="AI124">
        <v>97.111677913738603</v>
      </c>
      <c r="AJ124">
        <v>86.881762612574306</v>
      </c>
      <c r="AK124">
        <v>0.55151811961764197</v>
      </c>
      <c r="AL124">
        <v>88.242711535797099</v>
      </c>
      <c r="AM124">
        <v>93.420439702001303</v>
      </c>
      <c r="AN124">
        <v>0.99999995665138997</v>
      </c>
    </row>
    <row r="125" spans="1:40" x14ac:dyDescent="0.25">
      <c r="A125" t="str">
        <f>"20190305135535426"</f>
        <v>20190305135535426</v>
      </c>
      <c r="B125" t="str">
        <f>"1551765335421127"</f>
        <v>1551765335421127</v>
      </c>
      <c r="C125" t="s">
        <v>40</v>
      </c>
      <c r="D125">
        <v>4.1352690000000001</v>
      </c>
      <c r="E125">
        <v>0.53631850000000003</v>
      </c>
      <c r="F125" t="s">
        <v>41</v>
      </c>
      <c r="G125">
        <v>-453.5102</v>
      </c>
      <c r="H125">
        <v>1.0468569999999999</v>
      </c>
      <c r="I125">
        <v>367.38830000000002</v>
      </c>
      <c r="J125">
        <v>-454.05669999999998</v>
      </c>
      <c r="K125">
        <v>1.110209</v>
      </c>
      <c r="L125">
        <v>367.40910000000002</v>
      </c>
      <c r="M125">
        <v>0.99970440000000005</v>
      </c>
      <c r="N125">
        <v>-1.474265E-2</v>
      </c>
      <c r="O125">
        <v>1.9335129999999999E-2</v>
      </c>
      <c r="P125">
        <v>0.99693730000000003</v>
      </c>
      <c r="Q125">
        <v>1.6801549999999998E-2</v>
      </c>
      <c r="R125">
        <v>7.6379719999999998E-2</v>
      </c>
      <c r="S125">
        <v>3.0185550000000001</v>
      </c>
      <c r="T125">
        <v>-0.2438949</v>
      </c>
      <c r="U125">
        <v>-6.1218259999999997E-2</v>
      </c>
      <c r="V125">
        <v>-5.7087859999999997E-2</v>
      </c>
      <c r="W125">
        <v>3.1515929999999998E-2</v>
      </c>
      <c r="X125">
        <v>0.99787159999999997</v>
      </c>
      <c r="Y125">
        <v>3.9411950000000001E-2</v>
      </c>
      <c r="Z125">
        <v>-3.1554809999999999E-3</v>
      </c>
      <c r="AA125">
        <v>0.99921800000000005</v>
      </c>
      <c r="AB125">
        <v>25</v>
      </c>
      <c r="AC125">
        <v>0.54649999999998</v>
      </c>
      <c r="AD125">
        <v>-6.3352000000000006E-2</v>
      </c>
      <c r="AE125">
        <v>-2.0800000000008301E-2</v>
      </c>
      <c r="AF125">
        <v>3.09486160319659E-2</v>
      </c>
      <c r="AG125">
        <v>-6.3352000000000006E-2</v>
      </c>
      <c r="AH125">
        <v>0.53876603986514704</v>
      </c>
      <c r="AI125">
        <v>96.695517751146696</v>
      </c>
      <c r="AJ125">
        <v>86.712341911967201</v>
      </c>
      <c r="AK125">
        <v>0.54336004495202594</v>
      </c>
      <c r="AL125">
        <v>88.193971172155202</v>
      </c>
      <c r="AM125">
        <v>93.274300972317803</v>
      </c>
      <c r="AN125">
        <v>1.00000000384485</v>
      </c>
    </row>
    <row r="126" spans="1:40" x14ac:dyDescent="0.25">
      <c r="A126" t="str">
        <f>"20190305135535447"</f>
        <v>20190305135535447</v>
      </c>
      <c r="B126" t="str">
        <f>"1551765335441623"</f>
        <v>1551765335441623</v>
      </c>
      <c r="C126" t="s">
        <v>40</v>
      </c>
      <c r="D126">
        <v>4.1180690000000002</v>
      </c>
      <c r="E126">
        <v>0.53653260000000003</v>
      </c>
      <c r="F126" t="s">
        <v>41</v>
      </c>
      <c r="G126">
        <v>-453.2835</v>
      </c>
      <c r="H126">
        <v>1.0493600000000001</v>
      </c>
      <c r="I126">
        <v>367.39030000000002</v>
      </c>
      <c r="J126">
        <v>-453.81509999999997</v>
      </c>
      <c r="K126">
        <v>1.1102240000000001</v>
      </c>
      <c r="L126">
        <v>367.41379999999998</v>
      </c>
      <c r="M126">
        <v>0.99970380000000003</v>
      </c>
      <c r="N126">
        <v>-1.47572999999999E-2</v>
      </c>
      <c r="O126">
        <v>1.9356350000000001E-2</v>
      </c>
      <c r="P126">
        <v>0.99706729999999999</v>
      </c>
      <c r="Q126">
        <v>1.7315009999999999E-2</v>
      </c>
      <c r="R126">
        <v>7.4547859999999994E-2</v>
      </c>
      <c r="S126">
        <v>3.0187680000000001</v>
      </c>
      <c r="T126">
        <v>-0.2379068</v>
      </c>
      <c r="U126">
        <v>-7.1899409999999997E-2</v>
      </c>
      <c r="V126">
        <v>-5.5232549999999998E-2</v>
      </c>
      <c r="W126">
        <v>3.2044950000000003E-2</v>
      </c>
      <c r="X126">
        <v>0.99795909999999999</v>
      </c>
      <c r="Y126">
        <v>4.2961439999999997E-2</v>
      </c>
      <c r="Z126">
        <v>-3.2453009999999999E-3</v>
      </c>
      <c r="AA126">
        <v>0.9990715</v>
      </c>
      <c r="AB126">
        <v>25</v>
      </c>
      <c r="AC126">
        <v>0.53159999999996899</v>
      </c>
      <c r="AD126">
        <v>-6.08639999999998E-2</v>
      </c>
      <c r="AE126">
        <v>-2.3499999999955799E-2</v>
      </c>
      <c r="AF126">
        <v>3.3350234943397103E-2</v>
      </c>
      <c r="AG126">
        <v>-6.08639999999998E-2</v>
      </c>
      <c r="AH126">
        <v>0.52418757815313999</v>
      </c>
      <c r="AI126">
        <v>96.609773696943904</v>
      </c>
      <c r="AJ126">
        <v>86.359593810053795</v>
      </c>
      <c r="AK126">
        <v>0.52876202752924095</v>
      </c>
      <c r="AL126">
        <v>88.163645121728607</v>
      </c>
      <c r="AM126">
        <v>93.167831980402397</v>
      </c>
      <c r="AN126">
        <v>0.99999993933640496</v>
      </c>
    </row>
    <row r="127" spans="1:40" x14ac:dyDescent="0.25">
      <c r="A127" t="str">
        <f>"20190305135535471"</f>
        <v>20190305135535471</v>
      </c>
      <c r="B127" t="str">
        <f>"1551765335461143"</f>
        <v>1551765335461143</v>
      </c>
      <c r="C127" t="s">
        <v>40</v>
      </c>
      <c r="D127">
        <v>4.1496700000000004</v>
      </c>
      <c r="E127">
        <v>0.53663419999999995</v>
      </c>
      <c r="F127" t="s">
        <v>43</v>
      </c>
      <c r="G127">
        <v>-438.86369999999999</v>
      </c>
      <c r="H127">
        <v>-0.05</v>
      </c>
      <c r="I127">
        <v>367.02069999999998</v>
      </c>
      <c r="J127">
        <v>-453.54250000000002</v>
      </c>
      <c r="K127">
        <v>1.1102299999999901</v>
      </c>
      <c r="L127">
        <v>367.41910000000001</v>
      </c>
      <c r="M127">
        <v>0.99970320000000001</v>
      </c>
      <c r="N127">
        <v>-1.477059E-2</v>
      </c>
      <c r="O127">
        <v>1.9374240000000001E-2</v>
      </c>
      <c r="P127">
        <v>0.99717100000000003</v>
      </c>
      <c r="Q127">
        <v>1.781775E-2</v>
      </c>
      <c r="R127">
        <v>7.3023829999999998E-2</v>
      </c>
      <c r="S127">
        <v>3.018799</v>
      </c>
      <c r="T127">
        <v>-0.23425850000000001</v>
      </c>
      <c r="U127">
        <v>-7.9376219999999997E-2</v>
      </c>
      <c r="V127">
        <v>-5.368883E-2</v>
      </c>
      <c r="W127">
        <v>3.2563000000000002E-2</v>
      </c>
      <c r="X127">
        <v>0.99802659999999999</v>
      </c>
      <c r="Y127">
        <v>4.5448809999999999E-2</v>
      </c>
      <c r="Z127">
        <v>-3.3119579999999998E-3</v>
      </c>
      <c r="AA127">
        <v>0.99896119999999999</v>
      </c>
      <c r="AB127">
        <v>25</v>
      </c>
      <c r="AC127">
        <v>14.678800000000001</v>
      </c>
      <c r="AD127">
        <v>-1.1602300000000001</v>
      </c>
      <c r="AE127">
        <v>-0.398400000000037</v>
      </c>
      <c r="AF127">
        <v>0.67851093924993</v>
      </c>
      <c r="AG127">
        <v>-1.1602300000000001</v>
      </c>
      <c r="AH127">
        <v>14.5773197383332</v>
      </c>
      <c r="AI127">
        <v>94.545760249183303</v>
      </c>
      <c r="AJ127">
        <v>87.335053664617107</v>
      </c>
      <c r="AK127">
        <v>14.6391516660352</v>
      </c>
      <c r="AL127">
        <v>88.133947592964404</v>
      </c>
      <c r="AM127">
        <v>93.079257763676793</v>
      </c>
      <c r="AN127">
        <v>0.99999996687166304</v>
      </c>
    </row>
    <row r="128" spans="1:40" x14ac:dyDescent="0.25">
      <c r="A128" t="str">
        <f>"20190305135535494"</f>
        <v>20190305135535494</v>
      </c>
      <c r="B128" t="str">
        <f>"1551765335481643"</f>
        <v>1551765335481643</v>
      </c>
      <c r="C128" t="s">
        <v>40</v>
      </c>
      <c r="D128">
        <v>3.9638089999999999</v>
      </c>
      <c r="E128">
        <v>0.57960109999999998</v>
      </c>
      <c r="F128" t="s">
        <v>41</v>
      </c>
      <c r="G128">
        <v>-452.62049999999999</v>
      </c>
      <c r="H128">
        <v>1.039069</v>
      </c>
      <c r="I128">
        <v>367.3929</v>
      </c>
      <c r="J128">
        <v>-453.29669999999999</v>
      </c>
      <c r="K128">
        <v>1.110228</v>
      </c>
      <c r="L128">
        <v>367.4239</v>
      </c>
      <c r="M128">
        <v>0.99970289999999995</v>
      </c>
      <c r="N128">
        <v>-1.4780059999999999E-2</v>
      </c>
      <c r="O128">
        <v>1.9385759999999998E-2</v>
      </c>
      <c r="P128">
        <v>0.99725600000000003</v>
      </c>
      <c r="Q128">
        <v>1.6989690000000002E-2</v>
      </c>
      <c r="R128">
        <v>7.2054999999999994E-2</v>
      </c>
      <c r="S128">
        <v>3.0189210000000002</v>
      </c>
      <c r="T128">
        <v>-0.23311889999999999</v>
      </c>
      <c r="U128">
        <v>-8.4930420000000006E-2</v>
      </c>
      <c r="V128">
        <v>-5.2706040000000003E-2</v>
      </c>
      <c r="W128">
        <v>3.1746129999999997E-2</v>
      </c>
      <c r="X128">
        <v>0.99810529999999997</v>
      </c>
      <c r="Y128">
        <v>4.7291079999999999E-2</v>
      </c>
      <c r="Z128">
        <v>-3.3813430000000002E-3</v>
      </c>
      <c r="AA128">
        <v>0.99887539999999997</v>
      </c>
      <c r="AB128">
        <v>25</v>
      </c>
      <c r="AC128">
        <v>0.67619999999999403</v>
      </c>
      <c r="AD128">
        <v>-7.1158999999999903E-2</v>
      </c>
      <c r="AE128">
        <v>-3.1000000000005901E-2</v>
      </c>
      <c r="AF128">
        <v>4.3622190800454798E-2</v>
      </c>
      <c r="AG128">
        <v>-7.1158999999999903E-2</v>
      </c>
      <c r="AH128">
        <v>0.66808889392758097</v>
      </c>
      <c r="AI128">
        <v>96.066902769983898</v>
      </c>
      <c r="AJ128">
        <v>86.264232722394993</v>
      </c>
      <c r="AK128">
        <v>0.67328245855703805</v>
      </c>
      <c r="AL128">
        <v>88.180775012911496</v>
      </c>
      <c r="AM128">
        <v>93.022758635943703</v>
      </c>
      <c r="AN128">
        <v>0.99999996665527302</v>
      </c>
    </row>
    <row r="129" spans="1:40" x14ac:dyDescent="0.25">
      <c r="A129" t="str">
        <f>"20190305135535514"</f>
        <v>20190305135535514</v>
      </c>
      <c r="B129" t="str">
        <f>"1551765335511895"</f>
        <v>1551765335511895</v>
      </c>
      <c r="C129" t="s">
        <v>40</v>
      </c>
      <c r="D129">
        <v>3.98645</v>
      </c>
      <c r="E129">
        <v>0.5911286</v>
      </c>
      <c r="F129" t="s">
        <v>41</v>
      </c>
      <c r="G129">
        <v>-452.43119999999999</v>
      </c>
      <c r="H129">
        <v>0.9644066</v>
      </c>
      <c r="I129">
        <v>367.29790000000003</v>
      </c>
      <c r="J129">
        <v>-453.06319999999999</v>
      </c>
      <c r="K129">
        <v>1.1102129999999999</v>
      </c>
      <c r="L129">
        <v>367.42840000000001</v>
      </c>
      <c r="M129">
        <v>0.9997026</v>
      </c>
      <c r="N129">
        <v>-1.47872E-2</v>
      </c>
      <c r="O129">
        <v>1.9392599999999999E-2</v>
      </c>
      <c r="P129">
        <v>0.99740839999999997</v>
      </c>
      <c r="Q129">
        <v>1.272473E-2</v>
      </c>
      <c r="R129">
        <v>7.0816749999999998E-2</v>
      </c>
      <c r="S129">
        <v>3.0489809999999999</v>
      </c>
      <c r="T129">
        <v>-0.51391549999999997</v>
      </c>
      <c r="U129">
        <v>-0.44207760000000001</v>
      </c>
      <c r="V129">
        <v>-5.1458410000000003E-2</v>
      </c>
      <c r="W129">
        <v>2.7491270000000002E-2</v>
      </c>
      <c r="X129">
        <v>0.99829670000000004</v>
      </c>
      <c r="Y129">
        <v>0.16002279999999999</v>
      </c>
      <c r="Z129">
        <v>-1.7468560000000001E-2</v>
      </c>
      <c r="AA129">
        <v>0.98695869999999997</v>
      </c>
      <c r="AB129">
        <v>25</v>
      </c>
      <c r="AC129">
        <v>0.632000000000005</v>
      </c>
      <c r="AD129">
        <v>-0.145806399999999</v>
      </c>
      <c r="AE129">
        <v>-0.13049999999998299</v>
      </c>
      <c r="AF129">
        <v>0.135800460849831</v>
      </c>
      <c r="AG129">
        <v>-0.145806399999999</v>
      </c>
      <c r="AH129">
        <v>0.598782938494692</v>
      </c>
      <c r="AI129">
        <v>103.35880139494</v>
      </c>
      <c r="AJ129">
        <v>77.221810918542502</v>
      </c>
      <c r="AK129">
        <v>0.631064401531511</v>
      </c>
      <c r="AL129">
        <v>88.424667812404095</v>
      </c>
      <c r="AM129">
        <v>92.950768646214101</v>
      </c>
      <c r="AN129">
        <v>1.00000001955841</v>
      </c>
    </row>
    <row r="130" spans="1:40" x14ac:dyDescent="0.25">
      <c r="A130" t="str">
        <f>"20190305135535538"</f>
        <v>20190305135535538</v>
      </c>
      <c r="B130" t="str">
        <f>"1551765335531415"</f>
        <v>1551765335531415</v>
      </c>
      <c r="C130" t="s">
        <v>40</v>
      </c>
      <c r="D130">
        <v>4.0044839999999997</v>
      </c>
      <c r="E130">
        <v>0.59089060000000004</v>
      </c>
      <c r="F130" t="s">
        <v>41</v>
      </c>
      <c r="G130">
        <v>-452.22239999999999</v>
      </c>
      <c r="H130">
        <v>0.93214669999999999</v>
      </c>
      <c r="I130">
        <v>367.2783</v>
      </c>
      <c r="J130">
        <v>-452.8098</v>
      </c>
      <c r="K130">
        <v>1.110206</v>
      </c>
      <c r="L130">
        <v>367.43340000000001</v>
      </c>
      <c r="M130">
        <v>0.99970250000000005</v>
      </c>
      <c r="N130">
        <v>-1.479311E-2</v>
      </c>
      <c r="O130">
        <v>1.9393480000000001E-2</v>
      </c>
      <c r="P130">
        <v>0.99755400000000005</v>
      </c>
      <c r="Q130">
        <v>9.9605149999999996E-3</v>
      </c>
      <c r="R130">
        <v>6.9189710000000001E-2</v>
      </c>
      <c r="S130">
        <v>3.0547490000000002</v>
      </c>
      <c r="T130">
        <v>-0.64692099999999997</v>
      </c>
      <c r="U130">
        <v>-0.54446410000000001</v>
      </c>
      <c r="V130">
        <v>-4.9827740000000002E-2</v>
      </c>
      <c r="W130">
        <v>2.4735610000000002E-2</v>
      </c>
      <c r="X130">
        <v>0.99845150000000005</v>
      </c>
      <c r="Y130">
        <v>0.1897876</v>
      </c>
      <c r="Z130">
        <v>-2.4907260000000001E-2</v>
      </c>
      <c r="AA130">
        <v>0.98150919999999997</v>
      </c>
      <c r="AB130">
        <v>25</v>
      </c>
      <c r="AC130">
        <v>0.58740000000000203</v>
      </c>
      <c r="AD130">
        <v>-0.1780593</v>
      </c>
      <c r="AE130">
        <v>-0.15510000000000401</v>
      </c>
      <c r="AF130">
        <v>0.15329574814913499</v>
      </c>
      <c r="AG130">
        <v>-0.1780593</v>
      </c>
      <c r="AH130">
        <v>0.538061911054042</v>
      </c>
      <c r="AI130">
        <v>107.654319669545</v>
      </c>
      <c r="AJ130">
        <v>74.097559275931204</v>
      </c>
      <c r="AK130">
        <v>0.58712462122127096</v>
      </c>
      <c r="AL130">
        <v>88.582609416558697</v>
      </c>
      <c r="AM130">
        <v>92.856976699365106</v>
      </c>
      <c r="AN130">
        <v>1.0000000259639099</v>
      </c>
    </row>
    <row r="131" spans="1:40" x14ac:dyDescent="0.25">
      <c r="A131" t="str">
        <f>"20190305135535560"</f>
        <v>20190305135535560</v>
      </c>
      <c r="B131" t="str">
        <f>"1551765335551912"</f>
        <v>1551765335551912</v>
      </c>
      <c r="C131" t="s">
        <v>40</v>
      </c>
      <c r="D131">
        <v>3.9907720000000002</v>
      </c>
      <c r="E131">
        <v>0.59089519999999995</v>
      </c>
      <c r="F131" t="s">
        <v>41</v>
      </c>
      <c r="G131">
        <v>-452.00099999999998</v>
      </c>
      <c r="H131">
        <v>0.93140820000000002</v>
      </c>
      <c r="I131">
        <v>367.2876</v>
      </c>
      <c r="J131">
        <v>-452.55489999999998</v>
      </c>
      <c r="K131">
        <v>1.1102190000000001</v>
      </c>
      <c r="L131">
        <v>367.43830000000003</v>
      </c>
      <c r="M131">
        <v>0.9997028</v>
      </c>
      <c r="N131">
        <v>-1.479742E-2</v>
      </c>
      <c r="O131">
        <v>1.9377970000000001E-2</v>
      </c>
      <c r="P131">
        <v>0.99763179999999996</v>
      </c>
      <c r="Q131">
        <v>1.269112E-2</v>
      </c>
      <c r="R131">
        <v>6.7601030000000006E-2</v>
      </c>
      <c r="S131">
        <v>3.052216</v>
      </c>
      <c r="T131">
        <v>-0.67478749999999998</v>
      </c>
      <c r="U131">
        <v>-0.54934689999999997</v>
      </c>
      <c r="V131">
        <v>-4.8252629999999998E-2</v>
      </c>
      <c r="W131">
        <v>2.7471249999999999E-2</v>
      </c>
      <c r="X131">
        <v>0.99845729999999999</v>
      </c>
      <c r="Y131">
        <v>0.19099540000000001</v>
      </c>
      <c r="Z131">
        <v>-2.6063079999999999E-2</v>
      </c>
      <c r="AA131">
        <v>0.98124489999999998</v>
      </c>
      <c r="AB131">
        <v>25</v>
      </c>
      <c r="AC131">
        <v>0.55389999999999795</v>
      </c>
      <c r="AD131">
        <v>-0.17881079999999999</v>
      </c>
      <c r="AE131">
        <v>-0.15070000000002801</v>
      </c>
      <c r="AF131">
        <v>0.14713011767857501</v>
      </c>
      <c r="AG131">
        <v>-0.17881079999999999</v>
      </c>
      <c r="AH131">
        <v>0.50215107279800597</v>
      </c>
      <c r="AI131">
        <v>108.866496231656</v>
      </c>
      <c r="AJ131">
        <v>73.669430907419994</v>
      </c>
      <c r="AK131">
        <v>0.552970409368295</v>
      </c>
      <c r="AL131">
        <v>88.425815249554503</v>
      </c>
      <c r="AM131">
        <v>92.766791076411096</v>
      </c>
      <c r="AN131">
        <v>0.99999998290088399</v>
      </c>
    </row>
    <row r="132" spans="1:40" x14ac:dyDescent="0.25">
      <c r="A132" t="str">
        <f>"20190305135535582"</f>
        <v>20190305135535582</v>
      </c>
      <c r="B132" t="str">
        <f>"1551765335571431"</f>
        <v>1551765335571431</v>
      </c>
      <c r="C132" t="s">
        <v>40</v>
      </c>
      <c r="D132">
        <v>3.9742169999999999</v>
      </c>
      <c r="E132">
        <v>0.58983090000000005</v>
      </c>
      <c r="F132" t="s">
        <v>41</v>
      </c>
      <c r="G132">
        <v>-451.77629999999999</v>
      </c>
      <c r="H132">
        <v>0.93877270000000002</v>
      </c>
      <c r="I132">
        <v>367.29680000000002</v>
      </c>
      <c r="J132">
        <v>-452.31709999999998</v>
      </c>
      <c r="K132">
        <v>1.1102179999999999</v>
      </c>
      <c r="L132">
        <v>367.44279999999998</v>
      </c>
      <c r="M132">
        <v>0.99970349999999997</v>
      </c>
      <c r="N132">
        <v>-1.480018E-2</v>
      </c>
      <c r="O132">
        <v>1.9339789999999999E-2</v>
      </c>
      <c r="P132">
        <v>0.99769039999999998</v>
      </c>
      <c r="Q132">
        <v>1.5587180000000001E-2</v>
      </c>
      <c r="R132">
        <v>6.6114110000000004E-2</v>
      </c>
      <c r="S132">
        <v>3.053223</v>
      </c>
      <c r="T132">
        <v>-0.67236509999999905</v>
      </c>
      <c r="U132">
        <v>-0.55416869999999996</v>
      </c>
      <c r="V132">
        <v>-4.6802249999999997E-2</v>
      </c>
      <c r="W132">
        <v>3.0372070000000001E-2</v>
      </c>
      <c r="X132">
        <v>0.99844239999999995</v>
      </c>
      <c r="Y132">
        <v>0.1924082</v>
      </c>
      <c r="Z132">
        <v>-2.6120310000000001E-2</v>
      </c>
      <c r="AA132">
        <v>0.98096729999999999</v>
      </c>
      <c r="AB132">
        <v>25</v>
      </c>
      <c r="AC132">
        <v>0.54079999999998996</v>
      </c>
      <c r="AD132">
        <v>-0.17144529999999999</v>
      </c>
      <c r="AE132">
        <v>-0.145999999999958</v>
      </c>
      <c r="AF132">
        <v>0.143034036586456</v>
      </c>
      <c r="AG132">
        <v>-0.17144529999999999</v>
      </c>
      <c r="AH132">
        <v>0.491804944583913</v>
      </c>
      <c r="AI132">
        <v>108.507188489439</v>
      </c>
      <c r="AJ132">
        <v>73.783726106030798</v>
      </c>
      <c r="AK132">
        <v>0.54011510813111996</v>
      </c>
      <c r="AL132">
        <v>88.259541040520006</v>
      </c>
      <c r="AM132">
        <v>92.683790190047802</v>
      </c>
      <c r="AN132">
        <v>1.00000006967945</v>
      </c>
    </row>
    <row r="133" spans="1:40" x14ac:dyDescent="0.25">
      <c r="A133" t="str">
        <f>"20190305135535604"</f>
        <v>20190305135535604</v>
      </c>
      <c r="B133" t="str">
        <f>"1551765335591927"</f>
        <v>1551765335591927</v>
      </c>
      <c r="C133" t="s">
        <v>40</v>
      </c>
      <c r="D133">
        <v>3.9806210000000002</v>
      </c>
      <c r="E133">
        <v>0.58882699999999999</v>
      </c>
      <c r="F133" t="s">
        <v>41</v>
      </c>
      <c r="G133">
        <v>-451.55290000000002</v>
      </c>
      <c r="H133">
        <v>0.94361249999999997</v>
      </c>
      <c r="I133">
        <v>367.30470000000003</v>
      </c>
      <c r="J133">
        <v>-452.06560000000002</v>
      </c>
      <c r="K133">
        <v>1.1101989999999999</v>
      </c>
      <c r="L133">
        <v>367.44760000000002</v>
      </c>
      <c r="M133">
        <v>0.99970490000000001</v>
      </c>
      <c r="N133">
        <v>-1.480194E-2</v>
      </c>
      <c r="O133">
        <v>1.9270260000000001E-2</v>
      </c>
      <c r="P133">
        <v>0.99777039999999995</v>
      </c>
      <c r="Q133">
        <v>1.4806430000000001E-2</v>
      </c>
      <c r="R133">
        <v>6.5079219999999993E-2</v>
      </c>
      <c r="S133">
        <v>3.0537719999999999</v>
      </c>
      <c r="T133">
        <v>-0.66586519999999905</v>
      </c>
      <c r="U133">
        <v>-0.54974369999999995</v>
      </c>
      <c r="V133">
        <v>-4.5833489999999998E-2</v>
      </c>
      <c r="W133">
        <v>2.9596129999999998E-2</v>
      </c>
      <c r="X133">
        <v>0.99851060000000003</v>
      </c>
      <c r="Y133">
        <v>0.19106290000000001</v>
      </c>
      <c r="Z133">
        <v>-2.571499E-2</v>
      </c>
      <c r="AA133">
        <v>0.98124089999999997</v>
      </c>
      <c r="AB133">
        <v>25</v>
      </c>
      <c r="AC133">
        <v>0.51269999999999505</v>
      </c>
      <c r="AD133">
        <v>-0.166586499999999</v>
      </c>
      <c r="AE133">
        <v>-0.142899999999997</v>
      </c>
      <c r="AF133">
        <v>0.13912530158318701</v>
      </c>
      <c r="AG133">
        <v>-0.166586499999999</v>
      </c>
      <c r="AH133">
        <v>0.46436069224593801</v>
      </c>
      <c r="AI133">
        <v>108.965357047325</v>
      </c>
      <c r="AJ133">
        <v>73.321462705626203</v>
      </c>
      <c r="AK133">
        <v>0.51257951970985904</v>
      </c>
      <c r="AL133">
        <v>88.304019055129999</v>
      </c>
      <c r="AM133">
        <v>92.6281378577808</v>
      </c>
      <c r="AN133">
        <v>1.00000002901445</v>
      </c>
    </row>
    <row r="134" spans="1:40" x14ac:dyDescent="0.25">
      <c r="A134" t="str">
        <f>"20190305135535628"</f>
        <v>20190305135535628</v>
      </c>
      <c r="B134" t="str">
        <f>"1551765335621207"</f>
        <v>1551765335621207</v>
      </c>
      <c r="C134" t="s">
        <v>40</v>
      </c>
      <c r="D134">
        <v>4.0216609999999999</v>
      </c>
      <c r="E134">
        <v>0.58807209999999999</v>
      </c>
      <c r="F134" t="s">
        <v>41</v>
      </c>
      <c r="G134">
        <v>-451.33010000000002</v>
      </c>
      <c r="H134">
        <v>0.94861010000000001</v>
      </c>
      <c r="I134">
        <v>367.31630000000001</v>
      </c>
      <c r="J134">
        <v>-451.81450000000001</v>
      </c>
      <c r="K134">
        <v>1.1101730000000001</v>
      </c>
      <c r="L134">
        <v>367.45240000000001</v>
      </c>
      <c r="M134">
        <v>0.99970669999999995</v>
      </c>
      <c r="N134">
        <v>-1.480267E-2</v>
      </c>
      <c r="O134">
        <v>1.9170489999999998E-2</v>
      </c>
      <c r="P134">
        <v>0.99783949999999999</v>
      </c>
      <c r="Q134">
        <v>1.393791E-2</v>
      </c>
      <c r="R134">
        <v>6.4204789999999998E-2</v>
      </c>
      <c r="S134">
        <v>3.0521240000000001</v>
      </c>
      <c r="T134">
        <v>-0.67058629999999997</v>
      </c>
      <c r="U134">
        <v>-0.54412839999999996</v>
      </c>
      <c r="V134">
        <v>-4.5056150000000003E-2</v>
      </c>
      <c r="W134">
        <v>2.8731989999999999E-2</v>
      </c>
      <c r="X134">
        <v>0.99857119999999999</v>
      </c>
      <c r="Y134">
        <v>0.1892779</v>
      </c>
      <c r="Z134">
        <v>-2.5676040000000001E-2</v>
      </c>
      <c r="AA134">
        <v>0.98158780000000001</v>
      </c>
      <c r="AB134">
        <v>25</v>
      </c>
      <c r="AC134">
        <v>0.484399999999993</v>
      </c>
      <c r="AD134">
        <v>-0.16156289999999901</v>
      </c>
      <c r="AE134">
        <v>-0.136099999999999</v>
      </c>
      <c r="AF134">
        <v>0.13177555485870401</v>
      </c>
      <c r="AG134">
        <v>-0.16156289999999901</v>
      </c>
      <c r="AH134">
        <v>0.436678161399635</v>
      </c>
      <c r="AI134">
        <v>109.504415174656</v>
      </c>
      <c r="AJ134">
        <v>73.207859093090505</v>
      </c>
      <c r="AK134">
        <v>0.48389584019507298</v>
      </c>
      <c r="AL134">
        <v>88.353551672542807</v>
      </c>
      <c r="AM134">
        <v>92.583468748325402</v>
      </c>
      <c r="AN134">
        <v>1.00000001268581</v>
      </c>
    </row>
    <row r="135" spans="1:40" x14ac:dyDescent="0.25">
      <c r="A135" t="str">
        <f>"20190305135535649"</f>
        <v>20190305135535649</v>
      </c>
      <c r="B135" t="str">
        <f>"1551765335641704"</f>
        <v>1551765335641704</v>
      </c>
      <c r="C135" t="s">
        <v>40</v>
      </c>
      <c r="D135">
        <v>3.97241</v>
      </c>
      <c r="E135">
        <v>0.58748880000000003</v>
      </c>
      <c r="F135" t="s">
        <v>41</v>
      </c>
      <c r="G135">
        <v>-451.1078</v>
      </c>
      <c r="H135">
        <v>0.95320590000000005</v>
      </c>
      <c r="I135">
        <v>367.32659999999998</v>
      </c>
      <c r="J135">
        <v>-451.5686</v>
      </c>
      <c r="K135">
        <v>1.1101479999999999</v>
      </c>
      <c r="L135">
        <v>367.45690000000002</v>
      </c>
      <c r="M135">
        <v>0.99970919999999996</v>
      </c>
      <c r="N135">
        <v>-1.480249E-2</v>
      </c>
      <c r="O135">
        <v>1.9041120000000002E-2</v>
      </c>
      <c r="P135">
        <v>0.99787879999999995</v>
      </c>
      <c r="Q135">
        <v>1.3408349999999999E-2</v>
      </c>
      <c r="R135">
        <v>6.3703480000000007E-2</v>
      </c>
      <c r="S135">
        <v>3.0506899999999999</v>
      </c>
      <c r="T135">
        <v>-0.6777744</v>
      </c>
      <c r="U135">
        <v>-0.54025269999999903</v>
      </c>
      <c r="V135">
        <v>-4.4682069999999997E-2</v>
      </c>
      <c r="W135">
        <v>2.8204819999999999E-2</v>
      </c>
      <c r="X135">
        <v>0.99860300000000002</v>
      </c>
      <c r="Y135">
        <v>0.18794659999999999</v>
      </c>
      <c r="Z135">
        <v>-2.5765550000000002E-2</v>
      </c>
      <c r="AA135">
        <v>0.98184130000000003</v>
      </c>
      <c r="AB135">
        <v>25</v>
      </c>
      <c r="AC135">
        <v>0.46080000000000598</v>
      </c>
      <c r="AD135">
        <v>-0.156942099999999</v>
      </c>
      <c r="AE135">
        <v>-0.130300000000033</v>
      </c>
      <c r="AF135">
        <v>0.12556452493807199</v>
      </c>
      <c r="AG135">
        <v>-0.156942099999999</v>
      </c>
      <c r="AH135">
        <v>0.41378972510210499</v>
      </c>
      <c r="AI135">
        <v>109.94774573116899</v>
      </c>
      <c r="AJ135">
        <v>73.119575212188096</v>
      </c>
      <c r="AK135">
        <v>0.46002087917333601</v>
      </c>
      <c r="AL135">
        <v>88.383768475477396</v>
      </c>
      <c r="AM135">
        <v>92.561966645685601</v>
      </c>
      <c r="AN135">
        <v>0.99999997542985797</v>
      </c>
    </row>
    <row r="136" spans="1:40" x14ac:dyDescent="0.25">
      <c r="A136" t="str">
        <f>"20190305135535670"</f>
        <v>20190305135535670</v>
      </c>
      <c r="B136" t="str">
        <f>"1551765335661223"</f>
        <v>1551765335661223</v>
      </c>
      <c r="C136" t="s">
        <v>40</v>
      </c>
      <c r="D136">
        <v>4.0350080000000004</v>
      </c>
      <c r="E136">
        <v>0.58716959999999996</v>
      </c>
      <c r="F136" t="s">
        <v>41</v>
      </c>
      <c r="G136">
        <v>-450.6841</v>
      </c>
      <c r="H136">
        <v>0.91266740000000002</v>
      </c>
      <c r="I136">
        <v>367.30110000000002</v>
      </c>
      <c r="J136">
        <v>-451.32979999999998</v>
      </c>
      <c r="K136">
        <v>1.110133</v>
      </c>
      <c r="L136">
        <v>367.46129999999999</v>
      </c>
      <c r="M136">
        <v>0.99971209999999999</v>
      </c>
      <c r="N136">
        <v>-1.480161E-2</v>
      </c>
      <c r="O136">
        <v>1.8888510000000001E-2</v>
      </c>
      <c r="P136">
        <v>0.99791779999999997</v>
      </c>
      <c r="Q136">
        <v>1.3470869999999999E-2</v>
      </c>
      <c r="R136">
        <v>6.3077980000000006E-2</v>
      </c>
      <c r="S136">
        <v>3.049744</v>
      </c>
      <c r="T136">
        <v>-0.68100300000000002</v>
      </c>
      <c r="U136">
        <v>-0.53625489999999998</v>
      </c>
      <c r="V136">
        <v>-4.4206780000000001E-2</v>
      </c>
      <c r="W136">
        <v>2.826917E-2</v>
      </c>
      <c r="X136">
        <v>0.99862240000000002</v>
      </c>
      <c r="Y136">
        <v>0.1865869</v>
      </c>
      <c r="Z136">
        <v>-2.5699759999999999E-2</v>
      </c>
      <c r="AA136">
        <v>0.98210229999999998</v>
      </c>
      <c r="AB136">
        <v>25</v>
      </c>
      <c r="AC136">
        <v>0.64569999999997596</v>
      </c>
      <c r="AD136">
        <v>-0.19746559999999899</v>
      </c>
      <c r="AE136">
        <v>-0.160199999999974</v>
      </c>
      <c r="AF136">
        <v>0.158412798632596</v>
      </c>
      <c r="AG136">
        <v>-0.19746559999999899</v>
      </c>
      <c r="AH136">
        <v>0.59053226742833798</v>
      </c>
      <c r="AI136">
        <v>107.898756252754</v>
      </c>
      <c r="AJ136">
        <v>74.983692834968807</v>
      </c>
      <c r="AK136">
        <v>0.642507304883007</v>
      </c>
      <c r="AL136">
        <v>88.380080128407698</v>
      </c>
      <c r="AM136">
        <v>92.534701171960293</v>
      </c>
      <c r="AN136">
        <v>1.0000000415760999</v>
      </c>
    </row>
    <row r="137" spans="1:40" x14ac:dyDescent="0.25">
      <c r="A137" t="str">
        <f>"20190305135535694"</f>
        <v>20190305135535694</v>
      </c>
      <c r="B137" t="str">
        <f>"1551765335681722"</f>
        <v>1551765335681722</v>
      </c>
      <c r="C137" t="s">
        <v>40</v>
      </c>
      <c r="D137">
        <v>3.9547789999999998</v>
      </c>
      <c r="E137">
        <v>0.58821939999999995</v>
      </c>
      <c r="F137" t="s">
        <v>41</v>
      </c>
      <c r="G137">
        <v>-450.46370000000002</v>
      </c>
      <c r="H137">
        <v>0.91633580000000003</v>
      </c>
      <c r="I137">
        <v>367.30930000000001</v>
      </c>
      <c r="J137">
        <v>-451.08030000000002</v>
      </c>
      <c r="K137">
        <v>1.110128</v>
      </c>
      <c r="L137">
        <v>367.4658</v>
      </c>
      <c r="M137">
        <v>0.99971560000000004</v>
      </c>
      <c r="N137">
        <v>-1.480013E-2</v>
      </c>
      <c r="O137">
        <v>1.8708780000000001E-2</v>
      </c>
      <c r="P137">
        <v>0.99797599999999997</v>
      </c>
      <c r="Q137">
        <v>1.302028E-2</v>
      </c>
      <c r="R137">
        <v>6.2246410000000002E-2</v>
      </c>
      <c r="S137">
        <v>3.0493160000000001</v>
      </c>
      <c r="T137">
        <v>-0.6821933</v>
      </c>
      <c r="U137">
        <v>-0.53530880000000003</v>
      </c>
      <c r="V137">
        <v>-4.355303E-2</v>
      </c>
      <c r="W137">
        <v>2.781873E-2</v>
      </c>
      <c r="X137">
        <v>0.99866370000000004</v>
      </c>
      <c r="Y137">
        <v>0.18613460000000001</v>
      </c>
      <c r="Z137">
        <v>-2.5655689999999998E-2</v>
      </c>
      <c r="AA137">
        <v>0.98218919999999998</v>
      </c>
      <c r="AB137">
        <v>25</v>
      </c>
      <c r="AC137">
        <v>0.61660000000000503</v>
      </c>
      <c r="AD137">
        <v>-0.1937922</v>
      </c>
      <c r="AE137">
        <v>-0.15649999999999401</v>
      </c>
      <c r="AF137">
        <v>0.153742268175112</v>
      </c>
      <c r="AG137">
        <v>-0.1937922</v>
      </c>
      <c r="AH137">
        <v>0.56145980384449401</v>
      </c>
      <c r="AI137">
        <v>108.412739098133</v>
      </c>
      <c r="AJ137">
        <v>74.6863057503341</v>
      </c>
      <c r="AK137">
        <v>0.61353827357188295</v>
      </c>
      <c r="AL137">
        <v>88.4058984740836</v>
      </c>
      <c r="AM137">
        <v>92.497161522007005</v>
      </c>
      <c r="AN137">
        <v>0.99999996692934101</v>
      </c>
    </row>
    <row r="138" spans="1:40" x14ac:dyDescent="0.25">
      <c r="A138" t="str">
        <f>"20190305135535715"</f>
        <v>20190305135535715</v>
      </c>
      <c r="B138" t="str">
        <f>"1551765335711975"</f>
        <v>1551765335711975</v>
      </c>
      <c r="C138" t="s">
        <v>40</v>
      </c>
      <c r="D138">
        <v>4.002478</v>
      </c>
      <c r="E138">
        <v>0.58928059999999904</v>
      </c>
      <c r="F138" t="s">
        <v>41</v>
      </c>
      <c r="G138">
        <v>-450.2423</v>
      </c>
      <c r="H138">
        <v>0.92258269999999998</v>
      </c>
      <c r="I138">
        <v>367.31560000000002</v>
      </c>
      <c r="J138">
        <v>-450.85199999999998</v>
      </c>
      <c r="K138">
        <v>1.1101299999999901</v>
      </c>
      <c r="L138">
        <v>367.4699</v>
      </c>
      <c r="M138">
        <v>0.99971880000000002</v>
      </c>
      <c r="N138">
        <v>-1.4798250000000001E-2</v>
      </c>
      <c r="O138">
        <v>1.853287E-2</v>
      </c>
      <c r="P138">
        <v>0.99803269999999999</v>
      </c>
      <c r="Q138">
        <v>1.3262380000000001E-2</v>
      </c>
      <c r="R138">
        <v>6.1275509999999998E-2</v>
      </c>
      <c r="S138">
        <v>3.0490110000000001</v>
      </c>
      <c r="T138">
        <v>-0.6824076</v>
      </c>
      <c r="U138">
        <v>-0.54528809999999905</v>
      </c>
      <c r="V138">
        <v>-4.2756530000000001E-2</v>
      </c>
      <c r="W138">
        <v>2.8059919999999999E-2</v>
      </c>
      <c r="X138">
        <v>0.99869140000000001</v>
      </c>
      <c r="Y138">
        <v>0.18902340000000001</v>
      </c>
      <c r="Z138">
        <v>-2.596186E-2</v>
      </c>
      <c r="AA138">
        <v>0.98162930000000004</v>
      </c>
      <c r="AB138">
        <v>25</v>
      </c>
      <c r="AC138">
        <v>0.60969999999997504</v>
      </c>
      <c r="AD138">
        <v>-0.187547299999999</v>
      </c>
      <c r="AE138">
        <v>-0.15429999999997701</v>
      </c>
      <c r="AF138">
        <v>0.152052786288112</v>
      </c>
      <c r="AG138">
        <v>-0.187547299999999</v>
      </c>
      <c r="AH138">
        <v>0.55718696142476998</v>
      </c>
      <c r="AI138">
        <v>107.989785654321</v>
      </c>
      <c r="AJ138">
        <v>74.736008659573599</v>
      </c>
      <c r="AK138">
        <v>0.60724900126475001</v>
      </c>
      <c r="AL138">
        <v>88.3920739547886</v>
      </c>
      <c r="AM138">
        <v>92.4514816292387</v>
      </c>
      <c r="AN138">
        <v>0.99999999620100299</v>
      </c>
    </row>
    <row r="139" spans="1:40" x14ac:dyDescent="0.25">
      <c r="A139" t="str">
        <f>"20190305135535738"</f>
        <v>20190305135535738</v>
      </c>
      <c r="B139" t="str">
        <f>"1551765335731496"</f>
        <v>1551765335731496</v>
      </c>
      <c r="C139" t="s">
        <v>40</v>
      </c>
      <c r="D139">
        <v>3.9546399999999999</v>
      </c>
      <c r="E139">
        <v>0.59004899999999905</v>
      </c>
      <c r="F139" t="s">
        <v>41</v>
      </c>
      <c r="G139">
        <v>-450.02280000000002</v>
      </c>
      <c r="H139">
        <v>0.92507050000000002</v>
      </c>
      <c r="I139">
        <v>367.31849999999997</v>
      </c>
      <c r="J139">
        <v>-450.6044</v>
      </c>
      <c r="K139">
        <v>1.110139</v>
      </c>
      <c r="L139">
        <v>367.47430000000003</v>
      </c>
      <c r="M139">
        <v>0.99972249999999996</v>
      </c>
      <c r="N139">
        <v>-1.479551E-2</v>
      </c>
      <c r="O139">
        <v>1.833595E-2</v>
      </c>
      <c r="P139">
        <v>0.99809320000000001</v>
      </c>
      <c r="Q139">
        <v>1.391002E-2</v>
      </c>
      <c r="R139">
        <v>6.0137919999999997E-2</v>
      </c>
      <c r="S139">
        <v>3.0491329999999999</v>
      </c>
      <c r="T139">
        <v>-0.68047429999999998</v>
      </c>
      <c r="U139">
        <v>-0.55627439999999995</v>
      </c>
      <c r="V139">
        <v>-4.1814759999999999E-2</v>
      </c>
      <c r="W139">
        <v>2.8704339999999998E-2</v>
      </c>
      <c r="X139">
        <v>0.99871299999999996</v>
      </c>
      <c r="Y139">
        <v>0.19220329999999999</v>
      </c>
      <c r="Z139">
        <v>-2.6216429999999999E-2</v>
      </c>
      <c r="AA139">
        <v>0.98100489999999996</v>
      </c>
      <c r="AB139">
        <v>24</v>
      </c>
      <c r="AC139">
        <v>0.58159999999998002</v>
      </c>
      <c r="AD139">
        <v>-0.1850685</v>
      </c>
      <c r="AE139">
        <v>-0.155800000000056</v>
      </c>
      <c r="AF139">
        <v>0.152072094918139</v>
      </c>
      <c r="AG139">
        <v>-0.1850685</v>
      </c>
      <c r="AH139">
        <v>0.52869638206777003</v>
      </c>
      <c r="AI139">
        <v>108.593306295392</v>
      </c>
      <c r="AJ139">
        <v>73.952861396602501</v>
      </c>
      <c r="AK139">
        <v>0.58042754600086899</v>
      </c>
      <c r="AL139">
        <v>88.355136590945506</v>
      </c>
      <c r="AM139">
        <v>92.397496379809695</v>
      </c>
      <c r="AN139">
        <v>1.00000003482884</v>
      </c>
    </row>
    <row r="140" spans="1:40" x14ac:dyDescent="0.25">
      <c r="A140" t="str">
        <f>"20190305135535761"</f>
        <v>20190305135535761</v>
      </c>
      <c r="B140" t="str">
        <f>"1551765335751992"</f>
        <v>1551765335751992</v>
      </c>
      <c r="C140" t="s">
        <v>40</v>
      </c>
      <c r="D140">
        <v>3.9950890000000001</v>
      </c>
      <c r="E140">
        <v>0.59101230000000005</v>
      </c>
      <c r="F140" t="s">
        <v>41</v>
      </c>
      <c r="G140">
        <v>-449.80200000000002</v>
      </c>
      <c r="H140">
        <v>0.9318227</v>
      </c>
      <c r="I140">
        <v>367.32499999999999</v>
      </c>
      <c r="J140">
        <v>-450.34440000000001</v>
      </c>
      <c r="K140">
        <v>1.110136</v>
      </c>
      <c r="L140">
        <v>367.47879999999998</v>
      </c>
      <c r="M140">
        <v>0.99972640000000002</v>
      </c>
      <c r="N140">
        <v>-1.479201E-2</v>
      </c>
      <c r="O140">
        <v>1.8129059999999999E-2</v>
      </c>
      <c r="P140">
        <v>0.9981428</v>
      </c>
      <c r="Q140">
        <v>1.5000609999999999E-2</v>
      </c>
      <c r="R140">
        <v>5.9047570000000001E-2</v>
      </c>
      <c r="S140">
        <v>3.049255</v>
      </c>
      <c r="T140">
        <v>-0.677598699999999</v>
      </c>
      <c r="U140">
        <v>-0.56619259999999905</v>
      </c>
      <c r="V140">
        <v>-4.0930040000000001E-2</v>
      </c>
      <c r="W140">
        <v>2.9791539999999998E-2</v>
      </c>
      <c r="X140">
        <v>0.99871779999999999</v>
      </c>
      <c r="Y140">
        <v>0.19505800000000001</v>
      </c>
      <c r="Z140">
        <v>-2.6395459999999999E-2</v>
      </c>
      <c r="AA140">
        <v>0.98043639999999999</v>
      </c>
      <c r="AB140">
        <v>24</v>
      </c>
      <c r="AC140">
        <v>0.54240000000004296</v>
      </c>
      <c r="AD140">
        <v>-0.17831330000000001</v>
      </c>
      <c r="AE140">
        <v>-0.153799999999989</v>
      </c>
      <c r="AF140">
        <v>0.148731020142849</v>
      </c>
      <c r="AG140">
        <v>-0.17831330000000001</v>
      </c>
      <c r="AH140">
        <v>0.49046019830772403</v>
      </c>
      <c r="AI140">
        <v>109.18369952181401</v>
      </c>
      <c r="AJ140">
        <v>73.130183632654195</v>
      </c>
      <c r="AK140">
        <v>0.54264883251848495</v>
      </c>
      <c r="AL140">
        <v>88.292817939425902</v>
      </c>
      <c r="AM140">
        <v>92.346816024107298</v>
      </c>
      <c r="AN140">
        <v>1.0000000240333999</v>
      </c>
    </row>
    <row r="141" spans="1:40" x14ac:dyDescent="0.25">
      <c r="A141" t="str">
        <f>"20190305135535784"</f>
        <v>20190305135535784</v>
      </c>
      <c r="B141" t="str">
        <f>"1551765335771512"</f>
        <v>1551765335771512</v>
      </c>
      <c r="C141" t="s">
        <v>40</v>
      </c>
      <c r="D141">
        <v>3.97465</v>
      </c>
      <c r="E141">
        <v>0.59201019999999904</v>
      </c>
      <c r="F141" t="s">
        <v>41</v>
      </c>
      <c r="G141">
        <v>-449.5804</v>
      </c>
      <c r="H141">
        <v>0.94169780000000003</v>
      </c>
      <c r="I141">
        <v>367.33370000000002</v>
      </c>
      <c r="J141">
        <v>-450.09879999999998</v>
      </c>
      <c r="K141">
        <v>1.110142</v>
      </c>
      <c r="L141">
        <v>367.483</v>
      </c>
      <c r="M141">
        <v>0.99972989999999995</v>
      </c>
      <c r="N141">
        <v>-1.4788269999999999E-2</v>
      </c>
      <c r="O141">
        <v>1.793703E-2</v>
      </c>
      <c r="P141">
        <v>0.99820580000000003</v>
      </c>
      <c r="Q141">
        <v>1.490327E-2</v>
      </c>
      <c r="R141">
        <v>5.7996020000000002E-2</v>
      </c>
      <c r="S141">
        <v>3.0498959999999999</v>
      </c>
      <c r="T141">
        <v>-0.67251090000000002</v>
      </c>
      <c r="U141">
        <v>-0.57748409999999994</v>
      </c>
      <c r="V141">
        <v>-4.0069599999999997E-2</v>
      </c>
      <c r="W141">
        <v>2.9690500000000002E-2</v>
      </c>
      <c r="X141">
        <v>0.99875570000000002</v>
      </c>
      <c r="Y141">
        <v>0.19834309999999999</v>
      </c>
      <c r="Z141">
        <v>-2.6538369999999999E-2</v>
      </c>
      <c r="AA141">
        <v>0.97977329999999996</v>
      </c>
      <c r="AB141">
        <v>24</v>
      </c>
      <c r="AC141">
        <v>0.51839999999998498</v>
      </c>
      <c r="AD141">
        <v>-0.16844419999999899</v>
      </c>
      <c r="AE141">
        <v>-0.149299999999982</v>
      </c>
      <c r="AF141">
        <v>0.14448882215543701</v>
      </c>
      <c r="AG141">
        <v>-0.16844419999999899</v>
      </c>
      <c r="AH141">
        <v>0.46983264788552598</v>
      </c>
      <c r="AI141">
        <v>108.915606479703</v>
      </c>
      <c r="AJ141">
        <v>72.905634326629993</v>
      </c>
      <c r="AK141">
        <v>0.51960868474326904</v>
      </c>
      <c r="AL141">
        <v>88.298609665912593</v>
      </c>
      <c r="AM141">
        <v>92.297447103421206</v>
      </c>
      <c r="AN141">
        <v>1.0000000234584401</v>
      </c>
    </row>
    <row r="142" spans="1:40" x14ac:dyDescent="0.25">
      <c r="A142" t="str">
        <f>"20190305135535807"</f>
        <v>20190305135535807</v>
      </c>
      <c r="B142" t="str">
        <f>"1551765335801769"</f>
        <v>1551765335801769</v>
      </c>
      <c r="C142" t="s">
        <v>40</v>
      </c>
      <c r="D142">
        <v>3.9967700000000002</v>
      </c>
      <c r="E142">
        <v>0.59314419999999901</v>
      </c>
      <c r="F142" t="s">
        <v>41</v>
      </c>
      <c r="G142">
        <v>-449.3605</v>
      </c>
      <c r="H142">
        <v>0.94765339999999998</v>
      </c>
      <c r="I142">
        <v>367.3399</v>
      </c>
      <c r="J142">
        <v>-449.85109999999997</v>
      </c>
      <c r="K142">
        <v>1.110147</v>
      </c>
      <c r="L142">
        <v>367.48719999999997</v>
      </c>
      <c r="M142">
        <v>0.99973330000000005</v>
      </c>
      <c r="N142">
        <v>-1.4784179999999999E-2</v>
      </c>
      <c r="O142">
        <v>1.7748159999999999E-2</v>
      </c>
      <c r="P142">
        <v>0.99825390000000003</v>
      </c>
      <c r="Q142">
        <v>1.492537E-2</v>
      </c>
      <c r="R142">
        <v>5.7153269999999999E-2</v>
      </c>
      <c r="S142">
        <v>3.049652</v>
      </c>
      <c r="T142">
        <v>-0.67144009999999998</v>
      </c>
      <c r="U142">
        <v>-0.5892944</v>
      </c>
      <c r="V142">
        <v>-3.9414739999999997E-2</v>
      </c>
      <c r="W142">
        <v>2.970861E-2</v>
      </c>
      <c r="X142">
        <v>0.99878120000000004</v>
      </c>
      <c r="Y142">
        <v>0.20177049999999999</v>
      </c>
      <c r="Z142">
        <v>-2.684976E-2</v>
      </c>
      <c r="AA142">
        <v>0.97906479999999996</v>
      </c>
      <c r="AB142">
        <v>24</v>
      </c>
      <c r="AC142">
        <v>0.490599999999972</v>
      </c>
      <c r="AD142">
        <v>-0.16249359999999999</v>
      </c>
      <c r="AE142">
        <v>-0.14729999999997201</v>
      </c>
      <c r="AF142">
        <v>0.14172322068679399</v>
      </c>
      <c r="AG142">
        <v>-0.16249359999999999</v>
      </c>
      <c r="AH142">
        <v>0.44329848219365903</v>
      </c>
      <c r="AI142">
        <v>109.246482902964</v>
      </c>
      <c r="AJ142">
        <v>72.270840227953101</v>
      </c>
      <c r="AK142">
        <v>0.49295353293997202</v>
      </c>
      <c r="AL142">
        <v>88.297571548909602</v>
      </c>
      <c r="AM142">
        <v>92.259881395901004</v>
      </c>
      <c r="AN142">
        <v>1.00000000435541</v>
      </c>
    </row>
    <row r="143" spans="1:40" x14ac:dyDescent="0.25">
      <c r="A143" t="str">
        <f>"20190305135535842"</f>
        <v>20190305135535842</v>
      </c>
      <c r="B143" t="str">
        <f>"1551765335832024"</f>
        <v>1551765335832024</v>
      </c>
      <c r="C143" t="s">
        <v>40</v>
      </c>
      <c r="D143">
        <v>3.9679639999999998</v>
      </c>
      <c r="E143">
        <v>0.59399679999999999</v>
      </c>
      <c r="F143" t="s">
        <v>41</v>
      </c>
      <c r="G143">
        <v>-449.14089999999999</v>
      </c>
      <c r="H143">
        <v>0.95405359999999995</v>
      </c>
      <c r="I143">
        <v>367.34730000000002</v>
      </c>
      <c r="J143">
        <v>-449.47579999999999</v>
      </c>
      <c r="K143">
        <v>1.1101620000000001</v>
      </c>
      <c r="L143">
        <v>367.49349999999998</v>
      </c>
      <c r="M143">
        <v>0.99973820000000002</v>
      </c>
      <c r="N143">
        <v>-1.4777469999999999E-2</v>
      </c>
      <c r="O143">
        <v>1.7468560000000001E-2</v>
      </c>
      <c r="P143">
        <v>0.99830269999999999</v>
      </c>
      <c r="Q143">
        <v>1.519123E-2</v>
      </c>
      <c r="R143">
        <v>5.6223120000000001E-2</v>
      </c>
      <c r="S143">
        <v>3.049652</v>
      </c>
      <c r="T143">
        <v>-0.67035409999999995</v>
      </c>
      <c r="U143">
        <v>-0.60073849999999995</v>
      </c>
      <c r="V143">
        <v>-3.8763859999999997E-2</v>
      </c>
      <c r="W143">
        <v>2.9967420000000002E-2</v>
      </c>
      <c r="X143">
        <v>0.99879899999999999</v>
      </c>
      <c r="Y143">
        <v>0.20498259999999999</v>
      </c>
      <c r="Z143">
        <v>-2.7114260000000001E-2</v>
      </c>
      <c r="AA143">
        <v>0.97838999999999998</v>
      </c>
      <c r="AB143">
        <v>24</v>
      </c>
      <c r="AC143">
        <v>0.33490000000000397</v>
      </c>
      <c r="AD143">
        <v>-0.15610840000000001</v>
      </c>
      <c r="AE143">
        <v>-0.146199999999964</v>
      </c>
      <c r="AF143">
        <v>0.128565236444557</v>
      </c>
      <c r="AG143">
        <v>-0.15610840000000001</v>
      </c>
      <c r="AH143">
        <v>0.28101003593076002</v>
      </c>
      <c r="AI143">
        <v>116.801371678195</v>
      </c>
      <c r="AJ143">
        <v>65.415375050289597</v>
      </c>
      <c r="AK143">
        <v>0.346215962755058</v>
      </c>
      <c r="AL143">
        <v>88.282736323080897</v>
      </c>
      <c r="AM143">
        <v>92.222560745937898</v>
      </c>
      <c r="AN143">
        <v>1.00000006275227</v>
      </c>
    </row>
    <row r="144" spans="1:40" x14ac:dyDescent="0.25">
      <c r="A144" t="str">
        <f>"20190305135535863"</f>
        <v>20190305135535863</v>
      </c>
      <c r="B144" t="str">
        <f>"1551765335851544"</f>
        <v>1551765335851544</v>
      </c>
      <c r="C144" t="s">
        <v>40</v>
      </c>
      <c r="D144">
        <v>3.9650569999999998</v>
      </c>
      <c r="E144">
        <v>0.59450289999999995</v>
      </c>
      <c r="F144" t="s">
        <v>41</v>
      </c>
      <c r="G144">
        <v>-448.7131</v>
      </c>
      <c r="H144">
        <v>0.94313590000000003</v>
      </c>
      <c r="I144">
        <v>367.3408</v>
      </c>
      <c r="J144">
        <v>-449.24970000000002</v>
      </c>
      <c r="K144">
        <v>1.110158</v>
      </c>
      <c r="L144">
        <v>367.4973</v>
      </c>
      <c r="M144">
        <v>0.99974130000000005</v>
      </c>
      <c r="N144">
        <v>-1.477322E-2</v>
      </c>
      <c r="O144">
        <v>1.7302689999999999E-2</v>
      </c>
      <c r="P144">
        <v>0.99831990000000004</v>
      </c>
      <c r="Q144">
        <v>1.494848E-2</v>
      </c>
      <c r="R144">
        <v>5.5985640000000003E-2</v>
      </c>
      <c r="S144">
        <v>3.049652</v>
      </c>
      <c r="T144">
        <v>-0.66793239999999998</v>
      </c>
      <c r="U144">
        <v>-0.61035159999999999</v>
      </c>
      <c r="V144">
        <v>-3.8691759999999999E-2</v>
      </c>
      <c r="W144">
        <v>2.9720050000000001E-2</v>
      </c>
      <c r="X144">
        <v>0.99880910000000001</v>
      </c>
      <c r="Y144">
        <v>0.20776330000000001</v>
      </c>
      <c r="Z144">
        <v>-2.730144E-2</v>
      </c>
      <c r="AA144">
        <v>0.97779799999999994</v>
      </c>
      <c r="AB144">
        <v>24</v>
      </c>
      <c r="AC144">
        <v>0.53660000000002095</v>
      </c>
      <c r="AD144">
        <v>-0.16702209999999901</v>
      </c>
      <c r="AE144">
        <v>-0.15649999999999401</v>
      </c>
      <c r="AF144">
        <v>0.152174830001608</v>
      </c>
      <c r="AG144">
        <v>-0.16702209999999901</v>
      </c>
      <c r="AH144">
        <v>0.49005546030048203</v>
      </c>
      <c r="AI144">
        <v>108.02960313060601</v>
      </c>
      <c r="AJ144">
        <v>72.749086678596001</v>
      </c>
      <c r="AK144">
        <v>0.53963683616367897</v>
      </c>
      <c r="AL144">
        <v>88.296915747249699</v>
      </c>
      <c r="AM144">
        <v>92.218408551388094</v>
      </c>
      <c r="AN144">
        <v>0.99999997595335399</v>
      </c>
    </row>
    <row r="145" spans="1:40" x14ac:dyDescent="0.25">
      <c r="A145" t="str">
        <f>"20190305135535884"</f>
        <v>20190305135535884</v>
      </c>
      <c r="B145" t="str">
        <f>"1551765335881800"</f>
        <v>1551765335881800</v>
      </c>
      <c r="C145" t="s">
        <v>40</v>
      </c>
      <c r="D145">
        <v>3.9712459999999998</v>
      </c>
      <c r="E145">
        <v>0.59523400000000004</v>
      </c>
      <c r="F145" t="s">
        <v>41</v>
      </c>
      <c r="G145">
        <v>-448.49669999999998</v>
      </c>
      <c r="H145">
        <v>0.94512859999999999</v>
      </c>
      <c r="I145">
        <v>367.34550000000002</v>
      </c>
      <c r="J145">
        <v>-449.01760000000002</v>
      </c>
      <c r="K145">
        <v>1.110158</v>
      </c>
      <c r="L145">
        <v>367.50110000000001</v>
      </c>
      <c r="M145">
        <v>0.99974419999999997</v>
      </c>
      <c r="N145">
        <v>-1.4768679999999999E-2</v>
      </c>
      <c r="O145">
        <v>1.7132950000000001E-2</v>
      </c>
      <c r="P145">
        <v>0.99833709999999998</v>
      </c>
      <c r="Q145">
        <v>1.4606549999999999E-2</v>
      </c>
      <c r="R145">
        <v>5.5766330000000003E-2</v>
      </c>
      <c r="S145">
        <v>3.0495000000000001</v>
      </c>
      <c r="T145">
        <v>-0.66836759999999995</v>
      </c>
      <c r="U145">
        <v>-0.61407469999999997</v>
      </c>
      <c r="V145">
        <v>-3.864215E-2</v>
      </c>
      <c r="W145">
        <v>2.937354E-2</v>
      </c>
      <c r="X145">
        <v>0.99882130000000002</v>
      </c>
      <c r="Y145">
        <v>0.20872830000000001</v>
      </c>
      <c r="Z145">
        <v>-2.739289E-2</v>
      </c>
      <c r="AA145">
        <v>0.97758999999999996</v>
      </c>
      <c r="AB145">
        <v>24</v>
      </c>
      <c r="AC145">
        <v>0.52090000000004</v>
      </c>
      <c r="AD145">
        <v>-0.16502939999999999</v>
      </c>
      <c r="AE145">
        <v>-0.15559999999999199</v>
      </c>
      <c r="AF145">
        <v>0.150622820814756</v>
      </c>
      <c r="AG145">
        <v>-0.16502939999999999</v>
      </c>
      <c r="AH145">
        <v>0.47443798565220102</v>
      </c>
      <c r="AI145">
        <v>108.342165943719</v>
      </c>
      <c r="AJ145">
        <v>72.386589768675293</v>
      </c>
      <c r="AK145">
        <v>0.52441714240123005</v>
      </c>
      <c r="AL145">
        <v>88.316778029131697</v>
      </c>
      <c r="AM145">
        <v>92.215539942487794</v>
      </c>
      <c r="AN145">
        <v>1.0000000049712201</v>
      </c>
    </row>
    <row r="146" spans="1:40" x14ac:dyDescent="0.25">
      <c r="A146" t="str">
        <f>"20190305135535907"</f>
        <v>20190305135535907</v>
      </c>
      <c r="B146" t="str">
        <f>"1551765335901320"</f>
        <v>1551765335901320</v>
      </c>
      <c r="C146" t="s">
        <v>40</v>
      </c>
      <c r="D146">
        <v>4.0038179999999999</v>
      </c>
      <c r="E146">
        <v>0.59564649999999997</v>
      </c>
      <c r="F146" t="s">
        <v>41</v>
      </c>
      <c r="G146">
        <v>-448.28019999999998</v>
      </c>
      <c r="H146">
        <v>0.94833730000000005</v>
      </c>
      <c r="I146">
        <v>367.351</v>
      </c>
      <c r="J146">
        <v>-448.77659999999997</v>
      </c>
      <c r="K146">
        <v>1.1101540000000001</v>
      </c>
      <c r="L146">
        <v>367.505</v>
      </c>
      <c r="M146">
        <v>0.99974730000000001</v>
      </c>
      <c r="N146">
        <v>-1.476383E-2</v>
      </c>
      <c r="O146">
        <v>1.6957369999999999E-2</v>
      </c>
      <c r="P146">
        <v>0.99837929999999997</v>
      </c>
      <c r="Q146">
        <v>1.430151E-2</v>
      </c>
      <c r="R146">
        <v>5.508623E-2</v>
      </c>
      <c r="S146">
        <v>3.0493769999999998</v>
      </c>
      <c r="T146">
        <v>-0.66925019999999902</v>
      </c>
      <c r="U146">
        <v>-0.61981200000000003</v>
      </c>
      <c r="V146">
        <v>-3.8137160000000003E-2</v>
      </c>
      <c r="W146">
        <v>2.9063729999999999E-2</v>
      </c>
      <c r="X146">
        <v>0.99884969999999995</v>
      </c>
      <c r="Y146">
        <v>0.21028450000000001</v>
      </c>
      <c r="Z146">
        <v>-2.7566480000000001E-2</v>
      </c>
      <c r="AA146">
        <v>0.97725150000000005</v>
      </c>
      <c r="AB146">
        <v>24</v>
      </c>
      <c r="AC146">
        <v>0.49639999999999401</v>
      </c>
      <c r="AD146">
        <v>-0.16181670000000001</v>
      </c>
      <c r="AE146">
        <v>-0.153999999999996</v>
      </c>
      <c r="AF146">
        <v>0.14804575947575399</v>
      </c>
      <c r="AG146">
        <v>-0.16181670000000001</v>
      </c>
      <c r="AH146">
        <v>0.45008810899896901</v>
      </c>
      <c r="AI146">
        <v>108.856145789965</v>
      </c>
      <c r="AJ146">
        <v>71.792611337458695</v>
      </c>
      <c r="AK146">
        <v>0.50068103335348202</v>
      </c>
      <c r="AL146">
        <v>88.334536297176996</v>
      </c>
      <c r="AM146">
        <v>92.186552621516597</v>
      </c>
      <c r="AN146">
        <v>0.99999993328223102</v>
      </c>
    </row>
    <row r="147" spans="1:40" x14ac:dyDescent="0.25">
      <c r="A147" t="str">
        <f>"20190305135535928"</f>
        <v>20190305135535928</v>
      </c>
      <c r="B147" t="str">
        <f>"1551765335921815"</f>
        <v>1551765335921815</v>
      </c>
      <c r="C147" t="s">
        <v>40</v>
      </c>
      <c r="D147">
        <v>4.0093769999999997</v>
      </c>
      <c r="E147">
        <v>0.59590859999999901</v>
      </c>
      <c r="F147" t="s">
        <v>41</v>
      </c>
      <c r="G147">
        <v>-448.06330000000003</v>
      </c>
      <c r="H147">
        <v>0.95345159999999995</v>
      </c>
      <c r="I147">
        <v>367.35849999999999</v>
      </c>
      <c r="J147">
        <v>-448.54829999999998</v>
      </c>
      <c r="K147">
        <v>1.110147</v>
      </c>
      <c r="L147">
        <v>367.50869999999998</v>
      </c>
      <c r="M147">
        <v>0.99975009999999997</v>
      </c>
      <c r="N147">
        <v>-1.475922E-2</v>
      </c>
      <c r="O147">
        <v>1.6791980000000001E-2</v>
      </c>
      <c r="P147">
        <v>0.99838819999999995</v>
      </c>
      <c r="Q147">
        <v>1.400273E-2</v>
      </c>
      <c r="R147">
        <v>5.5000489999999999E-2</v>
      </c>
      <c r="S147">
        <v>3.0489199999999999</v>
      </c>
      <c r="T147">
        <v>-0.67007399999999995</v>
      </c>
      <c r="U147">
        <v>-0.62432860000000001</v>
      </c>
      <c r="V147">
        <v>-3.8217029999999999E-2</v>
      </c>
      <c r="W147">
        <v>2.8760589999999999E-2</v>
      </c>
      <c r="X147">
        <v>0.99885550000000001</v>
      </c>
      <c r="Y147">
        <v>0.211502</v>
      </c>
      <c r="Z147">
        <v>-2.7704880000000001E-2</v>
      </c>
      <c r="AA147">
        <v>0.97698479999999999</v>
      </c>
      <c r="AB147">
        <v>24</v>
      </c>
      <c r="AC147">
        <v>0.48499999999995602</v>
      </c>
      <c r="AD147">
        <v>-0.15669540000000001</v>
      </c>
      <c r="AE147">
        <v>-0.15019999999998301</v>
      </c>
      <c r="AF147">
        <v>0.14455525084149501</v>
      </c>
      <c r="AG147">
        <v>-0.15669540000000001</v>
      </c>
      <c r="AH147">
        <v>0.44045666074208001</v>
      </c>
      <c r="AI147">
        <v>108.67617640306599</v>
      </c>
      <c r="AJ147">
        <v>71.830472351282097</v>
      </c>
      <c r="AK147">
        <v>0.48933806199709401</v>
      </c>
      <c r="AL147">
        <v>88.351912333677006</v>
      </c>
      <c r="AM147">
        <v>92.191114711709901</v>
      </c>
      <c r="AN147">
        <v>1.0000000113997001</v>
      </c>
    </row>
    <row r="148" spans="1:40" x14ac:dyDescent="0.25">
      <c r="A148" t="str">
        <f>"20190305135535952"</f>
        <v>20190305135535952</v>
      </c>
      <c r="B148" t="str">
        <f>"1551765335941336"</f>
        <v>1551765335941336</v>
      </c>
      <c r="C148" t="s">
        <v>40</v>
      </c>
      <c r="D148">
        <v>4.0088480000000004</v>
      </c>
      <c r="E148">
        <v>0.59614579999999995</v>
      </c>
      <c r="F148" t="s">
        <v>41</v>
      </c>
      <c r="G148">
        <v>-447.84789999999998</v>
      </c>
      <c r="H148">
        <v>0.95600390000000002</v>
      </c>
      <c r="I148">
        <v>367.36430000000001</v>
      </c>
      <c r="J148">
        <v>-448.29930000000002</v>
      </c>
      <c r="K148">
        <v>1.1101529999999999</v>
      </c>
      <c r="L148">
        <v>367.51260000000002</v>
      </c>
      <c r="M148">
        <v>0.99975320000000001</v>
      </c>
      <c r="N148">
        <v>-1.4754099999999999E-2</v>
      </c>
      <c r="O148">
        <v>1.6611799999999999E-2</v>
      </c>
      <c r="P148">
        <v>0.99841530000000001</v>
      </c>
      <c r="Q148">
        <v>1.288307E-2</v>
      </c>
      <c r="R148">
        <v>5.4782440000000002E-2</v>
      </c>
      <c r="S148">
        <v>3.0487669999999998</v>
      </c>
      <c r="T148">
        <v>-0.6709967</v>
      </c>
      <c r="U148">
        <v>-0.62670899999999996</v>
      </c>
      <c r="V148">
        <v>-3.8178709999999998E-2</v>
      </c>
      <c r="W148">
        <v>2.7635699999999999E-2</v>
      </c>
      <c r="X148">
        <v>0.99888869999999996</v>
      </c>
      <c r="Y148">
        <v>0.2120438</v>
      </c>
      <c r="Z148">
        <v>-2.776555E-2</v>
      </c>
      <c r="AA148">
        <v>0.9768656</v>
      </c>
      <c r="AB148">
        <v>24</v>
      </c>
      <c r="AC148">
        <v>0.451400000000035</v>
      </c>
      <c r="AD148">
        <v>-0.15414910000000001</v>
      </c>
      <c r="AE148">
        <v>-0.14830000000000601</v>
      </c>
      <c r="AF148">
        <v>0.140943801110682</v>
      </c>
      <c r="AG148">
        <v>-0.15414910000000001</v>
      </c>
      <c r="AH148">
        <v>0.40612681145490198</v>
      </c>
      <c r="AI148">
        <v>109.726779720887</v>
      </c>
      <c r="AJ148">
        <v>70.860984838177501</v>
      </c>
      <c r="AK148">
        <v>0.456690362373526</v>
      </c>
      <c r="AL148">
        <v>88.416389391608703</v>
      </c>
      <c r="AM148">
        <v>92.188847149345506</v>
      </c>
      <c r="AN148">
        <v>0.99999999039972198</v>
      </c>
    </row>
    <row r="149" spans="1:40" x14ac:dyDescent="0.25">
      <c r="A149" t="str">
        <f>"20190305135535974"</f>
        <v>20190305135535974</v>
      </c>
      <c r="B149" t="str">
        <f>"1551765335971592"</f>
        <v>1551765335971592</v>
      </c>
      <c r="C149" t="s">
        <v>40</v>
      </c>
      <c r="D149">
        <v>4.0108050000000004</v>
      </c>
      <c r="E149">
        <v>0.59623780000000004</v>
      </c>
      <c r="F149" t="s">
        <v>41</v>
      </c>
      <c r="G149">
        <v>-447.43470000000002</v>
      </c>
      <c r="H149">
        <v>0.91901900000000003</v>
      </c>
      <c r="I149">
        <v>367.334</v>
      </c>
      <c r="J149">
        <v>-448.05650000000003</v>
      </c>
      <c r="K149">
        <v>1.1101540000000001</v>
      </c>
      <c r="L149">
        <v>367.51639999999998</v>
      </c>
      <c r="M149">
        <v>0.99975630000000004</v>
      </c>
      <c r="N149">
        <v>-1.4748900000000001E-2</v>
      </c>
      <c r="O149">
        <v>1.643652E-2</v>
      </c>
      <c r="P149">
        <v>0.99844820000000001</v>
      </c>
      <c r="Q149">
        <v>1.2285630000000001E-2</v>
      </c>
      <c r="R149">
        <v>5.4321099999999997E-2</v>
      </c>
      <c r="S149">
        <v>3.0479430000000001</v>
      </c>
      <c r="T149">
        <v>-0.67382819999999899</v>
      </c>
      <c r="U149">
        <v>-0.62927250000000001</v>
      </c>
      <c r="V149">
        <v>-3.7892599999999999E-2</v>
      </c>
      <c r="W149">
        <v>2.7033680000000001E-2</v>
      </c>
      <c r="X149">
        <v>0.99891609999999997</v>
      </c>
      <c r="Y149">
        <v>0.21265439999999999</v>
      </c>
      <c r="Z149">
        <v>-2.7914230000000002E-2</v>
      </c>
      <c r="AA149">
        <v>0.97672870000000001</v>
      </c>
      <c r="AB149">
        <v>24</v>
      </c>
      <c r="AC149">
        <v>0.62180000000000701</v>
      </c>
      <c r="AD149">
        <v>-0.191135</v>
      </c>
      <c r="AE149">
        <v>-0.182399999999972</v>
      </c>
      <c r="AF149">
        <v>0.17718153871174899</v>
      </c>
      <c r="AG149">
        <v>-0.191135</v>
      </c>
      <c r="AH149">
        <v>0.56919639388287702</v>
      </c>
      <c r="AI149">
        <v>107.77705995753399</v>
      </c>
      <c r="AJ149">
        <v>72.709488019535598</v>
      </c>
      <c r="AK149">
        <v>0.626027491963839</v>
      </c>
      <c r="AL149">
        <v>88.450895540109798</v>
      </c>
      <c r="AM149">
        <v>92.172400243969307</v>
      </c>
      <c r="AN149">
        <v>1.0000000219141501</v>
      </c>
    </row>
    <row r="150" spans="1:40" x14ac:dyDescent="0.25">
      <c r="A150" t="str">
        <f>"20190305135535995"</f>
        <v>20190305135535995</v>
      </c>
      <c r="B150" t="str">
        <f>"1551765335992088"</f>
        <v>1551765335992088</v>
      </c>
      <c r="C150" t="s">
        <v>40</v>
      </c>
      <c r="D150">
        <v>4.0378600000000002</v>
      </c>
      <c r="E150">
        <v>0.59632410000000002</v>
      </c>
      <c r="F150" t="s">
        <v>41</v>
      </c>
      <c r="G150">
        <v>-447.21949999999998</v>
      </c>
      <c r="H150">
        <v>0.92478000000000005</v>
      </c>
      <c r="I150">
        <v>367.3426</v>
      </c>
      <c r="J150">
        <v>-447.83670000000001</v>
      </c>
      <c r="K150">
        <v>1.1101490000000001</v>
      </c>
      <c r="L150">
        <v>367.51990000000001</v>
      </c>
      <c r="M150">
        <v>0.99975879999999995</v>
      </c>
      <c r="N150">
        <v>-1.474411E-2</v>
      </c>
      <c r="O150">
        <v>1.62781E-2</v>
      </c>
      <c r="P150">
        <v>0.998471</v>
      </c>
      <c r="Q150">
        <v>1.1525499999999999E-2</v>
      </c>
      <c r="R150">
        <v>5.4066040000000003E-2</v>
      </c>
      <c r="S150">
        <v>3.047272</v>
      </c>
      <c r="T150">
        <v>-0.67501619999999996</v>
      </c>
      <c r="U150">
        <v>-0.63113399999999997</v>
      </c>
      <c r="V150">
        <v>-3.7795719999999998E-2</v>
      </c>
      <c r="W150">
        <v>2.6268630000000001E-2</v>
      </c>
      <c r="X150">
        <v>0.99894019999999994</v>
      </c>
      <c r="Y150">
        <v>0.21308650000000001</v>
      </c>
      <c r="Z150">
        <v>-2.7981760000000001E-2</v>
      </c>
      <c r="AA150">
        <v>0.97663250000000001</v>
      </c>
      <c r="AB150">
        <v>24</v>
      </c>
      <c r="AC150">
        <v>0.61720000000002495</v>
      </c>
      <c r="AD150">
        <v>-0.18536900000000001</v>
      </c>
      <c r="AE150">
        <v>-0.17730000000000201</v>
      </c>
      <c r="AF150">
        <v>0.17291587069091499</v>
      </c>
      <c r="AG150">
        <v>-0.18536900000000001</v>
      </c>
      <c r="AH150">
        <v>0.56698647850650596</v>
      </c>
      <c r="AI150">
        <v>107.36539130457599</v>
      </c>
      <c r="AJ150">
        <v>73.039681400672805</v>
      </c>
      <c r="AK150">
        <v>0.62107586598338005</v>
      </c>
      <c r="AL150">
        <v>88.494745279621995</v>
      </c>
      <c r="AM150">
        <v>92.166799143350801</v>
      </c>
      <c r="AN150">
        <v>1.00000004027421</v>
      </c>
    </row>
    <row r="151" spans="1:40" x14ac:dyDescent="0.25">
      <c r="A151" t="str">
        <f>"20190305135536017"</f>
        <v>20190305135536017</v>
      </c>
      <c r="B151" t="str">
        <f>"1551765336011608"</f>
        <v>1551765336011608</v>
      </c>
      <c r="C151" t="s">
        <v>40</v>
      </c>
      <c r="D151">
        <v>4.0109640000000004</v>
      </c>
      <c r="E151">
        <v>0.59643000000000002</v>
      </c>
      <c r="F151" t="s">
        <v>41</v>
      </c>
      <c r="G151">
        <v>-447.00650000000002</v>
      </c>
      <c r="H151">
        <v>0.92595550000000004</v>
      </c>
      <c r="I151">
        <v>367.34750000000003</v>
      </c>
      <c r="J151">
        <v>-447.59589999999997</v>
      </c>
      <c r="K151">
        <v>1.1101570000000001</v>
      </c>
      <c r="L151">
        <v>367.52359999999999</v>
      </c>
      <c r="M151">
        <v>0.99976160000000003</v>
      </c>
      <c r="N151">
        <v>-1.473875E-2</v>
      </c>
      <c r="O151">
        <v>1.6106760000000001E-2</v>
      </c>
      <c r="P151">
        <v>0.99846599999999996</v>
      </c>
      <c r="Q151">
        <v>1.152366E-2</v>
      </c>
      <c r="R151">
        <v>5.415669E-2</v>
      </c>
      <c r="S151">
        <v>3.0466609999999998</v>
      </c>
      <c r="T151">
        <v>-0.67596319999999999</v>
      </c>
      <c r="U151">
        <v>-0.63278199999999996</v>
      </c>
      <c r="V151">
        <v>-3.8057710000000002E-2</v>
      </c>
      <c r="W151">
        <v>2.6261E-2</v>
      </c>
      <c r="X151">
        <v>0.9989304</v>
      </c>
      <c r="Y151">
        <v>0.21344270000000001</v>
      </c>
      <c r="Z151">
        <v>-2.80282E-2</v>
      </c>
      <c r="AA151">
        <v>0.97655340000000002</v>
      </c>
      <c r="AB151">
        <v>24</v>
      </c>
      <c r="AC151">
        <v>0.58939999999995496</v>
      </c>
      <c r="AD151">
        <v>-0.18420149999999999</v>
      </c>
      <c r="AE151">
        <v>-0.17609999999996201</v>
      </c>
      <c r="AF151">
        <v>0.17030116643190801</v>
      </c>
      <c r="AG151">
        <v>-0.18420149999999999</v>
      </c>
      <c r="AH151">
        <v>0.53822588691004403</v>
      </c>
      <c r="AI151">
        <v>108.071199054177</v>
      </c>
      <c r="AJ151">
        <v>72.442000095447995</v>
      </c>
      <c r="AK151">
        <v>0.59381797314532503</v>
      </c>
      <c r="AL151">
        <v>88.495182516671704</v>
      </c>
      <c r="AM151">
        <v>92.181825744020898</v>
      </c>
      <c r="AN151">
        <v>0.99999998672780099</v>
      </c>
    </row>
    <row r="152" spans="1:40" x14ac:dyDescent="0.25">
      <c r="A152" t="str">
        <f>"20190305135536040"</f>
        <v>20190305135536040</v>
      </c>
      <c r="B152" t="str">
        <f>"1551765336032104"</f>
        <v>1551765336032104</v>
      </c>
      <c r="C152" t="s">
        <v>40</v>
      </c>
      <c r="D152">
        <v>3.9953919999999998</v>
      </c>
      <c r="E152">
        <v>0.59640019999999905</v>
      </c>
      <c r="F152" t="s">
        <v>41</v>
      </c>
      <c r="G152">
        <v>-446.79199999999997</v>
      </c>
      <c r="H152">
        <v>0.93195589999999995</v>
      </c>
      <c r="I152">
        <v>367.3562</v>
      </c>
      <c r="J152">
        <v>-447.35050000000001</v>
      </c>
      <c r="K152">
        <v>1.110168</v>
      </c>
      <c r="L152">
        <v>367.52730000000003</v>
      </c>
      <c r="M152">
        <v>0.9997646</v>
      </c>
      <c r="N152">
        <v>-1.473321E-2</v>
      </c>
      <c r="O152">
        <v>1.593495E-2</v>
      </c>
      <c r="P152">
        <v>0.99848809999999999</v>
      </c>
      <c r="Q152">
        <v>1.1405800000000001E-2</v>
      </c>
      <c r="R152">
        <v>5.3775129999999997E-2</v>
      </c>
      <c r="S152">
        <v>3.046783</v>
      </c>
      <c r="T152">
        <v>-0.67549419999999905</v>
      </c>
      <c r="U152">
        <v>-0.63311770000000001</v>
      </c>
      <c r="V152">
        <v>-3.784825E-2</v>
      </c>
      <c r="W152">
        <v>2.6137540000000001E-2</v>
      </c>
      <c r="X152">
        <v>0.99894159999999999</v>
      </c>
      <c r="Y152">
        <v>0.21338360000000001</v>
      </c>
      <c r="Z152">
        <v>-2.7966640000000001E-2</v>
      </c>
      <c r="AA152">
        <v>0.9765682</v>
      </c>
      <c r="AB152">
        <v>24</v>
      </c>
      <c r="AC152">
        <v>0.55850000000003697</v>
      </c>
      <c r="AD152">
        <v>-0.17821209999999901</v>
      </c>
      <c r="AE152">
        <v>-0.17110000000002401</v>
      </c>
      <c r="AF152">
        <v>0.164652609543434</v>
      </c>
      <c r="AG152">
        <v>-0.17821209999999901</v>
      </c>
      <c r="AH152">
        <v>0.50838088344469301</v>
      </c>
      <c r="AI152">
        <v>108.443203947931</v>
      </c>
      <c r="AJ152">
        <v>72.054080896244699</v>
      </c>
      <c r="AK152">
        <v>0.56331266368499</v>
      </c>
      <c r="AL152">
        <v>88.502258688499893</v>
      </c>
      <c r="AM152">
        <v>92.169804732733297</v>
      </c>
      <c r="AN152">
        <v>0.99999999061793599</v>
      </c>
    </row>
    <row r="153" spans="1:40" x14ac:dyDescent="0.25">
      <c r="A153" t="str">
        <f>"20190305135536064"</f>
        <v>20190305135536064</v>
      </c>
      <c r="B153" t="str">
        <f>"1551765336051624"</f>
        <v>1551765336051624</v>
      </c>
      <c r="C153" t="s">
        <v>40</v>
      </c>
      <c r="D153">
        <v>4.0594070000000002</v>
      </c>
      <c r="E153">
        <v>0.59621659999999999</v>
      </c>
      <c r="F153" t="s">
        <v>41</v>
      </c>
      <c r="G153">
        <v>-446.57760000000002</v>
      </c>
      <c r="H153">
        <v>0.93883620000000001</v>
      </c>
      <c r="I153">
        <v>367.36630000000002</v>
      </c>
      <c r="J153">
        <v>-447.10149999999999</v>
      </c>
      <c r="K153">
        <v>1.1101780000000001</v>
      </c>
      <c r="L153">
        <v>367.53109999999998</v>
      </c>
      <c r="M153">
        <v>0.99976719999999997</v>
      </c>
      <c r="N153">
        <v>-1.47276E-2</v>
      </c>
      <c r="O153">
        <v>1.5767E-2</v>
      </c>
      <c r="P153">
        <v>0.99847750000000002</v>
      </c>
      <c r="Q153">
        <v>1.3215869999999999E-2</v>
      </c>
      <c r="R153">
        <v>5.3554690000000002E-2</v>
      </c>
      <c r="S153">
        <v>3.0463559999999998</v>
      </c>
      <c r="T153">
        <v>-0.67542829999999998</v>
      </c>
      <c r="U153">
        <v>-0.63354489999999997</v>
      </c>
      <c r="V153">
        <v>-3.779544E-2</v>
      </c>
      <c r="W153">
        <v>2.7941710000000002E-2</v>
      </c>
      <c r="X153">
        <v>0.99889479999999997</v>
      </c>
      <c r="Y153">
        <v>0.2133816</v>
      </c>
      <c r="Z153">
        <v>-2.7932579999999999E-2</v>
      </c>
      <c r="AA153">
        <v>0.97656949999999998</v>
      </c>
      <c r="AB153">
        <v>24</v>
      </c>
      <c r="AC153">
        <v>0.52389999999996895</v>
      </c>
      <c r="AD153">
        <v>-0.17134179999999999</v>
      </c>
      <c r="AE153">
        <v>-0.16479999999995601</v>
      </c>
      <c r="AF153">
        <v>0.15769236182662399</v>
      </c>
      <c r="AG153">
        <v>-0.17134179999999999</v>
      </c>
      <c r="AH153">
        <v>0.475003547027113</v>
      </c>
      <c r="AI153">
        <v>108.898366541607</v>
      </c>
      <c r="AJ153">
        <v>71.634791400820106</v>
      </c>
      <c r="AK153">
        <v>0.52901159069914305</v>
      </c>
      <c r="AL153">
        <v>88.398849596477405</v>
      </c>
      <c r="AM153">
        <v>92.166881493388502</v>
      </c>
      <c r="AN153">
        <v>1.0000000279547701</v>
      </c>
    </row>
    <row r="154" spans="1:40" x14ac:dyDescent="0.25">
      <c r="A154" t="str">
        <f>"20190305135536085"</f>
        <v>20190305135536085</v>
      </c>
      <c r="B154" t="str">
        <f>"1551765336071651"</f>
        <v>1551765336071651</v>
      </c>
      <c r="C154" t="s">
        <v>40</v>
      </c>
      <c r="D154">
        <v>4.0202239999999998</v>
      </c>
      <c r="E154">
        <v>0.59620419999999996</v>
      </c>
      <c r="F154" t="s">
        <v>41</v>
      </c>
      <c r="G154">
        <v>-446.36279999999999</v>
      </c>
      <c r="H154">
        <v>0.94747510000000001</v>
      </c>
      <c r="I154">
        <v>367.3777</v>
      </c>
      <c r="J154">
        <v>-446.87950000000001</v>
      </c>
      <c r="K154">
        <v>1.1101890000000001</v>
      </c>
      <c r="L154">
        <v>367.53440000000001</v>
      </c>
      <c r="M154">
        <v>0.99976949999999998</v>
      </c>
      <c r="N154">
        <v>-1.471866E-2</v>
      </c>
      <c r="O154">
        <v>1.5627060000000002E-2</v>
      </c>
      <c r="P154">
        <v>0.9984461</v>
      </c>
      <c r="Q154">
        <v>1.565049E-2</v>
      </c>
      <c r="R154">
        <v>5.348638E-2</v>
      </c>
      <c r="S154">
        <v>3.0473330000000001</v>
      </c>
      <c r="T154">
        <v>-0.67126850000000005</v>
      </c>
      <c r="U154">
        <v>-0.63140869999999905</v>
      </c>
      <c r="V154">
        <v>-3.7867060000000001E-2</v>
      </c>
      <c r="W154">
        <v>3.0365400000000001E-2</v>
      </c>
      <c r="X154">
        <v>0.99882130000000002</v>
      </c>
      <c r="Y154">
        <v>0.21261730000000001</v>
      </c>
      <c r="Z154">
        <v>-2.764898E-2</v>
      </c>
      <c r="AA154">
        <v>0.97674430000000001</v>
      </c>
      <c r="AB154">
        <v>24</v>
      </c>
      <c r="AC154">
        <v>0.51670000000001404</v>
      </c>
      <c r="AD154">
        <v>-0.162713899999999</v>
      </c>
      <c r="AE154">
        <v>-0.15670000000000001</v>
      </c>
      <c r="AF154">
        <v>0.15103949676737299</v>
      </c>
      <c r="AG154">
        <v>-0.162713899999999</v>
      </c>
      <c r="AH154">
        <v>0.47137927753773001</v>
      </c>
      <c r="AI154">
        <v>108.196940634702</v>
      </c>
      <c r="AJ154">
        <v>72.233485706472706</v>
      </c>
      <c r="AK154">
        <v>0.52104430342240904</v>
      </c>
      <c r="AL154">
        <v>88.259923224537701</v>
      </c>
      <c r="AM154">
        <v>92.171143276016807</v>
      </c>
      <c r="AN154">
        <v>0.99999998054194605</v>
      </c>
    </row>
    <row r="155" spans="1:40" x14ac:dyDescent="0.25">
      <c r="A155" t="str">
        <f>"20190305135536105"</f>
        <v>20190305135536105</v>
      </c>
      <c r="B155" t="str">
        <f>"1551765336101907"</f>
        <v>1551765336101907</v>
      </c>
      <c r="C155" t="s">
        <v>40</v>
      </c>
      <c r="D155">
        <v>4.0760670000000001</v>
      </c>
      <c r="E155">
        <v>0.5584884</v>
      </c>
      <c r="F155" t="s">
        <v>41</v>
      </c>
      <c r="G155">
        <v>-446.15010000000001</v>
      </c>
      <c r="H155">
        <v>0.95119739999999997</v>
      </c>
      <c r="I155">
        <v>367.38310000000001</v>
      </c>
      <c r="J155">
        <v>-446.65940000000001</v>
      </c>
      <c r="K155">
        <v>1.1101970000000001</v>
      </c>
      <c r="L155">
        <v>367.53769999999997</v>
      </c>
      <c r="M155">
        <v>0.99977190000000005</v>
      </c>
      <c r="N155">
        <v>-1.46976E-2</v>
      </c>
      <c r="O155">
        <v>1.5502790000000001E-2</v>
      </c>
      <c r="P155">
        <v>0.99839509999999998</v>
      </c>
      <c r="Q155">
        <v>1.7266879999999998E-2</v>
      </c>
      <c r="R155">
        <v>5.3934919999999997E-2</v>
      </c>
      <c r="S155">
        <v>3.048889</v>
      </c>
      <c r="T155">
        <v>-0.66461119999999996</v>
      </c>
      <c r="U155">
        <v>-0.63116459999999996</v>
      </c>
      <c r="V155">
        <v>-3.8440960000000003E-2</v>
      </c>
      <c r="W155">
        <v>3.1959639999999997E-2</v>
      </c>
      <c r="X155">
        <v>0.99874969999999996</v>
      </c>
      <c r="Y155">
        <v>0.21243980000000001</v>
      </c>
      <c r="Z155">
        <v>-2.7334299999999999E-2</v>
      </c>
      <c r="AA155">
        <v>0.97679170000000004</v>
      </c>
      <c r="AB155">
        <v>24</v>
      </c>
      <c r="AC155">
        <v>0.50929999999999598</v>
      </c>
      <c r="AD155">
        <v>-0.15899959999999899</v>
      </c>
      <c r="AE155">
        <v>-0.15459999999995899</v>
      </c>
      <c r="AF155">
        <v>0.14916610751944701</v>
      </c>
      <c r="AG155">
        <v>-0.15899959999999899</v>
      </c>
      <c r="AH155">
        <v>0.46531648371409801</v>
      </c>
      <c r="AI155">
        <v>108.024447092549</v>
      </c>
      <c r="AJ155">
        <v>72.225752686190106</v>
      </c>
      <c r="AK155">
        <v>0.51385876507919503</v>
      </c>
      <c r="AL155">
        <v>88.168535722759998</v>
      </c>
      <c r="AM155">
        <v>92.204174009053801</v>
      </c>
      <c r="AN155">
        <v>1.00000004462236</v>
      </c>
    </row>
    <row r="156" spans="1:40" x14ac:dyDescent="0.25">
      <c r="A156" t="str">
        <f>"20190305135536129"</f>
        <v>20190305135536129</v>
      </c>
      <c r="B156" t="str">
        <f>"1551765336121427"</f>
        <v>1551765336121427</v>
      </c>
      <c r="C156" t="s">
        <v>40</v>
      </c>
      <c r="D156">
        <v>4.2155709999999997</v>
      </c>
      <c r="E156">
        <v>0.54637749999999996</v>
      </c>
      <c r="F156" t="s">
        <v>41</v>
      </c>
      <c r="G156">
        <v>-445.92360000000002</v>
      </c>
      <c r="H156">
        <v>0.98998569999999997</v>
      </c>
      <c r="I156">
        <v>367.45890000000003</v>
      </c>
      <c r="J156">
        <v>-446.4144</v>
      </c>
      <c r="K156">
        <v>1.1102190000000001</v>
      </c>
      <c r="L156">
        <v>367.54140000000001</v>
      </c>
      <c r="M156">
        <v>0.9997743</v>
      </c>
      <c r="N156">
        <v>-1.465549E-2</v>
      </c>
      <c r="O156">
        <v>1.539187E-2</v>
      </c>
      <c r="P156">
        <v>0.99836740000000002</v>
      </c>
      <c r="Q156">
        <v>1.7953029999999998E-2</v>
      </c>
      <c r="R156">
        <v>5.4226870000000003E-2</v>
      </c>
      <c r="S156">
        <v>3.0308229999999998</v>
      </c>
      <c r="T156">
        <v>-0.49535210000000002</v>
      </c>
      <c r="U156">
        <v>-0.32284550000000001</v>
      </c>
      <c r="V156">
        <v>-3.884543E-2</v>
      </c>
      <c r="W156">
        <v>3.2601129999999999E-2</v>
      </c>
      <c r="X156">
        <v>0.99871330000000003</v>
      </c>
      <c r="Y156">
        <v>0.1193385</v>
      </c>
      <c r="Z156">
        <v>-1.2813379999999999E-2</v>
      </c>
      <c r="AA156">
        <v>0.99277090000000001</v>
      </c>
      <c r="AB156">
        <v>24</v>
      </c>
      <c r="AC156">
        <v>0.49079999999997798</v>
      </c>
      <c r="AD156">
        <v>-0.1202333</v>
      </c>
      <c r="AE156">
        <v>-8.2499999999981796E-2</v>
      </c>
      <c r="AF156">
        <v>8.5079828995406795E-2</v>
      </c>
      <c r="AG156">
        <v>-0.1202333</v>
      </c>
      <c r="AH156">
        <v>0.46248004072835103</v>
      </c>
      <c r="AI156">
        <v>104.34237349514299</v>
      </c>
      <c r="AJ156">
        <v>79.576168520082405</v>
      </c>
      <c r="AK156">
        <v>0.48536832591638601</v>
      </c>
      <c r="AL156">
        <v>88.131761859174901</v>
      </c>
      <c r="AM156">
        <v>92.2274238574051</v>
      </c>
      <c r="AN156">
        <v>1.0000000283530199</v>
      </c>
    </row>
    <row r="157" spans="1:40" x14ac:dyDescent="0.25">
      <c r="A157" t="str">
        <f>"20190305135536151"</f>
        <v>20190305135536151</v>
      </c>
      <c r="B157" t="str">
        <f>"1551765336141923"</f>
        <v>1551765336141923</v>
      </c>
      <c r="C157" t="s">
        <v>40</v>
      </c>
      <c r="D157">
        <v>4.2029800000000002</v>
      </c>
      <c r="E157">
        <v>0.5407786</v>
      </c>
      <c r="F157" t="s">
        <v>41</v>
      </c>
      <c r="G157">
        <v>-445.50029999999998</v>
      </c>
      <c r="H157">
        <v>0.99603269999999999</v>
      </c>
      <c r="I157">
        <v>367.47370000000001</v>
      </c>
      <c r="J157">
        <v>-446.17509999999999</v>
      </c>
      <c r="K157">
        <v>1.1102430000000001</v>
      </c>
      <c r="L157">
        <v>367.54500000000002</v>
      </c>
      <c r="M157">
        <v>0.99977590000000005</v>
      </c>
      <c r="N157">
        <v>-1.460059E-2</v>
      </c>
      <c r="O157">
        <v>1.532347E-2</v>
      </c>
      <c r="P157">
        <v>0.99835620000000003</v>
      </c>
      <c r="Q157">
        <v>1.7984940000000001E-2</v>
      </c>
      <c r="R157">
        <v>5.4416829999999999E-2</v>
      </c>
      <c r="S157">
        <v>3.0237729999999998</v>
      </c>
      <c r="T157">
        <v>-0.37812669999999998</v>
      </c>
      <c r="U157">
        <v>-0.2216187</v>
      </c>
      <c r="V157">
        <v>-3.9105479999999998E-2</v>
      </c>
      <c r="W157">
        <v>3.257587E-2</v>
      </c>
      <c r="X157">
        <v>0.99870400000000004</v>
      </c>
      <c r="Y157">
        <v>8.7520550000000003E-2</v>
      </c>
      <c r="Z157">
        <v>-7.7702200000000004E-3</v>
      </c>
      <c r="AA157">
        <v>0.99613240000000003</v>
      </c>
      <c r="AB157">
        <v>24</v>
      </c>
      <c r="AC157">
        <v>0.67480000000000395</v>
      </c>
      <c r="AD157">
        <v>-0.1142103</v>
      </c>
      <c r="AE157">
        <v>-7.1300000000007899E-2</v>
      </c>
      <c r="AF157">
        <v>7.9384096853490793E-2</v>
      </c>
      <c r="AG157">
        <v>-0.1142103</v>
      </c>
      <c r="AH157">
        <v>0.65507026986132999</v>
      </c>
      <c r="AI157">
        <v>99.819577135804394</v>
      </c>
      <c r="AJ157">
        <v>83.090355501619797</v>
      </c>
      <c r="AK157">
        <v>0.66967371601066294</v>
      </c>
      <c r="AL157">
        <v>88.133209965205396</v>
      </c>
      <c r="AM157">
        <v>92.242340993266595</v>
      </c>
      <c r="AN157">
        <v>1.0000000527441399</v>
      </c>
    </row>
    <row r="158" spans="1:40" x14ac:dyDescent="0.25">
      <c r="A158" t="str">
        <f>"20190305135536174"</f>
        <v>20190305135536174</v>
      </c>
      <c r="B158" t="str">
        <f>"1551765336171634"</f>
        <v>1551765336171634</v>
      </c>
      <c r="C158" t="s">
        <v>40</v>
      </c>
      <c r="D158">
        <v>4.2892349999999997</v>
      </c>
      <c r="E158">
        <v>0.53765929999999995</v>
      </c>
      <c r="F158" t="s">
        <v>41</v>
      </c>
      <c r="G158">
        <v>-445.27820000000003</v>
      </c>
      <c r="H158">
        <v>1.021631</v>
      </c>
      <c r="I158">
        <v>367.49340000000001</v>
      </c>
      <c r="J158">
        <v>-445.94139999999999</v>
      </c>
      <c r="K158">
        <v>1.1102639999999999</v>
      </c>
      <c r="L158">
        <v>367.54849999999999</v>
      </c>
      <c r="M158">
        <v>0.99977729999999998</v>
      </c>
      <c r="N158">
        <v>-1.454488E-2</v>
      </c>
      <c r="O158">
        <v>1.5286910000000001E-2</v>
      </c>
      <c r="P158">
        <v>0.99839789999999995</v>
      </c>
      <c r="Q158">
        <v>1.782537E-2</v>
      </c>
      <c r="R158">
        <v>5.3701939999999997E-2</v>
      </c>
      <c r="S158">
        <v>3.0197449999999999</v>
      </c>
      <c r="T158">
        <v>-0.29836119999999999</v>
      </c>
      <c r="U158">
        <v>-0.17312620000000001</v>
      </c>
      <c r="V158">
        <v>-3.8429039999999998E-2</v>
      </c>
      <c r="W158">
        <v>3.235855E-2</v>
      </c>
      <c r="X158">
        <v>0.99873730000000005</v>
      </c>
      <c r="Y158">
        <v>7.2038669999999999E-2</v>
      </c>
      <c r="Z158">
        <v>-5.3570349999999996E-3</v>
      </c>
      <c r="AA158">
        <v>0.99738749999999998</v>
      </c>
      <c r="AB158">
        <v>23</v>
      </c>
      <c r="AC158">
        <v>0.66319999999996004</v>
      </c>
      <c r="AD158">
        <v>-8.8632999999999906E-2</v>
      </c>
      <c r="AE158">
        <v>-5.5099999999981698E-2</v>
      </c>
      <c r="AF158">
        <v>6.4095952427549299E-2</v>
      </c>
      <c r="AG158">
        <v>-8.8632999999999906E-2</v>
      </c>
      <c r="AH158">
        <v>0.650737056882149</v>
      </c>
      <c r="AI158">
        <v>97.719285871992099</v>
      </c>
      <c r="AJ158">
        <v>84.374655860909996</v>
      </c>
      <c r="AK158">
        <v>0.65986575680681903</v>
      </c>
      <c r="AL158">
        <v>88.145668010266405</v>
      </c>
      <c r="AM158">
        <v>92.203518530455597</v>
      </c>
      <c r="AN158">
        <v>1.00000003064235</v>
      </c>
    </row>
    <row r="159" spans="1:40" x14ac:dyDescent="0.25">
      <c r="A159" t="str">
        <f>"20190305135536197"</f>
        <v>20190305135536197</v>
      </c>
      <c r="B159" t="str">
        <f>"1551765336192129"</f>
        <v>1551765336192129</v>
      </c>
      <c r="C159" t="s">
        <v>40</v>
      </c>
      <c r="D159">
        <v>4.1640030000000001</v>
      </c>
      <c r="E159">
        <v>0.53664440000000002</v>
      </c>
      <c r="F159" t="s">
        <v>41</v>
      </c>
      <c r="G159">
        <v>-445.06180000000001</v>
      </c>
      <c r="H159">
        <v>1.0359959999999999</v>
      </c>
      <c r="I159">
        <v>367.50490000000002</v>
      </c>
      <c r="J159">
        <v>-445.70870000000002</v>
      </c>
      <c r="K159">
        <v>1.110277</v>
      </c>
      <c r="L159">
        <v>367.55200000000002</v>
      </c>
      <c r="M159">
        <v>0.99977830000000001</v>
      </c>
      <c r="N159">
        <v>-1.4486260000000001E-2</v>
      </c>
      <c r="O159">
        <v>1.528438E-2</v>
      </c>
      <c r="P159">
        <v>0.99845019999999995</v>
      </c>
      <c r="Q159">
        <v>1.782926E-2</v>
      </c>
      <c r="R159">
        <v>5.2722770000000002E-2</v>
      </c>
      <c r="S159">
        <v>3.017334</v>
      </c>
      <c r="T159">
        <v>-0.25493189999999999</v>
      </c>
      <c r="U159">
        <v>-0.1485901</v>
      </c>
      <c r="V159">
        <v>-3.7453760000000003E-2</v>
      </c>
      <c r="W159">
        <v>3.2302310000000001E-2</v>
      </c>
      <c r="X159">
        <v>0.99877609999999994</v>
      </c>
      <c r="Y159">
        <v>6.4142989999999997E-2</v>
      </c>
      <c r="Z159">
        <v>-4.2365370000000003E-3</v>
      </c>
      <c r="AA159">
        <v>0.99793169999999998</v>
      </c>
      <c r="AB159">
        <v>23</v>
      </c>
      <c r="AC159">
        <v>0.64690000000001602</v>
      </c>
      <c r="AD159">
        <v>-7.4281E-2</v>
      </c>
      <c r="AE159">
        <v>-4.70999999999435E-2</v>
      </c>
      <c r="AF159">
        <v>5.62453137415031E-2</v>
      </c>
      <c r="AG159">
        <v>-7.4281E-2</v>
      </c>
      <c r="AH159">
        <v>0.63774016376845399</v>
      </c>
      <c r="AI159">
        <v>96.618149647653695</v>
      </c>
      <c r="AJ159">
        <v>84.959855833377802</v>
      </c>
      <c r="AK159">
        <v>0.64451044891630305</v>
      </c>
      <c r="AL159">
        <v>88.148891880594206</v>
      </c>
      <c r="AM159">
        <v>92.147565736430906</v>
      </c>
      <c r="AN159">
        <v>0.99999996065034102</v>
      </c>
    </row>
    <row r="160" spans="1:40" x14ac:dyDescent="0.25">
      <c r="A160" t="str">
        <f>"20190305135536219"</f>
        <v>20190305135536219</v>
      </c>
      <c r="B160" t="str">
        <f>"1551765336211650"</f>
        <v>1551765336211650</v>
      </c>
      <c r="C160" t="s">
        <v>40</v>
      </c>
      <c r="D160">
        <v>4.1679709999999996</v>
      </c>
      <c r="E160">
        <v>0.53581389999999995</v>
      </c>
      <c r="F160" t="s">
        <v>41</v>
      </c>
      <c r="G160">
        <v>-444.85</v>
      </c>
      <c r="H160">
        <v>1.0414319999999999</v>
      </c>
      <c r="I160">
        <v>367.51139999999998</v>
      </c>
      <c r="J160">
        <v>-445.47789999999998</v>
      </c>
      <c r="K160">
        <v>1.1102909999999999</v>
      </c>
      <c r="L160">
        <v>367.55560000000003</v>
      </c>
      <c r="M160">
        <v>0.99977870000000002</v>
      </c>
      <c r="N160">
        <v>-1.440285E-2</v>
      </c>
      <c r="O160">
        <v>1.53382999999999E-2</v>
      </c>
      <c r="P160">
        <v>0.99851480000000004</v>
      </c>
      <c r="Q160">
        <v>1.8181309999999999E-2</v>
      </c>
      <c r="R160">
        <v>5.1358729999999998E-2</v>
      </c>
      <c r="S160">
        <v>3.0165099999999998</v>
      </c>
      <c r="T160">
        <v>-0.24188380000000001</v>
      </c>
      <c r="U160">
        <v>-0.1427002</v>
      </c>
      <c r="V160">
        <v>-3.6037510000000002E-2</v>
      </c>
      <c r="W160">
        <v>3.2568239999999998E-2</v>
      </c>
      <c r="X160">
        <v>0.99881960000000003</v>
      </c>
      <c r="Y160">
        <v>6.2302080000000003E-2</v>
      </c>
      <c r="Z160">
        <v>-3.9491389999999999E-3</v>
      </c>
      <c r="AA160">
        <v>0.99804950000000003</v>
      </c>
      <c r="AB160">
        <v>23</v>
      </c>
      <c r="AC160">
        <v>0.62789999999995405</v>
      </c>
      <c r="AD160">
        <v>-6.8859000000000004E-2</v>
      </c>
      <c r="AE160">
        <v>-4.4200000000046202E-2</v>
      </c>
      <c r="AF160">
        <v>5.3190176968148602E-2</v>
      </c>
      <c r="AG160">
        <v>-6.8859000000000004E-2</v>
      </c>
      <c r="AH160">
        <v>0.61973162356804401</v>
      </c>
      <c r="AI160">
        <v>96.317149556263004</v>
      </c>
      <c r="AJ160">
        <v>85.094453437057794</v>
      </c>
      <c r="AK160">
        <v>0.62580990888382904</v>
      </c>
      <c r="AL160">
        <v>88.133647252271103</v>
      </c>
      <c r="AM160">
        <v>92.066341069183395</v>
      </c>
      <c r="AN160">
        <v>0.99999999286392804</v>
      </c>
    </row>
    <row r="161" spans="1:40" x14ac:dyDescent="0.25">
      <c r="A161" t="str">
        <f>"20190305135536242"</f>
        <v>20190305135536242</v>
      </c>
      <c r="B161" t="str">
        <f>"1551765336232145"</f>
        <v>1551765336232145</v>
      </c>
      <c r="C161" t="s">
        <v>40</v>
      </c>
      <c r="D161">
        <v>4.201111</v>
      </c>
      <c r="E161">
        <v>0.53509240000000002</v>
      </c>
      <c r="F161" t="s">
        <v>41</v>
      </c>
      <c r="G161">
        <v>-444.63760000000002</v>
      </c>
      <c r="H161">
        <v>1.0458780000000001</v>
      </c>
      <c r="I161">
        <v>367.51600000000002</v>
      </c>
      <c r="J161">
        <v>-445.22379999999998</v>
      </c>
      <c r="K161">
        <v>1.1103080000000001</v>
      </c>
      <c r="L161">
        <v>367.55959999999999</v>
      </c>
      <c r="M161">
        <v>0.99977839999999996</v>
      </c>
      <c r="N161">
        <v>-1.4247289999999999E-2</v>
      </c>
      <c r="O161">
        <v>1.5491E-2</v>
      </c>
      <c r="P161">
        <v>0.99857779999999996</v>
      </c>
      <c r="Q161">
        <v>1.7543929999999999E-2</v>
      </c>
      <c r="R161">
        <v>5.0345059999999997E-2</v>
      </c>
      <c r="S161">
        <v>3.0158999999999998</v>
      </c>
      <c r="T161">
        <v>-0.23153170000000001</v>
      </c>
      <c r="U161">
        <v>-0.1403809</v>
      </c>
      <c r="V161">
        <v>-3.4873889999999998E-2</v>
      </c>
      <c r="W161">
        <v>3.1772809999999999E-2</v>
      </c>
      <c r="X161">
        <v>0.99888650000000001</v>
      </c>
      <c r="Y161">
        <v>6.1721600000000001E-2</v>
      </c>
      <c r="Z161">
        <v>-3.7717620000000001E-3</v>
      </c>
      <c r="AA161">
        <v>0.99808629999999998</v>
      </c>
      <c r="AB161">
        <v>23</v>
      </c>
      <c r="AC161">
        <v>0.58619999999996197</v>
      </c>
      <c r="AD161">
        <v>-6.4429999999999904E-2</v>
      </c>
      <c r="AE161">
        <v>-4.3600000000026201E-2</v>
      </c>
      <c r="AF161">
        <v>5.2051169754681E-2</v>
      </c>
      <c r="AG161">
        <v>-6.4429999999999904E-2</v>
      </c>
      <c r="AH161">
        <v>0.57850400477408903</v>
      </c>
      <c r="AI161">
        <v>96.329679409634593</v>
      </c>
      <c r="AJ161">
        <v>84.858629615065993</v>
      </c>
      <c r="AK161">
        <v>0.584403484514329</v>
      </c>
      <c r="AL161">
        <v>88.179245595605707</v>
      </c>
      <c r="AM161">
        <v>91.999541955713397</v>
      </c>
      <c r="AN161">
        <v>0.99999996977063799</v>
      </c>
    </row>
    <row r="162" spans="1:40" x14ac:dyDescent="0.25">
      <c r="A162" t="str">
        <f>"20190305135536266"</f>
        <v>20190305135536266</v>
      </c>
      <c r="B162" t="str">
        <f>"1551765336261425"</f>
        <v>1551765336261425</v>
      </c>
      <c r="C162" t="s">
        <v>40</v>
      </c>
      <c r="D162">
        <v>4.1968769999999997</v>
      </c>
      <c r="E162">
        <v>0.53450129999999996</v>
      </c>
      <c r="F162" t="s">
        <v>41</v>
      </c>
      <c r="G162">
        <v>-444.42450000000002</v>
      </c>
      <c r="H162">
        <v>1.050492</v>
      </c>
      <c r="I162">
        <v>367.52319999999997</v>
      </c>
      <c r="J162">
        <v>-444.9819</v>
      </c>
      <c r="K162">
        <v>1.110325</v>
      </c>
      <c r="L162">
        <v>367.56360000000001</v>
      </c>
      <c r="M162">
        <v>0.9997779</v>
      </c>
      <c r="N162">
        <v>-1.4026159999999999E-2</v>
      </c>
      <c r="O162">
        <v>1.5739360000000001E-2</v>
      </c>
      <c r="P162">
        <v>0.99861509999999998</v>
      </c>
      <c r="Q162">
        <v>1.7030460000000001E-2</v>
      </c>
      <c r="R162">
        <v>4.9780709999999999E-2</v>
      </c>
      <c r="S162">
        <v>3.0151979999999998</v>
      </c>
      <c r="T162">
        <v>-0.22574959999999999</v>
      </c>
      <c r="U162">
        <v>-0.1372681</v>
      </c>
      <c r="V162">
        <v>-3.4065900000000003E-2</v>
      </c>
      <c r="W162">
        <v>3.1033129999999999E-2</v>
      </c>
      <c r="X162">
        <v>0.99893770000000004</v>
      </c>
      <c r="Y162">
        <v>6.096588E-2</v>
      </c>
      <c r="Z162">
        <v>-3.662256E-3</v>
      </c>
      <c r="AA162">
        <v>0.9981331</v>
      </c>
      <c r="AB162">
        <v>23</v>
      </c>
      <c r="AC162">
        <v>0.55739999999997203</v>
      </c>
      <c r="AD162">
        <v>-5.9832999999999997E-2</v>
      </c>
      <c r="AE162">
        <v>-4.0400000000033701E-2</v>
      </c>
      <c r="AF162">
        <v>4.8611772434029102E-2</v>
      </c>
      <c r="AG162">
        <v>-5.9832999999999997E-2</v>
      </c>
      <c r="AH162">
        <v>0.55038630957105295</v>
      </c>
      <c r="AI162">
        <v>96.180439706273006</v>
      </c>
      <c r="AJ162">
        <v>84.952562364010802</v>
      </c>
      <c r="AK162">
        <v>0.55575910435315501</v>
      </c>
      <c r="AL162">
        <v>88.221647167539999</v>
      </c>
      <c r="AM162">
        <v>91.953151024094694</v>
      </c>
      <c r="AN162">
        <v>1.00000003459084</v>
      </c>
    </row>
    <row r="163" spans="1:40" x14ac:dyDescent="0.25">
      <c r="A163" t="str">
        <f>"20190305135536287"</f>
        <v>20190305135536287</v>
      </c>
      <c r="B163" t="str">
        <f>"1551765336281454"</f>
        <v>1551765336281454</v>
      </c>
      <c r="C163" t="s">
        <v>40</v>
      </c>
      <c r="D163">
        <v>4.1655280000000001</v>
      </c>
      <c r="E163">
        <v>0.53425400000000001</v>
      </c>
      <c r="F163" t="s">
        <v>43</v>
      </c>
      <c r="G163">
        <v>-428.9701</v>
      </c>
      <c r="H163">
        <v>-0.05</v>
      </c>
      <c r="I163">
        <v>366.84949999999998</v>
      </c>
      <c r="J163">
        <v>-444.76319999999998</v>
      </c>
      <c r="K163">
        <v>1.1103510000000001</v>
      </c>
      <c r="L163">
        <v>367.56729999999999</v>
      </c>
      <c r="M163">
        <v>0.9997762</v>
      </c>
      <c r="N163">
        <v>-1.378596E-2</v>
      </c>
      <c r="O163">
        <v>1.6055460000000001E-2</v>
      </c>
      <c r="P163">
        <v>0.99863009999999997</v>
      </c>
      <c r="Q163">
        <v>1.6740660000000001E-2</v>
      </c>
      <c r="R163">
        <v>4.9577320000000001E-2</v>
      </c>
      <c r="S163">
        <v>3.0145870000000001</v>
      </c>
      <c r="T163">
        <v>-0.21845790000000001</v>
      </c>
      <c r="U163">
        <v>-0.13442989999999999</v>
      </c>
      <c r="V163">
        <v>-3.3551530000000003E-2</v>
      </c>
      <c r="W163">
        <v>3.049789E-2</v>
      </c>
      <c r="X163">
        <v>0.99897159999999996</v>
      </c>
      <c r="Y163">
        <v>6.0368400000000003E-2</v>
      </c>
      <c r="Z163">
        <v>-3.540868E-3</v>
      </c>
      <c r="AA163">
        <v>0.99816990000000005</v>
      </c>
      <c r="AB163">
        <v>23</v>
      </c>
      <c r="AC163">
        <v>15.7930999999999</v>
      </c>
      <c r="AD163">
        <v>-1.1603509999999999</v>
      </c>
      <c r="AE163">
        <v>-0.71780000000001098</v>
      </c>
      <c r="AF163">
        <v>0.96609265776490005</v>
      </c>
      <c r="AG163">
        <v>-1.1603509999999999</v>
      </c>
      <c r="AH163">
        <v>15.6949891602093</v>
      </c>
      <c r="AI163">
        <v>94.220300484564802</v>
      </c>
      <c r="AJ163">
        <v>86.477647711201598</v>
      </c>
      <c r="AK163">
        <v>15.767448563596901</v>
      </c>
      <c r="AL163">
        <v>88.252328696602802</v>
      </c>
      <c r="AM163">
        <v>91.923616978532095</v>
      </c>
      <c r="AN163">
        <v>1.0000000420331701</v>
      </c>
    </row>
    <row r="164" spans="1:40" x14ac:dyDescent="0.25">
      <c r="A164" t="str">
        <f>"20190305135536307"</f>
        <v>20190305135536307</v>
      </c>
      <c r="B164" t="str">
        <f>"1551765336301949"</f>
        <v>1551765336301949</v>
      </c>
      <c r="C164" t="s">
        <v>40</v>
      </c>
      <c r="D164">
        <v>4.1882820000000001</v>
      </c>
      <c r="E164">
        <v>0.5341226</v>
      </c>
      <c r="F164" t="s">
        <v>43</v>
      </c>
      <c r="G164">
        <v>-428.48239999999998</v>
      </c>
      <c r="H164">
        <v>-0.05</v>
      </c>
      <c r="I164">
        <v>366.84800000000001</v>
      </c>
      <c r="J164">
        <v>-444.5471</v>
      </c>
      <c r="K164">
        <v>1.110384</v>
      </c>
      <c r="L164">
        <v>367.57119999999998</v>
      </c>
      <c r="M164">
        <v>0.99977300000000002</v>
      </c>
      <c r="N164">
        <v>-1.3540409999999999E-2</v>
      </c>
      <c r="O164">
        <v>1.6454839999999998E-2</v>
      </c>
      <c r="P164">
        <v>0.99863429999999997</v>
      </c>
      <c r="Q164">
        <v>1.7112180000000001E-2</v>
      </c>
      <c r="R164">
        <v>4.9364739999999997E-2</v>
      </c>
      <c r="S164">
        <v>3.0143740000000001</v>
      </c>
      <c r="T164">
        <v>-0.21483769999999999</v>
      </c>
      <c r="U164">
        <v>-0.13317870000000001</v>
      </c>
      <c r="V164">
        <v>-3.2945490000000001E-2</v>
      </c>
      <c r="W164">
        <v>3.0618949999999999E-2</v>
      </c>
      <c r="X164">
        <v>0.99898799999999999</v>
      </c>
      <c r="Y164">
        <v>6.0363159999999999E-2</v>
      </c>
      <c r="Z164">
        <v>-3.505111E-3</v>
      </c>
      <c r="AA164">
        <v>0.99817029999999995</v>
      </c>
      <c r="AB164">
        <v>23</v>
      </c>
      <c r="AC164">
        <v>16.064699999999998</v>
      </c>
      <c r="AD164">
        <v>-1.1603840000000001</v>
      </c>
      <c r="AE164">
        <v>-0.72319999999996298</v>
      </c>
      <c r="AF164">
        <v>0.98235333901495503</v>
      </c>
      <c r="AG164">
        <v>-1.1603840000000001</v>
      </c>
      <c r="AH164">
        <v>15.967482338589599</v>
      </c>
      <c r="AI164">
        <v>94.148658247603194</v>
      </c>
      <c r="AJ164">
        <v>86.479479484037</v>
      </c>
      <c r="AK164">
        <v>16.0397007872124</v>
      </c>
      <c r="AL164">
        <v>88.245389110924194</v>
      </c>
      <c r="AM164">
        <v>91.888865173777702</v>
      </c>
      <c r="AN164">
        <v>0.99999997477722102</v>
      </c>
    </row>
    <row r="165" spans="1:40" x14ac:dyDescent="0.25">
      <c r="A165" t="str">
        <f>"20190305135536330"</f>
        <v>20190305135536330</v>
      </c>
      <c r="B165" t="str">
        <f>"1551765336321470"</f>
        <v>1551765336321470</v>
      </c>
      <c r="C165" t="s">
        <v>40</v>
      </c>
      <c r="D165">
        <v>4.4195599999999997</v>
      </c>
      <c r="E165">
        <v>0.53411600000000004</v>
      </c>
      <c r="F165" t="s">
        <v>43</v>
      </c>
      <c r="G165">
        <v>-427.93349999999998</v>
      </c>
      <c r="H165">
        <v>-0.05</v>
      </c>
      <c r="I165">
        <v>366.84070000000003</v>
      </c>
      <c r="J165">
        <v>-444.31020000000001</v>
      </c>
      <c r="K165">
        <v>1.11042</v>
      </c>
      <c r="L165">
        <v>367.57569999999998</v>
      </c>
      <c r="M165">
        <v>0.99976759999999998</v>
      </c>
      <c r="N165">
        <v>-1.328286E-2</v>
      </c>
      <c r="O165">
        <v>1.6989850000000001E-2</v>
      </c>
      <c r="P165">
        <v>0.99861069999999996</v>
      </c>
      <c r="Q165">
        <v>1.8249680000000001E-2</v>
      </c>
      <c r="R165">
        <v>4.9436880000000002E-2</v>
      </c>
      <c r="S165">
        <v>3.0142519999999999</v>
      </c>
      <c r="T165">
        <v>-0.21053250000000001</v>
      </c>
      <c r="U165">
        <v>-0.13253779999999901</v>
      </c>
      <c r="V165">
        <v>-3.2489690000000002E-2</v>
      </c>
      <c r="W165">
        <v>3.1493529999999999E-2</v>
      </c>
      <c r="X165">
        <v>0.99897579999999997</v>
      </c>
      <c r="Y165">
        <v>6.069368E-2</v>
      </c>
      <c r="Z165">
        <v>-3.4792690000000001E-3</v>
      </c>
      <c r="AA165">
        <v>0.99815030000000005</v>
      </c>
      <c r="AB165">
        <v>23</v>
      </c>
      <c r="AC165">
        <v>16.3767</v>
      </c>
      <c r="AD165">
        <v>-1.16042</v>
      </c>
      <c r="AE165">
        <v>-0.73499999999995602</v>
      </c>
      <c r="AF165">
        <v>1.00810469830544</v>
      </c>
      <c r="AG165">
        <v>-1.16042</v>
      </c>
      <c r="AH165">
        <v>16.280270616601999</v>
      </c>
      <c r="AI165">
        <v>94.069247741804105</v>
      </c>
      <c r="AJ165">
        <v>86.456662688184295</v>
      </c>
      <c r="AK165">
        <v>16.352677487461801</v>
      </c>
      <c r="AL165">
        <v>88.195255292502395</v>
      </c>
      <c r="AM165">
        <v>91.862774045194399</v>
      </c>
      <c r="AN165">
        <v>1.0000000356868901</v>
      </c>
    </row>
    <row r="166" spans="1:40" x14ac:dyDescent="0.25">
      <c r="A166" t="str">
        <f>"20190305135536353"</f>
        <v>20190305135536353</v>
      </c>
      <c r="B166" t="str">
        <f>"1551765336341969"</f>
        <v>1551765336341969</v>
      </c>
      <c r="C166" t="s">
        <v>40</v>
      </c>
      <c r="D166">
        <v>4.1070849999999997</v>
      </c>
      <c r="E166">
        <v>0.53419850000000002</v>
      </c>
      <c r="F166" t="s">
        <v>41</v>
      </c>
      <c r="G166">
        <v>-443.38209999999998</v>
      </c>
      <c r="H166">
        <v>1.0481480000000001</v>
      </c>
      <c r="I166">
        <v>367.53429999999997</v>
      </c>
      <c r="J166">
        <v>-444.07010000000002</v>
      </c>
      <c r="K166">
        <v>1.1104510000000001</v>
      </c>
      <c r="L166">
        <v>367.58049999999997</v>
      </c>
      <c r="M166">
        <v>0.99975970000000003</v>
      </c>
      <c r="N166">
        <v>-1.3054629999999999E-2</v>
      </c>
      <c r="O166">
        <v>1.762087E-2</v>
      </c>
      <c r="P166">
        <v>0.99859319999999896</v>
      </c>
      <c r="Q166">
        <v>1.845714E-2</v>
      </c>
      <c r="R166">
        <v>4.9711770000000002E-2</v>
      </c>
      <c r="S166">
        <v>3.0144039999999999</v>
      </c>
      <c r="T166">
        <v>-0.20268620000000001</v>
      </c>
      <c r="U166">
        <v>-0.13235469999999999</v>
      </c>
      <c r="V166">
        <v>-3.2137689999999997E-2</v>
      </c>
      <c r="W166">
        <v>3.1469219999999999E-2</v>
      </c>
      <c r="X166">
        <v>0.99898790000000004</v>
      </c>
      <c r="Y166">
        <v>6.127295E-2</v>
      </c>
      <c r="Z166">
        <v>-3.4106240000000001E-3</v>
      </c>
      <c r="AA166">
        <v>0.99811519999999998</v>
      </c>
      <c r="AB166">
        <v>23</v>
      </c>
      <c r="AC166">
        <v>0.68800000000004502</v>
      </c>
      <c r="AD166">
        <v>-6.2303000000000198E-2</v>
      </c>
      <c r="AE166">
        <v>-4.6199999999998902E-2</v>
      </c>
      <c r="AF166">
        <v>5.78447876830862E-2</v>
      </c>
      <c r="AG166">
        <v>-6.2303000000000198E-2</v>
      </c>
      <c r="AH166">
        <v>0.68151532250965297</v>
      </c>
      <c r="AI166">
        <v>95.204755577537298</v>
      </c>
      <c r="AJ166">
        <v>85.148549703523202</v>
      </c>
      <c r="AK166">
        <v>0.68679750879464996</v>
      </c>
      <c r="AL166">
        <v>88.196648749685295</v>
      </c>
      <c r="AM166">
        <v>91.842584052704098</v>
      </c>
      <c r="AN166">
        <v>0.99999998363617704</v>
      </c>
    </row>
    <row r="167" spans="1:40" x14ac:dyDescent="0.25">
      <c r="A167" t="str">
        <f>"20190305135536375"</f>
        <v>20190305135536375</v>
      </c>
      <c r="B167" t="str">
        <f>"1551765336361485"</f>
        <v>1551765336361485</v>
      </c>
      <c r="C167" t="s">
        <v>40</v>
      </c>
      <c r="D167">
        <v>4.0945780000000003</v>
      </c>
      <c r="E167">
        <v>0.53429349999999998</v>
      </c>
      <c r="F167" t="s">
        <v>41</v>
      </c>
      <c r="G167">
        <v>-443.1696</v>
      </c>
      <c r="H167">
        <v>1.051744</v>
      </c>
      <c r="I167">
        <v>367.54059999999998</v>
      </c>
      <c r="J167">
        <v>-443.84280000000001</v>
      </c>
      <c r="K167">
        <v>1.110466</v>
      </c>
      <c r="L167">
        <v>367.58519999999999</v>
      </c>
      <c r="M167">
        <v>0.99975029999999998</v>
      </c>
      <c r="N167">
        <v>-1.2874149999999999E-2</v>
      </c>
      <c r="O167">
        <v>1.8270950000000001E-2</v>
      </c>
      <c r="P167">
        <v>0.9985735</v>
      </c>
      <c r="Q167">
        <v>1.7573579999999998E-2</v>
      </c>
      <c r="R167">
        <v>5.0423790000000003E-2</v>
      </c>
      <c r="S167">
        <v>3.014465</v>
      </c>
      <c r="T167">
        <v>-0.19692090000000001</v>
      </c>
      <c r="U167">
        <v>-0.1323242</v>
      </c>
      <c r="V167">
        <v>-3.2201630000000002E-2</v>
      </c>
      <c r="W167">
        <v>3.040257E-2</v>
      </c>
      <c r="X167">
        <v>0.99901890000000004</v>
      </c>
      <c r="Y167">
        <v>6.1918889999999997E-2</v>
      </c>
      <c r="Z167">
        <v>-3.3754829999999999E-3</v>
      </c>
      <c r="AA167">
        <v>0.9980755</v>
      </c>
      <c r="AB167">
        <v>23</v>
      </c>
      <c r="AC167">
        <v>0.67320000000000801</v>
      </c>
      <c r="AD167">
        <v>-5.8721999999999899E-2</v>
      </c>
      <c r="AE167">
        <v>-4.4600000000002603E-2</v>
      </c>
      <c r="AF167">
        <v>5.6465818395596203E-2</v>
      </c>
      <c r="AG167">
        <v>-5.8721999999999899E-2</v>
      </c>
      <c r="AH167">
        <v>0.66721814113545796</v>
      </c>
      <c r="AI167">
        <v>95.011829673520893</v>
      </c>
      <c r="AJ167">
        <v>85.162657827370793</v>
      </c>
      <c r="AK167">
        <v>0.67217312486541703</v>
      </c>
      <c r="AL167">
        <v>88.257792611286703</v>
      </c>
      <c r="AM167">
        <v>91.846190207294597</v>
      </c>
      <c r="AN167">
        <v>1.0000000118972301</v>
      </c>
    </row>
    <row r="168" spans="1:40" x14ac:dyDescent="0.25">
      <c r="A168" t="str">
        <f>"20190305135536396"</f>
        <v>20190305135536396</v>
      </c>
      <c r="B168" t="str">
        <f>"1551765336381981"</f>
        <v>1551765336381981</v>
      </c>
      <c r="C168" t="s">
        <v>40</v>
      </c>
      <c r="D168">
        <v>4.0639649999999996</v>
      </c>
      <c r="E168">
        <v>0.53431980000000001</v>
      </c>
      <c r="F168" t="s">
        <v>41</v>
      </c>
      <c r="G168">
        <v>-442.959</v>
      </c>
      <c r="H168">
        <v>1.0531699999999999</v>
      </c>
      <c r="I168">
        <v>367.54640000000001</v>
      </c>
      <c r="J168">
        <v>-443.61680000000001</v>
      </c>
      <c r="K168">
        <v>1.110466</v>
      </c>
      <c r="L168">
        <v>367.59010000000001</v>
      </c>
      <c r="M168">
        <v>0.99973939999999994</v>
      </c>
      <c r="N168">
        <v>-1.273898E-2</v>
      </c>
      <c r="O168">
        <v>1.8945819999999999E-2</v>
      </c>
      <c r="P168">
        <v>0.99850090000000002</v>
      </c>
      <c r="Q168">
        <v>1.7364640000000001E-2</v>
      </c>
      <c r="R168">
        <v>5.1907130000000003E-2</v>
      </c>
      <c r="S168">
        <v>3.0143430000000002</v>
      </c>
      <c r="T168">
        <v>-0.195766</v>
      </c>
      <c r="U168">
        <v>-0.13116459999999999</v>
      </c>
      <c r="V168">
        <v>-3.3012270000000003E-2</v>
      </c>
      <c r="W168">
        <v>3.005654E-2</v>
      </c>
      <c r="X168">
        <v>0.99900290000000003</v>
      </c>
      <c r="Y168">
        <v>6.2211629999999997E-2</v>
      </c>
      <c r="Z168">
        <v>-3.4016440000000001E-3</v>
      </c>
      <c r="AA168">
        <v>0.99805719999999998</v>
      </c>
      <c r="AB168">
        <v>23</v>
      </c>
      <c r="AC168">
        <v>0.65780000000000804</v>
      </c>
      <c r="AD168">
        <v>-5.7295999999999701E-2</v>
      </c>
      <c r="AE168">
        <v>-4.3700000000001099E-2</v>
      </c>
      <c r="AF168">
        <v>5.5734733815657397E-2</v>
      </c>
      <c r="AG168">
        <v>-5.7295999999999701E-2</v>
      </c>
      <c r="AH168">
        <v>0.65192956263685498</v>
      </c>
      <c r="AI168">
        <v>95.004475172615997</v>
      </c>
      <c r="AJ168">
        <v>85.113553403798406</v>
      </c>
      <c r="AK168">
        <v>0.65681150021096801</v>
      </c>
      <c r="AL168">
        <v>88.277627714041202</v>
      </c>
      <c r="AM168">
        <v>91.892662883739206</v>
      </c>
      <c r="AN168">
        <v>0.99999999988786703</v>
      </c>
    </row>
    <row r="169" spans="1:40" x14ac:dyDescent="0.25">
      <c r="A169" t="str">
        <f>"20190305135536421"</f>
        <v>20190305135536421</v>
      </c>
      <c r="B169" t="str">
        <f>"1551765336411261"</f>
        <v>1551765336411261</v>
      </c>
      <c r="C169" t="s">
        <v>40</v>
      </c>
      <c r="D169">
        <v>4.1990059999999998</v>
      </c>
      <c r="E169">
        <v>0.53434720000000002</v>
      </c>
      <c r="F169" t="s">
        <v>41</v>
      </c>
      <c r="G169">
        <v>-442.74290000000002</v>
      </c>
      <c r="H169">
        <v>1.054289</v>
      </c>
      <c r="I169">
        <v>367.55279999999999</v>
      </c>
      <c r="J169">
        <v>-443.3646</v>
      </c>
      <c r="K169">
        <v>1.110476</v>
      </c>
      <c r="L169">
        <v>367.59589999999997</v>
      </c>
      <c r="M169">
        <v>0.99972589999999995</v>
      </c>
      <c r="N169">
        <v>-1.26531E-2</v>
      </c>
      <c r="O169">
        <v>1.9701079999999999E-2</v>
      </c>
      <c r="P169">
        <v>0.99841049999999998</v>
      </c>
      <c r="Q169">
        <v>1.7321369999999999E-2</v>
      </c>
      <c r="R169">
        <v>5.3633930000000003E-2</v>
      </c>
      <c r="S169">
        <v>3.014526</v>
      </c>
      <c r="T169">
        <v>-0.19402330000000001</v>
      </c>
      <c r="U169">
        <v>-0.1275635</v>
      </c>
      <c r="V169">
        <v>-3.3985590000000003E-2</v>
      </c>
      <c r="W169">
        <v>2.9926419999999999E-2</v>
      </c>
      <c r="X169">
        <v>0.99897409999999998</v>
      </c>
      <c r="Y169">
        <v>6.1776200000000003E-2</v>
      </c>
      <c r="Z169">
        <v>-3.3938599999999998E-3</v>
      </c>
      <c r="AA169">
        <v>0.99808419999999998</v>
      </c>
      <c r="AB169">
        <v>23</v>
      </c>
      <c r="AC169">
        <v>0.62169999999997505</v>
      </c>
      <c r="AD169">
        <v>-5.6186999999999897E-2</v>
      </c>
      <c r="AE169">
        <v>-4.3099999999981202E-2</v>
      </c>
      <c r="AF169">
        <v>5.4894546872697202E-2</v>
      </c>
      <c r="AG169">
        <v>-5.6186999999999897E-2</v>
      </c>
      <c r="AH169">
        <v>0.61572501356673903</v>
      </c>
      <c r="AI169">
        <v>95.193507855650793</v>
      </c>
      <c r="AJ169">
        <v>84.905303448856301</v>
      </c>
      <c r="AK169">
        <v>0.62071546023691104</v>
      </c>
      <c r="AL169">
        <v>88.285086279172404</v>
      </c>
      <c r="AM169">
        <v>91.948479099547598</v>
      </c>
      <c r="AN169">
        <v>0.99999993170623402</v>
      </c>
    </row>
    <row r="170" spans="1:40" x14ac:dyDescent="0.25">
      <c r="A170" t="str">
        <f>"20190305135536443"</f>
        <v>20190305135536443</v>
      </c>
      <c r="B170" t="str">
        <f>"1551765336431758"</f>
        <v>1551765336431758</v>
      </c>
      <c r="C170" t="s">
        <v>40</v>
      </c>
      <c r="D170">
        <v>4.0792190000000002</v>
      </c>
      <c r="E170">
        <v>0.56888349999999999</v>
      </c>
      <c r="F170" t="s">
        <v>43</v>
      </c>
      <c r="G170">
        <v>-425.07490000000001</v>
      </c>
      <c r="H170">
        <v>-0.05</v>
      </c>
      <c r="I170">
        <v>366.85410000000002</v>
      </c>
      <c r="J170">
        <v>-443.13010000000003</v>
      </c>
      <c r="K170">
        <v>1.1104810000000001</v>
      </c>
      <c r="L170">
        <v>367.60129999999998</v>
      </c>
      <c r="M170">
        <v>0.9997125</v>
      </c>
      <c r="N170">
        <v>-1.2631659999999999E-2</v>
      </c>
      <c r="O170">
        <v>2.0386930000000001E-2</v>
      </c>
      <c r="P170">
        <v>0.99832120000000002</v>
      </c>
      <c r="Q170">
        <v>1.7793920000000001E-2</v>
      </c>
      <c r="R170">
        <v>5.5121219999999999E-2</v>
      </c>
      <c r="S170">
        <v>3.0146480000000002</v>
      </c>
      <c r="T170">
        <v>-0.19127820000000001</v>
      </c>
      <c r="U170">
        <v>-0.122253399999999</v>
      </c>
      <c r="V170">
        <v>-3.4788230000000003E-2</v>
      </c>
      <c r="W170">
        <v>3.037683E-2</v>
      </c>
      <c r="X170">
        <v>0.99893299999999996</v>
      </c>
      <c r="Y170">
        <v>6.0710689999999998E-2</v>
      </c>
      <c r="Z170">
        <v>-3.3419589999999998E-3</v>
      </c>
      <c r="AA170">
        <v>0.99814979999999998</v>
      </c>
      <c r="AB170">
        <v>23</v>
      </c>
      <c r="AC170">
        <v>18.055199999999999</v>
      </c>
      <c r="AD170">
        <v>-1.1604809999999901</v>
      </c>
      <c r="AE170">
        <v>-0.747199999999963</v>
      </c>
      <c r="AF170">
        <v>1.11058394962208</v>
      </c>
      <c r="AG170">
        <v>-1.1604809999999901</v>
      </c>
      <c r="AH170">
        <v>17.962135080771901</v>
      </c>
      <c r="AI170">
        <v>93.689549104165195</v>
      </c>
      <c r="AJ170">
        <v>86.461953244104294</v>
      </c>
      <c r="AK170">
        <v>18.0338129501339</v>
      </c>
      <c r="AL170">
        <v>88.259268162246599</v>
      </c>
      <c r="AM170">
        <v>91.994541720588302</v>
      </c>
      <c r="AN170">
        <v>1.0000000556181801</v>
      </c>
    </row>
    <row r="171" spans="1:40" x14ac:dyDescent="0.25">
      <c r="A171" t="str">
        <f>"20190305135536465"</f>
        <v>20190305135536465</v>
      </c>
      <c r="B171" t="str">
        <f>"1551765336462014"</f>
        <v>1551765336462014</v>
      </c>
      <c r="C171" t="s">
        <v>40</v>
      </c>
      <c r="D171">
        <v>4.0519769999999999</v>
      </c>
      <c r="E171">
        <v>0.60904820000000004</v>
      </c>
      <c r="F171" t="s">
        <v>43</v>
      </c>
      <c r="G171">
        <v>-418.13650000000001</v>
      </c>
      <c r="H171">
        <v>-0.05</v>
      </c>
      <c r="I171">
        <v>364.37369999999999</v>
      </c>
      <c r="J171">
        <v>-442.89359999999999</v>
      </c>
      <c r="K171">
        <v>1.1104810000000001</v>
      </c>
      <c r="L171">
        <v>367.6069</v>
      </c>
      <c r="M171">
        <v>0.99969839999999999</v>
      </c>
      <c r="N171">
        <v>-1.26511E-2</v>
      </c>
      <c r="O171">
        <v>2.1051819999999999E-2</v>
      </c>
      <c r="P171">
        <v>0.99823059999999997</v>
      </c>
      <c r="Q171">
        <v>1.8089870000000001E-2</v>
      </c>
      <c r="R171">
        <v>5.6645210000000001E-2</v>
      </c>
      <c r="S171">
        <v>3.029175</v>
      </c>
      <c r="T171">
        <v>-0.14064839999999901</v>
      </c>
      <c r="U171">
        <v>-0.39117429999999997</v>
      </c>
      <c r="V171">
        <v>-3.5647650000000003E-2</v>
      </c>
      <c r="W171">
        <v>3.06933E-2</v>
      </c>
      <c r="X171">
        <v>0.99889300000000003</v>
      </c>
      <c r="Y171">
        <v>0.1487108</v>
      </c>
      <c r="Z171">
        <v>-5.0896719999999999E-3</v>
      </c>
      <c r="AA171">
        <v>0.98886759999999996</v>
      </c>
      <c r="AB171">
        <v>23</v>
      </c>
      <c r="AC171">
        <v>24.757099999999902</v>
      </c>
      <c r="AD171">
        <v>-1.1604809999999901</v>
      </c>
      <c r="AE171">
        <v>-3.2332000000000098</v>
      </c>
      <c r="AF171">
        <v>3.7456150731276301</v>
      </c>
      <c r="AG171">
        <v>-1.1604809999999901</v>
      </c>
      <c r="AH171">
        <v>24.6303313271905</v>
      </c>
      <c r="AI171">
        <v>92.666932271251397</v>
      </c>
      <c r="AJ171">
        <v>81.353094097720202</v>
      </c>
      <c r="AK171">
        <v>24.9405206384025</v>
      </c>
      <c r="AL171">
        <v>88.241127262792006</v>
      </c>
      <c r="AM171">
        <v>92.043856031173107</v>
      </c>
      <c r="AN171">
        <v>1.0000000295322</v>
      </c>
    </row>
    <row r="172" spans="1:40" x14ac:dyDescent="0.25">
      <c r="A172" t="str">
        <f>"20190305135536487"</f>
        <v>20190305135536487</v>
      </c>
      <c r="B172" t="str">
        <f>"1551765336481533"</f>
        <v>1551765336481533</v>
      </c>
      <c r="C172" t="s">
        <v>40</v>
      </c>
      <c r="D172">
        <v>4.0576919999999896</v>
      </c>
      <c r="E172">
        <v>0.60779669999999997</v>
      </c>
      <c r="F172" t="s">
        <v>43</v>
      </c>
      <c r="G172">
        <v>-427.44540000000001</v>
      </c>
      <c r="H172">
        <v>-0.05</v>
      </c>
      <c r="I172">
        <v>364.01060000000001</v>
      </c>
      <c r="J172">
        <v>-442.67439999999999</v>
      </c>
      <c r="K172">
        <v>1.110473</v>
      </c>
      <c r="L172">
        <v>367.61219999999997</v>
      </c>
      <c r="M172">
        <v>0.99968559999999995</v>
      </c>
      <c r="N172">
        <v>-1.2683969999999999E-2</v>
      </c>
      <c r="O172">
        <v>2.1627449999999999E-2</v>
      </c>
      <c r="P172">
        <v>0.99816570000000004</v>
      </c>
      <c r="Q172">
        <v>1.8246720000000001E-2</v>
      </c>
      <c r="R172">
        <v>5.7728450000000001E-2</v>
      </c>
      <c r="S172">
        <v>3.049744</v>
      </c>
      <c r="T172">
        <v>-0.22910059999999999</v>
      </c>
      <c r="U172">
        <v>-0.7099915</v>
      </c>
      <c r="V172">
        <v>-3.6153739999999997E-2</v>
      </c>
      <c r="W172">
        <v>3.0885860000000001E-2</v>
      </c>
      <c r="X172">
        <v>0.9988688</v>
      </c>
      <c r="Y172">
        <v>0.24693580000000001</v>
      </c>
      <c r="Z172">
        <v>-1.2061290000000001E-2</v>
      </c>
      <c r="AA172">
        <v>0.96895679999999995</v>
      </c>
      <c r="AB172">
        <v>23</v>
      </c>
      <c r="AC172">
        <v>15.2289999999999</v>
      </c>
      <c r="AD172">
        <v>-1.1604729999999901</v>
      </c>
      <c r="AE172">
        <v>-3.6015999999999599</v>
      </c>
      <c r="AF172">
        <v>3.9086542935904598</v>
      </c>
      <c r="AG172">
        <v>-1.1604729999999901</v>
      </c>
      <c r="AH172">
        <v>15.0646953209954</v>
      </c>
      <c r="AI172">
        <v>94.2642965310515</v>
      </c>
      <c r="AJ172">
        <v>75.454880683390996</v>
      </c>
      <c r="AK172">
        <v>15.6067075670992</v>
      </c>
      <c r="AL172">
        <v>88.230089021552701</v>
      </c>
      <c r="AM172">
        <v>92.072897713716898</v>
      </c>
      <c r="AN172">
        <v>0.99999995443868195</v>
      </c>
    </row>
    <row r="173" spans="1:40" x14ac:dyDescent="0.25">
      <c r="A173" t="str">
        <f>"20190305135536507"</f>
        <v>20190305135536507</v>
      </c>
      <c r="B173" t="str">
        <f>"1551765336502029"</f>
        <v>1551765336502029</v>
      </c>
      <c r="C173" t="s">
        <v>40</v>
      </c>
      <c r="D173">
        <v>4.0432980000000001</v>
      </c>
      <c r="E173">
        <v>0.60679090000000002</v>
      </c>
      <c r="F173" t="s">
        <v>43</v>
      </c>
      <c r="G173">
        <v>-427.47550000000001</v>
      </c>
      <c r="H173">
        <v>-0.05</v>
      </c>
      <c r="I173">
        <v>364.13929999999999</v>
      </c>
      <c r="J173">
        <v>-442.45460000000003</v>
      </c>
      <c r="K173">
        <v>1.1104430000000001</v>
      </c>
      <c r="L173">
        <v>367.61759999999998</v>
      </c>
      <c r="M173">
        <v>0.99967399999999995</v>
      </c>
      <c r="N173">
        <v>-1.271599E-2</v>
      </c>
      <c r="O173">
        <v>2.2147969999999999E-2</v>
      </c>
      <c r="P173">
        <v>0.99807849999999998</v>
      </c>
      <c r="Q173">
        <v>1.8723989999999999E-2</v>
      </c>
      <c r="R173">
        <v>5.9069869999999997E-2</v>
      </c>
      <c r="S173">
        <v>3.0500790000000002</v>
      </c>
      <c r="T173">
        <v>-0.23288110000000001</v>
      </c>
      <c r="U173">
        <v>-0.69692989999999999</v>
      </c>
      <c r="V173">
        <v>-3.6974279999999998E-2</v>
      </c>
      <c r="W173">
        <v>3.1397260000000003E-2</v>
      </c>
      <c r="X173">
        <v>0.99882289999999996</v>
      </c>
      <c r="Y173">
        <v>0.24345910000000001</v>
      </c>
      <c r="Z173">
        <v>-1.2124009999999999E-2</v>
      </c>
      <c r="AA173">
        <v>0.96983540000000001</v>
      </c>
      <c r="AB173">
        <v>23</v>
      </c>
      <c r="AC173">
        <v>14.979100000000001</v>
      </c>
      <c r="AD173">
        <v>-1.1604429999999999</v>
      </c>
      <c r="AE173">
        <v>-3.4782999999999902</v>
      </c>
      <c r="AF173">
        <v>3.7876606310364598</v>
      </c>
      <c r="AG173">
        <v>-1.1604429999999999</v>
      </c>
      <c r="AH173">
        <v>14.8140207592752</v>
      </c>
      <c r="AI173">
        <v>94.3400126165279</v>
      </c>
      <c r="AJ173">
        <v>75.657828901382601</v>
      </c>
      <c r="AK173">
        <v>15.3345430994337</v>
      </c>
      <c r="AL173">
        <v>88.200773885661107</v>
      </c>
      <c r="AM173">
        <v>92.119998778176296</v>
      </c>
      <c r="AN173">
        <v>1.0000000354407099</v>
      </c>
    </row>
    <row r="174" spans="1:40" x14ac:dyDescent="0.25">
      <c r="A174" t="str">
        <f>"20190305135536531"</f>
        <v>20190305135536531</v>
      </c>
      <c r="B174" t="str">
        <f>"1551765336521548"</f>
        <v>1551765336521548</v>
      </c>
      <c r="C174" t="s">
        <v>40</v>
      </c>
      <c r="D174">
        <v>4.0152099999999997</v>
      </c>
      <c r="E174">
        <v>0.60658239999999997</v>
      </c>
      <c r="F174" t="s">
        <v>43</v>
      </c>
      <c r="G174">
        <v>-427.34390000000002</v>
      </c>
      <c r="H174">
        <v>-0.05</v>
      </c>
      <c r="I174">
        <v>364.22399999999999</v>
      </c>
      <c r="J174">
        <v>-442.2122</v>
      </c>
      <c r="K174">
        <v>1.110403</v>
      </c>
      <c r="L174">
        <v>367.62360000000001</v>
      </c>
      <c r="M174">
        <v>0.99966259999999996</v>
      </c>
      <c r="N174">
        <v>-1.2747039999999999E-2</v>
      </c>
      <c r="O174">
        <v>2.2634250000000002E-2</v>
      </c>
      <c r="P174">
        <v>0.99804289999999996</v>
      </c>
      <c r="Q174">
        <v>1.9110080000000002E-2</v>
      </c>
      <c r="R174">
        <v>5.9542480000000002E-2</v>
      </c>
      <c r="S174">
        <v>3.050751</v>
      </c>
      <c r="T174">
        <v>-0.23428599999999999</v>
      </c>
      <c r="U174">
        <v>-0.68515009999999998</v>
      </c>
      <c r="V174">
        <v>-3.6957120000000003E-2</v>
      </c>
      <c r="W174">
        <v>3.1819050000000001E-2</v>
      </c>
      <c r="X174">
        <v>0.99881019999999998</v>
      </c>
      <c r="Y174">
        <v>0.24032049999999999</v>
      </c>
      <c r="Z174">
        <v>-1.2085419999999999E-2</v>
      </c>
      <c r="AA174">
        <v>0.97061839999999999</v>
      </c>
      <c r="AB174">
        <v>23</v>
      </c>
      <c r="AC174">
        <v>14.8682999999999</v>
      </c>
      <c r="AD174">
        <v>-1.1604030000000001</v>
      </c>
      <c r="AE174">
        <v>-3.3996000000000199</v>
      </c>
      <c r="AF174">
        <v>3.7137918919501001</v>
      </c>
      <c r="AG174">
        <v>-1.1604030000000001</v>
      </c>
      <c r="AH174">
        <v>14.7024320625494</v>
      </c>
      <c r="AI174">
        <v>94.375882642061001</v>
      </c>
      <c r="AJ174">
        <v>75.823791885082699</v>
      </c>
      <c r="AK174">
        <v>15.2085598888587</v>
      </c>
      <c r="AL174">
        <v>88.176595041391806</v>
      </c>
      <c r="AM174">
        <v>92.119042689323194</v>
      </c>
      <c r="AN174">
        <v>1.00000004814281</v>
      </c>
    </row>
    <row r="175" spans="1:40" x14ac:dyDescent="0.25">
      <c r="A175" t="str">
        <f>"20190305135536554"</f>
        <v>20190305135536554</v>
      </c>
      <c r="B175" t="str">
        <f>"1551765336551805"</f>
        <v>1551765336551805</v>
      </c>
      <c r="C175" t="s">
        <v>40</v>
      </c>
      <c r="D175">
        <v>3.987349</v>
      </c>
      <c r="E175">
        <v>0.60683030000000004</v>
      </c>
      <c r="F175" t="s">
        <v>43</v>
      </c>
      <c r="G175">
        <v>-426.8707</v>
      </c>
      <c r="H175">
        <v>-0.05</v>
      </c>
      <c r="I175">
        <v>364.19310000000002</v>
      </c>
      <c r="J175">
        <v>-441.97390000000001</v>
      </c>
      <c r="K175">
        <v>1.110349</v>
      </c>
      <c r="L175">
        <v>367.62950000000001</v>
      </c>
      <c r="M175">
        <v>0.99965349999999997</v>
      </c>
      <c r="N175">
        <v>-1.2775419999999999E-2</v>
      </c>
      <c r="O175">
        <v>2.3017960000000001E-2</v>
      </c>
      <c r="P175">
        <v>0.99803269999999999</v>
      </c>
      <c r="Q175">
        <v>1.929521E-2</v>
      </c>
      <c r="R175">
        <v>5.9655350000000003E-2</v>
      </c>
      <c r="S175">
        <v>3.0510250000000001</v>
      </c>
      <c r="T175">
        <v>-0.23077439999999999</v>
      </c>
      <c r="U175">
        <v>-0.68225100000000005</v>
      </c>
      <c r="V175">
        <v>-3.6682529999999998E-2</v>
      </c>
      <c r="W175">
        <v>3.2038280000000002E-2</v>
      </c>
      <c r="X175">
        <v>0.99881330000000002</v>
      </c>
      <c r="Y175">
        <v>0.23982000000000001</v>
      </c>
      <c r="Z175">
        <v>-1.1928370000000001E-2</v>
      </c>
      <c r="AA175">
        <v>0.9707441</v>
      </c>
      <c r="AB175">
        <v>23</v>
      </c>
      <c r="AC175">
        <v>15.103199999999999</v>
      </c>
      <c r="AD175">
        <v>-1.1603490000000001</v>
      </c>
      <c r="AE175">
        <v>-3.4363999999999901</v>
      </c>
      <c r="AF175">
        <v>3.76204989490759</v>
      </c>
      <c r="AG175">
        <v>-1.1603490000000001</v>
      </c>
      <c r="AH175">
        <v>14.9362698144738</v>
      </c>
      <c r="AI175">
        <v>94.308171829089801</v>
      </c>
      <c r="AJ175">
        <v>75.862774223621798</v>
      </c>
      <c r="AK175">
        <v>15.4464101066991</v>
      </c>
      <c r="AL175">
        <v>88.164027654466395</v>
      </c>
      <c r="AM175">
        <v>92.103305954210697</v>
      </c>
      <c r="AN175">
        <v>1.0000000338247199</v>
      </c>
    </row>
    <row r="176" spans="1:40" x14ac:dyDescent="0.25">
      <c r="A176" t="str">
        <f>"20190305135536575"</f>
        <v>20190305135536575</v>
      </c>
      <c r="B176" t="str">
        <f>"1551765336571325"</f>
        <v>1551765336571325</v>
      </c>
      <c r="C176" t="s">
        <v>40</v>
      </c>
      <c r="D176">
        <v>3.9835099999999999</v>
      </c>
      <c r="E176">
        <v>0.60737989999999997</v>
      </c>
      <c r="F176" t="s">
        <v>43</v>
      </c>
      <c r="G176">
        <v>-426.46129999999999</v>
      </c>
      <c r="H176">
        <v>-0.05</v>
      </c>
      <c r="I176">
        <v>364.15199999999999</v>
      </c>
      <c r="J176">
        <v>-441.75650000000002</v>
      </c>
      <c r="K176">
        <v>1.110298</v>
      </c>
      <c r="L176">
        <v>367.63490000000002</v>
      </c>
      <c r="M176">
        <v>0.99964660000000005</v>
      </c>
      <c r="N176">
        <v>-1.27987E-2</v>
      </c>
      <c r="O176">
        <v>2.3300979999999999E-2</v>
      </c>
      <c r="P176">
        <v>0.99803050000000004</v>
      </c>
      <c r="Q176">
        <v>1.9605009999999999E-2</v>
      </c>
      <c r="R176">
        <v>5.9588889999999999E-2</v>
      </c>
      <c r="S176">
        <v>3.0511780000000002</v>
      </c>
      <c r="T176">
        <v>-0.22822990000000001</v>
      </c>
      <c r="U176">
        <v>-0.68399049999999995</v>
      </c>
      <c r="V176">
        <v>-3.6329210000000001E-2</v>
      </c>
      <c r="W176">
        <v>3.23757E-2</v>
      </c>
      <c r="X176">
        <v>0.99881529999999996</v>
      </c>
      <c r="Y176">
        <v>0.24062510000000001</v>
      </c>
      <c r="Z176">
        <v>-1.186455E-2</v>
      </c>
      <c r="AA176">
        <v>0.97054560000000001</v>
      </c>
      <c r="AB176">
        <v>23</v>
      </c>
      <c r="AC176">
        <v>15.295199999999999</v>
      </c>
      <c r="AD176">
        <v>-1.1602980000000001</v>
      </c>
      <c r="AE176">
        <v>-3.4829000000000199</v>
      </c>
      <c r="AF176">
        <v>3.81749071843941</v>
      </c>
      <c r="AG176">
        <v>-1.1602980000000001</v>
      </c>
      <c r="AH176">
        <v>15.127123127427</v>
      </c>
      <c r="AI176">
        <v>94.253342288597494</v>
      </c>
      <c r="AJ176">
        <v>75.836527988503093</v>
      </c>
      <c r="AK176">
        <v>15.6444680621142</v>
      </c>
      <c r="AL176">
        <v>88.144684816583606</v>
      </c>
      <c r="AM176">
        <v>92.083061028970505</v>
      </c>
      <c r="AN176">
        <v>1.0000000004819001</v>
      </c>
    </row>
    <row r="177" spans="1:40" x14ac:dyDescent="0.25">
      <c r="A177" t="str">
        <f>"20190305135536598"</f>
        <v>20190305135536598</v>
      </c>
      <c r="B177" t="str">
        <f>"1551765336591821"</f>
        <v>1551765336591821</v>
      </c>
      <c r="C177" t="s">
        <v>40</v>
      </c>
      <c r="D177">
        <v>3.9626990000000002</v>
      </c>
      <c r="E177">
        <v>0.60765019999999903</v>
      </c>
      <c r="F177" t="s">
        <v>43</v>
      </c>
      <c r="G177">
        <v>-426.17349999999999</v>
      </c>
      <c r="H177">
        <v>-0.05</v>
      </c>
      <c r="I177">
        <v>364.11750000000001</v>
      </c>
      <c r="J177">
        <v>-441.51240000000001</v>
      </c>
      <c r="K177">
        <v>1.1102449999999999</v>
      </c>
      <c r="L177">
        <v>367.64100000000002</v>
      </c>
      <c r="M177">
        <v>0.99964090000000005</v>
      </c>
      <c r="N177">
        <v>-1.28174E-2</v>
      </c>
      <c r="O177">
        <v>2.3536189999999999E-2</v>
      </c>
      <c r="P177">
        <v>0.99802469999999999</v>
      </c>
      <c r="Q177">
        <v>1.9770349999999999E-2</v>
      </c>
      <c r="R177">
        <v>5.9631450000000003E-2</v>
      </c>
      <c r="S177">
        <v>3.0515439999999998</v>
      </c>
      <c r="T177">
        <v>-0.22721540000000001</v>
      </c>
      <c r="U177">
        <v>-0.68878169999999905</v>
      </c>
      <c r="V177">
        <v>-3.6132289999999997E-2</v>
      </c>
      <c r="W177">
        <v>3.256539E-2</v>
      </c>
      <c r="X177">
        <v>0.99881629999999999</v>
      </c>
      <c r="Y177">
        <v>0.2422801</v>
      </c>
      <c r="Z177">
        <v>-1.190253E-2</v>
      </c>
      <c r="AA177">
        <v>0.97013340000000003</v>
      </c>
      <c r="AB177">
        <v>23</v>
      </c>
      <c r="AC177">
        <v>15.338900000000001</v>
      </c>
      <c r="AD177">
        <v>-1.160245</v>
      </c>
      <c r="AE177">
        <v>-3.5234999999999501</v>
      </c>
      <c r="AF177">
        <v>3.8625805488556999</v>
      </c>
      <c r="AG177">
        <v>-1.160245</v>
      </c>
      <c r="AH177">
        <v>15.1692725699933</v>
      </c>
      <c r="AI177">
        <v>94.239088541341701</v>
      </c>
      <c r="AJ177">
        <v>75.714253313709804</v>
      </c>
      <c r="AK177">
        <v>15.69625838406</v>
      </c>
      <c r="AL177">
        <v>88.133810690175295</v>
      </c>
      <c r="AM177">
        <v>92.071777732869094</v>
      </c>
      <c r="AN177">
        <v>1.00000002407609</v>
      </c>
    </row>
    <row r="178" spans="1:40" x14ac:dyDescent="0.25">
      <c r="A178" t="str">
        <f>"20190305135536620"</f>
        <v>20190305135536620</v>
      </c>
      <c r="B178" t="str">
        <f>"1551765336611341"</f>
        <v>1551765336611341</v>
      </c>
      <c r="C178" t="s">
        <v>40</v>
      </c>
      <c r="D178">
        <v>3.9656210000000001</v>
      </c>
      <c r="E178">
        <v>0.60794799999999904</v>
      </c>
      <c r="F178" t="s">
        <v>43</v>
      </c>
      <c r="G178">
        <v>-425.82380000000001</v>
      </c>
      <c r="H178">
        <v>-0.05</v>
      </c>
      <c r="I178">
        <v>364.0874</v>
      </c>
      <c r="J178">
        <v>-441.28620000000001</v>
      </c>
      <c r="K178">
        <v>1.110187</v>
      </c>
      <c r="L178">
        <v>367.6465</v>
      </c>
      <c r="M178">
        <v>0.99963769999999996</v>
      </c>
      <c r="N178">
        <v>-1.2825710000000001E-2</v>
      </c>
      <c r="O178">
        <v>2.3672729999999999E-2</v>
      </c>
      <c r="P178">
        <v>0.99799700000000002</v>
      </c>
      <c r="Q178">
        <v>1.9403759999999999E-2</v>
      </c>
      <c r="R178">
        <v>6.0214429999999999E-2</v>
      </c>
      <c r="S178">
        <v>3.0516969999999999</v>
      </c>
      <c r="T178">
        <v>-0.225687</v>
      </c>
      <c r="U178">
        <v>-0.69122309999999998</v>
      </c>
      <c r="V178">
        <v>-3.6575169999999997E-2</v>
      </c>
      <c r="W178">
        <v>3.2211280000000002E-2</v>
      </c>
      <c r="X178">
        <v>0.99881169999999997</v>
      </c>
      <c r="Y178">
        <v>0.24314769999999999</v>
      </c>
      <c r="Z178">
        <v>-1.1876289999999999E-2</v>
      </c>
      <c r="AA178">
        <v>0.96991660000000002</v>
      </c>
      <c r="AB178">
        <v>23</v>
      </c>
      <c r="AC178">
        <v>15.462400000000001</v>
      </c>
      <c r="AD178">
        <v>-1.1601870000000001</v>
      </c>
      <c r="AE178">
        <v>-3.5590999999999999</v>
      </c>
      <c r="AF178">
        <v>3.9033001331339201</v>
      </c>
      <c r="AG178">
        <v>-1.1601870000000001</v>
      </c>
      <c r="AH178">
        <v>15.292044477219299</v>
      </c>
      <c r="AI178">
        <v>94.204347923838398</v>
      </c>
      <c r="AJ178">
        <v>75.680979228031205</v>
      </c>
      <c r="AK178">
        <v>15.8249300187251</v>
      </c>
      <c r="AL178">
        <v>88.154110416166105</v>
      </c>
      <c r="AM178">
        <v>92.097158998703506</v>
      </c>
      <c r="AN178">
        <v>1.0000000608383199</v>
      </c>
    </row>
    <row r="179" spans="1:40" x14ac:dyDescent="0.25">
      <c r="A179" t="str">
        <f>"20190305135536644"</f>
        <v>20190305135536644</v>
      </c>
      <c r="B179" t="str">
        <f>"1551765336631841"</f>
        <v>1551765336631841</v>
      </c>
      <c r="C179" t="s">
        <v>40</v>
      </c>
      <c r="D179">
        <v>3.941036</v>
      </c>
      <c r="E179">
        <v>0.60831849999999998</v>
      </c>
      <c r="F179" t="s">
        <v>43</v>
      </c>
      <c r="G179">
        <v>-425.73070000000001</v>
      </c>
      <c r="H179">
        <v>-0.05</v>
      </c>
      <c r="I179">
        <v>364.12079999999997</v>
      </c>
      <c r="J179">
        <v>-441.0437</v>
      </c>
      <c r="K179">
        <v>1.1100030000000001</v>
      </c>
      <c r="L179">
        <v>367.6524</v>
      </c>
      <c r="M179">
        <v>0.99964189999999997</v>
      </c>
      <c r="N179">
        <v>-1.235927E-2</v>
      </c>
      <c r="O179">
        <v>2.3739280000000001E-2</v>
      </c>
      <c r="P179">
        <v>0.99794640000000001</v>
      </c>
      <c r="Q179">
        <v>2.0177879999999999E-2</v>
      </c>
      <c r="R179">
        <v>6.07947E-2</v>
      </c>
      <c r="S179">
        <v>3.0521850000000001</v>
      </c>
      <c r="T179">
        <v>-0.2276427</v>
      </c>
      <c r="U179">
        <v>-0.69177250000000001</v>
      </c>
      <c r="V179">
        <v>-3.7086290000000001E-2</v>
      </c>
      <c r="W179">
        <v>3.2523919999999998E-2</v>
      </c>
      <c r="X179">
        <v>0.99878259999999996</v>
      </c>
      <c r="Y179">
        <v>0.24333489999999999</v>
      </c>
      <c r="Z179">
        <v>-1.1931570000000001E-2</v>
      </c>
      <c r="AA179">
        <v>0.96986899999999998</v>
      </c>
      <c r="AB179">
        <v>23</v>
      </c>
      <c r="AC179">
        <v>15.312999999999899</v>
      </c>
      <c r="AD179">
        <v>-1.1600029999999999</v>
      </c>
      <c r="AE179">
        <v>-3.5316000000000201</v>
      </c>
      <c r="AF179">
        <v>3.8730489001962698</v>
      </c>
      <c r="AG179">
        <v>-1.1600029999999999</v>
      </c>
      <c r="AH179">
        <v>15.1423341162961</v>
      </c>
      <c r="AI179">
        <v>94.244560207256896</v>
      </c>
      <c r="AJ179">
        <v>75.652697445425801</v>
      </c>
      <c r="AK179">
        <v>15.672791622198799</v>
      </c>
      <c r="AL179">
        <v>88.136187848960802</v>
      </c>
      <c r="AM179">
        <v>92.126500942579995</v>
      </c>
      <c r="AN179">
        <v>0.99999994017044302</v>
      </c>
    </row>
    <row r="180" spans="1:40" x14ac:dyDescent="0.25">
      <c r="A180" t="str">
        <f>"20190305135536667"</f>
        <v>20190305135536667</v>
      </c>
      <c r="B180" t="str">
        <f>"1551765336662093"</f>
        <v>1551765336662093</v>
      </c>
      <c r="C180" t="s">
        <v>40</v>
      </c>
      <c r="D180">
        <v>3.9007559999999999</v>
      </c>
      <c r="E180">
        <v>0.60909380000000002</v>
      </c>
      <c r="F180" t="s">
        <v>43</v>
      </c>
      <c r="G180">
        <v>-425.40309999999999</v>
      </c>
      <c r="H180">
        <v>-0.05</v>
      </c>
      <c r="I180">
        <v>364.10210000000001</v>
      </c>
      <c r="J180">
        <v>-440.798</v>
      </c>
      <c r="K180">
        <v>1.1096790000000001</v>
      </c>
      <c r="L180">
        <v>367.6583</v>
      </c>
      <c r="M180">
        <v>0.9996505</v>
      </c>
      <c r="N180">
        <v>-1.160285E-2</v>
      </c>
      <c r="O180">
        <v>2.3757210000000001E-2</v>
      </c>
      <c r="P180">
        <v>0.9978918</v>
      </c>
      <c r="Q180">
        <v>2.154793E-2</v>
      </c>
      <c r="R180">
        <v>6.121998E-2</v>
      </c>
      <c r="S180">
        <v>3.0529790000000001</v>
      </c>
      <c r="T180">
        <v>-0.22642780000000001</v>
      </c>
      <c r="U180">
        <v>-0.69299319999999998</v>
      </c>
      <c r="V180">
        <v>-3.7491780000000002E-2</v>
      </c>
      <c r="W180">
        <v>3.3140610000000001E-2</v>
      </c>
      <c r="X180">
        <v>0.99874719999999995</v>
      </c>
      <c r="Y180">
        <v>0.2436796</v>
      </c>
      <c r="Z180">
        <v>-1.181162E-2</v>
      </c>
      <c r="AA180">
        <v>0.96978379999999997</v>
      </c>
      <c r="AB180">
        <v>23</v>
      </c>
      <c r="AC180">
        <v>15.3949</v>
      </c>
      <c r="AD180">
        <v>-1.1596789999999999</v>
      </c>
      <c r="AE180">
        <v>-3.5561999999999898</v>
      </c>
      <c r="AF180">
        <v>3.8999516823020999</v>
      </c>
      <c r="AG180">
        <v>-1.1596789999999999</v>
      </c>
      <c r="AH180">
        <v>15.2240516814296</v>
      </c>
      <c r="AI180">
        <v>94.220286260401096</v>
      </c>
      <c r="AJ180">
        <v>75.631500151927895</v>
      </c>
      <c r="AK180">
        <v>15.7583700967509</v>
      </c>
      <c r="AL180">
        <v>88.100835074094107</v>
      </c>
      <c r="AM180">
        <v>92.149805872668495</v>
      </c>
      <c r="AN180">
        <v>0.99999995155328902</v>
      </c>
    </row>
    <row r="181" spans="1:40" x14ac:dyDescent="0.25">
      <c r="A181" t="str">
        <f>"20190305135536687"</f>
        <v>20190305135536687</v>
      </c>
      <c r="B181" t="str">
        <f>"1551765336681613"</f>
        <v>1551765336681613</v>
      </c>
      <c r="C181" t="s">
        <v>40</v>
      </c>
      <c r="D181">
        <v>3.899302</v>
      </c>
      <c r="E181">
        <v>0.60958959999999995</v>
      </c>
      <c r="F181" t="s">
        <v>43</v>
      </c>
      <c r="G181">
        <v>-424.98180000000002</v>
      </c>
      <c r="H181">
        <v>-0.05</v>
      </c>
      <c r="I181">
        <v>364.0453</v>
      </c>
      <c r="J181">
        <v>-440.57729999999998</v>
      </c>
      <c r="K181">
        <v>1.1093170000000001</v>
      </c>
      <c r="L181">
        <v>367.66359999999997</v>
      </c>
      <c r="M181">
        <v>0.99965409999999999</v>
      </c>
      <c r="N181">
        <v>-1.131327E-2</v>
      </c>
      <c r="O181">
        <v>2.374998E-2</v>
      </c>
      <c r="P181">
        <v>0.99785760000000001</v>
      </c>
      <c r="Q181">
        <v>2.2223860000000002E-2</v>
      </c>
      <c r="R181">
        <v>6.153757E-2</v>
      </c>
      <c r="S181">
        <v>3.0539860000000001</v>
      </c>
      <c r="T181">
        <v>-0.22392339999999999</v>
      </c>
      <c r="U181">
        <v>-0.69763180000000002</v>
      </c>
      <c r="V181">
        <v>-3.781561E-2</v>
      </c>
      <c r="W181">
        <v>3.3529969999999999E-2</v>
      </c>
      <c r="X181">
        <v>0.998722</v>
      </c>
      <c r="Y181">
        <v>0.24501890000000001</v>
      </c>
      <c r="Z181">
        <v>-1.171587E-2</v>
      </c>
      <c r="AA181">
        <v>0.96944750000000002</v>
      </c>
      <c r="AB181">
        <v>24</v>
      </c>
      <c r="AC181">
        <v>15.5954999999999</v>
      </c>
      <c r="AD181">
        <v>-1.1593169999999999</v>
      </c>
      <c r="AE181">
        <v>-3.6182999999999699</v>
      </c>
      <c r="AF181">
        <v>3.9668945888545601</v>
      </c>
      <c r="AG181">
        <v>-1.1593169999999999</v>
      </c>
      <c r="AH181">
        <v>15.424280422326801</v>
      </c>
      <c r="AI181">
        <v>94.163385566699603</v>
      </c>
      <c r="AJ181">
        <v>75.576958461840505</v>
      </c>
      <c r="AK181">
        <v>15.968365449605299</v>
      </c>
      <c r="AL181">
        <v>88.078513991708405</v>
      </c>
      <c r="AM181">
        <v>92.168411531154007</v>
      </c>
      <c r="AN181">
        <v>0.99999995626593496</v>
      </c>
    </row>
    <row r="182" spans="1:40" x14ac:dyDescent="0.25">
      <c r="A182" t="str">
        <f>"20190305135536708"</f>
        <v>20190305135536708</v>
      </c>
      <c r="B182" t="str">
        <f>"1551765336702109"</f>
        <v>1551765336702109</v>
      </c>
      <c r="C182" t="s">
        <v>40</v>
      </c>
      <c r="D182">
        <v>3.8927290000000001</v>
      </c>
      <c r="E182">
        <v>0.61014799999999902</v>
      </c>
      <c r="F182" t="s">
        <v>43</v>
      </c>
      <c r="G182">
        <v>-424.58069999999998</v>
      </c>
      <c r="H182">
        <v>-0.05</v>
      </c>
      <c r="I182">
        <v>363.99430000000001</v>
      </c>
      <c r="J182">
        <v>-440.35180000000003</v>
      </c>
      <c r="K182">
        <v>1.108841</v>
      </c>
      <c r="L182">
        <v>367.66890000000001</v>
      </c>
      <c r="M182">
        <v>0.99965210000000004</v>
      </c>
      <c r="N182">
        <v>-1.1535979999999999E-2</v>
      </c>
      <c r="O182">
        <v>2.3719489999999999E-2</v>
      </c>
      <c r="P182">
        <v>0.9978359</v>
      </c>
      <c r="Q182">
        <v>2.1973010000000001E-2</v>
      </c>
      <c r="R182">
        <v>6.197482E-2</v>
      </c>
      <c r="S182">
        <v>3.0545650000000002</v>
      </c>
      <c r="T182">
        <v>-0.22137200000000001</v>
      </c>
      <c r="U182">
        <v>-0.70065310000000003</v>
      </c>
      <c r="V182">
        <v>-3.8280920000000003E-2</v>
      </c>
      <c r="W182">
        <v>3.3503770000000002E-2</v>
      </c>
      <c r="X182">
        <v>0.99870519999999996</v>
      </c>
      <c r="Y182">
        <v>0.24587329999999999</v>
      </c>
      <c r="Z182">
        <v>-1.16488999999999E-2</v>
      </c>
      <c r="AA182">
        <v>0.96923199999999998</v>
      </c>
      <c r="AB182">
        <v>24</v>
      </c>
      <c r="AC182">
        <v>15.771100000000001</v>
      </c>
      <c r="AD182">
        <v>-1.158841</v>
      </c>
      <c r="AE182">
        <v>-3.6745999999999901</v>
      </c>
      <c r="AF182">
        <v>4.0270503617001703</v>
      </c>
      <c r="AG182">
        <v>-1.158841</v>
      </c>
      <c r="AH182">
        <v>15.599609369833599</v>
      </c>
      <c r="AI182">
        <v>94.114112530854001</v>
      </c>
      <c r="AJ182">
        <v>75.525075371562096</v>
      </c>
      <c r="AK182">
        <v>16.1526424949713</v>
      </c>
      <c r="AL182">
        <v>88.080016076722004</v>
      </c>
      <c r="AM182">
        <v>92.195104146590495</v>
      </c>
      <c r="AN182">
        <v>1.0000000039736401</v>
      </c>
    </row>
    <row r="183" spans="1:40" x14ac:dyDescent="0.25">
      <c r="A183" t="str">
        <f>"20190305135536732"</f>
        <v>20190305135536732</v>
      </c>
      <c r="B183" t="str">
        <f>"1551765336721629"</f>
        <v>1551765336721629</v>
      </c>
      <c r="C183" t="s">
        <v>40</v>
      </c>
      <c r="D183">
        <v>3.9092530000000001</v>
      </c>
      <c r="E183">
        <v>0.61061929999999998</v>
      </c>
      <c r="F183" t="s">
        <v>43</v>
      </c>
      <c r="G183">
        <v>-424.49189999999999</v>
      </c>
      <c r="H183">
        <v>-0.05</v>
      </c>
      <c r="I183">
        <v>364.01560000000001</v>
      </c>
      <c r="J183">
        <v>-440.09829999999999</v>
      </c>
      <c r="K183">
        <v>1.108055</v>
      </c>
      <c r="L183">
        <v>367.67489999999998</v>
      </c>
      <c r="M183">
        <v>0.99964489999999995</v>
      </c>
      <c r="N183">
        <v>-1.228244E-2</v>
      </c>
      <c r="O183">
        <v>2.3648349999999999E-2</v>
      </c>
      <c r="P183">
        <v>0.99788390000000005</v>
      </c>
      <c r="Q183">
        <v>2.041594E-2</v>
      </c>
      <c r="R183">
        <v>6.1734820000000003E-2</v>
      </c>
      <c r="S183">
        <v>3.0551759999999999</v>
      </c>
      <c r="T183">
        <v>-0.2232333</v>
      </c>
      <c r="U183">
        <v>-0.70376590000000006</v>
      </c>
      <c r="V183">
        <v>-3.810906E-2</v>
      </c>
      <c r="W183">
        <v>3.2695019999999998E-2</v>
      </c>
      <c r="X183">
        <v>0.99873860000000003</v>
      </c>
      <c r="Y183">
        <v>0.24668080000000001</v>
      </c>
      <c r="Z183">
        <v>-1.1839280000000001E-2</v>
      </c>
      <c r="AA183">
        <v>0.96902449999999996</v>
      </c>
      <c r="AB183">
        <v>24</v>
      </c>
      <c r="AC183">
        <v>15.606400000000001</v>
      </c>
      <c r="AD183">
        <v>-1.1580549999999901</v>
      </c>
      <c r="AE183">
        <v>-3.6592999999999698</v>
      </c>
      <c r="AF183">
        <v>4.0064591511440897</v>
      </c>
      <c r="AG183">
        <v>-1.1580549999999901</v>
      </c>
      <c r="AH183">
        <v>15.434932883222199</v>
      </c>
      <c r="AI183">
        <v>94.153616630425702</v>
      </c>
      <c r="AJ183">
        <v>75.448816009871095</v>
      </c>
      <c r="AK183">
        <v>15.988432050153801</v>
      </c>
      <c r="AL183">
        <v>88.126379488557305</v>
      </c>
      <c r="AM183">
        <v>92.185185918763594</v>
      </c>
      <c r="AN183">
        <v>1.00000002795842</v>
      </c>
    </row>
    <row r="184" spans="1:40" x14ac:dyDescent="0.25">
      <c r="A184" t="str">
        <f>"20190305135536753"</f>
        <v>20190305135536753</v>
      </c>
      <c r="B184" t="str">
        <f>"1551765336741149"</f>
        <v>1551765336741149</v>
      </c>
      <c r="C184" t="s">
        <v>40</v>
      </c>
      <c r="D184">
        <v>3.880001</v>
      </c>
      <c r="E184">
        <v>0.610869199999999</v>
      </c>
      <c r="F184" t="s">
        <v>43</v>
      </c>
      <c r="G184">
        <v>-424.60309999999998</v>
      </c>
      <c r="H184">
        <v>-0.05</v>
      </c>
      <c r="I184">
        <v>364.08260000000001</v>
      </c>
      <c r="J184">
        <v>-439.8759</v>
      </c>
      <c r="K184">
        <v>1.1071690000000001</v>
      </c>
      <c r="L184">
        <v>367.68</v>
      </c>
      <c r="M184">
        <v>0.9996332</v>
      </c>
      <c r="N184">
        <v>-1.331949E-2</v>
      </c>
      <c r="O184">
        <v>2.3579599999999999E-2</v>
      </c>
      <c r="P184">
        <v>0.99794309999999997</v>
      </c>
      <c r="Q184">
        <v>1.8419560000000001E-2</v>
      </c>
      <c r="R184">
        <v>6.1402619999999998E-2</v>
      </c>
      <c r="S184">
        <v>3.05484</v>
      </c>
      <c r="T184">
        <v>-0.2283075</v>
      </c>
      <c r="U184">
        <v>-0.70819089999999996</v>
      </c>
      <c r="V184">
        <v>-3.7843069999999999E-2</v>
      </c>
      <c r="W184">
        <v>3.1736590000000002E-2</v>
      </c>
      <c r="X184">
        <v>0.99877959999999999</v>
      </c>
      <c r="Y184">
        <v>0.2479248</v>
      </c>
      <c r="Z184">
        <v>-1.223487E-2</v>
      </c>
      <c r="AA184">
        <v>0.96870199999999995</v>
      </c>
      <c r="AB184">
        <v>24</v>
      </c>
      <c r="AC184">
        <v>15.2728</v>
      </c>
      <c r="AD184">
        <v>-1.1571689999999999</v>
      </c>
      <c r="AE184">
        <v>-3.5973999999999902</v>
      </c>
      <c r="AF184">
        <v>3.9351554159962299</v>
      </c>
      <c r="AG184">
        <v>-1.1571689999999999</v>
      </c>
      <c r="AH184">
        <v>15.101584994810199</v>
      </c>
      <c r="AI184">
        <v>94.240697205186507</v>
      </c>
      <c r="AJ184">
        <v>75.394716287865407</v>
      </c>
      <c r="AK184">
        <v>15.648717442592</v>
      </c>
      <c r="AL184">
        <v>88.181321949499093</v>
      </c>
      <c r="AM184">
        <v>92.169859605387202</v>
      </c>
      <c r="AN184">
        <v>0.99999999923400595</v>
      </c>
    </row>
    <row r="185" spans="1:40" x14ac:dyDescent="0.25">
      <c r="A185" t="str">
        <f>"20190305135536788"</f>
        <v>20190305135536788</v>
      </c>
      <c r="B185" t="str">
        <f>"1551765336782142"</f>
        <v>1551765336782142</v>
      </c>
      <c r="C185" t="s">
        <v>40</v>
      </c>
      <c r="D185">
        <v>4.1268010000000004</v>
      </c>
      <c r="E185">
        <v>0.58398680000000003</v>
      </c>
      <c r="F185" t="s">
        <v>43</v>
      </c>
      <c r="G185">
        <v>-424.84460000000001</v>
      </c>
      <c r="H185">
        <v>-0.05</v>
      </c>
      <c r="I185">
        <v>364.17930000000001</v>
      </c>
      <c r="J185">
        <v>-439.51569999999998</v>
      </c>
      <c r="K185">
        <v>1.105451</v>
      </c>
      <c r="L185">
        <v>367.68830000000003</v>
      </c>
      <c r="M185">
        <v>0.99959799999999999</v>
      </c>
      <c r="N185">
        <v>-1.5938839999999999E-2</v>
      </c>
      <c r="O185">
        <v>2.3454220000000001E-2</v>
      </c>
      <c r="P185">
        <v>0.99803779999999997</v>
      </c>
      <c r="Q185">
        <v>1.6027880000000001E-2</v>
      </c>
      <c r="R185">
        <v>6.053327E-2</v>
      </c>
      <c r="S185">
        <v>3.0543209999999998</v>
      </c>
      <c r="T185">
        <v>-0.2351346</v>
      </c>
      <c r="U185">
        <v>-0.71133419999999903</v>
      </c>
      <c r="V185">
        <v>-3.7096490000000003E-2</v>
      </c>
      <c r="W185">
        <v>3.1962020000000001E-2</v>
      </c>
      <c r="X185">
        <v>0.99880040000000003</v>
      </c>
      <c r="Y185">
        <v>0.24871589999999999</v>
      </c>
      <c r="Z185">
        <v>-1.285761E-2</v>
      </c>
      <c r="AA185">
        <v>0.96849110000000005</v>
      </c>
      <c r="AB185">
        <v>24</v>
      </c>
      <c r="AC185">
        <v>14.6710999999999</v>
      </c>
      <c r="AD185">
        <v>-1.155451</v>
      </c>
      <c r="AE185">
        <v>-3.5090000000000101</v>
      </c>
      <c r="AF185">
        <v>3.8297083388202098</v>
      </c>
      <c r="AG185">
        <v>-1.155451</v>
      </c>
      <c r="AH185">
        <v>14.4996818021016</v>
      </c>
      <c r="AI185">
        <v>94.405702053113401</v>
      </c>
      <c r="AJ185">
        <v>75.204701567405706</v>
      </c>
      <c r="AK185">
        <v>15.041359823367999</v>
      </c>
      <c r="AL185">
        <v>88.168399170096095</v>
      </c>
      <c r="AM185">
        <v>92.127047393239494</v>
      </c>
      <c r="AN185">
        <v>0.99999997966648002</v>
      </c>
    </row>
    <row r="186" spans="1:40" x14ac:dyDescent="0.25">
      <c r="A186" t="str">
        <f>"20190305135536811"</f>
        <v>20190305135536811</v>
      </c>
      <c r="B186" t="str">
        <f>"1551765336801663"</f>
        <v>1551765336801663</v>
      </c>
      <c r="C186" t="s">
        <v>40</v>
      </c>
      <c r="D186">
        <v>3.8710309999999999</v>
      </c>
      <c r="E186">
        <v>0.51108739999999997</v>
      </c>
      <c r="F186" t="s">
        <v>43</v>
      </c>
      <c r="G186">
        <v>-417.67860000000002</v>
      </c>
      <c r="H186">
        <v>-0.05</v>
      </c>
      <c r="I186">
        <v>364.11869999999999</v>
      </c>
      <c r="J186">
        <v>-439.26900000000001</v>
      </c>
      <c r="K186">
        <v>1.1040350000000001</v>
      </c>
      <c r="L186">
        <v>367.69400000000002</v>
      </c>
      <c r="M186">
        <v>0.99956429999999996</v>
      </c>
      <c r="N186">
        <v>-1.8054569999999999E-2</v>
      </c>
      <c r="O186">
        <v>2.3349910000000001E-2</v>
      </c>
      <c r="P186">
        <v>0.99808229999999998</v>
      </c>
      <c r="Q186">
        <v>1.451796E-2</v>
      </c>
      <c r="R186">
        <v>6.0176519999999997E-2</v>
      </c>
      <c r="S186">
        <v>3.0385439999999999</v>
      </c>
      <c r="T186">
        <v>-0.16077649999999999</v>
      </c>
      <c r="U186">
        <v>-0.49670409999999998</v>
      </c>
      <c r="V186">
        <v>-3.6842880000000001E-2</v>
      </c>
      <c r="W186">
        <v>3.256539E-2</v>
      </c>
      <c r="X186">
        <v>0.99879030000000002</v>
      </c>
      <c r="Y186">
        <v>0.18397810000000001</v>
      </c>
      <c r="Z186">
        <v>-7.3139349999999997E-3</v>
      </c>
      <c r="AA186">
        <v>0.98290310000000003</v>
      </c>
      <c r="AB186">
        <v>24</v>
      </c>
      <c r="AC186">
        <v>21.590399999999899</v>
      </c>
      <c r="AD186">
        <v>-1.1540349999999999</v>
      </c>
      <c r="AE186">
        <v>-3.5753000000000199</v>
      </c>
      <c r="AF186">
        <v>4.0672308788327696</v>
      </c>
      <c r="AG186">
        <v>-1.1540349999999999</v>
      </c>
      <c r="AH186">
        <v>21.4413910682363</v>
      </c>
      <c r="AI186">
        <v>93.026970064115204</v>
      </c>
      <c r="AJ186">
        <v>79.259142138821602</v>
      </c>
      <c r="AK186">
        <v>21.854231049021099</v>
      </c>
      <c r="AL186">
        <v>88.133810613311994</v>
      </c>
      <c r="AM186">
        <v>92.112540405973505</v>
      </c>
      <c r="AN186">
        <v>0.99999998290331804</v>
      </c>
    </row>
    <row r="187" spans="1:40" x14ac:dyDescent="0.25">
      <c r="A187" t="str">
        <f>"20190305135536833"</f>
        <v>20190305135536833</v>
      </c>
      <c r="B187" t="str">
        <f>"1551765336821181"</f>
        <v>1551765336821181</v>
      </c>
      <c r="C187" t="s">
        <v>40</v>
      </c>
      <c r="D187">
        <v>3.8069329999999999</v>
      </c>
      <c r="E187">
        <v>0.50942670000000001</v>
      </c>
      <c r="F187" t="s">
        <v>43</v>
      </c>
      <c r="G187">
        <v>-413.09370000000001</v>
      </c>
      <c r="H187">
        <v>-0.05</v>
      </c>
      <c r="I187">
        <v>368.43090000000001</v>
      </c>
      <c r="J187">
        <v>-439.03519999999997</v>
      </c>
      <c r="K187">
        <v>1.1025370000000001</v>
      </c>
      <c r="L187">
        <v>367.69940000000003</v>
      </c>
      <c r="M187">
        <v>0.99953170000000002</v>
      </c>
      <c r="N187">
        <v>-1.990691E-2</v>
      </c>
      <c r="O187">
        <v>2.3242789999999999E-2</v>
      </c>
      <c r="P187">
        <v>0.99811799999999995</v>
      </c>
      <c r="Q187">
        <v>1.2168089999999999E-2</v>
      </c>
      <c r="R187">
        <v>6.0107260000000003E-2</v>
      </c>
      <c r="S187">
        <v>3.0026549999999999</v>
      </c>
      <c r="T187">
        <v>-0.13238349999999999</v>
      </c>
      <c r="U187">
        <v>8.4533689999999995E-2</v>
      </c>
      <c r="V187">
        <v>-3.6879670000000003E-2</v>
      </c>
      <c r="W187">
        <v>3.2066400000000002E-2</v>
      </c>
      <c r="X187">
        <v>0.9988051</v>
      </c>
      <c r="Y187">
        <v>-4.895913E-3</v>
      </c>
      <c r="Z187">
        <v>-4.0466759999999998E-4</v>
      </c>
      <c r="AA187">
        <v>0.99998799999999999</v>
      </c>
      <c r="AB187">
        <v>23</v>
      </c>
      <c r="AC187">
        <v>25.941499999999898</v>
      </c>
      <c r="AD187">
        <v>-1.1525369999999999</v>
      </c>
      <c r="AE187">
        <v>0.73149999999998205</v>
      </c>
      <c r="AF187">
        <v>-0.127977592622908</v>
      </c>
      <c r="AG187">
        <v>-1.1525369999999999</v>
      </c>
      <c r="AH187">
        <v>25.9004110437414</v>
      </c>
      <c r="AI187">
        <v>92.547881048915698</v>
      </c>
      <c r="AJ187">
        <v>90.283104242761993</v>
      </c>
      <c r="AK187">
        <v>25.926357477195801</v>
      </c>
      <c r="AL187">
        <v>88.162415599285595</v>
      </c>
      <c r="AM187">
        <v>92.114616694303606</v>
      </c>
      <c r="AN187">
        <v>0.99999999592713895</v>
      </c>
    </row>
    <row r="188" spans="1:40" x14ac:dyDescent="0.25">
      <c r="A188" t="str">
        <f>"20190305135536856"</f>
        <v>20190305135536856</v>
      </c>
      <c r="B188" t="str">
        <f>"1551765336851438"</f>
        <v>1551765336851438</v>
      </c>
      <c r="C188" t="s">
        <v>40</v>
      </c>
      <c r="D188">
        <v>3.791048</v>
      </c>
      <c r="E188">
        <v>0.51340549999999996</v>
      </c>
      <c r="F188" t="s">
        <v>43</v>
      </c>
      <c r="G188">
        <v>-406.35300000000001</v>
      </c>
      <c r="H188">
        <v>-0.05</v>
      </c>
      <c r="I188">
        <v>368.77719999999999</v>
      </c>
      <c r="J188">
        <v>-438.79950000000002</v>
      </c>
      <c r="K188">
        <v>1.1009469999999999</v>
      </c>
      <c r="L188">
        <v>367.7047</v>
      </c>
      <c r="M188">
        <v>0.99950079999999997</v>
      </c>
      <c r="N188">
        <v>-2.1512170000000001E-2</v>
      </c>
      <c r="O188">
        <v>2.3140689999999998E-2</v>
      </c>
      <c r="P188">
        <v>0.99813700000000005</v>
      </c>
      <c r="Q188">
        <v>1.002577E-2</v>
      </c>
      <c r="R188">
        <v>6.018341E-2</v>
      </c>
      <c r="S188">
        <v>3.0009459999999999</v>
      </c>
      <c r="T188">
        <v>-0.1058283</v>
      </c>
      <c r="U188">
        <v>9.8968509999999996E-2</v>
      </c>
      <c r="V188">
        <v>-3.7057E-2</v>
      </c>
      <c r="W188">
        <v>3.1528319999999999E-2</v>
      </c>
      <c r="X188">
        <v>0.99881569999999997</v>
      </c>
      <c r="Y188">
        <v>-9.8112500000000005E-3</v>
      </c>
      <c r="Z188" s="1">
        <v>-3.9178589999999997E-5</v>
      </c>
      <c r="AA188">
        <v>0.99995179999999995</v>
      </c>
      <c r="AB188">
        <v>23</v>
      </c>
      <c r="AC188">
        <v>32.4465</v>
      </c>
      <c r="AD188">
        <v>-1.1509469999999999</v>
      </c>
      <c r="AE188">
        <v>1.07249999999999</v>
      </c>
      <c r="AF188">
        <v>-0.32080130750665697</v>
      </c>
      <c r="AG188">
        <v>-1.1509469999999999</v>
      </c>
      <c r="AH188">
        <v>32.421880476560602</v>
      </c>
      <c r="AI188">
        <v>92.032994416422198</v>
      </c>
      <c r="AJ188">
        <v>90.566899911736201</v>
      </c>
      <c r="AK188">
        <v>32.4438888870013</v>
      </c>
      <c r="AL188">
        <v>88.193260970661797</v>
      </c>
      <c r="AM188">
        <v>92.124752664793604</v>
      </c>
      <c r="AN188">
        <v>1.0000000293887501</v>
      </c>
    </row>
    <row r="189" spans="1:40" x14ac:dyDescent="0.25">
      <c r="A189" t="str">
        <f>"20190305135536877"</f>
        <v>20190305135536877</v>
      </c>
      <c r="B189" t="str">
        <f>"1551765336871933"</f>
        <v>1551765336871933</v>
      </c>
      <c r="C189" t="s">
        <v>40</v>
      </c>
      <c r="D189">
        <v>3.7679990000000001</v>
      </c>
      <c r="E189">
        <v>0.51469019999999999</v>
      </c>
      <c r="F189" t="s">
        <v>43</v>
      </c>
      <c r="G189">
        <v>-402.39479999999998</v>
      </c>
      <c r="H189">
        <v>-0.05</v>
      </c>
      <c r="I189">
        <v>368.53019999999998</v>
      </c>
      <c r="J189">
        <v>-438.57459999999998</v>
      </c>
      <c r="K189">
        <v>1.0993919999999999</v>
      </c>
      <c r="L189">
        <v>367.70979999999997</v>
      </c>
      <c r="M189">
        <v>0.99947699999999995</v>
      </c>
      <c r="N189">
        <v>-2.2681090000000001E-2</v>
      </c>
      <c r="O189">
        <v>2.305244E-2</v>
      </c>
      <c r="P189">
        <v>0.99814630000000004</v>
      </c>
      <c r="Q189">
        <v>8.7747720000000001E-3</v>
      </c>
      <c r="R189">
        <v>6.0224449999999999E-2</v>
      </c>
      <c r="S189">
        <v>3.0024109999999999</v>
      </c>
      <c r="T189">
        <v>-9.4922300000000001E-2</v>
      </c>
      <c r="U189">
        <v>6.8084720000000001E-2</v>
      </c>
      <c r="V189">
        <v>-3.7185210000000003E-2</v>
      </c>
      <c r="W189">
        <v>3.1445870000000001E-2</v>
      </c>
      <c r="X189">
        <v>0.99881350000000002</v>
      </c>
      <c r="Y189">
        <v>3.8636539999999998E-4</v>
      </c>
      <c r="Z189">
        <v>-2.1604290000000001E-4</v>
      </c>
      <c r="AA189">
        <v>0.99999990000000005</v>
      </c>
      <c r="AB189">
        <v>23</v>
      </c>
      <c r="AC189">
        <v>36.1798</v>
      </c>
      <c r="AD189">
        <v>-1.149392</v>
      </c>
      <c r="AE189">
        <v>0.82040000000000601</v>
      </c>
      <c r="AF189">
        <v>1.40511813256636E-2</v>
      </c>
      <c r="AG189">
        <v>-1.149392</v>
      </c>
      <c r="AH189">
        <v>36.152628886621201</v>
      </c>
      <c r="AI189">
        <v>91.820977691097298</v>
      </c>
      <c r="AJ189">
        <v>89.977731264049396</v>
      </c>
      <c r="AK189">
        <v>36.170898175454703</v>
      </c>
      <c r="AL189">
        <v>88.197987289420197</v>
      </c>
      <c r="AM189">
        <v>92.132101814078197</v>
      </c>
      <c r="AN189">
        <v>0.99999999518252503</v>
      </c>
    </row>
    <row r="190" spans="1:40" x14ac:dyDescent="0.25">
      <c r="A190" t="str">
        <f>"20190305135536901"</f>
        <v>20190305135536901</v>
      </c>
      <c r="B190" t="str">
        <f>"1551765336891454"</f>
        <v>1551765336891454</v>
      </c>
      <c r="C190" t="s">
        <v>40</v>
      </c>
      <c r="D190">
        <v>3.7866620000000002</v>
      </c>
      <c r="E190">
        <v>0.51574399999999998</v>
      </c>
      <c r="F190" t="s">
        <v>43</v>
      </c>
      <c r="G190">
        <v>-400.32389999999998</v>
      </c>
      <c r="H190">
        <v>-0.05</v>
      </c>
      <c r="I190">
        <v>368.45389999999998</v>
      </c>
      <c r="J190">
        <v>-438.33120000000002</v>
      </c>
      <c r="K190">
        <v>1.097658</v>
      </c>
      <c r="L190">
        <v>367.71530000000001</v>
      </c>
      <c r="M190">
        <v>0.99946170000000001</v>
      </c>
      <c r="N190">
        <v>-2.3438029999999999E-2</v>
      </c>
      <c r="O190">
        <v>2.2956850000000001E-2</v>
      </c>
      <c r="P190">
        <v>0.99812000000000001</v>
      </c>
      <c r="Q190">
        <v>8.9084339999999998E-3</v>
      </c>
      <c r="R190">
        <v>6.0640850000000003E-2</v>
      </c>
      <c r="S190">
        <v>3.0028380000000001</v>
      </c>
      <c r="T190">
        <v>-9.0231900000000004E-2</v>
      </c>
      <c r="U190">
        <v>5.841064E-2</v>
      </c>
      <c r="V190">
        <v>-3.7697559999999998E-2</v>
      </c>
      <c r="W190">
        <v>3.2334719999999997E-2</v>
      </c>
      <c r="X190">
        <v>0.99876589999999998</v>
      </c>
      <c r="Y190">
        <v>3.5124879999999998E-3</v>
      </c>
      <c r="Z190">
        <v>-2.4534269999999998E-4</v>
      </c>
      <c r="AA190">
        <v>0.99999380000000004</v>
      </c>
      <c r="AB190">
        <v>23</v>
      </c>
      <c r="AC190">
        <v>38.007300000000001</v>
      </c>
      <c r="AD190">
        <v>-1.1476580000000001</v>
      </c>
      <c r="AE190">
        <v>0.73859999999996195</v>
      </c>
      <c r="AF190">
        <v>0.134240029214135</v>
      </c>
      <c r="AG190">
        <v>-1.1476580000000001</v>
      </c>
      <c r="AH190">
        <v>37.979622459131697</v>
      </c>
      <c r="AI190">
        <v>91.730810942686205</v>
      </c>
      <c r="AJ190">
        <v>89.797487321128798</v>
      </c>
      <c r="AK190">
        <v>37.9971954413558</v>
      </c>
      <c r="AL190">
        <v>88.147033992550206</v>
      </c>
      <c r="AM190">
        <v>92.161553851129398</v>
      </c>
      <c r="AN190">
        <v>0.99999998157512004</v>
      </c>
    </row>
    <row r="191" spans="1:40" x14ac:dyDescent="0.25">
      <c r="A191" t="str">
        <f>"20190305135536921"</f>
        <v>20190305135536921</v>
      </c>
      <c r="B191" t="str">
        <f>"1551765336911953"</f>
        <v>1551765336911953</v>
      </c>
      <c r="C191" t="s">
        <v>40</v>
      </c>
      <c r="D191">
        <v>3.8287789999999999</v>
      </c>
      <c r="E191">
        <v>0.51654469999999997</v>
      </c>
      <c r="F191" t="s">
        <v>42</v>
      </c>
      <c r="G191">
        <v>-399.86829999999998</v>
      </c>
      <c r="H191" s="1">
        <v>-3.6123099999999999E-7</v>
      </c>
      <c r="I191">
        <v>368.37459999999999</v>
      </c>
      <c r="J191">
        <v>-438.10309999999998</v>
      </c>
      <c r="K191">
        <v>1.095985</v>
      </c>
      <c r="L191">
        <v>367.72039999999998</v>
      </c>
      <c r="M191">
        <v>0.99945170000000005</v>
      </c>
      <c r="N191">
        <v>-2.3946060000000002E-2</v>
      </c>
      <c r="O191">
        <v>2.286943E-2</v>
      </c>
      <c r="P191">
        <v>0.99808439999999998</v>
      </c>
      <c r="Q191">
        <v>9.6644009999999995E-3</v>
      </c>
      <c r="R191">
        <v>6.1108879999999997E-2</v>
      </c>
      <c r="S191">
        <v>3.0032960000000002</v>
      </c>
      <c r="T191">
        <v>-8.5708259999999994E-2</v>
      </c>
      <c r="U191">
        <v>5.1483149999999998E-2</v>
      </c>
      <c r="V191">
        <v>-3.825365E-2</v>
      </c>
      <c r="W191">
        <v>3.359765E-2</v>
      </c>
      <c r="X191">
        <v>0.99870309999999995</v>
      </c>
      <c r="Y191">
        <v>5.7328809999999996E-3</v>
      </c>
      <c r="Z191">
        <v>-2.5513869999999999E-4</v>
      </c>
      <c r="AA191">
        <v>0.99998350000000003</v>
      </c>
      <c r="AB191">
        <v>24</v>
      </c>
      <c r="AC191">
        <v>38.2348</v>
      </c>
      <c r="AD191">
        <v>-1.095985361231</v>
      </c>
      <c r="AE191">
        <v>0.654200000000002</v>
      </c>
      <c r="AF191">
        <v>0.220448950470787</v>
      </c>
      <c r="AG191">
        <v>-1.095985361231</v>
      </c>
      <c r="AH191">
        <v>38.208374735173201</v>
      </c>
      <c r="AI191">
        <v>91.643018779000201</v>
      </c>
      <c r="AJ191">
        <v>89.669427072062405</v>
      </c>
      <c r="AK191">
        <v>38.224726049446303</v>
      </c>
      <c r="AL191">
        <v>88.074634136174396</v>
      </c>
      <c r="AM191">
        <v>92.1935465664872</v>
      </c>
      <c r="AN191">
        <v>1.0000000128867199</v>
      </c>
    </row>
    <row r="192" spans="1:40" x14ac:dyDescent="0.25">
      <c r="A192" t="str">
        <f>"20190305135536945"</f>
        <v>20190305135536945</v>
      </c>
      <c r="B192" t="str">
        <f>"1551765336941230"</f>
        <v>1551765336941230</v>
      </c>
      <c r="C192" t="s">
        <v>40</v>
      </c>
      <c r="D192">
        <v>3.9616579999999999</v>
      </c>
      <c r="E192">
        <v>0.51653090000000002</v>
      </c>
      <c r="F192" t="s">
        <v>42</v>
      </c>
      <c r="G192">
        <v>-397.8657</v>
      </c>
      <c r="H192" s="1">
        <v>-1.12371E-6</v>
      </c>
      <c r="I192">
        <v>368.34339999999997</v>
      </c>
      <c r="J192">
        <v>-437.86669999999998</v>
      </c>
      <c r="K192">
        <v>1.0941609999999999</v>
      </c>
      <c r="L192">
        <v>367.72570000000002</v>
      </c>
      <c r="M192">
        <v>0.99944370000000005</v>
      </c>
      <c r="N192">
        <v>-2.4361569999999999E-2</v>
      </c>
      <c r="O192">
        <v>2.2781280000000001E-2</v>
      </c>
      <c r="P192">
        <v>0.9980369</v>
      </c>
      <c r="Q192">
        <v>9.8565979999999994E-3</v>
      </c>
      <c r="R192">
        <v>6.1847859999999998E-2</v>
      </c>
      <c r="S192">
        <v>3.0036930000000002</v>
      </c>
      <c r="T192">
        <v>-8.1814410000000004E-2</v>
      </c>
      <c r="U192">
        <v>4.6508790000000001E-2</v>
      </c>
      <c r="V192">
        <v>-3.908097E-2</v>
      </c>
      <c r="W192">
        <v>3.4203829999999998E-2</v>
      </c>
      <c r="X192">
        <v>0.9986505</v>
      </c>
      <c r="Y192">
        <v>7.3020940000000003E-3</v>
      </c>
      <c r="Z192">
        <v>-2.536266E-4</v>
      </c>
      <c r="AA192">
        <v>0.99997329999999995</v>
      </c>
      <c r="AB192">
        <v>24</v>
      </c>
      <c r="AC192">
        <v>40.000999999999898</v>
      </c>
      <c r="AD192">
        <v>-1.0941621237100001</v>
      </c>
      <c r="AE192">
        <v>0.61769999999995595</v>
      </c>
      <c r="AF192">
        <v>0.29378507823341299</v>
      </c>
      <c r="AG192">
        <v>-1.0941621237100001</v>
      </c>
      <c r="AH192">
        <v>39.974786391336998</v>
      </c>
      <c r="AI192">
        <v>91.567826548763406</v>
      </c>
      <c r="AJ192">
        <v>89.578926029548896</v>
      </c>
      <c r="AK192">
        <v>39.990837043730103</v>
      </c>
      <c r="AL192">
        <v>88.039882624643894</v>
      </c>
      <c r="AM192">
        <v>92.241056932350801</v>
      </c>
      <c r="AN192">
        <v>1.00000002267652</v>
      </c>
    </row>
    <row r="193" spans="1:40" x14ac:dyDescent="0.25">
      <c r="A193" t="str">
        <f>"20190305135536966"</f>
        <v>20190305135536966</v>
      </c>
      <c r="B193" t="str">
        <f>"1551765336961725"</f>
        <v>1551765336961725</v>
      </c>
      <c r="C193" t="s">
        <v>40</v>
      </c>
      <c r="D193">
        <v>3.9209139999999998</v>
      </c>
      <c r="E193">
        <v>0.51613750000000003</v>
      </c>
      <c r="F193" t="s">
        <v>43</v>
      </c>
      <c r="G193">
        <v>-402.43400000000003</v>
      </c>
      <c r="H193">
        <v>-0.05</v>
      </c>
      <c r="I193">
        <v>368.29300000000001</v>
      </c>
      <c r="J193">
        <v>-437.64</v>
      </c>
      <c r="K193">
        <v>1.092265</v>
      </c>
      <c r="L193">
        <v>367.73079999999999</v>
      </c>
      <c r="M193">
        <v>0.99944219999999895</v>
      </c>
      <c r="N193">
        <v>-2.4492920000000001E-2</v>
      </c>
      <c r="O193">
        <v>2.2698820000000001E-2</v>
      </c>
      <c r="P193">
        <v>0.99801899999999999</v>
      </c>
      <c r="Q193">
        <v>9.6884710000000006E-3</v>
      </c>
      <c r="R193">
        <v>6.2161590000000003E-2</v>
      </c>
      <c r="S193">
        <v>3.0039060000000002</v>
      </c>
      <c r="T193">
        <v>-9.699953E-2</v>
      </c>
      <c r="U193">
        <v>4.8095699999999998E-2</v>
      </c>
      <c r="V193">
        <v>-3.9477690000000003E-2</v>
      </c>
      <c r="W193">
        <v>3.4166660000000001E-2</v>
      </c>
      <c r="X193">
        <v>0.99863610000000003</v>
      </c>
      <c r="Y193">
        <v>6.6910329999999999E-3</v>
      </c>
      <c r="Z193">
        <v>-3.6660970000000002E-4</v>
      </c>
      <c r="AA193">
        <v>0.99997749999999996</v>
      </c>
      <c r="AB193">
        <v>24</v>
      </c>
      <c r="AC193">
        <v>35.205999999999896</v>
      </c>
      <c r="AD193">
        <v>-1.1422649999999901</v>
      </c>
      <c r="AE193">
        <v>0.56220000000001802</v>
      </c>
      <c r="AF193">
        <v>0.237069967337287</v>
      </c>
      <c r="AG193">
        <v>-1.1422649999999901</v>
      </c>
      <c r="AH193">
        <v>35.1726723144305</v>
      </c>
      <c r="AI193">
        <v>91.860037357525698</v>
      </c>
      <c r="AJ193">
        <v>89.613822266089002</v>
      </c>
      <c r="AK193">
        <v>35.192013998035797</v>
      </c>
      <c r="AL193">
        <v>88.0420134205674</v>
      </c>
      <c r="AM193">
        <v>92.263815480935193</v>
      </c>
      <c r="AN193">
        <v>0.99999995444324896</v>
      </c>
    </row>
    <row r="194" spans="1:40" x14ac:dyDescent="0.25">
      <c r="A194" t="str">
        <f>"20190305135536990"</f>
        <v>20190305135536990</v>
      </c>
      <c r="B194" t="str">
        <f>"1551765336981245"</f>
        <v>1551765336981245</v>
      </c>
      <c r="C194" t="s">
        <v>40</v>
      </c>
      <c r="D194">
        <v>3.951838</v>
      </c>
      <c r="E194">
        <v>0.51589240000000003</v>
      </c>
      <c r="F194" t="s">
        <v>43</v>
      </c>
      <c r="G194">
        <v>-406.53089999999997</v>
      </c>
      <c r="H194">
        <v>-0.05</v>
      </c>
      <c r="I194">
        <v>368.26620000000003</v>
      </c>
      <c r="J194">
        <v>-437.3904</v>
      </c>
      <c r="K194">
        <v>1.0899490000000001</v>
      </c>
      <c r="L194">
        <v>367.7364</v>
      </c>
      <c r="M194">
        <v>0.99945240000000002</v>
      </c>
      <c r="N194">
        <v>-2.4166340000000001E-2</v>
      </c>
      <c r="O194">
        <v>2.260974E-2</v>
      </c>
      <c r="P194">
        <v>0.99800409999999995</v>
      </c>
      <c r="Q194">
        <v>1.000274E-2</v>
      </c>
      <c r="R194">
        <v>6.2353810000000003E-2</v>
      </c>
      <c r="S194">
        <v>3.0038450000000001</v>
      </c>
      <c r="T194">
        <v>-0.1102953</v>
      </c>
      <c r="U194">
        <v>5.1696779999999998E-2</v>
      </c>
      <c r="V194">
        <v>-3.9759129999999997E-2</v>
      </c>
      <c r="W194">
        <v>3.415427E-2</v>
      </c>
      <c r="X194">
        <v>0.9986254</v>
      </c>
      <c r="Y194">
        <v>5.4019330000000003E-3</v>
      </c>
      <c r="Z194">
        <v>-4.4777499999999997E-4</v>
      </c>
      <c r="AA194">
        <v>0.99998529999999997</v>
      </c>
      <c r="AB194">
        <v>24</v>
      </c>
      <c r="AC194">
        <v>30.859500000000001</v>
      </c>
      <c r="AD194">
        <v>-1.1399489999999901</v>
      </c>
      <c r="AE194">
        <v>0.52980000000002203</v>
      </c>
      <c r="AF194">
        <v>0.16803527826974299</v>
      </c>
      <c r="AG194">
        <v>-1.1399489999999901</v>
      </c>
      <c r="AH194">
        <v>30.8215433332259</v>
      </c>
      <c r="AI194">
        <v>92.118113921031707</v>
      </c>
      <c r="AJ194">
        <v>89.687633524262097</v>
      </c>
      <c r="AK194">
        <v>30.843074636282001</v>
      </c>
      <c r="AL194">
        <v>88.042723811342498</v>
      </c>
      <c r="AM194">
        <v>92.279961856998398</v>
      </c>
      <c r="AN194">
        <v>0.99999999605137402</v>
      </c>
    </row>
    <row r="195" spans="1:40" x14ac:dyDescent="0.25">
      <c r="A195" t="str">
        <f>"20190305135537011"</f>
        <v>20190305135537011</v>
      </c>
      <c r="B195" t="str">
        <f>"1551765337001742"</f>
        <v>1551765337001742</v>
      </c>
      <c r="C195" t="s">
        <v>40</v>
      </c>
      <c r="D195">
        <v>3.9298700000000002</v>
      </c>
      <c r="E195">
        <v>0.51565950000000005</v>
      </c>
      <c r="F195" t="s">
        <v>43</v>
      </c>
      <c r="G195">
        <v>-408.82139999999998</v>
      </c>
      <c r="H195">
        <v>-0.05</v>
      </c>
      <c r="I195">
        <v>368.24889999999999</v>
      </c>
      <c r="J195">
        <v>-437.16090000000003</v>
      </c>
      <c r="K195">
        <v>1.0876330000000001</v>
      </c>
      <c r="L195">
        <v>367.74149999999997</v>
      </c>
      <c r="M195">
        <v>0.99947169999999996</v>
      </c>
      <c r="N195">
        <v>-2.3424210000000001E-2</v>
      </c>
      <c r="O195">
        <v>2.2529819999999999E-2</v>
      </c>
      <c r="P195">
        <v>0.99797639999999999</v>
      </c>
      <c r="Q195">
        <v>1.079453E-2</v>
      </c>
      <c r="R195">
        <v>6.2662419999999996E-2</v>
      </c>
      <c r="S195">
        <v>3.003876</v>
      </c>
      <c r="T195">
        <v>-0.1198592</v>
      </c>
      <c r="U195">
        <v>5.3894039999999997E-2</v>
      </c>
      <c r="V195">
        <v>-4.0148570000000001E-2</v>
      </c>
      <c r="W195">
        <v>3.4204310000000002E-2</v>
      </c>
      <c r="X195">
        <v>0.9986081</v>
      </c>
      <c r="Y195">
        <v>4.58947E-3</v>
      </c>
      <c r="Z195">
        <v>-5.1601279999999999E-4</v>
      </c>
      <c r="AA195">
        <v>0.99998929999999997</v>
      </c>
      <c r="AB195">
        <v>24</v>
      </c>
      <c r="AC195">
        <v>28.339500000000001</v>
      </c>
      <c r="AD195">
        <v>-1.1376329999999999</v>
      </c>
      <c r="AE195">
        <v>0.50740000000001795</v>
      </c>
      <c r="AF195">
        <v>0.13117662801191901</v>
      </c>
      <c r="AG195">
        <v>-1.1376329999999999</v>
      </c>
      <c r="AH195">
        <v>28.298150669403501</v>
      </c>
      <c r="AI195">
        <v>92.302121796099598</v>
      </c>
      <c r="AJ195">
        <v>89.7344062016424</v>
      </c>
      <c r="AK195">
        <v>28.321312601267099</v>
      </c>
      <c r="AL195">
        <v>88.039855042376502</v>
      </c>
      <c r="AM195">
        <v>92.302309971972605</v>
      </c>
      <c r="AN195">
        <v>0.99999998994061501</v>
      </c>
    </row>
    <row r="196" spans="1:40" x14ac:dyDescent="0.25">
      <c r="A196" t="str">
        <f>"20190305135537034"</f>
        <v>20190305135537034</v>
      </c>
      <c r="B196" t="str">
        <f>"1551765337021261"</f>
        <v>1551765337021261</v>
      </c>
      <c r="C196" t="s">
        <v>40</v>
      </c>
      <c r="D196">
        <v>3.9169849999999999</v>
      </c>
      <c r="E196">
        <v>0.51578919999999995</v>
      </c>
      <c r="F196" t="s">
        <v>43</v>
      </c>
      <c r="G196">
        <v>-410.01749999999998</v>
      </c>
      <c r="H196">
        <v>-0.05</v>
      </c>
      <c r="I196">
        <v>368.24799999999999</v>
      </c>
      <c r="J196">
        <v>-436.91890000000001</v>
      </c>
      <c r="K196">
        <v>1.085086</v>
      </c>
      <c r="L196">
        <v>367.74689999999998</v>
      </c>
      <c r="M196">
        <v>0.99949520000000003</v>
      </c>
      <c r="N196">
        <v>-2.2486099999999998E-2</v>
      </c>
      <c r="O196">
        <v>2.2450879999999999E-2</v>
      </c>
      <c r="P196">
        <v>0.99794039999999995</v>
      </c>
      <c r="Q196">
        <v>1.2706520000000001E-2</v>
      </c>
      <c r="R196">
        <v>6.2877470000000005E-2</v>
      </c>
      <c r="S196">
        <v>3.003876</v>
      </c>
      <c r="T196">
        <v>-0.1258985</v>
      </c>
      <c r="U196">
        <v>5.6060789999999999E-2</v>
      </c>
      <c r="V196">
        <v>-4.0443390000000003E-2</v>
      </c>
      <c r="W196">
        <v>3.5178380000000002E-2</v>
      </c>
      <c r="X196">
        <v>0.99856239999999996</v>
      </c>
      <c r="Y196">
        <v>3.7884450000000001E-3</v>
      </c>
      <c r="Z196">
        <v>-5.5753040000000001E-4</v>
      </c>
      <c r="AA196">
        <v>0.99999269999999996</v>
      </c>
      <c r="AB196">
        <v>24</v>
      </c>
      <c r="AC196">
        <v>26.901399999999999</v>
      </c>
      <c r="AD196">
        <v>-1.135086</v>
      </c>
      <c r="AE196">
        <v>0.50110000000006405</v>
      </c>
      <c r="AF196">
        <v>0.102955885129405</v>
      </c>
      <c r="AG196">
        <v>-1.135086</v>
      </c>
      <c r="AH196">
        <v>26.858068539652098</v>
      </c>
      <c r="AI196">
        <v>92.419998344617397</v>
      </c>
      <c r="AJ196">
        <v>89.780367348767101</v>
      </c>
      <c r="AK196">
        <v>26.8822407143142</v>
      </c>
      <c r="AL196">
        <v>87.984011399510393</v>
      </c>
      <c r="AM196">
        <v>92.319303983622405</v>
      </c>
      <c r="AN196">
        <v>1.0000000264539299</v>
      </c>
    </row>
    <row r="197" spans="1:40" x14ac:dyDescent="0.25">
      <c r="A197" t="str">
        <f>"20190305135537056"</f>
        <v>20190305135537056</v>
      </c>
      <c r="B197" t="str">
        <f>"1551765337051517"</f>
        <v>1551765337051517</v>
      </c>
      <c r="C197" t="s">
        <v>40</v>
      </c>
      <c r="D197">
        <v>3.963994</v>
      </c>
      <c r="E197">
        <v>0.515428</v>
      </c>
      <c r="F197" t="s">
        <v>43</v>
      </c>
      <c r="G197">
        <v>-408.94450000000001</v>
      </c>
      <c r="H197">
        <v>-0.05</v>
      </c>
      <c r="I197">
        <v>368.26609999999999</v>
      </c>
      <c r="J197">
        <v>-436.69209999999998</v>
      </c>
      <c r="K197">
        <v>1.08267</v>
      </c>
      <c r="L197">
        <v>367.7518</v>
      </c>
      <c r="M197">
        <v>0.99951829999999997</v>
      </c>
      <c r="N197">
        <v>-2.151192E-2</v>
      </c>
      <c r="O197">
        <v>2.2375119999999998E-2</v>
      </c>
      <c r="P197">
        <v>0.99789919999999999</v>
      </c>
      <c r="Q197">
        <v>1.457527E-2</v>
      </c>
      <c r="R197">
        <v>6.312856E-2</v>
      </c>
      <c r="S197">
        <v>3.0042420000000001</v>
      </c>
      <c r="T197">
        <v>-0.1218996</v>
      </c>
      <c r="U197">
        <v>5.5755619999999999E-2</v>
      </c>
      <c r="V197">
        <v>-4.0771580000000002E-2</v>
      </c>
      <c r="W197">
        <v>3.6072840000000002E-2</v>
      </c>
      <c r="X197">
        <v>0.99851710000000005</v>
      </c>
      <c r="Y197">
        <v>3.8164589999999999E-3</v>
      </c>
      <c r="Z197">
        <v>-5.4449890000000001E-4</v>
      </c>
      <c r="AA197">
        <v>0.99999249999999995</v>
      </c>
      <c r="AB197">
        <v>24</v>
      </c>
      <c r="AC197">
        <v>27.747599999999899</v>
      </c>
      <c r="AD197">
        <v>-1.1326700000000001</v>
      </c>
      <c r="AE197">
        <v>0.51429999999999099</v>
      </c>
      <c r="AF197">
        <v>0.106650673990781</v>
      </c>
      <c r="AG197">
        <v>-1.1326700000000001</v>
      </c>
      <c r="AH197">
        <v>27.706009278675001</v>
      </c>
      <c r="AI197">
        <v>92.341030479401297</v>
      </c>
      <c r="AJ197">
        <v>89.779448448927894</v>
      </c>
      <c r="AK197">
        <v>27.729357472635101</v>
      </c>
      <c r="AL197">
        <v>87.932729977944803</v>
      </c>
      <c r="AM197">
        <v>92.338209822684505</v>
      </c>
      <c r="AN197">
        <v>0.99999998525688505</v>
      </c>
    </row>
    <row r="198" spans="1:40" x14ac:dyDescent="0.25">
      <c r="A198" t="str">
        <f>"20190305135537079"</f>
        <v>20190305135537079</v>
      </c>
      <c r="B198" t="str">
        <f>"1551765337072013"</f>
        <v>1551765337072013</v>
      </c>
      <c r="C198" t="s">
        <v>40</v>
      </c>
      <c r="D198">
        <v>3.9329239999999999</v>
      </c>
      <c r="E198">
        <v>0.51523599999999903</v>
      </c>
      <c r="F198" t="s">
        <v>43</v>
      </c>
      <c r="G198">
        <v>-409.75060000000002</v>
      </c>
      <c r="H198">
        <v>-0.05</v>
      </c>
      <c r="I198">
        <v>368.2783</v>
      </c>
      <c r="J198">
        <v>-436.44130000000001</v>
      </c>
      <c r="K198">
        <v>1.08002</v>
      </c>
      <c r="L198">
        <v>367.75740000000002</v>
      </c>
      <c r="M198">
        <v>0.9995463</v>
      </c>
      <c r="N198">
        <v>-2.0264620000000001E-2</v>
      </c>
      <c r="O198">
        <v>2.2284160000000001E-2</v>
      </c>
      <c r="P198">
        <v>0.99786779999999997</v>
      </c>
      <c r="Q198">
        <v>1.597498E-2</v>
      </c>
      <c r="R198">
        <v>6.3285649999999999E-2</v>
      </c>
      <c r="S198">
        <v>3.0044559999999998</v>
      </c>
      <c r="T198">
        <v>-0.12631249999999999</v>
      </c>
      <c r="U198">
        <v>5.8715820000000002E-2</v>
      </c>
      <c r="V198">
        <v>-4.102132E-2</v>
      </c>
      <c r="W198">
        <v>3.622533E-2</v>
      </c>
      <c r="X198">
        <v>0.99850139999999998</v>
      </c>
      <c r="Y198">
        <v>2.7412859999999999E-3</v>
      </c>
      <c r="Z198">
        <v>-5.701123E-4</v>
      </c>
      <c r="AA198">
        <v>0.99999610000000005</v>
      </c>
      <c r="AB198">
        <v>24</v>
      </c>
      <c r="AC198">
        <v>26.6907</v>
      </c>
      <c r="AD198">
        <v>-1.13002</v>
      </c>
      <c r="AE198">
        <v>0.52089999999998304</v>
      </c>
      <c r="AF198">
        <v>7.3998792513998699E-2</v>
      </c>
      <c r="AG198">
        <v>-1.13002</v>
      </c>
      <c r="AH198">
        <v>26.647932091747499</v>
      </c>
      <c r="AI198">
        <v>92.428194433723206</v>
      </c>
      <c r="AJ198">
        <v>89.840895436556394</v>
      </c>
      <c r="AK198">
        <v>26.671983536814</v>
      </c>
      <c r="AL198">
        <v>87.923987332506798</v>
      </c>
      <c r="AM198">
        <v>92.3525530706723</v>
      </c>
      <c r="AN198">
        <v>1.0000000345150499</v>
      </c>
    </row>
    <row r="199" spans="1:40" x14ac:dyDescent="0.25">
      <c r="A199" t="str">
        <f>"20190305135537101"</f>
        <v>20190305135537101</v>
      </c>
      <c r="B199" t="str">
        <f>"1551765337091534"</f>
        <v>1551765337091534</v>
      </c>
      <c r="C199" t="s">
        <v>40</v>
      </c>
      <c r="D199">
        <v>3.9514719999999999</v>
      </c>
      <c r="E199">
        <v>0.51508529999999997</v>
      </c>
      <c r="F199" t="s">
        <v>43</v>
      </c>
      <c r="G199">
        <v>-409.70030000000003</v>
      </c>
      <c r="H199">
        <v>-0.05</v>
      </c>
      <c r="I199">
        <v>368.2971</v>
      </c>
      <c r="J199">
        <v>-436.20319999999998</v>
      </c>
      <c r="K199">
        <v>1.0775749999999999</v>
      </c>
      <c r="L199">
        <v>367.76260000000002</v>
      </c>
      <c r="M199">
        <v>0.99957470000000004</v>
      </c>
      <c r="N199">
        <v>-1.8928070000000002E-2</v>
      </c>
      <c r="O199">
        <v>2.2191249999999999E-2</v>
      </c>
      <c r="P199">
        <v>0.99787440000000005</v>
      </c>
      <c r="Q199">
        <v>1.7510149999999999E-2</v>
      </c>
      <c r="R199">
        <v>6.2772590000000003E-2</v>
      </c>
      <c r="S199">
        <v>3.0046080000000002</v>
      </c>
      <c r="T199">
        <v>-0.12696869999999999</v>
      </c>
      <c r="U199">
        <v>6.063843E-2</v>
      </c>
      <c r="V199">
        <v>-4.0601560000000002E-2</v>
      </c>
      <c r="W199">
        <v>3.6424980000000003E-2</v>
      </c>
      <c r="X199">
        <v>0.99851129999999999</v>
      </c>
      <c r="Y199">
        <v>2.00935E-3</v>
      </c>
      <c r="Z199">
        <v>-5.7862039999999999E-4</v>
      </c>
      <c r="AA199">
        <v>0.99999780000000005</v>
      </c>
      <c r="AB199">
        <v>24</v>
      </c>
      <c r="AC199">
        <v>26.502899999999901</v>
      </c>
      <c r="AD199">
        <v>-1.127575</v>
      </c>
      <c r="AE199">
        <v>0.53449999999997999</v>
      </c>
      <c r="AF199">
        <v>5.3772151356838598E-2</v>
      </c>
      <c r="AG199">
        <v>-1.127575</v>
      </c>
      <c r="AH199">
        <v>26.460357920493699</v>
      </c>
      <c r="AI199">
        <v>92.440106513830699</v>
      </c>
      <c r="AJ199">
        <v>89.883564950397897</v>
      </c>
      <c r="AK199">
        <v>26.484426709021299</v>
      </c>
      <c r="AL199">
        <v>87.912540689598401</v>
      </c>
      <c r="AM199">
        <v>92.328483608667099</v>
      </c>
      <c r="AN199">
        <v>1.00000004103506</v>
      </c>
    </row>
    <row r="200" spans="1:40" x14ac:dyDescent="0.25">
      <c r="A200" t="str">
        <f>"20190305135537123"</f>
        <v>20190305135537123</v>
      </c>
      <c r="B200" t="str">
        <f>"1551765337112033"</f>
        <v>1551765337112033</v>
      </c>
      <c r="C200" t="s">
        <v>40</v>
      </c>
      <c r="D200">
        <v>3.9428450000000002</v>
      </c>
      <c r="E200">
        <v>0.51495939999999996</v>
      </c>
      <c r="F200" t="s">
        <v>43</v>
      </c>
      <c r="G200">
        <v>-409.63510000000002</v>
      </c>
      <c r="H200">
        <v>-0.05</v>
      </c>
      <c r="I200">
        <v>368.29520000000002</v>
      </c>
      <c r="J200">
        <v>-435.96499999999997</v>
      </c>
      <c r="K200">
        <v>1.075275</v>
      </c>
      <c r="L200">
        <v>367.76780000000002</v>
      </c>
      <c r="M200">
        <v>0.99960210000000005</v>
      </c>
      <c r="N200">
        <v>-1.753613E-2</v>
      </c>
      <c r="O200">
        <v>2.209771E-2</v>
      </c>
      <c r="P200">
        <v>0.99787720000000002</v>
      </c>
      <c r="Q200">
        <v>1.8192570000000002E-2</v>
      </c>
      <c r="R200">
        <v>6.2534950000000006E-2</v>
      </c>
      <c r="S200">
        <v>3.0049130000000002</v>
      </c>
      <c r="T200">
        <v>-0.12753139999999999</v>
      </c>
      <c r="U200">
        <v>6.0241699999999898E-2</v>
      </c>
      <c r="V200">
        <v>-4.0458330000000001E-2</v>
      </c>
      <c r="W200">
        <v>3.5717350000000002E-2</v>
      </c>
      <c r="X200">
        <v>0.99854259999999995</v>
      </c>
      <c r="Y200">
        <v>2.0484129999999998E-3</v>
      </c>
      <c r="Z200">
        <v>-6.1120049999999996E-4</v>
      </c>
      <c r="AA200">
        <v>0.99999769999999999</v>
      </c>
      <c r="AB200">
        <v>24</v>
      </c>
      <c r="AC200">
        <v>26.329899999999899</v>
      </c>
      <c r="AD200">
        <v>-1.125275</v>
      </c>
      <c r="AE200">
        <v>0.52739999999999998</v>
      </c>
      <c r="AF200">
        <v>5.4549151419869199E-2</v>
      </c>
      <c r="AG200">
        <v>-1.125275</v>
      </c>
      <c r="AH200">
        <v>26.287130696443299</v>
      </c>
      <c r="AI200">
        <v>92.451162598436497</v>
      </c>
      <c r="AJ200">
        <v>89.881104115078998</v>
      </c>
      <c r="AK200">
        <v>26.311261081283</v>
      </c>
      <c r="AL200">
        <v>87.9531111474911</v>
      </c>
      <c r="AM200">
        <v>92.320205766458002</v>
      </c>
      <c r="AN200">
        <v>0.99999996478608499</v>
      </c>
    </row>
    <row r="201" spans="1:40" x14ac:dyDescent="0.25">
      <c r="A201" t="str">
        <f>"20190305135537144"</f>
        <v>20190305135537144</v>
      </c>
      <c r="B201" t="str">
        <f>"1551765337141309"</f>
        <v>1551765337141309</v>
      </c>
      <c r="C201" t="s">
        <v>40</v>
      </c>
      <c r="D201">
        <v>3.9469590000000001</v>
      </c>
      <c r="E201">
        <v>0.51482910000000004</v>
      </c>
      <c r="F201" t="s">
        <v>43</v>
      </c>
      <c r="G201">
        <v>-409.86559999999997</v>
      </c>
      <c r="H201">
        <v>-0.05</v>
      </c>
      <c r="I201">
        <v>368.29070000000002</v>
      </c>
      <c r="J201">
        <v>-435.74090000000001</v>
      </c>
      <c r="K201">
        <v>1.073283</v>
      </c>
      <c r="L201">
        <v>367.77260000000001</v>
      </c>
      <c r="M201">
        <v>0.9996254</v>
      </c>
      <c r="N201">
        <v>-1.6268109999999999E-2</v>
      </c>
      <c r="O201">
        <v>2.2012609999999998E-2</v>
      </c>
      <c r="P201">
        <v>0.99787150000000002</v>
      </c>
      <c r="Q201">
        <v>1.909665E-2</v>
      </c>
      <c r="R201">
        <v>6.235301E-2</v>
      </c>
      <c r="S201">
        <v>3.0050050000000001</v>
      </c>
      <c r="T201">
        <v>-0.12956089999999901</v>
      </c>
      <c r="U201">
        <v>6.0211180000000003E-2</v>
      </c>
      <c r="V201">
        <v>-4.0361710000000002E-2</v>
      </c>
      <c r="W201">
        <v>3.535423E-2</v>
      </c>
      <c r="X201">
        <v>0.99855950000000004</v>
      </c>
      <c r="Y201">
        <v>1.9725680000000001E-3</v>
      </c>
      <c r="Z201">
        <v>-6.4895779999999998E-4</v>
      </c>
      <c r="AA201">
        <v>0.9999979</v>
      </c>
      <c r="AB201">
        <v>24</v>
      </c>
      <c r="AC201">
        <v>25.875299999999999</v>
      </c>
      <c r="AD201">
        <v>-1.123283</v>
      </c>
      <c r="AE201">
        <v>0.518100000000004</v>
      </c>
      <c r="AF201">
        <v>5.1586624953352402E-2</v>
      </c>
      <c r="AG201">
        <v>-1.123283</v>
      </c>
      <c r="AH201">
        <v>25.831773070609501</v>
      </c>
      <c r="AI201">
        <v>92.489907562625902</v>
      </c>
      <c r="AJ201">
        <v>89.885579206975805</v>
      </c>
      <c r="AK201">
        <v>25.8562357246647</v>
      </c>
      <c r="AL201">
        <v>87.973929677096294</v>
      </c>
      <c r="AM201">
        <v>92.314631701444398</v>
      </c>
      <c r="AN201">
        <v>1.00000003212663</v>
      </c>
    </row>
    <row r="202" spans="1:40" x14ac:dyDescent="0.25">
      <c r="A202" t="str">
        <f>"20190305135537166"</f>
        <v>20190305135537166</v>
      </c>
      <c r="B202" t="str">
        <f>"1551765337161806"</f>
        <v>1551765337161806</v>
      </c>
      <c r="C202" t="s">
        <v>40</v>
      </c>
      <c r="D202">
        <v>3.9424649999999999</v>
      </c>
      <c r="E202">
        <v>0.51478119999999905</v>
      </c>
      <c r="F202" t="s">
        <v>43</v>
      </c>
      <c r="G202">
        <v>-410.22989999999999</v>
      </c>
      <c r="H202">
        <v>-0.05</v>
      </c>
      <c r="I202">
        <v>368.28559999999999</v>
      </c>
      <c r="J202">
        <v>-435.49439999999998</v>
      </c>
      <c r="K202">
        <v>1.07131</v>
      </c>
      <c r="L202">
        <v>367.77800000000002</v>
      </c>
      <c r="M202">
        <v>0.99964770000000003</v>
      </c>
      <c r="N202">
        <v>-1.497123E-2</v>
      </c>
      <c r="O202">
        <v>2.1922710000000002E-2</v>
      </c>
      <c r="P202">
        <v>0.99787099999999995</v>
      </c>
      <c r="Q202">
        <v>2.039842E-2</v>
      </c>
      <c r="R202">
        <v>6.1946910000000001E-2</v>
      </c>
      <c r="S202">
        <v>3.0051269999999999</v>
      </c>
      <c r="T202">
        <v>-0.13231989999999999</v>
      </c>
      <c r="U202">
        <v>6.0424800000000001E-2</v>
      </c>
      <c r="V202">
        <v>-4.0046489999999997E-2</v>
      </c>
      <c r="W202">
        <v>3.5360410000000002E-2</v>
      </c>
      <c r="X202">
        <v>0.99857189999999996</v>
      </c>
      <c r="Y202">
        <v>1.8108E-3</v>
      </c>
      <c r="Z202">
        <v>-6.8989219999999996E-4</v>
      </c>
      <c r="AA202">
        <v>0.99999819999999995</v>
      </c>
      <c r="AB202">
        <v>24</v>
      </c>
      <c r="AC202">
        <v>25.264500000000002</v>
      </c>
      <c r="AD202">
        <v>-1.12131</v>
      </c>
      <c r="AE202">
        <v>0.50759999999996797</v>
      </c>
      <c r="AF202">
        <v>4.63590511396689E-2</v>
      </c>
      <c r="AG202">
        <v>-1.12131</v>
      </c>
      <c r="AH202">
        <v>25.2198969942933</v>
      </c>
      <c r="AI202">
        <v>92.545765278326201</v>
      </c>
      <c r="AJ202">
        <v>89.894679388205304</v>
      </c>
      <c r="AK202">
        <v>25.244854716961399</v>
      </c>
      <c r="AL202">
        <v>87.973575220851203</v>
      </c>
      <c r="AM202">
        <v>92.296545656145895</v>
      </c>
      <c r="AN202">
        <v>0.99999995971314803</v>
      </c>
    </row>
    <row r="203" spans="1:40" x14ac:dyDescent="0.25">
      <c r="A203" t="str">
        <f>"20190305135537190"</f>
        <v>20190305135537190</v>
      </c>
      <c r="B203" t="str">
        <f>"1551765337181326"</f>
        <v>1551765337181326</v>
      </c>
      <c r="C203" t="s">
        <v>40</v>
      </c>
      <c r="D203">
        <v>3.9240910000000002</v>
      </c>
      <c r="E203">
        <v>0.5147581</v>
      </c>
      <c r="F203" t="s">
        <v>43</v>
      </c>
      <c r="G203">
        <v>-409.86939999999998</v>
      </c>
      <c r="H203">
        <v>-0.05</v>
      </c>
      <c r="I203">
        <v>368.2851</v>
      </c>
      <c r="J203">
        <v>-435.24200000000002</v>
      </c>
      <c r="K203">
        <v>1.0695349999999999</v>
      </c>
      <c r="L203">
        <v>367.78339999999997</v>
      </c>
      <c r="M203">
        <v>0.99966679999999997</v>
      </c>
      <c r="N203">
        <v>-1.377391E-2</v>
      </c>
      <c r="O203">
        <v>2.1832750000000001E-2</v>
      </c>
      <c r="P203">
        <v>0.99785299999999999</v>
      </c>
      <c r="Q203">
        <v>2.159759E-2</v>
      </c>
      <c r="R203">
        <v>6.1833140000000002E-2</v>
      </c>
      <c r="S203">
        <v>3.0054020000000001</v>
      </c>
      <c r="T203">
        <v>-0.13151199999999999</v>
      </c>
      <c r="U203">
        <v>5.9478759999999999E-2</v>
      </c>
      <c r="V203">
        <v>-4.002315E-2</v>
      </c>
      <c r="W203">
        <v>3.5363749999999999E-2</v>
      </c>
      <c r="X203">
        <v>0.99857280000000004</v>
      </c>
      <c r="Y203">
        <v>2.0361519999999998E-3</v>
      </c>
      <c r="Z203">
        <v>-7.1262569999999996E-4</v>
      </c>
      <c r="AA203">
        <v>0.99999769999999999</v>
      </c>
      <c r="AB203">
        <v>24</v>
      </c>
      <c r="AC203">
        <v>25.372599999999899</v>
      </c>
      <c r="AD203">
        <v>-1.1195349999999999</v>
      </c>
      <c r="AE203">
        <v>0.50170000000002701</v>
      </c>
      <c r="AF203">
        <v>5.2323939735726001E-2</v>
      </c>
      <c r="AG203">
        <v>-1.1195349999999999</v>
      </c>
      <c r="AH203">
        <v>25.3282130704259</v>
      </c>
      <c r="AI203">
        <v>92.530883987195907</v>
      </c>
      <c r="AJ203">
        <v>89.8816364722896</v>
      </c>
      <c r="AK203">
        <v>25.3529973326979</v>
      </c>
      <c r="AL203">
        <v>87.973383900263698</v>
      </c>
      <c r="AM203">
        <v>92.295206542853606</v>
      </c>
      <c r="AN203">
        <v>1.00000004212491</v>
      </c>
    </row>
    <row r="204" spans="1:40" x14ac:dyDescent="0.25">
      <c r="A204" t="str">
        <f>"20190305135537212"</f>
        <v>20190305135537212</v>
      </c>
      <c r="B204" t="str">
        <f>"1551765337201822"</f>
        <v>1551765337201822</v>
      </c>
      <c r="C204" t="s">
        <v>40</v>
      </c>
      <c r="D204">
        <v>3.9645959999999998</v>
      </c>
      <c r="E204">
        <v>0.51476350000000004</v>
      </c>
      <c r="F204" t="s">
        <v>43</v>
      </c>
      <c r="G204">
        <v>-409.55880000000002</v>
      </c>
      <c r="H204">
        <v>-0.05</v>
      </c>
      <c r="I204">
        <v>368.28769999999997</v>
      </c>
      <c r="J204">
        <v>-434.99239999999998</v>
      </c>
      <c r="K204">
        <v>1.0680099999999999</v>
      </c>
      <c r="L204">
        <v>367.78879999999998</v>
      </c>
      <c r="M204">
        <v>0.99968270000000004</v>
      </c>
      <c r="N204">
        <v>-1.272178E-2</v>
      </c>
      <c r="O204">
        <v>2.1743780000000001E-2</v>
      </c>
      <c r="P204">
        <v>0.99782599999999999</v>
      </c>
      <c r="Q204">
        <v>2.2890009999999999E-2</v>
      </c>
      <c r="R204">
        <v>6.1800359999999999E-2</v>
      </c>
      <c r="S204">
        <v>3.0056759999999998</v>
      </c>
      <c r="T204">
        <v>-0.13101789999999999</v>
      </c>
      <c r="U204">
        <v>5.9020999999999997E-2</v>
      </c>
      <c r="V204">
        <v>-4.0079950000000003E-2</v>
      </c>
      <c r="W204">
        <v>3.5604879999999998E-2</v>
      </c>
      <c r="X204">
        <v>0.9985619</v>
      </c>
      <c r="Y204">
        <v>2.1003419999999998E-3</v>
      </c>
      <c r="Z204">
        <v>-7.2974629999999997E-4</v>
      </c>
      <c r="AA204">
        <v>0.99999760000000004</v>
      </c>
      <c r="AB204">
        <v>25</v>
      </c>
      <c r="AC204">
        <v>25.433599999999899</v>
      </c>
      <c r="AD204">
        <v>-1.1180099999999999</v>
      </c>
      <c r="AE204">
        <v>0.49889999999999102</v>
      </c>
      <c r="AF204">
        <v>5.41806400616252E-2</v>
      </c>
      <c r="AG204">
        <v>-1.1180099999999999</v>
      </c>
      <c r="AH204">
        <v>25.389393579709001</v>
      </c>
      <c r="AI204">
        <v>92.521358125176206</v>
      </c>
      <c r="AJ204">
        <v>89.877731727429506</v>
      </c>
      <c r="AK204">
        <v>25.4140549351579</v>
      </c>
      <c r="AL204">
        <v>87.959559354889393</v>
      </c>
      <c r="AM204">
        <v>92.298485422372195</v>
      </c>
      <c r="AN204">
        <v>0.99999998900171305</v>
      </c>
    </row>
    <row r="205" spans="1:40" x14ac:dyDescent="0.25">
      <c r="A205" t="str">
        <f>"20190305135537235"</f>
        <v>20190305135537235</v>
      </c>
      <c r="B205" t="str">
        <f>"1551765337232078"</f>
        <v>1551765337232078</v>
      </c>
      <c r="C205" t="s">
        <v>40</v>
      </c>
      <c r="D205">
        <v>3.9950890000000001</v>
      </c>
      <c r="E205">
        <v>0.5147195</v>
      </c>
      <c r="F205" t="s">
        <v>43</v>
      </c>
      <c r="G205">
        <v>-409.0625</v>
      </c>
      <c r="H205">
        <v>-0.05</v>
      </c>
      <c r="I205">
        <v>368.29390000000001</v>
      </c>
      <c r="J205">
        <v>-434.75299999999999</v>
      </c>
      <c r="K205">
        <v>1.0667329999999999</v>
      </c>
      <c r="L205">
        <v>367.79390000000001</v>
      </c>
      <c r="M205">
        <v>0.99969569999999996</v>
      </c>
      <c r="N205">
        <v>-1.18222E-2</v>
      </c>
      <c r="O205">
        <v>2.1657019999999999E-2</v>
      </c>
      <c r="P205">
        <v>0.99778800000000001</v>
      </c>
      <c r="Q205">
        <v>2.3659860000000001E-2</v>
      </c>
      <c r="R205">
        <v>6.2125090000000001E-2</v>
      </c>
      <c r="S205">
        <v>3.00589</v>
      </c>
      <c r="T205">
        <v>-0.129604</v>
      </c>
      <c r="U205">
        <v>5.8563230000000001E-2</v>
      </c>
      <c r="V205">
        <v>-4.0492470000000003E-2</v>
      </c>
      <c r="W205">
        <v>3.547525E-2</v>
      </c>
      <c r="X205">
        <v>0.99854989999999999</v>
      </c>
      <c r="Y205">
        <v>2.1667090000000002E-3</v>
      </c>
      <c r="Z205">
        <v>-7.3669380000000002E-4</v>
      </c>
      <c r="AA205">
        <v>0.99999740000000004</v>
      </c>
      <c r="AB205">
        <v>25</v>
      </c>
      <c r="AC205">
        <v>25.6905</v>
      </c>
      <c r="AD205">
        <v>-1.116733</v>
      </c>
      <c r="AE205">
        <v>0.5</v>
      </c>
      <c r="AF205">
        <v>5.6429181069406802E-2</v>
      </c>
      <c r="AG205">
        <v>-1.116733</v>
      </c>
      <c r="AH205">
        <v>25.646860814392301</v>
      </c>
      <c r="AI205">
        <v>92.493230745472701</v>
      </c>
      <c r="AJ205">
        <v>89.873935889355394</v>
      </c>
      <c r="AK205">
        <v>25.671224093887201</v>
      </c>
      <c r="AL205">
        <v>87.966991361252497</v>
      </c>
      <c r="AM205">
        <v>92.322144528174604</v>
      </c>
      <c r="AN205">
        <v>1.00000001813963</v>
      </c>
    </row>
    <row r="206" spans="1:40" x14ac:dyDescent="0.25">
      <c r="A206" t="str">
        <f>"20190305135537255"</f>
        <v>20190305135537255</v>
      </c>
      <c r="B206" t="str">
        <f>"1551765337251598"</f>
        <v>1551765337251598</v>
      </c>
      <c r="C206" t="s">
        <v>40</v>
      </c>
      <c r="D206">
        <v>4.0046439999999999</v>
      </c>
      <c r="E206">
        <v>0.51469279999999995</v>
      </c>
      <c r="F206" t="s">
        <v>43</v>
      </c>
      <c r="G206">
        <v>-409.14150000000001</v>
      </c>
      <c r="H206">
        <v>-0.05</v>
      </c>
      <c r="I206">
        <v>368.30509999999998</v>
      </c>
      <c r="J206">
        <v>-434.5181</v>
      </c>
      <c r="K206">
        <v>1.065645</v>
      </c>
      <c r="L206">
        <v>367.79880000000003</v>
      </c>
      <c r="M206">
        <v>0.9997064</v>
      </c>
      <c r="N206">
        <v>-1.1040339999999999E-2</v>
      </c>
      <c r="O206">
        <v>2.1571440000000001E-2</v>
      </c>
      <c r="P206">
        <v>0.99773880000000004</v>
      </c>
      <c r="Q206">
        <v>2.4151389999999998E-2</v>
      </c>
      <c r="R206">
        <v>6.2722979999999998E-2</v>
      </c>
      <c r="S206">
        <v>3.0059809999999998</v>
      </c>
      <c r="T206">
        <v>-0.1310694</v>
      </c>
      <c r="U206">
        <v>5.9997559999999998E-2</v>
      </c>
      <c r="V206">
        <v>-4.117759E-2</v>
      </c>
      <c r="W206">
        <v>3.5186000000000002E-2</v>
      </c>
      <c r="X206">
        <v>0.99853210000000003</v>
      </c>
      <c r="Y206">
        <v>1.6043590000000001E-3</v>
      </c>
      <c r="Z206">
        <v>-7.4566949999999997E-4</v>
      </c>
      <c r="AA206">
        <v>0.99999850000000001</v>
      </c>
      <c r="AB206">
        <v>25</v>
      </c>
      <c r="AC206">
        <v>25.3766</v>
      </c>
      <c r="AD206">
        <v>-1.115645</v>
      </c>
      <c r="AE206">
        <v>0.50629999999995301</v>
      </c>
      <c r="AF206">
        <v>4.1181403154229301E-2</v>
      </c>
      <c r="AG206">
        <v>-1.115645</v>
      </c>
      <c r="AH206">
        <v>25.332673357320299</v>
      </c>
      <c r="AI206">
        <v>92.521659965688301</v>
      </c>
      <c r="AJ206">
        <v>89.906858684694598</v>
      </c>
      <c r="AK206">
        <v>25.357261269756201</v>
      </c>
      <c r="AL206">
        <v>87.983574485134199</v>
      </c>
      <c r="AM206">
        <v>92.361432430921894</v>
      </c>
      <c r="AN206">
        <v>1.0000000016223001</v>
      </c>
    </row>
    <row r="207" spans="1:40" x14ac:dyDescent="0.25">
      <c r="A207" t="str">
        <f>"20190305135537280"</f>
        <v>20190305135537280</v>
      </c>
      <c r="B207" t="str">
        <f>"1551765337272094"</f>
        <v>1551765337272094</v>
      </c>
      <c r="C207" t="s">
        <v>40</v>
      </c>
      <c r="D207">
        <v>4.0048709999999996</v>
      </c>
      <c r="E207">
        <v>0.51467890000000005</v>
      </c>
      <c r="F207" t="s">
        <v>43</v>
      </c>
      <c r="G207">
        <v>-409.1619</v>
      </c>
      <c r="H207">
        <v>-0.05</v>
      </c>
      <c r="I207">
        <v>368.32060000000001</v>
      </c>
      <c r="J207">
        <v>-434.2441</v>
      </c>
      <c r="K207">
        <v>1.064559</v>
      </c>
      <c r="L207">
        <v>367.80459999999999</v>
      </c>
      <c r="M207">
        <v>0.99971699999999997</v>
      </c>
      <c r="N207">
        <v>-1.024397E-2</v>
      </c>
      <c r="O207">
        <v>2.1471509999999999E-2</v>
      </c>
      <c r="P207">
        <v>0.9976891</v>
      </c>
      <c r="Q207">
        <v>2.5231300000000002E-2</v>
      </c>
      <c r="R207">
        <v>6.3087829999999998E-2</v>
      </c>
      <c r="S207">
        <v>3.0061339999999999</v>
      </c>
      <c r="T207">
        <v>-0.13226679999999999</v>
      </c>
      <c r="U207">
        <v>6.1859129999999998E-2</v>
      </c>
      <c r="V207">
        <v>-4.1643300000000001E-2</v>
      </c>
      <c r="W207">
        <v>3.5470019999999998E-2</v>
      </c>
      <c r="X207">
        <v>0.99850269999999997</v>
      </c>
      <c r="Y207">
        <v>8.8628030000000003E-4</v>
      </c>
      <c r="Z207">
        <v>-7.4821070000000004E-4</v>
      </c>
      <c r="AA207">
        <v>0.99999930000000004</v>
      </c>
      <c r="AB207">
        <v>25</v>
      </c>
      <c r="AC207">
        <v>25.0822</v>
      </c>
      <c r="AD207">
        <v>-1.1145590000000001</v>
      </c>
      <c r="AE207">
        <v>0.516000000000019</v>
      </c>
      <c r="AF207">
        <v>2.2655211081751E-2</v>
      </c>
      <c r="AG207">
        <v>-1.1145590000000001</v>
      </c>
      <c r="AH207">
        <v>25.0380780482283</v>
      </c>
      <c r="AI207">
        <v>92.548812667983995</v>
      </c>
      <c r="AJ207">
        <v>89.948157058132907</v>
      </c>
      <c r="AK207">
        <v>25.062883061855501</v>
      </c>
      <c r="AL207">
        <v>87.967291097458101</v>
      </c>
      <c r="AM207">
        <v>92.388179227837</v>
      </c>
      <c r="AN207">
        <v>0.99999996433048899</v>
      </c>
    </row>
    <row r="208" spans="1:40" x14ac:dyDescent="0.25">
      <c r="A208" t="str">
        <f>"20190305135537353"</f>
        <v>20190305135537353</v>
      </c>
      <c r="B208" t="str">
        <f>"1551765337341389"</f>
        <v>1551765337341389</v>
      </c>
      <c r="C208" t="s">
        <v>40</v>
      </c>
      <c r="D208">
        <v>4.0045929999999998</v>
      </c>
      <c r="E208">
        <v>0.51457399999999998</v>
      </c>
      <c r="F208" t="s">
        <v>43</v>
      </c>
      <c r="G208">
        <v>-408.70740000000001</v>
      </c>
      <c r="H208">
        <v>-0.05</v>
      </c>
      <c r="I208">
        <v>368.33780000000002</v>
      </c>
      <c r="J208">
        <v>-433.4323</v>
      </c>
      <c r="K208">
        <v>1.062254</v>
      </c>
      <c r="L208">
        <v>367.82170000000002</v>
      </c>
      <c r="M208">
        <v>0.99973920000000005</v>
      </c>
      <c r="N208">
        <v>-8.502407E-3</v>
      </c>
      <c r="O208">
        <v>2.1198229999999998E-2</v>
      </c>
      <c r="P208">
        <v>0.99762510000000004</v>
      </c>
      <c r="Q208">
        <v>2.7229429999999999E-2</v>
      </c>
      <c r="R208">
        <v>6.3271569999999999E-2</v>
      </c>
      <c r="S208">
        <v>3.006348</v>
      </c>
      <c r="T208">
        <v>-0.13121329999999901</v>
      </c>
      <c r="U208">
        <v>6.2774659999999996E-2</v>
      </c>
      <c r="V208">
        <v>-4.210237E-2</v>
      </c>
      <c r="W208">
        <v>3.5727830000000002E-2</v>
      </c>
      <c r="X208">
        <v>0.99847430000000004</v>
      </c>
      <c r="Y208">
        <v>3.0948660000000003E-4</v>
      </c>
      <c r="Z208">
        <v>-7.5245770000000002E-4</v>
      </c>
      <c r="AA208">
        <v>0.99999959999999999</v>
      </c>
      <c r="AB208">
        <v>25</v>
      </c>
      <c r="AC208">
        <v>24.724899999999899</v>
      </c>
      <c r="AD208">
        <v>-1.1122540000000001</v>
      </c>
      <c r="AE208">
        <v>0.51609999999999401</v>
      </c>
      <c r="AF208">
        <v>8.1425396127991993E-3</v>
      </c>
      <c r="AG208">
        <v>-1.1122540000000001</v>
      </c>
      <c r="AH208">
        <v>24.680361464478999</v>
      </c>
      <c r="AI208">
        <v>92.580366016148503</v>
      </c>
      <c r="AJ208">
        <v>89.981096989277205</v>
      </c>
      <c r="AK208">
        <v>24.705412712173199</v>
      </c>
      <c r="AL208">
        <v>87.9525103918632</v>
      </c>
      <c r="AM208">
        <v>92.414543793665999</v>
      </c>
      <c r="AN208">
        <v>1.0000000075783</v>
      </c>
    </row>
    <row r="209" spans="1:40" x14ac:dyDescent="0.25">
      <c r="A209" t="str">
        <f>"20190305135537369"</f>
        <v>20190305135537369</v>
      </c>
      <c r="B209" t="str">
        <f>"1551765337361885"</f>
        <v>1551765337361885</v>
      </c>
      <c r="C209" t="s">
        <v>40</v>
      </c>
      <c r="D209">
        <v>3.9927229999999998</v>
      </c>
      <c r="E209">
        <v>0.51459290000000002</v>
      </c>
      <c r="F209" t="s">
        <v>43</v>
      </c>
      <c r="G209">
        <v>-408.15589999999997</v>
      </c>
      <c r="H209">
        <v>-0.05</v>
      </c>
      <c r="I209">
        <v>368.36250000000001</v>
      </c>
      <c r="J209">
        <v>-433.23680000000002</v>
      </c>
      <c r="K209">
        <v>1.0618650000000001</v>
      </c>
      <c r="L209">
        <v>367.82580000000002</v>
      </c>
      <c r="M209">
        <v>0.9997431</v>
      </c>
      <c r="N209">
        <v>-8.1947819999999994E-3</v>
      </c>
      <c r="O209">
        <v>2.1137719999999999E-2</v>
      </c>
      <c r="P209">
        <v>0.99767550000000005</v>
      </c>
      <c r="Q209">
        <v>2.6505270000000001E-2</v>
      </c>
      <c r="R209">
        <v>6.2780649999999993E-2</v>
      </c>
      <c r="S209">
        <v>3.006653</v>
      </c>
      <c r="T209">
        <v>-0.13230339999999999</v>
      </c>
      <c r="U209">
        <v>6.4331050000000001E-2</v>
      </c>
      <c r="V209">
        <v>-4.1671100000000003E-2</v>
      </c>
      <c r="W209">
        <v>3.4696600000000001E-2</v>
      </c>
      <c r="X209">
        <v>0.99852879999999999</v>
      </c>
      <c r="Y209">
        <v>-2.6620000000000002E-4</v>
      </c>
      <c r="Z209">
        <v>-7.4937560000000003E-4</v>
      </c>
      <c r="AA209">
        <v>0.99999970000000005</v>
      </c>
      <c r="AB209">
        <v>25</v>
      </c>
      <c r="AC209">
        <v>25.0809</v>
      </c>
      <c r="AD209">
        <v>-1.1118649999999899</v>
      </c>
      <c r="AE209">
        <v>0.53669999999999596</v>
      </c>
      <c r="AF209">
        <v>-6.3967292943889397E-3</v>
      </c>
      <c r="AG209">
        <v>-1.1118649999999899</v>
      </c>
      <c r="AH209">
        <v>25.0374585259915</v>
      </c>
      <c r="AI209">
        <v>92.542723818514304</v>
      </c>
      <c r="AJ209">
        <v>90.014638290180301</v>
      </c>
      <c r="AK209">
        <v>25.0621350674102</v>
      </c>
      <c r="AL209">
        <v>88.0116322681247</v>
      </c>
      <c r="AM209">
        <v>92.389709274806094</v>
      </c>
      <c r="AN209">
        <v>1.0000000495281001</v>
      </c>
    </row>
    <row r="210" spans="1:40" x14ac:dyDescent="0.25">
      <c r="A210" t="str">
        <f>"20190305135537391"</f>
        <v>20190305135537391</v>
      </c>
      <c r="B210" t="str">
        <f>"1551765337382382"</f>
        <v>1551765337382382</v>
      </c>
      <c r="C210" t="s">
        <v>40</v>
      </c>
      <c r="D210">
        <v>3.9933079999999999</v>
      </c>
      <c r="E210">
        <v>0.51461179999999995</v>
      </c>
      <c r="F210" t="s">
        <v>43</v>
      </c>
      <c r="G210">
        <v>-408.77539999999999</v>
      </c>
      <c r="H210">
        <v>-0.05</v>
      </c>
      <c r="I210">
        <v>368.33479999999997</v>
      </c>
      <c r="J210">
        <v>-432.98469999999998</v>
      </c>
      <c r="K210">
        <v>1.061431</v>
      </c>
      <c r="L210">
        <v>367.83109999999999</v>
      </c>
      <c r="M210">
        <v>0.99974739999999995</v>
      </c>
      <c r="N210">
        <v>-7.8525519999999901E-3</v>
      </c>
      <c r="O210">
        <v>2.1062939999999999E-2</v>
      </c>
      <c r="P210">
        <v>0.99768959999999995</v>
      </c>
      <c r="Q210">
        <v>2.6543540000000001E-2</v>
      </c>
      <c r="R210">
        <v>6.2538369999999996E-2</v>
      </c>
      <c r="S210">
        <v>3.0066830000000002</v>
      </c>
      <c r="T210">
        <v>-0.1366656</v>
      </c>
      <c r="U210">
        <v>6.2561039999999998E-2</v>
      </c>
      <c r="V210">
        <v>-4.1503459999999999E-2</v>
      </c>
      <c r="W210">
        <v>3.4392550000000001E-2</v>
      </c>
      <c r="X210">
        <v>0.99854620000000005</v>
      </c>
      <c r="Y210">
        <v>2.4565360000000002E-4</v>
      </c>
      <c r="Z210">
        <v>-7.9790509999999896E-4</v>
      </c>
      <c r="AA210">
        <v>0.99999959999999999</v>
      </c>
      <c r="AB210">
        <v>26</v>
      </c>
      <c r="AC210">
        <v>24.209299999999899</v>
      </c>
      <c r="AD210">
        <v>-1.1114310000000001</v>
      </c>
      <c r="AE210">
        <v>0.50369999999998005</v>
      </c>
      <c r="AF210">
        <v>6.3331207936439997E-3</v>
      </c>
      <c r="AG210">
        <v>-1.1114310000000001</v>
      </c>
      <c r="AH210">
        <v>24.163631923343999</v>
      </c>
      <c r="AI210">
        <v>92.633521830672507</v>
      </c>
      <c r="AJ210">
        <v>89.984983172833196</v>
      </c>
      <c r="AK210">
        <v>24.189179951024101</v>
      </c>
      <c r="AL210">
        <v>88.029063254757403</v>
      </c>
      <c r="AM210">
        <v>92.380065288721994</v>
      </c>
      <c r="AN210">
        <v>0.99999994911095502</v>
      </c>
    </row>
    <row r="211" spans="1:40" x14ac:dyDescent="0.25">
      <c r="A211" t="str">
        <f>"20190305135537413"</f>
        <v>20190305135537413</v>
      </c>
      <c r="B211" t="str">
        <f>"1551765337401905"</f>
        <v>1551765337401905</v>
      </c>
      <c r="C211" t="s">
        <v>40</v>
      </c>
      <c r="D211">
        <v>3.955193</v>
      </c>
      <c r="E211">
        <v>0.51464560000000004</v>
      </c>
      <c r="F211" t="s">
        <v>43</v>
      </c>
      <c r="G211">
        <v>-408.834</v>
      </c>
      <c r="H211">
        <v>-0.05</v>
      </c>
      <c r="I211">
        <v>368.32569999999998</v>
      </c>
      <c r="J211">
        <v>-432.72379999999998</v>
      </c>
      <c r="K211">
        <v>1.0610569999999999</v>
      </c>
      <c r="L211">
        <v>367.8365</v>
      </c>
      <c r="M211">
        <v>0.9997511</v>
      </c>
      <c r="N211">
        <v>-7.5476969999999999E-3</v>
      </c>
      <c r="O211">
        <v>2.099585E-2</v>
      </c>
      <c r="P211">
        <v>0.99771889999999996</v>
      </c>
      <c r="Q211">
        <v>2.6577159999999999E-2</v>
      </c>
      <c r="R211">
        <v>6.2054619999999998E-2</v>
      </c>
      <c r="S211">
        <v>3.0067750000000002</v>
      </c>
      <c r="T211">
        <v>-0.13837369999999999</v>
      </c>
      <c r="U211">
        <v>6.1584470000000002E-2</v>
      </c>
      <c r="V211">
        <v>-4.1086739999999997E-2</v>
      </c>
      <c r="W211">
        <v>3.4121859999999997E-2</v>
      </c>
      <c r="X211">
        <v>0.99857280000000004</v>
      </c>
      <c r="Y211">
        <v>5.0280849999999897E-4</v>
      </c>
      <c r="Z211">
        <v>-8.2058350000000001E-4</v>
      </c>
      <c r="AA211">
        <v>0.99999950000000004</v>
      </c>
      <c r="AB211">
        <v>26</v>
      </c>
      <c r="AC211">
        <v>23.889799999999902</v>
      </c>
      <c r="AD211">
        <v>-1.111057</v>
      </c>
      <c r="AE211">
        <v>0.48919999999998198</v>
      </c>
      <c r="AF211">
        <v>1.24817889245967E-2</v>
      </c>
      <c r="AG211">
        <v>-1.111057</v>
      </c>
      <c r="AH211">
        <v>23.8432546721506</v>
      </c>
      <c r="AI211">
        <v>92.667960080278704</v>
      </c>
      <c r="AJ211">
        <v>89.970006034383402</v>
      </c>
      <c r="AK211">
        <v>23.869130625419398</v>
      </c>
      <c r="AL211">
        <v>88.044581915443302</v>
      </c>
      <c r="AM211">
        <v>92.356132360472898</v>
      </c>
      <c r="AN211">
        <v>1.0000000292167599</v>
      </c>
    </row>
    <row r="212" spans="1:40" x14ac:dyDescent="0.25">
      <c r="A212" t="str">
        <f>"20190305135537435"</f>
        <v>20190305135537435</v>
      </c>
      <c r="B212" t="str">
        <f>"1551765337432157"</f>
        <v>1551765337432157</v>
      </c>
      <c r="C212" t="s">
        <v>40</v>
      </c>
      <c r="D212">
        <v>3.9426489999999998</v>
      </c>
      <c r="E212">
        <v>0.51484940000000001</v>
      </c>
      <c r="F212" t="s">
        <v>43</v>
      </c>
      <c r="G212">
        <v>-408.84649999999999</v>
      </c>
      <c r="H212">
        <v>-0.05</v>
      </c>
      <c r="I212">
        <v>368.31020000000001</v>
      </c>
      <c r="J212">
        <v>-432.4828</v>
      </c>
      <c r="K212">
        <v>1.0607610000000001</v>
      </c>
      <c r="L212">
        <v>367.8415</v>
      </c>
      <c r="M212">
        <v>0.99975409999999998</v>
      </c>
      <c r="N212">
        <v>-7.3012390000000002E-3</v>
      </c>
      <c r="O212">
        <v>2.0944830000000001E-2</v>
      </c>
      <c r="P212">
        <v>0.99772839999999996</v>
      </c>
      <c r="Q212">
        <v>2.684953E-2</v>
      </c>
      <c r="R212">
        <v>6.1786599999999997E-2</v>
      </c>
      <c r="S212">
        <v>3.0068359999999998</v>
      </c>
      <c r="T212">
        <v>-0.13991429999999999</v>
      </c>
      <c r="U212">
        <v>5.9661869999999999E-2</v>
      </c>
      <c r="V212">
        <v>-4.0870530000000002E-2</v>
      </c>
      <c r="W212">
        <v>3.41476E-2</v>
      </c>
      <c r="X212">
        <v>0.99858080000000005</v>
      </c>
      <c r="Y212">
        <v>1.089986E-3</v>
      </c>
      <c r="Z212">
        <v>-8.5034800000000001E-4</v>
      </c>
      <c r="AA212">
        <v>0.99999899999999997</v>
      </c>
      <c r="AB212">
        <v>26</v>
      </c>
      <c r="AC212">
        <v>23.636299999999999</v>
      </c>
      <c r="AD212">
        <v>-1.1107610000000001</v>
      </c>
      <c r="AE212">
        <v>0.468700000000012</v>
      </c>
      <c r="AF212">
        <v>2.6415926336928599E-2</v>
      </c>
      <c r="AG212">
        <v>-1.1107610000000001</v>
      </c>
      <c r="AH212">
        <v>23.588858102373099</v>
      </c>
      <c r="AI212">
        <v>92.695972042129597</v>
      </c>
      <c r="AJ212">
        <v>89.935837485147204</v>
      </c>
      <c r="AK212">
        <v>23.615010361509</v>
      </c>
      <c r="AL212">
        <v>88.0431062763668</v>
      </c>
      <c r="AM212">
        <v>92.343728835629506</v>
      </c>
      <c r="AN212">
        <v>1.0000000364684301</v>
      </c>
    </row>
    <row r="213" spans="1:40" x14ac:dyDescent="0.25">
      <c r="A213" t="str">
        <f>"20190305135537458"</f>
        <v>20190305135537458</v>
      </c>
      <c r="B213" t="str">
        <f>"1551765337451678"</f>
        <v>1551765337451678</v>
      </c>
      <c r="C213" t="s">
        <v>40</v>
      </c>
      <c r="D213">
        <v>4.0660759999999998</v>
      </c>
      <c r="E213">
        <v>0.51568009999999997</v>
      </c>
      <c r="F213" t="s">
        <v>43</v>
      </c>
      <c r="G213">
        <v>-408.3381</v>
      </c>
      <c r="H213">
        <v>-0.05</v>
      </c>
      <c r="I213">
        <v>368.30020000000002</v>
      </c>
      <c r="J213">
        <v>-432.21010000000001</v>
      </c>
      <c r="K213">
        <v>1.0604800000000001</v>
      </c>
      <c r="L213">
        <v>367.84710000000001</v>
      </c>
      <c r="M213">
        <v>0.9997568</v>
      </c>
      <c r="N213">
        <v>-7.0534259999999998E-3</v>
      </c>
      <c r="O213">
        <v>2.090096E-2</v>
      </c>
      <c r="P213">
        <v>0.99775389999999997</v>
      </c>
      <c r="Q213">
        <v>2.6670449999999998E-2</v>
      </c>
      <c r="R213">
        <v>6.1449959999999998E-2</v>
      </c>
      <c r="S213">
        <v>3.00705</v>
      </c>
      <c r="T213">
        <v>-0.13833689999999901</v>
      </c>
      <c r="U213">
        <v>5.7128909999999998E-2</v>
      </c>
      <c r="V213">
        <v>-4.0577790000000002E-2</v>
      </c>
      <c r="W213">
        <v>3.3720130000000001E-2</v>
      </c>
      <c r="X213">
        <v>0.99860720000000003</v>
      </c>
      <c r="Y213">
        <v>1.888823E-3</v>
      </c>
      <c r="Z213">
        <v>-8.6356179999999897E-4</v>
      </c>
      <c r="AA213">
        <v>0.9999979</v>
      </c>
      <c r="AB213">
        <v>26</v>
      </c>
      <c r="AC213">
        <v>23.872</v>
      </c>
      <c r="AD213">
        <v>-1.1104799999999999</v>
      </c>
      <c r="AE213">
        <v>0.453100000000006</v>
      </c>
      <c r="AF213">
        <v>4.5859846416450502E-2</v>
      </c>
      <c r="AG213">
        <v>-1.1104799999999999</v>
      </c>
      <c r="AH213">
        <v>23.824718852227701</v>
      </c>
      <c r="AI213">
        <v>92.668643589600705</v>
      </c>
      <c r="AJ213">
        <v>89.889712343727098</v>
      </c>
      <c r="AK213">
        <v>23.850628866837202</v>
      </c>
      <c r="AL213">
        <v>88.067612491677593</v>
      </c>
      <c r="AM213">
        <v>92.326898671006106</v>
      </c>
      <c r="AN213">
        <v>0.99999997205016999</v>
      </c>
    </row>
    <row r="214" spans="1:40" x14ac:dyDescent="0.25">
      <c r="A214" t="str">
        <f>"20190305135537525"</f>
        <v>20190305135537525</v>
      </c>
      <c r="B214" t="str">
        <f>"1551765337521950"</f>
        <v>1551765337521950</v>
      </c>
      <c r="C214" t="s">
        <v>40</v>
      </c>
      <c r="D214">
        <v>3.7772389999999998</v>
      </c>
      <c r="E214">
        <v>0.57253339999999997</v>
      </c>
      <c r="F214" t="s">
        <v>43</v>
      </c>
      <c r="G214">
        <v>-407.58909999999997</v>
      </c>
      <c r="H214">
        <v>-0.05</v>
      </c>
      <c r="I214">
        <v>368.2534</v>
      </c>
      <c r="J214">
        <v>-431.42320000000001</v>
      </c>
      <c r="K214">
        <v>1.059893</v>
      </c>
      <c r="L214">
        <v>367.86349999999999</v>
      </c>
      <c r="M214">
        <v>0.99976189999999998</v>
      </c>
      <c r="N214">
        <v>-6.4770490000000003E-3</v>
      </c>
      <c r="O214">
        <v>2.0845820000000001E-2</v>
      </c>
      <c r="P214">
        <v>0.99771860000000001</v>
      </c>
      <c r="Q214">
        <v>2.740913E-2</v>
      </c>
      <c r="R214">
        <v>6.1699560000000001E-2</v>
      </c>
      <c r="S214">
        <v>3.0072939999999999</v>
      </c>
      <c r="T214">
        <v>-0.13563789999999901</v>
      </c>
      <c r="U214">
        <v>4.9621579999999998E-2</v>
      </c>
      <c r="V214">
        <v>-4.088613E-2</v>
      </c>
      <c r="W214">
        <v>3.3879779999999998E-2</v>
      </c>
      <c r="X214">
        <v>0.99858930000000001</v>
      </c>
      <c r="Y214">
        <v>4.3282700000000004E-3</v>
      </c>
      <c r="Z214">
        <v>-9.1618829999999996E-4</v>
      </c>
      <c r="AA214">
        <v>0.99999020000000005</v>
      </c>
      <c r="AB214">
        <v>26</v>
      </c>
      <c r="AC214">
        <v>23.834099999999999</v>
      </c>
      <c r="AD214">
        <v>-1.109893</v>
      </c>
      <c r="AE214">
        <v>0.38990000000001102</v>
      </c>
      <c r="AF214">
        <v>0.106804872551563</v>
      </c>
      <c r="AG214">
        <v>-1.109893</v>
      </c>
      <c r="AH214">
        <v>23.785482995614299</v>
      </c>
      <c r="AI214">
        <v>92.671606454580697</v>
      </c>
      <c r="AJ214">
        <v>89.742724278458894</v>
      </c>
      <c r="AK214">
        <v>23.8116037067416</v>
      </c>
      <c r="AL214">
        <v>88.058460147085299</v>
      </c>
      <c r="AM214">
        <v>92.344602487456299</v>
      </c>
      <c r="AN214">
        <v>1.00000005259685</v>
      </c>
    </row>
    <row r="215" spans="1:40" x14ac:dyDescent="0.25">
      <c r="A215" t="str">
        <f>"20190305135537547"</f>
        <v>20190305135537547</v>
      </c>
      <c r="B215" t="str">
        <f>"1551765337541470"</f>
        <v>1551765337541470</v>
      </c>
      <c r="C215" t="s">
        <v>40</v>
      </c>
      <c r="D215">
        <v>3.8935240000000002</v>
      </c>
      <c r="E215">
        <v>0.565662</v>
      </c>
      <c r="F215" t="s">
        <v>44</v>
      </c>
      <c r="G215">
        <v>-279.96460000000002</v>
      </c>
      <c r="H215">
        <v>0.18622759999999999</v>
      </c>
      <c r="I215">
        <v>348.02640000000002</v>
      </c>
      <c r="J215">
        <v>-431.16730000000001</v>
      </c>
      <c r="K215">
        <v>1.0597540000000001</v>
      </c>
      <c r="L215">
        <v>367.86880000000002</v>
      </c>
      <c r="M215">
        <v>0.9997627</v>
      </c>
      <c r="N215">
        <v>-6.3287069999999898E-3</v>
      </c>
      <c r="O215">
        <v>2.084449E-2</v>
      </c>
      <c r="P215">
        <v>0.99773330000000005</v>
      </c>
      <c r="Q215">
        <v>2.7024449999999998E-2</v>
      </c>
      <c r="R215">
        <v>6.1627979999999999E-2</v>
      </c>
      <c r="S215">
        <v>3.03186</v>
      </c>
      <c r="T215">
        <v>-1.7487289999999999E-2</v>
      </c>
      <c r="U215">
        <v>-0.39709470000000002</v>
      </c>
      <c r="V215">
        <v>-4.0815440000000001E-2</v>
      </c>
      <c r="W215">
        <v>3.3346969999999997E-2</v>
      </c>
      <c r="X215">
        <v>0.99861009999999995</v>
      </c>
      <c r="Y215">
        <v>0.15049979999999999</v>
      </c>
      <c r="Z215">
        <v>-8.9888119999999999E-4</v>
      </c>
      <c r="AA215">
        <v>0.98860959999999998</v>
      </c>
      <c r="AB215">
        <v>26</v>
      </c>
      <c r="AC215">
        <v>151.20269999999999</v>
      </c>
      <c r="AD215">
        <v>-0.87352640000000004</v>
      </c>
      <c r="AE215">
        <v>-19.842400000000001</v>
      </c>
      <c r="AF215">
        <v>22.989140661262201</v>
      </c>
      <c r="AG215">
        <v>-0.87352640000000004</v>
      </c>
      <c r="AH215">
        <v>150.75128760666999</v>
      </c>
      <c r="AI215">
        <v>90.328201732221004</v>
      </c>
      <c r="AJ215">
        <v>81.329358520995996</v>
      </c>
      <c r="AK215">
        <v>152.49660439427399</v>
      </c>
      <c r="AL215">
        <v>88.089005120295298</v>
      </c>
      <c r="AM215">
        <v>92.340504606338399</v>
      </c>
      <c r="AN215">
        <v>1.00000002618629</v>
      </c>
    </row>
    <row r="216" spans="1:40" x14ac:dyDescent="0.25">
      <c r="A216" t="str">
        <f>"20190305135537569"</f>
        <v>20190305135537569</v>
      </c>
      <c r="B216" t="str">
        <f>"1551765337561966"</f>
        <v>1551765337561966</v>
      </c>
      <c r="C216" t="s">
        <v>40</v>
      </c>
      <c r="D216">
        <v>3.8942139999999998</v>
      </c>
      <c r="E216">
        <v>0.56079480000000004</v>
      </c>
      <c r="F216" t="s">
        <v>42</v>
      </c>
      <c r="G216">
        <v>-375.52350000000001</v>
      </c>
      <c r="H216" s="1">
        <v>-3.6566630000000001E-6</v>
      </c>
      <c r="I216">
        <v>361.5462</v>
      </c>
      <c r="J216">
        <v>-430.89440000000002</v>
      </c>
      <c r="K216">
        <v>1.0596299999999901</v>
      </c>
      <c r="L216">
        <v>367.87450000000001</v>
      </c>
      <c r="M216">
        <v>0.99976350000000003</v>
      </c>
      <c r="N216">
        <v>-6.191177E-3</v>
      </c>
      <c r="O216">
        <v>2.084679E-2</v>
      </c>
      <c r="P216">
        <v>0.99773480000000003</v>
      </c>
      <c r="Q216">
        <v>2.7025819999999999E-2</v>
      </c>
      <c r="R216">
        <v>6.1602259999999999E-2</v>
      </c>
      <c r="S216">
        <v>3.0296020000000001</v>
      </c>
      <c r="T216">
        <v>-5.7699920000000002E-2</v>
      </c>
      <c r="U216">
        <v>-0.3442383</v>
      </c>
      <c r="V216">
        <v>-4.0787530000000002E-2</v>
      </c>
      <c r="W216">
        <v>3.3210679999999999E-2</v>
      </c>
      <c r="X216">
        <v>0.9986157</v>
      </c>
      <c r="Y216">
        <v>0.13355439999999999</v>
      </c>
      <c r="Z216">
        <v>-1.94962E-3</v>
      </c>
      <c r="AA216">
        <v>0.99103960000000002</v>
      </c>
      <c r="AB216">
        <v>26</v>
      </c>
      <c r="AC216">
        <v>55.370899999999999</v>
      </c>
      <c r="AD216">
        <v>-1.05963365666299</v>
      </c>
      <c r="AE216">
        <v>-6.3283000000000103</v>
      </c>
      <c r="AF216">
        <v>7.4785488359256398</v>
      </c>
      <c r="AG216">
        <v>-1.05963365666299</v>
      </c>
      <c r="AH216">
        <v>55.2069816704605</v>
      </c>
      <c r="AI216">
        <v>91.089640861821493</v>
      </c>
      <c r="AJ216">
        <v>82.285454355346999</v>
      </c>
      <c r="AK216">
        <v>55.721291633810999</v>
      </c>
      <c r="AL216">
        <v>88.096818133225696</v>
      </c>
      <c r="AM216">
        <v>92.338892822788594</v>
      </c>
      <c r="AN216">
        <v>0.99999994407802495</v>
      </c>
    </row>
    <row r="217" spans="1:40" x14ac:dyDescent="0.25">
      <c r="A217" t="str">
        <f>"20190305135537593"</f>
        <v>20190305135537593</v>
      </c>
      <c r="B217" t="str">
        <f>"1551765337581489"</f>
        <v>1551765337581489</v>
      </c>
      <c r="C217" t="s">
        <v>40</v>
      </c>
      <c r="D217">
        <v>3.9049079999999998</v>
      </c>
      <c r="E217">
        <v>0.55769959999999996</v>
      </c>
      <c r="F217" t="s">
        <v>42</v>
      </c>
      <c r="G217">
        <v>-393.37849999999997</v>
      </c>
      <c r="H217" s="1">
        <v>-3.80696999999999E-6</v>
      </c>
      <c r="I217">
        <v>364.06849999999997</v>
      </c>
      <c r="J217">
        <v>-430.61720000000003</v>
      </c>
      <c r="K217">
        <v>1.0595300000000001</v>
      </c>
      <c r="L217">
        <v>367.88029999999998</v>
      </c>
      <c r="M217">
        <v>0.99976419999999999</v>
      </c>
      <c r="N217">
        <v>-6.0736280000000002E-3</v>
      </c>
      <c r="O217">
        <v>2.0850859999999999E-2</v>
      </c>
      <c r="P217">
        <v>0.99773880000000004</v>
      </c>
      <c r="Q217">
        <v>2.6696149999999998E-2</v>
      </c>
      <c r="R217">
        <v>6.1680510000000001E-2</v>
      </c>
      <c r="S217">
        <v>3.028076</v>
      </c>
      <c r="T217">
        <v>-8.5527539999999999E-2</v>
      </c>
      <c r="U217">
        <v>-0.30718990000000002</v>
      </c>
      <c r="V217">
        <v>-4.0861469999999997E-2</v>
      </c>
      <c r="W217">
        <v>3.2763170000000001E-2</v>
      </c>
      <c r="X217">
        <v>0.9986275</v>
      </c>
      <c r="Y217">
        <v>0.1215885</v>
      </c>
      <c r="Z217">
        <v>-2.5438269999999998E-3</v>
      </c>
      <c r="AA217">
        <v>0.9925773</v>
      </c>
      <c r="AB217">
        <v>27</v>
      </c>
      <c r="AC217">
        <v>37.238700000000001</v>
      </c>
      <c r="AD217">
        <v>-1.05953380696999</v>
      </c>
      <c r="AE217">
        <v>-3.8117999999999999</v>
      </c>
      <c r="AF217">
        <v>4.5837721865690098</v>
      </c>
      <c r="AG217">
        <v>-1.05953380696999</v>
      </c>
      <c r="AH217">
        <v>37.121383338415797</v>
      </c>
      <c r="AI217">
        <v>91.622599050195106</v>
      </c>
      <c r="AJ217">
        <v>82.960713236674593</v>
      </c>
      <c r="AK217">
        <v>37.418320116008601</v>
      </c>
      <c r="AL217">
        <v>88.122472606445598</v>
      </c>
      <c r="AM217">
        <v>92.343100411108196</v>
      </c>
      <c r="AN217">
        <v>0.99999998439762905</v>
      </c>
    </row>
    <row r="218" spans="1:40" x14ac:dyDescent="0.25">
      <c r="A218" t="str">
        <f>"20190305135537613"</f>
        <v>20190305135537613</v>
      </c>
      <c r="B218" t="str">
        <f>"1551765337601987"</f>
        <v>1551765337601987</v>
      </c>
      <c r="C218" t="s">
        <v>40</v>
      </c>
      <c r="D218">
        <v>3.8733430000000002</v>
      </c>
      <c r="E218">
        <v>0.5559828</v>
      </c>
      <c r="F218" t="s">
        <v>43</v>
      </c>
      <c r="G218">
        <v>-399.58030000000002</v>
      </c>
      <c r="H218">
        <v>-0.05</v>
      </c>
      <c r="I218">
        <v>364.97890000000001</v>
      </c>
      <c r="J218">
        <v>-430.36610000000002</v>
      </c>
      <c r="K218">
        <v>1.0594570000000001</v>
      </c>
      <c r="L218">
        <v>367.88549999999998</v>
      </c>
      <c r="M218">
        <v>0.99976469999999995</v>
      </c>
      <c r="N218">
        <v>-5.9829729999999999E-3</v>
      </c>
      <c r="O218">
        <v>2.085513E-2</v>
      </c>
      <c r="P218">
        <v>0.99776240000000005</v>
      </c>
      <c r="Q218">
        <v>2.6431949999999999E-2</v>
      </c>
      <c r="R218">
        <v>6.1413259999999997E-2</v>
      </c>
      <c r="S218">
        <v>3.0272220000000001</v>
      </c>
      <c r="T218">
        <v>-0.1082193</v>
      </c>
      <c r="U218">
        <v>-0.2829895</v>
      </c>
      <c r="V218">
        <v>-4.0590029999999999E-2</v>
      </c>
      <c r="W218">
        <v>3.2408579999999999E-2</v>
      </c>
      <c r="X218">
        <v>0.99865009999999999</v>
      </c>
      <c r="Y218">
        <v>0.1137272</v>
      </c>
      <c r="Z218">
        <v>-2.9881949999999999E-3</v>
      </c>
      <c r="AA218">
        <v>0.99350749999999999</v>
      </c>
      <c r="AB218">
        <v>27</v>
      </c>
      <c r="AC218">
        <v>30.785799999999899</v>
      </c>
      <c r="AD218">
        <v>-1.1094569999999999</v>
      </c>
      <c r="AE218">
        <v>-2.9065999999999601</v>
      </c>
      <c r="AF218">
        <v>3.54345975754079</v>
      </c>
      <c r="AG218">
        <v>-1.1094569999999999</v>
      </c>
      <c r="AH218">
        <v>30.678993689052799</v>
      </c>
      <c r="AI218">
        <v>92.057441837242905</v>
      </c>
      <c r="AJ218">
        <v>83.411464916451905</v>
      </c>
      <c r="AK218">
        <v>30.902874553366399</v>
      </c>
      <c r="AL218">
        <v>88.142799838071198</v>
      </c>
      <c r="AM218">
        <v>92.327499912434703</v>
      </c>
      <c r="AN218">
        <v>0.99999994441151197</v>
      </c>
    </row>
    <row r="219" spans="1:40" x14ac:dyDescent="0.25">
      <c r="A219" t="str">
        <f>"20190305135537635"</f>
        <v>20190305135537635</v>
      </c>
      <c r="B219" t="str">
        <f>"1551765337631262"</f>
        <v>1551765337631262</v>
      </c>
      <c r="C219" t="s">
        <v>40</v>
      </c>
      <c r="D219">
        <v>3.9626350000000001</v>
      </c>
      <c r="E219">
        <v>0.55392359999999996</v>
      </c>
      <c r="F219" t="s">
        <v>43</v>
      </c>
      <c r="G219">
        <v>-400.51499999999999</v>
      </c>
      <c r="H219">
        <v>-0.05</v>
      </c>
      <c r="I219">
        <v>365.21910000000003</v>
      </c>
      <c r="J219">
        <v>-430.10649999999998</v>
      </c>
      <c r="K219">
        <v>1.059385</v>
      </c>
      <c r="L219">
        <v>367.89089999999999</v>
      </c>
      <c r="M219">
        <v>0.99976500000000001</v>
      </c>
      <c r="N219">
        <v>-5.9042749999999996E-3</v>
      </c>
      <c r="O219">
        <v>2.085967E-2</v>
      </c>
      <c r="P219">
        <v>0.99774989999999997</v>
      </c>
      <c r="Q219">
        <v>2.642485E-2</v>
      </c>
      <c r="R219">
        <v>6.1619180000000003E-2</v>
      </c>
      <c r="S219">
        <v>3.0263369999999998</v>
      </c>
      <c r="T219">
        <v>-0.1124778</v>
      </c>
      <c r="U219">
        <v>-0.27032469999999997</v>
      </c>
      <c r="V219">
        <v>-4.0791569999999999E-2</v>
      </c>
      <c r="W219">
        <v>3.2323280000000003E-2</v>
      </c>
      <c r="X219">
        <v>0.99864470000000005</v>
      </c>
      <c r="Y219">
        <v>0.10963050000000001</v>
      </c>
      <c r="Z219">
        <v>-3.0077039999999999E-3</v>
      </c>
      <c r="AA219">
        <v>0.99396779999999996</v>
      </c>
      <c r="AB219">
        <v>27</v>
      </c>
      <c r="AC219">
        <v>29.5915</v>
      </c>
      <c r="AD219">
        <v>-1.1093850000000001</v>
      </c>
      <c r="AE219">
        <v>-2.6717999999999602</v>
      </c>
      <c r="AF219">
        <v>3.2839200786349099</v>
      </c>
      <c r="AG219">
        <v>-1.1093850000000001</v>
      </c>
      <c r="AH219">
        <v>29.488216699691499</v>
      </c>
      <c r="AI219">
        <v>92.141300779403295</v>
      </c>
      <c r="AJ219">
        <v>83.645506798850107</v>
      </c>
      <c r="AK219">
        <v>29.691240969165499</v>
      </c>
      <c r="AL219">
        <v>88.147689817890694</v>
      </c>
      <c r="AM219">
        <v>92.339056381312005</v>
      </c>
      <c r="AN219">
        <v>0.99999999172555598</v>
      </c>
    </row>
    <row r="220" spans="1:40" x14ac:dyDescent="0.25">
      <c r="A220" t="str">
        <f>"20190305135537658"</f>
        <v>20190305135537658</v>
      </c>
      <c r="B220" t="str">
        <f>"1551765337651759"</f>
        <v>1551765337651759</v>
      </c>
      <c r="C220" t="s">
        <v>40</v>
      </c>
      <c r="D220">
        <v>3.9336069999999999</v>
      </c>
      <c r="E220">
        <v>0.55234719999999904</v>
      </c>
      <c r="F220" t="s">
        <v>43</v>
      </c>
      <c r="G220">
        <v>-401.78379999999999</v>
      </c>
      <c r="H220">
        <v>-0.05</v>
      </c>
      <c r="I220">
        <v>365.51949999999999</v>
      </c>
      <c r="J220">
        <v>-429.82229999999998</v>
      </c>
      <c r="K220">
        <v>1.0593250000000001</v>
      </c>
      <c r="L220">
        <v>367.89690000000002</v>
      </c>
      <c r="M220">
        <v>0.99976529999999997</v>
      </c>
      <c r="N220">
        <v>-5.8338879999999997E-3</v>
      </c>
      <c r="O220">
        <v>2.087195E-2</v>
      </c>
      <c r="P220">
        <v>0.99778500000000003</v>
      </c>
      <c r="Q220">
        <v>2.5465999999999999E-2</v>
      </c>
      <c r="R220">
        <v>6.1456539999999997E-2</v>
      </c>
      <c r="S220">
        <v>3.0255130000000001</v>
      </c>
      <c r="T220">
        <v>-0.1185079</v>
      </c>
      <c r="U220">
        <v>-0.25332640000000001</v>
      </c>
      <c r="V220">
        <v>-4.0616239999999998E-2</v>
      </c>
      <c r="W220">
        <v>3.1293349999999998E-2</v>
      </c>
      <c r="X220">
        <v>0.99868460000000003</v>
      </c>
      <c r="Y220">
        <v>0.10411670000000001</v>
      </c>
      <c r="Z220">
        <v>-3.033577E-3</v>
      </c>
      <c r="AA220">
        <v>0.99456049999999996</v>
      </c>
      <c r="AB220">
        <v>27</v>
      </c>
      <c r="AC220">
        <v>28.038499999999999</v>
      </c>
      <c r="AD220">
        <v>-1.1093249999999999</v>
      </c>
      <c r="AE220">
        <v>-2.3774000000000202</v>
      </c>
      <c r="AF220">
        <v>2.9575136543912901</v>
      </c>
      <c r="AG220">
        <v>-1.1093249999999999</v>
      </c>
      <c r="AH220">
        <v>27.9393476639755</v>
      </c>
      <c r="AI220">
        <v>92.261101095298798</v>
      </c>
      <c r="AJ220">
        <v>83.957469827920605</v>
      </c>
      <c r="AK220">
        <v>28.117336944668601</v>
      </c>
      <c r="AL220">
        <v>88.206730248319502</v>
      </c>
      <c r="AM220">
        <v>92.328920815238106</v>
      </c>
      <c r="AN220">
        <v>0.99999994149155802</v>
      </c>
    </row>
    <row r="221" spans="1:40" x14ac:dyDescent="0.25">
      <c r="A221" t="str">
        <f>"20190305135537682"</f>
        <v>20190305135537682</v>
      </c>
      <c r="B221" t="str">
        <f>"1551765337671278"</f>
        <v>1551765337671278</v>
      </c>
      <c r="C221" t="s">
        <v>40</v>
      </c>
      <c r="D221">
        <v>3.9725429999999999</v>
      </c>
      <c r="E221">
        <v>0.55133469999999996</v>
      </c>
      <c r="F221" t="s">
        <v>43</v>
      </c>
      <c r="G221">
        <v>-404.71129999999999</v>
      </c>
      <c r="H221">
        <v>-0.05</v>
      </c>
      <c r="I221">
        <v>365.88670000000002</v>
      </c>
      <c r="J221">
        <v>-429.52980000000002</v>
      </c>
      <c r="K221">
        <v>1.0592680000000001</v>
      </c>
      <c r="L221">
        <v>367.90300000000002</v>
      </c>
      <c r="M221">
        <v>0.99976500000000001</v>
      </c>
      <c r="N221">
        <v>-5.7760789999999999E-3</v>
      </c>
      <c r="O221">
        <v>2.090003E-2</v>
      </c>
      <c r="P221">
        <v>0.99779859999999998</v>
      </c>
      <c r="Q221">
        <v>2.519045E-2</v>
      </c>
      <c r="R221">
        <v>6.1349870000000001E-2</v>
      </c>
      <c r="S221">
        <v>3.024994</v>
      </c>
      <c r="T221">
        <v>-0.13363459999999999</v>
      </c>
      <c r="U221">
        <v>-0.24215700000000001</v>
      </c>
      <c r="V221">
        <v>-4.0481900000000001E-2</v>
      </c>
      <c r="W221">
        <v>3.0959739999999999E-2</v>
      </c>
      <c r="X221">
        <v>0.99870049999999999</v>
      </c>
      <c r="Y221">
        <v>0.10048749999999999</v>
      </c>
      <c r="Z221">
        <v>-3.3068849999999999E-3</v>
      </c>
      <c r="AA221">
        <v>0.99493279999999995</v>
      </c>
      <c r="AB221">
        <v>27</v>
      </c>
      <c r="AC221">
        <v>24.8185</v>
      </c>
      <c r="AD221">
        <v>-1.1092679999999999</v>
      </c>
      <c r="AE221">
        <v>-2.0163000000000002</v>
      </c>
      <c r="AF221">
        <v>2.5295554919495502</v>
      </c>
      <c r="AG221">
        <v>-1.1092679999999999</v>
      </c>
      <c r="AH221">
        <v>24.721875181565899</v>
      </c>
      <c r="AI221">
        <v>92.555806187430306</v>
      </c>
      <c r="AJ221">
        <v>84.157796881556607</v>
      </c>
      <c r="AK221">
        <v>24.875695748573499</v>
      </c>
      <c r="AL221">
        <v>88.225854045587894</v>
      </c>
      <c r="AM221">
        <v>92.321189331977706</v>
      </c>
      <c r="AN221">
        <v>0.99999998921436295</v>
      </c>
    </row>
    <row r="222" spans="1:40" x14ac:dyDescent="0.25">
      <c r="A222" t="str">
        <f>"20190305135537705"</f>
        <v>20190305135537705</v>
      </c>
      <c r="B222" t="str">
        <f>"1551765337701536"</f>
        <v>1551765337701536</v>
      </c>
      <c r="C222" t="s">
        <v>40</v>
      </c>
      <c r="D222">
        <v>3.9702999999999999</v>
      </c>
      <c r="E222">
        <v>0.55011399999999999</v>
      </c>
      <c r="F222" t="s">
        <v>43</v>
      </c>
      <c r="G222">
        <v>-406.2792</v>
      </c>
      <c r="H222">
        <v>-0.05</v>
      </c>
      <c r="I222">
        <v>366.09969999999998</v>
      </c>
      <c r="J222">
        <v>-429.26499999999999</v>
      </c>
      <c r="K222">
        <v>1.0592379999999999</v>
      </c>
      <c r="L222">
        <v>367.90859999999998</v>
      </c>
      <c r="M222">
        <v>0.99976410000000004</v>
      </c>
      <c r="N222">
        <v>-5.7373210000000001E-3</v>
      </c>
      <c r="O222">
        <v>2.0944279999999999E-2</v>
      </c>
      <c r="P222">
        <v>0.99781189999999997</v>
      </c>
      <c r="Q222">
        <v>2.4295509999999999E-2</v>
      </c>
      <c r="R222">
        <v>6.149073E-2</v>
      </c>
      <c r="S222">
        <v>3.024689</v>
      </c>
      <c r="T222">
        <v>-0.1443055</v>
      </c>
      <c r="U222">
        <v>-0.23458860000000001</v>
      </c>
      <c r="V222">
        <v>-4.0579709999999998E-2</v>
      </c>
      <c r="W222">
        <v>3.002461E-2</v>
      </c>
      <c r="X222">
        <v>0.99872510000000003</v>
      </c>
      <c r="Y222">
        <v>9.8048040000000003E-2</v>
      </c>
      <c r="Z222">
        <v>-3.4933500000000001E-3</v>
      </c>
      <c r="AA222">
        <v>0.99517549999999999</v>
      </c>
      <c r="AB222">
        <v>27</v>
      </c>
      <c r="AC222">
        <v>22.985799999999902</v>
      </c>
      <c r="AD222">
        <v>-1.1092379999999999</v>
      </c>
      <c r="AE222">
        <v>-1.80889999999999</v>
      </c>
      <c r="AF222">
        <v>2.28464448061158</v>
      </c>
      <c r="AG222">
        <v>-1.1092379999999999</v>
      </c>
      <c r="AH222">
        <v>22.889893391176699</v>
      </c>
      <c r="AI222">
        <v>92.760671953845801</v>
      </c>
      <c r="AJ222">
        <v>84.300175017132304</v>
      </c>
      <c r="AK222">
        <v>23.0303545088405</v>
      </c>
      <c r="AL222">
        <v>88.279458007802305</v>
      </c>
      <c r="AM222">
        <v>92.326734248122094</v>
      </c>
      <c r="AN222">
        <v>1.00000000771967</v>
      </c>
    </row>
    <row r="223" spans="1:40" x14ac:dyDescent="0.25">
      <c r="A223" t="str">
        <f>"20190305135537724"</f>
        <v>20190305135537724</v>
      </c>
      <c r="B223" t="str">
        <f>"1551765337722030"</f>
        <v>1551765337722030</v>
      </c>
      <c r="C223" t="s">
        <v>40</v>
      </c>
      <c r="D223">
        <v>3.9615809999999998</v>
      </c>
      <c r="E223">
        <v>0.54943629999999999</v>
      </c>
      <c r="F223" t="s">
        <v>43</v>
      </c>
      <c r="G223">
        <v>-408.1164</v>
      </c>
      <c r="H223">
        <v>-0.05</v>
      </c>
      <c r="I223">
        <v>366.33260000000001</v>
      </c>
      <c r="J223">
        <v>-429.01679999999999</v>
      </c>
      <c r="K223">
        <v>1.0592280000000001</v>
      </c>
      <c r="L223">
        <v>367.91379999999998</v>
      </c>
      <c r="M223">
        <v>0.99976310000000002</v>
      </c>
      <c r="N223">
        <v>-5.7130330000000002E-3</v>
      </c>
      <c r="O223">
        <v>2.1004660000000001E-2</v>
      </c>
      <c r="P223">
        <v>0.9978281</v>
      </c>
      <c r="Q223">
        <v>2.3847E-2</v>
      </c>
      <c r="R223">
        <v>6.1404889999999997E-2</v>
      </c>
      <c r="S223">
        <v>3.0243229999999999</v>
      </c>
      <c r="T223">
        <v>-0.15862509999999999</v>
      </c>
      <c r="U223">
        <v>-0.2253723</v>
      </c>
      <c r="V223">
        <v>-4.0434570000000003E-2</v>
      </c>
      <c r="W223">
        <v>2.9550369999999999E-2</v>
      </c>
      <c r="X223">
        <v>0.99874510000000005</v>
      </c>
      <c r="Y223">
        <v>9.5077339999999996E-2</v>
      </c>
      <c r="Z223">
        <v>-3.7402350000000002E-3</v>
      </c>
      <c r="AA223">
        <v>0.99546279999999998</v>
      </c>
      <c r="AB223">
        <v>27</v>
      </c>
      <c r="AC223">
        <v>20.900399999999902</v>
      </c>
      <c r="AD223">
        <v>-1.1092280000000001</v>
      </c>
      <c r="AE223">
        <v>-1.58119999999996</v>
      </c>
      <c r="AF223">
        <v>2.01422301251923</v>
      </c>
      <c r="AG223">
        <v>-1.1092280000000001</v>
      </c>
      <c r="AH223">
        <v>20.804310726519901</v>
      </c>
      <c r="AI223">
        <v>93.037784319703803</v>
      </c>
      <c r="AJ223">
        <v>84.469997077963399</v>
      </c>
      <c r="AK223">
        <v>20.931001550468999</v>
      </c>
      <c r="AL223">
        <v>88.306641968734198</v>
      </c>
      <c r="AM223">
        <v>92.318375021988402</v>
      </c>
      <c r="AN223">
        <v>0.99999997679611496</v>
      </c>
    </row>
    <row r="224" spans="1:40" x14ac:dyDescent="0.25">
      <c r="A224" t="str">
        <f>"20190305135537748"</f>
        <v>20190305135537748</v>
      </c>
      <c r="B224" t="str">
        <f>"1551765337741550"</f>
        <v>1551765337741550</v>
      </c>
      <c r="C224" t="s">
        <v>40</v>
      </c>
      <c r="D224">
        <v>3.984772</v>
      </c>
      <c r="E224">
        <v>0.54892339999999995</v>
      </c>
      <c r="F224" t="s">
        <v>43</v>
      </c>
      <c r="G224">
        <v>-408.7527</v>
      </c>
      <c r="H224">
        <v>-0.05</v>
      </c>
      <c r="I224">
        <v>366.43630000000002</v>
      </c>
      <c r="J224">
        <v>-428.72629999999998</v>
      </c>
      <c r="K224">
        <v>1.0592170000000001</v>
      </c>
      <c r="L224">
        <v>367.92</v>
      </c>
      <c r="M224">
        <v>0.99976129999999996</v>
      </c>
      <c r="N224">
        <v>-5.69858E-3</v>
      </c>
      <c r="O224">
        <v>2.1098410000000001E-2</v>
      </c>
      <c r="P224">
        <v>0.99782490000000001</v>
      </c>
      <c r="Q224">
        <v>2.3763429999999999E-2</v>
      </c>
      <c r="R224">
        <v>6.1489910000000002E-2</v>
      </c>
      <c r="S224">
        <v>3.0240480000000001</v>
      </c>
      <c r="T224">
        <v>-0.16553280000000001</v>
      </c>
      <c r="U224">
        <v>-0.2204895</v>
      </c>
      <c r="V224">
        <v>-4.0427070000000002E-2</v>
      </c>
      <c r="W224">
        <v>2.9450279999999999E-2</v>
      </c>
      <c r="X224">
        <v>0.99874839999999998</v>
      </c>
      <c r="Y224">
        <v>9.3566510000000006E-2</v>
      </c>
      <c r="Z224">
        <v>-3.8554259999999999E-3</v>
      </c>
      <c r="AA224">
        <v>0.99560559999999998</v>
      </c>
      <c r="AB224">
        <v>27</v>
      </c>
      <c r="AC224">
        <v>19.973599999999902</v>
      </c>
      <c r="AD224">
        <v>-1.1092169999999999</v>
      </c>
      <c r="AE224">
        <v>-1.48369999999999</v>
      </c>
      <c r="AF224">
        <v>1.8989633653012301</v>
      </c>
      <c r="AG224">
        <v>-1.1092169999999999</v>
      </c>
      <c r="AH224">
        <v>19.876884840455901</v>
      </c>
      <c r="AI224">
        <v>93.179594477364802</v>
      </c>
      <c r="AJ224">
        <v>84.542738060420206</v>
      </c>
      <c r="AK224">
        <v>19.998174296084901</v>
      </c>
      <c r="AL224">
        <v>88.312379267885106</v>
      </c>
      <c r="AM224">
        <v>92.317937817196096</v>
      </c>
      <c r="AN224">
        <v>1.00000001674171</v>
      </c>
    </row>
    <row r="225" spans="1:40" x14ac:dyDescent="0.25">
      <c r="A225" t="str">
        <f>"20190305135537770"</f>
        <v>20190305135537770</v>
      </c>
      <c r="B225" t="str">
        <f>"1551765337762047"</f>
        <v>1551765337762047</v>
      </c>
      <c r="C225" t="s">
        <v>40</v>
      </c>
      <c r="D225">
        <v>3.9628960000000002</v>
      </c>
      <c r="E225">
        <v>0.54846649999999997</v>
      </c>
      <c r="F225" t="s">
        <v>43</v>
      </c>
      <c r="G225">
        <v>-409.02519999999998</v>
      </c>
      <c r="H225">
        <v>-0.05</v>
      </c>
      <c r="I225">
        <v>366.51060000000001</v>
      </c>
      <c r="J225">
        <v>-428.44799999999998</v>
      </c>
      <c r="K225">
        <v>1.0592090000000001</v>
      </c>
      <c r="L225">
        <v>367.92599999999999</v>
      </c>
      <c r="M225">
        <v>0.99975890000000001</v>
      </c>
      <c r="N225">
        <v>-5.7030609999999997E-3</v>
      </c>
      <c r="O225">
        <v>2.1210989999999999E-2</v>
      </c>
      <c r="P225">
        <v>0.99779680000000004</v>
      </c>
      <c r="Q225">
        <v>2.3964630000000001E-2</v>
      </c>
      <c r="R225">
        <v>6.1867350000000002E-2</v>
      </c>
      <c r="S225">
        <v>3.0239259999999999</v>
      </c>
      <c r="T225">
        <v>-0.17025390000000001</v>
      </c>
      <c r="U225">
        <v>-0.21633910000000001</v>
      </c>
      <c r="V225">
        <v>-4.0693989999999999E-2</v>
      </c>
      <c r="W225">
        <v>2.965427E-2</v>
      </c>
      <c r="X225">
        <v>0.99873149999999999</v>
      </c>
      <c r="Y225">
        <v>9.2313969999999995E-2</v>
      </c>
      <c r="Z225">
        <v>-3.9283909999999998E-3</v>
      </c>
      <c r="AA225">
        <v>0.9957222</v>
      </c>
      <c r="AB225">
        <v>27</v>
      </c>
      <c r="AC225">
        <v>19.422799999999999</v>
      </c>
      <c r="AD225">
        <v>-1.1092089999999999</v>
      </c>
      <c r="AE225">
        <v>-1.41539999999997</v>
      </c>
      <c r="AF225">
        <v>1.8211568796540201</v>
      </c>
      <c r="AG225">
        <v>-1.1092089999999999</v>
      </c>
      <c r="AH225">
        <v>19.325711840529099</v>
      </c>
      <c r="AI225">
        <v>93.270458844259693</v>
      </c>
      <c r="AJ225">
        <v>84.616634484539404</v>
      </c>
      <c r="AK225">
        <v>19.442996043026898</v>
      </c>
      <c r="AL225">
        <v>88.300686354314095</v>
      </c>
      <c r="AM225">
        <v>92.333264596574395</v>
      </c>
      <c r="AN225">
        <v>0.99999999282180096</v>
      </c>
    </row>
    <row r="226" spans="1:40" x14ac:dyDescent="0.25">
      <c r="A226" t="str">
        <f>"20190305135537794"</f>
        <v>20190305135537794</v>
      </c>
      <c r="B226" t="str">
        <f>"1551765337791829"</f>
        <v>1551765337791829</v>
      </c>
      <c r="C226" t="s">
        <v>40</v>
      </c>
      <c r="D226">
        <v>3.9717500000000001</v>
      </c>
      <c r="E226">
        <v>0.5480081</v>
      </c>
      <c r="F226" t="s">
        <v>41</v>
      </c>
      <c r="G226">
        <v>-427.48500000000001</v>
      </c>
      <c r="H226">
        <v>1.004318</v>
      </c>
      <c r="I226">
        <v>367.85789999999997</v>
      </c>
      <c r="J226">
        <v>-428.15429999999998</v>
      </c>
      <c r="K226">
        <v>1.059207</v>
      </c>
      <c r="L226">
        <v>367.93239999999997</v>
      </c>
      <c r="M226">
        <v>0.99975570000000002</v>
      </c>
      <c r="N226">
        <v>-5.7331129999999998E-3</v>
      </c>
      <c r="O226">
        <v>2.1346710000000001E-2</v>
      </c>
      <c r="P226">
        <v>0.99779119999999999</v>
      </c>
      <c r="Q226">
        <v>2.3484069999999999E-2</v>
      </c>
      <c r="R226">
        <v>6.2137289999999998E-2</v>
      </c>
      <c r="S226">
        <v>3.023895</v>
      </c>
      <c r="T226">
        <v>-0.17279649999999999</v>
      </c>
      <c r="U226">
        <v>-0.2118225</v>
      </c>
      <c r="V226">
        <v>-4.0828839999999998E-2</v>
      </c>
      <c r="W226">
        <v>2.92029E-2</v>
      </c>
      <c r="X226">
        <v>0.9987393</v>
      </c>
      <c r="Y226">
        <v>9.0966599999999995E-2</v>
      </c>
      <c r="Z226">
        <v>-3.9504850000000001E-3</v>
      </c>
      <c r="AA226">
        <v>0.99584609999999996</v>
      </c>
      <c r="AB226">
        <v>28</v>
      </c>
      <c r="AC226">
        <v>0.66929999999996403</v>
      </c>
      <c r="AD226">
        <v>-5.4888999999999903E-2</v>
      </c>
      <c r="AE226">
        <v>-7.4500000000000399E-2</v>
      </c>
      <c r="AF226">
        <v>8.8184776830486894E-2</v>
      </c>
      <c r="AG226">
        <v>-5.4888999999999903E-2</v>
      </c>
      <c r="AH226">
        <v>0.66315163989342596</v>
      </c>
      <c r="AI226">
        <v>94.690477913748495</v>
      </c>
      <c r="AJ226">
        <v>82.425344229703001</v>
      </c>
      <c r="AK226">
        <v>0.67123725662315803</v>
      </c>
      <c r="AL226">
        <v>88.326559162688</v>
      </c>
      <c r="AM226">
        <v>92.340969618521001</v>
      </c>
      <c r="AN226">
        <v>0.99999999645432203</v>
      </c>
    </row>
    <row r="227" spans="1:40" x14ac:dyDescent="0.25">
      <c r="A227" t="str">
        <f>"20190305135537816"</f>
        <v>20190305135537816</v>
      </c>
      <c r="B227" t="str">
        <f>"1551765337811349"</f>
        <v>1551765337811349</v>
      </c>
      <c r="C227" t="s">
        <v>40</v>
      </c>
      <c r="D227">
        <v>4.0317080000000001</v>
      </c>
      <c r="E227">
        <v>0.5476799</v>
      </c>
      <c r="F227" t="s">
        <v>41</v>
      </c>
      <c r="G227">
        <v>-427.23540000000003</v>
      </c>
      <c r="H227">
        <v>1.0049809999999999</v>
      </c>
      <c r="I227">
        <v>367.86880000000002</v>
      </c>
      <c r="J227">
        <v>-427.88959999999997</v>
      </c>
      <c r="K227">
        <v>1.0592079999999999</v>
      </c>
      <c r="L227">
        <v>367.93819999999999</v>
      </c>
      <c r="M227">
        <v>0.99975259999999999</v>
      </c>
      <c r="N227">
        <v>-5.7810769999999999E-3</v>
      </c>
      <c r="O227">
        <v>2.1478049999999999E-2</v>
      </c>
      <c r="P227">
        <v>0.99776160000000003</v>
      </c>
      <c r="Q227">
        <v>2.2959779999999999E-2</v>
      </c>
      <c r="R227">
        <v>6.2806780000000006E-2</v>
      </c>
      <c r="S227">
        <v>3.0237729999999998</v>
      </c>
      <c r="T227">
        <v>-0.17874880000000001</v>
      </c>
      <c r="U227">
        <v>-0.20779420000000001</v>
      </c>
      <c r="V227">
        <v>-4.1368019999999998E-2</v>
      </c>
      <c r="W227">
        <v>2.872531E-2</v>
      </c>
      <c r="X227">
        <v>0.99873100000000004</v>
      </c>
      <c r="Y227">
        <v>8.9768790000000001E-2</v>
      </c>
      <c r="Z227">
        <v>-4.0512450000000002E-3</v>
      </c>
      <c r="AA227">
        <v>0.99595440000000002</v>
      </c>
      <c r="AB227">
        <v>28</v>
      </c>
      <c r="AC227">
        <v>0.65419999999994605</v>
      </c>
      <c r="AD227">
        <v>-5.4226999999999997E-2</v>
      </c>
      <c r="AE227">
        <v>-6.9399999999973205E-2</v>
      </c>
      <c r="AF227">
        <v>8.2872100805440996E-2</v>
      </c>
      <c r="AG227">
        <v>-5.4226999999999997E-2</v>
      </c>
      <c r="AH227">
        <v>0.64815467247242498</v>
      </c>
      <c r="AI227">
        <v>94.743996314204693</v>
      </c>
      <c r="AJ227">
        <v>82.713779051582094</v>
      </c>
      <c r="AK227">
        <v>0.65567738413700305</v>
      </c>
      <c r="AL227">
        <v>88.353934600553004</v>
      </c>
      <c r="AM227">
        <v>92.371868751020202</v>
      </c>
      <c r="AN227">
        <v>1.0000000334371499</v>
      </c>
    </row>
    <row r="228" spans="1:40" x14ac:dyDescent="0.25">
      <c r="A228" t="str">
        <f>"20190305135537838"</f>
        <v>20190305135537838</v>
      </c>
      <c r="B228" t="str">
        <f>"1551765337831846"</f>
        <v>1551765337831846</v>
      </c>
      <c r="C228" t="s">
        <v>40</v>
      </c>
      <c r="D228">
        <v>4.0182900000000004</v>
      </c>
      <c r="E228">
        <v>0.54727729999999997</v>
      </c>
      <c r="F228" t="s">
        <v>41</v>
      </c>
      <c r="G228">
        <v>-426.9862</v>
      </c>
      <c r="H228">
        <v>1.004184</v>
      </c>
      <c r="I228">
        <v>367.87709999999998</v>
      </c>
      <c r="J228">
        <v>-427.6078</v>
      </c>
      <c r="K228">
        <v>1.059215</v>
      </c>
      <c r="L228">
        <v>367.94439999999997</v>
      </c>
      <c r="M228">
        <v>0.99974909999999995</v>
      </c>
      <c r="N228">
        <v>-5.8633449999999998E-3</v>
      </c>
      <c r="O228">
        <v>2.1623750000000001E-2</v>
      </c>
      <c r="P228">
        <v>0.99775999999999998</v>
      </c>
      <c r="Q228">
        <v>2.2359899999999999E-2</v>
      </c>
      <c r="R228">
        <v>6.3048870000000007E-2</v>
      </c>
      <c r="S228">
        <v>3.0238040000000002</v>
      </c>
      <c r="T228">
        <v>-0.18447459999999999</v>
      </c>
      <c r="U228">
        <v>-0.20324710000000001</v>
      </c>
      <c r="V228">
        <v>-4.1464840000000003E-2</v>
      </c>
      <c r="W228">
        <v>2.8207200000000002E-2</v>
      </c>
      <c r="X228">
        <v>0.99874169999999995</v>
      </c>
      <c r="Y228">
        <v>8.8411920000000005E-2</v>
      </c>
      <c r="Z228">
        <v>-4.1412539999999996E-3</v>
      </c>
      <c r="AA228">
        <v>0.99607540000000006</v>
      </c>
      <c r="AB228">
        <v>28</v>
      </c>
      <c r="AC228">
        <v>0.62160000000000004</v>
      </c>
      <c r="AD228">
        <v>-5.5030999999999997E-2</v>
      </c>
      <c r="AE228">
        <v>-6.7299999999988799E-2</v>
      </c>
      <c r="AF228">
        <v>8.0105243429059197E-2</v>
      </c>
      <c r="AG228">
        <v>-5.5030999999999997E-2</v>
      </c>
      <c r="AH228">
        <v>0.61523315986170601</v>
      </c>
      <c r="AI228">
        <v>95.068796182646395</v>
      </c>
      <c r="AJ228">
        <v>82.581646731186197</v>
      </c>
      <c r="AK228">
        <v>0.62286202483314701</v>
      </c>
      <c r="AL228">
        <v>88.383632066576993</v>
      </c>
      <c r="AM228">
        <v>92.377388200353494</v>
      </c>
      <c r="AN228">
        <v>0.999999981203477</v>
      </c>
    </row>
    <row r="229" spans="1:40" x14ac:dyDescent="0.25">
      <c r="A229" t="str">
        <f>"20190305135537860"</f>
        <v>20190305135537860</v>
      </c>
      <c r="B229" t="str">
        <f>"1551765337851365"</f>
        <v>1551765337851365</v>
      </c>
      <c r="C229" t="s">
        <v>40</v>
      </c>
      <c r="D229">
        <v>4.0342789999999997</v>
      </c>
      <c r="E229">
        <v>0.54693239999999999</v>
      </c>
      <c r="F229" t="s">
        <v>41</v>
      </c>
      <c r="G229">
        <v>-426.73559999999998</v>
      </c>
      <c r="H229">
        <v>1.0041639999999901</v>
      </c>
      <c r="I229">
        <v>367.88670000000002</v>
      </c>
      <c r="J229">
        <v>-427.33300000000003</v>
      </c>
      <c r="K229">
        <v>1.0592280000000001</v>
      </c>
      <c r="L229">
        <v>367.95049999999998</v>
      </c>
      <c r="M229">
        <v>0.99974510000000005</v>
      </c>
      <c r="N229">
        <v>-5.9930840000000001E-3</v>
      </c>
      <c r="O229">
        <v>2.1768639999999999E-2</v>
      </c>
      <c r="P229">
        <v>0.99777130000000003</v>
      </c>
      <c r="Q229">
        <v>2.203244E-2</v>
      </c>
      <c r="R229">
        <v>6.2985910000000006E-2</v>
      </c>
      <c r="S229">
        <v>3.02359</v>
      </c>
      <c r="T229">
        <v>-0.1910145</v>
      </c>
      <c r="U229">
        <v>-0.1991272</v>
      </c>
      <c r="V229">
        <v>-4.1256950000000001E-2</v>
      </c>
      <c r="W229">
        <v>2.800892E-2</v>
      </c>
      <c r="X229">
        <v>0.99875590000000003</v>
      </c>
      <c r="Y229">
        <v>8.7196860000000001E-2</v>
      </c>
      <c r="Z229">
        <v>-4.2528189999999997E-3</v>
      </c>
      <c r="AA229">
        <v>0.99618200000000001</v>
      </c>
      <c r="AB229">
        <v>28</v>
      </c>
      <c r="AC229">
        <v>0.59740000000005</v>
      </c>
      <c r="AD229">
        <v>-5.5064000000000203E-2</v>
      </c>
      <c r="AE229">
        <v>-6.3799999999957793E-2</v>
      </c>
      <c r="AF229">
        <v>7.6150038730819006E-2</v>
      </c>
      <c r="AG229">
        <v>-5.5064000000000203E-2</v>
      </c>
      <c r="AH229">
        <v>0.59090595202738005</v>
      </c>
      <c r="AI229">
        <v>95.280358240457502</v>
      </c>
      <c r="AJ229">
        <v>82.656766360118596</v>
      </c>
      <c r="AK229">
        <v>0.59833161092832998</v>
      </c>
      <c r="AL229">
        <v>88.394997181207501</v>
      </c>
      <c r="AM229">
        <v>92.365448799434105</v>
      </c>
      <c r="AN229">
        <v>0.99999999165383902</v>
      </c>
    </row>
    <row r="230" spans="1:40" x14ac:dyDescent="0.25">
      <c r="A230" t="str">
        <f>"20190305135537883"</f>
        <v>20190305135537883</v>
      </c>
      <c r="B230" t="str">
        <f>"1551765337871861"</f>
        <v>1551765337871861</v>
      </c>
      <c r="C230" t="s">
        <v>40</v>
      </c>
      <c r="D230">
        <v>4.0271530000000002</v>
      </c>
      <c r="E230">
        <v>0.54684619999999995</v>
      </c>
      <c r="F230" t="s">
        <v>41</v>
      </c>
      <c r="G230">
        <v>-426.48430000000002</v>
      </c>
      <c r="H230">
        <v>1.004124</v>
      </c>
      <c r="I230">
        <v>367.89499999999998</v>
      </c>
      <c r="J230">
        <v>-427.041</v>
      </c>
      <c r="K230">
        <v>1.059267</v>
      </c>
      <c r="L230">
        <v>367.95699999999999</v>
      </c>
      <c r="M230">
        <v>0.99974039999999997</v>
      </c>
      <c r="N230">
        <v>-6.2147000000000001E-3</v>
      </c>
      <c r="O230">
        <v>2.192235E-2</v>
      </c>
      <c r="P230">
        <v>0.99778630000000001</v>
      </c>
      <c r="Q230">
        <v>2.0946510000000002E-2</v>
      </c>
      <c r="R230">
        <v>6.3117809999999996E-2</v>
      </c>
      <c r="S230">
        <v>3.0234679999999998</v>
      </c>
      <c r="T230">
        <v>-0.1965044</v>
      </c>
      <c r="U230">
        <v>-0.19677729999999999</v>
      </c>
      <c r="V230">
        <v>-4.1234590000000002E-2</v>
      </c>
      <c r="W230">
        <v>2.7145220000000001E-2</v>
      </c>
      <c r="X230">
        <v>0.99878069999999997</v>
      </c>
      <c r="Y230">
        <v>8.6569699999999999E-2</v>
      </c>
      <c r="Z230">
        <v>-4.3629009999999998E-3</v>
      </c>
      <c r="AA230">
        <v>0.99623629999999996</v>
      </c>
      <c r="AB230">
        <v>28</v>
      </c>
      <c r="AC230">
        <v>0.55669999999997799</v>
      </c>
      <c r="AD230">
        <v>-5.51429999999999E-2</v>
      </c>
      <c r="AE230">
        <v>-6.2000000000011803E-2</v>
      </c>
      <c r="AF230">
        <v>7.3477410747328595E-2</v>
      </c>
      <c r="AG230">
        <v>-5.51429999999999E-2</v>
      </c>
      <c r="AH230">
        <v>0.54987792966905003</v>
      </c>
      <c r="AI230">
        <v>95.676484233604498</v>
      </c>
      <c r="AJ230">
        <v>82.388940715958995</v>
      </c>
      <c r="AK230">
        <v>0.55749925370017495</v>
      </c>
      <c r="AL230">
        <v>88.444502420669195</v>
      </c>
      <c r="AM230">
        <v>92.364109617529806</v>
      </c>
      <c r="AN230">
        <v>1.0000000205369</v>
      </c>
    </row>
    <row r="231" spans="1:40" x14ac:dyDescent="0.25">
      <c r="A231" t="str">
        <f>"20190305135537906"</f>
        <v>20190305135537906</v>
      </c>
      <c r="B231" t="str">
        <f>"1551765337901651"</f>
        <v>1551765337901651</v>
      </c>
      <c r="C231" t="s">
        <v>40</v>
      </c>
      <c r="D231">
        <v>4.0631870000000001</v>
      </c>
      <c r="E231">
        <v>0.54677889999999996</v>
      </c>
      <c r="F231" t="s">
        <v>41</v>
      </c>
      <c r="G231">
        <v>-426.23149999999998</v>
      </c>
      <c r="H231">
        <v>1.0054270000000001</v>
      </c>
      <c r="I231">
        <v>367.90460000000002</v>
      </c>
      <c r="J231">
        <v>-426.75779999999997</v>
      </c>
      <c r="K231">
        <v>1.0593250000000001</v>
      </c>
      <c r="L231">
        <v>367.9633</v>
      </c>
      <c r="M231">
        <v>0.99973509999999999</v>
      </c>
      <c r="N231">
        <v>-6.5494739999999996E-3</v>
      </c>
      <c r="O231">
        <v>2.2070019999999999E-2</v>
      </c>
      <c r="P231">
        <v>0.99780670000000005</v>
      </c>
      <c r="Q231">
        <v>2.0380849999999999E-2</v>
      </c>
      <c r="R231">
        <v>6.2979839999999995E-2</v>
      </c>
      <c r="S231">
        <v>3.0232239999999999</v>
      </c>
      <c r="T231">
        <v>-0.2012157</v>
      </c>
      <c r="U231">
        <v>-0.1954651</v>
      </c>
      <c r="V231">
        <v>-4.0948619999999998E-2</v>
      </c>
      <c r="W231">
        <v>2.6914029999999999E-2</v>
      </c>
      <c r="X231">
        <v>0.99879870000000004</v>
      </c>
      <c r="Y231">
        <v>8.6280090000000004E-2</v>
      </c>
      <c r="Z231">
        <v>-4.4699809999999996E-3</v>
      </c>
      <c r="AA231">
        <v>0.9962609</v>
      </c>
      <c r="AB231">
        <v>28</v>
      </c>
      <c r="AC231">
        <v>0.526299999999992</v>
      </c>
      <c r="AD231">
        <v>-5.3898000000000001E-2</v>
      </c>
      <c r="AE231">
        <v>-5.8699999999987498E-2</v>
      </c>
      <c r="AF231">
        <v>6.9580629140255798E-2</v>
      </c>
      <c r="AG231">
        <v>-5.3898000000000001E-2</v>
      </c>
      <c r="AH231">
        <v>0.51949492111750395</v>
      </c>
      <c r="AI231">
        <v>95.871230230842897</v>
      </c>
      <c r="AJ231">
        <v>82.371263466861706</v>
      </c>
      <c r="AK231">
        <v>0.52689793264202001</v>
      </c>
      <c r="AL231">
        <v>88.457753439668195</v>
      </c>
      <c r="AM231">
        <v>92.347690199151799</v>
      </c>
      <c r="AN231">
        <v>0.99999999880621704</v>
      </c>
    </row>
    <row r="232" spans="1:40" x14ac:dyDescent="0.25">
      <c r="A232" t="str">
        <f>"20190305135537929"</f>
        <v>20190305135537929</v>
      </c>
      <c r="B232" t="str">
        <f>"1551765337922146"</f>
        <v>1551765337922146</v>
      </c>
      <c r="C232" t="s">
        <v>40</v>
      </c>
      <c r="D232">
        <v>4.0591470000000003</v>
      </c>
      <c r="E232">
        <v>0.54677319999999996</v>
      </c>
      <c r="F232" t="s">
        <v>41</v>
      </c>
      <c r="G232">
        <v>-425.9785</v>
      </c>
      <c r="H232">
        <v>1.0067349999999999</v>
      </c>
      <c r="I232">
        <v>367.91239999999999</v>
      </c>
      <c r="J232">
        <v>-426.46300000000002</v>
      </c>
      <c r="K232">
        <v>1.0594220000000001</v>
      </c>
      <c r="L232">
        <v>367.97</v>
      </c>
      <c r="M232">
        <v>0.99972819999999996</v>
      </c>
      <c r="N232">
        <v>-7.0660269999999999E-3</v>
      </c>
      <c r="O232">
        <v>2.2221000000000001E-2</v>
      </c>
      <c r="P232">
        <v>0.99785060000000003</v>
      </c>
      <c r="Q232">
        <v>1.8902990000000001E-2</v>
      </c>
      <c r="R232">
        <v>6.2744960000000002E-2</v>
      </c>
      <c r="S232">
        <v>3.0231629999999998</v>
      </c>
      <c r="T232">
        <v>-0.20444699999999999</v>
      </c>
      <c r="U232">
        <v>-0.19564819999999999</v>
      </c>
      <c r="V232">
        <v>-4.0561960000000001E-2</v>
      </c>
      <c r="W232">
        <v>2.5951640000000002E-2</v>
      </c>
      <c r="X232">
        <v>0.99883999999999995</v>
      </c>
      <c r="Y232">
        <v>8.6482530000000002E-2</v>
      </c>
      <c r="Z232">
        <v>-4.5671069999999999E-3</v>
      </c>
      <c r="AA232">
        <v>0.99624290000000004</v>
      </c>
      <c r="AB232">
        <v>28</v>
      </c>
      <c r="AC232">
        <v>0.48450000000002502</v>
      </c>
      <c r="AD232">
        <v>-5.2686999999999901E-2</v>
      </c>
      <c r="AE232">
        <v>-5.7600000000036199E-2</v>
      </c>
      <c r="AF232">
        <v>6.7564273360801397E-2</v>
      </c>
      <c r="AG232">
        <v>-5.2686999999999901E-2</v>
      </c>
      <c r="AH232">
        <v>0.47753204954966899</v>
      </c>
      <c r="AI232">
        <v>96.234487984713297</v>
      </c>
      <c r="AJ232">
        <v>81.946881422463406</v>
      </c>
      <c r="AK232">
        <v>0.48515740677730601</v>
      </c>
      <c r="AL232">
        <v>88.512913681011895</v>
      </c>
      <c r="AM232">
        <v>92.325450385860705</v>
      </c>
      <c r="AN232">
        <v>1.00000005290886</v>
      </c>
    </row>
    <row r="233" spans="1:40" x14ac:dyDescent="0.25">
      <c r="A233" t="str">
        <f>"20190305135537949"</f>
        <v>20190305135537949</v>
      </c>
      <c r="B233" t="str">
        <f>"1551765337941665"</f>
        <v>1551765337941665</v>
      </c>
      <c r="C233" t="s">
        <v>40</v>
      </c>
      <c r="D233">
        <v>4.0563609999999999</v>
      </c>
      <c r="E233">
        <v>0.54675109999999905</v>
      </c>
      <c r="F233" t="s">
        <v>41</v>
      </c>
      <c r="G233">
        <v>-425.48520000000002</v>
      </c>
      <c r="H233">
        <v>0.99152600000000002</v>
      </c>
      <c r="I233">
        <v>367.90629999999999</v>
      </c>
      <c r="J233">
        <v>-426.2013</v>
      </c>
      <c r="K233">
        <v>1.0595349999999999</v>
      </c>
      <c r="L233">
        <v>367.976</v>
      </c>
      <c r="M233">
        <v>0.99972090000000002</v>
      </c>
      <c r="N233">
        <v>-7.6771249999999999E-3</v>
      </c>
      <c r="O233">
        <v>2.2348949999999999E-2</v>
      </c>
      <c r="P233">
        <v>0.99788679999999996</v>
      </c>
      <c r="Q233">
        <v>1.8256100000000001E-2</v>
      </c>
      <c r="R233">
        <v>6.2361529999999998E-2</v>
      </c>
      <c r="S233">
        <v>3.0227970000000002</v>
      </c>
      <c r="T233">
        <v>-0.21017250000000001</v>
      </c>
      <c r="U233">
        <v>-0.1961975</v>
      </c>
      <c r="V233">
        <v>-4.0050000000000002E-2</v>
      </c>
      <c r="W233">
        <v>2.591589E-2</v>
      </c>
      <c r="X233">
        <v>0.99886160000000002</v>
      </c>
      <c r="Y233">
        <v>8.6781769999999994E-2</v>
      </c>
      <c r="Z233">
        <v>-4.723451E-3</v>
      </c>
      <c r="AA233">
        <v>0.9962162</v>
      </c>
      <c r="AB233">
        <v>28</v>
      </c>
      <c r="AC233">
        <v>0.71609999999998297</v>
      </c>
      <c r="AD233">
        <v>-6.8009000000000097E-2</v>
      </c>
      <c r="AE233">
        <v>-6.97000000000116E-2</v>
      </c>
      <c r="AF233">
        <v>8.4928315194137197E-2</v>
      </c>
      <c r="AG233">
        <v>-6.8009000000000097E-2</v>
      </c>
      <c r="AH233">
        <v>0.70803711090258004</v>
      </c>
      <c r="AI233">
        <v>95.447779029186506</v>
      </c>
      <c r="AJ233">
        <v>83.160109460152199</v>
      </c>
      <c r="AK233">
        <v>0.71634809500548402</v>
      </c>
      <c r="AL233">
        <v>88.514962713482802</v>
      </c>
      <c r="AM233">
        <v>92.2960813157312</v>
      </c>
      <c r="AN233">
        <v>1.0000000659045201</v>
      </c>
    </row>
    <row r="234" spans="1:40" x14ac:dyDescent="0.25">
      <c r="A234" t="str">
        <f>"20190305135537973"</f>
        <v>20190305135537973</v>
      </c>
      <c r="B234" t="str">
        <f>"1551765337961185"</f>
        <v>1551765337961185</v>
      </c>
      <c r="C234" t="s">
        <v>40</v>
      </c>
      <c r="D234">
        <v>4.0813319999999997</v>
      </c>
      <c r="E234">
        <v>0.5467649</v>
      </c>
      <c r="F234" t="s">
        <v>41</v>
      </c>
      <c r="G234">
        <v>-425.23430000000002</v>
      </c>
      <c r="H234">
        <v>0.99146599999999996</v>
      </c>
      <c r="I234">
        <v>367.9126</v>
      </c>
      <c r="J234">
        <v>-425.9033</v>
      </c>
      <c r="K234">
        <v>1.0596650000000001</v>
      </c>
      <c r="L234">
        <v>367.9828</v>
      </c>
      <c r="M234">
        <v>0.99971140000000003</v>
      </c>
      <c r="N234">
        <v>-8.456837E-3</v>
      </c>
      <c r="O234">
        <v>2.2491170000000001E-2</v>
      </c>
      <c r="P234">
        <v>0.99789950000000005</v>
      </c>
      <c r="Q234">
        <v>1.7171169999999999E-2</v>
      </c>
      <c r="R234">
        <v>6.2466470000000003E-2</v>
      </c>
      <c r="S234">
        <v>3.022583</v>
      </c>
      <c r="T234">
        <v>-0.2129067</v>
      </c>
      <c r="U234">
        <v>-0.19732669999999999</v>
      </c>
      <c r="V234">
        <v>-4.0012209999999999E-2</v>
      </c>
      <c r="W234">
        <v>2.5610339999999999E-2</v>
      </c>
      <c r="X234">
        <v>0.99887090000000001</v>
      </c>
      <c r="Y234">
        <v>8.7288729999999995E-2</v>
      </c>
      <c r="Z234">
        <v>-4.8282209999999997E-3</v>
      </c>
      <c r="AA234">
        <v>0.99617140000000004</v>
      </c>
      <c r="AB234">
        <v>28</v>
      </c>
      <c r="AC234">
        <v>0.66899999999998205</v>
      </c>
      <c r="AD234">
        <v>-6.8198999999999899E-2</v>
      </c>
      <c r="AE234">
        <v>-7.0199999999999804E-2</v>
      </c>
      <c r="AF234">
        <v>8.4362216556877506E-2</v>
      </c>
      <c r="AG234">
        <v>-6.8198999999999899E-2</v>
      </c>
      <c r="AH234">
        <v>0.66046296914101998</v>
      </c>
      <c r="AI234">
        <v>95.848250787689693</v>
      </c>
      <c r="AJ234">
        <v>82.720915309270694</v>
      </c>
      <c r="AK234">
        <v>0.66931264801284196</v>
      </c>
      <c r="AL234">
        <v>88.532475110864098</v>
      </c>
      <c r="AM234">
        <v>92.293895781829306</v>
      </c>
      <c r="AN234">
        <v>0.99999997066540403</v>
      </c>
    </row>
    <row r="235" spans="1:40" x14ac:dyDescent="0.25">
      <c r="A235" t="str">
        <f>"20190305135537995"</f>
        <v>20190305135537995</v>
      </c>
      <c r="B235" t="str">
        <f>"1551765337991949"</f>
        <v>1551765337991949</v>
      </c>
      <c r="C235" t="s">
        <v>40</v>
      </c>
      <c r="D235">
        <v>4.1068930000000003</v>
      </c>
      <c r="E235">
        <v>0.54686789999999996</v>
      </c>
      <c r="F235" t="s">
        <v>41</v>
      </c>
      <c r="G235">
        <v>-424.983</v>
      </c>
      <c r="H235">
        <v>0.99363670000000004</v>
      </c>
      <c r="I235">
        <v>367.92270000000002</v>
      </c>
      <c r="J235">
        <v>-425.6345</v>
      </c>
      <c r="K235">
        <v>1.059769</v>
      </c>
      <c r="L235">
        <v>367.98899999999998</v>
      </c>
      <c r="M235">
        <v>0.99970250000000005</v>
      </c>
      <c r="N235">
        <v>-9.1657019999999995E-3</v>
      </c>
      <c r="O235">
        <v>2.2607459999999999E-2</v>
      </c>
      <c r="P235">
        <v>0.99790380000000001</v>
      </c>
      <c r="Q235">
        <v>1.607712E-2</v>
      </c>
      <c r="R235">
        <v>6.2686240000000004E-2</v>
      </c>
      <c r="S235">
        <v>3.0223689999999999</v>
      </c>
      <c r="T235">
        <v>-0.21685850000000001</v>
      </c>
      <c r="U235">
        <v>-0.19711300000000001</v>
      </c>
      <c r="V235">
        <v>-4.0114530000000002E-2</v>
      </c>
      <c r="W235">
        <v>2.5225649999999999E-2</v>
      </c>
      <c r="X235">
        <v>0.9988766</v>
      </c>
      <c r="Y235">
        <v>8.7327260000000004E-2</v>
      </c>
      <c r="Z235">
        <v>-4.9385749999999997E-3</v>
      </c>
      <c r="AA235">
        <v>0.99616740000000004</v>
      </c>
      <c r="AB235">
        <v>28</v>
      </c>
      <c r="AC235">
        <v>0.65149999999999797</v>
      </c>
      <c r="AD235">
        <v>-6.6132299999999894E-2</v>
      </c>
      <c r="AE235">
        <v>-6.6300000000012405E-2</v>
      </c>
      <c r="AF235">
        <v>8.0194589787718304E-2</v>
      </c>
      <c r="AG235">
        <v>-6.6132299999999894E-2</v>
      </c>
      <c r="AH235">
        <v>0.64327429147683002</v>
      </c>
      <c r="AI235">
        <v>95.824938356340695</v>
      </c>
      <c r="AJ235">
        <v>82.893813036333498</v>
      </c>
      <c r="AK235">
        <v>0.65161834489947301</v>
      </c>
      <c r="AL235">
        <v>88.554523370041395</v>
      </c>
      <c r="AM235">
        <v>92.299742377029304</v>
      </c>
      <c r="AN235">
        <v>0.99999998548130098</v>
      </c>
    </row>
    <row r="236" spans="1:40" x14ac:dyDescent="0.25">
      <c r="A236" t="str">
        <f>"20190305135538016"</f>
        <v>20190305135538016</v>
      </c>
      <c r="B236" t="str">
        <f>"1551765338011469"</f>
        <v>1551765338011469</v>
      </c>
      <c r="C236" t="s">
        <v>40</v>
      </c>
      <c r="D236">
        <v>4.1046829999999996</v>
      </c>
      <c r="E236">
        <v>0.54693219999999898</v>
      </c>
      <c r="F236" t="s">
        <v>41</v>
      </c>
      <c r="G236">
        <v>-424.73270000000002</v>
      </c>
      <c r="H236">
        <v>0.99430890000000005</v>
      </c>
      <c r="I236">
        <v>367.93009999999998</v>
      </c>
      <c r="J236">
        <v>-425.37799999999999</v>
      </c>
      <c r="K236">
        <v>1.0598259999999999</v>
      </c>
      <c r="L236">
        <v>367.99489999999997</v>
      </c>
      <c r="M236">
        <v>0.99969419999999998</v>
      </c>
      <c r="N236">
        <v>-9.8130500000000002E-3</v>
      </c>
      <c r="O236">
        <v>2.2697370000000001E-2</v>
      </c>
      <c r="P236">
        <v>0.99788589999999999</v>
      </c>
      <c r="Q236">
        <v>1.5127099999999999E-2</v>
      </c>
      <c r="R236">
        <v>6.3204999999999997E-2</v>
      </c>
      <c r="S236">
        <v>3.022278</v>
      </c>
      <c r="T236">
        <v>-0.21946979999999999</v>
      </c>
      <c r="U236">
        <v>-0.19735720000000001</v>
      </c>
      <c r="V236">
        <v>-4.0542549999999997E-2</v>
      </c>
      <c r="W236">
        <v>2.492343E-2</v>
      </c>
      <c r="X236">
        <v>0.9988669</v>
      </c>
      <c r="Y236">
        <v>8.749026E-2</v>
      </c>
      <c r="Z236">
        <v>-5.021785E-3</v>
      </c>
      <c r="AA236">
        <v>0.9961527</v>
      </c>
      <c r="AB236">
        <v>28</v>
      </c>
      <c r="AC236">
        <v>0.64530000000001997</v>
      </c>
      <c r="AD236">
        <v>-6.5517099999999995E-2</v>
      </c>
      <c r="AE236">
        <v>-6.4799999999991004E-2</v>
      </c>
      <c r="AF236">
        <v>7.86281936533825E-2</v>
      </c>
      <c r="AG236">
        <v>-6.5517099999999995E-2</v>
      </c>
      <c r="AH236">
        <v>0.63716042718749399</v>
      </c>
      <c r="AI236">
        <v>95.827008664200505</v>
      </c>
      <c r="AJ236">
        <v>82.965034220973493</v>
      </c>
      <c r="AK236">
        <v>0.64532805084185896</v>
      </c>
      <c r="AL236">
        <v>88.571844738868805</v>
      </c>
      <c r="AM236">
        <v>92.324276288452495</v>
      </c>
      <c r="AN236">
        <v>0.99999997981953803</v>
      </c>
    </row>
    <row r="237" spans="1:40" x14ac:dyDescent="0.25">
      <c r="A237" t="str">
        <f>"20190305135538037"</f>
        <v>20190305135538037</v>
      </c>
      <c r="B237" t="str">
        <f>"1551765338031965"</f>
        <v>1551765338031965</v>
      </c>
      <c r="C237" t="s">
        <v>40</v>
      </c>
      <c r="D237">
        <v>4.1126690000000004</v>
      </c>
      <c r="E237">
        <v>0.54697469999999904</v>
      </c>
      <c r="F237" t="s">
        <v>41</v>
      </c>
      <c r="G237">
        <v>-424.48329999999999</v>
      </c>
      <c r="H237">
        <v>0.99427410000000005</v>
      </c>
      <c r="I237">
        <v>367.93639999999999</v>
      </c>
      <c r="J237">
        <v>-425.101</v>
      </c>
      <c r="K237">
        <v>1.0598730000000001</v>
      </c>
      <c r="L237">
        <v>368.00130000000001</v>
      </c>
      <c r="M237">
        <v>0.99968619999999997</v>
      </c>
      <c r="N237">
        <v>-1.0462300000000001E-2</v>
      </c>
      <c r="O237">
        <v>2.2765110000000002E-2</v>
      </c>
      <c r="P237">
        <v>0.99784669999999998</v>
      </c>
      <c r="Q237">
        <v>1.4021469999999999E-2</v>
      </c>
      <c r="R237">
        <v>6.4074359999999997E-2</v>
      </c>
      <c r="S237">
        <v>3.022186</v>
      </c>
      <c r="T237">
        <v>-0.2215405</v>
      </c>
      <c r="U237">
        <v>-0.19686890000000001</v>
      </c>
      <c r="V237">
        <v>-4.134318E-2</v>
      </c>
      <c r="W237">
        <v>2.4468190000000001E-2</v>
      </c>
      <c r="X237">
        <v>0.99884530000000005</v>
      </c>
      <c r="Y237">
        <v>8.7392990000000004E-2</v>
      </c>
      <c r="Z237">
        <v>-5.0812219999999998E-3</v>
      </c>
      <c r="AA237">
        <v>0.99616099999999996</v>
      </c>
      <c r="AB237">
        <v>28</v>
      </c>
      <c r="AC237">
        <v>0.61770000000001302</v>
      </c>
      <c r="AD237">
        <v>-6.5598900000000002E-2</v>
      </c>
      <c r="AE237">
        <v>-6.4900000000022801E-2</v>
      </c>
      <c r="AF237">
        <v>7.8075027723612397E-2</v>
      </c>
      <c r="AG237">
        <v>-6.5598900000000002E-2</v>
      </c>
      <c r="AH237">
        <v>0.609265995706052</v>
      </c>
      <c r="AI237">
        <v>96.0958232980975</v>
      </c>
      <c r="AJ237">
        <v>82.697570966302294</v>
      </c>
      <c r="AK237">
        <v>0.61774102920150897</v>
      </c>
      <c r="AL237">
        <v>88.597935974912303</v>
      </c>
      <c r="AM237">
        <v>92.370175208876404</v>
      </c>
      <c r="AN237">
        <v>0.99999994209323695</v>
      </c>
    </row>
    <row r="238" spans="1:40" x14ac:dyDescent="0.25">
      <c r="A238" t="str">
        <f>"20190305135538062"</f>
        <v>20190305135538062</v>
      </c>
      <c r="B238" t="str">
        <f>"1551765338052461"</f>
        <v>1551765338052461</v>
      </c>
      <c r="C238" t="s">
        <v>40</v>
      </c>
      <c r="D238">
        <v>4.0920949999999996</v>
      </c>
      <c r="E238">
        <v>0.54699750000000003</v>
      </c>
      <c r="F238" t="s">
        <v>41</v>
      </c>
      <c r="G238">
        <v>-424.23379999999997</v>
      </c>
      <c r="H238">
        <v>0.99557910000000005</v>
      </c>
      <c r="I238">
        <v>367.94540000000001</v>
      </c>
      <c r="J238">
        <v>-424.80520000000001</v>
      </c>
      <c r="K238">
        <v>1.0599000000000001</v>
      </c>
      <c r="L238">
        <v>368.00810000000001</v>
      </c>
      <c r="M238">
        <v>0.99967859999999997</v>
      </c>
      <c r="N238">
        <v>-1.1091520000000001E-2</v>
      </c>
      <c r="O238">
        <v>2.2802780000000002E-2</v>
      </c>
      <c r="P238">
        <v>0.99779110000000004</v>
      </c>
      <c r="Q238">
        <v>1.160164E-2</v>
      </c>
      <c r="R238">
        <v>6.5410209999999996E-2</v>
      </c>
      <c r="S238">
        <v>3.022125</v>
      </c>
      <c r="T238">
        <v>-0.2241985</v>
      </c>
      <c r="U238">
        <v>-0.19458010000000001</v>
      </c>
      <c r="V238">
        <v>-4.2640440000000002E-2</v>
      </c>
      <c r="W238">
        <v>2.2679600000000001E-2</v>
      </c>
      <c r="X238">
        <v>0.99883310000000003</v>
      </c>
      <c r="Y238">
        <v>8.6674379999999995E-2</v>
      </c>
      <c r="Z238">
        <v>-5.1246620000000003E-3</v>
      </c>
      <c r="AA238">
        <v>0.99622350000000004</v>
      </c>
      <c r="AB238">
        <v>28</v>
      </c>
      <c r="AC238">
        <v>0.57140000000003899</v>
      </c>
      <c r="AD238">
        <v>-6.4320900000000097E-2</v>
      </c>
      <c r="AE238">
        <v>-6.2700000000006598E-2</v>
      </c>
      <c r="AF238">
        <v>7.4777739583319805E-2</v>
      </c>
      <c r="AG238">
        <v>-6.4320900000000097E-2</v>
      </c>
      <c r="AH238">
        <v>0.56277529184472697</v>
      </c>
      <c r="AI238">
        <v>96.463852175085805</v>
      </c>
      <c r="AJ238">
        <v>82.431262821025598</v>
      </c>
      <c r="AK238">
        <v>0.57135358371582701</v>
      </c>
      <c r="AL238">
        <v>88.700443301579597</v>
      </c>
      <c r="AM238">
        <v>92.444487182016104</v>
      </c>
      <c r="AN238">
        <v>1.0000000665175699</v>
      </c>
    </row>
    <row r="239" spans="1:40" x14ac:dyDescent="0.25">
      <c r="A239" t="str">
        <f>"20190305135538083"</f>
        <v>20190305135538083</v>
      </c>
      <c r="B239" t="str">
        <f>"1551765338071984"</f>
        <v>1551765338071984</v>
      </c>
      <c r="C239" t="s">
        <v>40</v>
      </c>
      <c r="D239">
        <v>4.0828199999999999</v>
      </c>
      <c r="E239">
        <v>0.54703009999999996</v>
      </c>
      <c r="F239" t="s">
        <v>41</v>
      </c>
      <c r="G239">
        <v>-423.98450000000003</v>
      </c>
      <c r="H239">
        <v>0.99708390000000002</v>
      </c>
      <c r="I239">
        <v>367.95609999999999</v>
      </c>
      <c r="J239">
        <v>-424.53289999999998</v>
      </c>
      <c r="K239">
        <v>1.0598989999999999</v>
      </c>
      <c r="L239">
        <v>368.01429999999999</v>
      </c>
      <c r="M239">
        <v>0.99967289999999998</v>
      </c>
      <c r="N239">
        <v>-1.160978E-2</v>
      </c>
      <c r="O239">
        <v>2.2791470000000001E-2</v>
      </c>
      <c r="P239">
        <v>0.99769439999999998</v>
      </c>
      <c r="Q239">
        <v>9.4515529999999997E-3</v>
      </c>
      <c r="R239">
        <v>6.7208190000000001E-2</v>
      </c>
      <c r="S239">
        <v>3.0218509999999998</v>
      </c>
      <c r="T239">
        <v>-0.23152700000000001</v>
      </c>
      <c r="U239">
        <v>-0.19088749999999999</v>
      </c>
      <c r="V239">
        <v>-4.4449919999999997E-2</v>
      </c>
      <c r="W239">
        <v>2.1050159999999998E-2</v>
      </c>
      <c r="X239">
        <v>0.99878979999999995</v>
      </c>
      <c r="Y239">
        <v>8.5439249999999994E-2</v>
      </c>
      <c r="Z239">
        <v>-5.2405070000000002E-3</v>
      </c>
      <c r="AA239">
        <v>0.99632960000000004</v>
      </c>
      <c r="AB239">
        <v>28</v>
      </c>
      <c r="AC239">
        <v>0.54839999999995803</v>
      </c>
      <c r="AD239">
        <v>-6.2815099999999902E-2</v>
      </c>
      <c r="AE239">
        <v>-5.8199999999999301E-2</v>
      </c>
      <c r="AF239">
        <v>6.9779257474020598E-2</v>
      </c>
      <c r="AG239">
        <v>-6.2815099999999902E-2</v>
      </c>
      <c r="AH239">
        <v>0.53992605211796196</v>
      </c>
      <c r="AI239">
        <v>96.581717790494494</v>
      </c>
      <c r="AJ239">
        <v>82.635995126259502</v>
      </c>
      <c r="AK239">
        <v>0.54802830521545498</v>
      </c>
      <c r="AL239">
        <v>88.793825566328593</v>
      </c>
      <c r="AM239">
        <v>92.548197258280695</v>
      </c>
      <c r="AN239">
        <v>0.99999998460403505</v>
      </c>
    </row>
    <row r="240" spans="1:40" x14ac:dyDescent="0.25">
      <c r="A240" t="str">
        <f>"20190305135538106"</f>
        <v>20190305135538106</v>
      </c>
      <c r="B240" t="str">
        <f>"1551765338101261"</f>
        <v>1551765338101261</v>
      </c>
      <c r="C240" t="s">
        <v>40</v>
      </c>
      <c r="D240">
        <v>4.2931839999999903</v>
      </c>
      <c r="E240">
        <v>0.54713049999999996</v>
      </c>
      <c r="F240" t="s">
        <v>41</v>
      </c>
      <c r="G240">
        <v>-423.7364</v>
      </c>
      <c r="H240">
        <v>0.9969652</v>
      </c>
      <c r="I240">
        <v>367.96499999999997</v>
      </c>
      <c r="J240">
        <v>-424.25549999999998</v>
      </c>
      <c r="K240">
        <v>1.05989</v>
      </c>
      <c r="L240">
        <v>368.0206</v>
      </c>
      <c r="M240">
        <v>0.99966900000000003</v>
      </c>
      <c r="N240">
        <v>-1.207887E-2</v>
      </c>
      <c r="O240">
        <v>2.2720899999999999E-2</v>
      </c>
      <c r="P240">
        <v>0.99761529999999998</v>
      </c>
      <c r="Q240">
        <v>8.0494450000000006E-3</v>
      </c>
      <c r="R240">
        <v>6.8550550000000002E-2</v>
      </c>
      <c r="S240">
        <v>3.0216980000000002</v>
      </c>
      <c r="T240">
        <v>-0.2389771</v>
      </c>
      <c r="U240">
        <v>-0.1858215</v>
      </c>
      <c r="V240">
        <v>-4.5861909999999999E-2</v>
      </c>
      <c r="W240">
        <v>2.0121E-2</v>
      </c>
      <c r="X240">
        <v>0.99874510000000005</v>
      </c>
      <c r="Y240">
        <v>8.3692450000000002E-2</v>
      </c>
      <c r="Z240">
        <v>-5.3269220000000004E-3</v>
      </c>
      <c r="AA240">
        <v>0.99647739999999996</v>
      </c>
      <c r="AB240">
        <v>28</v>
      </c>
      <c r="AC240">
        <v>0.51909999999998002</v>
      </c>
      <c r="AD240">
        <v>-6.2924800000000003E-2</v>
      </c>
      <c r="AE240">
        <v>-5.5600000000026698E-2</v>
      </c>
      <c r="AF240">
        <v>6.6416070499629401E-2</v>
      </c>
      <c r="AG240">
        <v>-6.2924800000000003E-2</v>
      </c>
      <c r="AH240">
        <v>0.51028942447153602</v>
      </c>
      <c r="AI240">
        <v>96.971553106884699</v>
      </c>
      <c r="AJ240">
        <v>82.584426507140805</v>
      </c>
      <c r="AK240">
        <v>0.51842638976342903</v>
      </c>
      <c r="AL240">
        <v>88.847073784736907</v>
      </c>
      <c r="AM240">
        <v>92.629148613515099</v>
      </c>
      <c r="AN240">
        <v>0.99999997210192804</v>
      </c>
    </row>
    <row r="241" spans="1:40" x14ac:dyDescent="0.25">
      <c r="A241" t="str">
        <f>"20190305135538129"</f>
        <v>20190305135538129</v>
      </c>
      <c r="B241" t="str">
        <f>"1551765338121757"</f>
        <v>1551765338121757</v>
      </c>
      <c r="C241" t="s">
        <v>40</v>
      </c>
      <c r="D241">
        <v>4.0781499999999999</v>
      </c>
      <c r="E241">
        <v>0.54716489999999995</v>
      </c>
      <c r="F241" t="s">
        <v>41</v>
      </c>
      <c r="G241">
        <v>-423.48779999999999</v>
      </c>
      <c r="H241">
        <v>0.99803920000000002</v>
      </c>
      <c r="I241">
        <v>367.97399999999999</v>
      </c>
      <c r="J241">
        <v>-423.97640000000001</v>
      </c>
      <c r="K241">
        <v>1.0598639999999999</v>
      </c>
      <c r="L241">
        <v>368.02690000000001</v>
      </c>
      <c r="M241">
        <v>0.99966699999999997</v>
      </c>
      <c r="N241">
        <v>-1.249405E-2</v>
      </c>
      <c r="O241">
        <v>2.258315E-2</v>
      </c>
      <c r="P241">
        <v>0.99751060000000003</v>
      </c>
      <c r="Q241">
        <v>7.3791050000000004E-3</v>
      </c>
      <c r="R241">
        <v>7.0130200000000004E-2</v>
      </c>
      <c r="S241">
        <v>3.0216669999999999</v>
      </c>
      <c r="T241">
        <v>-0.24365500000000001</v>
      </c>
      <c r="U241">
        <v>-0.182312</v>
      </c>
      <c r="V241">
        <v>-4.7578910000000002E-2</v>
      </c>
      <c r="W241">
        <v>1.9870229999999999E-2</v>
      </c>
      <c r="X241">
        <v>0.99866980000000005</v>
      </c>
      <c r="Y241">
        <v>8.2393679999999997E-2</v>
      </c>
      <c r="Z241">
        <v>-5.3648460000000004E-3</v>
      </c>
      <c r="AA241">
        <v>0.99658539999999995</v>
      </c>
      <c r="AB241">
        <v>28</v>
      </c>
      <c r="AC241">
        <v>0.48860000000001902</v>
      </c>
      <c r="AD241">
        <v>-6.1824799999999902E-2</v>
      </c>
      <c r="AE241">
        <v>-5.2900000000022297E-2</v>
      </c>
      <c r="AF241">
        <v>6.29256642055116E-2</v>
      </c>
      <c r="AG241">
        <v>-6.1824799999999902E-2</v>
      </c>
      <c r="AH241">
        <v>0.47968930970263701</v>
      </c>
      <c r="AI241">
        <v>97.282372485974804</v>
      </c>
      <c r="AJ241">
        <v>82.526610098831796</v>
      </c>
      <c r="AK241">
        <v>0.48773330720152502</v>
      </c>
      <c r="AL241">
        <v>88.861444723264597</v>
      </c>
      <c r="AM241">
        <v>92.727639313518395</v>
      </c>
      <c r="AN241">
        <v>0.99999997407454</v>
      </c>
    </row>
    <row r="242" spans="1:40" x14ac:dyDescent="0.25">
      <c r="A242" t="str">
        <f>"20190305135538151"</f>
        <v>20190305135538151</v>
      </c>
      <c r="B242" t="str">
        <f>"1551765338141277"</f>
        <v>1551765338141277</v>
      </c>
      <c r="C242" t="s">
        <v>40</v>
      </c>
      <c r="D242">
        <v>4.1455830000000002</v>
      </c>
      <c r="E242">
        <v>0.54710300000000001</v>
      </c>
      <c r="F242" t="s">
        <v>41</v>
      </c>
      <c r="G242">
        <v>-423.23910000000001</v>
      </c>
      <c r="H242">
        <v>0.99972550000000004</v>
      </c>
      <c r="I242">
        <v>367.98329999999999</v>
      </c>
      <c r="J242">
        <v>-423.7079</v>
      </c>
      <c r="K242">
        <v>1.0598240000000001</v>
      </c>
      <c r="L242">
        <v>368.03269999999998</v>
      </c>
      <c r="M242">
        <v>0.99966710000000003</v>
      </c>
      <c r="N242">
        <v>-1.2840229999999999E-2</v>
      </c>
      <c r="O242">
        <v>2.238391E-2</v>
      </c>
      <c r="P242">
        <v>0.99741900000000006</v>
      </c>
      <c r="Q242">
        <v>5.7546519999999999E-3</v>
      </c>
      <c r="R242">
        <v>7.1569759999999996E-2</v>
      </c>
      <c r="S242">
        <v>3.02182</v>
      </c>
      <c r="T242">
        <v>-0.2465762</v>
      </c>
      <c r="U242">
        <v>-0.17782590000000001</v>
      </c>
      <c r="V242">
        <v>-4.921677E-2</v>
      </c>
      <c r="W242">
        <v>1.8597309999999999E-2</v>
      </c>
      <c r="X242">
        <v>0.99861500000000003</v>
      </c>
      <c r="Y242">
        <v>8.0715629999999997E-2</v>
      </c>
      <c r="Z242">
        <v>-5.3398480000000003E-3</v>
      </c>
      <c r="AA242">
        <v>0.99672289999999997</v>
      </c>
      <c r="AB242">
        <v>28</v>
      </c>
      <c r="AC242">
        <v>0.468799999999987</v>
      </c>
      <c r="AD242">
        <v>-6.0098499999999902E-2</v>
      </c>
      <c r="AE242">
        <v>-4.9399999999991402E-2</v>
      </c>
      <c r="AF242">
        <v>5.8924314779218702E-2</v>
      </c>
      <c r="AG242">
        <v>-6.0098499999999902E-2</v>
      </c>
      <c r="AH242">
        <v>0.46009829753471798</v>
      </c>
      <c r="AI242">
        <v>97.382277312983206</v>
      </c>
      <c r="AJ242">
        <v>82.701915771030102</v>
      </c>
      <c r="AK242">
        <v>0.46773320169600602</v>
      </c>
      <c r="AL242">
        <v>88.934391232012203</v>
      </c>
      <c r="AM242">
        <v>92.821541155531605</v>
      </c>
      <c r="AN242">
        <v>1.0000000343067299</v>
      </c>
    </row>
    <row r="243" spans="1:40" x14ac:dyDescent="0.25">
      <c r="A243" t="str">
        <f>"20190305135538172"</f>
        <v>20190305135538172</v>
      </c>
      <c r="B243" t="str">
        <f>"1551765338161772"</f>
        <v>1551765338161772</v>
      </c>
      <c r="C243" t="s">
        <v>40</v>
      </c>
      <c r="D243">
        <v>4.0201960000000003</v>
      </c>
      <c r="E243">
        <v>0.51854659999999997</v>
      </c>
      <c r="F243" t="s">
        <v>41</v>
      </c>
      <c r="G243">
        <v>-422.75760000000002</v>
      </c>
      <c r="H243">
        <v>0.98069309999999998</v>
      </c>
      <c r="I243">
        <v>367.97829999999999</v>
      </c>
      <c r="J243">
        <v>-423.43259999999998</v>
      </c>
      <c r="K243">
        <v>1.0597749999999999</v>
      </c>
      <c r="L243">
        <v>368.03870000000001</v>
      </c>
      <c r="M243">
        <v>0.99966880000000002</v>
      </c>
      <c r="N243">
        <v>-1.315008E-2</v>
      </c>
      <c r="O243">
        <v>2.2124439999999999E-2</v>
      </c>
      <c r="P243">
        <v>0.99737189999999998</v>
      </c>
      <c r="Q243">
        <v>4.1712040000000004E-3</v>
      </c>
      <c r="R243">
        <v>7.2334330000000002E-2</v>
      </c>
      <c r="S243">
        <v>3.0216370000000001</v>
      </c>
      <c r="T243">
        <v>-0.2516388</v>
      </c>
      <c r="U243">
        <v>-0.1730652</v>
      </c>
      <c r="V243">
        <v>-5.0240239999999999E-2</v>
      </c>
      <c r="W243">
        <v>1.7329130000000002E-2</v>
      </c>
      <c r="X243">
        <v>0.9985868</v>
      </c>
      <c r="Y243">
        <v>7.8888079999999999E-2</v>
      </c>
      <c r="Z243">
        <v>-5.3444209999999898E-3</v>
      </c>
      <c r="AA243">
        <v>0.99686909999999895</v>
      </c>
      <c r="AB243">
        <v>28</v>
      </c>
      <c r="AC243">
        <v>0.67499999999995397</v>
      </c>
      <c r="AD243">
        <v>-7.9081899999999802E-2</v>
      </c>
      <c r="AE243">
        <v>-6.0400000000015497E-2</v>
      </c>
      <c r="AF243">
        <v>7.4308635848089499E-2</v>
      </c>
      <c r="AG243">
        <v>-7.9081899999999802E-2</v>
      </c>
      <c r="AH243">
        <v>0.664450459367532</v>
      </c>
      <c r="AI243">
        <v>96.745667887241794</v>
      </c>
      <c r="AJ243">
        <v>83.618856978268695</v>
      </c>
      <c r="AK243">
        <v>0.67325339451274802</v>
      </c>
      <c r="AL243">
        <v>89.007064276788498</v>
      </c>
      <c r="AM243">
        <v>92.880198931452696</v>
      </c>
      <c r="AN243">
        <v>0.99999998879802698</v>
      </c>
    </row>
    <row r="244" spans="1:40" x14ac:dyDescent="0.25">
      <c r="A244" t="str">
        <f>"20190305135538195"</f>
        <v>20190305135538195</v>
      </c>
      <c r="B244" t="str">
        <f>"1551765338192029"</f>
        <v>1551765338192029</v>
      </c>
      <c r="C244" t="s">
        <v>40</v>
      </c>
      <c r="D244">
        <v>4.0582539999999998</v>
      </c>
      <c r="E244">
        <v>0.51444899999999905</v>
      </c>
      <c r="F244" t="s">
        <v>43</v>
      </c>
      <c r="G244">
        <v>-407.56420000000003</v>
      </c>
      <c r="H244">
        <v>-0.05</v>
      </c>
      <c r="I244">
        <v>368.35090000000002</v>
      </c>
      <c r="J244">
        <v>-423.15159999999997</v>
      </c>
      <c r="K244">
        <v>1.0597270000000001</v>
      </c>
      <c r="L244">
        <v>368.04450000000003</v>
      </c>
      <c r="M244">
        <v>0.99967189999999995</v>
      </c>
      <c r="N244">
        <v>-1.342453E-2</v>
      </c>
      <c r="O244">
        <v>2.1812850000000002E-2</v>
      </c>
      <c r="P244">
        <v>0.99739920000000004</v>
      </c>
      <c r="Q244">
        <v>1.8296390000000001E-3</v>
      </c>
      <c r="R244">
        <v>7.2054019999999996E-2</v>
      </c>
      <c r="S244">
        <v>3.004486</v>
      </c>
      <c r="T244">
        <v>-0.2101228</v>
      </c>
      <c r="U244">
        <v>5.911255E-2</v>
      </c>
      <c r="V244">
        <v>-5.0270019999999999E-2</v>
      </c>
      <c r="W244">
        <v>1.5266129999999999E-2</v>
      </c>
      <c r="X244">
        <v>0.99861900000000003</v>
      </c>
      <c r="Y244">
        <v>2.1034389999999999E-3</v>
      </c>
      <c r="Z244">
        <v>-1.3183730000000001E-3</v>
      </c>
      <c r="AA244">
        <v>0.99999689999999997</v>
      </c>
      <c r="AB244">
        <v>27</v>
      </c>
      <c r="AC244">
        <v>15.587399999999899</v>
      </c>
      <c r="AD244">
        <v>-1.1097269999999999</v>
      </c>
      <c r="AE244">
        <v>0.30639999999999601</v>
      </c>
      <c r="AF244">
        <v>3.3539256601500901E-2</v>
      </c>
      <c r="AG244">
        <v>-1.1097269999999999</v>
      </c>
      <c r="AH244">
        <v>15.5117826067594</v>
      </c>
      <c r="AI244">
        <v>94.092010889984493</v>
      </c>
      <c r="AJ244">
        <v>89.876116439651</v>
      </c>
      <c r="AK244">
        <v>15.551463549635001</v>
      </c>
      <c r="AL244">
        <v>89.125281219128098</v>
      </c>
      <c r="AM244">
        <v>92.881810528803697</v>
      </c>
      <c r="AN244">
        <v>1.0000000183984801</v>
      </c>
    </row>
    <row r="245" spans="1:40" x14ac:dyDescent="0.25">
      <c r="A245" t="str">
        <f>"20190305135538216"</f>
        <v>20190305135538216</v>
      </c>
      <c r="B245" t="str">
        <f>"1551765338211549"</f>
        <v>1551765338211549</v>
      </c>
      <c r="C245" t="s">
        <v>40</v>
      </c>
      <c r="D245">
        <v>4.0697510000000001</v>
      </c>
      <c r="E245">
        <v>0.51345470000000004</v>
      </c>
      <c r="F245" t="s">
        <v>43</v>
      </c>
      <c r="G245">
        <v>-404.83800000000002</v>
      </c>
      <c r="H245">
        <v>-0.05</v>
      </c>
      <c r="I245">
        <v>368.6096</v>
      </c>
      <c r="J245">
        <v>-422.90280000000001</v>
      </c>
      <c r="K245">
        <v>1.059701</v>
      </c>
      <c r="L245">
        <v>368.0496</v>
      </c>
      <c r="M245">
        <v>0.99967589999999995</v>
      </c>
      <c r="N245">
        <v>-1.363663E-2</v>
      </c>
      <c r="O245">
        <v>2.1505949999999999E-2</v>
      </c>
      <c r="P245">
        <v>0.99748709999999996</v>
      </c>
      <c r="Q245">
        <v>-2.5103799999999998E-4</v>
      </c>
      <c r="R245">
        <v>7.0851120000000004E-2</v>
      </c>
      <c r="S245">
        <v>3.0014340000000002</v>
      </c>
      <c r="T245">
        <v>-0.1818738</v>
      </c>
      <c r="U245">
        <v>9.2620850000000005E-2</v>
      </c>
      <c r="V245">
        <v>-4.9372300000000001E-2</v>
      </c>
      <c r="W245">
        <v>1.3399980000000001E-2</v>
      </c>
      <c r="X245">
        <v>0.99869050000000004</v>
      </c>
      <c r="Y245">
        <v>-9.3420039999999992E-3</v>
      </c>
      <c r="Z245">
        <v>-6.6193269999999997E-4</v>
      </c>
      <c r="AA245">
        <v>0.99995610000000001</v>
      </c>
      <c r="AB245">
        <v>27</v>
      </c>
      <c r="AC245">
        <v>18.064799999999899</v>
      </c>
      <c r="AD245">
        <v>-1.109701</v>
      </c>
      <c r="AE245">
        <v>0.56000000000000205</v>
      </c>
      <c r="AF245">
        <v>-0.170690234871583</v>
      </c>
      <c r="AG245">
        <v>-1.109701</v>
      </c>
      <c r="AH245">
        <v>18.004789605012601</v>
      </c>
      <c r="AI245">
        <v>93.526728901117707</v>
      </c>
      <c r="AJ245">
        <v>90.543163086244604</v>
      </c>
      <c r="AK245">
        <v>18.0397621987224</v>
      </c>
      <c r="AL245">
        <v>89.232214683026697</v>
      </c>
      <c r="AM245">
        <v>92.830229405337803</v>
      </c>
      <c r="AN245">
        <v>0.99999994913076895</v>
      </c>
    </row>
    <row r="246" spans="1:40" x14ac:dyDescent="0.25">
      <c r="A246" t="str">
        <f>"20190305135538239"</f>
        <v>20190305135538239</v>
      </c>
      <c r="B246" t="str">
        <f>"1551765338232045"</f>
        <v>1551765338232045</v>
      </c>
      <c r="C246" t="s">
        <v>40</v>
      </c>
      <c r="D246">
        <v>4.0813949999999997</v>
      </c>
      <c r="E246">
        <v>0.51283500000000004</v>
      </c>
      <c r="F246" t="s">
        <v>43</v>
      </c>
      <c r="G246">
        <v>-406.08440000000002</v>
      </c>
      <c r="H246">
        <v>-0.05</v>
      </c>
      <c r="I246">
        <v>368.59399999999999</v>
      </c>
      <c r="J246">
        <v>-422.61509999999998</v>
      </c>
      <c r="K246">
        <v>1.0596779999999999</v>
      </c>
      <c r="L246">
        <v>368.05529999999999</v>
      </c>
      <c r="M246">
        <v>0.99968100000000004</v>
      </c>
      <c r="N246">
        <v>-1.384904E-2</v>
      </c>
      <c r="O246">
        <v>2.112487E-2</v>
      </c>
      <c r="P246">
        <v>0.99758670000000005</v>
      </c>
      <c r="Q246">
        <v>-3.5549119999999999E-3</v>
      </c>
      <c r="R246">
        <v>6.9343269999999999E-2</v>
      </c>
      <c r="S246">
        <v>3.00061</v>
      </c>
      <c r="T246">
        <v>-0.1979834</v>
      </c>
      <c r="U246">
        <v>9.713745E-2</v>
      </c>
      <c r="V246">
        <v>-4.8244929999999998E-2</v>
      </c>
      <c r="W246">
        <v>1.031077E-2</v>
      </c>
      <c r="X246">
        <v>0.99878230000000001</v>
      </c>
      <c r="Y246">
        <v>-1.1231669999999999E-2</v>
      </c>
      <c r="Z246">
        <v>-6.515402E-4</v>
      </c>
      <c r="AA246">
        <v>0.99993670000000001</v>
      </c>
      <c r="AB246">
        <v>27</v>
      </c>
      <c r="AC246">
        <v>16.5306999999999</v>
      </c>
      <c r="AD246">
        <v>-1.1096779999999999</v>
      </c>
      <c r="AE246">
        <v>0.53870000000000495</v>
      </c>
      <c r="AF246">
        <v>-0.188488939424753</v>
      </c>
      <c r="AG246">
        <v>-1.1096779999999999</v>
      </c>
      <c r="AH246">
        <v>16.464278645267498</v>
      </c>
      <c r="AI246">
        <v>93.855602065237704</v>
      </c>
      <c r="AJ246">
        <v>90.655913882819803</v>
      </c>
      <c r="AK246">
        <v>16.502708403561499</v>
      </c>
      <c r="AL246">
        <v>89.409225917987499</v>
      </c>
      <c r="AM246">
        <v>92.765451484300399</v>
      </c>
      <c r="AN246">
        <v>0.99999998402099299</v>
      </c>
    </row>
    <row r="247" spans="1:40" x14ac:dyDescent="0.25">
      <c r="A247" t="str">
        <f>"20190305135538263"</f>
        <v>20190305135538263</v>
      </c>
      <c r="B247" t="str">
        <f>"1551765338251565"</f>
        <v>1551765338251565</v>
      </c>
      <c r="C247" t="s">
        <v>40</v>
      </c>
      <c r="D247">
        <v>4.0268069999999998</v>
      </c>
      <c r="E247">
        <v>0.51241270000000005</v>
      </c>
      <c r="F247" t="s">
        <v>43</v>
      </c>
      <c r="G247">
        <v>-407.21640000000002</v>
      </c>
      <c r="H247">
        <v>-0.05</v>
      </c>
      <c r="I247">
        <v>368.553</v>
      </c>
      <c r="J247">
        <v>-422.32889999999998</v>
      </c>
      <c r="K247">
        <v>1.059655</v>
      </c>
      <c r="L247">
        <v>368.0609</v>
      </c>
      <c r="M247">
        <v>0.99968670000000004</v>
      </c>
      <c r="N247">
        <v>-1.4030259999999999E-2</v>
      </c>
      <c r="O247">
        <v>2.0730869999999998E-2</v>
      </c>
      <c r="P247">
        <v>0.997695</v>
      </c>
      <c r="Q247">
        <v>-8.0378429999999994E-3</v>
      </c>
      <c r="R247">
        <v>6.7380339999999997E-2</v>
      </c>
      <c r="S247">
        <v>2.9997560000000001</v>
      </c>
      <c r="T247">
        <v>-0.21617159999999999</v>
      </c>
      <c r="U247">
        <v>9.6954349999999995E-2</v>
      </c>
      <c r="V247">
        <v>-4.6676299999999997E-2</v>
      </c>
      <c r="W247">
        <v>6.0103219999999898E-3</v>
      </c>
      <c r="X247">
        <v>0.998892</v>
      </c>
      <c r="Y247">
        <v>-1.157382E-2</v>
      </c>
      <c r="Z247">
        <v>-7.0315160000000005E-4</v>
      </c>
      <c r="AA247">
        <v>0.99993279999999995</v>
      </c>
      <c r="AB247">
        <v>27</v>
      </c>
      <c r="AC247">
        <v>15.112499999999899</v>
      </c>
      <c r="AD247">
        <v>-1.1096549999999901</v>
      </c>
      <c r="AE247">
        <v>0.49210000000005</v>
      </c>
      <c r="AF247">
        <v>-0.177711027700062</v>
      </c>
      <c r="AG247">
        <v>-1.1096549999999901</v>
      </c>
      <c r="AH247">
        <v>15.0384614218547</v>
      </c>
      <c r="AI247">
        <v>94.219788169557205</v>
      </c>
      <c r="AJ247">
        <v>90.677038538624103</v>
      </c>
      <c r="AK247">
        <v>15.0803924804695</v>
      </c>
      <c r="AL247">
        <v>89.655631847467205</v>
      </c>
      <c r="AM247">
        <v>92.675375359065995</v>
      </c>
      <c r="AN247">
        <v>1.00000001430811</v>
      </c>
    </row>
    <row r="248" spans="1:40" x14ac:dyDescent="0.25">
      <c r="A248" t="str">
        <f>"20190305135538283"</f>
        <v>20190305135538283</v>
      </c>
      <c r="B248" t="str">
        <f>"1551765338272064"</f>
        <v>1551765338272064</v>
      </c>
      <c r="C248" t="s">
        <v>40</v>
      </c>
      <c r="D248">
        <v>4.017671</v>
      </c>
      <c r="E248">
        <v>0.51226949999999905</v>
      </c>
      <c r="F248" t="s">
        <v>43</v>
      </c>
      <c r="G248">
        <v>-407.80709999999999</v>
      </c>
      <c r="H248">
        <v>-0.05</v>
      </c>
      <c r="I248">
        <v>368.51740000000001</v>
      </c>
      <c r="J248">
        <v>-422.07339999999999</v>
      </c>
      <c r="K248">
        <v>1.0596410000000001</v>
      </c>
      <c r="L248">
        <v>368.0659</v>
      </c>
      <c r="M248">
        <v>0.99969220000000003</v>
      </c>
      <c r="N248">
        <v>-1.4169340000000001E-2</v>
      </c>
      <c r="O248">
        <v>2.0371520000000001E-2</v>
      </c>
      <c r="P248">
        <v>0.99778239999999996</v>
      </c>
      <c r="Q248">
        <v>-1.219839E-2</v>
      </c>
      <c r="R248">
        <v>6.543475E-2</v>
      </c>
      <c r="S248">
        <v>2.9987180000000002</v>
      </c>
      <c r="T248">
        <v>-0.2291415</v>
      </c>
      <c r="U248">
        <v>9.42688E-2</v>
      </c>
      <c r="V248">
        <v>-4.5091810000000003E-2</v>
      </c>
      <c r="W248">
        <v>1.9887120000000001E-3</v>
      </c>
      <c r="X248">
        <v>0.99898089999999995</v>
      </c>
      <c r="Y248">
        <v>-1.1051989999999999E-2</v>
      </c>
      <c r="Z248">
        <v>-7.6550999999999995E-4</v>
      </c>
      <c r="AA248">
        <v>0.99993860000000001</v>
      </c>
      <c r="AB248">
        <v>27</v>
      </c>
      <c r="AC248">
        <v>14.266299999999999</v>
      </c>
      <c r="AD248">
        <v>-1.1096409999999901</v>
      </c>
      <c r="AE248">
        <v>0.45150000000001</v>
      </c>
      <c r="AF248">
        <v>-0.159785224900028</v>
      </c>
      <c r="AG248">
        <v>-1.1096409999999901</v>
      </c>
      <c r="AH248">
        <v>14.186795864029801</v>
      </c>
      <c r="AI248">
        <v>94.472085210584396</v>
      </c>
      <c r="AJ248">
        <v>90.645292426507694</v>
      </c>
      <c r="AK248">
        <v>14.2310228499089</v>
      </c>
      <c r="AL248">
        <v>89.886055124320393</v>
      </c>
      <c r="AM248">
        <v>92.584451752567404</v>
      </c>
      <c r="AN248">
        <v>1.0000000324346501</v>
      </c>
    </row>
    <row r="249" spans="1:40" x14ac:dyDescent="0.25">
      <c r="A249" t="str">
        <f>"20190305135538307"</f>
        <v>20190305135538307</v>
      </c>
      <c r="B249" t="str">
        <f>"1551765338302318"</f>
        <v>1551765338302318</v>
      </c>
      <c r="C249" t="s">
        <v>40</v>
      </c>
      <c r="D249">
        <v>4.0940589999999997</v>
      </c>
      <c r="E249">
        <v>0.51211099999999998</v>
      </c>
      <c r="F249" t="s">
        <v>43</v>
      </c>
      <c r="G249">
        <v>-408.18619999999999</v>
      </c>
      <c r="H249">
        <v>-0.05</v>
      </c>
      <c r="I249">
        <v>368.47980000000001</v>
      </c>
      <c r="J249">
        <v>-421.79520000000002</v>
      </c>
      <c r="K249">
        <v>1.0596319999999999</v>
      </c>
      <c r="L249">
        <v>368.0711</v>
      </c>
      <c r="M249">
        <v>0.99969819999999998</v>
      </c>
      <c r="N249">
        <v>-1.430032E-2</v>
      </c>
      <c r="O249">
        <v>1.9972070000000001E-2</v>
      </c>
      <c r="P249">
        <v>0.99786330000000001</v>
      </c>
      <c r="Q249">
        <v>-1.5966149999999998E-2</v>
      </c>
      <c r="R249">
        <v>6.3356800000000005E-2</v>
      </c>
      <c r="S249">
        <v>2.9978940000000001</v>
      </c>
      <c r="T249">
        <v>-0.23954259999999999</v>
      </c>
      <c r="U249">
        <v>8.9355470000000006E-2</v>
      </c>
      <c r="V249">
        <v>-4.3414059999999997E-2</v>
      </c>
      <c r="W249">
        <v>-1.6479470000000001E-3</v>
      </c>
      <c r="X249">
        <v>0.99905580000000005</v>
      </c>
      <c r="Y249">
        <v>-9.8275930000000008E-3</v>
      </c>
      <c r="Z249">
        <v>-8.4519249999999999E-4</v>
      </c>
      <c r="AA249">
        <v>0.99995140000000005</v>
      </c>
      <c r="AB249">
        <v>27</v>
      </c>
      <c r="AC249">
        <v>13.609</v>
      </c>
      <c r="AD249">
        <v>-1.109632</v>
      </c>
      <c r="AE249">
        <v>0.40870000000001</v>
      </c>
      <c r="AF249">
        <v>-0.13588814931328599</v>
      </c>
      <c r="AG249">
        <v>-1.109632</v>
      </c>
      <c r="AH249">
        <v>13.5246147690164</v>
      </c>
      <c r="AI249">
        <v>94.690112214067</v>
      </c>
      <c r="AJ249">
        <v>90.5756582049343</v>
      </c>
      <c r="AK249">
        <v>13.570738867683099</v>
      </c>
      <c r="AL249">
        <v>90.094420451271603</v>
      </c>
      <c r="AM249">
        <v>92.488227849468004</v>
      </c>
      <c r="AN249">
        <v>0.99999999392431904</v>
      </c>
    </row>
    <row r="250" spans="1:40" x14ac:dyDescent="0.25">
      <c r="A250" t="str">
        <f>"20190305135538330"</f>
        <v>20190305135538330</v>
      </c>
      <c r="B250" t="str">
        <f>"1551765338321837"</f>
        <v>1551765338321837</v>
      </c>
      <c r="C250" t="s">
        <v>40</v>
      </c>
      <c r="D250">
        <v>4.0169480000000002</v>
      </c>
      <c r="E250">
        <v>0.51183190000000001</v>
      </c>
      <c r="F250" t="s">
        <v>43</v>
      </c>
      <c r="G250">
        <v>-408.09160000000003</v>
      </c>
      <c r="H250">
        <v>-0.05</v>
      </c>
      <c r="I250">
        <v>368.45949999999999</v>
      </c>
      <c r="J250">
        <v>-421.52109999999999</v>
      </c>
      <c r="K250">
        <v>1.059626</v>
      </c>
      <c r="L250">
        <v>368.07600000000002</v>
      </c>
      <c r="M250">
        <v>0.99970490000000001</v>
      </c>
      <c r="N250">
        <v>-1.4410269999999999E-2</v>
      </c>
      <c r="O250">
        <v>1.9558610000000001E-2</v>
      </c>
      <c r="P250">
        <v>0.9978842</v>
      </c>
      <c r="Q250">
        <v>-1.987717E-2</v>
      </c>
      <c r="R250">
        <v>6.1905729999999999E-2</v>
      </c>
      <c r="S250">
        <v>2.997131</v>
      </c>
      <c r="T250">
        <v>-0.2426894</v>
      </c>
      <c r="U250">
        <v>8.4960939999999999E-2</v>
      </c>
      <c r="V250">
        <v>-4.2378760000000001E-2</v>
      </c>
      <c r="W250">
        <v>-5.4485319999999999E-3</v>
      </c>
      <c r="X250">
        <v>0.99908669999999999</v>
      </c>
      <c r="Y250">
        <v>-8.7871619999999994E-3</v>
      </c>
      <c r="Z250">
        <v>-8.8062709999999996E-4</v>
      </c>
      <c r="AA250">
        <v>0.99996099999999999</v>
      </c>
      <c r="AB250">
        <v>27</v>
      </c>
      <c r="AC250">
        <v>13.4294999999999</v>
      </c>
      <c r="AD250">
        <v>-1.109626</v>
      </c>
      <c r="AE250">
        <v>0.38350000000002599</v>
      </c>
      <c r="AF250">
        <v>-0.11991898101918901</v>
      </c>
      <c r="AG250">
        <v>-1.109626</v>
      </c>
      <c r="AH250">
        <v>13.3434100694499</v>
      </c>
      <c r="AI250">
        <v>94.753536593963801</v>
      </c>
      <c r="AJ250">
        <v>90.514910842599207</v>
      </c>
      <c r="AK250">
        <v>13.3900053287286</v>
      </c>
      <c r="AL250">
        <v>90.312179451484695</v>
      </c>
      <c r="AM250">
        <v>92.4288876994123</v>
      </c>
      <c r="AN250">
        <v>0.99999993995848901</v>
      </c>
    </row>
    <row r="251" spans="1:40" x14ac:dyDescent="0.25">
      <c r="A251" t="str">
        <f>"20190305135538352"</f>
        <v>20190305135538352</v>
      </c>
      <c r="B251" t="str">
        <f>"1551765338342333"</f>
        <v>1551765338342333</v>
      </c>
      <c r="C251" t="s">
        <v>40</v>
      </c>
      <c r="D251">
        <v>4.0224900000000003</v>
      </c>
      <c r="E251">
        <v>0.51173469999999999</v>
      </c>
      <c r="F251" t="s">
        <v>41</v>
      </c>
      <c r="G251">
        <v>-420.56420000000003</v>
      </c>
      <c r="H251">
        <v>0.97930479999999998</v>
      </c>
      <c r="I251">
        <v>368.10210000000001</v>
      </c>
      <c r="J251">
        <v>-421.25290000000001</v>
      </c>
      <c r="K251">
        <v>1.0596000000000001</v>
      </c>
      <c r="L251">
        <v>368.08089999999999</v>
      </c>
      <c r="M251">
        <v>0.99971200000000005</v>
      </c>
      <c r="N251">
        <v>-1.4501450000000001E-2</v>
      </c>
      <c r="O251">
        <v>1.912266E-2</v>
      </c>
      <c r="P251">
        <v>0.99784700000000004</v>
      </c>
      <c r="Q251">
        <v>-2.3183220000000001E-2</v>
      </c>
      <c r="R251">
        <v>6.1352009999999998E-2</v>
      </c>
      <c r="S251">
        <v>2.996216</v>
      </c>
      <c r="T251">
        <v>-0.25174809999999997</v>
      </c>
      <c r="U251">
        <v>8.2763669999999998E-2</v>
      </c>
      <c r="V251">
        <v>-4.2264410000000002E-2</v>
      </c>
      <c r="W251">
        <v>-8.6619980000000006E-3</v>
      </c>
      <c r="X251">
        <v>0.99906890000000004</v>
      </c>
      <c r="Y251">
        <v>-8.5007350000000006E-3</v>
      </c>
      <c r="Z251">
        <v>-9.0831229999999998E-4</v>
      </c>
      <c r="AA251">
        <v>0.99996350000000001</v>
      </c>
      <c r="AB251">
        <v>27</v>
      </c>
      <c r="AC251">
        <v>0.68869999999998199</v>
      </c>
      <c r="AD251">
        <v>-8.0295199999999997E-2</v>
      </c>
      <c r="AE251">
        <v>2.1200000000021601E-2</v>
      </c>
      <c r="AF251">
        <v>-7.9174412810323093E-3</v>
      </c>
      <c r="AG251">
        <v>-8.0295199999999997E-2</v>
      </c>
      <c r="AH251">
        <v>0.67974833409289004</v>
      </c>
      <c r="AI251">
        <v>96.7363867578742</v>
      </c>
      <c r="AJ251">
        <v>90.667328530907895</v>
      </c>
      <c r="AK251">
        <v>0.68452012587033395</v>
      </c>
      <c r="AL251">
        <v>90.496302139539395</v>
      </c>
      <c r="AM251">
        <v>92.422384790406696</v>
      </c>
      <c r="AN251">
        <v>0.99999998875460505</v>
      </c>
    </row>
    <row r="252" spans="1:40" x14ac:dyDescent="0.25">
      <c r="A252" t="str">
        <f>"20190305135538374"</f>
        <v>20190305135538374</v>
      </c>
      <c r="B252" t="str">
        <f>"1551765338371613"</f>
        <v>1551765338371613</v>
      </c>
      <c r="C252" t="s">
        <v>40</v>
      </c>
      <c r="D252">
        <v>4.0085600000000001</v>
      </c>
      <c r="E252">
        <v>0.51148139999999997</v>
      </c>
      <c r="F252" t="s">
        <v>41</v>
      </c>
      <c r="G252">
        <v>-420.3229</v>
      </c>
      <c r="H252">
        <v>0.97906740000000003</v>
      </c>
      <c r="I252">
        <v>368.1062</v>
      </c>
      <c r="J252">
        <v>-420.9785</v>
      </c>
      <c r="K252">
        <v>1.0595669999999999</v>
      </c>
      <c r="L252">
        <v>368.0856</v>
      </c>
      <c r="M252">
        <v>0.99971989999999999</v>
      </c>
      <c r="N252">
        <v>-1.4581500000000001E-2</v>
      </c>
      <c r="O252">
        <v>1.8644319999999999E-2</v>
      </c>
      <c r="P252">
        <v>0.99777640000000001</v>
      </c>
      <c r="Q252">
        <v>-2.6774119999999998E-2</v>
      </c>
      <c r="R252">
        <v>6.1037630000000002E-2</v>
      </c>
      <c r="S252">
        <v>2.995422</v>
      </c>
      <c r="T252">
        <v>-0.25948130000000003</v>
      </c>
      <c r="U252">
        <v>8.1909179999999998E-2</v>
      </c>
      <c r="V252">
        <v>-4.2432940000000002E-2</v>
      </c>
      <c r="W252">
        <v>-1.2171120000000001E-2</v>
      </c>
      <c r="X252">
        <v>0.99902519999999995</v>
      </c>
      <c r="Y252">
        <v>-8.7006610000000002E-3</v>
      </c>
      <c r="Z252">
        <v>-9.0049289999999903E-4</v>
      </c>
      <c r="AA252">
        <v>0.99996169999999995</v>
      </c>
      <c r="AB252">
        <v>27</v>
      </c>
      <c r="AC252">
        <v>0.65559999999999197</v>
      </c>
      <c r="AD252">
        <v>-8.0499599999999699E-2</v>
      </c>
      <c r="AE252">
        <v>2.06000000000017E-2</v>
      </c>
      <c r="AF252">
        <v>-8.2476773154949602E-3</v>
      </c>
      <c r="AG252">
        <v>-8.0499599999999699E-2</v>
      </c>
      <c r="AH252">
        <v>0.64613803902614997</v>
      </c>
      <c r="AI252">
        <v>97.101073639292593</v>
      </c>
      <c r="AJ252">
        <v>90.731316544867397</v>
      </c>
      <c r="AK252">
        <v>0.65118551523956603</v>
      </c>
      <c r="AL252">
        <v>90.697371012089505</v>
      </c>
      <c r="AM252">
        <v>92.432138768427194</v>
      </c>
      <c r="AN252">
        <v>1.00000002039706</v>
      </c>
    </row>
    <row r="253" spans="1:40" x14ac:dyDescent="0.25">
      <c r="A253" t="str">
        <f>"20190305135538395"</f>
        <v>20190305135538395</v>
      </c>
      <c r="B253" t="str">
        <f>"1551765338392109"</f>
        <v>1551765338392109</v>
      </c>
      <c r="C253" t="s">
        <v>40</v>
      </c>
      <c r="D253">
        <v>3.9998420000000001</v>
      </c>
      <c r="E253">
        <v>0.51111689999999999</v>
      </c>
      <c r="F253" t="s">
        <v>41</v>
      </c>
      <c r="G253">
        <v>-420.08100000000002</v>
      </c>
      <c r="H253">
        <v>0.97998989999999997</v>
      </c>
      <c r="I253">
        <v>368.1103</v>
      </c>
      <c r="J253">
        <v>-420.72800000000001</v>
      </c>
      <c r="K253">
        <v>1.059531</v>
      </c>
      <c r="L253">
        <v>368.08969999999999</v>
      </c>
      <c r="M253">
        <v>0.9997277</v>
      </c>
      <c r="N253">
        <v>-1.464415E-2</v>
      </c>
      <c r="O253">
        <v>1.8168790000000001E-2</v>
      </c>
      <c r="P253">
        <v>0.99770250000000005</v>
      </c>
      <c r="Q253">
        <v>-2.8915059999999999E-2</v>
      </c>
      <c r="R253">
        <v>6.1267009999999997E-2</v>
      </c>
      <c r="S253">
        <v>2.994507</v>
      </c>
      <c r="T253">
        <v>-0.26557589999999998</v>
      </c>
      <c r="U253">
        <v>8.2946779999999998E-2</v>
      </c>
      <c r="V253">
        <v>-4.3141539999999999E-2</v>
      </c>
      <c r="W253">
        <v>-1.424694E-2</v>
      </c>
      <c r="X253">
        <v>0.99896739999999995</v>
      </c>
      <c r="Y253">
        <v>-9.5267700000000004E-3</v>
      </c>
      <c r="Z253">
        <v>-8.5061819999999999E-4</v>
      </c>
      <c r="AA253">
        <v>0.99995429999999996</v>
      </c>
      <c r="AB253">
        <v>27</v>
      </c>
      <c r="AC253">
        <v>0.64700000000004798</v>
      </c>
      <c r="AD253">
        <v>-7.9541100000000003E-2</v>
      </c>
      <c r="AE253">
        <v>2.06000000000017E-2</v>
      </c>
      <c r="AF253">
        <v>-8.7086436029360208E-3</v>
      </c>
      <c r="AG253">
        <v>-7.9541100000000003E-2</v>
      </c>
      <c r="AH253">
        <v>0.63764007058327898</v>
      </c>
      <c r="AI253">
        <v>97.109858003572697</v>
      </c>
      <c r="AJ253">
        <v>90.782475139095197</v>
      </c>
      <c r="AK253">
        <v>0.64264102473781004</v>
      </c>
      <c r="AL253">
        <v>90.816317136041107</v>
      </c>
      <c r="AM253">
        <v>92.472846654534607</v>
      </c>
      <c r="AN253">
        <v>1.00000001701784</v>
      </c>
    </row>
    <row r="254" spans="1:40" x14ac:dyDescent="0.25">
      <c r="A254" t="str">
        <f>"20190305135538417"</f>
        <v>20190305135538417</v>
      </c>
      <c r="B254" t="str">
        <f>"1551765338411629"</f>
        <v>1551765338411629</v>
      </c>
      <c r="C254" t="s">
        <v>40</v>
      </c>
      <c r="D254">
        <v>4.0010250000000003</v>
      </c>
      <c r="E254">
        <v>0.51077289999999997</v>
      </c>
      <c r="F254" t="s">
        <v>41</v>
      </c>
      <c r="G254">
        <v>-419.84019999999998</v>
      </c>
      <c r="H254">
        <v>0.97989939999999998</v>
      </c>
      <c r="I254">
        <v>368.11540000000002</v>
      </c>
      <c r="J254">
        <v>-420.4588</v>
      </c>
      <c r="K254">
        <v>1.059501</v>
      </c>
      <c r="L254">
        <v>368.09399999999999</v>
      </c>
      <c r="M254">
        <v>0.99973699999999999</v>
      </c>
      <c r="N254">
        <v>-1.470175E-2</v>
      </c>
      <c r="O254">
        <v>1.760082E-2</v>
      </c>
      <c r="P254">
        <v>0.99766500000000002</v>
      </c>
      <c r="Q254">
        <v>-2.9338369999999999E-2</v>
      </c>
      <c r="R254">
        <v>6.1675590000000002E-2</v>
      </c>
      <c r="S254">
        <v>2.993805</v>
      </c>
      <c r="T254">
        <v>-0.2685169</v>
      </c>
      <c r="U254">
        <v>8.6761469999999993E-2</v>
      </c>
      <c r="V254">
        <v>-4.4119690000000003E-2</v>
      </c>
      <c r="W254">
        <v>-1.460855E-2</v>
      </c>
      <c r="X254">
        <v>0.99891940000000001</v>
      </c>
      <c r="Y254">
        <v>-1.1364590000000001E-2</v>
      </c>
      <c r="Z254">
        <v>-7.2438470000000003E-4</v>
      </c>
      <c r="AA254">
        <v>0.99993520000000002</v>
      </c>
      <c r="AB254">
        <v>27</v>
      </c>
      <c r="AC254">
        <v>0.61860000000001403</v>
      </c>
      <c r="AD254">
        <v>-7.9601599999999897E-2</v>
      </c>
      <c r="AE254">
        <v>2.1400000000028199E-2</v>
      </c>
      <c r="AF254">
        <v>-1.03366837054984E-2</v>
      </c>
      <c r="AG254">
        <v>-7.9601599999999897E-2</v>
      </c>
      <c r="AH254">
        <v>0.60881182768658904</v>
      </c>
      <c r="AI254">
        <v>97.448053799583803</v>
      </c>
      <c r="AJ254">
        <v>90.972700306837694</v>
      </c>
      <c r="AK254">
        <v>0.61408069769670603</v>
      </c>
      <c r="AL254">
        <v>90.837038065227603</v>
      </c>
      <c r="AM254">
        <v>92.528962991256407</v>
      </c>
      <c r="AN254">
        <v>0.99999996223757803</v>
      </c>
    </row>
    <row r="255" spans="1:40" x14ac:dyDescent="0.25">
      <c r="A255" t="str">
        <f>"20190305135538452"</f>
        <v>20190305135538452</v>
      </c>
      <c r="B255" t="str">
        <f>"1551765338441888"</f>
        <v>1551765338441888</v>
      </c>
      <c r="C255" t="s">
        <v>40</v>
      </c>
      <c r="D255">
        <v>3.96353</v>
      </c>
      <c r="E255">
        <v>0.51047819999999999</v>
      </c>
      <c r="F255" t="s">
        <v>41</v>
      </c>
      <c r="G255">
        <v>-419.59710000000001</v>
      </c>
      <c r="H255">
        <v>0.98309429999999998</v>
      </c>
      <c r="I255">
        <v>368.1198</v>
      </c>
      <c r="J255">
        <v>-420.0487</v>
      </c>
      <c r="K255">
        <v>1.0594570000000001</v>
      </c>
      <c r="L255">
        <v>368.1001</v>
      </c>
      <c r="M255">
        <v>0.99975309999999995</v>
      </c>
      <c r="N255">
        <v>-1.4755849999999999E-2</v>
      </c>
      <c r="O255">
        <v>1.6610690000000001E-2</v>
      </c>
      <c r="P255">
        <v>0.99767050000000002</v>
      </c>
      <c r="Q255">
        <v>-2.6784570000000001E-2</v>
      </c>
      <c r="R255">
        <v>6.2741240000000004E-2</v>
      </c>
      <c r="S255">
        <v>2.9935610000000001</v>
      </c>
      <c r="T255">
        <v>-0.2656732</v>
      </c>
      <c r="U255">
        <v>9.1156009999999996E-2</v>
      </c>
      <c r="V255">
        <v>-4.6173209999999999E-2</v>
      </c>
      <c r="W255">
        <v>-1.1991430000000001E-2</v>
      </c>
      <c r="X255">
        <v>0.99886149999999996</v>
      </c>
      <c r="Y255">
        <v>-1.380963E-2</v>
      </c>
      <c r="Z255">
        <v>-5.1251420000000001E-4</v>
      </c>
      <c r="AA255">
        <v>0.99990449999999997</v>
      </c>
      <c r="AB255">
        <v>27</v>
      </c>
      <c r="AC255">
        <v>0.45159999999998401</v>
      </c>
      <c r="AD255">
        <v>-7.63626999999997E-2</v>
      </c>
      <c r="AE255">
        <v>1.97000000000002E-2</v>
      </c>
      <c r="AF255">
        <v>-1.1856705773314E-2</v>
      </c>
      <c r="AG255">
        <v>-7.63626999999997E-2</v>
      </c>
      <c r="AH255">
        <v>0.43932726641512998</v>
      </c>
      <c r="AI255">
        <v>99.856966165566206</v>
      </c>
      <c r="AJ255">
        <v>91.545941686403594</v>
      </c>
      <c r="AK255">
        <v>0.44607206866029597</v>
      </c>
      <c r="AL255">
        <v>90.687074777044302</v>
      </c>
      <c r="AM255">
        <v>92.646661348085601</v>
      </c>
      <c r="AN255">
        <v>1.00000002794869</v>
      </c>
    </row>
    <row r="256" spans="1:40" x14ac:dyDescent="0.25">
      <c r="A256" t="str">
        <f>"20190305135538474"</f>
        <v>20190305135538474</v>
      </c>
      <c r="B256" t="str">
        <f>"1551765338461405"</f>
        <v>1551765338461405</v>
      </c>
      <c r="C256" t="s">
        <v>40</v>
      </c>
      <c r="D256">
        <v>3.9705219999999999</v>
      </c>
      <c r="E256">
        <v>0.51032820000000001</v>
      </c>
      <c r="F256" t="s">
        <v>41</v>
      </c>
      <c r="G256">
        <v>-419.11869999999999</v>
      </c>
      <c r="H256">
        <v>0.98118340000000004</v>
      </c>
      <c r="I256">
        <v>368.13</v>
      </c>
      <c r="J256">
        <v>-419.78919999999999</v>
      </c>
      <c r="K256">
        <v>1.059404</v>
      </c>
      <c r="L256">
        <v>368.10359999999997</v>
      </c>
      <c r="M256">
        <v>0.99976600000000004</v>
      </c>
      <c r="N256">
        <v>-1.4681430000000001E-2</v>
      </c>
      <c r="O256">
        <v>1.5895240000000001E-2</v>
      </c>
      <c r="P256">
        <v>0.99764790000000003</v>
      </c>
      <c r="Q256">
        <v>-2.531156E-2</v>
      </c>
      <c r="R256">
        <v>6.3704659999999996E-2</v>
      </c>
      <c r="S256">
        <v>2.99411</v>
      </c>
      <c r="T256">
        <v>-0.25210110000000002</v>
      </c>
      <c r="U256">
        <v>9.7167970000000006E-2</v>
      </c>
      <c r="V256">
        <v>-4.785093E-2</v>
      </c>
      <c r="W256">
        <v>-1.0585779999999999E-2</v>
      </c>
      <c r="X256">
        <v>0.99879839999999998</v>
      </c>
      <c r="Y256">
        <v>-1.651298E-2</v>
      </c>
      <c r="Z256">
        <v>-2.8723730000000002E-4</v>
      </c>
      <c r="AA256">
        <v>0.99986359999999996</v>
      </c>
      <c r="AB256">
        <v>27</v>
      </c>
      <c r="AC256">
        <v>0.67050000000000398</v>
      </c>
      <c r="AD256">
        <v>-7.8220599999999904E-2</v>
      </c>
      <c r="AE256">
        <v>2.64000000000237E-2</v>
      </c>
      <c r="AF256">
        <v>-1.5526772372365201E-2</v>
      </c>
      <c r="AG256">
        <v>-7.8220599999999904E-2</v>
      </c>
      <c r="AH256">
        <v>0.66184150952245202</v>
      </c>
      <c r="AI256">
        <v>96.738472405109206</v>
      </c>
      <c r="AJ256">
        <v>91.343909925817002</v>
      </c>
      <c r="AK256">
        <v>0.66662862723680005</v>
      </c>
      <c r="AL256">
        <v>90.606531840808202</v>
      </c>
      <c r="AM256">
        <v>92.742857464345406</v>
      </c>
      <c r="AN256">
        <v>1.00000000704131</v>
      </c>
    </row>
    <row r="257" spans="1:40" x14ac:dyDescent="0.25">
      <c r="A257" t="str">
        <f>"20190305135538494"</f>
        <v>20190305135538494</v>
      </c>
      <c r="B257" t="str">
        <f>"1551765338491661"</f>
        <v>1551765338491661</v>
      </c>
      <c r="C257" t="s">
        <v>40</v>
      </c>
      <c r="D257">
        <v>3.95661</v>
      </c>
      <c r="E257">
        <v>0.51019840000000005</v>
      </c>
      <c r="F257" t="s">
        <v>43</v>
      </c>
      <c r="G257">
        <v>-406.173</v>
      </c>
      <c r="H257">
        <v>-0.05</v>
      </c>
      <c r="I257">
        <v>368.56650000000002</v>
      </c>
      <c r="J257">
        <v>-419.53339999999997</v>
      </c>
      <c r="K257">
        <v>1.059329</v>
      </c>
      <c r="L257">
        <v>368.10680000000002</v>
      </c>
      <c r="M257">
        <v>0.99978020000000001</v>
      </c>
      <c r="N257">
        <v>-1.4498830000000001E-2</v>
      </c>
      <c r="O257">
        <v>1.514282E-2</v>
      </c>
      <c r="P257">
        <v>0.99771290000000001</v>
      </c>
      <c r="Q257">
        <v>-2.3784820000000002E-2</v>
      </c>
      <c r="R257">
        <v>6.3272469999999997E-2</v>
      </c>
      <c r="S257">
        <v>2.994354</v>
      </c>
      <c r="T257">
        <v>-0.2439713</v>
      </c>
      <c r="U257">
        <v>0.1018066</v>
      </c>
      <c r="V257">
        <v>-4.8168759999999998E-2</v>
      </c>
      <c r="W257">
        <v>-9.2355010000000001E-3</v>
      </c>
      <c r="X257">
        <v>0.99879649999999998</v>
      </c>
      <c r="Y257">
        <v>-1.8800850000000001E-2</v>
      </c>
      <c r="Z257">
        <v>-1.1102100000000001E-4</v>
      </c>
      <c r="AA257">
        <v>0.99982320000000002</v>
      </c>
      <c r="AB257">
        <v>27</v>
      </c>
      <c r="AC257">
        <v>13.360399999999901</v>
      </c>
      <c r="AD257">
        <v>-1.109329</v>
      </c>
      <c r="AE257">
        <v>0.459699999999998</v>
      </c>
      <c r="AF257">
        <v>-0.255552140662959</v>
      </c>
      <c r="AG257">
        <v>-1.109329</v>
      </c>
      <c r="AH257">
        <v>13.274421806266499</v>
      </c>
      <c r="AI257">
        <v>94.776165165674598</v>
      </c>
      <c r="AJ257">
        <v>91.102891775298602</v>
      </c>
      <c r="AK257">
        <v>13.3231449747243</v>
      </c>
      <c r="AL257">
        <v>90.529162758935101</v>
      </c>
      <c r="AM257">
        <v>92.761052905472894</v>
      </c>
      <c r="AN257">
        <v>0.99999998616545405</v>
      </c>
    </row>
    <row r="258" spans="1:40" x14ac:dyDescent="0.25">
      <c r="A258" t="str">
        <f>"20190305135538518"</f>
        <v>20190305135538518</v>
      </c>
      <c r="B258" t="str">
        <f>"1551765338512157"</f>
        <v>1551765338512157</v>
      </c>
      <c r="C258" t="s">
        <v>40</v>
      </c>
      <c r="D258">
        <v>3.953541</v>
      </c>
      <c r="E258">
        <v>0.5101329</v>
      </c>
      <c r="F258" t="s">
        <v>43</v>
      </c>
      <c r="G258">
        <v>-405.33659999999998</v>
      </c>
      <c r="H258">
        <v>-0.05</v>
      </c>
      <c r="I258">
        <v>368.58890000000002</v>
      </c>
      <c r="J258">
        <v>-419.25189999999998</v>
      </c>
      <c r="K258">
        <v>1.059234</v>
      </c>
      <c r="L258">
        <v>368.11009999999999</v>
      </c>
      <c r="M258">
        <v>0.99979779999999996</v>
      </c>
      <c r="N258">
        <v>-1.4166730000000001E-2</v>
      </c>
      <c r="O258">
        <v>1.42732E-2</v>
      </c>
      <c r="P258">
        <v>0.99774620000000003</v>
      </c>
      <c r="Q258">
        <v>-2.2211169999999999E-2</v>
      </c>
      <c r="R258">
        <v>6.331958E-2</v>
      </c>
      <c r="S258">
        <v>2.9948730000000001</v>
      </c>
      <c r="T258">
        <v>-0.2340189</v>
      </c>
      <c r="U258">
        <v>0.1017151</v>
      </c>
      <c r="V258">
        <v>-4.9083229999999999E-2</v>
      </c>
      <c r="W258">
        <v>-7.9883650000000007E-3</v>
      </c>
      <c r="X258">
        <v>0.9987627</v>
      </c>
      <c r="Y258">
        <v>-1.9632110000000001E-2</v>
      </c>
      <c r="Z258" s="1">
        <v>-6.2743199999999999E-6</v>
      </c>
      <c r="AA258">
        <v>0.99980729999999995</v>
      </c>
      <c r="AB258">
        <v>27</v>
      </c>
      <c r="AC258">
        <v>13.9153</v>
      </c>
      <c r="AD258">
        <v>-1.1092340000000001</v>
      </c>
      <c r="AE258">
        <v>0.47880000000003498</v>
      </c>
      <c r="AF258">
        <v>-0.27834883460033699</v>
      </c>
      <c r="AG258">
        <v>-1.1092340000000001</v>
      </c>
      <c r="AH258">
        <v>13.832923608010599</v>
      </c>
      <c r="AI258">
        <v>94.583698310891805</v>
      </c>
      <c r="AJ258">
        <v>91.152761479579794</v>
      </c>
      <c r="AK258">
        <v>13.880117207197401</v>
      </c>
      <c r="AL258">
        <v>90.457704488762104</v>
      </c>
      <c r="AM258">
        <v>92.813482322029699</v>
      </c>
      <c r="AN258">
        <v>0.99999995417694698</v>
      </c>
    </row>
    <row r="259" spans="1:40" x14ac:dyDescent="0.25">
      <c r="A259" t="str">
        <f>"20190305135538542"</f>
        <v>20190305135538542</v>
      </c>
      <c r="B259" t="str">
        <f>"1551765338531677"</f>
        <v>1551765338531677</v>
      </c>
      <c r="C259" t="s">
        <v>40</v>
      </c>
      <c r="D259">
        <v>3.9208720000000001</v>
      </c>
      <c r="E259">
        <v>0.51011229999999996</v>
      </c>
      <c r="F259" t="s">
        <v>43</v>
      </c>
      <c r="G259">
        <v>-404.60149999999999</v>
      </c>
      <c r="H259">
        <v>-0.05</v>
      </c>
      <c r="I259">
        <v>368.61149999999998</v>
      </c>
      <c r="J259">
        <v>-418.96420000000001</v>
      </c>
      <c r="K259">
        <v>1.0591390000000001</v>
      </c>
      <c r="L259">
        <v>368.11320000000001</v>
      </c>
      <c r="M259">
        <v>0.99981679999999995</v>
      </c>
      <c r="N259">
        <v>-1.3729130000000001E-2</v>
      </c>
      <c r="O259">
        <v>1.334304E-2</v>
      </c>
      <c r="P259">
        <v>0.99781560000000002</v>
      </c>
      <c r="Q259">
        <v>-2.0767000000000001E-2</v>
      </c>
      <c r="R259">
        <v>6.2712400000000001E-2</v>
      </c>
      <c r="S259">
        <v>2.9951780000000001</v>
      </c>
      <c r="T259">
        <v>-0.22677549999999999</v>
      </c>
      <c r="U259">
        <v>0.1025085</v>
      </c>
      <c r="V259">
        <v>-4.9402670000000003E-2</v>
      </c>
      <c r="W259">
        <v>-6.9789739999999998E-3</v>
      </c>
      <c r="X259">
        <v>0.99875460000000005</v>
      </c>
      <c r="Y259">
        <v>-2.0820160000000001E-2</v>
      </c>
      <c r="Z259">
        <v>1.045518E-4</v>
      </c>
      <c r="AA259">
        <v>0.99978319999999998</v>
      </c>
      <c r="AB259">
        <v>27</v>
      </c>
      <c r="AC259">
        <v>14.3627</v>
      </c>
      <c r="AD259">
        <v>-1.1091389999999901</v>
      </c>
      <c r="AE259">
        <v>0.49829999999997199</v>
      </c>
      <c r="AF259">
        <v>-0.304780137540965</v>
      </c>
      <c r="AG259">
        <v>-1.1091389999999901</v>
      </c>
      <c r="AH259">
        <v>14.2829966564458</v>
      </c>
      <c r="AI259">
        <v>94.439357552930403</v>
      </c>
      <c r="AJ259">
        <v>91.2224301549318</v>
      </c>
      <c r="AK259">
        <v>14.3292384215493</v>
      </c>
      <c r="AL259">
        <v>90.399868985409299</v>
      </c>
      <c r="AM259">
        <v>92.831786049575101</v>
      </c>
      <c r="AN259">
        <v>1.00000004045119</v>
      </c>
    </row>
    <row r="260" spans="1:40" x14ac:dyDescent="0.25">
      <c r="A260" t="str">
        <f>"20190305135538563"</f>
        <v>20190305135538563</v>
      </c>
      <c r="B260" t="str">
        <f>"1551765338552173"</f>
        <v>1551765338552173</v>
      </c>
      <c r="C260" t="s">
        <v>40</v>
      </c>
      <c r="D260">
        <v>3.9670830000000001</v>
      </c>
      <c r="E260">
        <v>0.51014510000000002</v>
      </c>
      <c r="F260" t="s">
        <v>43</v>
      </c>
      <c r="G260">
        <v>-403.86279999999999</v>
      </c>
      <c r="H260">
        <v>-0.05</v>
      </c>
      <c r="I260">
        <v>368.62240000000003</v>
      </c>
      <c r="J260">
        <v>-418.7106</v>
      </c>
      <c r="K260">
        <v>1.0590569999999999</v>
      </c>
      <c r="L260">
        <v>368.11559999999997</v>
      </c>
      <c r="M260">
        <v>0.99983350000000004</v>
      </c>
      <c r="N260">
        <v>-1.329982E-2</v>
      </c>
      <c r="O260">
        <v>1.250048E-2</v>
      </c>
      <c r="P260">
        <v>0.99785089999999999</v>
      </c>
      <c r="Q260">
        <v>-2.160227E-2</v>
      </c>
      <c r="R260">
        <v>6.1863630000000003E-2</v>
      </c>
      <c r="S260">
        <v>2.9956969999999998</v>
      </c>
      <c r="T260">
        <v>-0.22002279999999999</v>
      </c>
      <c r="U260">
        <v>0.1010132</v>
      </c>
      <c r="V260">
        <v>-4.9396969999999998E-2</v>
      </c>
      <c r="W260">
        <v>-8.2430309999999996E-3</v>
      </c>
      <c r="X260">
        <v>0.9987452</v>
      </c>
      <c r="Y260">
        <v>-2.1158440000000001E-2</v>
      </c>
      <c r="Z260">
        <v>1.6620130000000001E-4</v>
      </c>
      <c r="AA260">
        <v>0.99977609999999995</v>
      </c>
      <c r="AB260">
        <v>27</v>
      </c>
      <c r="AC260">
        <v>14.847799999999999</v>
      </c>
      <c r="AD260">
        <v>-1.109057</v>
      </c>
      <c r="AE260">
        <v>0.50680000000005498</v>
      </c>
      <c r="AF260">
        <v>-0.31935962120081501</v>
      </c>
      <c r="AG260">
        <v>-1.109057</v>
      </c>
      <c r="AH260">
        <v>14.7706607121854</v>
      </c>
      <c r="AI260">
        <v>94.293004112154705</v>
      </c>
      <c r="AJ260">
        <v>91.238611346279797</v>
      </c>
      <c r="AK260">
        <v>14.815681417720899</v>
      </c>
      <c r="AL260">
        <v>90.472296239439999</v>
      </c>
      <c r="AM260">
        <v>92.831486460203607</v>
      </c>
      <c r="AN260">
        <v>0.99999999136414397</v>
      </c>
    </row>
    <row r="261" spans="1:40" x14ac:dyDescent="0.25">
      <c r="A261" t="str">
        <f>"20190305135538585"</f>
        <v>20190305135538585</v>
      </c>
      <c r="B261" t="str">
        <f>"1551765338581456"</f>
        <v>1551765338581456</v>
      </c>
      <c r="C261" t="s">
        <v>40</v>
      </c>
      <c r="D261">
        <v>3.9716619999999998</v>
      </c>
      <c r="E261">
        <v>0.51028300000000004</v>
      </c>
      <c r="F261" t="s">
        <v>43</v>
      </c>
      <c r="G261">
        <v>-403.6789</v>
      </c>
      <c r="H261">
        <v>-0.05</v>
      </c>
      <c r="I261">
        <v>368.60980000000001</v>
      </c>
      <c r="J261">
        <v>-418.452</v>
      </c>
      <c r="K261">
        <v>1.058978</v>
      </c>
      <c r="L261">
        <v>368.11799999999999</v>
      </c>
      <c r="M261">
        <v>0.99984989999999996</v>
      </c>
      <c r="N261">
        <v>-1.284269E-2</v>
      </c>
      <c r="O261">
        <v>1.1635319999999999E-2</v>
      </c>
      <c r="P261">
        <v>0.99783639999999996</v>
      </c>
      <c r="Q261">
        <v>-2.3736190000000001E-2</v>
      </c>
      <c r="R261">
        <v>6.1315540000000002E-2</v>
      </c>
      <c r="S261">
        <v>2.9955750000000001</v>
      </c>
      <c r="T261">
        <v>-0.2210172</v>
      </c>
      <c r="U261">
        <v>9.8480219999999993E-2</v>
      </c>
      <c r="V261">
        <v>-4.9717669999999999E-2</v>
      </c>
      <c r="W261">
        <v>-1.083404E-2</v>
      </c>
      <c r="X261">
        <v>0.99870460000000005</v>
      </c>
      <c r="Y261">
        <v>-2.1179259999999998E-2</v>
      </c>
      <c r="Z261">
        <v>2.085236E-4</v>
      </c>
      <c r="AA261">
        <v>0.99977559999999999</v>
      </c>
      <c r="AB261">
        <v>27</v>
      </c>
      <c r="AC261">
        <v>14.773099999999999</v>
      </c>
      <c r="AD261">
        <v>-1.108978</v>
      </c>
      <c r="AE261">
        <v>0.491799999999955</v>
      </c>
      <c r="AF261">
        <v>-0.31807240262432401</v>
      </c>
      <c r="AG261">
        <v>-1.108978</v>
      </c>
      <c r="AH261">
        <v>14.695105624818501</v>
      </c>
      <c r="AI261">
        <v>94.314685104487396</v>
      </c>
      <c r="AJ261">
        <v>91.239961217107705</v>
      </c>
      <c r="AK261">
        <v>14.740323320143499</v>
      </c>
      <c r="AL261">
        <v>90.620756879774305</v>
      </c>
      <c r="AM261">
        <v>92.849954778569398</v>
      </c>
      <c r="AN261">
        <v>1.0000000505970501</v>
      </c>
    </row>
    <row r="262" spans="1:40" x14ac:dyDescent="0.25">
      <c r="A262" t="str">
        <f>"20190305135538607"</f>
        <v>20190305135538607</v>
      </c>
      <c r="B262" t="str">
        <f>"1551765338601949"</f>
        <v>1551765338601949</v>
      </c>
      <c r="C262" t="s">
        <v>40</v>
      </c>
      <c r="D262">
        <v>3.9987119999999998</v>
      </c>
      <c r="E262">
        <v>0.51039829999999997</v>
      </c>
      <c r="F262" t="s">
        <v>43</v>
      </c>
      <c r="G262">
        <v>-403.66609999999997</v>
      </c>
      <c r="H262">
        <v>-0.05</v>
      </c>
      <c r="I262">
        <v>368.59070000000003</v>
      </c>
      <c r="J262">
        <v>-418.17430000000002</v>
      </c>
      <c r="K262">
        <v>1.058908</v>
      </c>
      <c r="L262">
        <v>368.12020000000001</v>
      </c>
      <c r="M262">
        <v>0.99986649999999999</v>
      </c>
      <c r="N262">
        <v>-1.2340500000000001E-2</v>
      </c>
      <c r="O262">
        <v>1.071633E-2</v>
      </c>
      <c r="P262">
        <v>0.99786830000000004</v>
      </c>
      <c r="Q262">
        <v>-2.4914559999999999E-2</v>
      </c>
      <c r="R262">
        <v>6.0321819999999998E-2</v>
      </c>
      <c r="S262">
        <v>2.9952700000000001</v>
      </c>
      <c r="T262">
        <v>-0.22465299999999999</v>
      </c>
      <c r="U262">
        <v>9.5764160000000001E-2</v>
      </c>
      <c r="V262">
        <v>-4.9643840000000002E-2</v>
      </c>
      <c r="W262">
        <v>-1.251477E-2</v>
      </c>
      <c r="X262">
        <v>0.99868860000000004</v>
      </c>
      <c r="Y262">
        <v>-2.119366E-2</v>
      </c>
      <c r="Z262">
        <v>2.5418910000000002E-4</v>
      </c>
      <c r="AA262">
        <v>0.99977539999999998</v>
      </c>
      <c r="AB262">
        <v>27</v>
      </c>
      <c r="AC262">
        <v>14.5082</v>
      </c>
      <c r="AD262">
        <v>-1.108908</v>
      </c>
      <c r="AE262">
        <v>0.47050000000001502</v>
      </c>
      <c r="AF262">
        <v>-0.313158929084288</v>
      </c>
      <c r="AG262">
        <v>-1.108908</v>
      </c>
      <c r="AH262">
        <v>14.428207704360799</v>
      </c>
      <c r="AI262">
        <v>94.393907889433905</v>
      </c>
      <c r="AJ262">
        <v>91.243388546322393</v>
      </c>
      <c r="AK262">
        <v>14.4741467115511</v>
      </c>
      <c r="AL262">
        <v>90.717062203099104</v>
      </c>
      <c r="AM262">
        <v>92.845775116409996</v>
      </c>
      <c r="AN262">
        <v>1.00000002504402</v>
      </c>
    </row>
    <row r="263" spans="1:40" x14ac:dyDescent="0.25">
      <c r="A263" t="str">
        <f>"20190305135538631"</f>
        <v>20190305135538631</v>
      </c>
      <c r="B263" t="str">
        <f>"1551765338621470"</f>
        <v>1551765338621470</v>
      </c>
      <c r="C263" t="s">
        <v>40</v>
      </c>
      <c r="D263">
        <v>3.9831590000000001</v>
      </c>
      <c r="E263">
        <v>0.51045359999999995</v>
      </c>
      <c r="F263" t="s">
        <v>43</v>
      </c>
      <c r="G263">
        <v>-403.50779999999997</v>
      </c>
      <c r="H263">
        <v>-0.05</v>
      </c>
      <c r="I263">
        <v>368.57010000000002</v>
      </c>
      <c r="J263">
        <v>-417.89519999999999</v>
      </c>
      <c r="K263">
        <v>1.0588310000000001</v>
      </c>
      <c r="L263">
        <v>368.12220000000002</v>
      </c>
      <c r="M263">
        <v>0.99988200000000005</v>
      </c>
      <c r="N263">
        <v>-1.181986E-2</v>
      </c>
      <c r="O263">
        <v>9.8148620000000006E-3</v>
      </c>
      <c r="P263">
        <v>0.99792829999999999</v>
      </c>
      <c r="Q263">
        <v>-2.559059E-2</v>
      </c>
      <c r="R263">
        <v>5.9028410000000003E-2</v>
      </c>
      <c r="S263">
        <v>2.9951780000000001</v>
      </c>
      <c r="T263">
        <v>-0.2264603</v>
      </c>
      <c r="U263">
        <v>9.1888429999999993E-2</v>
      </c>
      <c r="V263">
        <v>-4.9251610000000001E-2</v>
      </c>
      <c r="W263">
        <v>-1.3711920000000001E-2</v>
      </c>
      <c r="X263">
        <v>0.99869229999999998</v>
      </c>
      <c r="Y263">
        <v>-2.0803240000000001E-2</v>
      </c>
      <c r="Z263">
        <v>2.8336209999999998E-4</v>
      </c>
      <c r="AA263">
        <v>0.99978359999999999</v>
      </c>
      <c r="AB263">
        <v>27</v>
      </c>
      <c r="AC263">
        <v>14.3874</v>
      </c>
      <c r="AD263">
        <v>-1.1088309999999999</v>
      </c>
      <c r="AE263">
        <v>0.44790000000000402</v>
      </c>
      <c r="AF263">
        <v>-0.30484924966231303</v>
      </c>
      <c r="AG263">
        <v>-1.1088309999999999</v>
      </c>
      <c r="AH263">
        <v>14.306210658105901</v>
      </c>
      <c r="AI263">
        <v>94.430959665548102</v>
      </c>
      <c r="AJ263">
        <v>91.220723842179794</v>
      </c>
      <c r="AK263">
        <v>14.352355299590499</v>
      </c>
      <c r="AL263">
        <v>90.785659747040896</v>
      </c>
      <c r="AM263">
        <v>92.823317070445299</v>
      </c>
      <c r="AN263">
        <v>1.0000000239584801</v>
      </c>
    </row>
    <row r="264" spans="1:40" x14ac:dyDescent="0.25">
      <c r="A264" t="str">
        <f>"20190305135538653"</f>
        <v>20190305135538653</v>
      </c>
      <c r="B264" t="str">
        <f>"1551765338641965"</f>
        <v>1551765338641965</v>
      </c>
      <c r="C264" t="s">
        <v>40</v>
      </c>
      <c r="D264">
        <v>3.9883660000000001</v>
      </c>
      <c r="E264">
        <v>0.51052979999999903</v>
      </c>
      <c r="F264" t="s">
        <v>43</v>
      </c>
      <c r="G264">
        <v>-403.25040000000001</v>
      </c>
      <c r="H264">
        <v>-0.05</v>
      </c>
      <c r="I264">
        <v>368.55020000000002</v>
      </c>
      <c r="J264">
        <v>-417.62200000000001</v>
      </c>
      <c r="K264">
        <v>1.058759</v>
      </c>
      <c r="L264">
        <v>368.12400000000002</v>
      </c>
      <c r="M264">
        <v>0.99989609999999995</v>
      </c>
      <c r="N264">
        <v>-1.129144E-2</v>
      </c>
      <c r="O264">
        <v>8.9583819999999904E-3</v>
      </c>
      <c r="P264">
        <v>0.9979827</v>
      </c>
      <c r="Q264">
        <v>-2.6743400000000001E-2</v>
      </c>
      <c r="R264">
        <v>5.7579379999999999E-2</v>
      </c>
      <c r="S264">
        <v>2.9952700000000001</v>
      </c>
      <c r="T264">
        <v>-0.22678780000000001</v>
      </c>
      <c r="U264">
        <v>8.7524409999999997E-2</v>
      </c>
      <c r="V264">
        <v>-4.8659910000000001E-2</v>
      </c>
      <c r="W264">
        <v>-1.5394100000000001E-2</v>
      </c>
      <c r="X264">
        <v>0.99869669999999999</v>
      </c>
      <c r="Y264">
        <v>-2.020423E-2</v>
      </c>
      <c r="Z264">
        <v>3.0178380000000002E-4</v>
      </c>
      <c r="AA264">
        <v>0.99979589999999996</v>
      </c>
      <c r="AB264">
        <v>27</v>
      </c>
      <c r="AC264">
        <v>14.3715999999999</v>
      </c>
      <c r="AD264">
        <v>-1.1087590000000001</v>
      </c>
      <c r="AE264">
        <v>0.42619999999999397</v>
      </c>
      <c r="AF264">
        <v>-0.29567011532943299</v>
      </c>
      <c r="AG264">
        <v>-1.1087590000000001</v>
      </c>
      <c r="AH264">
        <v>14.2898627882798</v>
      </c>
      <c r="AI264">
        <v>94.435778959373707</v>
      </c>
      <c r="AJ264">
        <v>91.185332084871405</v>
      </c>
      <c r="AK264">
        <v>14.335862228866601</v>
      </c>
      <c r="AL264">
        <v>90.882051859695807</v>
      </c>
      <c r="AM264">
        <v>92.789439872536406</v>
      </c>
      <c r="AN264">
        <v>0.99999993187345104</v>
      </c>
    </row>
    <row r="265" spans="1:40" x14ac:dyDescent="0.25">
      <c r="A265" t="str">
        <f>"20190305135538674"</f>
        <v>20190305135538674</v>
      </c>
      <c r="B265" t="str">
        <f>"1551765338661485"</f>
        <v>1551765338661485</v>
      </c>
      <c r="C265" t="s">
        <v>40</v>
      </c>
      <c r="D265">
        <v>3.9816370000000001</v>
      </c>
      <c r="E265">
        <v>0.51060490000000003</v>
      </c>
      <c r="F265" t="s">
        <v>43</v>
      </c>
      <c r="G265">
        <v>-403.09570000000002</v>
      </c>
      <c r="H265">
        <v>-0.05</v>
      </c>
      <c r="I265">
        <v>368.52420000000001</v>
      </c>
      <c r="J265">
        <v>-417.3646</v>
      </c>
      <c r="K265">
        <v>1.0587</v>
      </c>
      <c r="L265">
        <v>368.12549999999999</v>
      </c>
      <c r="M265">
        <v>0.99990840000000003</v>
      </c>
      <c r="N265">
        <v>-1.079332E-2</v>
      </c>
      <c r="O265">
        <v>8.1708270000000003E-3</v>
      </c>
      <c r="P265">
        <v>0.99803200000000003</v>
      </c>
      <c r="Q265">
        <v>-2.708284E-2</v>
      </c>
      <c r="R265">
        <v>5.6556049999999997E-2</v>
      </c>
      <c r="S265">
        <v>2.9951479999999999</v>
      </c>
      <c r="T265">
        <v>-0.2286128</v>
      </c>
      <c r="U265">
        <v>8.2519529999999994E-2</v>
      </c>
      <c r="V265">
        <v>-4.8423050000000002E-2</v>
      </c>
      <c r="W265">
        <v>-1.6232190000000001E-2</v>
      </c>
      <c r="X265">
        <v>0.998695</v>
      </c>
      <c r="Y265">
        <v>-1.9324870000000001E-2</v>
      </c>
      <c r="Z265">
        <v>3.062416E-4</v>
      </c>
      <c r="AA265">
        <v>0.99981319999999996</v>
      </c>
      <c r="AB265">
        <v>27</v>
      </c>
      <c r="AC265">
        <v>14.268899999999901</v>
      </c>
      <c r="AD265">
        <v>-1.1087</v>
      </c>
      <c r="AE265">
        <v>0.39870000000001898</v>
      </c>
      <c r="AF265">
        <v>-0.28039963501075998</v>
      </c>
      <c r="AG265">
        <v>-1.1087</v>
      </c>
      <c r="AH265">
        <v>14.1861017285028</v>
      </c>
      <c r="AI265">
        <v>94.467939006256898</v>
      </c>
      <c r="AJ265">
        <v>91.1323494106976</v>
      </c>
      <c r="AK265">
        <v>14.232122887916001</v>
      </c>
      <c r="AL265">
        <v>90.930076835561493</v>
      </c>
      <c r="AM265">
        <v>92.775887828661993</v>
      </c>
      <c r="AN265">
        <v>0.99999998939424894</v>
      </c>
    </row>
    <row r="266" spans="1:40" x14ac:dyDescent="0.25">
      <c r="A266" t="str">
        <f>"20190305135538697"</f>
        <v>20190305135538697</v>
      </c>
      <c r="B266" t="str">
        <f>"1551765338691741"</f>
        <v>1551765338691741</v>
      </c>
      <c r="C266" t="s">
        <v>40</v>
      </c>
      <c r="D266">
        <v>3.976874</v>
      </c>
      <c r="E266">
        <v>0.51066610000000001</v>
      </c>
      <c r="F266" t="s">
        <v>43</v>
      </c>
      <c r="G266">
        <v>-402.80290000000002</v>
      </c>
      <c r="H266">
        <v>-0.05</v>
      </c>
      <c r="I266">
        <v>368.50990000000002</v>
      </c>
      <c r="J266">
        <v>-417.07859999999999</v>
      </c>
      <c r="K266">
        <v>1.0586530000000001</v>
      </c>
      <c r="L266">
        <v>368.12689999999998</v>
      </c>
      <c r="M266">
        <v>0.9999207</v>
      </c>
      <c r="N266">
        <v>-1.025357E-2</v>
      </c>
      <c r="O266">
        <v>7.3195419999999897E-3</v>
      </c>
      <c r="P266">
        <v>0.99810330000000003</v>
      </c>
      <c r="Q266">
        <v>-2.6573409999999999E-2</v>
      </c>
      <c r="R266">
        <v>5.5532089999999999E-2</v>
      </c>
      <c r="S266">
        <v>2.9952390000000002</v>
      </c>
      <c r="T266">
        <v>-0.22805149999999999</v>
      </c>
      <c r="U266">
        <v>7.9071039999999995E-2</v>
      </c>
      <c r="V266">
        <v>-4.8248260000000001E-2</v>
      </c>
      <c r="W266">
        <v>-1.6263179999999999E-2</v>
      </c>
      <c r="X266">
        <v>0.99870289999999995</v>
      </c>
      <c r="Y266">
        <v>-1.902502E-2</v>
      </c>
      <c r="Z266">
        <v>3.3938059999999898E-4</v>
      </c>
      <c r="AA266">
        <v>0.99981889999999995</v>
      </c>
      <c r="AB266">
        <v>27</v>
      </c>
      <c r="AC266">
        <v>14.275699999999899</v>
      </c>
      <c r="AD266">
        <v>-1.1086530000000001</v>
      </c>
      <c r="AE266">
        <v>0.38300000000003798</v>
      </c>
      <c r="AF266">
        <v>-0.27682431219013598</v>
      </c>
      <c r="AG266">
        <v>-1.1086530000000001</v>
      </c>
      <c r="AH266">
        <v>14.192585750506399</v>
      </c>
      <c r="AI266">
        <v>94.465740270870199</v>
      </c>
      <c r="AJ266">
        <v>91.117404124048605</v>
      </c>
      <c r="AK266">
        <v>14.238512333095199</v>
      </c>
      <c r="AL266">
        <v>90.931852717785503</v>
      </c>
      <c r="AM266">
        <v>92.765861602917994</v>
      </c>
      <c r="AN266">
        <v>0.99999993404257204</v>
      </c>
    </row>
    <row r="267" spans="1:40" x14ac:dyDescent="0.25">
      <c r="A267" t="str">
        <f>"20190305135538721"</f>
        <v>20190305135538721</v>
      </c>
      <c r="B267" t="str">
        <f>"1551765338711261"</f>
        <v>1551765338711261</v>
      </c>
      <c r="C267" t="s">
        <v>40</v>
      </c>
      <c r="D267">
        <v>4.0655780000000004</v>
      </c>
      <c r="E267">
        <v>0.51065399999999905</v>
      </c>
      <c r="F267" t="s">
        <v>43</v>
      </c>
      <c r="G267">
        <v>-402.28059999999999</v>
      </c>
      <c r="H267">
        <v>-0.05</v>
      </c>
      <c r="I267">
        <v>368.50020000000001</v>
      </c>
      <c r="J267">
        <v>-416.79570000000001</v>
      </c>
      <c r="K267">
        <v>1.0586169999999999</v>
      </c>
      <c r="L267">
        <v>368.12810000000002</v>
      </c>
      <c r="M267">
        <v>0.99993149999999997</v>
      </c>
      <c r="N267">
        <v>-9.7492299999999994E-3</v>
      </c>
      <c r="O267">
        <v>6.5108689999999999E-3</v>
      </c>
      <c r="P267">
        <v>0.99817199999999995</v>
      </c>
      <c r="Q267">
        <v>-2.5633880000000001E-2</v>
      </c>
      <c r="R267">
        <v>5.4735350000000002E-2</v>
      </c>
      <c r="S267">
        <v>2.995514</v>
      </c>
      <c r="T267">
        <v>-0.2244216</v>
      </c>
      <c r="U267">
        <v>7.5561519999999993E-2</v>
      </c>
      <c r="V267">
        <v>-4.8257649999999999E-2</v>
      </c>
      <c r="W267">
        <v>-1.5828979999999999E-2</v>
      </c>
      <c r="X267">
        <v>0.99870950000000003</v>
      </c>
      <c r="Y267">
        <v>-1.8661939999999998E-2</v>
      </c>
      <c r="Z267">
        <v>3.6548560000000002E-4</v>
      </c>
      <c r="AA267">
        <v>0.99982579999999999</v>
      </c>
      <c r="AB267">
        <v>27</v>
      </c>
      <c r="AC267">
        <v>14.5151</v>
      </c>
      <c r="AD267">
        <v>-1.108617</v>
      </c>
      <c r="AE267">
        <v>0.372099999999989</v>
      </c>
      <c r="AF267">
        <v>-0.27597291921206102</v>
      </c>
      <c r="AG267">
        <v>-1.108617</v>
      </c>
      <c r="AH267">
        <v>14.4330762638289</v>
      </c>
      <c r="AI267">
        <v>94.391513992972094</v>
      </c>
      <c r="AJ267">
        <v>91.095411446513694</v>
      </c>
      <c r="AK267">
        <v>14.478220993697001</v>
      </c>
      <c r="AL267">
        <v>90.906971614976399</v>
      </c>
      <c r="AM267">
        <v>92.766380800989396</v>
      </c>
      <c r="AN267">
        <v>1.0000000113908001</v>
      </c>
    </row>
    <row r="268" spans="1:40" x14ac:dyDescent="0.25">
      <c r="A268" t="str">
        <f>"20190305135538744"</f>
        <v>20190305135538744</v>
      </c>
      <c r="B268" t="str">
        <f>"1551765338731757"</f>
        <v>1551765338731757</v>
      </c>
      <c r="C268" t="s">
        <v>40</v>
      </c>
      <c r="D268">
        <v>3.984013</v>
      </c>
      <c r="E268">
        <v>0.51060000000000005</v>
      </c>
      <c r="F268" t="s">
        <v>43</v>
      </c>
      <c r="G268">
        <v>-401.75439999999998</v>
      </c>
      <c r="H268">
        <v>-0.05</v>
      </c>
      <c r="I268">
        <v>368.49680000000001</v>
      </c>
      <c r="J268">
        <v>-416.5025</v>
      </c>
      <c r="K268">
        <v>1.0585990000000001</v>
      </c>
      <c r="L268">
        <v>368.12920000000003</v>
      </c>
      <c r="M268">
        <v>0.99994070000000002</v>
      </c>
      <c r="N268">
        <v>-9.2692759999999999E-3</v>
      </c>
      <c r="O268">
        <v>5.7211010000000001E-3</v>
      </c>
      <c r="P268">
        <v>0.99821780000000004</v>
      </c>
      <c r="Q268">
        <v>-2.5342940000000001E-2</v>
      </c>
      <c r="R268">
        <v>5.4027520000000002E-2</v>
      </c>
      <c r="S268">
        <v>2.9957579999999999</v>
      </c>
      <c r="T268">
        <v>-0.22080250000000001</v>
      </c>
      <c r="U268">
        <v>7.3425290000000004E-2</v>
      </c>
      <c r="V268">
        <v>-4.8337499999999999E-2</v>
      </c>
      <c r="W268">
        <v>-1.602015E-2</v>
      </c>
      <c r="X268">
        <v>0.9987026</v>
      </c>
      <c r="Y268">
        <v>-1.873702E-2</v>
      </c>
      <c r="Z268">
        <v>4.0838590000000002E-4</v>
      </c>
      <c r="AA268">
        <v>0.9998243</v>
      </c>
      <c r="AB268">
        <v>28</v>
      </c>
      <c r="AC268">
        <v>14.748100000000001</v>
      </c>
      <c r="AD268">
        <v>-1.1085989999999999</v>
      </c>
      <c r="AE268">
        <v>0.367599999999981</v>
      </c>
      <c r="AF268">
        <v>-0.28162469564303499</v>
      </c>
      <c r="AG268">
        <v>-1.1085989999999999</v>
      </c>
      <c r="AH268">
        <v>14.6671384937478</v>
      </c>
      <c r="AI268">
        <v>94.3216241365852</v>
      </c>
      <c r="AJ268">
        <v>91.100004879072799</v>
      </c>
      <c r="AK268">
        <v>14.7116707347186</v>
      </c>
      <c r="AL268">
        <v>90.917926229140903</v>
      </c>
      <c r="AM268">
        <v>92.770970206813004</v>
      </c>
      <c r="AN268">
        <v>1.0000000211795099</v>
      </c>
    </row>
    <row r="269" spans="1:40" x14ac:dyDescent="0.25">
      <c r="A269" t="str">
        <f>"20190305135538763"</f>
        <v>20190305135538763</v>
      </c>
      <c r="B269" t="str">
        <f>"1551765338751277"</f>
        <v>1551765338751277</v>
      </c>
      <c r="C269" t="s">
        <v>40</v>
      </c>
      <c r="D269">
        <v>3.9869180000000002</v>
      </c>
      <c r="E269">
        <v>0.510544</v>
      </c>
      <c r="F269" t="s">
        <v>43</v>
      </c>
      <c r="G269">
        <v>-401.30970000000002</v>
      </c>
      <c r="H269">
        <v>-0.05</v>
      </c>
      <c r="I269">
        <v>368.49459999999999</v>
      </c>
      <c r="J269">
        <v>-416.25670000000002</v>
      </c>
      <c r="K269">
        <v>1.058603</v>
      </c>
      <c r="L269">
        <v>368.13</v>
      </c>
      <c r="M269">
        <v>0.99994729999999998</v>
      </c>
      <c r="N269">
        <v>-8.9070150000000008E-3</v>
      </c>
      <c r="O269">
        <v>5.1112470000000002E-3</v>
      </c>
      <c r="P269">
        <v>0.9982451</v>
      </c>
      <c r="Q269">
        <v>-2.55687E-2</v>
      </c>
      <c r="R269">
        <v>5.3412950000000001E-2</v>
      </c>
      <c r="S269">
        <v>2.9958800000000001</v>
      </c>
      <c r="T269">
        <v>-0.21860499999999999</v>
      </c>
      <c r="U269">
        <v>7.2052000000000005E-2</v>
      </c>
      <c r="V269">
        <v>-4.8331319999999997E-2</v>
      </c>
      <c r="W269">
        <v>-1.6611250000000001E-2</v>
      </c>
      <c r="X269">
        <v>0.99869319999999895</v>
      </c>
      <c r="Y269">
        <v>-1.8887259999999999E-2</v>
      </c>
      <c r="Z269">
        <v>4.4539139999999998E-4</v>
      </c>
      <c r="AA269">
        <v>0.99982150000000003</v>
      </c>
      <c r="AB269">
        <v>28</v>
      </c>
      <c r="AC269">
        <v>14.946999999999999</v>
      </c>
      <c r="AD269">
        <v>-1.108603</v>
      </c>
      <c r="AE269">
        <v>0.36459999999999498</v>
      </c>
      <c r="AF269">
        <v>-0.28661863962481499</v>
      </c>
      <c r="AG269">
        <v>-1.108603</v>
      </c>
      <c r="AH269">
        <v>14.866933556257299</v>
      </c>
      <c r="AI269">
        <v>94.263770907151795</v>
      </c>
      <c r="AJ269">
        <v>91.104464764394706</v>
      </c>
      <c r="AK269">
        <v>14.910964563781899</v>
      </c>
      <c r="AL269">
        <v>90.951798313114793</v>
      </c>
      <c r="AM269">
        <v>92.770642524657603</v>
      </c>
      <c r="AN269">
        <v>0.99999997892287196</v>
      </c>
    </row>
    <row r="270" spans="1:40" x14ac:dyDescent="0.25">
      <c r="A270" t="str">
        <f>"20190305135538787"</f>
        <v>20190305135538787</v>
      </c>
      <c r="B270" t="str">
        <f>"1551765338781534"</f>
        <v>1551765338781534</v>
      </c>
      <c r="C270" t="s">
        <v>40</v>
      </c>
      <c r="D270">
        <v>4.0020020000000001</v>
      </c>
      <c r="E270">
        <v>0.51049149999999999</v>
      </c>
      <c r="F270" t="s">
        <v>43</v>
      </c>
      <c r="G270">
        <v>-401.00790000000001</v>
      </c>
      <c r="H270">
        <v>-0.05</v>
      </c>
      <c r="I270">
        <v>368.48939999999999</v>
      </c>
      <c r="J270">
        <v>-415.96120000000002</v>
      </c>
      <c r="K270">
        <v>1.058622</v>
      </c>
      <c r="L270">
        <v>368.13080000000002</v>
      </c>
      <c r="M270">
        <v>0.9999538</v>
      </c>
      <c r="N270">
        <v>-8.5150369999999996E-3</v>
      </c>
      <c r="O270">
        <v>4.4512950000000001E-3</v>
      </c>
      <c r="P270">
        <v>0.99828790000000001</v>
      </c>
      <c r="Q270">
        <v>-2.5266670000000001E-2</v>
      </c>
      <c r="R270">
        <v>5.2753149999999999E-2</v>
      </c>
      <c r="S270">
        <v>2.9958800000000001</v>
      </c>
      <c r="T270">
        <v>-0.2178041</v>
      </c>
      <c r="U270">
        <v>7.0617680000000002E-2</v>
      </c>
      <c r="V270">
        <v>-4.8328389999999999E-2</v>
      </c>
      <c r="W270">
        <v>-1.670632E-2</v>
      </c>
      <c r="X270">
        <v>0.99869180000000002</v>
      </c>
      <c r="Y270">
        <v>-1.9067540000000001E-2</v>
      </c>
      <c r="Z270">
        <v>4.8813669999999998E-4</v>
      </c>
      <c r="AA270">
        <v>0.99981810000000004</v>
      </c>
      <c r="AB270">
        <v>28</v>
      </c>
      <c r="AC270">
        <v>14.9533</v>
      </c>
      <c r="AD270">
        <v>-1.108622</v>
      </c>
      <c r="AE270">
        <v>0.358599999999967</v>
      </c>
      <c r="AF270">
        <v>-0.29043698795683398</v>
      </c>
      <c r="AG270">
        <v>-1.108622</v>
      </c>
      <c r="AH270">
        <v>14.8730441855002</v>
      </c>
      <c r="AI270">
        <v>94.262077865714602</v>
      </c>
      <c r="AJ270">
        <v>91.118715084257303</v>
      </c>
      <c r="AK270">
        <v>14.917132423046301</v>
      </c>
      <c r="AL270">
        <v>90.957246136876407</v>
      </c>
      <c r="AM270">
        <v>92.770478698793497</v>
      </c>
      <c r="AN270">
        <v>1.0000000228975801</v>
      </c>
    </row>
    <row r="271" spans="1:40" x14ac:dyDescent="0.25">
      <c r="A271" t="str">
        <f>"20190305135538809"</f>
        <v>20190305135538809</v>
      </c>
      <c r="B271" t="str">
        <f>"1551765338802029"</f>
        <v>1551765338802029</v>
      </c>
      <c r="C271" t="s">
        <v>40</v>
      </c>
      <c r="D271">
        <v>3.9674779999999998</v>
      </c>
      <c r="E271">
        <v>0.51044820000000002</v>
      </c>
      <c r="F271" t="s">
        <v>43</v>
      </c>
      <c r="G271">
        <v>-400.5204</v>
      </c>
      <c r="H271">
        <v>-0.05</v>
      </c>
      <c r="I271">
        <v>368.48779999999999</v>
      </c>
      <c r="J271">
        <v>-415.68099999999998</v>
      </c>
      <c r="K271">
        <v>1.0586610000000001</v>
      </c>
      <c r="L271">
        <v>368.13150000000002</v>
      </c>
      <c r="M271">
        <v>0.99995889999999998</v>
      </c>
      <c r="N271">
        <v>-8.1846490000000004E-3</v>
      </c>
      <c r="O271">
        <v>3.9177459999999997E-3</v>
      </c>
      <c r="P271">
        <v>0.99831990000000004</v>
      </c>
      <c r="Q271">
        <v>-2.5676299999999999E-2</v>
      </c>
      <c r="R271">
        <v>5.194464E-2</v>
      </c>
      <c r="S271">
        <v>2.9960330000000002</v>
      </c>
      <c r="T271">
        <v>-0.21510960000000001</v>
      </c>
      <c r="U271">
        <v>6.9274899999999903E-2</v>
      </c>
      <c r="V271">
        <v>-4.8051099999999999E-2</v>
      </c>
      <c r="W271">
        <v>-1.74529E-2</v>
      </c>
      <c r="X271">
        <v>0.99869240000000004</v>
      </c>
      <c r="Y271">
        <v>-1.915203E-2</v>
      </c>
      <c r="Z271">
        <v>5.1620680000000001E-4</v>
      </c>
      <c r="AA271">
        <v>0.9998165</v>
      </c>
      <c r="AB271">
        <v>28</v>
      </c>
      <c r="AC271">
        <v>15.160599999999899</v>
      </c>
      <c r="AD271">
        <v>-1.1086609999999999</v>
      </c>
      <c r="AE271">
        <v>0.35629999999997602</v>
      </c>
      <c r="AF271">
        <v>-0.295321489388646</v>
      </c>
      <c r="AG271">
        <v>-1.1086609999999999</v>
      </c>
      <c r="AH271">
        <v>15.081274395198999</v>
      </c>
      <c r="AI271">
        <v>94.203585788986899</v>
      </c>
      <c r="AJ271">
        <v>91.121822481646205</v>
      </c>
      <c r="AK271">
        <v>15.124853102701501</v>
      </c>
      <c r="AL271">
        <v>91.000028272493296</v>
      </c>
      <c r="AM271">
        <v>92.754605642515003</v>
      </c>
      <c r="AN271">
        <v>1.0000000108736899</v>
      </c>
    </row>
    <row r="272" spans="1:40" x14ac:dyDescent="0.25">
      <c r="A272" t="str">
        <f>"20190305135538832"</f>
        <v>20190305135538832</v>
      </c>
      <c r="B272" t="str">
        <f>"1551765338821549"</f>
        <v>1551765338821549</v>
      </c>
      <c r="C272" t="s">
        <v>40</v>
      </c>
      <c r="D272">
        <v>3.9964900000000001</v>
      </c>
      <c r="E272">
        <v>0.51042189999999998</v>
      </c>
      <c r="F272" t="s">
        <v>43</v>
      </c>
      <c r="G272">
        <v>-400.23309999999998</v>
      </c>
      <c r="H272">
        <v>-0.05</v>
      </c>
      <c r="I272">
        <v>368.47840000000002</v>
      </c>
      <c r="J272">
        <v>-415.39370000000002</v>
      </c>
      <c r="K272">
        <v>1.058705</v>
      </c>
      <c r="L272">
        <v>368.13209999999998</v>
      </c>
      <c r="M272">
        <v>0.99996309999999999</v>
      </c>
      <c r="N272">
        <v>-7.8766940000000001E-3</v>
      </c>
      <c r="O272">
        <v>3.4728979999999999E-3</v>
      </c>
      <c r="P272">
        <v>0.99832529999999997</v>
      </c>
      <c r="Q272">
        <v>-2.6260260000000001E-2</v>
      </c>
      <c r="R272">
        <v>5.1549400000000002E-2</v>
      </c>
      <c r="S272">
        <v>2.9960330000000002</v>
      </c>
      <c r="T272">
        <v>-0.21501890000000001</v>
      </c>
      <c r="U272">
        <v>6.7291260000000006E-2</v>
      </c>
      <c r="V272">
        <v>-4.8098420000000003E-2</v>
      </c>
      <c r="W272">
        <v>-1.835231E-2</v>
      </c>
      <c r="X272">
        <v>0.99867399999999995</v>
      </c>
      <c r="Y272">
        <v>-1.8935239999999999E-2</v>
      </c>
      <c r="Z272">
        <v>5.3163599999999896E-4</v>
      </c>
      <c r="AA272">
        <v>0.99982059999999995</v>
      </c>
      <c r="AB272">
        <v>28</v>
      </c>
      <c r="AC272">
        <v>15.160600000000001</v>
      </c>
      <c r="AD272">
        <v>-1.1087049999999901</v>
      </c>
      <c r="AE272">
        <v>0.34630000000004202</v>
      </c>
      <c r="AF272">
        <v>-0.292083791044636</v>
      </c>
      <c r="AG272">
        <v>-1.1087049999999901</v>
      </c>
      <c r="AH272">
        <v>15.0810981624549</v>
      </c>
      <c r="AI272">
        <v>94.203818456012598</v>
      </c>
      <c r="AJ272">
        <v>91.109539658084699</v>
      </c>
      <c r="AK272">
        <v>15.124617730825999</v>
      </c>
      <c r="AL272">
        <v>91.051568929904604</v>
      </c>
      <c r="AM272">
        <v>92.757364875933504</v>
      </c>
      <c r="AN272">
        <v>1.0000000117824099</v>
      </c>
    </row>
    <row r="273" spans="1:40" x14ac:dyDescent="0.25">
      <c r="A273" t="str">
        <f>"20190305135538856"</f>
        <v>20190305135538856</v>
      </c>
      <c r="B273" t="str">
        <f>"1551765338851805"</f>
        <v>1551765338851805</v>
      </c>
      <c r="C273" t="s">
        <v>40</v>
      </c>
      <c r="D273">
        <v>4.1043699999999896</v>
      </c>
      <c r="E273">
        <v>0.51043899999999998</v>
      </c>
      <c r="F273" t="s">
        <v>43</v>
      </c>
      <c r="G273">
        <v>-399.95839999999998</v>
      </c>
      <c r="H273">
        <v>-0.05</v>
      </c>
      <c r="I273">
        <v>368.47500000000002</v>
      </c>
      <c r="J273">
        <v>-415.10750000000002</v>
      </c>
      <c r="K273">
        <v>1.0587409999999999</v>
      </c>
      <c r="L273">
        <v>368.1327</v>
      </c>
      <c r="M273">
        <v>0.99996640000000003</v>
      </c>
      <c r="N273">
        <v>-7.5932319999999897E-3</v>
      </c>
      <c r="O273">
        <v>3.1139240000000001E-3</v>
      </c>
      <c r="P273">
        <v>0.99835649999999998</v>
      </c>
      <c r="Q273">
        <v>-2.66728E-2</v>
      </c>
      <c r="R273">
        <v>5.0726599999999997E-2</v>
      </c>
      <c r="S273">
        <v>2.9959720000000001</v>
      </c>
      <c r="T273">
        <v>-0.21519820000000001</v>
      </c>
      <c r="U273">
        <v>6.6558839999999994E-2</v>
      </c>
      <c r="V273">
        <v>-4.763158E-2</v>
      </c>
      <c r="W273">
        <v>-1.9055550000000001E-2</v>
      </c>
      <c r="X273">
        <v>0.99868319999999999</v>
      </c>
      <c r="Y273">
        <v>-1.9049429999999999E-2</v>
      </c>
      <c r="Z273">
        <v>5.5588670000000003E-4</v>
      </c>
      <c r="AA273">
        <v>0.9998184</v>
      </c>
      <c r="AB273">
        <v>28</v>
      </c>
      <c r="AC273">
        <v>15.149100000000001</v>
      </c>
      <c r="AD273">
        <v>-1.108741</v>
      </c>
      <c r="AE273">
        <v>0.34230000000002198</v>
      </c>
      <c r="AF273">
        <v>-0.29355220822601902</v>
      </c>
      <c r="AG273">
        <v>-1.108741</v>
      </c>
      <c r="AH273">
        <v>15.0694133426751</v>
      </c>
      <c r="AI273">
        <v>94.207193357149194</v>
      </c>
      <c r="AJ273">
        <v>91.115980776661999</v>
      </c>
      <c r="AK273">
        <v>15.1129976509106</v>
      </c>
      <c r="AL273">
        <v>91.091868668510699</v>
      </c>
      <c r="AM273">
        <v>92.730617667404402</v>
      </c>
      <c r="AN273">
        <v>1.0000000076806601</v>
      </c>
    </row>
    <row r="274" spans="1:40" x14ac:dyDescent="0.25">
      <c r="A274" t="str">
        <f>"20190305135538875"</f>
        <v>20190305135538875</v>
      </c>
      <c r="B274" t="str">
        <f>"1551765338871326"</f>
        <v>1551765338871326</v>
      </c>
      <c r="C274" t="s">
        <v>40</v>
      </c>
      <c r="D274">
        <v>3.946501</v>
      </c>
      <c r="E274">
        <v>0.53984670000000001</v>
      </c>
      <c r="F274" t="s">
        <v>43</v>
      </c>
      <c r="G274">
        <v>-399.68799999999999</v>
      </c>
      <c r="H274">
        <v>-0.05</v>
      </c>
      <c r="I274">
        <v>368.4624</v>
      </c>
      <c r="J274">
        <v>-414.85419999999999</v>
      </c>
      <c r="K274">
        <v>1.058767</v>
      </c>
      <c r="L274">
        <v>368.13319999999999</v>
      </c>
      <c r="M274">
        <v>0.99996890000000005</v>
      </c>
      <c r="N274">
        <v>-7.3520460000000001E-3</v>
      </c>
      <c r="O274">
        <v>2.8676589999999998E-3</v>
      </c>
      <c r="P274">
        <v>0.99841210000000002</v>
      </c>
      <c r="Q274">
        <v>-2.6931799999999999E-2</v>
      </c>
      <c r="R274">
        <v>4.9478189999999998E-2</v>
      </c>
      <c r="S274">
        <v>2.9959410000000002</v>
      </c>
      <c r="T274">
        <v>-0.21542320000000001</v>
      </c>
      <c r="U274">
        <v>6.4056399999999999E-2</v>
      </c>
      <c r="V274">
        <v>-4.6626300000000002E-2</v>
      </c>
      <c r="W274">
        <v>-1.956186E-2</v>
      </c>
      <c r="X274">
        <v>0.99872079999999996</v>
      </c>
      <c r="Y274">
        <v>-1.846244E-2</v>
      </c>
      <c r="Z274">
        <v>5.4596240000000002E-4</v>
      </c>
      <c r="AA274">
        <v>0.99982939999999998</v>
      </c>
      <c r="AB274">
        <v>28</v>
      </c>
      <c r="AC274">
        <v>15.1661999999999</v>
      </c>
      <c r="AD274">
        <v>-1.1087670000000001</v>
      </c>
      <c r="AE274">
        <v>0.32920000000001398</v>
      </c>
      <c r="AF274">
        <v>-0.28418778656148402</v>
      </c>
      <c r="AG274">
        <v>-1.1087670000000001</v>
      </c>
      <c r="AH274">
        <v>15.086486240517701</v>
      </c>
      <c r="AI274">
        <v>94.2025990192313</v>
      </c>
      <c r="AJ274">
        <v>91.079166810316096</v>
      </c>
      <c r="AK274">
        <v>15.129844481806501</v>
      </c>
      <c r="AL274">
        <v>91.1208835604657</v>
      </c>
      <c r="AM274">
        <v>92.672971090304003</v>
      </c>
      <c r="AN274">
        <v>0.99999995728549396</v>
      </c>
    </row>
    <row r="275" spans="1:40" x14ac:dyDescent="0.25">
      <c r="A275" t="str">
        <f>"20190305135538898"</f>
        <v>20190305135538898</v>
      </c>
      <c r="B275" t="str">
        <f>"1551765338891822"</f>
        <v>1551765338891822</v>
      </c>
      <c r="C275" t="s">
        <v>40</v>
      </c>
      <c r="D275">
        <v>3.9542959999999998</v>
      </c>
      <c r="E275">
        <v>0.54486969999999901</v>
      </c>
      <c r="F275" t="s">
        <v>41</v>
      </c>
      <c r="G275">
        <v>-413.96350000000001</v>
      </c>
      <c r="H275">
        <v>0.96693799999999996</v>
      </c>
      <c r="I275">
        <v>368.0804</v>
      </c>
      <c r="J275">
        <v>-414.55540000000002</v>
      </c>
      <c r="K275">
        <v>1.0587959999999901</v>
      </c>
      <c r="L275">
        <v>368.13380000000001</v>
      </c>
      <c r="M275">
        <v>0.99997159999999996</v>
      </c>
      <c r="N275">
        <v>-7.0711769999999997E-3</v>
      </c>
      <c r="O275">
        <v>2.6681529999999999E-3</v>
      </c>
      <c r="P275">
        <v>0.99844549999999999</v>
      </c>
      <c r="Q275">
        <v>-2.6538309999999999E-2</v>
      </c>
      <c r="R275">
        <v>4.9015129999999997E-2</v>
      </c>
      <c r="S275">
        <v>3.005188</v>
      </c>
      <c r="T275">
        <v>-0.30983909999999998</v>
      </c>
      <c r="U275">
        <v>-0.177948</v>
      </c>
      <c r="V275">
        <v>-4.6359230000000001E-2</v>
      </c>
      <c r="W275">
        <v>-1.9455699999999999E-2</v>
      </c>
      <c r="X275">
        <v>0.99873540000000005</v>
      </c>
      <c r="Y275">
        <v>6.1414320000000001E-2</v>
      </c>
      <c r="Z275">
        <v>-3.6281070000000002E-3</v>
      </c>
      <c r="AA275">
        <v>0.99810580000000004</v>
      </c>
      <c r="AB275">
        <v>28</v>
      </c>
      <c r="AC275">
        <v>0.59190000000000897</v>
      </c>
      <c r="AD275">
        <v>-9.1857999999999801E-2</v>
      </c>
      <c r="AE275">
        <v>-5.3400000000010502E-2</v>
      </c>
      <c r="AF275">
        <v>5.3696321981507297E-2</v>
      </c>
      <c r="AG275">
        <v>-9.1857999999999801E-2</v>
      </c>
      <c r="AH275">
        <v>0.57794820814538705</v>
      </c>
      <c r="AI275">
        <v>98.992851591960999</v>
      </c>
      <c r="AJ275">
        <v>84.691970962369695</v>
      </c>
      <c r="AK275">
        <v>0.58766088729539001</v>
      </c>
      <c r="AL275">
        <v>91.114799778129793</v>
      </c>
      <c r="AM275">
        <v>92.657643843473593</v>
      </c>
      <c r="AN275">
        <v>1.0000000508409199</v>
      </c>
    </row>
    <row r="276" spans="1:40" x14ac:dyDescent="0.25">
      <c r="A276" t="str">
        <f>"20190305135538922"</f>
        <v>20190305135538922</v>
      </c>
      <c r="B276" t="str">
        <f>"1551765338911341"</f>
        <v>1551765338911341</v>
      </c>
      <c r="C276" t="s">
        <v>40</v>
      </c>
      <c r="D276">
        <v>3.9400409999999999</v>
      </c>
      <c r="E276">
        <v>0.54637749999999996</v>
      </c>
      <c r="F276" t="s">
        <v>41</v>
      </c>
      <c r="G276">
        <v>-413.70940000000002</v>
      </c>
      <c r="H276">
        <v>0.96364689999999997</v>
      </c>
      <c r="I276">
        <v>368.07159999999999</v>
      </c>
      <c r="J276">
        <v>-414.25389999999999</v>
      </c>
      <c r="K276">
        <v>1.0588200000000001</v>
      </c>
      <c r="L276">
        <v>368.1345</v>
      </c>
      <c r="M276">
        <v>0.99997369999999997</v>
      </c>
      <c r="N276">
        <v>-6.7965469999999896E-3</v>
      </c>
      <c r="O276">
        <v>2.5487779999999998E-3</v>
      </c>
      <c r="P276">
        <v>0.99850700000000003</v>
      </c>
      <c r="Q276">
        <v>-2.5690290000000001E-2</v>
      </c>
      <c r="R276">
        <v>4.8207970000000003E-2</v>
      </c>
      <c r="S276">
        <v>3.0065</v>
      </c>
      <c r="T276">
        <v>-0.33835799999999999</v>
      </c>
      <c r="U276">
        <v>-0.22021479999999999</v>
      </c>
      <c r="V276">
        <v>-4.5668699999999902E-2</v>
      </c>
      <c r="W276">
        <v>-1.8888120000000001E-2</v>
      </c>
      <c r="X276">
        <v>0.99877800000000005</v>
      </c>
      <c r="Y276">
        <v>7.5077969999999994E-2</v>
      </c>
      <c r="Z276">
        <v>-4.730494E-3</v>
      </c>
      <c r="AA276">
        <v>0.99716649999999996</v>
      </c>
      <c r="AB276">
        <v>29</v>
      </c>
      <c r="AC276">
        <v>0.54449999999997001</v>
      </c>
      <c r="AD276">
        <v>-9.5173099999999997E-2</v>
      </c>
      <c r="AE276">
        <v>-6.2900000000013195E-2</v>
      </c>
      <c r="AF276">
        <v>6.2406143245301401E-2</v>
      </c>
      <c r="AG276">
        <v>-9.5173099999999997E-2</v>
      </c>
      <c r="AH276">
        <v>0.52840687543376996</v>
      </c>
      <c r="AI276">
        <v>100.141257432218</v>
      </c>
      <c r="AJ276">
        <v>83.264429123327204</v>
      </c>
      <c r="AK276">
        <v>0.54052407132711799</v>
      </c>
      <c r="AL276">
        <v>91.082273980141593</v>
      </c>
      <c r="AM276">
        <v>92.618001690853305</v>
      </c>
      <c r="AN276">
        <v>0.99999994226041</v>
      </c>
    </row>
    <row r="277" spans="1:40" x14ac:dyDescent="0.25">
      <c r="A277" t="str">
        <f>"20190305135538946"</f>
        <v>20190305135538946</v>
      </c>
      <c r="B277" t="str">
        <f>"1551765338941597"</f>
        <v>1551765338941597</v>
      </c>
      <c r="C277" t="s">
        <v>40</v>
      </c>
      <c r="D277">
        <v>3.951918</v>
      </c>
      <c r="E277">
        <v>0.54679149999999999</v>
      </c>
      <c r="F277" t="s">
        <v>41</v>
      </c>
      <c r="G277">
        <v>-413.45150000000001</v>
      </c>
      <c r="H277">
        <v>0.9656363</v>
      </c>
      <c r="I277">
        <v>368.0718</v>
      </c>
      <c r="J277">
        <v>-413.94310000000002</v>
      </c>
      <c r="K277">
        <v>1.0588329999999999</v>
      </c>
      <c r="L277">
        <v>368.1352</v>
      </c>
      <c r="M277">
        <v>0.99997559999999996</v>
      </c>
      <c r="N277">
        <v>-6.5327329999999998E-3</v>
      </c>
      <c r="O277">
        <v>2.486065E-3</v>
      </c>
      <c r="P277">
        <v>0.99854330000000002</v>
      </c>
      <c r="Q277">
        <v>-2.5001860000000001E-2</v>
      </c>
      <c r="R277">
        <v>4.7812929999999997E-2</v>
      </c>
      <c r="S277">
        <v>3.0068359999999998</v>
      </c>
      <c r="T277">
        <v>-0.3492324</v>
      </c>
      <c r="U277">
        <v>-0.23526</v>
      </c>
      <c r="V277">
        <v>-4.5334239999999998E-2</v>
      </c>
      <c r="W277">
        <v>-1.8468149999999999E-2</v>
      </c>
      <c r="X277">
        <v>0.99880119999999895</v>
      </c>
      <c r="Y277">
        <v>7.9902539999999994E-2</v>
      </c>
      <c r="Z277">
        <v>-5.1511539999999998E-3</v>
      </c>
      <c r="AA277">
        <v>0.99678940000000005</v>
      </c>
      <c r="AB277">
        <v>29</v>
      </c>
      <c r="AC277">
        <v>0.49160000000000498</v>
      </c>
      <c r="AD277">
        <v>-9.3196699999999799E-2</v>
      </c>
      <c r="AE277">
        <v>-6.34000000000014E-2</v>
      </c>
      <c r="AF277">
        <v>6.2415471042040198E-2</v>
      </c>
      <c r="AG277">
        <v>-9.3196699999999799E-2</v>
      </c>
      <c r="AH277">
        <v>0.474660680147241</v>
      </c>
      <c r="AI277">
        <v>101.015885636135</v>
      </c>
      <c r="AJ277">
        <v>82.508874550141797</v>
      </c>
      <c r="AK277">
        <v>0.48773361294269102</v>
      </c>
      <c r="AL277">
        <v>91.058207155964794</v>
      </c>
      <c r="AM277">
        <v>92.598794553957703</v>
      </c>
      <c r="AN277">
        <v>1.00000005150111</v>
      </c>
    </row>
    <row r="278" spans="1:40" x14ac:dyDescent="0.25">
      <c r="A278" t="str">
        <f>"20190305135538965"</f>
        <v>20190305135538965</v>
      </c>
      <c r="B278" t="str">
        <f>"1551765338962094"</f>
        <v>1551765338962094</v>
      </c>
      <c r="C278" t="s">
        <v>40</v>
      </c>
      <c r="D278">
        <v>3.9414579999999999</v>
      </c>
      <c r="E278">
        <v>0.54688760000000003</v>
      </c>
      <c r="F278" t="s">
        <v>41</v>
      </c>
      <c r="G278">
        <v>-413.19139999999999</v>
      </c>
      <c r="H278">
        <v>0.97009210000000001</v>
      </c>
      <c r="I278">
        <v>368.07479999999998</v>
      </c>
      <c r="J278">
        <v>-413.70060000000001</v>
      </c>
      <c r="K278">
        <v>1.0588379999999999</v>
      </c>
      <c r="L278">
        <v>368.13569999999999</v>
      </c>
      <c r="M278">
        <v>0.99997689999999995</v>
      </c>
      <c r="N278">
        <v>-6.3484300000000004E-3</v>
      </c>
      <c r="O278">
        <v>2.4719389999999998E-3</v>
      </c>
      <c r="P278">
        <v>0.99853910000000001</v>
      </c>
      <c r="Q278">
        <v>-2.475861E-2</v>
      </c>
      <c r="R278">
        <v>4.8031589999999999E-2</v>
      </c>
      <c r="S278">
        <v>3.0070190000000001</v>
      </c>
      <c r="T278">
        <v>-0.355193599999999</v>
      </c>
      <c r="U278">
        <v>-0.2402039</v>
      </c>
      <c r="V278">
        <v>-4.5565750000000002E-2</v>
      </c>
      <c r="W278">
        <v>-1.8412049999999999E-2</v>
      </c>
      <c r="X278">
        <v>0.9987916</v>
      </c>
      <c r="Y278">
        <v>8.1482490000000005E-2</v>
      </c>
      <c r="Z278">
        <v>-5.3231049999999999E-3</v>
      </c>
      <c r="AA278">
        <v>0.99666049999999995</v>
      </c>
      <c r="AB278">
        <v>29</v>
      </c>
      <c r="AC278">
        <v>0.50920000000002097</v>
      </c>
      <c r="AD278">
        <v>-8.8745899999999905E-2</v>
      </c>
      <c r="AE278">
        <v>-6.0900000000003701E-2</v>
      </c>
      <c r="AF278">
        <v>6.0351219432296703E-2</v>
      </c>
      <c r="AG278">
        <v>-8.8745899999999905E-2</v>
      </c>
      <c r="AH278">
        <v>0.49424674923475198</v>
      </c>
      <c r="AI278">
        <v>100.105937206006</v>
      </c>
      <c r="AJ278">
        <v>83.038221472121407</v>
      </c>
      <c r="AK278">
        <v>0.50576472156813701</v>
      </c>
      <c r="AL278">
        <v>91.054992422632395</v>
      </c>
      <c r="AM278">
        <v>92.612072649104604</v>
      </c>
      <c r="AN278">
        <v>0.99999995069441105</v>
      </c>
    </row>
    <row r="279" spans="1:40" x14ac:dyDescent="0.25">
      <c r="A279" t="str">
        <f>"20190305135538986"</f>
        <v>20190305135538986</v>
      </c>
      <c r="B279" t="str">
        <f>"1551765338981613"</f>
        <v>1551765338981613</v>
      </c>
      <c r="C279" t="s">
        <v>40</v>
      </c>
      <c r="D279">
        <v>4.2369940000000001</v>
      </c>
      <c r="E279">
        <v>0.54717930000000004</v>
      </c>
      <c r="F279" t="s">
        <v>41</v>
      </c>
      <c r="G279">
        <v>-412.93310000000002</v>
      </c>
      <c r="H279">
        <v>0.96838279999999999</v>
      </c>
      <c r="I279">
        <v>368.07389999999998</v>
      </c>
      <c r="J279">
        <v>-413.42680000000001</v>
      </c>
      <c r="K279">
        <v>1.0588439999999999</v>
      </c>
      <c r="L279">
        <v>368.13639999999998</v>
      </c>
      <c r="M279">
        <v>0.99997809999999998</v>
      </c>
      <c r="N279">
        <v>-6.1656100000000002E-3</v>
      </c>
      <c r="O279">
        <v>2.4844609999999999E-3</v>
      </c>
      <c r="P279">
        <v>0.99853309999999995</v>
      </c>
      <c r="Q279">
        <v>-2.4041739999999999E-2</v>
      </c>
      <c r="R279">
        <v>4.851983E-2</v>
      </c>
      <c r="S279">
        <v>3.0071409999999998</v>
      </c>
      <c r="T279">
        <v>-0.35468539999999998</v>
      </c>
      <c r="U279">
        <v>-0.24032590000000001</v>
      </c>
      <c r="V279">
        <v>-4.6040560000000001E-2</v>
      </c>
      <c r="W279">
        <v>-1.7880610000000002E-2</v>
      </c>
      <c r="X279">
        <v>0.99877950000000004</v>
      </c>
      <c r="Y279">
        <v>8.1534060000000005E-2</v>
      </c>
      <c r="Z279">
        <v>-5.3132129999999998E-3</v>
      </c>
      <c r="AA279">
        <v>0.9966564</v>
      </c>
      <c r="AB279">
        <v>29</v>
      </c>
      <c r="AC279">
        <v>0.49369999999998898</v>
      </c>
      <c r="AD279">
        <v>-9.0461200000000005E-2</v>
      </c>
      <c r="AE279">
        <v>-6.25E-2</v>
      </c>
      <c r="AF279">
        <v>6.1687986689427703E-2</v>
      </c>
      <c r="AG279">
        <v>-9.0461200000000005E-2</v>
      </c>
      <c r="AH279">
        <v>0.47775618767137001</v>
      </c>
      <c r="AI279">
        <v>100.635541342556</v>
      </c>
      <c r="AJ279">
        <v>82.642663073343996</v>
      </c>
      <c r="AK279">
        <v>0.490142439771865</v>
      </c>
      <c r="AL279">
        <v>91.0245381178907</v>
      </c>
      <c r="AM279">
        <v>92.639284939733201</v>
      </c>
      <c r="AN279">
        <v>0.99999996949966696</v>
      </c>
    </row>
    <row r="280" spans="1:40" x14ac:dyDescent="0.25">
      <c r="A280" t="str">
        <f>"20190305135539010"</f>
        <v>20190305135539010</v>
      </c>
      <c r="B280" t="str">
        <f>"1551765339002109"</f>
        <v>1551765339002109</v>
      </c>
      <c r="C280" t="s">
        <v>40</v>
      </c>
      <c r="D280">
        <v>3.9524319999999999</v>
      </c>
      <c r="E280">
        <v>0.54757739999999999</v>
      </c>
      <c r="F280" t="s">
        <v>41</v>
      </c>
      <c r="G280">
        <v>-412.67180000000002</v>
      </c>
      <c r="H280">
        <v>0.97083149999999996</v>
      </c>
      <c r="I280">
        <v>368.07549999999998</v>
      </c>
      <c r="J280">
        <v>-413.10419999999999</v>
      </c>
      <c r="K280">
        <v>1.0588519999999999</v>
      </c>
      <c r="L280">
        <v>368.13720000000001</v>
      </c>
      <c r="M280">
        <v>0.99997899999999995</v>
      </c>
      <c r="N280">
        <v>-5.9860529999999999E-3</v>
      </c>
      <c r="O280">
        <v>2.5304860000000002E-3</v>
      </c>
      <c r="P280">
        <v>0.99851319999999999</v>
      </c>
      <c r="Q280">
        <v>-2.3364159999999998E-2</v>
      </c>
      <c r="R280">
        <v>4.9252230000000001E-2</v>
      </c>
      <c r="S280">
        <v>3.00766</v>
      </c>
      <c r="T280">
        <v>-0.35092780000000001</v>
      </c>
      <c r="U280">
        <v>-0.24118039999999999</v>
      </c>
      <c r="V280">
        <v>-4.672581E-2</v>
      </c>
      <c r="W280">
        <v>-1.7385100000000001E-2</v>
      </c>
      <c r="X280">
        <v>0.99875650000000005</v>
      </c>
      <c r="Y280">
        <v>8.1858539999999994E-2</v>
      </c>
      <c r="Z280">
        <v>-5.2768379999999998E-3</v>
      </c>
      <c r="AA280">
        <v>0.99663000000000002</v>
      </c>
      <c r="AB280">
        <v>29</v>
      </c>
      <c r="AC280">
        <v>0.43239999999997197</v>
      </c>
      <c r="AD280">
        <v>-8.8020500000000002E-2</v>
      </c>
      <c r="AE280">
        <v>-6.1700000000030203E-2</v>
      </c>
      <c r="AF280">
        <v>6.0343405042541799E-2</v>
      </c>
      <c r="AG280">
        <v>-8.8020500000000002E-2</v>
      </c>
      <c r="AH280">
        <v>0.41537378513487799</v>
      </c>
      <c r="AI280">
        <v>101.843611027864</v>
      </c>
      <c r="AJ280">
        <v>81.734184407035798</v>
      </c>
      <c r="AK280">
        <v>0.428863983483872</v>
      </c>
      <c r="AL280">
        <v>90.996142995549107</v>
      </c>
      <c r="AM280">
        <v>92.678571845764196</v>
      </c>
      <c r="AN280">
        <v>1.0000000446571999</v>
      </c>
    </row>
    <row r="281" spans="1:40" x14ac:dyDescent="0.25">
      <c r="A281" t="str">
        <f>"20190305135539033"</f>
        <v>20190305135539033</v>
      </c>
      <c r="B281" t="str">
        <f>"1551765339021629"</f>
        <v>1551765339021629</v>
      </c>
      <c r="C281" t="s">
        <v>40</v>
      </c>
      <c r="D281">
        <v>3.9597289999999998</v>
      </c>
      <c r="E281">
        <v>0.54796319999999998</v>
      </c>
      <c r="F281" t="s">
        <v>41</v>
      </c>
      <c r="G281">
        <v>-412.15870000000001</v>
      </c>
      <c r="H281">
        <v>0.94961019999999896</v>
      </c>
      <c r="I281">
        <v>368.06060000000002</v>
      </c>
      <c r="J281">
        <v>-412.81240000000003</v>
      </c>
      <c r="K281">
        <v>1.0588569999999999</v>
      </c>
      <c r="L281">
        <v>368.13799999999998</v>
      </c>
      <c r="M281">
        <v>0.99997959999999997</v>
      </c>
      <c r="N281">
        <v>-5.8549309999999999E-3</v>
      </c>
      <c r="O281">
        <v>2.5931650000000001E-3</v>
      </c>
      <c r="P281">
        <v>0.99848490000000001</v>
      </c>
      <c r="Q281">
        <v>-2.3205380000000001E-2</v>
      </c>
      <c r="R281">
        <v>4.98971E-2</v>
      </c>
      <c r="S281">
        <v>3.0083009999999999</v>
      </c>
      <c r="T281">
        <v>-0.34785690000000002</v>
      </c>
      <c r="U281">
        <v>-0.24197389999999999</v>
      </c>
      <c r="V281">
        <v>-4.7307790000000002E-2</v>
      </c>
      <c r="W281">
        <v>-1.7359380000000001E-2</v>
      </c>
      <c r="X281">
        <v>0.99872950000000005</v>
      </c>
      <c r="Y281">
        <v>8.2173640000000006E-2</v>
      </c>
      <c r="Z281">
        <v>-5.2526930000000001E-3</v>
      </c>
      <c r="AA281">
        <v>0.99660420000000005</v>
      </c>
      <c r="AB281">
        <v>29</v>
      </c>
      <c r="AC281">
        <v>0.65370000000001405</v>
      </c>
      <c r="AD281">
        <v>-0.10924680000000001</v>
      </c>
      <c r="AE281">
        <v>-7.7400000000011404E-2</v>
      </c>
      <c r="AF281">
        <v>7.6974789159218501E-2</v>
      </c>
      <c r="AG281">
        <v>-0.10924680000000001</v>
      </c>
      <c r="AH281">
        <v>0.635980163554135</v>
      </c>
      <c r="AI281">
        <v>99.677697183402401</v>
      </c>
      <c r="AJ281">
        <v>83.098869446188303</v>
      </c>
      <c r="AK281">
        <v>0.64986979458249206</v>
      </c>
      <c r="AL281">
        <v>90.994669175522006</v>
      </c>
      <c r="AM281">
        <v>92.711957739466101</v>
      </c>
      <c r="AN281">
        <v>0.99999999461945899</v>
      </c>
    </row>
    <row r="282" spans="1:40" x14ac:dyDescent="0.25">
      <c r="A282" t="str">
        <f>"20190305135539053"</f>
        <v>20190305135539053</v>
      </c>
      <c r="B282" t="str">
        <f>"1551765339042125"</f>
        <v>1551765339042125</v>
      </c>
      <c r="C282" t="s">
        <v>40</v>
      </c>
      <c r="D282">
        <v>3.940712</v>
      </c>
      <c r="E282">
        <v>0.54822409999999999</v>
      </c>
      <c r="F282" t="s">
        <v>41</v>
      </c>
      <c r="G282">
        <v>-411.89400000000001</v>
      </c>
      <c r="H282">
        <v>0.95258410000000004</v>
      </c>
      <c r="I282">
        <v>368.06380000000001</v>
      </c>
      <c r="J282">
        <v>-412.54020000000003</v>
      </c>
      <c r="K282">
        <v>1.0588660000000001</v>
      </c>
      <c r="L282">
        <v>368.1388</v>
      </c>
      <c r="M282">
        <v>0.99997990000000003</v>
      </c>
      <c r="N282">
        <v>-5.7539920000000003E-3</v>
      </c>
      <c r="O282">
        <v>2.662864E-3</v>
      </c>
      <c r="P282">
        <v>0.9984712</v>
      </c>
      <c r="Q282">
        <v>-2.2811479999999999E-2</v>
      </c>
      <c r="R282">
        <v>5.0348570000000002E-2</v>
      </c>
      <c r="S282">
        <v>3.008575</v>
      </c>
      <c r="T282">
        <v>-0.34825630000000002</v>
      </c>
      <c r="U282">
        <v>-0.24252319999999999</v>
      </c>
      <c r="V282">
        <v>-4.7688540000000001E-2</v>
      </c>
      <c r="W282">
        <v>-1.7067820000000001E-2</v>
      </c>
      <c r="X282">
        <v>0.99871639999999995</v>
      </c>
      <c r="Y282">
        <v>8.2413790000000001E-2</v>
      </c>
      <c r="Z282">
        <v>-5.2761850000000001E-3</v>
      </c>
      <c r="AA282">
        <v>0.99658420000000003</v>
      </c>
      <c r="AB282">
        <v>29</v>
      </c>
      <c r="AC282">
        <v>0.64620000000002098</v>
      </c>
      <c r="AD282">
        <v>-0.1062819</v>
      </c>
      <c r="AE282">
        <v>-7.4999999999988604E-2</v>
      </c>
      <c r="AF282">
        <v>7.4725954916428902E-2</v>
      </c>
      <c r="AG282">
        <v>-0.1062819</v>
      </c>
      <c r="AH282">
        <v>0.62920358192336301</v>
      </c>
      <c r="AI282">
        <v>99.521934273559296</v>
      </c>
      <c r="AJ282">
        <v>83.227119023938599</v>
      </c>
      <c r="AK282">
        <v>0.64247720435123001</v>
      </c>
      <c r="AL282">
        <v>90.977961559177203</v>
      </c>
      <c r="AM282">
        <v>92.733787369017094</v>
      </c>
      <c r="AN282">
        <v>0.99999997747792102</v>
      </c>
    </row>
    <row r="283" spans="1:40" x14ac:dyDescent="0.25">
      <c r="A283" t="str">
        <f>"20190305135539076"</f>
        <v>20190305135539076</v>
      </c>
      <c r="B283" t="str">
        <f>"1551765339071405"</f>
        <v>1551765339071405</v>
      </c>
      <c r="C283" t="s">
        <v>40</v>
      </c>
      <c r="D283">
        <v>3.9379970000000002</v>
      </c>
      <c r="E283">
        <v>0.54858819999999997</v>
      </c>
      <c r="F283" t="s">
        <v>41</v>
      </c>
      <c r="G283">
        <v>-411.62900000000002</v>
      </c>
      <c r="H283">
        <v>0.95395209999999997</v>
      </c>
      <c r="I283">
        <v>368.06459999999998</v>
      </c>
      <c r="J283">
        <v>-412.24009999999998</v>
      </c>
      <c r="K283">
        <v>1.0588679999999999</v>
      </c>
      <c r="L283">
        <v>368.1397</v>
      </c>
      <c r="M283">
        <v>0.99998030000000004</v>
      </c>
      <c r="N283">
        <v>-5.6645380000000002E-3</v>
      </c>
      <c r="O283">
        <v>2.7499199999999999E-3</v>
      </c>
      <c r="P283">
        <v>0.99845110000000004</v>
      </c>
      <c r="Q283">
        <v>-2.2584900000000002E-2</v>
      </c>
      <c r="R283">
        <v>5.0848780000000003E-2</v>
      </c>
      <c r="S283">
        <v>3.0089109999999999</v>
      </c>
      <c r="T283">
        <v>-0.34676869999999999</v>
      </c>
      <c r="U283">
        <v>-0.24310300000000001</v>
      </c>
      <c r="V283">
        <v>-4.8101530000000003E-2</v>
      </c>
      <c r="W283">
        <v>-1.6932030000000001E-2</v>
      </c>
      <c r="X283">
        <v>0.99869889999999995</v>
      </c>
      <c r="Y283">
        <v>8.2685480000000006E-2</v>
      </c>
      <c r="Z283">
        <v>-5.2765199999999998E-3</v>
      </c>
      <c r="AA283">
        <v>0.99656169999999999</v>
      </c>
      <c r="AB283">
        <v>29</v>
      </c>
      <c r="AC283">
        <v>0.61109999999996401</v>
      </c>
      <c r="AD283">
        <v>-0.10491589999999899</v>
      </c>
      <c r="AE283">
        <v>-7.5100000000020303E-2</v>
      </c>
      <c r="AF283">
        <v>7.4613679857739895E-2</v>
      </c>
      <c r="AG283">
        <v>-0.10491589999999899</v>
      </c>
      <c r="AH283">
        <v>0.59365339953783403</v>
      </c>
      <c r="AI283">
        <v>99.945682823414998</v>
      </c>
      <c r="AJ283">
        <v>82.836309638489595</v>
      </c>
      <c r="AK283">
        <v>0.60745280152251402</v>
      </c>
      <c r="AL283">
        <v>90.970180246089697</v>
      </c>
      <c r="AM283">
        <v>92.757474243297196</v>
      </c>
      <c r="AN283">
        <v>0.99999997184473499</v>
      </c>
    </row>
    <row r="284" spans="1:40" x14ac:dyDescent="0.25">
      <c r="A284" t="str">
        <f>"20190305135539099"</f>
        <v>20190305135539099</v>
      </c>
      <c r="B284" t="str">
        <f>"1551765339091901"</f>
        <v>1551765339091901</v>
      </c>
      <c r="C284" t="s">
        <v>40</v>
      </c>
      <c r="D284">
        <v>3.942224</v>
      </c>
      <c r="E284">
        <v>0.54881089999999999</v>
      </c>
      <c r="F284" t="s">
        <v>41</v>
      </c>
      <c r="G284">
        <v>-411.36169999999998</v>
      </c>
      <c r="H284">
        <v>0.95809290000000003</v>
      </c>
      <c r="I284">
        <v>368.06810000000002</v>
      </c>
      <c r="J284">
        <v>-411.92840000000001</v>
      </c>
      <c r="K284">
        <v>1.058872</v>
      </c>
      <c r="L284">
        <v>368.14060000000001</v>
      </c>
      <c r="M284">
        <v>0.99998039999999999</v>
      </c>
      <c r="N284">
        <v>-5.5917149999999997E-3</v>
      </c>
      <c r="O284">
        <v>2.85272E-3</v>
      </c>
      <c r="P284">
        <v>0.99842569999999997</v>
      </c>
      <c r="Q284">
        <v>-2.2330349999999999E-2</v>
      </c>
      <c r="R284">
        <v>5.1456700000000001E-2</v>
      </c>
      <c r="S284">
        <v>3.0093079999999999</v>
      </c>
      <c r="T284">
        <v>-0.34541889999999997</v>
      </c>
      <c r="U284">
        <v>-0.2445679</v>
      </c>
      <c r="V284">
        <v>-4.8606459999999997E-2</v>
      </c>
      <c r="W284">
        <v>-1.6751749999999999E-2</v>
      </c>
      <c r="X284">
        <v>0.9986775</v>
      </c>
      <c r="Y284">
        <v>8.3259719999999995E-2</v>
      </c>
      <c r="Z284">
        <v>-5.2989600000000001E-3</v>
      </c>
      <c r="AA284">
        <v>0.99651380000000001</v>
      </c>
      <c r="AB284">
        <v>30</v>
      </c>
      <c r="AC284">
        <v>0.56670000000002496</v>
      </c>
      <c r="AD284">
        <v>-0.1007791</v>
      </c>
      <c r="AE284">
        <v>-7.2499999999990905E-2</v>
      </c>
      <c r="AF284">
        <v>7.1879755035540005E-2</v>
      </c>
      <c r="AG284">
        <v>-0.1007791</v>
      </c>
      <c r="AH284">
        <v>0.54939585920638401</v>
      </c>
      <c r="AI284">
        <v>100.308613371608</v>
      </c>
      <c r="AJ284">
        <v>82.546092386102799</v>
      </c>
      <c r="AK284">
        <v>0.56316865705923302</v>
      </c>
      <c r="AL284">
        <v>90.9598494904848</v>
      </c>
      <c r="AM284">
        <v>92.786434156019894</v>
      </c>
      <c r="AN284">
        <v>0.99999997904402105</v>
      </c>
    </row>
    <row r="285" spans="1:40" x14ac:dyDescent="0.25">
      <c r="A285" t="str">
        <f>"20190305135539122"</f>
        <v>20190305135539122</v>
      </c>
      <c r="B285" t="str">
        <f>"1551765339111425"</f>
        <v>1551765339111425</v>
      </c>
      <c r="C285" t="s">
        <v>40</v>
      </c>
      <c r="D285">
        <v>3.9794710000000002</v>
      </c>
      <c r="E285">
        <v>0.54888959999999998</v>
      </c>
      <c r="F285" t="s">
        <v>41</v>
      </c>
      <c r="G285">
        <v>-411.09289999999999</v>
      </c>
      <c r="H285">
        <v>0.96337030000000001</v>
      </c>
      <c r="I285">
        <v>368.0727</v>
      </c>
      <c r="J285">
        <v>-411.6318</v>
      </c>
      <c r="K285">
        <v>1.058878</v>
      </c>
      <c r="L285">
        <v>368.14159999999998</v>
      </c>
      <c r="M285">
        <v>0.99998030000000004</v>
      </c>
      <c r="N285">
        <v>-5.5371389999999999E-3</v>
      </c>
      <c r="O285">
        <v>2.9645869999999999E-3</v>
      </c>
      <c r="P285">
        <v>0.99839449999999996</v>
      </c>
      <c r="Q285">
        <v>-2.2740799999999999E-2</v>
      </c>
      <c r="R285">
        <v>5.1876869999999999E-2</v>
      </c>
      <c r="S285">
        <v>3.0096440000000002</v>
      </c>
      <c r="T285">
        <v>-0.3440472</v>
      </c>
      <c r="U285">
        <v>-0.24429319999999999</v>
      </c>
      <c r="V285">
        <v>-4.891417E-2</v>
      </c>
      <c r="W285">
        <v>-1.7218310000000001E-2</v>
      </c>
      <c r="X285">
        <v>0.9986545</v>
      </c>
      <c r="Y285">
        <v>8.3276009999999998E-2</v>
      </c>
      <c r="Z285">
        <v>-5.2893180000000003E-3</v>
      </c>
      <c r="AA285">
        <v>0.99651250000000002</v>
      </c>
      <c r="AB285">
        <v>30</v>
      </c>
      <c r="AC285">
        <v>0.53890000000001204</v>
      </c>
      <c r="AD285">
        <v>-9.5507699999999807E-2</v>
      </c>
      <c r="AE285">
        <v>-6.8899999999985001E-2</v>
      </c>
      <c r="AF285">
        <v>6.8383979828994398E-2</v>
      </c>
      <c r="AG285">
        <v>-9.5507699999999807E-2</v>
      </c>
      <c r="AH285">
        <v>0.52254450601383995</v>
      </c>
      <c r="AI285">
        <v>100.272165142389</v>
      </c>
      <c r="AJ285">
        <v>82.544227468852199</v>
      </c>
      <c r="AK285">
        <v>0.535584587363929</v>
      </c>
      <c r="AL285">
        <v>90.986585307177606</v>
      </c>
      <c r="AM285">
        <v>92.804110479922301</v>
      </c>
      <c r="AN285">
        <v>0.99999993829814504</v>
      </c>
    </row>
    <row r="286" spans="1:40" x14ac:dyDescent="0.25">
      <c r="A286" t="str">
        <f>"20190305135539143"</f>
        <v>20190305135539143</v>
      </c>
      <c r="B286" t="str">
        <f>"1551765339131917"</f>
        <v>1551765339131917</v>
      </c>
      <c r="C286" t="s">
        <v>40</v>
      </c>
      <c r="D286">
        <v>3.9726460000000001</v>
      </c>
      <c r="E286">
        <v>0.54670730000000001</v>
      </c>
      <c r="F286" t="s">
        <v>41</v>
      </c>
      <c r="G286">
        <v>-410.82420000000002</v>
      </c>
      <c r="H286">
        <v>0.96614840000000002</v>
      </c>
      <c r="I286">
        <v>368.0763</v>
      </c>
      <c r="J286">
        <v>-411.33760000000001</v>
      </c>
      <c r="K286">
        <v>1.058881</v>
      </c>
      <c r="L286">
        <v>368.14260000000002</v>
      </c>
      <c r="M286">
        <v>0.99998030000000004</v>
      </c>
      <c r="N286">
        <v>-5.4915229999999999E-3</v>
      </c>
      <c r="O286">
        <v>3.089488E-3</v>
      </c>
      <c r="P286">
        <v>0.99839599999999995</v>
      </c>
      <c r="Q286">
        <v>-2.231462E-2</v>
      </c>
      <c r="R286">
        <v>5.2039410000000001E-2</v>
      </c>
      <c r="S286">
        <v>3.0096129999999999</v>
      </c>
      <c r="T286">
        <v>-0.34560010000000002</v>
      </c>
      <c r="U286">
        <v>-0.2434692</v>
      </c>
      <c r="V286">
        <v>-4.8951639999999998E-2</v>
      </c>
      <c r="W286">
        <v>-1.6839219999999998E-2</v>
      </c>
      <c r="X286">
        <v>0.99865919999999997</v>
      </c>
      <c r="Y286">
        <v>8.3125560000000001E-2</v>
      </c>
      <c r="Z286">
        <v>-5.3149869999999898E-3</v>
      </c>
      <c r="AA286">
        <v>0.99652490000000005</v>
      </c>
      <c r="AB286">
        <v>30</v>
      </c>
      <c r="AC286">
        <v>0.51339999999998998</v>
      </c>
      <c r="AD286">
        <v>-9.2732599999999901E-2</v>
      </c>
      <c r="AE286">
        <v>-6.6300000000012405E-2</v>
      </c>
      <c r="AF286">
        <v>6.5775124360928097E-2</v>
      </c>
      <c r="AG286">
        <v>-9.2732599999999901E-2</v>
      </c>
      <c r="AH286">
        <v>0.49723638084975702</v>
      </c>
      <c r="AI286">
        <v>100.4748706619</v>
      </c>
      <c r="AJ286">
        <v>82.464583363959505</v>
      </c>
      <c r="AK286">
        <v>0.51006834887887298</v>
      </c>
      <c r="AL286">
        <v>90.964861829505196</v>
      </c>
      <c r="AM286">
        <v>92.806241910315194</v>
      </c>
      <c r="AN286">
        <v>1.0000000100667601</v>
      </c>
    </row>
    <row r="287" spans="1:40" x14ac:dyDescent="0.25">
      <c r="A287" t="str">
        <f>"20190305135539167"</f>
        <v>20190305135539167</v>
      </c>
      <c r="B287" t="str">
        <f>"1551765339162173"</f>
        <v>1551765339162173</v>
      </c>
      <c r="C287" t="s">
        <v>40</v>
      </c>
      <c r="D287">
        <v>3.9889559999999999</v>
      </c>
      <c r="E287">
        <v>0.48463410000000001</v>
      </c>
      <c r="F287" t="s">
        <v>41</v>
      </c>
      <c r="G287">
        <v>-410.55380000000002</v>
      </c>
      <c r="H287">
        <v>0.97030989999999995</v>
      </c>
      <c r="I287">
        <v>368.08350000000002</v>
      </c>
      <c r="J287">
        <v>-411.02769999999998</v>
      </c>
      <c r="K287">
        <v>1.0588869999999999</v>
      </c>
      <c r="L287">
        <v>368.14370000000002</v>
      </c>
      <c r="M287">
        <v>0.99997999999999998</v>
      </c>
      <c r="N287">
        <v>-5.4499569999999897E-3</v>
      </c>
      <c r="O287">
        <v>3.2361360000000001E-3</v>
      </c>
      <c r="P287">
        <v>0.99837589999999998</v>
      </c>
      <c r="Q287">
        <v>-2.236527E-2</v>
      </c>
      <c r="R287">
        <v>5.2397180000000002E-2</v>
      </c>
      <c r="S287">
        <v>3.008972</v>
      </c>
      <c r="T287">
        <v>-0.34027619999999997</v>
      </c>
      <c r="U287">
        <v>-0.2253723</v>
      </c>
      <c r="V287">
        <v>-4.916251E-2</v>
      </c>
      <c r="W287">
        <v>-1.6933179999999999E-2</v>
      </c>
      <c r="X287">
        <v>0.99864719999999996</v>
      </c>
      <c r="Y287">
        <v>7.7384620000000001E-2</v>
      </c>
      <c r="Z287">
        <v>-4.9142780000000002E-3</v>
      </c>
      <c r="AA287">
        <v>0.99698920000000002</v>
      </c>
      <c r="AB287">
        <v>30</v>
      </c>
      <c r="AC287">
        <v>0.47389999999995702</v>
      </c>
      <c r="AD287">
        <v>-8.8577100000000006E-2</v>
      </c>
      <c r="AE287">
        <v>-6.0200000000008899E-2</v>
      </c>
      <c r="AF287">
        <v>5.9681411419760001E-2</v>
      </c>
      <c r="AG287">
        <v>-8.8577100000000006E-2</v>
      </c>
      <c r="AH287">
        <v>0.45795770073217101</v>
      </c>
      <c r="AI287">
        <v>100.857242135825</v>
      </c>
      <c r="AJ287">
        <v>82.575013903358695</v>
      </c>
      <c r="AK287">
        <v>0.470247838031566</v>
      </c>
      <c r="AL287">
        <v>90.970246159584605</v>
      </c>
      <c r="AM287">
        <v>92.818344780082896</v>
      </c>
      <c r="AN287">
        <v>0.99999995752112503</v>
      </c>
    </row>
    <row r="288" spans="1:40" x14ac:dyDescent="0.25">
      <c r="A288" t="str">
        <f>"20190305135539188"</f>
        <v>20190305135539188</v>
      </c>
      <c r="B288" t="str">
        <f>"1551765339181694"</f>
        <v>1551765339181694</v>
      </c>
      <c r="C288" t="s">
        <v>40</v>
      </c>
      <c r="D288">
        <v>3.9035869999999999</v>
      </c>
      <c r="E288">
        <v>0.48671730000000002</v>
      </c>
      <c r="F288" t="s">
        <v>42</v>
      </c>
      <c r="G288">
        <v>-397.15989999999999</v>
      </c>
      <c r="H288" s="1">
        <v>-1.236104E-6</v>
      </c>
      <c r="I288">
        <v>369.41669999999999</v>
      </c>
      <c r="J288">
        <v>-410.73689999999999</v>
      </c>
      <c r="K288">
        <v>1.058886</v>
      </c>
      <c r="L288">
        <v>368.1447</v>
      </c>
      <c r="M288">
        <v>0.99997970000000003</v>
      </c>
      <c r="N288">
        <v>-5.4178059999999998E-3</v>
      </c>
      <c r="O288">
        <v>3.3862639999999999E-3</v>
      </c>
      <c r="P288">
        <v>0.99838179999999999</v>
      </c>
      <c r="Q288">
        <v>-2.2258360000000001E-2</v>
      </c>
      <c r="R288">
        <v>5.2332450000000003E-2</v>
      </c>
      <c r="S288">
        <v>2.985382</v>
      </c>
      <c r="T288">
        <v>-0.22795009999999999</v>
      </c>
      <c r="U288">
        <v>0.27404790000000001</v>
      </c>
      <c r="V288">
        <v>-4.8947339999999999E-2</v>
      </c>
      <c r="W288">
        <v>-1.685977E-2</v>
      </c>
      <c r="X288">
        <v>0.99865910000000002</v>
      </c>
      <c r="Y288">
        <v>-8.7776530000000005E-2</v>
      </c>
      <c r="Z288">
        <v>3.3385429999999998E-3</v>
      </c>
      <c r="AA288">
        <v>0.99613459999999998</v>
      </c>
      <c r="AB288">
        <v>30</v>
      </c>
      <c r="AC288">
        <v>13.5769999999999</v>
      </c>
      <c r="AD288">
        <v>-1.058887236104</v>
      </c>
      <c r="AE288">
        <v>1.27199999999999</v>
      </c>
      <c r="AF288">
        <v>-1.21866851287543</v>
      </c>
      <c r="AG288">
        <v>-1.058887236104</v>
      </c>
      <c r="AH288">
        <v>13.4998294860629</v>
      </c>
      <c r="AI288">
        <v>94.466841460798506</v>
      </c>
      <c r="AJ288">
        <v>95.158273535113693</v>
      </c>
      <c r="AK288">
        <v>13.596021156052601</v>
      </c>
      <c r="AL288">
        <v>90.966039390244902</v>
      </c>
      <c r="AM288">
        <v>92.805996079491905</v>
      </c>
      <c r="AN288">
        <v>1.0000000459751599</v>
      </c>
    </row>
    <row r="289" spans="1:40" x14ac:dyDescent="0.25">
      <c r="A289" t="str">
        <f>"20190305135539211"</f>
        <v>20190305135539211</v>
      </c>
      <c r="B289" t="str">
        <f>"1551765339201213"</f>
        <v>1551765339201213</v>
      </c>
      <c r="C289" t="s">
        <v>40</v>
      </c>
      <c r="D289">
        <v>3.898082</v>
      </c>
      <c r="E289">
        <v>0.48803679999999999</v>
      </c>
      <c r="F289" t="s">
        <v>42</v>
      </c>
      <c r="G289">
        <v>-396.2672</v>
      </c>
      <c r="H289" s="1">
        <v>-1.623331E-6</v>
      </c>
      <c r="I289">
        <v>369.39260000000002</v>
      </c>
      <c r="J289">
        <v>-410.41840000000002</v>
      </c>
      <c r="K289">
        <v>1.058886</v>
      </c>
      <c r="L289">
        <v>368.14600000000002</v>
      </c>
      <c r="M289">
        <v>0.99997910000000001</v>
      </c>
      <c r="N289">
        <v>-5.3911280000000002E-3</v>
      </c>
      <c r="O289">
        <v>3.5622969999999999E-3</v>
      </c>
      <c r="P289">
        <v>0.99838269999999996</v>
      </c>
      <c r="Q289">
        <v>-2.255596E-2</v>
      </c>
      <c r="R289">
        <v>5.2187440000000002E-2</v>
      </c>
      <c r="S289">
        <v>2.9864199999999999</v>
      </c>
      <c r="T289">
        <v>-0.21854460000000001</v>
      </c>
      <c r="U289">
        <v>0.25756839999999998</v>
      </c>
      <c r="V289">
        <v>-4.862611E-2</v>
      </c>
      <c r="W289">
        <v>-1.7185229999999999E-2</v>
      </c>
      <c r="X289">
        <v>0.99866920000000003</v>
      </c>
      <c r="Y289">
        <v>-8.2151699999999994E-2</v>
      </c>
      <c r="Z289">
        <v>2.9778259999999998E-3</v>
      </c>
      <c r="AA289">
        <v>0.99661540000000004</v>
      </c>
      <c r="AB289">
        <v>30</v>
      </c>
      <c r="AC289">
        <v>14.151199999999999</v>
      </c>
      <c r="AD289">
        <v>-1.0588876233310001</v>
      </c>
      <c r="AE289">
        <v>1.2466000000000499</v>
      </c>
      <c r="AF289">
        <v>-1.18957141452031</v>
      </c>
      <c r="AG289">
        <v>-1.0588876233310001</v>
      </c>
      <c r="AH289">
        <v>14.0773384549677</v>
      </c>
      <c r="AI289">
        <v>94.286428569598698</v>
      </c>
      <c r="AJ289">
        <v>94.830166084779705</v>
      </c>
      <c r="AK289">
        <v>14.167137365212501</v>
      </c>
      <c r="AL289">
        <v>90.984689620578706</v>
      </c>
      <c r="AM289">
        <v>92.787581974746502</v>
      </c>
      <c r="AN289">
        <v>1.00000000086626</v>
      </c>
    </row>
    <row r="290" spans="1:40" x14ac:dyDescent="0.25">
      <c r="A290" t="str">
        <f>"20190305135539233"</f>
        <v>20190305135539233</v>
      </c>
      <c r="B290" t="str">
        <f>"1551765339221709"</f>
        <v>1551765339221709</v>
      </c>
      <c r="C290" t="s">
        <v>40</v>
      </c>
      <c r="D290">
        <v>3.9062860000000001</v>
      </c>
      <c r="E290">
        <v>0.48871340000000002</v>
      </c>
      <c r="F290" t="s">
        <v>42</v>
      </c>
      <c r="G290">
        <v>-396.02659999999997</v>
      </c>
      <c r="H290" s="1">
        <v>-1.7371780000000001E-6</v>
      </c>
      <c r="I290">
        <v>369.33269999999999</v>
      </c>
      <c r="J290">
        <v>-410.12860000000001</v>
      </c>
      <c r="K290">
        <v>1.0588820000000001</v>
      </c>
      <c r="L290">
        <v>368.1472</v>
      </c>
      <c r="M290">
        <v>0.9999787</v>
      </c>
      <c r="N290">
        <v>-5.3740009999999998E-3</v>
      </c>
      <c r="O290">
        <v>3.7292810000000001E-3</v>
      </c>
      <c r="P290">
        <v>0.99840329999999999</v>
      </c>
      <c r="Q290">
        <v>-2.2805079999999998E-2</v>
      </c>
      <c r="R290">
        <v>5.1682159999999998E-2</v>
      </c>
      <c r="S290">
        <v>2.9870610000000002</v>
      </c>
      <c r="T290">
        <v>-0.2197751</v>
      </c>
      <c r="U290">
        <v>0.24630740000000001</v>
      </c>
      <c r="V290">
        <v>-4.7953469999999998E-2</v>
      </c>
      <c r="W290">
        <v>-1.7452039999999999E-2</v>
      </c>
      <c r="X290">
        <v>0.9986971</v>
      </c>
      <c r="Y290">
        <v>-7.8245010000000004E-2</v>
      </c>
      <c r="Z290">
        <v>2.8270779999999998E-3</v>
      </c>
      <c r="AA290">
        <v>0.99693010000000004</v>
      </c>
      <c r="AB290">
        <v>30</v>
      </c>
      <c r="AC290">
        <v>14.102</v>
      </c>
      <c r="AD290">
        <v>-1.05888373717799</v>
      </c>
      <c r="AE290">
        <v>1.18549999999999</v>
      </c>
      <c r="AF290">
        <v>-1.12659337467145</v>
      </c>
      <c r="AG290">
        <v>-1.05888373717799</v>
      </c>
      <c r="AH290">
        <v>14.0277875803423</v>
      </c>
      <c r="AI290">
        <v>94.302967516556805</v>
      </c>
      <c r="AJ290">
        <v>94.591657848229403</v>
      </c>
      <c r="AK290">
        <v>14.112734384233301</v>
      </c>
      <c r="AL290">
        <v>90.999978998225004</v>
      </c>
      <c r="AM290">
        <v>92.749004524341302</v>
      </c>
      <c r="AN290">
        <v>1.0000000032667999</v>
      </c>
    </row>
    <row r="291" spans="1:40" x14ac:dyDescent="0.25">
      <c r="A291" t="str">
        <f>"20190305135539254"</f>
        <v>20190305135539254</v>
      </c>
      <c r="B291" t="str">
        <f>"1551765339251967"</f>
        <v>1551765339251967</v>
      </c>
      <c r="C291" t="s">
        <v>40</v>
      </c>
      <c r="D291">
        <v>3.896579</v>
      </c>
      <c r="E291">
        <v>0.4899152</v>
      </c>
      <c r="F291" t="s">
        <v>42</v>
      </c>
      <c r="G291">
        <v>-395.86430000000001</v>
      </c>
      <c r="H291" s="1">
        <v>-1.8140929999999999E-6</v>
      </c>
      <c r="I291">
        <v>369.29160000000002</v>
      </c>
      <c r="J291">
        <v>-409.83589999999998</v>
      </c>
      <c r="K291">
        <v>1.058875</v>
      </c>
      <c r="L291">
        <v>368.14850000000001</v>
      </c>
      <c r="M291">
        <v>0.99997809999999998</v>
      </c>
      <c r="N291">
        <v>-5.3627199999999996E-3</v>
      </c>
      <c r="O291">
        <v>3.9024960000000001E-3</v>
      </c>
      <c r="P291">
        <v>0.99838800000000005</v>
      </c>
      <c r="Q291">
        <v>-2.3041869999999999E-2</v>
      </c>
      <c r="R291">
        <v>5.187435E-2</v>
      </c>
      <c r="S291">
        <v>2.9873660000000002</v>
      </c>
      <c r="T291">
        <v>-0.22176070000000001</v>
      </c>
      <c r="U291">
        <v>0.23968510000000001</v>
      </c>
      <c r="V291">
        <v>-4.7972309999999997E-2</v>
      </c>
      <c r="W291">
        <v>-1.7700799999999999E-2</v>
      </c>
      <c r="X291">
        <v>0.99869180000000002</v>
      </c>
      <c r="Y291">
        <v>-7.5871919999999995E-2</v>
      </c>
      <c r="Z291">
        <v>2.7438470000000002E-3</v>
      </c>
      <c r="AA291">
        <v>0.99711380000000005</v>
      </c>
      <c r="AB291">
        <v>30</v>
      </c>
      <c r="AC291">
        <v>13.971599999999899</v>
      </c>
      <c r="AD291">
        <v>-1.0588768140930001</v>
      </c>
      <c r="AE291">
        <v>1.1431</v>
      </c>
      <c r="AF291">
        <v>-1.08239071692803</v>
      </c>
      <c r="AG291">
        <v>-1.0588768140930001</v>
      </c>
      <c r="AH291">
        <v>13.896665823820401</v>
      </c>
      <c r="AI291">
        <v>94.344209355854801</v>
      </c>
      <c r="AJ291">
        <v>94.453691635343404</v>
      </c>
      <c r="AK291">
        <v>13.9789166529618</v>
      </c>
      <c r="AL291">
        <v>91.014234115810297</v>
      </c>
      <c r="AM291">
        <v>92.750097469998295</v>
      </c>
      <c r="AN291">
        <v>0.999999986117308</v>
      </c>
    </row>
    <row r="292" spans="1:40" x14ac:dyDescent="0.25">
      <c r="A292" t="str">
        <f>"20190305135539278"</f>
        <v>20190305135539278</v>
      </c>
      <c r="B292" t="str">
        <f>"1551765339271486"</f>
        <v>1551765339271486</v>
      </c>
      <c r="C292" t="s">
        <v>40</v>
      </c>
      <c r="D292">
        <v>3.919041</v>
      </c>
      <c r="E292">
        <v>0.48999740000000003</v>
      </c>
      <c r="F292" t="s">
        <v>42</v>
      </c>
      <c r="G292">
        <v>-396.03280000000001</v>
      </c>
      <c r="H292" s="1">
        <v>-1.756107E-6</v>
      </c>
      <c r="I292">
        <v>369.21100000000001</v>
      </c>
      <c r="J292">
        <v>-409.51319999999998</v>
      </c>
      <c r="K292">
        <v>1.0588690000000001</v>
      </c>
      <c r="L292">
        <v>368.1499</v>
      </c>
      <c r="M292">
        <v>0.99997720000000001</v>
      </c>
      <c r="N292">
        <v>-5.3543559999999898E-3</v>
      </c>
      <c r="O292">
        <v>4.0970319999999996E-3</v>
      </c>
      <c r="P292">
        <v>0.99838349999999998</v>
      </c>
      <c r="Q292">
        <v>-2.3160360000000001E-2</v>
      </c>
      <c r="R292">
        <v>5.1905970000000003E-2</v>
      </c>
      <c r="S292">
        <v>2.9875790000000002</v>
      </c>
      <c r="T292">
        <v>-0.2291858</v>
      </c>
      <c r="U292">
        <v>0.2299805</v>
      </c>
      <c r="V292">
        <v>-4.7809820000000003E-2</v>
      </c>
      <c r="W292">
        <v>-1.782806E-2</v>
      </c>
      <c r="X292">
        <v>0.99869730000000001</v>
      </c>
      <c r="Y292">
        <v>-7.2450029999999999E-2</v>
      </c>
      <c r="Z292">
        <v>2.6738370000000001E-3</v>
      </c>
      <c r="AA292">
        <v>0.99736849999999999</v>
      </c>
      <c r="AB292">
        <v>31</v>
      </c>
      <c r="AC292">
        <v>13.4803999999999</v>
      </c>
      <c r="AD292">
        <v>-1.0588707561069901</v>
      </c>
      <c r="AE292">
        <v>1.0611000000000099</v>
      </c>
      <c r="AF292">
        <v>-0.99973038296782701</v>
      </c>
      <c r="AG292">
        <v>-1.0588707561069901</v>
      </c>
      <c r="AH292">
        <v>13.402451273846999</v>
      </c>
      <c r="AI292">
        <v>94.504849246517793</v>
      </c>
      <c r="AJ292">
        <v>94.265969357722298</v>
      </c>
      <c r="AK292">
        <v>13.48133406843</v>
      </c>
      <c r="AL292">
        <v>91.021526756501004</v>
      </c>
      <c r="AM292">
        <v>92.7407816002994</v>
      </c>
      <c r="AN292">
        <v>0.99999995781954198</v>
      </c>
    </row>
    <row r="293" spans="1:40" x14ac:dyDescent="0.25">
      <c r="A293" t="str">
        <f>"20190305135539300"</f>
        <v>20190305135539300</v>
      </c>
      <c r="B293" t="str">
        <f>"1551765339291982"</f>
        <v>1551765339291982</v>
      </c>
      <c r="C293" t="s">
        <v>40</v>
      </c>
      <c r="D293">
        <v>3.8993099999999998</v>
      </c>
      <c r="E293">
        <v>0.49003469999999999</v>
      </c>
      <c r="F293" t="s">
        <v>42</v>
      </c>
      <c r="G293">
        <v>-395.7294</v>
      </c>
      <c r="H293" s="1">
        <v>-1.8864920000000001E-6</v>
      </c>
      <c r="I293">
        <v>369.20979999999997</v>
      </c>
      <c r="J293">
        <v>-409.19799999999998</v>
      </c>
      <c r="K293">
        <v>1.0588610000000001</v>
      </c>
      <c r="L293">
        <v>368.15140000000002</v>
      </c>
      <c r="M293">
        <v>0.99997650000000005</v>
      </c>
      <c r="N293">
        <v>-5.3472019999999997E-3</v>
      </c>
      <c r="O293">
        <v>4.2882190000000002E-3</v>
      </c>
      <c r="P293">
        <v>0.99835479999999999</v>
      </c>
      <c r="Q293">
        <v>-2.3468659999999999E-2</v>
      </c>
      <c r="R293">
        <v>5.2319770000000002E-2</v>
      </c>
      <c r="S293">
        <v>2.9875790000000002</v>
      </c>
      <c r="T293">
        <v>-0.22950380000000001</v>
      </c>
      <c r="U293">
        <v>0.2297363</v>
      </c>
      <c r="V293">
        <v>-4.8032409999999998E-2</v>
      </c>
      <c r="W293">
        <v>-1.8144009999999999E-2</v>
      </c>
      <c r="X293">
        <v>0.99868089999999998</v>
      </c>
      <c r="Y293">
        <v>-7.2179080000000007E-2</v>
      </c>
      <c r="Z293">
        <v>2.652228E-3</v>
      </c>
      <c r="AA293">
        <v>0.99738819999999995</v>
      </c>
      <c r="AB293">
        <v>31</v>
      </c>
      <c r="AC293">
        <v>13.4686</v>
      </c>
      <c r="AD293">
        <v>-1.058862886492</v>
      </c>
      <c r="AE293">
        <v>1.0583999999999401</v>
      </c>
      <c r="AF293">
        <v>-0.99452405018304801</v>
      </c>
      <c r="AG293">
        <v>-1.058862886492</v>
      </c>
      <c r="AH293">
        <v>13.3907591556288</v>
      </c>
      <c r="AI293">
        <v>94.508840643007602</v>
      </c>
      <c r="AJ293">
        <v>94.247526629714102</v>
      </c>
      <c r="AK293">
        <v>13.4693243877649</v>
      </c>
      <c r="AL293">
        <v>91.039632317868097</v>
      </c>
      <c r="AM293">
        <v>92.753567516540699</v>
      </c>
      <c r="AN293">
        <v>0.99999992876704602</v>
      </c>
    </row>
    <row r="294" spans="1:40" x14ac:dyDescent="0.25">
      <c r="A294" t="str">
        <f>"20190305135539323"</f>
        <v>20190305135539323</v>
      </c>
      <c r="B294" t="str">
        <f>"1551765339311505"</f>
        <v>1551765339311505</v>
      </c>
      <c r="C294" t="s">
        <v>40</v>
      </c>
      <c r="D294">
        <v>3.922024</v>
      </c>
      <c r="E294">
        <v>0.48986229999999997</v>
      </c>
      <c r="F294" t="s">
        <v>42</v>
      </c>
      <c r="G294">
        <v>-395.49849999999998</v>
      </c>
      <c r="H294" s="1">
        <v>-1.985764E-6</v>
      </c>
      <c r="I294">
        <v>369.20850000000002</v>
      </c>
      <c r="J294">
        <v>-408.89120000000003</v>
      </c>
      <c r="K294">
        <v>1.058851</v>
      </c>
      <c r="L294">
        <v>368.15289999999999</v>
      </c>
      <c r="M294">
        <v>0.99997590000000003</v>
      </c>
      <c r="N294">
        <v>-5.3351559999999998E-3</v>
      </c>
      <c r="O294">
        <v>4.4741090000000004E-3</v>
      </c>
      <c r="P294">
        <v>0.99831550000000002</v>
      </c>
      <c r="Q294">
        <v>-2.3804309999999999E-2</v>
      </c>
      <c r="R294">
        <v>5.2917310000000002E-2</v>
      </c>
      <c r="S294">
        <v>2.9874269999999998</v>
      </c>
      <c r="T294">
        <v>-0.23090350000000001</v>
      </c>
      <c r="U294">
        <v>0.23052980000000001</v>
      </c>
      <c r="V294">
        <v>-4.844449E-2</v>
      </c>
      <c r="W294">
        <v>-1.849224E-2</v>
      </c>
      <c r="X294">
        <v>0.99865470000000001</v>
      </c>
      <c r="Y294">
        <v>-7.2258639999999999E-2</v>
      </c>
      <c r="Z294">
        <v>2.6566010000000002E-3</v>
      </c>
      <c r="AA294">
        <v>0.9973824</v>
      </c>
      <c r="AB294">
        <v>31</v>
      </c>
      <c r="AC294">
        <v>13.3927</v>
      </c>
      <c r="AD294">
        <v>-1.0588529857640001</v>
      </c>
      <c r="AE294">
        <v>1.0556000000000201</v>
      </c>
      <c r="AF294">
        <v>-0.98952108837108099</v>
      </c>
      <c r="AG294">
        <v>-1.0588529857640001</v>
      </c>
      <c r="AH294">
        <v>13.3145760888507</v>
      </c>
      <c r="AI294">
        <v>94.534473307863905</v>
      </c>
      <c r="AJ294">
        <v>94.250330253451693</v>
      </c>
      <c r="AK294">
        <v>13.3932168673395</v>
      </c>
      <c r="AL294">
        <v>91.059587679622098</v>
      </c>
      <c r="AM294">
        <v>92.777226862215898</v>
      </c>
      <c r="AN294">
        <v>1.00000002069183</v>
      </c>
    </row>
    <row r="295" spans="1:40" x14ac:dyDescent="0.25">
      <c r="A295" t="str">
        <f>"20190305135539346"</f>
        <v>20190305135539346</v>
      </c>
      <c r="B295" t="str">
        <f>"1551765339341758"</f>
        <v>1551765339341758</v>
      </c>
      <c r="C295" t="s">
        <v>40</v>
      </c>
      <c r="D295">
        <v>3.940369</v>
      </c>
      <c r="E295">
        <v>0.4895912</v>
      </c>
      <c r="F295" t="s">
        <v>42</v>
      </c>
      <c r="G295">
        <v>-395.25619999999998</v>
      </c>
      <c r="H295" s="1">
        <v>-2.0877430000000001E-6</v>
      </c>
      <c r="I295">
        <v>369.21980000000002</v>
      </c>
      <c r="J295">
        <v>-408.57240000000002</v>
      </c>
      <c r="K295">
        <v>1.0588390000000001</v>
      </c>
      <c r="L295">
        <v>368.15449999999998</v>
      </c>
      <c r="M295">
        <v>0.99997499999999995</v>
      </c>
      <c r="N295">
        <v>-5.3123950000000001E-3</v>
      </c>
      <c r="O295">
        <v>4.6674749999999999E-3</v>
      </c>
      <c r="P295">
        <v>0.99825439999999999</v>
      </c>
      <c r="Q295">
        <v>-2.433252E-2</v>
      </c>
      <c r="R295">
        <v>5.3814399999999998E-2</v>
      </c>
      <c r="S295">
        <v>2.9871219999999998</v>
      </c>
      <c r="T295">
        <v>-0.23196800000000001</v>
      </c>
      <c r="U295">
        <v>0.2337341</v>
      </c>
      <c r="V295">
        <v>-4.9148259999999999E-2</v>
      </c>
      <c r="W295">
        <v>-1.9043890000000001E-2</v>
      </c>
      <c r="X295">
        <v>0.99860990000000005</v>
      </c>
      <c r="Y295">
        <v>-7.3132870000000003E-2</v>
      </c>
      <c r="Z295">
        <v>2.6892719999999999E-3</v>
      </c>
      <c r="AA295">
        <v>0.99731860000000006</v>
      </c>
      <c r="AB295">
        <v>31</v>
      </c>
      <c r="AC295">
        <v>13.3162</v>
      </c>
      <c r="AD295">
        <v>-1.0588410877429999</v>
      </c>
      <c r="AE295">
        <v>1.0653000000000299</v>
      </c>
      <c r="AF295">
        <v>-0.99687167359518802</v>
      </c>
      <c r="AG295">
        <v>-1.0588410877429999</v>
      </c>
      <c r="AH295">
        <v>13.2378608369124</v>
      </c>
      <c r="AI295">
        <v>94.560256547417296</v>
      </c>
      <c r="AJ295">
        <v>94.306506999098005</v>
      </c>
      <c r="AK295">
        <v>13.3175019098991</v>
      </c>
      <c r="AL295">
        <v>91.0912005121844</v>
      </c>
      <c r="AM295">
        <v>92.817634255784895</v>
      </c>
      <c r="AN295">
        <v>0.99999997679268404</v>
      </c>
    </row>
    <row r="296" spans="1:40" x14ac:dyDescent="0.25">
      <c r="A296" t="str">
        <f>"20190305135539370"</f>
        <v>20190305135539370</v>
      </c>
      <c r="B296" t="str">
        <f>"1551765339362253"</f>
        <v>1551765339362253</v>
      </c>
      <c r="C296" t="s">
        <v>40</v>
      </c>
      <c r="D296">
        <v>3.935613</v>
      </c>
      <c r="E296">
        <v>0.48942249999999998</v>
      </c>
      <c r="F296" t="s">
        <v>42</v>
      </c>
      <c r="G296">
        <v>-395.09559999999999</v>
      </c>
      <c r="H296" s="1">
        <v>-2.154665E-6</v>
      </c>
      <c r="I296">
        <v>369.23090000000002</v>
      </c>
      <c r="J296">
        <v>-408.2484</v>
      </c>
      <c r="K296">
        <v>1.0588249999999999</v>
      </c>
      <c r="L296">
        <v>368.15629999999999</v>
      </c>
      <c r="M296">
        <v>0.99997429999999998</v>
      </c>
      <c r="N296">
        <v>-5.2782410000000004E-3</v>
      </c>
      <c r="O296">
        <v>4.8638459999999998E-3</v>
      </c>
      <c r="P296">
        <v>0.99818240000000003</v>
      </c>
      <c r="Q296">
        <v>-2.45924E-2</v>
      </c>
      <c r="R296">
        <v>5.5022670000000003E-2</v>
      </c>
      <c r="S296">
        <v>2.9866640000000002</v>
      </c>
      <c r="T296">
        <v>-0.23465340000000001</v>
      </c>
      <c r="U296">
        <v>0.23855589999999999</v>
      </c>
      <c r="V296">
        <v>-5.0160780000000002E-2</v>
      </c>
      <c r="W296">
        <v>-1.93387E-2</v>
      </c>
      <c r="X296">
        <v>0.99855389999999999</v>
      </c>
      <c r="Y296">
        <v>-7.4539999999999995E-2</v>
      </c>
      <c r="Z296">
        <v>2.7610880000000001E-3</v>
      </c>
      <c r="AA296">
        <v>0.99721420000000005</v>
      </c>
      <c r="AB296">
        <v>31</v>
      </c>
      <c r="AC296">
        <v>13.152799999999999</v>
      </c>
      <c r="AD296">
        <v>-1.0588271546650001</v>
      </c>
      <c r="AE296">
        <v>1.07460000000003</v>
      </c>
      <c r="AF296">
        <v>-1.0041488927693101</v>
      </c>
      <c r="AG296">
        <v>-1.0588271546650001</v>
      </c>
      <c r="AH296">
        <v>13.073707799945399</v>
      </c>
      <c r="AI296">
        <v>94.616686256965494</v>
      </c>
      <c r="AJ296">
        <v>94.392078964695301</v>
      </c>
      <c r="AK296">
        <v>13.154895118573201</v>
      </c>
      <c r="AL296">
        <v>91.108094978006605</v>
      </c>
      <c r="AM296">
        <v>92.875745845713894</v>
      </c>
      <c r="AN296">
        <v>0.99999999018655406</v>
      </c>
    </row>
    <row r="297" spans="1:40" x14ac:dyDescent="0.25">
      <c r="A297" t="str">
        <f>"20190305135539389"</f>
        <v>20190305135539389</v>
      </c>
      <c r="B297" t="str">
        <f>"1551765339381774"</f>
        <v>1551765339381774</v>
      </c>
      <c r="C297" t="s">
        <v>40</v>
      </c>
      <c r="D297">
        <v>3.9425690000000002</v>
      </c>
      <c r="E297">
        <v>0.48924040000000002</v>
      </c>
      <c r="F297" t="s">
        <v>42</v>
      </c>
      <c r="G297">
        <v>-394.83980000000003</v>
      </c>
      <c r="H297" s="1">
        <v>-2.2614940000000001E-6</v>
      </c>
      <c r="I297">
        <v>369.24709999999999</v>
      </c>
      <c r="J297">
        <v>-407.95600000000002</v>
      </c>
      <c r="K297">
        <v>1.058808</v>
      </c>
      <c r="L297">
        <v>368.15780000000001</v>
      </c>
      <c r="M297">
        <v>0.99997349999999996</v>
      </c>
      <c r="N297">
        <v>-5.2375410000000001E-3</v>
      </c>
      <c r="O297">
        <v>5.0405040000000003E-3</v>
      </c>
      <c r="P297">
        <v>0.99812659999999997</v>
      </c>
      <c r="Q297">
        <v>-2.4822440000000001E-2</v>
      </c>
      <c r="R297">
        <v>5.5920030000000003E-2</v>
      </c>
      <c r="S297">
        <v>2.9862669999999998</v>
      </c>
      <c r="T297">
        <v>-0.235814</v>
      </c>
      <c r="U297">
        <v>0.24295040000000001</v>
      </c>
      <c r="V297">
        <v>-5.0881379999999997E-2</v>
      </c>
      <c r="W297">
        <v>-1.9610019999999999E-2</v>
      </c>
      <c r="X297">
        <v>0.99851210000000001</v>
      </c>
      <c r="Y297">
        <v>-7.5826420000000005E-2</v>
      </c>
      <c r="Z297">
        <v>2.8131110000000001E-3</v>
      </c>
      <c r="AA297">
        <v>0.99711700000000003</v>
      </c>
      <c r="AB297">
        <v>31</v>
      </c>
      <c r="AC297">
        <v>13.1161999999999</v>
      </c>
      <c r="AD297">
        <v>-1.058810261494</v>
      </c>
      <c r="AE297">
        <v>1.08929999999998</v>
      </c>
      <c r="AF297">
        <v>-1.01659364942787</v>
      </c>
      <c r="AG297">
        <v>-1.058810261494</v>
      </c>
      <c r="AH297">
        <v>13.0371483200567</v>
      </c>
      <c r="AI297">
        <v>94.629088030016007</v>
      </c>
      <c r="AJ297">
        <v>94.458712874203897</v>
      </c>
      <c r="AK297">
        <v>13.1195189750638</v>
      </c>
      <c r="AL297">
        <v>91.123643473284005</v>
      </c>
      <c r="AM297">
        <v>92.917109306382102</v>
      </c>
      <c r="AN297">
        <v>0.99999994078075505</v>
      </c>
    </row>
    <row r="298" spans="1:40" x14ac:dyDescent="0.25">
      <c r="A298" t="str">
        <f>"20190305135539413"</f>
        <v>20190305135539413</v>
      </c>
      <c r="B298" t="str">
        <f>"1551765339401294"</f>
        <v>1551765339401294</v>
      </c>
      <c r="C298" t="s">
        <v>40</v>
      </c>
      <c r="D298">
        <v>3.9404919999999999</v>
      </c>
      <c r="E298">
        <v>0.48914489999999999</v>
      </c>
      <c r="F298" t="s">
        <v>42</v>
      </c>
      <c r="G298">
        <v>-394.61520000000002</v>
      </c>
      <c r="H298" s="1">
        <v>-2.3552100000000002E-6</v>
      </c>
      <c r="I298">
        <v>369.26209999999998</v>
      </c>
      <c r="J298">
        <v>-407.63409999999999</v>
      </c>
      <c r="K298">
        <v>1.0588010000000001</v>
      </c>
      <c r="L298">
        <v>368.15960000000001</v>
      </c>
      <c r="M298">
        <v>0.99997290000000005</v>
      </c>
      <c r="N298">
        <v>-5.1878169999999999E-3</v>
      </c>
      <c r="O298">
        <v>5.2343499999999996E-3</v>
      </c>
      <c r="P298">
        <v>0.99806280000000003</v>
      </c>
      <c r="Q298">
        <v>-2.5019969999999999E-2</v>
      </c>
      <c r="R298">
        <v>5.6965450000000001E-2</v>
      </c>
      <c r="S298">
        <v>2.9859309999999999</v>
      </c>
      <c r="T298">
        <v>-0.23698159999999999</v>
      </c>
      <c r="U298">
        <v>0.24716189999999999</v>
      </c>
      <c r="V298">
        <v>-5.173386E-2</v>
      </c>
      <c r="W298">
        <v>-1.9857960000000001E-2</v>
      </c>
      <c r="X298">
        <v>0.99846349999999995</v>
      </c>
      <c r="Y298">
        <v>-7.7033480000000001E-2</v>
      </c>
      <c r="Z298">
        <v>2.8604519999999999E-3</v>
      </c>
      <c r="AA298">
        <v>0.99702440000000003</v>
      </c>
      <c r="AB298">
        <v>31</v>
      </c>
      <c r="AC298">
        <v>13.018899999999901</v>
      </c>
      <c r="AD298">
        <v>-1.05880335521</v>
      </c>
      <c r="AE298">
        <v>1.1024999999999601</v>
      </c>
      <c r="AF298">
        <v>-1.02759013899611</v>
      </c>
      <c r="AG298">
        <v>-1.05880335521</v>
      </c>
      <c r="AH298">
        <v>12.939516518704099</v>
      </c>
      <c r="AI298">
        <v>94.663309573327297</v>
      </c>
      <c r="AJ298">
        <v>94.540607947216301</v>
      </c>
      <c r="AK298">
        <v>13.023367221136899</v>
      </c>
      <c r="AL298">
        <v>91.137852037093793</v>
      </c>
      <c r="AM298">
        <v>92.966040884056497</v>
      </c>
      <c r="AN298">
        <v>1.0000000458390499</v>
      </c>
    </row>
    <row r="299" spans="1:40" x14ac:dyDescent="0.25">
      <c r="A299" t="str">
        <f>"20190305135539433"</f>
        <v>20190305135539433</v>
      </c>
      <c r="B299" t="str">
        <f>"1551765339421790"</f>
        <v>1551765339421790</v>
      </c>
      <c r="C299" t="s">
        <v>40</v>
      </c>
      <c r="D299">
        <v>3.9509120000000002</v>
      </c>
      <c r="E299">
        <v>0.48924279999999998</v>
      </c>
      <c r="F299" t="s">
        <v>42</v>
      </c>
      <c r="G299">
        <v>-394.35059999999999</v>
      </c>
      <c r="H299" s="1">
        <v>-2.466231E-6</v>
      </c>
      <c r="I299">
        <v>369.27609999999999</v>
      </c>
      <c r="J299">
        <v>-407.33960000000002</v>
      </c>
      <c r="K299">
        <v>1.0587879999999901</v>
      </c>
      <c r="L299">
        <v>368.16129999999998</v>
      </c>
      <c r="M299">
        <v>0.99997219999999998</v>
      </c>
      <c r="N299">
        <v>-5.1428050000000003E-3</v>
      </c>
      <c r="O299">
        <v>5.4116719999999898E-3</v>
      </c>
      <c r="P299">
        <v>0.99801890000000004</v>
      </c>
      <c r="Q299">
        <v>-2.548593E-2</v>
      </c>
      <c r="R299">
        <v>5.7523440000000002E-2</v>
      </c>
      <c r="S299">
        <v>2.985535</v>
      </c>
      <c r="T299">
        <v>-0.23796980000000001</v>
      </c>
      <c r="U299">
        <v>0.250946</v>
      </c>
      <c r="V299">
        <v>-5.2114670000000002E-2</v>
      </c>
      <c r="W299">
        <v>-2.0369350000000001E-2</v>
      </c>
      <c r="X299">
        <v>0.99843340000000003</v>
      </c>
      <c r="Y299">
        <v>-7.8117560000000003E-2</v>
      </c>
      <c r="Z299">
        <v>2.9023249999999999E-3</v>
      </c>
      <c r="AA299">
        <v>0.99694000000000005</v>
      </c>
      <c r="AB299">
        <v>32</v>
      </c>
      <c r="AC299">
        <v>12.989000000000001</v>
      </c>
      <c r="AD299">
        <v>-1.0587904662309999</v>
      </c>
      <c r="AE299">
        <v>1.1148</v>
      </c>
      <c r="AF299">
        <v>-1.0376462190444</v>
      </c>
      <c r="AG299">
        <v>-1.0587904662309999</v>
      </c>
      <c r="AH299">
        <v>12.9096903711691</v>
      </c>
      <c r="AI299">
        <v>94.673623683165999</v>
      </c>
      <c r="AJ299">
        <v>94.595401558402799</v>
      </c>
      <c r="AK299">
        <v>12.9945316347583</v>
      </c>
      <c r="AL299">
        <v>91.167158446553003</v>
      </c>
      <c r="AM299">
        <v>92.987924238564901</v>
      </c>
      <c r="AN299">
        <v>1.0000000517420899</v>
      </c>
    </row>
    <row r="300" spans="1:40" x14ac:dyDescent="0.25">
      <c r="A300" t="str">
        <f>"20190305135539455"</f>
        <v>20190305135539455</v>
      </c>
      <c r="B300" t="str">
        <f>"1551765339452046"</f>
        <v>1551765339452046</v>
      </c>
      <c r="C300" t="s">
        <v>40</v>
      </c>
      <c r="D300">
        <v>3.9230619999999998</v>
      </c>
      <c r="E300">
        <v>0.48922769999999999</v>
      </c>
      <c r="F300" t="s">
        <v>42</v>
      </c>
      <c r="G300">
        <v>-394.29669999999999</v>
      </c>
      <c r="H300" s="1">
        <v>-2.491821E-6</v>
      </c>
      <c r="I300">
        <v>369.26229999999998</v>
      </c>
      <c r="J300">
        <v>-407.03179999999998</v>
      </c>
      <c r="K300">
        <v>1.0587740000000001</v>
      </c>
      <c r="L300">
        <v>368.16320000000002</v>
      </c>
      <c r="M300">
        <v>0.99997139999999995</v>
      </c>
      <c r="N300">
        <v>-5.1000489999999997E-3</v>
      </c>
      <c r="O300">
        <v>5.5972110000000004E-3</v>
      </c>
      <c r="P300">
        <v>0.99798659999999995</v>
      </c>
      <c r="Q300">
        <v>-2.552623E-2</v>
      </c>
      <c r="R300">
        <v>5.8063480000000001E-2</v>
      </c>
      <c r="S300">
        <v>2.9852289999999999</v>
      </c>
      <c r="T300">
        <v>-0.2423314</v>
      </c>
      <c r="U300">
        <v>0.25198359999999997</v>
      </c>
      <c r="V300">
        <v>-5.2469740000000001E-2</v>
      </c>
      <c r="W300">
        <v>-2.0452720000000001E-2</v>
      </c>
      <c r="X300">
        <v>0.99841299999999999</v>
      </c>
      <c r="Y300">
        <v>-7.8276490000000004E-2</v>
      </c>
      <c r="Z300">
        <v>2.9422720000000001E-3</v>
      </c>
      <c r="AA300">
        <v>0.99692729999999996</v>
      </c>
      <c r="AB300">
        <v>32</v>
      </c>
      <c r="AC300">
        <v>12.7350999999999</v>
      </c>
      <c r="AD300">
        <v>-1.0587764918210001</v>
      </c>
      <c r="AE300">
        <v>1.09909999999996</v>
      </c>
      <c r="AF300">
        <v>-1.02079723254403</v>
      </c>
      <c r="AG300">
        <v>-1.0587764918210001</v>
      </c>
      <c r="AH300">
        <v>12.654233070154399</v>
      </c>
      <c r="AI300">
        <v>94.767368662360099</v>
      </c>
      <c r="AJ300">
        <v>94.611974430896694</v>
      </c>
      <c r="AK300">
        <v>12.739413222099</v>
      </c>
      <c r="AL300">
        <v>91.171936306548403</v>
      </c>
      <c r="AM300">
        <v>93.008305784992103</v>
      </c>
      <c r="AN300">
        <v>0.99999995297003097</v>
      </c>
    </row>
    <row r="301" spans="1:40" x14ac:dyDescent="0.25">
      <c r="A301" t="str">
        <f>"20190305135539479"</f>
        <v>20190305135539479</v>
      </c>
      <c r="B301" t="str">
        <f>"1551765339471566"</f>
        <v>1551765339471566</v>
      </c>
      <c r="C301" t="s">
        <v>40</v>
      </c>
      <c r="D301">
        <v>3.94828</v>
      </c>
      <c r="E301">
        <v>0.4893866</v>
      </c>
      <c r="F301" t="s">
        <v>42</v>
      </c>
      <c r="G301">
        <v>-394.00150000000002</v>
      </c>
      <c r="H301" s="1">
        <v>-2.6172769999999999E-6</v>
      </c>
      <c r="I301">
        <v>369.26900000000001</v>
      </c>
      <c r="J301">
        <v>-406.69589999999999</v>
      </c>
      <c r="K301">
        <v>1.058762</v>
      </c>
      <c r="L301">
        <v>368.1653</v>
      </c>
      <c r="M301">
        <v>0.99997040000000004</v>
      </c>
      <c r="N301">
        <v>-5.0609419999999997E-3</v>
      </c>
      <c r="O301">
        <v>5.7988939999999998E-3</v>
      </c>
      <c r="P301">
        <v>0.99795420000000001</v>
      </c>
      <c r="Q301">
        <v>-2.5349130000000001E-2</v>
      </c>
      <c r="R301">
        <v>5.8693540000000002E-2</v>
      </c>
      <c r="S301">
        <v>2.9851380000000001</v>
      </c>
      <c r="T301">
        <v>-0.2425554</v>
      </c>
      <c r="U301">
        <v>0.25332640000000001</v>
      </c>
      <c r="V301">
        <v>-5.2898359999999998E-2</v>
      </c>
      <c r="W301">
        <v>-2.0315110000000001E-2</v>
      </c>
      <c r="X301">
        <v>0.99839319999999998</v>
      </c>
      <c r="Y301">
        <v>-7.8522640000000005E-2</v>
      </c>
      <c r="Z301">
        <v>2.938333E-3</v>
      </c>
      <c r="AA301">
        <v>0.99690800000000002</v>
      </c>
      <c r="AB301">
        <v>32</v>
      </c>
      <c r="AC301">
        <v>12.6943999999999</v>
      </c>
      <c r="AD301">
        <v>-1.058764617277</v>
      </c>
      <c r="AE301">
        <v>1.1036999999999999</v>
      </c>
      <c r="AF301">
        <v>-1.0230041497381599</v>
      </c>
      <c r="AG301">
        <v>-1.058764617277</v>
      </c>
      <c r="AH301">
        <v>12.6135026295229</v>
      </c>
      <c r="AI301">
        <v>94.782471772393606</v>
      </c>
      <c r="AJ301">
        <v>94.636761834038097</v>
      </c>
      <c r="AK301">
        <v>12.699132592038</v>
      </c>
      <c r="AL301">
        <v>91.164050186083401</v>
      </c>
      <c r="AM301">
        <v>93.032894672676903</v>
      </c>
      <c r="AN301">
        <v>0.99999996099562005</v>
      </c>
    </row>
    <row r="302" spans="1:40" x14ac:dyDescent="0.25">
      <c r="A302" t="str">
        <f>"20190305135539501"</f>
        <v>20190305135539501</v>
      </c>
      <c r="B302" t="str">
        <f>"1551765339491596"</f>
        <v>1551765339491596</v>
      </c>
      <c r="C302" t="s">
        <v>40</v>
      </c>
      <c r="D302">
        <v>4.0007669999999997</v>
      </c>
      <c r="E302">
        <v>0.49923519999999999</v>
      </c>
      <c r="F302" t="s">
        <v>42</v>
      </c>
      <c r="G302">
        <v>-393.55</v>
      </c>
      <c r="H302" s="1">
        <v>-2.808253E-6</v>
      </c>
      <c r="I302">
        <v>369.28429999999997</v>
      </c>
      <c r="J302">
        <v>-406.37509999999997</v>
      </c>
      <c r="K302">
        <v>1.0587530000000001</v>
      </c>
      <c r="L302">
        <v>368.16739999999999</v>
      </c>
      <c r="M302">
        <v>0.99996949999999996</v>
      </c>
      <c r="N302">
        <v>-5.0319989999999997E-3</v>
      </c>
      <c r="O302">
        <v>5.9914340000000003E-3</v>
      </c>
      <c r="P302">
        <v>0.99793180000000004</v>
      </c>
      <c r="Q302">
        <v>-2.5250379999999999E-2</v>
      </c>
      <c r="R302">
        <v>5.9116870000000002E-2</v>
      </c>
      <c r="S302">
        <v>2.9851070000000002</v>
      </c>
      <c r="T302">
        <v>-0.24041760000000001</v>
      </c>
      <c r="U302">
        <v>0.25408940000000002</v>
      </c>
      <c r="V302">
        <v>-5.3129330000000002E-2</v>
      </c>
      <c r="W302">
        <v>-2.0245590000000001E-2</v>
      </c>
      <c r="X302">
        <v>0.9983824</v>
      </c>
      <c r="Y302">
        <v>-7.8589259999999994E-2</v>
      </c>
      <c r="Z302">
        <v>2.9015719999999998E-3</v>
      </c>
      <c r="AA302">
        <v>0.99690290000000004</v>
      </c>
      <c r="AB302">
        <v>32</v>
      </c>
      <c r="AC302">
        <v>12.8250999999999</v>
      </c>
      <c r="AD302">
        <v>-1.058755808253</v>
      </c>
      <c r="AE302">
        <v>1.11689999999998</v>
      </c>
      <c r="AF302">
        <v>-1.03305093005051</v>
      </c>
      <c r="AG302">
        <v>-1.058755808253</v>
      </c>
      <c r="AH302">
        <v>12.7453550788094</v>
      </c>
      <c r="AI302">
        <v>94.733202462122804</v>
      </c>
      <c r="AJ302">
        <v>94.633872439441504</v>
      </c>
      <c r="AK302">
        <v>12.8309093274998</v>
      </c>
      <c r="AL302">
        <v>91.160066103469703</v>
      </c>
      <c r="AM302">
        <v>93.046145198642705</v>
      </c>
      <c r="AN302">
        <v>1.00000001312522</v>
      </c>
    </row>
    <row r="303" spans="1:40" x14ac:dyDescent="0.25">
      <c r="A303" t="str">
        <f>"20190305135539522"</f>
        <v>20190305135539522</v>
      </c>
      <c r="B303" t="str">
        <f>"1551765339512093"</f>
        <v>1551765339512093</v>
      </c>
      <c r="C303" t="s">
        <v>40</v>
      </c>
      <c r="D303">
        <v>4.0249189999999997</v>
      </c>
      <c r="E303">
        <v>0.4984903</v>
      </c>
      <c r="F303" t="s">
        <v>42</v>
      </c>
      <c r="G303">
        <v>-383.6497</v>
      </c>
      <c r="H303" s="1">
        <v>-2.7201940000000001E-6</v>
      </c>
      <c r="I303">
        <v>369.53960000000001</v>
      </c>
      <c r="J303">
        <v>-406.06110000000001</v>
      </c>
      <c r="K303">
        <v>1.0587439999999999</v>
      </c>
      <c r="L303">
        <v>368.1694</v>
      </c>
      <c r="M303">
        <v>0.99996839999999998</v>
      </c>
      <c r="N303">
        <v>-5.0120980000000004E-3</v>
      </c>
      <c r="O303">
        <v>6.1782269999999997E-3</v>
      </c>
      <c r="P303">
        <v>0.99788060000000001</v>
      </c>
      <c r="Q303">
        <v>-2.5264109999999999E-2</v>
      </c>
      <c r="R303">
        <v>5.9966810000000002E-2</v>
      </c>
      <c r="S303">
        <v>2.9919739999999999</v>
      </c>
      <c r="T303">
        <v>-0.13939309999999999</v>
      </c>
      <c r="U303">
        <v>0.18066409999999999</v>
      </c>
      <c r="V303">
        <v>-5.3793390000000003E-2</v>
      </c>
      <c r="W303">
        <v>-2.0279740000000001E-2</v>
      </c>
      <c r="X303">
        <v>0.99834610000000001</v>
      </c>
      <c r="Y303">
        <v>-5.4045500000000003E-2</v>
      </c>
      <c r="Z303">
        <v>1.136303E-3</v>
      </c>
      <c r="AA303">
        <v>0.99853780000000003</v>
      </c>
      <c r="AB303">
        <v>32</v>
      </c>
      <c r="AC303">
        <v>22.4114</v>
      </c>
      <c r="AD303">
        <v>-1.058746720194</v>
      </c>
      <c r="AE303">
        <v>1.3702000000000101</v>
      </c>
      <c r="AF303">
        <v>-1.22897684010595</v>
      </c>
      <c r="AG303">
        <v>-1.058746720194</v>
      </c>
      <c r="AH303">
        <v>22.369700034941399</v>
      </c>
      <c r="AI303">
        <v>92.705684276070102</v>
      </c>
      <c r="AJ303">
        <v>93.144631733627804</v>
      </c>
      <c r="AK303">
        <v>22.4284374922618</v>
      </c>
      <c r="AL303">
        <v>91.162023210855295</v>
      </c>
      <c r="AM303">
        <v>93.084257639796604</v>
      </c>
      <c r="AN303">
        <v>0.99999996602368402</v>
      </c>
    </row>
    <row r="304" spans="1:40" x14ac:dyDescent="0.25">
      <c r="A304" t="str">
        <f>"20190305135539557"</f>
        <v>20190305135539557</v>
      </c>
      <c r="B304" t="str">
        <f>"1551765339552106"</f>
        <v>1551765339552106</v>
      </c>
      <c r="C304" t="s">
        <v>40</v>
      </c>
      <c r="D304">
        <v>4.0217470000000004</v>
      </c>
      <c r="E304">
        <v>0.49837989999999999</v>
      </c>
      <c r="F304" t="s">
        <v>42</v>
      </c>
      <c r="G304">
        <v>-385.15780000000001</v>
      </c>
      <c r="H304" s="1">
        <v>-2.082509E-6</v>
      </c>
      <c r="I304">
        <v>369.4871</v>
      </c>
      <c r="J304">
        <v>-405.56959999999998</v>
      </c>
      <c r="K304">
        <v>1.0587359999999999</v>
      </c>
      <c r="L304">
        <v>368.1728</v>
      </c>
      <c r="M304">
        <v>0.99996669999999999</v>
      </c>
      <c r="N304">
        <v>-5.020315E-3</v>
      </c>
      <c r="O304">
        <v>6.4579700000000004E-3</v>
      </c>
      <c r="P304">
        <v>0.9978226</v>
      </c>
      <c r="Q304">
        <v>-2.6186350000000001E-2</v>
      </c>
      <c r="R304">
        <v>6.0535119999999998E-2</v>
      </c>
      <c r="S304">
        <v>2.991241</v>
      </c>
      <c r="T304">
        <v>-0.15150520000000001</v>
      </c>
      <c r="U304">
        <v>0.18856809999999999</v>
      </c>
      <c r="V304">
        <v>-5.4082280000000003E-2</v>
      </c>
      <c r="W304">
        <v>-2.11936E-2</v>
      </c>
      <c r="X304">
        <v>0.99831150000000002</v>
      </c>
      <c r="Y304">
        <v>-5.6396160000000001E-2</v>
      </c>
      <c r="Z304">
        <v>1.273529E-3</v>
      </c>
      <c r="AA304">
        <v>0.99840770000000001</v>
      </c>
      <c r="AB304">
        <v>32</v>
      </c>
      <c r="AC304">
        <v>20.4117999999999</v>
      </c>
      <c r="AD304">
        <v>-1.058738082509</v>
      </c>
      <c r="AE304">
        <v>1.3143</v>
      </c>
      <c r="AF304">
        <v>-1.1792925082982599</v>
      </c>
      <c r="AG304">
        <v>-1.058738082509</v>
      </c>
      <c r="AH304">
        <v>20.365297886171</v>
      </c>
      <c r="AI304">
        <v>92.971009119608794</v>
      </c>
      <c r="AJ304">
        <v>93.314123446194102</v>
      </c>
      <c r="AK304">
        <v>20.426869930069198</v>
      </c>
      <c r="AL304">
        <v>91.214394808611502</v>
      </c>
      <c r="AM304">
        <v>93.100896243496607</v>
      </c>
      <c r="AN304">
        <v>0.99999995636160299</v>
      </c>
    </row>
    <row r="305" spans="1:40" x14ac:dyDescent="0.25">
      <c r="A305" t="str">
        <f>"20190305135539580"</f>
        <v>20190305135539580</v>
      </c>
      <c r="B305" t="str">
        <f>"1551765339571626"</f>
        <v>1551765339571626</v>
      </c>
      <c r="C305" t="s">
        <v>40</v>
      </c>
      <c r="D305">
        <v>4.0178900000000004</v>
      </c>
      <c r="E305">
        <v>0.4982529</v>
      </c>
      <c r="F305" t="s">
        <v>42</v>
      </c>
      <c r="G305">
        <v>-386.48410000000001</v>
      </c>
      <c r="H305" s="1">
        <v>-1.5305349999999999E-6</v>
      </c>
      <c r="I305">
        <v>369.3913</v>
      </c>
      <c r="J305">
        <v>-405.23110000000003</v>
      </c>
      <c r="K305">
        <v>1.0587569999999999</v>
      </c>
      <c r="L305">
        <v>368.17520000000002</v>
      </c>
      <c r="M305">
        <v>0.99996470000000004</v>
      </c>
      <c r="N305">
        <v>-5.1578220000000003E-3</v>
      </c>
      <c r="O305">
        <v>6.6348659999999997E-3</v>
      </c>
      <c r="P305">
        <v>0.99778140000000004</v>
      </c>
      <c r="Q305">
        <v>-2.6289719999999999E-2</v>
      </c>
      <c r="R305">
        <v>6.1165450000000003E-2</v>
      </c>
      <c r="S305">
        <v>2.99057</v>
      </c>
      <c r="T305">
        <v>-0.1658965</v>
      </c>
      <c r="U305">
        <v>0.19094849999999999</v>
      </c>
      <c r="V305">
        <v>-5.4536920000000003E-2</v>
      </c>
      <c r="W305">
        <v>-2.1159109999999998E-2</v>
      </c>
      <c r="X305">
        <v>0.99828760000000005</v>
      </c>
      <c r="Y305">
        <v>-5.7010489999999997E-2</v>
      </c>
      <c r="Z305">
        <v>1.39254299999999E-3</v>
      </c>
      <c r="AA305">
        <v>0.99837260000000005</v>
      </c>
      <c r="AB305">
        <v>32</v>
      </c>
      <c r="AC305">
        <v>18.747</v>
      </c>
      <c r="AD305">
        <v>-1.058758530535</v>
      </c>
      <c r="AE305">
        <v>1.21609999999998</v>
      </c>
      <c r="AF305">
        <v>-1.0882313154020999</v>
      </c>
      <c r="AG305">
        <v>-1.058758530535</v>
      </c>
      <c r="AH305">
        <v>18.6952763485288</v>
      </c>
      <c r="AI305">
        <v>93.235870019698496</v>
      </c>
      <c r="AJ305">
        <v>93.331364688809103</v>
      </c>
      <c r="AK305">
        <v>18.7568274174942</v>
      </c>
      <c r="AL305">
        <v>91.212418110672701</v>
      </c>
      <c r="AM305">
        <v>93.126986972251899</v>
      </c>
      <c r="AN305">
        <v>1.0000000579464099</v>
      </c>
    </row>
    <row r="306" spans="1:40" x14ac:dyDescent="0.25">
      <c r="A306" t="str">
        <f>"20190305135539601"</f>
        <v>20190305135539601</v>
      </c>
      <c r="B306" t="str">
        <f>"1551765339591650"</f>
        <v>1551765339591650</v>
      </c>
      <c r="C306" t="s">
        <v>40</v>
      </c>
      <c r="D306">
        <v>3.982599</v>
      </c>
      <c r="E306">
        <v>0.49823479999999998</v>
      </c>
      <c r="F306" t="s">
        <v>42</v>
      </c>
      <c r="G306">
        <v>-386.90609999999998</v>
      </c>
      <c r="H306" s="1">
        <v>-1.3551890000000001E-6</v>
      </c>
      <c r="I306">
        <v>369.35930000000002</v>
      </c>
      <c r="J306">
        <v>-404.91649999999998</v>
      </c>
      <c r="K306">
        <v>1.0588229999999901</v>
      </c>
      <c r="L306">
        <v>368.17739999999998</v>
      </c>
      <c r="M306">
        <v>0.99996220000000002</v>
      </c>
      <c r="N306">
        <v>-5.46534E-3</v>
      </c>
      <c r="O306">
        <v>6.7814290000000003E-3</v>
      </c>
      <c r="P306">
        <v>0.99772859999999997</v>
      </c>
      <c r="Q306">
        <v>-2.6652889999999999E-2</v>
      </c>
      <c r="R306">
        <v>6.1867569999999997E-2</v>
      </c>
      <c r="S306">
        <v>2.9902950000000001</v>
      </c>
      <c r="T306">
        <v>-0.17276849999999999</v>
      </c>
      <c r="U306">
        <v>0.1932373</v>
      </c>
      <c r="V306">
        <v>-5.5093320000000001E-2</v>
      </c>
      <c r="W306">
        <v>-2.1214259999999999E-2</v>
      </c>
      <c r="X306">
        <v>0.99825580000000003</v>
      </c>
      <c r="Y306">
        <v>-5.7622520000000003E-2</v>
      </c>
      <c r="Z306">
        <v>1.4652160000000001E-3</v>
      </c>
      <c r="AA306">
        <v>0.99833740000000004</v>
      </c>
      <c r="AB306">
        <v>32</v>
      </c>
      <c r="AC306">
        <v>18.010400000000001</v>
      </c>
      <c r="AD306">
        <v>-1.05882435518899</v>
      </c>
      <c r="AE306">
        <v>1.1819000000000399</v>
      </c>
      <c r="AF306">
        <v>-1.05610030380179</v>
      </c>
      <c r="AG306">
        <v>-1.05882435518899</v>
      </c>
      <c r="AH306">
        <v>17.956206491132999</v>
      </c>
      <c r="AI306">
        <v>93.368846463046793</v>
      </c>
      <c r="AJ306">
        <v>93.365992788733493</v>
      </c>
      <c r="AK306">
        <v>18.018374189117001</v>
      </c>
      <c r="AL306">
        <v>91.215578776336301</v>
      </c>
      <c r="AM306">
        <v>93.158925457178199</v>
      </c>
      <c r="AN306">
        <v>0.99999998048480399</v>
      </c>
    </row>
    <row r="307" spans="1:40" x14ac:dyDescent="0.25">
      <c r="A307" t="str">
        <f>"20190305135539623"</f>
        <v>20190305135539623</v>
      </c>
      <c r="B307" t="str">
        <f>"1551765339612143"</f>
        <v>1551765339612143</v>
      </c>
      <c r="C307" t="s">
        <v>40</v>
      </c>
      <c r="D307">
        <v>4.0071629999999896</v>
      </c>
      <c r="E307">
        <v>0.49827709999999997</v>
      </c>
      <c r="F307" t="s">
        <v>42</v>
      </c>
      <c r="G307">
        <v>-387.0958</v>
      </c>
      <c r="H307" s="1">
        <v>-1.2771349999999999E-6</v>
      </c>
      <c r="I307">
        <v>369.34050000000002</v>
      </c>
      <c r="J307">
        <v>-404.59620000000001</v>
      </c>
      <c r="K307">
        <v>1.0589770000000001</v>
      </c>
      <c r="L307">
        <v>368.17970000000003</v>
      </c>
      <c r="M307">
        <v>0.99995750000000005</v>
      </c>
      <c r="N307">
        <v>-6.1417269999999996E-3</v>
      </c>
      <c r="O307">
        <v>6.9005450000000001E-3</v>
      </c>
      <c r="P307">
        <v>0.99766140000000003</v>
      </c>
      <c r="Q307">
        <v>-2.6855500000000001E-2</v>
      </c>
      <c r="R307">
        <v>6.2856239999999994E-2</v>
      </c>
      <c r="S307">
        <v>2.990021</v>
      </c>
      <c r="T307">
        <v>-0.177652799999999</v>
      </c>
      <c r="U307">
        <v>0.1951599</v>
      </c>
      <c r="V307">
        <v>-5.5964470000000002E-2</v>
      </c>
      <c r="W307">
        <v>-2.0739799999999999E-2</v>
      </c>
      <c r="X307">
        <v>0.99821729999999997</v>
      </c>
      <c r="Y307">
        <v>-5.8141310000000002E-2</v>
      </c>
      <c r="Z307">
        <v>1.5359270000000001E-3</v>
      </c>
      <c r="AA307">
        <v>0.99830719999999995</v>
      </c>
      <c r="AB307">
        <v>33</v>
      </c>
      <c r="AC307">
        <v>17.500399999999999</v>
      </c>
      <c r="AD307">
        <v>-1.058978277135</v>
      </c>
      <c r="AE307">
        <v>1.1607999999999901</v>
      </c>
      <c r="AF307">
        <v>-1.0362301036430199</v>
      </c>
      <c r="AG307">
        <v>-1.058978277135</v>
      </c>
      <c r="AH307">
        <v>17.444397943896799</v>
      </c>
      <c r="AI307">
        <v>93.467832051694003</v>
      </c>
      <c r="AJ307">
        <v>93.399482552443999</v>
      </c>
      <c r="AK307">
        <v>17.507205015197901</v>
      </c>
      <c r="AL307">
        <v>91.188388249860793</v>
      </c>
      <c r="AM307">
        <v>93.208895146624002</v>
      </c>
      <c r="AN307">
        <v>0.99999996961285498</v>
      </c>
    </row>
    <row r="308" spans="1:40" x14ac:dyDescent="0.25">
      <c r="A308" t="str">
        <f>"20190305135539645"</f>
        <v>20190305135539645</v>
      </c>
      <c r="B308" t="str">
        <f>"1551765339641422"</f>
        <v>1551765339641422</v>
      </c>
      <c r="C308" t="s">
        <v>40</v>
      </c>
      <c r="D308">
        <v>4.001709</v>
      </c>
      <c r="E308">
        <v>0.49822240000000001</v>
      </c>
      <c r="F308" t="s">
        <v>42</v>
      </c>
      <c r="G308">
        <v>-386.95760000000001</v>
      </c>
      <c r="H308" s="1">
        <v>-1.335617E-6</v>
      </c>
      <c r="I308">
        <v>369.3449</v>
      </c>
      <c r="J308">
        <v>-404.2912</v>
      </c>
      <c r="K308">
        <v>1.0591189999999999</v>
      </c>
      <c r="L308">
        <v>368.18200000000002</v>
      </c>
      <c r="M308">
        <v>0.99995179999999995</v>
      </c>
      <c r="N308">
        <v>-6.9209789999999998E-3</v>
      </c>
      <c r="O308">
        <v>6.9824020000000004E-3</v>
      </c>
      <c r="P308">
        <v>0.99757949999999995</v>
      </c>
      <c r="Q308">
        <v>-2.755084E-2</v>
      </c>
      <c r="R308">
        <v>6.384695E-2</v>
      </c>
      <c r="S308">
        <v>2.9897459999999998</v>
      </c>
      <c r="T308">
        <v>-0.17949699999999999</v>
      </c>
      <c r="U308">
        <v>0.19750980000000001</v>
      </c>
      <c r="V308">
        <v>-5.6876070000000001E-2</v>
      </c>
      <c r="W308">
        <v>-2.0654550000000001E-2</v>
      </c>
      <c r="X308">
        <v>0.99816760000000004</v>
      </c>
      <c r="Y308">
        <v>-5.8841810000000001E-2</v>
      </c>
      <c r="Z308">
        <v>1.59679299999999E-3</v>
      </c>
      <c r="AA308">
        <v>0.99826599999999999</v>
      </c>
      <c r="AB308">
        <v>33</v>
      </c>
      <c r="AC308">
        <v>17.333599999999901</v>
      </c>
      <c r="AD308">
        <v>-1.059120335617</v>
      </c>
      <c r="AE308">
        <v>1.16290000000003</v>
      </c>
      <c r="AF308">
        <v>-1.0379806947120001</v>
      </c>
      <c r="AG308">
        <v>-1.059120335617</v>
      </c>
      <c r="AH308">
        <v>17.277082959719301</v>
      </c>
      <c r="AI308">
        <v>93.501659975441598</v>
      </c>
      <c r="AJ308">
        <v>93.438110162250894</v>
      </c>
      <c r="AK308">
        <v>17.3406094300326</v>
      </c>
      <c r="AL308">
        <v>91.183502669190403</v>
      </c>
      <c r="AM308">
        <v>93.261214651529102</v>
      </c>
      <c r="AN308">
        <v>1.00000002773205</v>
      </c>
    </row>
    <row r="309" spans="1:40" x14ac:dyDescent="0.25">
      <c r="A309" t="str">
        <f>"20190305135539667"</f>
        <v>20190305135539667</v>
      </c>
      <c r="B309" t="str">
        <f>"1551765339661919"</f>
        <v>1551765339661919</v>
      </c>
      <c r="C309" t="s">
        <v>40</v>
      </c>
      <c r="D309">
        <v>4.0063170000000001</v>
      </c>
      <c r="E309">
        <v>0.4981083</v>
      </c>
      <c r="F309" t="s">
        <v>42</v>
      </c>
      <c r="G309">
        <v>-387.12819999999999</v>
      </c>
      <c r="H309" s="1">
        <v>-1.2642169999999999E-6</v>
      </c>
      <c r="I309">
        <v>369.33479999999997</v>
      </c>
      <c r="J309">
        <v>-403.96319999999997</v>
      </c>
      <c r="K309">
        <v>1.0592010000000001</v>
      </c>
      <c r="L309">
        <v>368.18430000000001</v>
      </c>
      <c r="M309">
        <v>0.99994640000000001</v>
      </c>
      <c r="N309">
        <v>-7.6069110000000001E-3</v>
      </c>
      <c r="O309">
        <v>7.0345909999999998E-3</v>
      </c>
      <c r="P309">
        <v>0.99752059999999998</v>
      </c>
      <c r="Q309">
        <v>-2.822326E-2</v>
      </c>
      <c r="R309">
        <v>6.44705E-2</v>
      </c>
      <c r="S309">
        <v>2.9892880000000002</v>
      </c>
      <c r="T309">
        <v>-0.1844673</v>
      </c>
      <c r="U309">
        <v>0.2008057</v>
      </c>
      <c r="V309">
        <v>-5.7449130000000001E-2</v>
      </c>
      <c r="W309">
        <v>-2.0638630000000002E-2</v>
      </c>
      <c r="X309">
        <v>0.99813510000000005</v>
      </c>
      <c r="Y309">
        <v>-5.9886179999999997E-2</v>
      </c>
      <c r="Z309">
        <v>1.692458E-3</v>
      </c>
      <c r="AA309">
        <v>0.99820379999999997</v>
      </c>
      <c r="AB309">
        <v>32</v>
      </c>
      <c r="AC309">
        <v>16.834999999999901</v>
      </c>
      <c r="AD309">
        <v>-1.059202264217</v>
      </c>
      <c r="AE309">
        <v>1.1504999999999601</v>
      </c>
      <c r="AF309">
        <v>-1.0279903827191601</v>
      </c>
      <c r="AG309">
        <v>-1.059202264217</v>
      </c>
      <c r="AH309">
        <v>16.776575459615401</v>
      </c>
      <c r="AI309">
        <v>93.605873806465098</v>
      </c>
      <c r="AJ309">
        <v>93.506434316749605</v>
      </c>
      <c r="AK309">
        <v>16.841382301214299</v>
      </c>
      <c r="AL309">
        <v>91.182590338953304</v>
      </c>
      <c r="AM309">
        <v>93.294108338044893</v>
      </c>
      <c r="AN309">
        <v>1.0000000167190199</v>
      </c>
    </row>
    <row r="310" spans="1:40" x14ac:dyDescent="0.25">
      <c r="A310" t="str">
        <f>"20190305135539691"</f>
        <v>20190305135539691</v>
      </c>
      <c r="B310" t="str">
        <f>"1551765339681442"</f>
        <v>1551765339681442</v>
      </c>
      <c r="C310" t="s">
        <v>40</v>
      </c>
      <c r="D310">
        <v>4.0074519999999998</v>
      </c>
      <c r="E310">
        <v>0.49810529999999997</v>
      </c>
      <c r="F310" t="s">
        <v>42</v>
      </c>
      <c r="G310">
        <v>-387.18340000000001</v>
      </c>
      <c r="H310" s="1">
        <v>-1.242042E-6</v>
      </c>
      <c r="I310">
        <v>369.32650000000001</v>
      </c>
      <c r="J310">
        <v>-403.62110000000001</v>
      </c>
      <c r="K310">
        <v>1.0592280000000001</v>
      </c>
      <c r="L310">
        <v>368.18680000000001</v>
      </c>
      <c r="M310">
        <v>0.99994190000000005</v>
      </c>
      <c r="N310">
        <v>-8.1687349999999999E-3</v>
      </c>
      <c r="O310">
        <v>7.046905E-3</v>
      </c>
      <c r="P310">
        <v>0.99746159999999995</v>
      </c>
      <c r="Q310">
        <v>-2.8641880000000002E-2</v>
      </c>
      <c r="R310">
        <v>6.5192680000000003E-2</v>
      </c>
      <c r="S310">
        <v>2.988953</v>
      </c>
      <c r="T310">
        <v>-0.18867239999999999</v>
      </c>
      <c r="U310">
        <v>0.20346069999999999</v>
      </c>
      <c r="V310">
        <v>-5.8160360000000001E-2</v>
      </c>
      <c r="W310">
        <v>-2.0493049999999999E-2</v>
      </c>
      <c r="X310">
        <v>0.99809689999999995</v>
      </c>
      <c r="Y310">
        <v>-6.0755740000000003E-2</v>
      </c>
      <c r="Z310">
        <v>1.7757669999999999E-3</v>
      </c>
      <c r="AA310">
        <v>0.99815109999999996</v>
      </c>
      <c r="AB310">
        <v>32</v>
      </c>
      <c r="AC310">
        <v>16.4377</v>
      </c>
      <c r="AD310">
        <v>-1.059229242042</v>
      </c>
      <c r="AE310">
        <v>1.1396999999999999</v>
      </c>
      <c r="AF310">
        <v>-1.01961933728714</v>
      </c>
      <c r="AG310">
        <v>-1.059229242042</v>
      </c>
      <c r="AH310">
        <v>16.3776425047974</v>
      </c>
      <c r="AI310">
        <v>93.693338213354494</v>
      </c>
      <c r="AJ310">
        <v>93.562453086783506</v>
      </c>
      <c r="AK310">
        <v>16.443502187645802</v>
      </c>
      <c r="AL310">
        <v>91.174247466191005</v>
      </c>
      <c r="AM310">
        <v>93.334925825185806</v>
      </c>
      <c r="AN310">
        <v>1.00000000718162</v>
      </c>
    </row>
    <row r="311" spans="1:40" x14ac:dyDescent="0.25">
      <c r="A311" t="str">
        <f>"20190305135539713"</f>
        <v>20190305135539713</v>
      </c>
      <c r="B311" t="str">
        <f>"1551765339701469"</f>
        <v>1551765339701469</v>
      </c>
      <c r="C311" t="s">
        <v>40</v>
      </c>
      <c r="D311">
        <v>3.9866419999999998</v>
      </c>
      <c r="E311">
        <v>0.49813659999999998</v>
      </c>
      <c r="F311" t="s">
        <v>42</v>
      </c>
      <c r="G311">
        <v>-387.12220000000002</v>
      </c>
      <c r="H311" s="1">
        <v>-1.269306E-6</v>
      </c>
      <c r="I311">
        <v>369.32080000000002</v>
      </c>
      <c r="J311">
        <v>-403.30099999999999</v>
      </c>
      <c r="K311">
        <v>1.0592469999999901</v>
      </c>
      <c r="L311">
        <v>368.18900000000002</v>
      </c>
      <c r="M311">
        <v>0.99993810000000005</v>
      </c>
      <c r="N311">
        <v>-8.6436299999999994E-3</v>
      </c>
      <c r="O311">
        <v>7.0223129999999996E-3</v>
      </c>
      <c r="P311">
        <v>0.99741089999999999</v>
      </c>
      <c r="Q311">
        <v>-2.9279800000000002E-2</v>
      </c>
      <c r="R311">
        <v>6.5683569999999997E-2</v>
      </c>
      <c r="S311">
        <v>2.9887079999999999</v>
      </c>
      <c r="T311">
        <v>-0.1918744</v>
      </c>
      <c r="U311">
        <v>0.2054443</v>
      </c>
      <c r="V311">
        <v>-5.8677489999999999E-2</v>
      </c>
      <c r="W311">
        <v>-2.0654039999999999E-2</v>
      </c>
      <c r="X311">
        <v>0.99806329999999999</v>
      </c>
      <c r="Y311">
        <v>-6.143846E-2</v>
      </c>
      <c r="Z311">
        <v>1.8447470000000001E-3</v>
      </c>
      <c r="AA311">
        <v>0.99810920000000003</v>
      </c>
      <c r="AB311">
        <v>32</v>
      </c>
      <c r="AC311">
        <v>16.178799999999899</v>
      </c>
      <c r="AD311">
        <v>-1.0592482693059999</v>
      </c>
      <c r="AE311">
        <v>1.1317999999999899</v>
      </c>
      <c r="AF311">
        <v>-1.0138306404649899</v>
      </c>
      <c r="AG311">
        <v>-1.0592482693059999</v>
      </c>
      <c r="AH311">
        <v>16.117597565262699</v>
      </c>
      <c r="AI311">
        <v>93.752675122984002</v>
      </c>
      <c r="AJ311">
        <v>93.599282457227801</v>
      </c>
      <c r="AK311">
        <v>16.184153074515098</v>
      </c>
      <c r="AL311">
        <v>91.183473482030806</v>
      </c>
      <c r="AM311">
        <v>93.364623342305293</v>
      </c>
      <c r="AN311">
        <v>0.99999999400395501</v>
      </c>
    </row>
    <row r="312" spans="1:40" x14ac:dyDescent="0.25">
      <c r="A312" t="str">
        <f>"20190305135539734"</f>
        <v>20190305135539734</v>
      </c>
      <c r="B312" t="str">
        <f>"1551765339731723"</f>
        <v>1551765339731723</v>
      </c>
      <c r="C312" t="s">
        <v>40</v>
      </c>
      <c r="D312">
        <v>4.1212109999999997</v>
      </c>
      <c r="E312">
        <v>0.49817850000000002</v>
      </c>
      <c r="F312" t="s">
        <v>42</v>
      </c>
      <c r="G312">
        <v>-387.1431</v>
      </c>
      <c r="H312" s="1">
        <v>-1.2630509999999999E-6</v>
      </c>
      <c r="I312">
        <v>369.30549999999999</v>
      </c>
      <c r="J312">
        <v>-402.99369999999999</v>
      </c>
      <c r="K312">
        <v>1.05925</v>
      </c>
      <c r="L312">
        <v>368.19119999999998</v>
      </c>
      <c r="M312">
        <v>0.99993469999999995</v>
      </c>
      <c r="N312">
        <v>-9.0620260000000008E-3</v>
      </c>
      <c r="O312">
        <v>6.9785530000000002E-3</v>
      </c>
      <c r="P312">
        <v>0.99734319999999999</v>
      </c>
      <c r="Q312">
        <v>-3.025427E-2</v>
      </c>
      <c r="R312">
        <v>6.6267209999999993E-2</v>
      </c>
      <c r="S312">
        <v>2.988464</v>
      </c>
      <c r="T312">
        <v>-0.19591140000000001</v>
      </c>
      <c r="U312">
        <v>0.20651249999999999</v>
      </c>
      <c r="V312">
        <v>-5.9306419999999999E-2</v>
      </c>
      <c r="W312">
        <v>-2.1208419999999999E-2</v>
      </c>
      <c r="X312">
        <v>0.99801450000000003</v>
      </c>
      <c r="Y312">
        <v>-6.183549E-2</v>
      </c>
      <c r="Z312">
        <v>1.909811E-3</v>
      </c>
      <c r="AA312">
        <v>0.99808450000000004</v>
      </c>
      <c r="AB312">
        <v>32</v>
      </c>
      <c r="AC312">
        <v>15.850599999999901</v>
      </c>
      <c r="AD312">
        <v>-1.059251263051</v>
      </c>
      <c r="AE312">
        <v>1.1143000000000101</v>
      </c>
      <c r="AF312">
        <v>-0.99921366394587097</v>
      </c>
      <c r="AG312">
        <v>-1.059251263051</v>
      </c>
      <c r="AH312">
        <v>15.787830777912401</v>
      </c>
      <c r="AI312">
        <v>93.830745402459897</v>
      </c>
      <c r="AJ312">
        <v>93.621426392437101</v>
      </c>
      <c r="AK312">
        <v>15.854842851838299</v>
      </c>
      <c r="AL312">
        <v>91.215244075585204</v>
      </c>
      <c r="AM312">
        <v>93.400768493465606</v>
      </c>
      <c r="AN312">
        <v>0.99999999537118101</v>
      </c>
    </row>
    <row r="313" spans="1:40" x14ac:dyDescent="0.25">
      <c r="A313" t="str">
        <f>"20190305135539759"</f>
        <v>20190305135539759</v>
      </c>
      <c r="B313" t="str">
        <f>"1551765339752217"</f>
        <v>1551765339752217</v>
      </c>
      <c r="C313" t="s">
        <v>40</v>
      </c>
      <c r="D313">
        <v>3.9636209999999998</v>
      </c>
      <c r="E313">
        <v>0.49838450000000001</v>
      </c>
      <c r="F313" t="s">
        <v>42</v>
      </c>
      <c r="G313">
        <v>-387.15980000000002</v>
      </c>
      <c r="H313" s="1">
        <v>-1.258227E-6</v>
      </c>
      <c r="I313">
        <v>369.29230000000001</v>
      </c>
      <c r="J313">
        <v>-402.65230000000003</v>
      </c>
      <c r="K313">
        <v>1.0592410000000001</v>
      </c>
      <c r="L313">
        <v>368.19349999999997</v>
      </c>
      <c r="M313">
        <v>0.99993140000000003</v>
      </c>
      <c r="N313">
        <v>-9.4734499999999996E-3</v>
      </c>
      <c r="O313">
        <v>6.9061089999999997E-3</v>
      </c>
      <c r="P313">
        <v>0.99730399999999997</v>
      </c>
      <c r="Q313">
        <v>-3.1013240000000001E-2</v>
      </c>
      <c r="R313">
        <v>6.6507750000000004E-2</v>
      </c>
      <c r="S313">
        <v>2.988159</v>
      </c>
      <c r="T313">
        <v>-0.1998992</v>
      </c>
      <c r="U313">
        <v>0.2078247</v>
      </c>
      <c r="V313">
        <v>-5.9621019999999997E-2</v>
      </c>
      <c r="W313">
        <v>-2.1553329999999999E-2</v>
      </c>
      <c r="X313">
        <v>0.99798830000000005</v>
      </c>
      <c r="Y313">
        <v>-6.2343280000000001E-2</v>
      </c>
      <c r="Z313">
        <v>1.9808930000000001E-3</v>
      </c>
      <c r="AA313">
        <v>0.99805279999999996</v>
      </c>
      <c r="AB313">
        <v>32</v>
      </c>
      <c r="AC313">
        <v>15.4925</v>
      </c>
      <c r="AD313">
        <v>-1.05924225822699</v>
      </c>
      <c r="AE313">
        <v>1.09880000000003</v>
      </c>
      <c r="AF313">
        <v>-0.98718448350131305</v>
      </c>
      <c r="AG313">
        <v>-1.05924225822699</v>
      </c>
      <c r="AH313">
        <v>15.427960189592399</v>
      </c>
      <c r="AI313">
        <v>93.919619733719102</v>
      </c>
      <c r="AJ313">
        <v>93.661177475239001</v>
      </c>
      <c r="AK313">
        <v>15.4957569346491</v>
      </c>
      <c r="AL313">
        <v>91.235010562994802</v>
      </c>
      <c r="AM313">
        <v>93.418855254772694</v>
      </c>
      <c r="AN313">
        <v>0.99999992949840699</v>
      </c>
    </row>
    <row r="314" spans="1:40" x14ac:dyDescent="0.25">
      <c r="A314" t="str">
        <f>"20190305135539781"</f>
        <v>20190305135539781</v>
      </c>
      <c r="B314" t="str">
        <f>"1551765339771737"</f>
        <v>1551765339771737</v>
      </c>
      <c r="C314" t="s">
        <v>40</v>
      </c>
      <c r="D314">
        <v>3.9594580000000001</v>
      </c>
      <c r="E314">
        <v>0.4984981</v>
      </c>
      <c r="F314" t="s">
        <v>42</v>
      </c>
      <c r="G314">
        <v>-387.0788</v>
      </c>
      <c r="H314" s="1">
        <v>-1.2968539999999901E-6</v>
      </c>
      <c r="I314">
        <v>369.27050000000003</v>
      </c>
      <c r="J314">
        <v>-402.31290000000001</v>
      </c>
      <c r="K314">
        <v>1.0592269999999999</v>
      </c>
      <c r="L314">
        <v>368.19580000000002</v>
      </c>
      <c r="M314">
        <v>0.9999285</v>
      </c>
      <c r="N314">
        <v>-9.8292139999999993E-3</v>
      </c>
      <c r="O314">
        <v>6.8126259999999996E-3</v>
      </c>
      <c r="P314">
        <v>0.99722429999999995</v>
      </c>
      <c r="Q314">
        <v>-3.1658489999999997E-2</v>
      </c>
      <c r="R314">
        <v>6.7391430000000002E-2</v>
      </c>
      <c r="S314">
        <v>2.9879760000000002</v>
      </c>
      <c r="T314">
        <v>-0.2032284</v>
      </c>
      <c r="U314">
        <v>0.2066345</v>
      </c>
      <c r="V314">
        <v>-6.0599970000000003E-2</v>
      </c>
      <c r="W314">
        <v>-2.183976E-2</v>
      </c>
      <c r="X314">
        <v>0.99792320000000001</v>
      </c>
      <c r="Y314">
        <v>-6.2040329999999998E-2</v>
      </c>
      <c r="Z314">
        <v>2.0151589999999999E-3</v>
      </c>
      <c r="AA314">
        <v>0.99807159999999995</v>
      </c>
      <c r="AB314">
        <v>32</v>
      </c>
      <c r="AC314">
        <v>15.2341</v>
      </c>
      <c r="AD314">
        <v>-1.0592282968539899</v>
      </c>
      <c r="AE314">
        <v>1.0747</v>
      </c>
      <c r="AF314">
        <v>-0.96623774033973897</v>
      </c>
      <c r="AG314">
        <v>-1.0592282968539899</v>
      </c>
      <c r="AH314">
        <v>15.168102278618701</v>
      </c>
      <c r="AI314">
        <v>93.986575011682703</v>
      </c>
      <c r="AJ314">
        <v>93.644928086214705</v>
      </c>
      <c r="AK314">
        <v>15.2357115583865</v>
      </c>
      <c r="AL314">
        <v>91.251425542271093</v>
      </c>
      <c r="AM314">
        <v>93.475080986796897</v>
      </c>
      <c r="AN314">
        <v>1.00000002228954</v>
      </c>
    </row>
    <row r="315" spans="1:40" x14ac:dyDescent="0.25">
      <c r="A315" t="str">
        <f>"20190305135539803"</f>
        <v>20190305135539803</v>
      </c>
      <c r="B315" t="str">
        <f>"1551765339791765"</f>
        <v>1551765339791765</v>
      </c>
      <c r="C315" t="s">
        <v>40</v>
      </c>
      <c r="D315">
        <v>4.0695009999999998</v>
      </c>
      <c r="E315">
        <v>0.4986334</v>
      </c>
      <c r="F315" t="s">
        <v>42</v>
      </c>
      <c r="G315">
        <v>-386.93270000000001</v>
      </c>
      <c r="H315" s="1">
        <v>-1.359803E-6</v>
      </c>
      <c r="I315">
        <v>369.26889999999997</v>
      </c>
      <c r="J315">
        <v>-401.99900000000002</v>
      </c>
      <c r="K315">
        <v>1.0592010000000001</v>
      </c>
      <c r="L315">
        <v>368.19779999999997</v>
      </c>
      <c r="M315">
        <v>0.99992630000000005</v>
      </c>
      <c r="N315">
        <v>-1.011629E-2</v>
      </c>
      <c r="O315">
        <v>6.7044919999999899E-3</v>
      </c>
      <c r="P315">
        <v>0.99721070000000001</v>
      </c>
      <c r="Q315">
        <v>-3.2357169999999998E-2</v>
      </c>
      <c r="R315">
        <v>6.7260589999999995E-2</v>
      </c>
      <c r="S315">
        <v>2.9877319999999998</v>
      </c>
      <c r="T315">
        <v>-0.20576249999999999</v>
      </c>
      <c r="U315">
        <v>0.2084656</v>
      </c>
      <c r="V315">
        <v>-6.0578479999999997E-2</v>
      </c>
      <c r="W315">
        <v>-2.2248190000000001E-2</v>
      </c>
      <c r="X315">
        <v>0.99791540000000001</v>
      </c>
      <c r="Y315">
        <v>-6.2756229999999996E-2</v>
      </c>
      <c r="Z315">
        <v>2.0811499999999999E-3</v>
      </c>
      <c r="AA315">
        <v>0.99802670000000004</v>
      </c>
      <c r="AB315">
        <v>32</v>
      </c>
      <c r="AC315">
        <v>15.0663</v>
      </c>
      <c r="AD315">
        <v>-1.059202359803</v>
      </c>
      <c r="AE315">
        <v>1.0710999999999999</v>
      </c>
      <c r="AF315">
        <v>-0.96531182259868398</v>
      </c>
      <c r="AG315">
        <v>-1.059202359803</v>
      </c>
      <c r="AH315">
        <v>14.9993815949375</v>
      </c>
      <c r="AI315">
        <v>94.031004851937894</v>
      </c>
      <c r="AJ315">
        <v>93.682293411167507</v>
      </c>
      <c r="AK315">
        <v>15.067686776158199</v>
      </c>
      <c r="AL315">
        <v>91.274832650071403</v>
      </c>
      <c r="AM315">
        <v>93.473878755882197</v>
      </c>
      <c r="AN315">
        <v>0.99999993987727098</v>
      </c>
    </row>
    <row r="316" spans="1:40" x14ac:dyDescent="0.25">
      <c r="A316" t="str">
        <f>"20190305135539825"</f>
        <v>20190305135539825</v>
      </c>
      <c r="B316" t="str">
        <f>"1551765339811286"</f>
        <v>1551765339811286</v>
      </c>
      <c r="C316" t="s">
        <v>40</v>
      </c>
      <c r="D316">
        <v>3.9764729999999999</v>
      </c>
      <c r="E316">
        <v>0.49892649999999999</v>
      </c>
      <c r="F316" t="s">
        <v>42</v>
      </c>
      <c r="G316">
        <v>-386.79219999999998</v>
      </c>
      <c r="H316" s="1">
        <v>-1.423109E-6</v>
      </c>
      <c r="I316">
        <v>369.25170000000003</v>
      </c>
      <c r="J316">
        <v>-401.68189999999998</v>
      </c>
      <c r="K316">
        <v>1.05918</v>
      </c>
      <c r="L316">
        <v>368.19990000000001</v>
      </c>
      <c r="M316">
        <v>0.99992460000000005</v>
      </c>
      <c r="N316">
        <v>-1.037046E-2</v>
      </c>
      <c r="O316">
        <v>6.5689320000000004E-3</v>
      </c>
      <c r="P316">
        <v>0.99718609999999996</v>
      </c>
      <c r="Q316">
        <v>-3.3357749999999999E-2</v>
      </c>
      <c r="R316">
        <v>6.7135719999999996E-2</v>
      </c>
      <c r="S316">
        <v>2.9877009999999999</v>
      </c>
      <c r="T316">
        <v>-0.20810229999999999</v>
      </c>
      <c r="U316">
        <v>0.20706179999999999</v>
      </c>
      <c r="V316">
        <v>-6.0590779999999997E-2</v>
      </c>
      <c r="W316">
        <v>-2.299209E-2</v>
      </c>
      <c r="X316">
        <v>0.9978979</v>
      </c>
      <c r="Y316">
        <v>-6.2422230000000002E-2</v>
      </c>
      <c r="Z316">
        <v>2.1048030000000001E-3</v>
      </c>
      <c r="AA316">
        <v>0.99804760000000003</v>
      </c>
      <c r="AB316">
        <v>32</v>
      </c>
      <c r="AC316">
        <v>14.889699999999999</v>
      </c>
      <c r="AD316">
        <v>-1.059181423109</v>
      </c>
      <c r="AE316">
        <v>1.0518000000000101</v>
      </c>
      <c r="AF316">
        <v>-0.94918339043803301</v>
      </c>
      <c r="AG316">
        <v>-1.059181423109</v>
      </c>
      <c r="AH316">
        <v>14.821659915986899</v>
      </c>
      <c r="AI316">
        <v>94.079179012486094</v>
      </c>
      <c r="AJ316">
        <v>93.664234565621499</v>
      </c>
      <c r="AK316">
        <v>14.8897420078696</v>
      </c>
      <c r="AL316">
        <v>91.317465748927802</v>
      </c>
      <c r="AM316">
        <v>93.474643156705795</v>
      </c>
      <c r="AN316">
        <v>1.00000004882399</v>
      </c>
    </row>
    <row r="317" spans="1:40" x14ac:dyDescent="0.25">
      <c r="A317" t="str">
        <f>"20190305135539847"</f>
        <v>20190305135539847</v>
      </c>
      <c r="B317" t="str">
        <f>"1551765339841542"</f>
        <v>1551765339841542</v>
      </c>
      <c r="C317" t="s">
        <v>40</v>
      </c>
      <c r="D317">
        <v>3.9763410000000001</v>
      </c>
      <c r="E317">
        <v>0.49925890000000001</v>
      </c>
      <c r="F317" t="s">
        <v>42</v>
      </c>
      <c r="G317">
        <v>-386.71339999999998</v>
      </c>
      <c r="H317" s="1">
        <v>-1.462062E-6</v>
      </c>
      <c r="I317">
        <v>369.22269999999997</v>
      </c>
      <c r="J317">
        <v>-401.36950000000002</v>
      </c>
      <c r="K317">
        <v>1.0591630000000001</v>
      </c>
      <c r="L317">
        <v>368.20179999999999</v>
      </c>
      <c r="M317">
        <v>0.99992340000000002</v>
      </c>
      <c r="N317">
        <v>-1.0589329999999999E-2</v>
      </c>
      <c r="O317">
        <v>6.4118739999999997E-3</v>
      </c>
      <c r="P317">
        <v>0.9971757</v>
      </c>
      <c r="Q317">
        <v>-3.4210600000000001E-2</v>
      </c>
      <c r="R317">
        <v>6.6859979999999999E-2</v>
      </c>
      <c r="S317">
        <v>2.9876399999999999</v>
      </c>
      <c r="T317">
        <v>-0.21140729999999999</v>
      </c>
      <c r="U317">
        <v>0.2041626</v>
      </c>
      <c r="V317">
        <v>-6.0472369999999998E-2</v>
      </c>
      <c r="W317">
        <v>-2.3623999999999999E-2</v>
      </c>
      <c r="X317">
        <v>0.99789030000000001</v>
      </c>
      <c r="Y317">
        <v>-6.1613149999999998E-2</v>
      </c>
      <c r="Z317">
        <v>2.1168850000000002E-3</v>
      </c>
      <c r="AA317">
        <v>0.99809780000000003</v>
      </c>
      <c r="AB317">
        <v>32</v>
      </c>
      <c r="AC317">
        <v>14.6561</v>
      </c>
      <c r="AD317">
        <v>-1.05916446206199</v>
      </c>
      <c r="AE317">
        <v>1.0208999999999799</v>
      </c>
      <c r="AF317">
        <v>-0.92210809531464</v>
      </c>
      <c r="AG317">
        <v>-1.05916446206199</v>
      </c>
      <c r="AH317">
        <v>14.5865326032725</v>
      </c>
      <c r="AI317">
        <v>94.144855421249702</v>
      </c>
      <c r="AJ317">
        <v>93.617219587459502</v>
      </c>
      <c r="AK317">
        <v>14.653977142177901</v>
      </c>
      <c r="AL317">
        <v>91.353681393544093</v>
      </c>
      <c r="AM317">
        <v>93.467895743236895</v>
      </c>
      <c r="AN317">
        <v>1.0000000258717501</v>
      </c>
    </row>
    <row r="318" spans="1:40" x14ac:dyDescent="0.25">
      <c r="A318" t="str">
        <f>"20190305135539869"</f>
        <v>20190305135539869</v>
      </c>
      <c r="B318" t="str">
        <f>"1551765339862038"</f>
        <v>1551765339862038</v>
      </c>
      <c r="C318" t="s">
        <v>40</v>
      </c>
      <c r="D318">
        <v>3.9627249999999998</v>
      </c>
      <c r="E318">
        <v>0.4994633</v>
      </c>
      <c r="F318" t="s">
        <v>42</v>
      </c>
      <c r="G318">
        <v>-386.57670000000002</v>
      </c>
      <c r="H318" s="1">
        <v>-1.5255269999999999E-6</v>
      </c>
      <c r="I318">
        <v>369.19560000000001</v>
      </c>
      <c r="J318">
        <v>-401.05189999999999</v>
      </c>
      <c r="K318">
        <v>1.0594429999999999</v>
      </c>
      <c r="L318">
        <v>368.20359999999999</v>
      </c>
      <c r="M318">
        <v>0.99991099999999999</v>
      </c>
      <c r="N318">
        <v>-1.179004E-2</v>
      </c>
      <c r="O318">
        <v>6.27065E-3</v>
      </c>
      <c r="P318">
        <v>0.99718110000000004</v>
      </c>
      <c r="Q318">
        <v>-3.5933899999999998E-2</v>
      </c>
      <c r="R318">
        <v>6.5869650000000002E-2</v>
      </c>
      <c r="S318">
        <v>2.9877009999999999</v>
      </c>
      <c r="T318">
        <v>-0.2139181</v>
      </c>
      <c r="U318">
        <v>0.2007446</v>
      </c>
      <c r="V318">
        <v>-5.962319E-2</v>
      </c>
      <c r="W318">
        <v>-2.414902E-2</v>
      </c>
      <c r="X318">
        <v>0.99792879999999995</v>
      </c>
      <c r="Y318">
        <v>-6.0611970000000001E-2</v>
      </c>
      <c r="Z318">
        <v>2.1488470000000002E-3</v>
      </c>
      <c r="AA318">
        <v>0.99815909999999997</v>
      </c>
      <c r="AB318">
        <v>32</v>
      </c>
      <c r="AC318">
        <v>14.4751999999999</v>
      </c>
      <c r="AD318">
        <v>-1.059444525527</v>
      </c>
      <c r="AE318">
        <v>0.99200000000001798</v>
      </c>
      <c r="AF318">
        <v>-0.89642573993456198</v>
      </c>
      <c r="AG318">
        <v>-1.059444525527</v>
      </c>
      <c r="AH318">
        <v>14.404335502918499</v>
      </c>
      <c r="AI318">
        <v>94.198459393521205</v>
      </c>
      <c r="AJ318">
        <v>93.561098560987702</v>
      </c>
      <c r="AK318">
        <v>14.4710360061235</v>
      </c>
      <c r="AL318">
        <v>91.3837714515074</v>
      </c>
      <c r="AM318">
        <v>93.419182762041999</v>
      </c>
      <c r="AN318">
        <v>0.99999999491108804</v>
      </c>
    </row>
    <row r="319" spans="1:40" x14ac:dyDescent="0.25">
      <c r="A319" t="str">
        <f>"20190305135539891"</f>
        <v>20190305135539891</v>
      </c>
      <c r="B319" t="str">
        <f>"1551765339881560"</f>
        <v>1551765339881560</v>
      </c>
      <c r="C319" t="s">
        <v>40</v>
      </c>
      <c r="D319">
        <v>3.966485</v>
      </c>
      <c r="E319">
        <v>0.49964730000000002</v>
      </c>
      <c r="F319" t="s">
        <v>42</v>
      </c>
      <c r="G319">
        <v>-386.59379999999999</v>
      </c>
      <c r="H319" s="1">
        <v>-1.5257320000000001E-6</v>
      </c>
      <c r="I319">
        <v>369.15320000000003</v>
      </c>
      <c r="J319">
        <v>-400.72430000000003</v>
      </c>
      <c r="K319">
        <v>1.0601529999999999</v>
      </c>
      <c r="L319">
        <v>368.20549999999997</v>
      </c>
      <c r="M319">
        <v>0.99989539999999999</v>
      </c>
      <c r="N319">
        <v>-1.31139E-2</v>
      </c>
      <c r="O319">
        <v>6.1100709999999999E-3</v>
      </c>
      <c r="P319">
        <v>0.99719659999999999</v>
      </c>
      <c r="Q319">
        <v>-3.7359490000000002E-2</v>
      </c>
      <c r="R319">
        <v>6.4832989999999993E-2</v>
      </c>
      <c r="S319">
        <v>2.9876399999999999</v>
      </c>
      <c r="T319">
        <v>-0.21892300000000001</v>
      </c>
      <c r="U319">
        <v>0.19622800000000001</v>
      </c>
      <c r="V319">
        <v>-5.8746510000000002E-2</v>
      </c>
      <c r="W319">
        <v>-2.4254029999999999E-2</v>
      </c>
      <c r="X319">
        <v>0.99797829999999998</v>
      </c>
      <c r="Y319">
        <v>-5.926435E-2</v>
      </c>
      <c r="Z319">
        <v>2.1890830000000001E-3</v>
      </c>
      <c r="AA319">
        <v>0.99823989999999996</v>
      </c>
      <c r="AB319">
        <v>32</v>
      </c>
      <c r="AC319">
        <v>14.1305</v>
      </c>
      <c r="AD319">
        <v>-1.060154525732</v>
      </c>
      <c r="AE319">
        <v>0.94770000000005405</v>
      </c>
      <c r="AF319">
        <v>-0.85653676115961797</v>
      </c>
      <c r="AG319">
        <v>-1.060154525732</v>
      </c>
      <c r="AH319">
        <v>14.057254686455</v>
      </c>
      <c r="AI319">
        <v>94.304951390032599</v>
      </c>
      <c r="AJ319">
        <v>93.486835981512201</v>
      </c>
      <c r="AK319">
        <v>14.123172170638901</v>
      </c>
      <c r="AL319">
        <v>91.389789769169397</v>
      </c>
      <c r="AM319">
        <v>93.368858154566496</v>
      </c>
      <c r="AN319">
        <v>1.0000000488396501</v>
      </c>
    </row>
    <row r="320" spans="1:40" x14ac:dyDescent="0.25">
      <c r="A320" t="str">
        <f>"20190305135539913"</f>
        <v>20190305135539913</v>
      </c>
      <c r="B320" t="str">
        <f>"1551765339901584"</f>
        <v>1551765339901584</v>
      </c>
      <c r="C320" t="s">
        <v>40</v>
      </c>
      <c r="D320">
        <v>3.9643190000000001</v>
      </c>
      <c r="E320">
        <v>0.49977189999999999</v>
      </c>
      <c r="F320" t="s">
        <v>42</v>
      </c>
      <c r="G320">
        <v>-386.51990000000001</v>
      </c>
      <c r="H320" s="1">
        <v>-1.5639749999999999E-6</v>
      </c>
      <c r="I320">
        <v>369.11619999999999</v>
      </c>
      <c r="J320">
        <v>-400.43060000000003</v>
      </c>
      <c r="K320">
        <v>1.060759</v>
      </c>
      <c r="L320">
        <v>368.2072</v>
      </c>
      <c r="M320">
        <v>0.99990140000000005</v>
      </c>
      <c r="N320">
        <v>-1.2728339999999999E-2</v>
      </c>
      <c r="O320">
        <v>5.939298E-3</v>
      </c>
      <c r="P320">
        <v>0.99723850000000003</v>
      </c>
      <c r="Q320">
        <v>-3.6997429999999998E-2</v>
      </c>
      <c r="R320">
        <v>6.4392519999999995E-2</v>
      </c>
      <c r="S320">
        <v>2.9876100000000001</v>
      </c>
      <c r="T320">
        <v>-0.22298109999999999</v>
      </c>
      <c r="U320">
        <v>0.1915588</v>
      </c>
      <c r="V320">
        <v>-5.847712E-2</v>
      </c>
      <c r="W320">
        <v>-2.4274710000000001E-2</v>
      </c>
      <c r="X320">
        <v>0.99799360000000004</v>
      </c>
      <c r="Y320">
        <v>-5.7881120000000001E-2</v>
      </c>
      <c r="Z320">
        <v>2.157389E-3</v>
      </c>
      <c r="AA320">
        <v>0.99832120000000002</v>
      </c>
      <c r="AB320">
        <v>31</v>
      </c>
      <c r="AC320">
        <v>13.9107</v>
      </c>
      <c r="AD320">
        <v>-1.060760563975</v>
      </c>
      <c r="AE320">
        <v>0.90899999999999104</v>
      </c>
      <c r="AF320">
        <v>-0.821600332191744</v>
      </c>
      <c r="AG320">
        <v>-1.060760563975</v>
      </c>
      <c r="AH320">
        <v>13.8357434901089</v>
      </c>
      <c r="AI320">
        <v>94.3765039907329</v>
      </c>
      <c r="AJ320">
        <v>93.3983729214291</v>
      </c>
      <c r="AK320">
        <v>13.900648833922499</v>
      </c>
      <c r="AL320">
        <v>91.390975020478606</v>
      </c>
      <c r="AM320">
        <v>93.353393846871995</v>
      </c>
      <c r="AN320">
        <v>1.0000000303750101</v>
      </c>
    </row>
    <row r="321" spans="1:40" x14ac:dyDescent="0.25">
      <c r="A321" t="str">
        <f>"20190305135539935"</f>
        <v>20190305135539935</v>
      </c>
      <c r="B321" t="str">
        <f>"1551765339931841"</f>
        <v>1551765339931841</v>
      </c>
      <c r="C321" t="s">
        <v>40</v>
      </c>
      <c r="D321">
        <v>3.973344</v>
      </c>
      <c r="E321">
        <v>0.4999806</v>
      </c>
      <c r="F321" t="s">
        <v>42</v>
      </c>
      <c r="G321">
        <v>-386.12270000000001</v>
      </c>
      <c r="H321" s="1">
        <v>-1.7351379999999999E-6</v>
      </c>
      <c r="I321">
        <v>369.11189999999999</v>
      </c>
      <c r="J321">
        <v>-400.11200000000002</v>
      </c>
      <c r="K321">
        <v>1.0614570000000001</v>
      </c>
      <c r="L321">
        <v>368.20890000000003</v>
      </c>
      <c r="M321">
        <v>0.99992479999999995</v>
      </c>
      <c r="N321">
        <v>-1.083278E-2</v>
      </c>
      <c r="O321">
        <v>5.7636229999999998E-3</v>
      </c>
      <c r="P321">
        <v>0.99731610000000004</v>
      </c>
      <c r="Q321">
        <v>-3.5474730000000003E-2</v>
      </c>
      <c r="R321">
        <v>6.4049030000000007E-2</v>
      </c>
      <c r="S321">
        <v>2.9878849999999999</v>
      </c>
      <c r="T321">
        <v>-0.22151580000000001</v>
      </c>
      <c r="U321">
        <v>0.1889343</v>
      </c>
      <c r="V321">
        <v>-5.8309569999999998E-2</v>
      </c>
      <c r="W321">
        <v>-2.464094E-2</v>
      </c>
      <c r="X321">
        <v>0.99799439999999995</v>
      </c>
      <c r="Y321">
        <v>-5.718612E-2</v>
      </c>
      <c r="Z321">
        <v>2.0614019999999999E-3</v>
      </c>
      <c r="AA321">
        <v>0.99836139999999995</v>
      </c>
      <c r="AB321">
        <v>32</v>
      </c>
      <c r="AC321">
        <v>13.989299999999901</v>
      </c>
      <c r="AD321">
        <v>-1.0614587351379901</v>
      </c>
      <c r="AE321">
        <v>0.90299999999996305</v>
      </c>
      <c r="AF321">
        <v>-0.81766327402745898</v>
      </c>
      <c r="AG321">
        <v>-1.0614587351379901</v>
      </c>
      <c r="AH321">
        <v>13.9144957897803</v>
      </c>
      <c r="AI321">
        <v>94.354840933976902</v>
      </c>
      <c r="AJ321">
        <v>93.363028158110296</v>
      </c>
      <c r="AK321">
        <v>13.9788576414494</v>
      </c>
      <c r="AL321">
        <v>91.411964771950494</v>
      </c>
      <c r="AM321">
        <v>93.3438047837856</v>
      </c>
      <c r="AN321">
        <v>1.0000000021545099</v>
      </c>
    </row>
    <row r="322" spans="1:40" x14ac:dyDescent="0.25">
      <c r="A322" t="str">
        <f>"20190305135539960"</f>
        <v>20190305135539960</v>
      </c>
      <c r="B322" t="str">
        <f>"1551765339951361"</f>
        <v>1551765339951361</v>
      </c>
      <c r="C322" t="s">
        <v>40</v>
      </c>
      <c r="D322">
        <v>3.9541339999999998</v>
      </c>
      <c r="E322">
        <v>0.50009269999999995</v>
      </c>
      <c r="F322" t="s">
        <v>42</v>
      </c>
      <c r="G322">
        <v>-385.46820000000002</v>
      </c>
      <c r="H322" s="1">
        <v>-2.0141560000000002E-6</v>
      </c>
      <c r="I322">
        <v>369.12180000000001</v>
      </c>
      <c r="J322">
        <v>-399.75959999999998</v>
      </c>
      <c r="K322">
        <v>1.0624990000000001</v>
      </c>
      <c r="L322">
        <v>368.2106</v>
      </c>
      <c r="M322">
        <v>0.99995250000000002</v>
      </c>
      <c r="N322">
        <v>-8.0136080000000002E-3</v>
      </c>
      <c r="O322">
        <v>5.5681510000000004E-3</v>
      </c>
      <c r="P322">
        <v>0.99740399999999996</v>
      </c>
      <c r="Q322">
        <v>-3.3101890000000002E-2</v>
      </c>
      <c r="R322">
        <v>6.3948900000000003E-2</v>
      </c>
      <c r="S322">
        <v>2.9883730000000002</v>
      </c>
      <c r="T322">
        <v>-0.21661150000000001</v>
      </c>
      <c r="U322">
        <v>0.1863098</v>
      </c>
      <c r="V322">
        <v>-5.84041E-2</v>
      </c>
      <c r="W322">
        <v>-2.50815E-2</v>
      </c>
      <c r="X322">
        <v>0.99797789999999997</v>
      </c>
      <c r="Y322">
        <v>-5.6513000000000001E-2</v>
      </c>
      <c r="Z322">
        <v>1.9123549999999999E-3</v>
      </c>
      <c r="AA322">
        <v>0.99839999999999995</v>
      </c>
      <c r="AB322">
        <v>32</v>
      </c>
      <c r="AC322">
        <v>14.2913999999999</v>
      </c>
      <c r="AD322">
        <v>-1.0625010141560001</v>
      </c>
      <c r="AE322">
        <v>0.911200000000007</v>
      </c>
      <c r="AF322">
        <v>-0.82705382810154604</v>
      </c>
      <c r="AG322">
        <v>-1.0625010141560001</v>
      </c>
      <c r="AH322">
        <v>14.2179841096009</v>
      </c>
      <c r="AI322">
        <v>94.266548311659804</v>
      </c>
      <c r="AJ322">
        <v>93.329118548364093</v>
      </c>
      <c r="AK322">
        <v>14.281596499709799</v>
      </c>
      <c r="AL322">
        <v>91.437214801523794</v>
      </c>
      <c r="AM322">
        <v>93.349268593183595</v>
      </c>
      <c r="AN322">
        <v>1.0000000047137301</v>
      </c>
    </row>
    <row r="323" spans="1:40" x14ac:dyDescent="0.25">
      <c r="A323" t="str">
        <f>"20190305135539981"</f>
        <v>20190305135539981</v>
      </c>
      <c r="B323" t="str">
        <f>"1551765339971856"</f>
        <v>1551765339971856</v>
      </c>
      <c r="C323" t="s">
        <v>40</v>
      </c>
      <c r="D323">
        <v>4.2968900000000003</v>
      </c>
      <c r="E323">
        <v>0.5001755</v>
      </c>
      <c r="F323" t="s">
        <v>42</v>
      </c>
      <c r="G323">
        <v>-384.5788</v>
      </c>
      <c r="H323" s="1">
        <v>-2.3903880000000001E-6</v>
      </c>
      <c r="I323">
        <v>369.15190000000001</v>
      </c>
      <c r="J323">
        <v>-399.43299999999999</v>
      </c>
      <c r="K323">
        <v>1.0637369999999999</v>
      </c>
      <c r="L323">
        <v>368.2122</v>
      </c>
      <c r="M323">
        <v>0.99997139999999995</v>
      </c>
      <c r="N323">
        <v>-5.3212210000000001E-3</v>
      </c>
      <c r="O323">
        <v>5.3778999999999997E-3</v>
      </c>
      <c r="P323">
        <v>0.99748150000000002</v>
      </c>
      <c r="Q323">
        <v>-3.0709420000000001E-2</v>
      </c>
      <c r="R323">
        <v>6.3938220000000004E-2</v>
      </c>
      <c r="S323">
        <v>2.988953</v>
      </c>
      <c r="T323">
        <v>-0.2091954</v>
      </c>
      <c r="U323">
        <v>0.18533330000000001</v>
      </c>
      <c r="V323">
        <v>-5.8582589999999997E-2</v>
      </c>
      <c r="W323">
        <v>-2.537735E-2</v>
      </c>
      <c r="X323">
        <v>0.99795999999999996</v>
      </c>
      <c r="Y323">
        <v>-5.6381969999999997E-2</v>
      </c>
      <c r="Z323">
        <v>1.77213E-3</v>
      </c>
      <c r="AA323">
        <v>0.99840770000000001</v>
      </c>
      <c r="AB323">
        <v>32</v>
      </c>
      <c r="AC323">
        <v>14.854200000000001</v>
      </c>
      <c r="AD323">
        <v>-1.0637393903879999</v>
      </c>
      <c r="AE323">
        <v>0.93970000000001597</v>
      </c>
      <c r="AF323">
        <v>-0.855431471102434</v>
      </c>
      <c r="AG323">
        <v>-1.0637393903879999</v>
      </c>
      <c r="AH323">
        <v>14.783526967882301</v>
      </c>
      <c r="AI323">
        <v>94.108739710256103</v>
      </c>
      <c r="AJ323">
        <v>93.311660402779907</v>
      </c>
      <c r="AK323">
        <v>14.846412836187699</v>
      </c>
      <c r="AL323">
        <v>91.4541710957227</v>
      </c>
      <c r="AM323">
        <v>93.359541074774299</v>
      </c>
      <c r="AN323">
        <v>1.0000000456720599</v>
      </c>
    </row>
    <row r="324" spans="1:40" x14ac:dyDescent="0.25">
      <c r="A324" t="str">
        <f>"20190305135540003"</f>
        <v>20190305135540003</v>
      </c>
      <c r="B324" t="str">
        <f>"1551765339991886"</f>
        <v>1551765339991886</v>
      </c>
      <c r="C324" t="s">
        <v>40</v>
      </c>
      <c r="D324">
        <v>3.8953669999999998</v>
      </c>
      <c r="E324">
        <v>0.53658130000000004</v>
      </c>
      <c r="F324" t="s">
        <v>42</v>
      </c>
      <c r="G324">
        <v>-383.68700000000001</v>
      </c>
      <c r="H324" s="1">
        <v>-2.76688E-6</v>
      </c>
      <c r="I324">
        <v>369.1859</v>
      </c>
      <c r="J324">
        <v>-399.12130000000002</v>
      </c>
      <c r="K324">
        <v>1.0650580000000001</v>
      </c>
      <c r="L324">
        <v>368.21379999999999</v>
      </c>
      <c r="M324">
        <v>0.9999825</v>
      </c>
      <c r="N324">
        <v>-2.795227E-3</v>
      </c>
      <c r="O324">
        <v>5.1913480000000001E-3</v>
      </c>
      <c r="P324">
        <v>0.99756520000000004</v>
      </c>
      <c r="Q324">
        <v>-2.7949959999999999E-2</v>
      </c>
      <c r="R324">
        <v>6.3894939999999997E-2</v>
      </c>
      <c r="S324">
        <v>2.9895019999999999</v>
      </c>
      <c r="T324">
        <v>-0.2019591</v>
      </c>
      <c r="U324">
        <v>0.1848755</v>
      </c>
      <c r="V324">
        <v>-5.8724279999999997E-2</v>
      </c>
      <c r="W324">
        <v>-2.5140039999999999E-2</v>
      </c>
      <c r="X324">
        <v>0.9979576</v>
      </c>
      <c r="Y324">
        <v>-5.6418759999999998E-2</v>
      </c>
      <c r="Z324">
        <v>1.6452789999999999E-3</v>
      </c>
      <c r="AA324">
        <v>0.99840580000000001</v>
      </c>
      <c r="AB324">
        <v>33</v>
      </c>
      <c r="AC324">
        <v>15.4343</v>
      </c>
      <c r="AD324">
        <v>-1.0650607668799901</v>
      </c>
      <c r="AE324">
        <v>0.97210000000001096</v>
      </c>
      <c r="AF324">
        <v>-0.88775112898584796</v>
      </c>
      <c r="AG324">
        <v>-1.0650607668799901</v>
      </c>
      <c r="AH324">
        <v>15.3662559949898</v>
      </c>
      <c r="AI324">
        <v>93.958345271296693</v>
      </c>
      <c r="AJ324">
        <v>93.306460345368606</v>
      </c>
      <c r="AK324">
        <v>15.4286836706092</v>
      </c>
      <c r="AL324">
        <v>91.440570008695005</v>
      </c>
      <c r="AM324">
        <v>93.3676559856154</v>
      </c>
      <c r="AN324">
        <v>0.99999996703523897</v>
      </c>
    </row>
    <row r="325" spans="1:40" x14ac:dyDescent="0.25">
      <c r="A325" t="str">
        <f>"20190305135540024"</f>
        <v>20190305135540024</v>
      </c>
      <c r="B325" t="str">
        <f>"1551765340011403"</f>
        <v>1551765340011403</v>
      </c>
      <c r="C325" t="s">
        <v>40</v>
      </c>
      <c r="D325">
        <v>3.8942580000000002</v>
      </c>
      <c r="E325">
        <v>0.5479349</v>
      </c>
      <c r="F325" t="s">
        <v>41</v>
      </c>
      <c r="G325">
        <v>-398.3177</v>
      </c>
      <c r="H325">
        <v>0.98565190000000003</v>
      </c>
      <c r="I325">
        <v>368.1841</v>
      </c>
      <c r="J325">
        <v>-398.80650000000003</v>
      </c>
      <c r="K325">
        <v>1.066446</v>
      </c>
      <c r="L325">
        <v>368.21530000000001</v>
      </c>
      <c r="M325">
        <v>0.99998750000000003</v>
      </c>
      <c r="N325">
        <v>-3.3709739999999999E-4</v>
      </c>
      <c r="O325">
        <v>5.0048890000000002E-3</v>
      </c>
      <c r="P325">
        <v>0.99768000000000001</v>
      </c>
      <c r="Q325">
        <v>-2.4875230000000002E-2</v>
      </c>
      <c r="R325">
        <v>6.3371960000000005E-2</v>
      </c>
      <c r="S325">
        <v>3.0060419999999999</v>
      </c>
      <c r="T325">
        <v>-0.29715180000000002</v>
      </c>
      <c r="U325">
        <v>-0.1106567</v>
      </c>
      <c r="V325">
        <v>-5.8385880000000001E-2</v>
      </c>
      <c r="W325">
        <v>-2.4519300000000001E-2</v>
      </c>
      <c r="X325">
        <v>0.99799289999999996</v>
      </c>
      <c r="Y325">
        <v>4.1560369999999999E-2</v>
      </c>
      <c r="Z325">
        <v>-2.547194E-3</v>
      </c>
      <c r="AA325">
        <v>0.99913280000000004</v>
      </c>
      <c r="AB325">
        <v>33</v>
      </c>
      <c r="AC325">
        <v>0.48880000000002599</v>
      </c>
      <c r="AD325">
        <v>-8.0794099999999897E-2</v>
      </c>
      <c r="AE325">
        <v>-3.1200000000012499E-2</v>
      </c>
      <c r="AF325">
        <v>3.27547373173879E-2</v>
      </c>
      <c r="AG325">
        <v>-8.0794099999999897E-2</v>
      </c>
      <c r="AH325">
        <v>0.47569401581533899</v>
      </c>
      <c r="AI325">
        <v>99.617051432342706</v>
      </c>
      <c r="AJ325">
        <v>86.061017012916196</v>
      </c>
      <c r="AK325">
        <v>0.48361695182661302</v>
      </c>
      <c r="AL325">
        <v>91.404993255318402</v>
      </c>
      <c r="AM325">
        <v>93.348175908200204</v>
      </c>
      <c r="AN325">
        <v>0.99999996775313604</v>
      </c>
    </row>
    <row r="326" spans="1:40" x14ac:dyDescent="0.25">
      <c r="A326" t="str">
        <f>"20190305135540047"</f>
        <v>20190305135540047</v>
      </c>
      <c r="B326" t="str">
        <f>"1551765340031903"</f>
        <v>1551765340031903</v>
      </c>
      <c r="C326" t="s">
        <v>40</v>
      </c>
      <c r="D326">
        <v>3.916588</v>
      </c>
      <c r="E326">
        <v>0.55214189999999996</v>
      </c>
      <c r="F326" t="s">
        <v>41</v>
      </c>
      <c r="G326">
        <v>-398.03129999999999</v>
      </c>
      <c r="H326">
        <v>0.96366719999999895</v>
      </c>
      <c r="I326">
        <v>368.16120000000001</v>
      </c>
      <c r="J326">
        <v>-398.46510000000001</v>
      </c>
      <c r="K326">
        <v>1.068101</v>
      </c>
      <c r="L326">
        <v>368.21690000000001</v>
      </c>
      <c r="M326">
        <v>0.99998719999999996</v>
      </c>
      <c r="N326">
        <v>1.6653429999999999E-3</v>
      </c>
      <c r="O326">
        <v>4.7961669999999996E-3</v>
      </c>
      <c r="P326">
        <v>0.99772419999999995</v>
      </c>
      <c r="Q326">
        <v>-2.238735E-2</v>
      </c>
      <c r="R326">
        <v>6.3603779999999999E-2</v>
      </c>
      <c r="S326">
        <v>3.0102540000000002</v>
      </c>
      <c r="T326">
        <v>-0.39924140000000002</v>
      </c>
      <c r="U326">
        <v>-0.2088623</v>
      </c>
      <c r="V326">
        <v>-5.8825820000000001E-2</v>
      </c>
      <c r="W326">
        <v>-2.4030659999999999E-2</v>
      </c>
      <c r="X326">
        <v>0.99797899999999995</v>
      </c>
      <c r="Y326">
        <v>7.3327260000000005E-2</v>
      </c>
      <c r="Z326">
        <v>-5.4148119999999998E-3</v>
      </c>
      <c r="AA326">
        <v>0.99729319999999999</v>
      </c>
      <c r="AB326">
        <v>33</v>
      </c>
      <c r="AC326">
        <v>0.433800000000019</v>
      </c>
      <c r="AD326">
        <v>-0.10443379999999999</v>
      </c>
      <c r="AE326">
        <v>-5.5700000000001602E-2</v>
      </c>
      <c r="AF326">
        <v>5.4663227294640702E-2</v>
      </c>
      <c r="AG326">
        <v>-0.10443379999999999</v>
      </c>
      <c r="AH326">
        <v>0.41014290494889499</v>
      </c>
      <c r="AI326">
        <v>104.16537728467399</v>
      </c>
      <c r="AJ326">
        <v>82.408444025151198</v>
      </c>
      <c r="AK326">
        <v>0.42674546216758302</v>
      </c>
      <c r="AL326">
        <v>91.376987923887199</v>
      </c>
      <c r="AM326">
        <v>93.373393382959605</v>
      </c>
      <c r="AN326">
        <v>1.00000001707985</v>
      </c>
    </row>
    <row r="327" spans="1:40" x14ac:dyDescent="0.25">
      <c r="A327" t="str">
        <f>"20190305135540070"</f>
        <v>20190305135540070</v>
      </c>
      <c r="B327" t="str">
        <f>"1551765340062156"</f>
        <v>1551765340062156</v>
      </c>
      <c r="C327" t="s">
        <v>40</v>
      </c>
      <c r="D327">
        <v>3.8769420000000001</v>
      </c>
      <c r="E327">
        <v>0.55484809999999996</v>
      </c>
      <c r="F327" t="s">
        <v>41</v>
      </c>
      <c r="G327">
        <v>-397.73590000000002</v>
      </c>
      <c r="H327">
        <v>0.95850440000000003</v>
      </c>
      <c r="I327">
        <v>368.1574</v>
      </c>
      <c r="J327">
        <v>-398.11110000000002</v>
      </c>
      <c r="K327">
        <v>1.0704020000000001</v>
      </c>
      <c r="L327">
        <v>368.21850000000001</v>
      </c>
      <c r="M327">
        <v>0.99998640000000005</v>
      </c>
      <c r="N327">
        <v>2.5581150000000001E-3</v>
      </c>
      <c r="O327">
        <v>4.5767309999999997E-3</v>
      </c>
      <c r="P327">
        <v>0.99775910000000001</v>
      </c>
      <c r="Q327">
        <v>-2.1392749999999999E-2</v>
      </c>
      <c r="R327">
        <v>6.3401150000000003E-2</v>
      </c>
      <c r="S327">
        <v>3.0122680000000002</v>
      </c>
      <c r="T327">
        <v>-0.4528259</v>
      </c>
      <c r="U327">
        <v>-0.244751</v>
      </c>
      <c r="V327">
        <v>-5.8841669999999999E-2</v>
      </c>
      <c r="W327">
        <v>-2.392714E-2</v>
      </c>
      <c r="X327">
        <v>0.99798050000000005</v>
      </c>
      <c r="Y327">
        <v>8.4564790000000001E-2</v>
      </c>
      <c r="Z327">
        <v>-6.8962370000000004E-3</v>
      </c>
      <c r="AA327">
        <v>0.99639409999999895</v>
      </c>
      <c r="AB327">
        <v>33</v>
      </c>
      <c r="AC327">
        <v>0.37520000000000597</v>
      </c>
      <c r="AD327">
        <v>-0.1118976</v>
      </c>
      <c r="AE327">
        <v>-6.1100000000010299E-2</v>
      </c>
      <c r="AF327">
        <v>5.7807740971369898E-2</v>
      </c>
      <c r="AG327">
        <v>-0.1118976</v>
      </c>
      <c r="AH327">
        <v>0.34502165826020798</v>
      </c>
      <c r="AI327">
        <v>107.73749586056201</v>
      </c>
      <c r="AJ327">
        <v>80.488544492163996</v>
      </c>
      <c r="AK327">
        <v>0.36729110045112301</v>
      </c>
      <c r="AL327">
        <v>91.371055031375704</v>
      </c>
      <c r="AM327">
        <v>93.374295148534301</v>
      </c>
      <c r="AN327">
        <v>0.99999996426860804</v>
      </c>
    </row>
    <row r="328" spans="1:40" x14ac:dyDescent="0.25">
      <c r="A328" t="str">
        <f>"20190305135540092"</f>
        <v>20190305135540092</v>
      </c>
      <c r="B328" t="str">
        <f>"1551765340081675"</f>
        <v>1551765340081675</v>
      </c>
      <c r="C328" t="s">
        <v>40</v>
      </c>
      <c r="D328">
        <v>3.8436940000000002</v>
      </c>
      <c r="E328">
        <v>0.55567069999999996</v>
      </c>
      <c r="F328" t="s">
        <v>41</v>
      </c>
      <c r="G328">
        <v>-397.15730000000002</v>
      </c>
      <c r="H328">
        <v>0.91588590000000003</v>
      </c>
      <c r="I328">
        <v>368.13339999999999</v>
      </c>
      <c r="J328">
        <v>-397.77789999999999</v>
      </c>
      <c r="K328">
        <v>1.072973</v>
      </c>
      <c r="L328">
        <v>368.22</v>
      </c>
      <c r="M328">
        <v>0.99998620000000005</v>
      </c>
      <c r="N328">
        <v>2.9426370000000001E-3</v>
      </c>
      <c r="O328">
        <v>4.386582E-3</v>
      </c>
      <c r="P328">
        <v>0.99776880000000001</v>
      </c>
      <c r="Q328">
        <v>-2.1208230000000002E-2</v>
      </c>
      <c r="R328">
        <v>6.3310950000000005E-2</v>
      </c>
      <c r="S328">
        <v>3.013306</v>
      </c>
      <c r="T328">
        <v>-0.48828549999999998</v>
      </c>
      <c r="U328">
        <v>-0.26861570000000001</v>
      </c>
      <c r="V328">
        <v>-5.8941800000000003E-2</v>
      </c>
      <c r="W328">
        <v>-2.4124409999999999E-2</v>
      </c>
      <c r="X328">
        <v>0.99796989999999997</v>
      </c>
      <c r="Y328">
        <v>9.1932819999999998E-2</v>
      </c>
      <c r="Z328">
        <v>-7.9672019999999996E-3</v>
      </c>
      <c r="AA328">
        <v>0.99573330000000004</v>
      </c>
      <c r="AB328">
        <v>34</v>
      </c>
      <c r="AC328">
        <v>0.62059999999996696</v>
      </c>
      <c r="AD328">
        <v>-0.15708709999999901</v>
      </c>
      <c r="AE328">
        <v>-8.6600000000032595E-2</v>
      </c>
      <c r="AF328">
        <v>8.4039866475090694E-2</v>
      </c>
      <c r="AG328">
        <v>-0.15708709999999901</v>
      </c>
      <c r="AH328">
        <v>0.58354057622373101</v>
      </c>
      <c r="AI328">
        <v>104.919694342694</v>
      </c>
      <c r="AJ328">
        <v>81.804772489109993</v>
      </c>
      <c r="AK328">
        <v>0.61013003551954803</v>
      </c>
      <c r="AL328">
        <v>91.382360953825398</v>
      </c>
      <c r="AM328">
        <v>93.380059653268006</v>
      </c>
      <c r="AN328">
        <v>1.0000000221255401</v>
      </c>
    </row>
    <row r="329" spans="1:40" x14ac:dyDescent="0.25">
      <c r="A329" t="str">
        <f>"20190305135540113"</f>
        <v>20190305135540113</v>
      </c>
      <c r="B329" t="str">
        <f>"1551765340101705"</f>
        <v>1551765340101705</v>
      </c>
      <c r="C329" t="s">
        <v>40</v>
      </c>
      <c r="D329">
        <v>3.8436590000000002</v>
      </c>
      <c r="E329">
        <v>0.5562568</v>
      </c>
      <c r="F329" t="s">
        <v>41</v>
      </c>
      <c r="G329">
        <v>-396.8519</v>
      </c>
      <c r="H329">
        <v>0.91956039999999994</v>
      </c>
      <c r="I329">
        <v>368.13470000000001</v>
      </c>
      <c r="J329">
        <v>-397.45949999999999</v>
      </c>
      <c r="K329">
        <v>1.075515</v>
      </c>
      <c r="L329">
        <v>368.22120000000001</v>
      </c>
      <c r="M329">
        <v>0.99998469999999995</v>
      </c>
      <c r="N329">
        <v>3.5533449999999999E-3</v>
      </c>
      <c r="O329">
        <v>4.219525E-3</v>
      </c>
      <c r="P329">
        <v>0.99778730000000004</v>
      </c>
      <c r="Q329">
        <v>-2.0737249999999999E-2</v>
      </c>
      <c r="R329">
        <v>6.3167699999999993E-2</v>
      </c>
      <c r="S329">
        <v>3.013611</v>
      </c>
      <c r="T329">
        <v>-0.49945970000000001</v>
      </c>
      <c r="U329">
        <v>-0.27606199999999997</v>
      </c>
      <c r="V329">
        <v>-5.8966339999999999E-2</v>
      </c>
      <c r="W329">
        <v>-2.4260380000000002E-2</v>
      </c>
      <c r="X329">
        <v>0.9979652</v>
      </c>
      <c r="Y329">
        <v>9.4119149999999999E-2</v>
      </c>
      <c r="Z329">
        <v>-8.2700940000000004E-3</v>
      </c>
      <c r="AA329">
        <v>0.99552660000000004</v>
      </c>
      <c r="AB329">
        <v>34</v>
      </c>
      <c r="AC329">
        <v>0.60759999999999004</v>
      </c>
      <c r="AD329">
        <v>-0.1559546</v>
      </c>
      <c r="AE329">
        <v>-8.6500000000000896E-2</v>
      </c>
      <c r="AF329">
        <v>8.3660848742521998E-2</v>
      </c>
      <c r="AG329">
        <v>-0.1559546</v>
      </c>
      <c r="AH329">
        <v>0.57039765927532904</v>
      </c>
      <c r="AI329">
        <v>105.137316033825</v>
      </c>
      <c r="AJ329">
        <v>81.655860086285301</v>
      </c>
      <c r="AK329">
        <v>0.59722229075969102</v>
      </c>
      <c r="AL329">
        <v>91.390153678005504</v>
      </c>
      <c r="AM329">
        <v>93.381479540644804</v>
      </c>
      <c r="AN329">
        <v>1.00000006785088</v>
      </c>
    </row>
    <row r="330" spans="1:40" x14ac:dyDescent="0.25">
      <c r="A330" t="str">
        <f>"20190305135540136"</f>
        <v>20190305135540136</v>
      </c>
      <c r="B330" t="str">
        <f>"1551765340131957"</f>
        <v>1551765340131957</v>
      </c>
      <c r="C330" t="s">
        <v>40</v>
      </c>
      <c r="D330">
        <v>3.833323</v>
      </c>
      <c r="E330">
        <v>0.55703279999999999</v>
      </c>
      <c r="F330" t="s">
        <v>41</v>
      </c>
      <c r="G330">
        <v>-396.54379999999998</v>
      </c>
      <c r="H330">
        <v>0.92136289999999998</v>
      </c>
      <c r="I330">
        <v>368.13580000000002</v>
      </c>
      <c r="J330">
        <v>-397.10700000000003</v>
      </c>
      <c r="K330">
        <v>1.078427</v>
      </c>
      <c r="L330">
        <v>368.2226</v>
      </c>
      <c r="M330">
        <v>0.99998310000000001</v>
      </c>
      <c r="N330">
        <v>4.1788600000000004E-3</v>
      </c>
      <c r="O330">
        <v>4.0503170000000003E-3</v>
      </c>
      <c r="P330">
        <v>0.99782850000000001</v>
      </c>
      <c r="Q330">
        <v>-2.0016989999999998E-2</v>
      </c>
      <c r="R330">
        <v>6.2751559999999998E-2</v>
      </c>
      <c r="S330">
        <v>3.0138850000000001</v>
      </c>
      <c r="T330">
        <v>-0.50732639999999996</v>
      </c>
      <c r="U330">
        <v>-0.28137210000000001</v>
      </c>
      <c r="V330">
        <v>-5.8720460000000002E-2</v>
      </c>
      <c r="W330">
        <v>-2.4161849999999999E-2</v>
      </c>
      <c r="X330">
        <v>0.99798200000000004</v>
      </c>
      <c r="Y330">
        <v>9.5626970000000006E-2</v>
      </c>
      <c r="Z330">
        <v>-8.4660250000000003E-3</v>
      </c>
      <c r="AA330">
        <v>0.99538119999999997</v>
      </c>
      <c r="AB330">
        <v>34</v>
      </c>
      <c r="AC330">
        <v>0.56319999999999404</v>
      </c>
      <c r="AD330">
        <v>-0.15706409999999901</v>
      </c>
      <c r="AE330">
        <v>-8.6799999999982405E-2</v>
      </c>
      <c r="AF330">
        <v>8.2790943605827699E-2</v>
      </c>
      <c r="AG330">
        <v>-0.15706409999999901</v>
      </c>
      <c r="AH330">
        <v>0.52310436238851199</v>
      </c>
      <c r="AI330">
        <v>106.518383850267</v>
      </c>
      <c r="AJ330">
        <v>81.006480355829297</v>
      </c>
      <c r="AK330">
        <v>0.55241437870664101</v>
      </c>
      <c r="AL330">
        <v>91.384506791744698</v>
      </c>
      <c r="AM330">
        <v>93.367355282398606</v>
      </c>
      <c r="AN330">
        <v>0.99999997987101596</v>
      </c>
    </row>
    <row r="331" spans="1:40" x14ac:dyDescent="0.25">
      <c r="A331" t="str">
        <f>"20190305135540161"</f>
        <v>20190305135540161</v>
      </c>
      <c r="B331" t="str">
        <f>"1551765340152453"</f>
        <v>1551765340152453</v>
      </c>
      <c r="C331" t="s">
        <v>40</v>
      </c>
      <c r="D331">
        <v>3.8498380000000001</v>
      </c>
      <c r="E331">
        <v>0.55737080000000006</v>
      </c>
      <c r="F331" t="s">
        <v>41</v>
      </c>
      <c r="G331">
        <v>-396.23070000000001</v>
      </c>
      <c r="H331">
        <v>0.92833140000000003</v>
      </c>
      <c r="I331">
        <v>368.13839999999999</v>
      </c>
      <c r="J331">
        <v>-396.72699999999998</v>
      </c>
      <c r="K331">
        <v>1.0816680000000001</v>
      </c>
      <c r="L331">
        <v>368.22390000000001</v>
      </c>
      <c r="M331">
        <v>0.99998279999999995</v>
      </c>
      <c r="N331">
        <v>4.4244849999999997E-3</v>
      </c>
      <c r="O331">
        <v>3.886366E-3</v>
      </c>
      <c r="P331">
        <v>0.99786200000000003</v>
      </c>
      <c r="Q331">
        <v>-2.003659E-2</v>
      </c>
      <c r="R331">
        <v>6.2211379999999997E-2</v>
      </c>
      <c r="S331">
        <v>3.014313</v>
      </c>
      <c r="T331">
        <v>-0.51637579999999905</v>
      </c>
      <c r="U331">
        <v>-0.28903200000000001</v>
      </c>
      <c r="V331">
        <v>-5.834462E-2</v>
      </c>
      <c r="W331">
        <v>-2.442449E-2</v>
      </c>
      <c r="X331">
        <v>0.99799760000000004</v>
      </c>
      <c r="Y331">
        <v>9.7881819999999994E-2</v>
      </c>
      <c r="Z331">
        <v>-8.7626900000000001E-3</v>
      </c>
      <c r="AA331">
        <v>0.99515940000000003</v>
      </c>
      <c r="AB331">
        <v>35</v>
      </c>
      <c r="AC331">
        <v>0.49629999999996199</v>
      </c>
      <c r="AD331">
        <v>-0.15333659999999999</v>
      </c>
      <c r="AE331">
        <v>-8.5500000000024501E-2</v>
      </c>
      <c r="AF331">
        <v>8.0010804516957107E-2</v>
      </c>
      <c r="AG331">
        <v>-0.15333659999999999</v>
      </c>
      <c r="AH331">
        <v>0.453886578206595</v>
      </c>
      <c r="AI331">
        <v>108.402311221722</v>
      </c>
      <c r="AJ331">
        <v>80.002650009394301</v>
      </c>
      <c r="AK331">
        <v>0.485723035911518</v>
      </c>
      <c r="AL331">
        <v>91.3995594677978</v>
      </c>
      <c r="AM331">
        <v>93.345799482999098</v>
      </c>
      <c r="AN331">
        <v>0.99999993000022902</v>
      </c>
    </row>
    <row r="332" spans="1:40" x14ac:dyDescent="0.25">
      <c r="A332" t="str">
        <f>"20190305135540182"</f>
        <v>20190305135540182</v>
      </c>
      <c r="B332" t="str">
        <f>"1551765340171973"</f>
        <v>1551765340171973</v>
      </c>
      <c r="C332" t="s">
        <v>40</v>
      </c>
      <c r="D332">
        <v>3.8066659999999999</v>
      </c>
      <c r="E332">
        <v>0.55775419999999998</v>
      </c>
      <c r="F332" t="s">
        <v>41</v>
      </c>
      <c r="G332">
        <v>-395.91300000000001</v>
      </c>
      <c r="H332">
        <v>0.94117499999999998</v>
      </c>
      <c r="I332">
        <v>368.14479999999998</v>
      </c>
      <c r="J332">
        <v>-396.3809</v>
      </c>
      <c r="K332">
        <v>1.0846100000000001</v>
      </c>
      <c r="L332">
        <v>368.2251</v>
      </c>
      <c r="M332">
        <v>0.99998410000000004</v>
      </c>
      <c r="N332">
        <v>4.2588139999999997E-3</v>
      </c>
      <c r="O332">
        <v>3.734603E-3</v>
      </c>
      <c r="P332">
        <v>0.99787859999999995</v>
      </c>
      <c r="Q332">
        <v>-2.0318940000000001E-2</v>
      </c>
      <c r="R332">
        <v>6.1854239999999998E-2</v>
      </c>
      <c r="S332">
        <v>3.0142820000000001</v>
      </c>
      <c r="T332">
        <v>-0.52023819999999998</v>
      </c>
      <c r="U332">
        <v>-0.29309079999999998</v>
      </c>
      <c r="V332">
        <v>-5.8139349999999999E-2</v>
      </c>
      <c r="W332">
        <v>-2.4540820000000001E-2</v>
      </c>
      <c r="X332">
        <v>0.99800679999999997</v>
      </c>
      <c r="Y332">
        <v>9.9022650000000004E-2</v>
      </c>
      <c r="Z332">
        <v>-8.9042679999999999E-3</v>
      </c>
      <c r="AA332">
        <v>0.99504539999999997</v>
      </c>
      <c r="AB332">
        <v>35</v>
      </c>
      <c r="AC332">
        <v>0.46789999999998599</v>
      </c>
      <c r="AD332">
        <v>-0.14343500000000001</v>
      </c>
      <c r="AE332">
        <v>-8.0300000000022395E-2</v>
      </c>
      <c r="AF332">
        <v>7.5183753174430407E-2</v>
      </c>
      <c r="AG332">
        <v>-0.14343500000000001</v>
      </c>
      <c r="AH332">
        <v>0.42848292823753997</v>
      </c>
      <c r="AI332">
        <v>108.24809396685799</v>
      </c>
      <c r="AJ332">
        <v>80.047906177689896</v>
      </c>
      <c r="AK332">
        <v>0.45806529639060301</v>
      </c>
      <c r="AL332">
        <v>91.406226580183599</v>
      </c>
      <c r="AM332">
        <v>93.334024115034097</v>
      </c>
      <c r="AN332">
        <v>1.00000000435546</v>
      </c>
    </row>
    <row r="333" spans="1:40" x14ac:dyDescent="0.25">
      <c r="A333" t="str">
        <f>"20190305135540203"</f>
        <v>20190305135540203</v>
      </c>
      <c r="B333" t="str">
        <f>"1551765340192003"</f>
        <v>1551765340192003</v>
      </c>
      <c r="C333" t="s">
        <v>40</v>
      </c>
      <c r="D333">
        <v>3.8032180000000002</v>
      </c>
      <c r="E333">
        <v>0.55807019999999996</v>
      </c>
      <c r="F333" t="s">
        <v>41</v>
      </c>
      <c r="G333">
        <v>-395.59629999999999</v>
      </c>
      <c r="H333">
        <v>0.94798660000000001</v>
      </c>
      <c r="I333">
        <v>368.1474</v>
      </c>
      <c r="J333">
        <v>-396.05599999999998</v>
      </c>
      <c r="K333">
        <v>1.0872740000000001</v>
      </c>
      <c r="L333">
        <v>368.22609999999997</v>
      </c>
      <c r="M333">
        <v>0.99998620000000005</v>
      </c>
      <c r="N333">
        <v>3.852037E-3</v>
      </c>
      <c r="O333">
        <v>3.5803520000000002E-3</v>
      </c>
      <c r="P333">
        <v>0.9979095</v>
      </c>
      <c r="Q333">
        <v>-2.0739609999999999E-2</v>
      </c>
      <c r="R333">
        <v>6.1207369999999997E-2</v>
      </c>
      <c r="S333">
        <v>3.01416</v>
      </c>
      <c r="T333">
        <v>-0.52496219999999905</v>
      </c>
      <c r="U333">
        <v>-0.29776000000000002</v>
      </c>
      <c r="V333">
        <v>-5.764582E-2</v>
      </c>
      <c r="W333">
        <v>-2.4556080000000001E-2</v>
      </c>
      <c r="X333">
        <v>0.99803509999999995</v>
      </c>
      <c r="Y333">
        <v>0.1003527</v>
      </c>
      <c r="Z333">
        <v>-9.0890780000000004E-3</v>
      </c>
      <c r="AA333">
        <v>0.99491039999999997</v>
      </c>
      <c r="AB333">
        <v>35</v>
      </c>
      <c r="AC333">
        <v>0.459699999999998</v>
      </c>
      <c r="AD333">
        <v>-0.13928740000000001</v>
      </c>
      <c r="AE333">
        <v>-7.8699999999969295E-2</v>
      </c>
      <c r="AF333">
        <v>7.3766011973731296E-2</v>
      </c>
      <c r="AG333">
        <v>-0.13928740000000001</v>
      </c>
      <c r="AH333">
        <v>0.42179433741552902</v>
      </c>
      <c r="AI333">
        <v>108.01912766282599</v>
      </c>
      <c r="AJ333">
        <v>80.080080714453402</v>
      </c>
      <c r="AK333">
        <v>0.45028087611742301</v>
      </c>
      <c r="AL333">
        <v>91.407101111371801</v>
      </c>
      <c r="AM333">
        <v>93.305691946520497</v>
      </c>
      <c r="AN333">
        <v>1.0000000512302201</v>
      </c>
    </row>
    <row r="334" spans="1:40" x14ac:dyDescent="0.25">
      <c r="A334" t="str">
        <f>"20190305135540227"</f>
        <v>20190305135540227</v>
      </c>
      <c r="B334" t="str">
        <f>"1551765340211519"</f>
        <v>1551765340211519</v>
      </c>
      <c r="C334" t="s">
        <v>40</v>
      </c>
      <c r="D334">
        <v>3.7816450000000001</v>
      </c>
      <c r="E334">
        <v>0.55831119999999901</v>
      </c>
      <c r="F334" t="s">
        <v>41</v>
      </c>
      <c r="G334">
        <v>-395.2801</v>
      </c>
      <c r="H334">
        <v>0.95085660000000005</v>
      </c>
      <c r="I334">
        <v>368.14789999999999</v>
      </c>
      <c r="J334">
        <v>-395.68869999999998</v>
      </c>
      <c r="K334">
        <v>1.090122</v>
      </c>
      <c r="L334">
        <v>368.22719999999998</v>
      </c>
      <c r="M334">
        <v>0.99998940000000003</v>
      </c>
      <c r="N334">
        <v>3.164601E-3</v>
      </c>
      <c r="O334">
        <v>3.389328E-3</v>
      </c>
      <c r="P334">
        <v>0.99791870000000005</v>
      </c>
      <c r="Q334">
        <v>-2.1039499999999999E-2</v>
      </c>
      <c r="R334">
        <v>6.0957820000000003E-2</v>
      </c>
      <c r="S334">
        <v>3.0138240000000001</v>
      </c>
      <c r="T334">
        <v>-0.52987959999999901</v>
      </c>
      <c r="U334">
        <v>-0.30270390000000003</v>
      </c>
      <c r="V334">
        <v>-5.7586869999999998E-2</v>
      </c>
      <c r="W334">
        <v>-2.4170759999999999E-2</v>
      </c>
      <c r="X334">
        <v>0.99804780000000004</v>
      </c>
      <c r="Y334">
        <v>0.10173740000000001</v>
      </c>
      <c r="Z334">
        <v>-9.2916939999999996E-3</v>
      </c>
      <c r="AA334">
        <v>0.99476790000000004</v>
      </c>
      <c r="AB334">
        <v>35</v>
      </c>
      <c r="AC334">
        <v>0.40859999999997798</v>
      </c>
      <c r="AD334">
        <v>-0.13926540000000001</v>
      </c>
      <c r="AE334">
        <v>-7.9299999999989199E-2</v>
      </c>
      <c r="AF334">
        <v>7.2561068523377806E-2</v>
      </c>
      <c r="AG334">
        <v>-0.13926540000000001</v>
      </c>
      <c r="AH334">
        <v>0.36721805505919802</v>
      </c>
      <c r="AI334">
        <v>110.407753451275</v>
      </c>
      <c r="AJ334">
        <v>78.822532446563699</v>
      </c>
      <c r="AK334">
        <v>0.39938585386049202</v>
      </c>
      <c r="AL334">
        <v>91.385017498526395</v>
      </c>
      <c r="AM334">
        <v>93.302277023418696</v>
      </c>
      <c r="AN334">
        <v>0.99999994216010502</v>
      </c>
    </row>
    <row r="335" spans="1:40" x14ac:dyDescent="0.25">
      <c r="A335" t="str">
        <f>"20190305135540249"</f>
        <v>20190305135540249</v>
      </c>
      <c r="B335" t="str">
        <f>"1551765340241776"</f>
        <v>1551765340241776</v>
      </c>
      <c r="C335" t="s">
        <v>40</v>
      </c>
      <c r="D335">
        <v>3.7914629999999998</v>
      </c>
      <c r="E335">
        <v>0.55808429999999998</v>
      </c>
      <c r="F335" t="s">
        <v>41</v>
      </c>
      <c r="G335">
        <v>-394.95920000000001</v>
      </c>
      <c r="H335">
        <v>0.96123029999999998</v>
      </c>
      <c r="I335">
        <v>368.15300000000002</v>
      </c>
      <c r="J335">
        <v>-395.32600000000002</v>
      </c>
      <c r="K335">
        <v>1.092722</v>
      </c>
      <c r="L335">
        <v>368.22809999999998</v>
      </c>
      <c r="M335">
        <v>0.9999924</v>
      </c>
      <c r="N335">
        <v>2.2342439999999998E-3</v>
      </c>
      <c r="O335">
        <v>3.185195E-3</v>
      </c>
      <c r="P335">
        <v>0.99792440000000004</v>
      </c>
      <c r="Q335">
        <v>-2.2181340000000001E-2</v>
      </c>
      <c r="R335">
        <v>6.0455040000000002E-2</v>
      </c>
      <c r="S335">
        <v>3.0137019999999999</v>
      </c>
      <c r="T335">
        <v>-0.53264019999999901</v>
      </c>
      <c r="U335">
        <v>-0.30508420000000003</v>
      </c>
      <c r="V335">
        <v>-5.728722E-2</v>
      </c>
      <c r="W335">
        <v>-2.438506E-2</v>
      </c>
      <c r="X335">
        <v>0.9980599</v>
      </c>
      <c r="Y335">
        <v>0.1022869</v>
      </c>
      <c r="Z335">
        <v>-9.3960899999999993E-3</v>
      </c>
      <c r="AA335">
        <v>0.9947106</v>
      </c>
      <c r="AB335">
        <v>35</v>
      </c>
      <c r="AC335">
        <v>0.366799999999955</v>
      </c>
      <c r="AD335">
        <v>-0.13149169999999999</v>
      </c>
      <c r="AE335">
        <v>-7.5099999999963502E-2</v>
      </c>
      <c r="AF335">
        <v>6.7893920901522298E-2</v>
      </c>
      <c r="AG335">
        <v>-0.13149169999999999</v>
      </c>
      <c r="AH335">
        <v>0.32631167539191902</v>
      </c>
      <c r="AI335">
        <v>111.529955413369</v>
      </c>
      <c r="AJ335">
        <v>78.246466524202305</v>
      </c>
      <c r="AK335">
        <v>0.35830009930413498</v>
      </c>
      <c r="AL335">
        <v>91.397299509673601</v>
      </c>
      <c r="AM335">
        <v>93.285091805492499</v>
      </c>
      <c r="AN335">
        <v>1.0000000103572699</v>
      </c>
    </row>
    <row r="336" spans="1:40" x14ac:dyDescent="0.25">
      <c r="A336" t="str">
        <f>"20190305135540273"</f>
        <v>20190305135540273</v>
      </c>
      <c r="B336" t="str">
        <f>"1551765340261295"</f>
        <v>1551765340261295</v>
      </c>
      <c r="C336" t="s">
        <v>40</v>
      </c>
      <c r="D336">
        <v>3.738286</v>
      </c>
      <c r="E336">
        <v>0.54639709999999997</v>
      </c>
      <c r="F336" t="s">
        <v>41</v>
      </c>
      <c r="G336">
        <v>-394.34589999999997</v>
      </c>
      <c r="H336">
        <v>0.91682850000000005</v>
      </c>
      <c r="I336">
        <v>368.12869999999998</v>
      </c>
      <c r="J336">
        <v>-394.95420000000001</v>
      </c>
      <c r="K336">
        <v>1.0951420000000001</v>
      </c>
      <c r="L336">
        <v>368.22910000000002</v>
      </c>
      <c r="M336">
        <v>0.99999519999999997</v>
      </c>
      <c r="N336">
        <v>1.005691E-3</v>
      </c>
      <c r="O336">
        <v>2.9635270000000001E-3</v>
      </c>
      <c r="P336">
        <v>0.99787709999999996</v>
      </c>
      <c r="Q336">
        <v>-2.418901E-2</v>
      </c>
      <c r="R336">
        <v>6.0467159999999999E-2</v>
      </c>
      <c r="S336">
        <v>3.0126949999999999</v>
      </c>
      <c r="T336">
        <v>-0.54078269999999995</v>
      </c>
      <c r="U336">
        <v>-0.30456539999999999</v>
      </c>
      <c r="V336">
        <v>-5.7521219999999998E-2</v>
      </c>
      <c r="W336">
        <v>-2.516647E-2</v>
      </c>
      <c r="X336">
        <v>0.998027</v>
      </c>
      <c r="Y336">
        <v>0.1018792</v>
      </c>
      <c r="Z336">
        <v>-9.5263469999999992E-3</v>
      </c>
      <c r="AA336">
        <v>0.99475119999999895</v>
      </c>
      <c r="AB336">
        <v>35</v>
      </c>
      <c r="AC336">
        <v>0.60830000000004203</v>
      </c>
      <c r="AD336">
        <v>-0.17831350000000001</v>
      </c>
      <c r="AE336">
        <v>-0.100400000000036</v>
      </c>
      <c r="AF336">
        <v>9.4313087234076096E-2</v>
      </c>
      <c r="AG336">
        <v>-0.17831350000000001</v>
      </c>
      <c r="AH336">
        <v>0.56106714085978104</v>
      </c>
      <c r="AI336">
        <v>107.401733586228</v>
      </c>
      <c r="AJ336">
        <v>80.458020362354702</v>
      </c>
      <c r="AK336">
        <v>0.59622730502589505</v>
      </c>
      <c r="AL336">
        <v>91.442084815024103</v>
      </c>
      <c r="AM336">
        <v>93.298589282519899</v>
      </c>
      <c r="AN336">
        <v>0.99999996734577401</v>
      </c>
    </row>
    <row r="337" spans="1:40" x14ac:dyDescent="0.25">
      <c r="A337" t="str">
        <f>"20190305135540293"</f>
        <v>20190305135540293</v>
      </c>
      <c r="B337" t="str">
        <f>"1551765340281795"</f>
        <v>1551765340281795</v>
      </c>
      <c r="C337" t="s">
        <v>40</v>
      </c>
      <c r="D337">
        <v>3.7221329999999999</v>
      </c>
      <c r="E337">
        <v>0.54767659999999996</v>
      </c>
      <c r="F337" t="s">
        <v>41</v>
      </c>
      <c r="G337">
        <v>-394.03379999999999</v>
      </c>
      <c r="H337">
        <v>0.90916350000000001</v>
      </c>
      <c r="I337">
        <v>368.16340000000002</v>
      </c>
      <c r="J337">
        <v>-394.63029999999998</v>
      </c>
      <c r="K337">
        <v>1.0970500000000001</v>
      </c>
      <c r="L337">
        <v>368.22989999999999</v>
      </c>
      <c r="M337">
        <v>0.9999962</v>
      </c>
      <c r="N337">
        <v>-1.7640820000000001E-4</v>
      </c>
      <c r="O337">
        <v>2.7722879999999999E-3</v>
      </c>
      <c r="P337">
        <v>0.99784099999999998</v>
      </c>
      <c r="Q337">
        <v>-2.5630460000000001E-2</v>
      </c>
      <c r="R337">
        <v>6.0471230000000001E-2</v>
      </c>
      <c r="S337">
        <v>3.0047000000000001</v>
      </c>
      <c r="T337">
        <v>-0.60706870000000002</v>
      </c>
      <c r="U337">
        <v>-0.2146912</v>
      </c>
      <c r="V337">
        <v>-5.7716429999999999E-2</v>
      </c>
      <c r="W337">
        <v>-2.542757E-2</v>
      </c>
      <c r="X337">
        <v>0.99800909999999998</v>
      </c>
      <c r="Y337">
        <v>7.2520089999999995E-2</v>
      </c>
      <c r="Z337">
        <v>-7.8035580000000004E-3</v>
      </c>
      <c r="AA337">
        <v>0.99733640000000001</v>
      </c>
      <c r="AB337">
        <v>35</v>
      </c>
      <c r="AC337">
        <v>0.59649999999999104</v>
      </c>
      <c r="AD337">
        <v>-0.18788650000000001</v>
      </c>
      <c r="AE337">
        <v>-6.64999999999622E-2</v>
      </c>
      <c r="AF337">
        <v>6.20707627207756E-2</v>
      </c>
      <c r="AG337">
        <v>-0.18788650000000001</v>
      </c>
      <c r="AH337">
        <v>0.54309274072292801</v>
      </c>
      <c r="AI337">
        <v>108.968816079506</v>
      </c>
      <c r="AJ337">
        <v>83.479883652883601</v>
      </c>
      <c r="AK337">
        <v>0.578017163666383</v>
      </c>
      <c r="AL337">
        <v>91.457049549659203</v>
      </c>
      <c r="AM337">
        <v>93.309818104543496</v>
      </c>
      <c r="AN337">
        <v>0.99999995564542898</v>
      </c>
    </row>
    <row r="338" spans="1:40" x14ac:dyDescent="0.25">
      <c r="A338" t="str">
        <f>"20190305135540315"</f>
        <v>20190305135540315</v>
      </c>
      <c r="B338" t="str">
        <f>"1551765340301819"</f>
        <v>1551765340301819</v>
      </c>
      <c r="C338" t="s">
        <v>40</v>
      </c>
      <c r="D338">
        <v>3.7167089999999998</v>
      </c>
      <c r="E338">
        <v>0.54823829999999996</v>
      </c>
      <c r="F338" t="s">
        <v>41</v>
      </c>
      <c r="G338">
        <v>-393.71539999999999</v>
      </c>
      <c r="H338">
        <v>0.91346749999999999</v>
      </c>
      <c r="I338">
        <v>368.16129999999998</v>
      </c>
      <c r="J338">
        <v>-394.27949999999998</v>
      </c>
      <c r="K338">
        <v>1.098894</v>
      </c>
      <c r="L338">
        <v>368.23059999999998</v>
      </c>
      <c r="M338">
        <v>0.99999559999999998</v>
      </c>
      <c r="N338">
        <v>-1.5346369999999999E-3</v>
      </c>
      <c r="O338">
        <v>2.564616E-3</v>
      </c>
      <c r="P338">
        <v>0.99779870000000004</v>
      </c>
      <c r="Q338">
        <v>-2.764204E-2</v>
      </c>
      <c r="R338">
        <v>6.0281599999999998E-2</v>
      </c>
      <c r="S338">
        <v>3.0046390000000001</v>
      </c>
      <c r="T338">
        <v>-0.60292199999999996</v>
      </c>
      <c r="U338">
        <v>-0.22460939999999999</v>
      </c>
      <c r="V338">
        <v>-5.7734489999999999E-2</v>
      </c>
      <c r="W338">
        <v>-2.608336E-2</v>
      </c>
      <c r="X338">
        <v>0.99799119999999997</v>
      </c>
      <c r="Y338">
        <v>7.5543949999999999E-2</v>
      </c>
      <c r="Z338">
        <v>-8.0581119999999992E-3</v>
      </c>
      <c r="AA338">
        <v>0.99710989999999999</v>
      </c>
      <c r="AB338">
        <v>35</v>
      </c>
      <c r="AC338">
        <v>0.56409999999999605</v>
      </c>
      <c r="AD338">
        <v>-0.18542649999999999</v>
      </c>
      <c r="AE338">
        <v>-6.9299999999998294E-2</v>
      </c>
      <c r="AF338">
        <v>6.3940334925321904E-2</v>
      </c>
      <c r="AG338">
        <v>-0.18542649999999999</v>
      </c>
      <c r="AH338">
        <v>0.50966865895715097</v>
      </c>
      <c r="AI338">
        <v>109.848976950356</v>
      </c>
      <c r="AJ338">
        <v>82.849332815332403</v>
      </c>
      <c r="AK338">
        <v>0.54610758578854501</v>
      </c>
      <c r="AL338">
        <v>91.494635917297103</v>
      </c>
      <c r="AM338">
        <v>93.310910724787604</v>
      </c>
      <c r="AN338">
        <v>1.0000000241409399</v>
      </c>
    </row>
    <row r="339" spans="1:40" x14ac:dyDescent="0.25">
      <c r="A339" t="str">
        <f>"20190305135544805"</f>
        <v>20190305135544805</v>
      </c>
      <c r="B339" t="str">
        <f>"1551765344801721"</f>
        <v>1551765344801721</v>
      </c>
      <c r="C339" t="s">
        <v>40</v>
      </c>
      <c r="D339">
        <v>4.2232589999999997</v>
      </c>
      <c r="E339">
        <v>0.68713089999999999</v>
      </c>
      <c r="F339" t="s">
        <v>41</v>
      </c>
      <c r="G339">
        <v>-388.04349999999999</v>
      </c>
      <c r="H339">
        <v>0.98588010000000004</v>
      </c>
      <c r="I339">
        <v>368.18939999999998</v>
      </c>
      <c r="J339">
        <v>-388.50650000000002</v>
      </c>
      <c r="K339">
        <v>1.1089150000000001</v>
      </c>
      <c r="L339">
        <v>368.23239999999998</v>
      </c>
      <c r="M339">
        <v>0.99991229999999998</v>
      </c>
      <c r="N339">
        <v>-1.320933E-2</v>
      </c>
      <c r="O339">
        <v>-9.1877059999999995E-4</v>
      </c>
      <c r="P339">
        <v>0.99863970000000002</v>
      </c>
      <c r="Q339">
        <v>-1.6113369999999998E-2</v>
      </c>
      <c r="R339">
        <v>4.9589620000000001E-2</v>
      </c>
      <c r="S339">
        <v>3.0051269999999999</v>
      </c>
      <c r="T339">
        <v>-0.51817479999999905</v>
      </c>
      <c r="U339">
        <v>-0.1811218</v>
      </c>
      <c r="V339">
        <v>-5.0508549999999999E-2</v>
      </c>
      <c r="W339">
        <v>-2.8956229999999999E-3</v>
      </c>
      <c r="X339">
        <v>0.99871949999999998</v>
      </c>
      <c r="Y339">
        <v>5.8331470000000003E-2</v>
      </c>
      <c r="Z339">
        <v>-5.2313709999999899E-3</v>
      </c>
      <c r="AA339">
        <v>0.99828360000000005</v>
      </c>
      <c r="AB339">
        <v>35</v>
      </c>
      <c r="AC339">
        <v>0.46300000000002201</v>
      </c>
      <c r="AD339">
        <v>-0.123034899999999</v>
      </c>
      <c r="AE339">
        <v>-4.3000000000006297E-2</v>
      </c>
      <c r="AF339">
        <v>3.9788902598431097E-2</v>
      </c>
      <c r="AG339">
        <v>-0.123034899999999</v>
      </c>
      <c r="AH339">
        <v>0.432742671584886</v>
      </c>
      <c r="AI339">
        <v>105.80787830571001</v>
      </c>
      <c r="AJ339">
        <v>84.746660310116994</v>
      </c>
      <c r="AK339">
        <v>0.45164915941294698</v>
      </c>
      <c r="AL339">
        <v>90.165907197364405</v>
      </c>
      <c r="AM339">
        <v>92.895170563021296</v>
      </c>
      <c r="AN339">
        <v>1.00000006896795</v>
      </c>
    </row>
    <row r="340" spans="1:40" x14ac:dyDescent="0.25">
      <c r="A340" t="str">
        <f>"20190305135544829"</f>
        <v>20190305135544829</v>
      </c>
      <c r="B340" t="str">
        <f>"1551765344822218"</f>
        <v>1551765344822218</v>
      </c>
      <c r="C340" t="s">
        <v>40</v>
      </c>
      <c r="D340">
        <v>4.5309809999999997</v>
      </c>
      <c r="E340">
        <v>0.66849609999999904</v>
      </c>
      <c r="F340" t="s">
        <v>42</v>
      </c>
      <c r="G340">
        <v>-385.02229999999997</v>
      </c>
      <c r="H340" s="1">
        <v>-2.642694E-6</v>
      </c>
      <c r="I340">
        <v>366.65679999999998</v>
      </c>
      <c r="J340">
        <v>-388.14150000000001</v>
      </c>
      <c r="K340">
        <v>1.109019</v>
      </c>
      <c r="L340">
        <v>368.23180000000002</v>
      </c>
      <c r="M340">
        <v>0.99990950000000001</v>
      </c>
      <c r="N340">
        <v>-1.3412179999999999E-2</v>
      </c>
      <c r="O340">
        <v>-1.1407069999999999E-3</v>
      </c>
      <c r="P340">
        <v>0.99869450000000004</v>
      </c>
      <c r="Q340">
        <v>-1.5747259999999999E-2</v>
      </c>
      <c r="R340">
        <v>4.8594060000000001E-2</v>
      </c>
      <c r="S340">
        <v>3.0570369999999998</v>
      </c>
      <c r="T340">
        <v>-0.97293960000000002</v>
      </c>
      <c r="U340">
        <v>-1.382355</v>
      </c>
      <c r="V340">
        <v>-4.973474E-2</v>
      </c>
      <c r="W340">
        <v>-2.3266799999999998E-3</v>
      </c>
      <c r="X340">
        <v>0.99875970000000003</v>
      </c>
      <c r="Y340">
        <v>0.3939761</v>
      </c>
      <c r="Z340">
        <v>-6.1014930000000002E-2</v>
      </c>
      <c r="AA340">
        <v>0.91709320000000005</v>
      </c>
      <c r="AB340">
        <v>35</v>
      </c>
      <c r="AC340">
        <v>3.1192000000000299</v>
      </c>
      <c r="AD340">
        <v>-1.1090216426940001</v>
      </c>
      <c r="AE340">
        <v>-1.5750000000000399</v>
      </c>
      <c r="AF340">
        <v>1.42763359058188</v>
      </c>
      <c r="AG340">
        <v>-1.1090216426940001</v>
      </c>
      <c r="AH340">
        <v>2.8353836866212698</v>
      </c>
      <c r="AI340">
        <v>109.25694553468399</v>
      </c>
      <c r="AJ340">
        <v>63.274456714139497</v>
      </c>
      <c r="AK340">
        <v>3.3626577767116599</v>
      </c>
      <c r="AL340">
        <v>90.133309071476702</v>
      </c>
      <c r="AM340">
        <v>92.850774642354395</v>
      </c>
      <c r="AN340">
        <v>0.99999994807338799</v>
      </c>
    </row>
    <row r="341" spans="1:40" x14ac:dyDescent="0.25">
      <c r="A341" t="str">
        <f>"20190305135544851"</f>
        <v>20190305135544851</v>
      </c>
      <c r="B341" t="str">
        <f>"1551765344841737"</f>
        <v>1551765344841737</v>
      </c>
      <c r="C341" t="s">
        <v>40</v>
      </c>
      <c r="D341">
        <v>4.3161740000000002</v>
      </c>
      <c r="E341">
        <v>0.65906299999999995</v>
      </c>
      <c r="F341" t="s">
        <v>42</v>
      </c>
      <c r="G341">
        <v>-384.3766</v>
      </c>
      <c r="H341" s="1">
        <v>-2.9105380000000001E-6</v>
      </c>
      <c r="I341">
        <v>366.70839999999998</v>
      </c>
      <c r="J341">
        <v>-387.79610000000002</v>
      </c>
      <c r="K341">
        <v>1.109103</v>
      </c>
      <c r="L341">
        <v>368.2312</v>
      </c>
      <c r="M341">
        <v>0.99990699999999999</v>
      </c>
      <c r="N341">
        <v>-1.357481E-2</v>
      </c>
      <c r="O341">
        <v>-1.3510579999999901E-3</v>
      </c>
      <c r="P341">
        <v>0.99872780000000005</v>
      </c>
      <c r="Q341">
        <v>-1.544062E-2</v>
      </c>
      <c r="R341">
        <v>4.8007000000000001E-2</v>
      </c>
      <c r="S341">
        <v>3.0498050000000001</v>
      </c>
      <c r="T341">
        <v>-0.89836959999999999</v>
      </c>
      <c r="U341">
        <v>-1.2340089999999999</v>
      </c>
      <c r="V341">
        <v>-4.9357600000000001E-2</v>
      </c>
      <c r="W341">
        <v>-1.8574069999999999E-3</v>
      </c>
      <c r="X341">
        <v>0.99877939999999998</v>
      </c>
      <c r="Y341">
        <v>0.35998709999999901</v>
      </c>
      <c r="Z341">
        <v>-5.2284120000000003E-2</v>
      </c>
      <c r="AA341">
        <v>0.93149110000000002</v>
      </c>
      <c r="AB341">
        <v>35</v>
      </c>
      <c r="AC341">
        <v>3.4195000000000202</v>
      </c>
      <c r="AD341">
        <v>-1.1091059105379999</v>
      </c>
      <c r="AE341">
        <v>-1.5228000000000099</v>
      </c>
      <c r="AF341">
        <v>1.39565276831913</v>
      </c>
      <c r="AG341">
        <v>-1.1091059105379999</v>
      </c>
      <c r="AH341">
        <v>3.1454158819745999</v>
      </c>
      <c r="AI341">
        <v>107.864500156034</v>
      </c>
      <c r="AJ341">
        <v>66.072655671415006</v>
      </c>
      <c r="AK341">
        <v>3.6154672783867401</v>
      </c>
      <c r="AL341">
        <v>90.106421647785595</v>
      </c>
      <c r="AM341">
        <v>92.8291366777147</v>
      </c>
      <c r="AN341">
        <v>0.99999995625144</v>
      </c>
    </row>
    <row r="342" spans="1:40" x14ac:dyDescent="0.25">
      <c r="A342" t="str">
        <f>"20190305135544872"</f>
        <v>20190305135544872</v>
      </c>
      <c r="B342" t="str">
        <f>"1551765344862246"</f>
        <v>1551765344862246</v>
      </c>
      <c r="C342" t="s">
        <v>40</v>
      </c>
      <c r="D342">
        <v>4.4498350000000002</v>
      </c>
      <c r="E342">
        <v>0.65031600000000001</v>
      </c>
      <c r="F342" t="s">
        <v>42</v>
      </c>
      <c r="G342">
        <v>-383.94349999999997</v>
      </c>
      <c r="H342" s="1">
        <v>-3.0864549999999998E-6</v>
      </c>
      <c r="I342">
        <v>366.76400000000001</v>
      </c>
      <c r="J342">
        <v>-387.46260000000001</v>
      </c>
      <c r="K342">
        <v>1.10917</v>
      </c>
      <c r="L342">
        <v>368.23050000000001</v>
      </c>
      <c r="M342">
        <v>0.99990480000000004</v>
      </c>
      <c r="N342">
        <v>-1.3709839999999999E-2</v>
      </c>
      <c r="O342">
        <v>-1.5544300000000001E-3</v>
      </c>
      <c r="P342">
        <v>0.99872720000000004</v>
      </c>
      <c r="Q342">
        <v>-1.455527E-2</v>
      </c>
      <c r="R342">
        <v>4.8291830000000001E-2</v>
      </c>
      <c r="S342">
        <v>3.0459900000000002</v>
      </c>
      <c r="T342">
        <v>-0.87687870000000001</v>
      </c>
      <c r="U342">
        <v>-1.1599120000000001</v>
      </c>
      <c r="V342">
        <v>-4.9844869999999999E-2</v>
      </c>
      <c r="W342">
        <v>-8.3709509999999997E-4</v>
      </c>
      <c r="X342">
        <v>0.99875659999999999</v>
      </c>
      <c r="Y342">
        <v>0.34165689999999999</v>
      </c>
      <c r="Z342">
        <v>-4.8716570000000001E-2</v>
      </c>
      <c r="AA342">
        <v>0.93856130000000004</v>
      </c>
      <c r="AB342">
        <v>35</v>
      </c>
      <c r="AC342">
        <v>3.5191000000000301</v>
      </c>
      <c r="AD342">
        <v>-1.109173086455</v>
      </c>
      <c r="AE342">
        <v>-1.4664999999999899</v>
      </c>
      <c r="AF342">
        <v>1.34701188956565</v>
      </c>
      <c r="AG342">
        <v>-1.109173086455</v>
      </c>
      <c r="AH342">
        <v>3.2465745163637898</v>
      </c>
      <c r="AI342">
        <v>107.51366875314901</v>
      </c>
      <c r="AJ342">
        <v>67.466315614493297</v>
      </c>
      <c r="AK342">
        <v>3.6857769949699999</v>
      </c>
      <c r="AL342">
        <v>90.0479620228935</v>
      </c>
      <c r="AM342">
        <v>92.857085653776807</v>
      </c>
      <c r="AN342">
        <v>0.99999997891854098</v>
      </c>
    </row>
    <row r="343" spans="1:40" x14ac:dyDescent="0.25">
      <c r="A343" t="str">
        <f>"20190305135544896"</f>
        <v>20190305135544896</v>
      </c>
      <c r="B343" t="str">
        <f>"1551765344892021"</f>
        <v>1551765344892021</v>
      </c>
      <c r="C343" t="s">
        <v>40</v>
      </c>
      <c r="D343">
        <v>4.5683989999999897</v>
      </c>
      <c r="E343">
        <v>0.6400979</v>
      </c>
      <c r="F343" t="s">
        <v>42</v>
      </c>
      <c r="G343">
        <v>-383.5949</v>
      </c>
      <c r="H343" s="1">
        <v>-3.2212810000000001E-6</v>
      </c>
      <c r="I343">
        <v>366.84719999999999</v>
      </c>
      <c r="J343">
        <v>-387.0992</v>
      </c>
      <c r="K343">
        <v>1.109227</v>
      </c>
      <c r="L343">
        <v>368.22969999999998</v>
      </c>
      <c r="M343">
        <v>0.99990270000000003</v>
      </c>
      <c r="N343">
        <v>-1.3836070000000001E-2</v>
      </c>
      <c r="O343">
        <v>-1.776941E-3</v>
      </c>
      <c r="P343">
        <v>0.99872539999999999</v>
      </c>
      <c r="Q343">
        <v>-1.4138349999999999E-2</v>
      </c>
      <c r="R343">
        <v>4.8453299999999998E-2</v>
      </c>
      <c r="S343">
        <v>3.043701</v>
      </c>
      <c r="T343">
        <v>-0.87284830000000002</v>
      </c>
      <c r="U343">
        <v>-1.088562</v>
      </c>
      <c r="V343">
        <v>-5.022778E-2</v>
      </c>
      <c r="W343">
        <v>-2.9404970000000002E-4</v>
      </c>
      <c r="X343">
        <v>0.99873780000000001</v>
      </c>
      <c r="Y343">
        <v>0.32294109999999998</v>
      </c>
      <c r="Z343">
        <v>-4.5979890000000002E-2</v>
      </c>
      <c r="AA343">
        <v>0.94530150000000002</v>
      </c>
      <c r="AB343">
        <v>34</v>
      </c>
      <c r="AC343">
        <v>3.5043000000000002</v>
      </c>
      <c r="AD343">
        <v>-1.1092302212809999</v>
      </c>
      <c r="AE343">
        <v>-1.3824999999999901</v>
      </c>
      <c r="AF343">
        <v>1.2664679474796201</v>
      </c>
      <c r="AG343">
        <v>-1.1092302212809999</v>
      </c>
      <c r="AH343">
        <v>3.2269737953617801</v>
      </c>
      <c r="AI343">
        <v>107.743455650927</v>
      </c>
      <c r="AJ343">
        <v>68.571827658657</v>
      </c>
      <c r="AK343">
        <v>3.63973798806287</v>
      </c>
      <c r="AL343">
        <v>90.016847806097402</v>
      </c>
      <c r="AM343">
        <v>92.879051200976605</v>
      </c>
      <c r="AN343">
        <v>1.0000000547488901</v>
      </c>
    </row>
    <row r="344" spans="1:40" x14ac:dyDescent="0.25">
      <c r="A344" t="str">
        <f>"20190305135544917"</f>
        <v>20190305135544917</v>
      </c>
      <c r="B344" t="str">
        <f>"1551765344911541"</f>
        <v>1551765344911541</v>
      </c>
      <c r="C344" t="s">
        <v>40</v>
      </c>
      <c r="D344">
        <v>4.4782989999999998</v>
      </c>
      <c r="E344">
        <v>0.63604659999999902</v>
      </c>
      <c r="F344" t="s">
        <v>42</v>
      </c>
      <c r="G344">
        <v>-383.21609999999998</v>
      </c>
      <c r="H344" s="1">
        <v>-3.3664219999999998E-6</v>
      </c>
      <c r="I344">
        <v>366.94510000000002</v>
      </c>
      <c r="J344">
        <v>-386.78230000000002</v>
      </c>
      <c r="K344">
        <v>1.1092660000000001</v>
      </c>
      <c r="L344">
        <v>368.22899999999998</v>
      </c>
      <c r="M344">
        <v>0.99990109999999999</v>
      </c>
      <c r="N344">
        <v>-1.3931610000000001E-2</v>
      </c>
      <c r="O344">
        <v>-1.971694E-3</v>
      </c>
      <c r="P344">
        <v>0.99870230000000004</v>
      </c>
      <c r="Q344">
        <v>-1.367904E-2</v>
      </c>
      <c r="R344">
        <v>4.905698E-2</v>
      </c>
      <c r="S344">
        <v>3.040314</v>
      </c>
      <c r="T344">
        <v>-0.86846659999999998</v>
      </c>
      <c r="U344">
        <v>-1.005768</v>
      </c>
      <c r="V344">
        <v>-5.1025929999999997E-2</v>
      </c>
      <c r="W344">
        <v>2.6065499999999999E-4</v>
      </c>
      <c r="X344">
        <v>0.99869730000000001</v>
      </c>
      <c r="Y344">
        <v>0.30080489999999999</v>
      </c>
      <c r="Z344">
        <v>-4.276282E-2</v>
      </c>
      <c r="AA344">
        <v>0.95272650000000003</v>
      </c>
      <c r="AB344">
        <v>34</v>
      </c>
      <c r="AC344">
        <v>3.56620000000003</v>
      </c>
      <c r="AD344">
        <v>-1.1092693664219999</v>
      </c>
      <c r="AE344">
        <v>-1.28390000000001</v>
      </c>
      <c r="AF344">
        <v>1.17612870931599</v>
      </c>
      <c r="AG344">
        <v>-1.1092693664219999</v>
      </c>
      <c r="AH344">
        <v>3.2871748004611101</v>
      </c>
      <c r="AI344">
        <v>107.62655194454101</v>
      </c>
      <c r="AJ344">
        <v>70.313137257097793</v>
      </c>
      <c r="AK344">
        <v>3.6632329214706099</v>
      </c>
      <c r="AL344">
        <v>89.985065568500303</v>
      </c>
      <c r="AM344">
        <v>92.924840664372496</v>
      </c>
      <c r="AN344">
        <v>1.0000000052503399</v>
      </c>
    </row>
    <row r="345" spans="1:40" x14ac:dyDescent="0.25">
      <c r="A345" t="str">
        <f>"20190305135544939"</f>
        <v>20190305135544939</v>
      </c>
      <c r="B345" t="str">
        <f>"1551765344932040"</f>
        <v>1551765344932040</v>
      </c>
      <c r="C345" t="s">
        <v>40</v>
      </c>
      <c r="D345">
        <v>4.481967</v>
      </c>
      <c r="E345">
        <v>0.63322609999999901</v>
      </c>
      <c r="F345" t="s">
        <v>42</v>
      </c>
      <c r="G345">
        <v>-382.90440000000001</v>
      </c>
      <c r="H345" s="1">
        <v>-3.492123E-6</v>
      </c>
      <c r="I345">
        <v>366.99029999999999</v>
      </c>
      <c r="J345">
        <v>-386.43259999999998</v>
      </c>
      <c r="K345">
        <v>1.1093059999999999</v>
      </c>
      <c r="L345">
        <v>368.22809999999998</v>
      </c>
      <c r="M345">
        <v>0.99989930000000005</v>
      </c>
      <c r="N345">
        <v>-1.402261E-2</v>
      </c>
      <c r="O345">
        <v>-2.1867990000000001E-3</v>
      </c>
      <c r="P345">
        <v>0.99869019999999997</v>
      </c>
      <c r="Q345">
        <v>-1.393633E-2</v>
      </c>
      <c r="R345">
        <v>4.9232360000000003E-2</v>
      </c>
      <c r="S345">
        <v>3.0396730000000001</v>
      </c>
      <c r="T345">
        <v>-0.86948440000000005</v>
      </c>
      <c r="U345">
        <v>-0.97088620000000003</v>
      </c>
      <c r="V345">
        <v>-5.1416440000000001E-2</v>
      </c>
      <c r="W345" s="1">
        <v>9.4099439999999998E-5</v>
      </c>
      <c r="X345">
        <v>0.99867729999999999</v>
      </c>
      <c r="Y345">
        <v>0.29105890000000001</v>
      </c>
      <c r="Z345">
        <v>-4.1431959999999997E-2</v>
      </c>
      <c r="AA345">
        <v>0.95580759999999998</v>
      </c>
      <c r="AB345">
        <v>34</v>
      </c>
      <c r="AC345">
        <v>3.5281999999999698</v>
      </c>
      <c r="AD345">
        <v>-1.109309492123</v>
      </c>
      <c r="AE345">
        <v>-1.23779999999999</v>
      </c>
      <c r="AF345">
        <v>1.1305668908351301</v>
      </c>
      <c r="AG345">
        <v>-1.109309492123</v>
      </c>
      <c r="AH345">
        <v>3.24524783366773</v>
      </c>
      <c r="AI345">
        <v>107.88998901507701</v>
      </c>
      <c r="AJ345">
        <v>70.792882774213894</v>
      </c>
      <c r="AK345">
        <v>3.61114698480855</v>
      </c>
      <c r="AL345">
        <v>89.994608499248898</v>
      </c>
      <c r="AM345">
        <v>92.947244564496401</v>
      </c>
      <c r="AN345">
        <v>1.0000000043461299</v>
      </c>
    </row>
    <row r="346" spans="1:40" x14ac:dyDescent="0.25">
      <c r="A346" t="str">
        <f>"20190305135544962"</f>
        <v>20190305135544962</v>
      </c>
      <c r="B346" t="str">
        <f>"1551765344951557"</f>
        <v>1551765344951557</v>
      </c>
      <c r="C346" t="s">
        <v>40</v>
      </c>
      <c r="D346">
        <v>4.4659110000000002</v>
      </c>
      <c r="E346">
        <v>0.63141849999999999</v>
      </c>
      <c r="F346" t="s">
        <v>42</v>
      </c>
      <c r="G346">
        <v>-382.55180000000001</v>
      </c>
      <c r="H346" s="1">
        <v>-3.6386280000000001E-6</v>
      </c>
      <c r="I346">
        <v>367.0172</v>
      </c>
      <c r="J346">
        <v>-386.08300000000003</v>
      </c>
      <c r="K346">
        <v>1.1093489999999999</v>
      </c>
      <c r="L346">
        <v>368.22710000000001</v>
      </c>
      <c r="M346">
        <v>0.9998977</v>
      </c>
      <c r="N346">
        <v>-1.4100909999999999E-2</v>
      </c>
      <c r="O346">
        <v>-2.4020510000000001E-3</v>
      </c>
      <c r="P346">
        <v>0.99869450000000004</v>
      </c>
      <c r="Q346">
        <v>-1.429048E-2</v>
      </c>
      <c r="R346">
        <v>4.904174E-2</v>
      </c>
      <c r="S346">
        <v>3.038605</v>
      </c>
      <c r="T346">
        <v>-0.86855669999999996</v>
      </c>
      <c r="U346">
        <v>-0.94805910000000004</v>
      </c>
      <c r="V346">
        <v>-5.1440720000000002E-2</v>
      </c>
      <c r="W346">
        <v>-1.8190980000000001E-4</v>
      </c>
      <c r="X346">
        <v>0.99867609999999996</v>
      </c>
      <c r="Y346">
        <v>0.28465309999999999</v>
      </c>
      <c r="Z346">
        <v>-4.0474330000000003E-2</v>
      </c>
      <c r="AA346">
        <v>0.95777579999999995</v>
      </c>
      <c r="AB346">
        <v>34</v>
      </c>
      <c r="AC346">
        <v>3.5312000000000099</v>
      </c>
      <c r="AD346">
        <v>-1.1093526386279999</v>
      </c>
      <c r="AE346">
        <v>-1.2099</v>
      </c>
      <c r="AF346">
        <v>1.1039098637545901</v>
      </c>
      <c r="AG346">
        <v>-1.1093526386279999</v>
      </c>
      <c r="AH346">
        <v>3.2472780360976299</v>
      </c>
      <c r="AI346">
        <v>107.92362501796801</v>
      </c>
      <c r="AJ346">
        <v>71.2245712030725</v>
      </c>
      <c r="AK346">
        <v>3.6047322935063701</v>
      </c>
      <c r="AL346">
        <v>90.010422663153903</v>
      </c>
      <c r="AM346">
        <v>92.948637401024399</v>
      </c>
      <c r="AN346">
        <v>1.00000006673824</v>
      </c>
    </row>
    <row r="347" spans="1:40" x14ac:dyDescent="0.25">
      <c r="A347" t="str">
        <f>"20190305135544983"</f>
        <v>20190305135544983</v>
      </c>
      <c r="B347" t="str">
        <f>"1551765344972053"</f>
        <v>1551765344972053</v>
      </c>
      <c r="C347" t="s">
        <v>40</v>
      </c>
      <c r="D347">
        <v>4.4598339999999999</v>
      </c>
      <c r="E347">
        <v>0.62944469999999997</v>
      </c>
      <c r="F347" t="s">
        <v>41</v>
      </c>
      <c r="G347">
        <v>-385.30919999999998</v>
      </c>
      <c r="H347">
        <v>0.88791409999999904</v>
      </c>
      <c r="I347">
        <v>367.9889</v>
      </c>
      <c r="J347">
        <v>-385.7638</v>
      </c>
      <c r="K347">
        <v>1.109381</v>
      </c>
      <c r="L347">
        <v>368.22609999999997</v>
      </c>
      <c r="M347">
        <v>0.99989629999999996</v>
      </c>
      <c r="N347">
        <v>-1.416248E-2</v>
      </c>
      <c r="O347">
        <v>-2.5988249999999999E-3</v>
      </c>
      <c r="P347">
        <v>0.998699</v>
      </c>
      <c r="Q347">
        <v>-1.463006E-2</v>
      </c>
      <c r="R347">
        <v>4.8851899999999997E-2</v>
      </c>
      <c r="S347">
        <v>3.0373540000000001</v>
      </c>
      <c r="T347">
        <v>-0.86921499999999996</v>
      </c>
      <c r="U347">
        <v>-0.9343262</v>
      </c>
      <c r="V347">
        <v>-5.1447859999999998E-2</v>
      </c>
      <c r="W347">
        <v>-4.6005790000000003E-4</v>
      </c>
      <c r="X347">
        <v>0.9986756</v>
      </c>
      <c r="Y347">
        <v>0.28073910000000002</v>
      </c>
      <c r="Z347">
        <v>-3.9931389999999997E-2</v>
      </c>
      <c r="AA347">
        <v>0.9589531</v>
      </c>
      <c r="AB347">
        <v>34</v>
      </c>
      <c r="AC347">
        <v>0.45460000000002698</v>
      </c>
      <c r="AD347">
        <v>-0.22146689999999999</v>
      </c>
      <c r="AE347">
        <v>-0.23719999999997299</v>
      </c>
      <c r="AF347">
        <v>0.198911520507602</v>
      </c>
      <c r="AG347">
        <v>-0.22146689999999999</v>
      </c>
      <c r="AH347">
        <v>0.38364715380960901</v>
      </c>
      <c r="AI347">
        <v>117.13425974475901</v>
      </c>
      <c r="AJ347">
        <v>62.594382338514698</v>
      </c>
      <c r="AK347">
        <v>0.48559089716804799</v>
      </c>
      <c r="AL347">
        <v>90.026359376298998</v>
      </c>
      <c r="AM347">
        <v>92.949047424974495</v>
      </c>
      <c r="AN347">
        <v>1.0000000239936</v>
      </c>
    </row>
    <row r="348" spans="1:40" x14ac:dyDescent="0.25">
      <c r="A348" t="str">
        <f>"20190305135544997"</f>
        <v>20190305135544997</v>
      </c>
      <c r="B348" t="str">
        <f>"1551765344992549"</f>
        <v>1551765344992549</v>
      </c>
      <c r="C348" t="s">
        <v>40</v>
      </c>
      <c r="D348">
        <v>4.4522459999999997</v>
      </c>
      <c r="E348">
        <v>0.62815509999999997</v>
      </c>
      <c r="F348" t="s">
        <v>41</v>
      </c>
      <c r="G348">
        <v>-385.0018</v>
      </c>
      <c r="H348">
        <v>0.89166869999999998</v>
      </c>
      <c r="I348">
        <v>367.99520000000001</v>
      </c>
      <c r="J348">
        <v>-385.56079999999997</v>
      </c>
      <c r="K348">
        <v>1.1093980000000001</v>
      </c>
      <c r="L348">
        <v>368.22550000000001</v>
      </c>
      <c r="M348">
        <v>0.9998956</v>
      </c>
      <c r="N348">
        <v>-1.4197329999999999E-2</v>
      </c>
      <c r="O348">
        <v>-2.723764E-3</v>
      </c>
      <c r="P348">
        <v>0.99871169999999998</v>
      </c>
      <c r="Q348">
        <v>-1.469607E-2</v>
      </c>
      <c r="R348">
        <v>4.8570839999999997E-2</v>
      </c>
      <c r="S348">
        <v>3.0361630000000002</v>
      </c>
      <c r="T348">
        <v>-0.86749179999999904</v>
      </c>
      <c r="U348">
        <v>-0.91961669999999995</v>
      </c>
      <c r="V348">
        <v>-5.1291179999999999E-2</v>
      </c>
      <c r="W348">
        <v>-4.9124089999999997E-4</v>
      </c>
      <c r="X348">
        <v>0.9986836</v>
      </c>
      <c r="Y348">
        <v>0.27665020000000001</v>
      </c>
      <c r="Z348">
        <v>-3.9277800000000002E-2</v>
      </c>
      <c r="AA348">
        <v>0.96016760000000001</v>
      </c>
      <c r="AB348">
        <v>34</v>
      </c>
      <c r="AC348">
        <v>0.55899999999996897</v>
      </c>
      <c r="AD348">
        <v>-0.21772929999999899</v>
      </c>
      <c r="AE348">
        <v>-0.23029999999999901</v>
      </c>
      <c r="AF348">
        <v>0.20251163420587101</v>
      </c>
      <c r="AG348">
        <v>-0.21772929999999899</v>
      </c>
      <c r="AH348">
        <v>0.49537725196374899</v>
      </c>
      <c r="AI348">
        <v>112.138433169534</v>
      </c>
      <c r="AJ348">
        <v>67.765116021944394</v>
      </c>
      <c r="AK348">
        <v>0.57776780096365499</v>
      </c>
      <c r="AL348">
        <v>90.028146031997906</v>
      </c>
      <c r="AM348">
        <v>92.940058627513594</v>
      </c>
      <c r="AN348">
        <v>0.99999997968618604</v>
      </c>
    </row>
    <row r="349" spans="1:40" x14ac:dyDescent="0.25">
      <c r="A349" t="str">
        <f>"20190305135545016"</f>
        <v>20190305135545016</v>
      </c>
      <c r="B349" t="str">
        <f>"1551765345012069"</f>
        <v>1551765345012069</v>
      </c>
      <c r="C349" t="s">
        <v>40</v>
      </c>
      <c r="D349">
        <v>4.4949199999999996</v>
      </c>
      <c r="E349">
        <v>0.62720259999999906</v>
      </c>
      <c r="F349" t="s">
        <v>42</v>
      </c>
      <c r="G349">
        <v>-381.6712</v>
      </c>
      <c r="H349" s="1">
        <v>-4.0089779999999999E-6</v>
      </c>
      <c r="I349">
        <v>367.05889999999999</v>
      </c>
      <c r="J349">
        <v>-385.25060000000002</v>
      </c>
      <c r="K349">
        <v>1.109424</v>
      </c>
      <c r="L349">
        <v>368.2244</v>
      </c>
      <c r="M349">
        <v>0.99989430000000001</v>
      </c>
      <c r="N349">
        <v>-1.4244949999999999E-2</v>
      </c>
      <c r="O349">
        <v>-2.9148360000000001E-3</v>
      </c>
      <c r="P349">
        <v>0.99873789999999996</v>
      </c>
      <c r="Q349">
        <v>-1.475517E-2</v>
      </c>
      <c r="R349">
        <v>4.8010709999999998E-2</v>
      </c>
      <c r="S349">
        <v>3.0354000000000001</v>
      </c>
      <c r="T349">
        <v>-0.86575419999999903</v>
      </c>
      <c r="U349">
        <v>-0.91033940000000002</v>
      </c>
      <c r="V349">
        <v>-5.092211E-2</v>
      </c>
      <c r="W349">
        <v>-5.0273210000000002E-4</v>
      </c>
      <c r="X349">
        <v>0.99870250000000005</v>
      </c>
      <c r="Y349">
        <v>0.273976</v>
      </c>
      <c r="Z349">
        <v>-3.8800069999999999E-2</v>
      </c>
      <c r="AA349">
        <v>0.96095350000000002</v>
      </c>
      <c r="AB349">
        <v>34</v>
      </c>
      <c r="AC349">
        <v>3.5794000000000201</v>
      </c>
      <c r="AD349">
        <v>-1.109428008978</v>
      </c>
      <c r="AE349">
        <v>-1.1655</v>
      </c>
      <c r="AF349">
        <v>1.0627514346609499</v>
      </c>
      <c r="AG349">
        <v>-1.109428008978</v>
      </c>
      <c r="AH349">
        <v>3.2964565047670402</v>
      </c>
      <c r="AI349">
        <v>107.761134749844</v>
      </c>
      <c r="AJ349">
        <v>72.1310901914635</v>
      </c>
      <c r="AK349">
        <v>3.63688006494574</v>
      </c>
      <c r="AL349">
        <v>90.028804428804605</v>
      </c>
      <c r="AM349">
        <v>92.918884762078406</v>
      </c>
      <c r="AN349">
        <v>0.99999999876633305</v>
      </c>
    </row>
    <row r="350" spans="1:40" x14ac:dyDescent="0.25">
      <c r="A350" t="str">
        <f>"20190305135545040"</f>
        <v>20190305135545040</v>
      </c>
      <c r="B350" t="str">
        <f>"1551765345031592"</f>
        <v>1551765345031592</v>
      </c>
      <c r="C350" t="s">
        <v>40</v>
      </c>
      <c r="D350">
        <v>4.4764109999999997</v>
      </c>
      <c r="E350">
        <v>0.62626660000000001</v>
      </c>
      <c r="F350" t="s">
        <v>42</v>
      </c>
      <c r="G350">
        <v>-381.3519</v>
      </c>
      <c r="H350" s="1">
        <v>-4.1454189999999996E-6</v>
      </c>
      <c r="I350">
        <v>367.06180000000001</v>
      </c>
      <c r="J350">
        <v>-384.887</v>
      </c>
      <c r="K350">
        <v>1.1094459999999999</v>
      </c>
      <c r="L350">
        <v>368.22309999999999</v>
      </c>
      <c r="M350">
        <v>0.99989300000000003</v>
      </c>
      <c r="N350">
        <v>-1.429274E-2</v>
      </c>
      <c r="O350">
        <v>-3.1390469999999998E-3</v>
      </c>
      <c r="P350">
        <v>0.99875849999999999</v>
      </c>
      <c r="Q350">
        <v>-1.410894E-2</v>
      </c>
      <c r="R350">
        <v>4.7778029999999999E-2</v>
      </c>
      <c r="S350">
        <v>3.0345460000000002</v>
      </c>
      <c r="T350">
        <v>-0.86350990000000005</v>
      </c>
      <c r="U350">
        <v>-0.90487669999999998</v>
      </c>
      <c r="V350">
        <v>-5.0913079999999999E-2</v>
      </c>
      <c r="W350">
        <v>1.9103680000000001E-4</v>
      </c>
      <c r="X350">
        <v>0.99870309999999995</v>
      </c>
      <c r="Y350">
        <v>0.27235599999999999</v>
      </c>
      <c r="Z350">
        <v>-3.8441240000000002E-2</v>
      </c>
      <c r="AA350">
        <v>0.96142830000000001</v>
      </c>
      <c r="AB350">
        <v>34</v>
      </c>
      <c r="AC350">
        <v>3.53509999999994</v>
      </c>
      <c r="AD350">
        <v>-1.109450145419</v>
      </c>
      <c r="AE350">
        <v>-1.16129999999998</v>
      </c>
      <c r="AF350">
        <v>1.0562912268900799</v>
      </c>
      <c r="AG350">
        <v>-1.109450145419</v>
      </c>
      <c r="AH350">
        <v>3.2498171729049301</v>
      </c>
      <c r="AI350">
        <v>107.987013025991</v>
      </c>
      <c r="AJ350">
        <v>71.994233497303298</v>
      </c>
      <c r="AK350">
        <v>3.5927625079432999</v>
      </c>
      <c r="AL350">
        <v>89.989054397890897</v>
      </c>
      <c r="AM350">
        <v>92.918366301857901</v>
      </c>
      <c r="AN350">
        <v>1.0000000300798699</v>
      </c>
    </row>
    <row r="351" spans="1:40" x14ac:dyDescent="0.25">
      <c r="A351" t="str">
        <f>"20190305135545061"</f>
        <v>20190305135545061</v>
      </c>
      <c r="B351" t="str">
        <f>"1551765345052089"</f>
        <v>1551765345052089</v>
      </c>
      <c r="C351" t="s">
        <v>40</v>
      </c>
      <c r="D351">
        <v>4.490119</v>
      </c>
      <c r="E351">
        <v>0.62545699999999904</v>
      </c>
      <c r="F351" t="s">
        <v>41</v>
      </c>
      <c r="G351">
        <v>-384.0883</v>
      </c>
      <c r="H351">
        <v>0.88345769999999901</v>
      </c>
      <c r="I351">
        <v>367.98649999999998</v>
      </c>
      <c r="J351">
        <v>-384.55599999999998</v>
      </c>
      <c r="K351">
        <v>1.1094729999999999</v>
      </c>
      <c r="L351">
        <v>368.22190000000001</v>
      </c>
      <c r="M351">
        <v>0.99989170000000005</v>
      </c>
      <c r="N351">
        <v>-1.432983E-2</v>
      </c>
      <c r="O351">
        <v>-3.343038E-3</v>
      </c>
      <c r="P351">
        <v>0.99876900000000002</v>
      </c>
      <c r="Q351">
        <v>-1.4011839999999999E-2</v>
      </c>
      <c r="R351">
        <v>4.7585429999999998E-2</v>
      </c>
      <c r="S351">
        <v>3.0346069999999998</v>
      </c>
      <c r="T351">
        <v>-0.8586435</v>
      </c>
      <c r="U351">
        <v>-0.89816280000000004</v>
      </c>
      <c r="V351">
        <v>-5.0924509999999999E-2</v>
      </c>
      <c r="W351">
        <v>3.2550489999999999E-4</v>
      </c>
      <c r="X351">
        <v>0.99870250000000005</v>
      </c>
      <c r="Y351">
        <v>0.27038519999999999</v>
      </c>
      <c r="Z351">
        <v>-3.7922560000000001E-2</v>
      </c>
      <c r="AA351">
        <v>0.962005</v>
      </c>
      <c r="AB351">
        <v>34</v>
      </c>
      <c r="AC351">
        <v>0.46769999999997902</v>
      </c>
      <c r="AD351">
        <v>-0.2260153</v>
      </c>
      <c r="AE351">
        <v>-0.23540000000002601</v>
      </c>
      <c r="AF351">
        <v>0.197108271826475</v>
      </c>
      <c r="AG351">
        <v>-0.2260153</v>
      </c>
      <c r="AH351">
        <v>0.39490307262461299</v>
      </c>
      <c r="AI351">
        <v>117.116368540274</v>
      </c>
      <c r="AJ351">
        <v>63.474805578041099</v>
      </c>
      <c r="AK351">
        <v>0.495865932914201</v>
      </c>
      <c r="AL351">
        <v>89.9813499435773</v>
      </c>
      <c r="AM351">
        <v>92.919022093548406</v>
      </c>
      <c r="AN351">
        <v>1.0000000475892099</v>
      </c>
    </row>
    <row r="352" spans="1:40" x14ac:dyDescent="0.25">
      <c r="A352" t="str">
        <f>"20190305135545085"</f>
        <v>20190305135545085</v>
      </c>
      <c r="B352" t="str">
        <f>"1551765345082341"</f>
        <v>1551765345082341</v>
      </c>
      <c r="C352" t="s">
        <v>40</v>
      </c>
      <c r="D352">
        <v>4.5092939999999997</v>
      </c>
      <c r="E352">
        <v>0.62413540000000001</v>
      </c>
      <c r="F352" t="s">
        <v>41</v>
      </c>
      <c r="G352">
        <v>-383.78070000000002</v>
      </c>
      <c r="H352">
        <v>0.89093519999999904</v>
      </c>
      <c r="I352">
        <v>367.99329999999998</v>
      </c>
      <c r="J352">
        <v>-384.21620000000001</v>
      </c>
      <c r="K352">
        <v>1.1094930000000001</v>
      </c>
      <c r="L352">
        <v>368.22059999999999</v>
      </c>
      <c r="M352">
        <v>0.99989070000000002</v>
      </c>
      <c r="N352">
        <v>-1.436249E-2</v>
      </c>
      <c r="O352">
        <v>-3.552599E-3</v>
      </c>
      <c r="P352">
        <v>0.99877020000000005</v>
      </c>
      <c r="Q352">
        <v>-1.381517E-2</v>
      </c>
      <c r="R352">
        <v>4.7617470000000002E-2</v>
      </c>
      <c r="S352">
        <v>3.0342099999999999</v>
      </c>
      <c r="T352">
        <v>-0.85531019999999902</v>
      </c>
      <c r="U352">
        <v>-0.89266970000000001</v>
      </c>
      <c r="V352">
        <v>-5.116594E-2</v>
      </c>
      <c r="W352">
        <v>5.5438690000000001E-4</v>
      </c>
      <c r="X352">
        <v>0.99868999999999997</v>
      </c>
      <c r="Y352">
        <v>0.26875090000000001</v>
      </c>
      <c r="Z352">
        <v>-3.7517519999999999E-2</v>
      </c>
      <c r="AA352">
        <v>0.96247879999999997</v>
      </c>
      <c r="AB352">
        <v>34</v>
      </c>
      <c r="AC352">
        <v>0.43549999999999001</v>
      </c>
      <c r="AD352">
        <v>-0.2185578</v>
      </c>
      <c r="AE352">
        <v>-0.22730000000001299</v>
      </c>
      <c r="AF352">
        <v>0.18844984938481299</v>
      </c>
      <c r="AG352">
        <v>-0.2185578</v>
      </c>
      <c r="AH352">
        <v>0.36421318479875697</v>
      </c>
      <c r="AI352">
        <v>118.056072891586</v>
      </c>
      <c r="AJ352">
        <v>62.642216598642896</v>
      </c>
      <c r="AK352">
        <v>0.46468494881505701</v>
      </c>
      <c r="AL352">
        <v>89.968235968418</v>
      </c>
      <c r="AM352">
        <v>92.932873539874606</v>
      </c>
      <c r="AN352">
        <v>0.99999998843045901</v>
      </c>
    </row>
    <row r="353" spans="1:40" x14ac:dyDescent="0.25">
      <c r="A353" t="str">
        <f>"20190305135545107"</f>
        <v>20190305135545107</v>
      </c>
      <c r="B353" t="str">
        <f>"1551765345101861"</f>
        <v>1551765345101861</v>
      </c>
      <c r="C353" t="s">
        <v>40</v>
      </c>
      <c r="D353">
        <v>4.5211639999999997</v>
      </c>
      <c r="E353">
        <v>0.62334389999999995</v>
      </c>
      <c r="F353" t="s">
        <v>41</v>
      </c>
      <c r="G353">
        <v>-383.47250000000003</v>
      </c>
      <c r="H353">
        <v>0.90129380000000003</v>
      </c>
      <c r="I353">
        <v>368.00420000000003</v>
      </c>
      <c r="J353">
        <v>-383.87380000000002</v>
      </c>
      <c r="K353">
        <v>1.1095079999999999</v>
      </c>
      <c r="L353">
        <v>368.21910000000003</v>
      </c>
      <c r="M353">
        <v>0.99988940000000004</v>
      </c>
      <c r="N353">
        <v>-1.439064E-2</v>
      </c>
      <c r="O353">
        <v>-3.7637909999999998E-3</v>
      </c>
      <c r="P353">
        <v>0.99875860000000005</v>
      </c>
      <c r="Q353">
        <v>-1.363846E-2</v>
      </c>
      <c r="R353">
        <v>4.7912829999999997E-2</v>
      </c>
      <c r="S353">
        <v>3.0339360000000002</v>
      </c>
      <c r="T353">
        <v>-0.84938599999999997</v>
      </c>
      <c r="U353">
        <v>-0.88162229999999997</v>
      </c>
      <c r="V353">
        <v>-5.1671660000000001E-2</v>
      </c>
      <c r="W353">
        <v>7.5942659999999999E-4</v>
      </c>
      <c r="X353">
        <v>0.99866379999999999</v>
      </c>
      <c r="Y353">
        <v>0.26558609999999999</v>
      </c>
      <c r="Z353">
        <v>-3.6798980000000002E-2</v>
      </c>
      <c r="AA353">
        <v>0.96338460000000004</v>
      </c>
      <c r="AB353">
        <v>34</v>
      </c>
      <c r="AC353">
        <v>0.401299999999992</v>
      </c>
      <c r="AD353">
        <v>-0.20821419999999899</v>
      </c>
      <c r="AE353">
        <v>-0.21490000000000001</v>
      </c>
      <c r="AF353">
        <v>0.17646894388506201</v>
      </c>
      <c r="AG353">
        <v>-0.20821419999999899</v>
      </c>
      <c r="AH353">
        <v>0.33253633980633202</v>
      </c>
      <c r="AI353">
        <v>118.94633886651</v>
      </c>
      <c r="AJ353">
        <v>62.046195563654599</v>
      </c>
      <c r="AK353">
        <v>0.43020327582358198</v>
      </c>
      <c r="AL353">
        <v>89.956488055103804</v>
      </c>
      <c r="AM353">
        <v>92.961888026671005</v>
      </c>
      <c r="AN353">
        <v>0.99999996130317703</v>
      </c>
    </row>
    <row r="354" spans="1:40" x14ac:dyDescent="0.25">
      <c r="A354" t="str">
        <f>"20190305135545129"</f>
        <v>20190305135545129</v>
      </c>
      <c r="B354" t="str">
        <f>"1551765345122358"</f>
        <v>1551765345122358</v>
      </c>
      <c r="C354" t="s">
        <v>40</v>
      </c>
      <c r="D354">
        <v>4.5601960000000004</v>
      </c>
      <c r="E354">
        <v>0.62279469999999904</v>
      </c>
      <c r="F354" t="s">
        <v>41</v>
      </c>
      <c r="G354">
        <v>-383.16449999999998</v>
      </c>
      <c r="H354">
        <v>0.91160799999999997</v>
      </c>
      <c r="I354">
        <v>368.01440000000002</v>
      </c>
      <c r="J354">
        <v>-383.5351</v>
      </c>
      <c r="K354">
        <v>1.1095250000000001</v>
      </c>
      <c r="L354">
        <v>368.2176</v>
      </c>
      <c r="M354">
        <v>0.9998882</v>
      </c>
      <c r="N354">
        <v>-1.4414359999999999E-2</v>
      </c>
      <c r="O354">
        <v>-3.9726869999999999E-3</v>
      </c>
      <c r="P354">
        <v>0.99873160000000005</v>
      </c>
      <c r="Q354">
        <v>-1.3790699999999999E-2</v>
      </c>
      <c r="R354">
        <v>4.842834E-2</v>
      </c>
      <c r="S354">
        <v>3.0340880000000001</v>
      </c>
      <c r="T354">
        <v>-0.84653630000000002</v>
      </c>
      <c r="U354">
        <v>-0.87396240000000003</v>
      </c>
      <c r="V354">
        <v>-5.2395949999999997E-2</v>
      </c>
      <c r="W354">
        <v>6.3068070000000002E-4</v>
      </c>
      <c r="X354">
        <v>0.99862620000000002</v>
      </c>
      <c r="Y354">
        <v>0.2632755</v>
      </c>
      <c r="Z354">
        <v>-3.6317839999999997E-2</v>
      </c>
      <c r="AA354">
        <v>0.96403680000000003</v>
      </c>
      <c r="AB354">
        <v>34</v>
      </c>
      <c r="AC354">
        <v>0.37060000000002402</v>
      </c>
      <c r="AD354">
        <v>-0.19791700000000001</v>
      </c>
      <c r="AE354">
        <v>-0.20319999999998101</v>
      </c>
      <c r="AF354">
        <v>0.165446683452767</v>
      </c>
      <c r="AG354">
        <v>-0.19791700000000001</v>
      </c>
      <c r="AH354">
        <v>0.30460941178994499</v>
      </c>
      <c r="AI354">
        <v>119.724545500989</v>
      </c>
      <c r="AJ354">
        <v>61.491681448396399</v>
      </c>
      <c r="AK354">
        <v>0.39916242020703402</v>
      </c>
      <c r="AL354">
        <v>89.963864655647399</v>
      </c>
      <c r="AM354">
        <v>93.003442678598503</v>
      </c>
      <c r="AN354">
        <v>1.00000001033049</v>
      </c>
    </row>
    <row r="355" spans="1:40" x14ac:dyDescent="0.25">
      <c r="A355" t="str">
        <f>"20190305135545159"</f>
        <v>20190305135545159</v>
      </c>
      <c r="B355" t="str">
        <f>"1551765345151637"</f>
        <v>1551765345151637</v>
      </c>
      <c r="C355" t="s">
        <v>40</v>
      </c>
      <c r="D355">
        <v>4.5915559999999997</v>
      </c>
      <c r="E355">
        <v>0.62172640000000001</v>
      </c>
      <c r="F355" t="s">
        <v>41</v>
      </c>
      <c r="G355">
        <v>-382.85739999999998</v>
      </c>
      <c r="H355">
        <v>0.92062809999999995</v>
      </c>
      <c r="I355">
        <v>368.02379999999999</v>
      </c>
      <c r="J355">
        <v>-383.19650000000001</v>
      </c>
      <c r="K355">
        <v>1.109534</v>
      </c>
      <c r="L355">
        <v>368.21600000000001</v>
      </c>
      <c r="M355">
        <v>0.99988710000000003</v>
      </c>
      <c r="N355">
        <v>-1.4434229999999999E-2</v>
      </c>
      <c r="O355">
        <v>-4.1817929999999996E-3</v>
      </c>
      <c r="P355">
        <v>0.99872590000000006</v>
      </c>
      <c r="Q355">
        <v>-1.4123399999999999E-2</v>
      </c>
      <c r="R355">
        <v>4.8449909999999999E-2</v>
      </c>
      <c r="S355">
        <v>3.0341800000000001</v>
      </c>
      <c r="T355">
        <v>-0.84565789999999996</v>
      </c>
      <c r="U355">
        <v>-0.86801149999999905</v>
      </c>
      <c r="V355">
        <v>-5.2626439999999997E-2</v>
      </c>
      <c r="W355">
        <v>3.1739870000000001E-4</v>
      </c>
      <c r="X355">
        <v>0.99861420000000001</v>
      </c>
      <c r="Y355">
        <v>0.26140869999999999</v>
      </c>
      <c r="Z355">
        <v>-3.5975729999999997E-2</v>
      </c>
      <c r="AA355">
        <v>0.96455749999999996</v>
      </c>
      <c r="AB355">
        <v>34</v>
      </c>
      <c r="AC355">
        <v>0.33910000000002999</v>
      </c>
      <c r="AD355">
        <v>-0.18890589999999999</v>
      </c>
      <c r="AE355">
        <v>-0.192200000000013</v>
      </c>
      <c r="AF355">
        <v>0.15449267872202899</v>
      </c>
      <c r="AG355">
        <v>-0.18890589999999999</v>
      </c>
      <c r="AH355">
        <v>0.27524981471403998</v>
      </c>
      <c r="AI355">
        <v>120.899667727885</v>
      </c>
      <c r="AJ355">
        <v>60.695300649288598</v>
      </c>
      <c r="AK355">
        <v>0.36785307846153997</v>
      </c>
      <c r="AL355">
        <v>89.981814393428607</v>
      </c>
      <c r="AM355">
        <v>93.016666668593103</v>
      </c>
      <c r="AN355">
        <v>0.999999981685324</v>
      </c>
    </row>
    <row r="356" spans="1:40" x14ac:dyDescent="0.25">
      <c r="A356" t="str">
        <f>"20190305135545173"</f>
        <v>20190305135545173</v>
      </c>
      <c r="B356" t="str">
        <f>"1551765345162373"</f>
        <v>1551765345162373</v>
      </c>
      <c r="C356" t="s">
        <v>40</v>
      </c>
      <c r="D356">
        <v>4.6281800000000004</v>
      </c>
      <c r="E356">
        <v>0.62138149999999903</v>
      </c>
      <c r="F356" t="s">
        <v>42</v>
      </c>
      <c r="G356">
        <v>-379.21109999999999</v>
      </c>
      <c r="H356" s="1">
        <v>-9.2745909999999999E-7</v>
      </c>
      <c r="I356">
        <v>367.0872</v>
      </c>
      <c r="J356">
        <v>-382.87299999999999</v>
      </c>
      <c r="K356">
        <v>1.1095410000000001</v>
      </c>
      <c r="L356">
        <v>368.21440000000001</v>
      </c>
      <c r="M356">
        <v>0.99988600000000005</v>
      </c>
      <c r="N356">
        <v>-1.4450330000000001E-2</v>
      </c>
      <c r="O356">
        <v>-4.3816929999999999E-3</v>
      </c>
      <c r="P356">
        <v>0.99873270000000003</v>
      </c>
      <c r="Q356">
        <v>-1.464297E-2</v>
      </c>
      <c r="R356">
        <v>4.8153389999999997E-2</v>
      </c>
      <c r="S356">
        <v>3.0335390000000002</v>
      </c>
      <c r="T356">
        <v>-0.84452179999999999</v>
      </c>
      <c r="U356">
        <v>-0.85913090000000003</v>
      </c>
      <c r="V356">
        <v>-5.2529770000000003E-2</v>
      </c>
      <c r="W356">
        <v>-1.8596199999999999E-4</v>
      </c>
      <c r="X356">
        <v>0.99861929999999999</v>
      </c>
      <c r="Y356">
        <v>0.25877339999999999</v>
      </c>
      <c r="Z356">
        <v>-3.5528570000000002E-2</v>
      </c>
      <c r="AA356">
        <v>0.96528440000000004</v>
      </c>
      <c r="AB356">
        <v>34</v>
      </c>
      <c r="AC356">
        <v>3.6619000000000601</v>
      </c>
      <c r="AD356">
        <v>-1.1095419274591001</v>
      </c>
      <c r="AE356">
        <v>-1.12720000000001</v>
      </c>
      <c r="AF356">
        <v>1.0251706166087899</v>
      </c>
      <c r="AG356">
        <v>-1.1095419274591001</v>
      </c>
      <c r="AH356">
        <v>3.3830955162274701</v>
      </c>
      <c r="AI356">
        <v>107.42562200078901</v>
      </c>
      <c r="AJ356">
        <v>73.141753910027106</v>
      </c>
      <c r="AK356">
        <v>3.7050497100398201</v>
      </c>
      <c r="AL356">
        <v>90.010654838249906</v>
      </c>
      <c r="AM356">
        <v>93.011120182627394</v>
      </c>
      <c r="AN356">
        <v>0.99999995882530301</v>
      </c>
    </row>
    <row r="357" spans="1:40" x14ac:dyDescent="0.25">
      <c r="A357" t="str">
        <f>"20190305135545195"</f>
        <v>20190305135545195</v>
      </c>
      <c r="B357" t="str">
        <f>"1551765345191653"</f>
        <v>1551765345191653</v>
      </c>
      <c r="C357" t="s">
        <v>40</v>
      </c>
      <c r="D357">
        <v>4.5861049999999999</v>
      </c>
      <c r="E357">
        <v>0.62046919999999905</v>
      </c>
      <c r="F357" t="s">
        <v>42</v>
      </c>
      <c r="G357">
        <v>-378.89049999999997</v>
      </c>
      <c r="H357" s="1">
        <v>-1.0362440000000001E-6</v>
      </c>
      <c r="I357">
        <v>367.08839999999998</v>
      </c>
      <c r="J357">
        <v>-382.53399999999999</v>
      </c>
      <c r="K357">
        <v>1.10954</v>
      </c>
      <c r="L357">
        <v>368.21280000000002</v>
      </c>
      <c r="M357">
        <v>0.99988500000000002</v>
      </c>
      <c r="N357">
        <v>-1.446454E-2</v>
      </c>
      <c r="O357">
        <v>-4.5913530000000003E-3</v>
      </c>
      <c r="P357">
        <v>0.99875069999999999</v>
      </c>
      <c r="Q357">
        <v>-1.495632E-2</v>
      </c>
      <c r="R357">
        <v>4.7682019999999999E-2</v>
      </c>
      <c r="S357">
        <v>3.0327449999999998</v>
      </c>
      <c r="T357">
        <v>-0.84490509999999996</v>
      </c>
      <c r="U357">
        <v>-0.85739140000000003</v>
      </c>
      <c r="V357">
        <v>-5.2267859999999999E-2</v>
      </c>
      <c r="W357">
        <v>-4.8512410000000001E-4</v>
      </c>
      <c r="X357">
        <v>0.99863299999999999</v>
      </c>
      <c r="Y357">
        <v>0.25814039999999999</v>
      </c>
      <c r="Z357">
        <v>-3.541271E-2</v>
      </c>
      <c r="AA357">
        <v>0.96545820000000004</v>
      </c>
      <c r="AB357">
        <v>34</v>
      </c>
      <c r="AC357">
        <v>3.6435000000000102</v>
      </c>
      <c r="AD357">
        <v>-1.1095410362439999</v>
      </c>
      <c r="AE357">
        <v>-1.12440000000003</v>
      </c>
      <c r="AF357">
        <v>1.02119122130009</v>
      </c>
      <c r="AG357">
        <v>-1.1095410362439999</v>
      </c>
      <c r="AH357">
        <v>3.3638037350427501</v>
      </c>
      <c r="AI357">
        <v>107.51691380491999</v>
      </c>
      <c r="AJ357">
        <v>73.112639381497004</v>
      </c>
      <c r="AK357">
        <v>3.6863380731367199</v>
      </c>
      <c r="AL357">
        <v>90.027795564098597</v>
      </c>
      <c r="AM357">
        <v>92.996093328338503</v>
      </c>
      <c r="AN357">
        <v>1.00000001661168</v>
      </c>
    </row>
    <row r="358" spans="1:40" x14ac:dyDescent="0.25">
      <c r="A358" t="str">
        <f>"20190305135545218"</f>
        <v>20190305135545218</v>
      </c>
      <c r="B358" t="str">
        <f>"1551765345212149"</f>
        <v>1551765345212149</v>
      </c>
      <c r="C358" t="s">
        <v>40</v>
      </c>
      <c r="D358">
        <v>4.5907260000000001</v>
      </c>
      <c r="E358">
        <v>0.62007250000000003</v>
      </c>
      <c r="F358" t="s">
        <v>41</v>
      </c>
      <c r="G358">
        <v>-381.66520000000003</v>
      </c>
      <c r="H358">
        <v>0.86775550000000001</v>
      </c>
      <c r="I358">
        <v>367.96850000000001</v>
      </c>
      <c r="J358">
        <v>-382.17849999999999</v>
      </c>
      <c r="K358">
        <v>1.1095469999999901</v>
      </c>
      <c r="L358">
        <v>368.21089999999998</v>
      </c>
      <c r="M358">
        <v>0.99988379999999999</v>
      </c>
      <c r="N358">
        <v>-1.4476930000000001E-2</v>
      </c>
      <c r="O358">
        <v>-4.8112500000000004E-3</v>
      </c>
      <c r="P358">
        <v>0.99876390000000004</v>
      </c>
      <c r="Q358">
        <v>-1.516523E-2</v>
      </c>
      <c r="R358">
        <v>4.7339310000000002E-2</v>
      </c>
      <c r="S358">
        <v>3.0317690000000002</v>
      </c>
      <c r="T358">
        <v>-0.84381530000000005</v>
      </c>
      <c r="U358">
        <v>-0.8515625</v>
      </c>
      <c r="V358">
        <v>-5.2144999999999997E-2</v>
      </c>
      <c r="W358">
        <v>-6.8169140000000003E-4</v>
      </c>
      <c r="X358">
        <v>0.99863930000000001</v>
      </c>
      <c r="Y358">
        <v>0.25637460000000001</v>
      </c>
      <c r="Z358">
        <v>-3.5084490000000003E-2</v>
      </c>
      <c r="AA358">
        <v>0.96594049999999998</v>
      </c>
      <c r="AB358">
        <v>34</v>
      </c>
      <c r="AC358">
        <v>0.51329999999995801</v>
      </c>
      <c r="AD358">
        <v>-0.24179149999999899</v>
      </c>
      <c r="AE358">
        <v>-0.242399999999975</v>
      </c>
      <c r="AF358">
        <v>0.203082078265615</v>
      </c>
      <c r="AG358">
        <v>-0.24179149999999899</v>
      </c>
      <c r="AH358">
        <v>0.43545558840455301</v>
      </c>
      <c r="AI358">
        <v>116.71272626575499</v>
      </c>
      <c r="AJ358">
        <v>64.997211414890302</v>
      </c>
      <c r="AK358">
        <v>0.53789128033245404</v>
      </c>
      <c r="AL358">
        <v>90.039058042838803</v>
      </c>
      <c r="AM358">
        <v>92.989044722579806</v>
      </c>
      <c r="AN358">
        <v>1.0000000086163201</v>
      </c>
    </row>
    <row r="359" spans="1:40" x14ac:dyDescent="0.25">
      <c r="A359" t="str">
        <f>"20190305135545241"</f>
        <v>20190305135545241</v>
      </c>
      <c r="B359" t="str">
        <f>"1551765345231673"</f>
        <v>1551765345231673</v>
      </c>
      <c r="C359" t="s">
        <v>40</v>
      </c>
      <c r="D359">
        <v>4.691586</v>
      </c>
      <c r="E359">
        <v>0.61972609999999995</v>
      </c>
      <c r="F359" t="s">
        <v>41</v>
      </c>
      <c r="G359">
        <v>-381.35860000000002</v>
      </c>
      <c r="H359">
        <v>0.88153199999999998</v>
      </c>
      <c r="I359">
        <v>367.98079999999999</v>
      </c>
      <c r="J359">
        <v>-381.84350000000001</v>
      </c>
      <c r="K359">
        <v>1.10955</v>
      </c>
      <c r="L359">
        <v>368.20909999999998</v>
      </c>
      <c r="M359">
        <v>0.99988259999999995</v>
      </c>
      <c r="N359">
        <v>-1.4486600000000001E-2</v>
      </c>
      <c r="O359">
        <v>-5.0184920000000003E-3</v>
      </c>
      <c r="P359">
        <v>0.99878840000000002</v>
      </c>
      <c r="Q359">
        <v>-1.5388999999999899E-2</v>
      </c>
      <c r="R359">
        <v>4.6746790000000003E-2</v>
      </c>
      <c r="S359">
        <v>3.031158</v>
      </c>
      <c r="T359">
        <v>-0.84290189999999998</v>
      </c>
      <c r="U359">
        <v>-0.84921259999999998</v>
      </c>
      <c r="V359">
        <v>-5.1759279999999998E-2</v>
      </c>
      <c r="W359">
        <v>-8.9577440000000003E-4</v>
      </c>
      <c r="X359">
        <v>0.99865919999999997</v>
      </c>
      <c r="Y359">
        <v>0.2555808</v>
      </c>
      <c r="Z359">
        <v>-3.489548E-2</v>
      </c>
      <c r="AA359">
        <v>0.96615770000000001</v>
      </c>
      <c r="AB359">
        <v>34</v>
      </c>
      <c r="AC359">
        <v>0.48489999999998101</v>
      </c>
      <c r="AD359">
        <v>-0.228018</v>
      </c>
      <c r="AE359">
        <v>-0.22829999999999001</v>
      </c>
      <c r="AF359">
        <v>0.19124750028008899</v>
      </c>
      <c r="AG359">
        <v>-0.228018</v>
      </c>
      <c r="AH359">
        <v>0.41154911836049701</v>
      </c>
      <c r="AI359">
        <v>116.677092279577</v>
      </c>
      <c r="AJ359">
        <v>65.075635265515203</v>
      </c>
      <c r="AK359">
        <v>0.50787842197782496</v>
      </c>
      <c r="AL359">
        <v>90.051324098783695</v>
      </c>
      <c r="AM359">
        <v>92.966915197027802</v>
      </c>
      <c r="AN359">
        <v>1.00000001161126</v>
      </c>
    </row>
    <row r="360" spans="1:40" x14ac:dyDescent="0.25">
      <c r="A360" t="str">
        <f>"20190305135545262"</f>
        <v>20190305135545262</v>
      </c>
      <c r="B360" t="str">
        <f>"1551765345252169"</f>
        <v>1551765345252169</v>
      </c>
      <c r="C360" t="s">
        <v>40</v>
      </c>
      <c r="D360">
        <v>4.6239860000000004</v>
      </c>
      <c r="E360">
        <v>0.61953570000000002</v>
      </c>
      <c r="F360" t="s">
        <v>41</v>
      </c>
      <c r="G360">
        <v>-381.05360000000002</v>
      </c>
      <c r="H360">
        <v>0.89023330000000001</v>
      </c>
      <c r="I360">
        <v>367.98779999999999</v>
      </c>
      <c r="J360">
        <v>-381.51260000000002</v>
      </c>
      <c r="K360">
        <v>1.109559</v>
      </c>
      <c r="L360">
        <v>368.2072</v>
      </c>
      <c r="M360">
        <v>0.99988140000000003</v>
      </c>
      <c r="N360">
        <v>-1.4494460000000001E-2</v>
      </c>
      <c r="O360">
        <v>-5.223335E-3</v>
      </c>
      <c r="P360">
        <v>0.99880060000000004</v>
      </c>
      <c r="Q360">
        <v>-1.588906E-2</v>
      </c>
      <c r="R360">
        <v>4.6319909999999999E-2</v>
      </c>
      <c r="S360">
        <v>3.0303960000000001</v>
      </c>
      <c r="T360">
        <v>-0.84150149999999901</v>
      </c>
      <c r="U360">
        <v>-0.84823609999999905</v>
      </c>
      <c r="V360">
        <v>-5.1538300000000002E-2</v>
      </c>
      <c r="W360">
        <v>-1.388027E-3</v>
      </c>
      <c r="X360">
        <v>0.99866999999999995</v>
      </c>
      <c r="Y360">
        <v>0.2552025</v>
      </c>
      <c r="Z360">
        <v>-3.474725E-2</v>
      </c>
      <c r="AA360">
        <v>0.96626310000000004</v>
      </c>
      <c r="AB360">
        <v>34</v>
      </c>
      <c r="AC360">
        <v>0.45900000000000302</v>
      </c>
      <c r="AD360">
        <v>-0.21932570000000001</v>
      </c>
      <c r="AE360">
        <v>-0.21940000000000701</v>
      </c>
      <c r="AF360">
        <v>0.182988941757356</v>
      </c>
      <c r="AG360">
        <v>-0.21932570000000001</v>
      </c>
      <c r="AH360">
        <v>0.38802211465305902</v>
      </c>
      <c r="AI360">
        <v>117.078008480894</v>
      </c>
      <c r="AJ360">
        <v>64.751711446265602</v>
      </c>
      <c r="AK360">
        <v>0.48181934056843201</v>
      </c>
      <c r="AL360">
        <v>90.079528118786001</v>
      </c>
      <c r="AM360">
        <v>92.9542389055445</v>
      </c>
      <c r="AN360">
        <v>0.99999994594291897</v>
      </c>
    </row>
    <row r="361" spans="1:40" x14ac:dyDescent="0.25">
      <c r="A361" t="str">
        <f>"20190305135545286"</f>
        <v>20190305135545286</v>
      </c>
      <c r="B361" t="str">
        <f>"1551765345282421"</f>
        <v>1551765345282421</v>
      </c>
      <c r="C361" t="s">
        <v>40</v>
      </c>
      <c r="D361">
        <v>4.6351979999999999</v>
      </c>
      <c r="E361">
        <v>0.61923509999999904</v>
      </c>
      <c r="F361" t="s">
        <v>41</v>
      </c>
      <c r="G361">
        <v>-380.74959999999999</v>
      </c>
      <c r="H361">
        <v>0.89734969999999903</v>
      </c>
      <c r="I361">
        <v>367.99329999999998</v>
      </c>
      <c r="J361">
        <v>-381.1696</v>
      </c>
      <c r="K361">
        <v>1.1095619999999999</v>
      </c>
      <c r="L361">
        <v>368.20519999999999</v>
      </c>
      <c r="M361">
        <v>0.99988030000000006</v>
      </c>
      <c r="N361">
        <v>-1.450101E-2</v>
      </c>
      <c r="O361">
        <v>-5.4356780000000002E-3</v>
      </c>
      <c r="P361">
        <v>0.99881169999999997</v>
      </c>
      <c r="Q361">
        <v>-1.610893E-2</v>
      </c>
      <c r="R361">
        <v>4.6001420000000001E-2</v>
      </c>
      <c r="S361">
        <v>3.02948</v>
      </c>
      <c r="T361">
        <v>-0.84261559999999902</v>
      </c>
      <c r="U361">
        <v>-0.84780880000000003</v>
      </c>
      <c r="V361">
        <v>-5.1431610000000003E-2</v>
      </c>
      <c r="W361">
        <v>-1.6014060000000001E-3</v>
      </c>
      <c r="X361">
        <v>0.99867519999999999</v>
      </c>
      <c r="Y361">
        <v>0.25493460000000001</v>
      </c>
      <c r="Z361">
        <v>-3.4708049999999997E-2</v>
      </c>
      <c r="AA361">
        <v>0.96633519999999995</v>
      </c>
      <c r="AB361">
        <v>34</v>
      </c>
      <c r="AC361">
        <v>0.42000000000001497</v>
      </c>
      <c r="AD361">
        <v>-0.21221229999999999</v>
      </c>
      <c r="AE361">
        <v>-0.21190000000001399</v>
      </c>
      <c r="AF361">
        <v>0.174170575669994</v>
      </c>
      <c r="AG361">
        <v>-0.21221229999999999</v>
      </c>
      <c r="AH361">
        <v>0.34993521177103398</v>
      </c>
      <c r="AI361">
        <v>118.497711430975</v>
      </c>
      <c r="AJ361">
        <v>63.539443730834698</v>
      </c>
      <c r="AK361">
        <v>0.444774214785149</v>
      </c>
      <c r="AL361">
        <v>90.091753847510702</v>
      </c>
      <c r="AM361">
        <v>92.948118779447299</v>
      </c>
      <c r="AN361">
        <v>0.99999996505170297</v>
      </c>
    </row>
    <row r="362" spans="1:40" x14ac:dyDescent="0.25">
      <c r="A362" t="str">
        <f>"20190305135545308"</f>
        <v>20190305135545308</v>
      </c>
      <c r="B362" t="str">
        <f>"1551765345301942"</f>
        <v>1551765345301942</v>
      </c>
      <c r="C362" t="s">
        <v>40</v>
      </c>
      <c r="D362">
        <v>4.641807</v>
      </c>
      <c r="E362">
        <v>0.61910019999999999</v>
      </c>
      <c r="F362" t="s">
        <v>41</v>
      </c>
      <c r="G362">
        <v>-380.44459999999998</v>
      </c>
      <c r="H362">
        <v>0.90797280000000002</v>
      </c>
      <c r="I362">
        <v>368.00259999999997</v>
      </c>
      <c r="J362">
        <v>-380.82229999999998</v>
      </c>
      <c r="K362">
        <v>1.1095710000000001</v>
      </c>
      <c r="L362">
        <v>368.20310000000001</v>
      </c>
      <c r="M362">
        <v>0.99987879999999996</v>
      </c>
      <c r="N362">
        <v>-1.450634E-2</v>
      </c>
      <c r="O362">
        <v>-5.6502810000000001E-3</v>
      </c>
      <c r="P362">
        <v>0.99883460000000002</v>
      </c>
      <c r="Q362">
        <v>-1.6355040000000001E-2</v>
      </c>
      <c r="R362">
        <v>4.5409819999999997E-2</v>
      </c>
      <c r="S362">
        <v>3.0289920000000001</v>
      </c>
      <c r="T362">
        <v>-0.8422558</v>
      </c>
      <c r="U362">
        <v>-0.84634399999999999</v>
      </c>
      <c r="V362">
        <v>-5.1054429999999998E-2</v>
      </c>
      <c r="W362">
        <v>-1.842149E-3</v>
      </c>
      <c r="X362">
        <v>0.99869419999999998</v>
      </c>
      <c r="Y362">
        <v>0.25436599999999998</v>
      </c>
      <c r="Z362">
        <v>-3.4567109999999998E-2</v>
      </c>
      <c r="AA362">
        <v>0.96649010000000002</v>
      </c>
      <c r="AB362">
        <v>34</v>
      </c>
      <c r="AC362">
        <v>0.37770000000000398</v>
      </c>
      <c r="AD362">
        <v>-0.20159819999999901</v>
      </c>
      <c r="AE362">
        <v>-0.20050000000003301</v>
      </c>
      <c r="AF362">
        <v>0.16229160433786399</v>
      </c>
      <c r="AG362">
        <v>-0.20159819999999901</v>
      </c>
      <c r="AH362">
        <v>0.30993987375162602</v>
      </c>
      <c r="AI362">
        <v>119.951710346768</v>
      </c>
      <c r="AJ362">
        <v>62.362417481629201</v>
      </c>
      <c r="AK362">
        <v>0.403785988393569</v>
      </c>
      <c r="AL362">
        <v>90.105547419809596</v>
      </c>
      <c r="AM362">
        <v>92.926480532725407</v>
      </c>
      <c r="AN362">
        <v>1.0000000267246001</v>
      </c>
    </row>
    <row r="363" spans="1:40" x14ac:dyDescent="0.25">
      <c r="A363" t="str">
        <f>"20190305135545331"</f>
        <v>20190305135545331</v>
      </c>
      <c r="B363" t="str">
        <f>"1551765345322437"</f>
        <v>1551765345322437</v>
      </c>
      <c r="C363" t="s">
        <v>40</v>
      </c>
      <c r="D363">
        <v>4.6488069999999997</v>
      </c>
      <c r="E363">
        <v>0.61892510000000001</v>
      </c>
      <c r="F363" t="s">
        <v>41</v>
      </c>
      <c r="G363">
        <v>-380.1395</v>
      </c>
      <c r="H363">
        <v>0.91960310000000001</v>
      </c>
      <c r="I363">
        <v>368.01170000000002</v>
      </c>
      <c r="J363">
        <v>-380.49610000000001</v>
      </c>
      <c r="K363">
        <v>1.109575</v>
      </c>
      <c r="L363">
        <v>368.20100000000002</v>
      </c>
      <c r="M363">
        <v>0.99987760000000003</v>
      </c>
      <c r="N363">
        <v>-1.450998E-2</v>
      </c>
      <c r="O363">
        <v>-5.8523510000000004E-3</v>
      </c>
      <c r="P363">
        <v>0.99884649999999997</v>
      </c>
      <c r="Q363">
        <v>-1.5974680000000002E-2</v>
      </c>
      <c r="R363">
        <v>4.5280649999999999E-2</v>
      </c>
      <c r="S363">
        <v>3.0282290000000001</v>
      </c>
      <c r="T363">
        <v>-0.84248509999999999</v>
      </c>
      <c r="U363">
        <v>-0.84698490000000004</v>
      </c>
      <c r="V363">
        <v>-5.112684E-2</v>
      </c>
      <c r="W363">
        <v>-1.4581570000000001E-3</v>
      </c>
      <c r="X363">
        <v>0.99869110000000005</v>
      </c>
      <c r="Y363">
        <v>0.25441970000000003</v>
      </c>
      <c r="Z363">
        <v>-3.4539300000000002E-2</v>
      </c>
      <c r="AA363">
        <v>0.96647689999999997</v>
      </c>
      <c r="AB363">
        <v>34</v>
      </c>
      <c r="AC363">
        <v>0.35660000000001402</v>
      </c>
      <c r="AD363">
        <v>-0.1899719</v>
      </c>
      <c r="AE363">
        <v>-0.18929999999994601</v>
      </c>
      <c r="AF363">
        <v>0.15327339746320601</v>
      </c>
      <c r="AG363">
        <v>-0.1899719</v>
      </c>
      <c r="AH363">
        <v>0.29285988664662999</v>
      </c>
      <c r="AI363">
        <v>119.88702377050799</v>
      </c>
      <c r="AJ363">
        <v>62.373893781175198</v>
      </c>
      <c r="AK363">
        <v>0.381246600465107</v>
      </c>
      <c r="AL363">
        <v>90.083546271857401</v>
      </c>
      <c r="AM363">
        <v>92.930632982130703</v>
      </c>
      <c r="AN363">
        <v>0.99999999660471595</v>
      </c>
    </row>
    <row r="364" spans="1:40" x14ac:dyDescent="0.25">
      <c r="A364" t="str">
        <f>"20190305135545351"</f>
        <v>20190305135545351</v>
      </c>
      <c r="B364" t="str">
        <f>"1551765345341961"</f>
        <v>1551765345341961</v>
      </c>
      <c r="C364" t="s">
        <v>40</v>
      </c>
      <c r="D364">
        <v>4.6357910000000002</v>
      </c>
      <c r="E364">
        <v>0.61874499999999999</v>
      </c>
      <c r="F364" t="s">
        <v>42</v>
      </c>
      <c r="G364">
        <v>-376.50069999999999</v>
      </c>
      <c r="H364" s="1">
        <v>-1.9325050000000001E-6</v>
      </c>
      <c r="I364">
        <v>367.08499999999998</v>
      </c>
      <c r="J364">
        <v>-380.17309999999998</v>
      </c>
      <c r="K364">
        <v>1.1095870000000001</v>
      </c>
      <c r="L364">
        <v>368.19889999999998</v>
      </c>
      <c r="M364">
        <v>0.99987649999999995</v>
      </c>
      <c r="N364">
        <v>-1.451243E-2</v>
      </c>
      <c r="O364">
        <v>-6.0525040000000002E-3</v>
      </c>
      <c r="P364">
        <v>0.99887300000000001</v>
      </c>
      <c r="Q364">
        <v>-1.509865E-2</v>
      </c>
      <c r="R364">
        <v>4.5002420000000001E-2</v>
      </c>
      <c r="S364">
        <v>3.0284119999999999</v>
      </c>
      <c r="T364">
        <v>-0.84101780000000004</v>
      </c>
      <c r="U364">
        <v>-0.84588619999999903</v>
      </c>
      <c r="V364">
        <v>-5.1048299999999998E-2</v>
      </c>
      <c r="W364">
        <v>-5.7961099999999995E-4</v>
      </c>
      <c r="X364">
        <v>0.99869600000000003</v>
      </c>
      <c r="Y364">
        <v>0.25394119999999998</v>
      </c>
      <c r="Z364">
        <v>-3.4365989999999999E-2</v>
      </c>
      <c r="AA364">
        <v>0.96660889999999999</v>
      </c>
      <c r="AB364">
        <v>34</v>
      </c>
      <c r="AC364">
        <v>3.6723999999999801</v>
      </c>
      <c r="AD364">
        <v>-1.1095889325049999</v>
      </c>
      <c r="AE364">
        <v>-1.1138999999999999</v>
      </c>
      <c r="AF364">
        <v>1.00742987683729</v>
      </c>
      <c r="AG364">
        <v>-1.1095889325049999</v>
      </c>
      <c r="AH364">
        <v>3.3952368042315002</v>
      </c>
      <c r="AI364">
        <v>107.396106368196</v>
      </c>
      <c r="AJ364">
        <v>73.473398275527799</v>
      </c>
      <c r="AK364">
        <v>3.7112983594276101</v>
      </c>
      <c r="AL364">
        <v>90.033209266495007</v>
      </c>
      <c r="AM364">
        <v>92.926124502197496</v>
      </c>
      <c r="AN364">
        <v>0.9999999826489</v>
      </c>
    </row>
    <row r="365" spans="1:40" x14ac:dyDescent="0.25">
      <c r="A365" t="str">
        <f>"20190305135545373"</f>
        <v>20190305135545373</v>
      </c>
      <c r="B365" t="str">
        <f>"1551765345361983"</f>
        <v>1551765345361983</v>
      </c>
      <c r="C365" t="s">
        <v>40</v>
      </c>
      <c r="D365">
        <v>4.62622</v>
      </c>
      <c r="E365">
        <v>0.61852819999999997</v>
      </c>
      <c r="F365" t="s">
        <v>42</v>
      </c>
      <c r="G365">
        <v>-376.15949999999998</v>
      </c>
      <c r="H365" s="1">
        <v>-2.0800840000000002E-6</v>
      </c>
      <c r="I365">
        <v>367.07819999999998</v>
      </c>
      <c r="J365">
        <v>-379.84809999999999</v>
      </c>
      <c r="K365">
        <v>1.1095950000000001</v>
      </c>
      <c r="L365">
        <v>368.1968</v>
      </c>
      <c r="M365">
        <v>0.99987510000000002</v>
      </c>
      <c r="N365">
        <v>-1.4514020000000001E-2</v>
      </c>
      <c r="O365">
        <v>-6.2540800000000004E-3</v>
      </c>
      <c r="P365">
        <v>0.99888690000000002</v>
      </c>
      <c r="Q365">
        <v>-1.45218E-2</v>
      </c>
      <c r="R365">
        <v>4.487646E-2</v>
      </c>
      <c r="S365">
        <v>3.0288390000000001</v>
      </c>
      <c r="T365">
        <v>-0.83734179999999903</v>
      </c>
      <c r="U365">
        <v>-0.84570309999999904</v>
      </c>
      <c r="V365">
        <v>-5.1123090000000003E-2</v>
      </c>
      <c r="W365" s="1">
        <v>-1.1849920000000001E-6</v>
      </c>
      <c r="X365">
        <v>0.99869229999999998</v>
      </c>
      <c r="Y365">
        <v>0.25374989999999997</v>
      </c>
      <c r="Z365">
        <v>-3.4147490000000003E-2</v>
      </c>
      <c r="AA365">
        <v>0.9666669</v>
      </c>
      <c r="AB365">
        <v>34</v>
      </c>
      <c r="AC365">
        <v>3.6886000000000001</v>
      </c>
      <c r="AD365">
        <v>-1.109597080084</v>
      </c>
      <c r="AE365">
        <v>-1.11860000000001</v>
      </c>
      <c r="AF365">
        <v>1.01166961606362</v>
      </c>
      <c r="AG365">
        <v>-1.109597080084</v>
      </c>
      <c r="AH365">
        <v>3.4127122210226402</v>
      </c>
      <c r="AI365">
        <v>107.313711639285</v>
      </c>
      <c r="AJ365">
        <v>73.487989470997903</v>
      </c>
      <c r="AK365">
        <v>3.7284428111095602</v>
      </c>
      <c r="AL365">
        <v>90.000067895044396</v>
      </c>
      <c r="AM365">
        <v>92.930414888718502</v>
      </c>
      <c r="AN365">
        <v>0.99999994020591898</v>
      </c>
    </row>
    <row r="366" spans="1:40" x14ac:dyDescent="0.25">
      <c r="A366" t="str">
        <f>"20190305135545397"</f>
        <v>20190305135545397</v>
      </c>
      <c r="B366" t="str">
        <f>"1551765345392239"</f>
        <v>1551765345392239</v>
      </c>
      <c r="C366" t="s">
        <v>40</v>
      </c>
      <c r="D366">
        <v>4.6433900000000001</v>
      </c>
      <c r="E366">
        <v>0.618224</v>
      </c>
      <c r="F366" t="s">
        <v>41</v>
      </c>
      <c r="G366">
        <v>-378.95949999999999</v>
      </c>
      <c r="H366">
        <v>0.864598599999999</v>
      </c>
      <c r="I366">
        <v>367.94869999999997</v>
      </c>
      <c r="J366">
        <v>-379.51060000000001</v>
      </c>
      <c r="K366">
        <v>1.109607</v>
      </c>
      <c r="L366">
        <v>368.19439999999997</v>
      </c>
      <c r="M366">
        <v>0.99987380000000003</v>
      </c>
      <c r="N366">
        <v>-1.451496E-2</v>
      </c>
      <c r="O366">
        <v>-6.4633989999999999E-3</v>
      </c>
      <c r="P366">
        <v>0.99888250000000001</v>
      </c>
      <c r="Q366">
        <v>-1.409464E-2</v>
      </c>
      <c r="R366">
        <v>4.5111829999999999E-2</v>
      </c>
      <c r="S366">
        <v>3.029175</v>
      </c>
      <c r="T366">
        <v>-0.8351499</v>
      </c>
      <c r="U366">
        <v>-0.84439089999999895</v>
      </c>
      <c r="V366">
        <v>-5.1567389999999998E-2</v>
      </c>
      <c r="W366">
        <v>4.265944E-4</v>
      </c>
      <c r="X366">
        <v>0.99866940000000004</v>
      </c>
      <c r="Y366">
        <v>0.2532046</v>
      </c>
      <c r="Z366">
        <v>-3.3935220000000002E-2</v>
      </c>
      <c r="AA366">
        <v>0.96681740000000005</v>
      </c>
      <c r="AB366">
        <v>34</v>
      </c>
      <c r="AC366">
        <v>0.55110000000001902</v>
      </c>
      <c r="AD366">
        <v>-0.24500839999999999</v>
      </c>
      <c r="AE366">
        <v>-0.245699999999999</v>
      </c>
      <c r="AF366">
        <v>0.207860645983167</v>
      </c>
      <c r="AG366">
        <v>-0.24500839999999999</v>
      </c>
      <c r="AH366">
        <v>0.47444986608857898</v>
      </c>
      <c r="AI366">
        <v>115.314273502048</v>
      </c>
      <c r="AJ366">
        <v>66.341352657003199</v>
      </c>
      <c r="AK366">
        <v>0.57300771343025603</v>
      </c>
      <c r="AL366">
        <v>89.975557939941496</v>
      </c>
      <c r="AM366">
        <v>92.955905196660495</v>
      </c>
      <c r="AN366">
        <v>0.99999997409527597</v>
      </c>
    </row>
    <row r="367" spans="1:40" x14ac:dyDescent="0.25">
      <c r="A367" t="str">
        <f>"20190305135545419"</f>
        <v>20190305135545419</v>
      </c>
      <c r="B367" t="str">
        <f>"1551765345411763"</f>
        <v>1551765345411763</v>
      </c>
      <c r="C367" t="s">
        <v>40</v>
      </c>
      <c r="D367">
        <v>4.6634640000000003</v>
      </c>
      <c r="E367">
        <v>0.61802699999999999</v>
      </c>
      <c r="F367" t="s">
        <v>41</v>
      </c>
      <c r="G367">
        <v>-378.65839999999997</v>
      </c>
      <c r="H367">
        <v>0.87487919999999997</v>
      </c>
      <c r="I367">
        <v>367.95780000000002</v>
      </c>
      <c r="J367">
        <v>-379.16340000000002</v>
      </c>
      <c r="K367">
        <v>1.109612</v>
      </c>
      <c r="L367">
        <v>368.19200000000001</v>
      </c>
      <c r="M367">
        <v>0.99987230000000005</v>
      </c>
      <c r="N367">
        <v>-1.451528E-2</v>
      </c>
      <c r="O367">
        <v>-6.678911E-3</v>
      </c>
      <c r="P367">
        <v>0.99889170000000005</v>
      </c>
      <c r="Q367">
        <v>-1.430291E-2</v>
      </c>
      <c r="R367">
        <v>4.484341E-2</v>
      </c>
      <c r="S367">
        <v>3.0295719999999999</v>
      </c>
      <c r="T367">
        <v>-0.83442469999999902</v>
      </c>
      <c r="U367">
        <v>-0.84075929999999999</v>
      </c>
      <c r="V367">
        <v>-5.1514530000000003E-2</v>
      </c>
      <c r="W367">
        <v>2.1917019999999999E-4</v>
      </c>
      <c r="X367">
        <v>0.99867220000000001</v>
      </c>
      <c r="Y367">
        <v>0.25195450000000003</v>
      </c>
      <c r="Z367">
        <v>-3.3679399999999998E-2</v>
      </c>
      <c r="AA367">
        <v>0.96715280000000003</v>
      </c>
      <c r="AB367">
        <v>33</v>
      </c>
      <c r="AC367">
        <v>0.50500000000005196</v>
      </c>
      <c r="AD367">
        <v>-0.23473279999999999</v>
      </c>
      <c r="AE367">
        <v>-0.23419999999992999</v>
      </c>
      <c r="AF367">
        <v>0.19597485258178901</v>
      </c>
      <c r="AG367">
        <v>-0.23473279999999999</v>
      </c>
      <c r="AH367">
        <v>0.43007968969215299</v>
      </c>
      <c r="AI367">
        <v>116.411627381467</v>
      </c>
      <c r="AJ367">
        <v>65.502620384334804</v>
      </c>
      <c r="AK367">
        <v>0.52770651855552497</v>
      </c>
      <c r="AL367">
        <v>89.987442472180007</v>
      </c>
      <c r="AM367">
        <v>92.952872298328401</v>
      </c>
      <c r="AN367">
        <v>0.999999978944768</v>
      </c>
    </row>
    <row r="368" spans="1:40" x14ac:dyDescent="0.25">
      <c r="A368" t="str">
        <f>"20190305135545442"</f>
        <v>20190305135545442</v>
      </c>
      <c r="B368" t="str">
        <f>"1551765345432255"</f>
        <v>1551765345432255</v>
      </c>
      <c r="C368" t="s">
        <v>40</v>
      </c>
      <c r="D368">
        <v>4.6652620000000002</v>
      </c>
      <c r="E368">
        <v>0.61784729999999999</v>
      </c>
      <c r="F368" t="s">
        <v>41</v>
      </c>
      <c r="G368">
        <v>-378.35550000000001</v>
      </c>
      <c r="H368">
        <v>0.88665640000000001</v>
      </c>
      <c r="I368">
        <v>367.9676</v>
      </c>
      <c r="J368">
        <v>-378.83199999999999</v>
      </c>
      <c r="K368">
        <v>1.1096170000000001</v>
      </c>
      <c r="L368">
        <v>368.18950000000001</v>
      </c>
      <c r="M368">
        <v>0.99987110000000001</v>
      </c>
      <c r="N368">
        <v>-1.451505E-2</v>
      </c>
      <c r="O368">
        <v>-6.8845269999999997E-3</v>
      </c>
      <c r="P368">
        <v>0.99888940000000004</v>
      </c>
      <c r="Q368">
        <v>-1.448761E-2</v>
      </c>
      <c r="R368">
        <v>4.4835010000000002E-2</v>
      </c>
      <c r="S368">
        <v>3.029083</v>
      </c>
      <c r="T368">
        <v>-0.83591489999999902</v>
      </c>
      <c r="U368">
        <v>-0.83966059999999998</v>
      </c>
      <c r="V368">
        <v>-5.1711680000000003E-2</v>
      </c>
      <c r="W368" s="1">
        <v>3.3717019999999997E-5</v>
      </c>
      <c r="X368">
        <v>0.9986621</v>
      </c>
      <c r="Y368">
        <v>0.25146059999999998</v>
      </c>
      <c r="Z368">
        <v>-3.3619019999999999E-2</v>
      </c>
      <c r="AA368">
        <v>0.96728349999999996</v>
      </c>
      <c r="AB368">
        <v>33</v>
      </c>
      <c r="AC368">
        <v>0.47649999999998699</v>
      </c>
      <c r="AD368">
        <v>-0.22296060000000001</v>
      </c>
      <c r="AE368">
        <v>-0.22190000000000501</v>
      </c>
      <c r="AF368">
        <v>0.185278026362031</v>
      </c>
      <c r="AG368">
        <v>-0.22296060000000001</v>
      </c>
      <c r="AH368">
        <v>0.405124991159105</v>
      </c>
      <c r="AI368">
        <v>116.587642242326</v>
      </c>
      <c r="AJ368">
        <v>65.423701284323599</v>
      </c>
      <c r="AK368">
        <v>0.49816225736865499</v>
      </c>
      <c r="AL368">
        <v>89.998068157141802</v>
      </c>
      <c r="AM368">
        <v>92.964182973507206</v>
      </c>
      <c r="AN368">
        <v>1.0000000444808299</v>
      </c>
    </row>
    <row r="369" spans="1:40" x14ac:dyDescent="0.25">
      <c r="A369" t="str">
        <f>"20190305135545463"</f>
        <v>20190305135545463</v>
      </c>
      <c r="B369" t="str">
        <f>"1551765345451775"</f>
        <v>1551765345451775</v>
      </c>
      <c r="C369" t="s">
        <v>40</v>
      </c>
      <c r="D369">
        <v>4.6474529999999996</v>
      </c>
      <c r="E369">
        <v>0.61773630000000002</v>
      </c>
      <c r="F369" t="s">
        <v>41</v>
      </c>
      <c r="G369">
        <v>-378.05419999999998</v>
      </c>
      <c r="H369">
        <v>0.8948429</v>
      </c>
      <c r="I369">
        <v>367.97410000000002</v>
      </c>
      <c r="J369">
        <v>-378.50940000000003</v>
      </c>
      <c r="K369">
        <v>1.109612</v>
      </c>
      <c r="L369">
        <v>368.18709999999999</v>
      </c>
      <c r="M369">
        <v>0.99986960000000003</v>
      </c>
      <c r="N369">
        <v>-1.451452E-2</v>
      </c>
      <c r="O369">
        <v>-7.0846569999999899E-3</v>
      </c>
      <c r="P369">
        <v>0.99889519999999998</v>
      </c>
      <c r="Q369">
        <v>-1.447417E-2</v>
      </c>
      <c r="R369">
        <v>4.4708919999999999E-2</v>
      </c>
      <c r="S369">
        <v>3.02887</v>
      </c>
      <c r="T369">
        <v>-0.83631279999999997</v>
      </c>
      <c r="U369">
        <v>-0.83850100000000005</v>
      </c>
      <c r="V369">
        <v>-5.1785490000000003E-2</v>
      </c>
      <c r="W369" s="1">
        <v>4.6552740000000002E-5</v>
      </c>
      <c r="X369">
        <v>0.99865820000000005</v>
      </c>
      <c r="Y369">
        <v>0.2509554</v>
      </c>
      <c r="Z369">
        <v>-3.3515499999999997E-2</v>
      </c>
      <c r="AA369">
        <v>0.96741829999999995</v>
      </c>
      <c r="AB369">
        <v>33</v>
      </c>
      <c r="AC369">
        <v>0.45520000000004701</v>
      </c>
      <c r="AD369">
        <v>-0.21476909999999999</v>
      </c>
      <c r="AE369">
        <v>-0.212999999999965</v>
      </c>
      <c r="AF369">
        <v>0.177376626606567</v>
      </c>
      <c r="AG369">
        <v>-0.21476909999999999</v>
      </c>
      <c r="AH369">
        <v>0.386174138899679</v>
      </c>
      <c r="AI369">
        <v>116.811300141072</v>
      </c>
      <c r="AJ369">
        <v>65.329842511580594</v>
      </c>
      <c r="AK369">
        <v>0.47614987087685401</v>
      </c>
      <c r="AL369">
        <v>89.997332724391597</v>
      </c>
      <c r="AM369">
        <v>92.968417872120398</v>
      </c>
      <c r="AN369">
        <v>0.99999996978446803</v>
      </c>
    </row>
    <row r="370" spans="1:40" x14ac:dyDescent="0.25">
      <c r="A370" t="str">
        <f>"20190305135545486"</f>
        <v>20190305135545486</v>
      </c>
      <c r="B370" t="str">
        <f>"1551765345482032"</f>
        <v>1551765345482032</v>
      </c>
      <c r="C370" t="s">
        <v>40</v>
      </c>
      <c r="D370">
        <v>4.6102109999999996</v>
      </c>
      <c r="E370">
        <v>0.63251599999999997</v>
      </c>
      <c r="F370" t="s">
        <v>41</v>
      </c>
      <c r="G370">
        <v>-377.75400000000002</v>
      </c>
      <c r="H370">
        <v>0.90099499999999999</v>
      </c>
      <c r="I370">
        <v>367.97789999999998</v>
      </c>
      <c r="J370">
        <v>-378.17599999999999</v>
      </c>
      <c r="K370">
        <v>1.109615</v>
      </c>
      <c r="L370">
        <v>368.18450000000001</v>
      </c>
      <c r="M370">
        <v>0.99986819999999998</v>
      </c>
      <c r="N370">
        <v>-1.45136E-2</v>
      </c>
      <c r="O370">
        <v>-7.2913400000000003E-3</v>
      </c>
      <c r="P370">
        <v>0.99889830000000002</v>
      </c>
      <c r="Q370">
        <v>-1.441228E-2</v>
      </c>
      <c r="R370">
        <v>4.4662760000000003E-2</v>
      </c>
      <c r="S370">
        <v>3.0286870000000001</v>
      </c>
      <c r="T370">
        <v>-0.83655709999999905</v>
      </c>
      <c r="U370">
        <v>-0.83758539999999904</v>
      </c>
      <c r="V370">
        <v>-5.1945499999999999E-2</v>
      </c>
      <c r="W370">
        <v>1.075903E-4</v>
      </c>
      <c r="X370">
        <v>0.99864989999999998</v>
      </c>
      <c r="Y370">
        <v>0.25051519999999999</v>
      </c>
      <c r="Z370">
        <v>-3.3413119999999998E-2</v>
      </c>
      <c r="AA370">
        <v>0.9675359</v>
      </c>
      <c r="AB370">
        <v>33</v>
      </c>
      <c r="AC370">
        <v>0.42199999999996801</v>
      </c>
      <c r="AD370">
        <v>-0.208619999999999</v>
      </c>
      <c r="AE370">
        <v>-0.206600000000037</v>
      </c>
      <c r="AF370">
        <v>0.170002750917773</v>
      </c>
      <c r="AG370">
        <v>-0.208619999999999</v>
      </c>
      <c r="AH370">
        <v>0.35375564150795802</v>
      </c>
      <c r="AI370">
        <v>117.99230071837</v>
      </c>
      <c r="AJ370">
        <v>64.332667231440098</v>
      </c>
      <c r="AK370">
        <v>0.44448430075573803</v>
      </c>
      <c r="AL370">
        <v>89.993835529786907</v>
      </c>
      <c r="AM370">
        <v>92.977598095682893</v>
      </c>
      <c r="AN370">
        <v>0.99999998465796602</v>
      </c>
    </row>
    <row r="371" spans="1:40" x14ac:dyDescent="0.25">
      <c r="A371" t="str">
        <f>"20190305135545510"</f>
        <v>20190305135545510</v>
      </c>
      <c r="B371" t="str">
        <f>"1551765345502528"</f>
        <v>1551765345502528</v>
      </c>
      <c r="C371" t="s">
        <v>40</v>
      </c>
      <c r="D371">
        <v>4.6250049999999998</v>
      </c>
      <c r="E371">
        <v>0.63383669999999903</v>
      </c>
      <c r="F371" t="s">
        <v>41</v>
      </c>
      <c r="G371">
        <v>-377.44200000000001</v>
      </c>
      <c r="H371">
        <v>0.93142720000000001</v>
      </c>
      <c r="I371">
        <v>367.95420000000001</v>
      </c>
      <c r="J371">
        <v>-377.82420000000002</v>
      </c>
      <c r="K371">
        <v>1.109615</v>
      </c>
      <c r="L371">
        <v>368.18180000000001</v>
      </c>
      <c r="M371">
        <v>0.99986649999999999</v>
      </c>
      <c r="N371">
        <v>-1.4512239999999999E-2</v>
      </c>
      <c r="O371">
        <v>-7.5101759999999899E-3</v>
      </c>
      <c r="P371">
        <v>0.9989131</v>
      </c>
      <c r="Q371">
        <v>-1.4446779999999999E-2</v>
      </c>
      <c r="R371">
        <v>4.4320499999999999E-2</v>
      </c>
      <c r="S371">
        <v>3.0352480000000002</v>
      </c>
      <c r="T371">
        <v>-0.73698399999999997</v>
      </c>
      <c r="U371">
        <v>-0.95175169999999998</v>
      </c>
      <c r="V371">
        <v>-5.1822149999999997E-2</v>
      </c>
      <c r="W371" s="1">
        <v>7.1542099999999994E-5</v>
      </c>
      <c r="X371">
        <v>0.99865630000000005</v>
      </c>
      <c r="Y371">
        <v>0.28418290000000002</v>
      </c>
      <c r="Z371">
        <v>-3.372961E-2</v>
      </c>
      <c r="AA371">
        <v>0.95817660000000004</v>
      </c>
      <c r="AB371">
        <v>33</v>
      </c>
      <c r="AC371">
        <v>0.38220000000006799</v>
      </c>
      <c r="AD371">
        <v>-0.17818780000000001</v>
      </c>
      <c r="AE371">
        <v>-0.227599999999995</v>
      </c>
      <c r="AF371">
        <v>0.19365043288439901</v>
      </c>
      <c r="AG371">
        <v>-0.17818780000000001</v>
      </c>
      <c r="AH371">
        <v>0.33081700262464597</v>
      </c>
      <c r="AI371">
        <v>114.93108608865499</v>
      </c>
      <c r="AJ371">
        <v>59.6565633339901</v>
      </c>
      <c r="AK371">
        <v>0.42271890358808201</v>
      </c>
      <c r="AL371">
        <v>89.995900939498</v>
      </c>
      <c r="AM371">
        <v>92.970521154595303</v>
      </c>
      <c r="AN371">
        <v>0.99999997293929199</v>
      </c>
    </row>
    <row r="372" spans="1:40" x14ac:dyDescent="0.25">
      <c r="A372" t="str">
        <f>"20190305135545532"</f>
        <v>20190305135545532</v>
      </c>
      <c r="B372" t="str">
        <f>"1551765345522047"</f>
        <v>1551765345522047</v>
      </c>
      <c r="C372" t="s">
        <v>40</v>
      </c>
      <c r="D372">
        <v>4.646096</v>
      </c>
      <c r="E372">
        <v>0.63349080000000002</v>
      </c>
      <c r="F372" t="s">
        <v>42</v>
      </c>
      <c r="G372">
        <v>-373.2534</v>
      </c>
      <c r="H372" s="1">
        <v>-3.3884009999999998E-6</v>
      </c>
      <c r="I372">
        <v>366.73099999999999</v>
      </c>
      <c r="J372">
        <v>-377.48689999999999</v>
      </c>
      <c r="K372">
        <v>1.109621</v>
      </c>
      <c r="L372">
        <v>368.17899999999997</v>
      </c>
      <c r="M372">
        <v>0.999865</v>
      </c>
      <c r="N372">
        <v>-1.4510540000000001E-2</v>
      </c>
      <c r="O372">
        <v>-7.7199529999999999E-3</v>
      </c>
      <c r="P372">
        <v>0.99891039999999998</v>
      </c>
      <c r="Q372">
        <v>-1.482091E-2</v>
      </c>
      <c r="R372">
        <v>4.4260149999999998E-2</v>
      </c>
      <c r="S372">
        <v>3.035339</v>
      </c>
      <c r="T372">
        <v>-0.73684930000000004</v>
      </c>
      <c r="U372">
        <v>-0.96331789999999995</v>
      </c>
      <c r="V372">
        <v>-5.1971679999999999E-2</v>
      </c>
      <c r="W372">
        <v>-3.0442989999999998E-4</v>
      </c>
      <c r="X372">
        <v>0.99864850000000005</v>
      </c>
      <c r="Y372">
        <v>0.28722579999999998</v>
      </c>
      <c r="Z372">
        <v>-3.4039449999999999E-2</v>
      </c>
      <c r="AA372">
        <v>0.95725789999999999</v>
      </c>
      <c r="AB372">
        <v>33</v>
      </c>
      <c r="AC372">
        <v>4.2334999999999896</v>
      </c>
      <c r="AD372">
        <v>-1.109624388401</v>
      </c>
      <c r="AE372">
        <v>-1.4480000000000299</v>
      </c>
      <c r="AF372">
        <v>1.3332693324879401</v>
      </c>
      <c r="AG372">
        <v>-1.109624388401</v>
      </c>
      <c r="AH372">
        <v>3.9986215113582602</v>
      </c>
      <c r="AI372">
        <v>104.74868273433199</v>
      </c>
      <c r="AJ372">
        <v>71.559951022274106</v>
      </c>
      <c r="AK372">
        <v>4.3586520149450099</v>
      </c>
      <c r="AL372">
        <v>90.017442548917202</v>
      </c>
      <c r="AM372">
        <v>92.979100240917404</v>
      </c>
      <c r="AN372">
        <v>0.999999987375918</v>
      </c>
    </row>
    <row r="373" spans="1:40" x14ac:dyDescent="0.25">
      <c r="A373" t="str">
        <f>"20190305135545553"</f>
        <v>20190305135545553</v>
      </c>
      <c r="B373" t="str">
        <f>"1551765345542547"</f>
        <v>1551765345542547</v>
      </c>
      <c r="C373" t="s">
        <v>40</v>
      </c>
      <c r="D373">
        <v>4.6286129999999996</v>
      </c>
      <c r="E373">
        <v>0.63359270000000001</v>
      </c>
      <c r="F373" t="s">
        <v>42</v>
      </c>
      <c r="G373">
        <v>-372.87569999999999</v>
      </c>
      <c r="H373" s="1">
        <v>-3.552336E-6</v>
      </c>
      <c r="I373">
        <v>366.72019999999998</v>
      </c>
      <c r="J373">
        <v>-377.18180000000001</v>
      </c>
      <c r="K373">
        <v>1.109615</v>
      </c>
      <c r="L373">
        <v>368.1764</v>
      </c>
      <c r="M373">
        <v>0.99986350000000002</v>
      </c>
      <c r="N373">
        <v>-1.450881E-2</v>
      </c>
      <c r="O373">
        <v>-7.9094649999999992E-3</v>
      </c>
      <c r="P373">
        <v>0.99892320000000001</v>
      </c>
      <c r="Q373">
        <v>-1.5239279999999999E-2</v>
      </c>
      <c r="R373">
        <v>4.3822050000000001E-2</v>
      </c>
      <c r="S373">
        <v>3.0349729999999999</v>
      </c>
      <c r="T373">
        <v>-0.73031409999999997</v>
      </c>
      <c r="U373">
        <v>-0.96005249999999998</v>
      </c>
      <c r="V373">
        <v>-5.1722610000000002E-2</v>
      </c>
      <c r="W373">
        <v>-7.2456389999999999E-4</v>
      </c>
      <c r="X373">
        <v>0.99866120000000003</v>
      </c>
      <c r="Y373">
        <v>0.28630100000000003</v>
      </c>
      <c r="Z373">
        <v>-3.3616939999999998E-2</v>
      </c>
      <c r="AA373">
        <v>0.95754980000000001</v>
      </c>
      <c r="AB373">
        <v>33</v>
      </c>
      <c r="AC373">
        <v>4.3061000000000096</v>
      </c>
      <c r="AD373">
        <v>-1.109618552336</v>
      </c>
      <c r="AE373">
        <v>-1.4562000000000199</v>
      </c>
      <c r="AF373">
        <v>1.34211867923074</v>
      </c>
      <c r="AG373">
        <v>-1.109618552336</v>
      </c>
      <c r="AH373">
        <v>4.0746847821232102</v>
      </c>
      <c r="AI373">
        <v>104.50177662095101</v>
      </c>
      <c r="AJ373">
        <v>71.769163373345705</v>
      </c>
      <c r="AK373">
        <v>4.4312066025513701</v>
      </c>
      <c r="AL373">
        <v>90.041514458215801</v>
      </c>
      <c r="AM373">
        <v>92.964811045256198</v>
      </c>
      <c r="AN373">
        <v>0.99999997288174802</v>
      </c>
    </row>
    <row r="374" spans="1:40" x14ac:dyDescent="0.25">
      <c r="A374" t="str">
        <f>"20190305135545575"</f>
        <v>20190305135545575</v>
      </c>
      <c r="B374" t="str">
        <f>"1551765345571824"</f>
        <v>1551765345571824</v>
      </c>
      <c r="C374" t="s">
        <v>40</v>
      </c>
      <c r="D374">
        <v>4.6145420000000001</v>
      </c>
      <c r="E374">
        <v>0.63395509999999999</v>
      </c>
      <c r="F374" t="s">
        <v>42</v>
      </c>
      <c r="G374">
        <v>-372.57040000000001</v>
      </c>
      <c r="H374" s="1">
        <v>-3.6842170000000001E-6</v>
      </c>
      <c r="I374">
        <v>366.71510000000001</v>
      </c>
      <c r="J374">
        <v>-376.85509999999999</v>
      </c>
      <c r="K374">
        <v>1.1096170000000001</v>
      </c>
      <c r="L374">
        <v>368.17360000000002</v>
      </c>
      <c r="M374">
        <v>0.99986189999999997</v>
      </c>
      <c r="N374">
        <v>-1.4506730000000001E-2</v>
      </c>
      <c r="O374">
        <v>-8.1120810000000002E-3</v>
      </c>
      <c r="P374">
        <v>0.99890749999999995</v>
      </c>
      <c r="Q374">
        <v>-1.653112E-2</v>
      </c>
      <c r="R374">
        <v>4.3709949999999997E-2</v>
      </c>
      <c r="S374">
        <v>3.0342709999999999</v>
      </c>
      <c r="T374">
        <v>-0.73010299999999995</v>
      </c>
      <c r="U374">
        <v>-0.96145630000000004</v>
      </c>
      <c r="V374">
        <v>-5.1813480000000002E-2</v>
      </c>
      <c r="W374">
        <v>-2.0187510000000001E-3</v>
      </c>
      <c r="X374">
        <v>0.99865470000000001</v>
      </c>
      <c r="Y374">
        <v>0.28657310000000003</v>
      </c>
      <c r="Z374">
        <v>-3.3602100000000003E-2</v>
      </c>
      <c r="AA374">
        <v>0.95746889999999996</v>
      </c>
      <c r="AB374">
        <v>33</v>
      </c>
      <c r="AC374">
        <v>4.2846999999999804</v>
      </c>
      <c r="AD374">
        <v>-1.109620684217</v>
      </c>
      <c r="AE374">
        <v>-1.4585000000000099</v>
      </c>
      <c r="AF374">
        <v>1.3429740404305299</v>
      </c>
      <c r="AG374">
        <v>-1.109620684217</v>
      </c>
      <c r="AH374">
        <v>4.0528067615832599</v>
      </c>
      <c r="AI374">
        <v>104.568494797657</v>
      </c>
      <c r="AJ374">
        <v>71.6664101644065</v>
      </c>
      <c r="AK374">
        <v>4.4113580655901803</v>
      </c>
      <c r="AL374">
        <v>90.115665995268103</v>
      </c>
      <c r="AM374">
        <v>92.970029817345704</v>
      </c>
      <c r="AN374">
        <v>0.99999996094869903</v>
      </c>
    </row>
    <row r="375" spans="1:40" x14ac:dyDescent="0.25">
      <c r="A375" t="str">
        <f>"20190305135545598"</f>
        <v>20190305135545598</v>
      </c>
      <c r="B375" t="str">
        <f>"1551765345592320"</f>
        <v>1551765345592320</v>
      </c>
      <c r="C375" t="s">
        <v>40</v>
      </c>
      <c r="D375">
        <v>4.5565749999999996</v>
      </c>
      <c r="E375">
        <v>0.63429650000000004</v>
      </c>
      <c r="F375" t="s">
        <v>42</v>
      </c>
      <c r="G375">
        <v>-372.26319999999998</v>
      </c>
      <c r="H375" s="1">
        <v>-3.8161959999999999E-6</v>
      </c>
      <c r="I375">
        <v>366.71409999999997</v>
      </c>
      <c r="J375">
        <v>-376.50799999999998</v>
      </c>
      <c r="K375">
        <v>1.109629</v>
      </c>
      <c r="L375">
        <v>368.17059999999998</v>
      </c>
      <c r="M375">
        <v>0.99986030000000004</v>
      </c>
      <c r="N375">
        <v>-1.4504329999999999E-2</v>
      </c>
      <c r="O375">
        <v>-8.3212059999999994E-3</v>
      </c>
      <c r="P375">
        <v>0.99889130000000004</v>
      </c>
      <c r="Q375">
        <v>-1.7875249999999999E-2</v>
      </c>
      <c r="R375">
        <v>4.3555580000000003E-2</v>
      </c>
      <c r="S375">
        <v>3.0332949999999999</v>
      </c>
      <c r="T375">
        <v>-0.7329717</v>
      </c>
      <c r="U375">
        <v>-0.96405030000000003</v>
      </c>
      <c r="V375">
        <v>-5.1868530000000003E-2</v>
      </c>
      <c r="W375">
        <v>-3.3658939999999999E-3</v>
      </c>
      <c r="X375">
        <v>0.99864819999999999</v>
      </c>
      <c r="Y375">
        <v>0.28713460000000002</v>
      </c>
      <c r="Z375">
        <v>-3.3751539999999997E-2</v>
      </c>
      <c r="AA375">
        <v>0.95729540000000002</v>
      </c>
      <c r="AB375">
        <v>33</v>
      </c>
      <c r="AC375">
        <v>4.2448000000000503</v>
      </c>
      <c r="AD375">
        <v>-1.1096328161960001</v>
      </c>
      <c r="AE375">
        <v>-1.4564999999999999</v>
      </c>
      <c r="AF375">
        <v>1.3392462973697701</v>
      </c>
      <c r="AG375">
        <v>-1.1096328161960001</v>
      </c>
      <c r="AH375">
        <v>4.01152115628802</v>
      </c>
      <c r="AI375">
        <v>104.701656918921</v>
      </c>
      <c r="AJ375">
        <v>71.5384132929412</v>
      </c>
      <c r="AK375">
        <v>4.3723183346074102</v>
      </c>
      <c r="AL375">
        <v>90.1928518941791</v>
      </c>
      <c r="AM375">
        <v>92.973199027954905</v>
      </c>
      <c r="AN375">
        <v>0.99999995050500801</v>
      </c>
    </row>
    <row r="376" spans="1:40" x14ac:dyDescent="0.25">
      <c r="A376" t="str">
        <f>"20190305135545611"</f>
        <v>20190305135545611</v>
      </c>
      <c r="B376" t="str">
        <f>"1551765345602080"</f>
        <v>1551765345602080</v>
      </c>
      <c r="C376" t="s">
        <v>40</v>
      </c>
      <c r="D376">
        <v>4.5706290000000003</v>
      </c>
      <c r="E376">
        <v>0.63408229999999999</v>
      </c>
      <c r="F376" t="s">
        <v>42</v>
      </c>
      <c r="G376">
        <v>-371.94</v>
      </c>
      <c r="H376" s="1">
        <v>-3.9546869999999999E-6</v>
      </c>
      <c r="I376">
        <v>366.71480000000003</v>
      </c>
      <c r="J376">
        <v>-376.3109</v>
      </c>
      <c r="K376">
        <v>1.1096330000000001</v>
      </c>
      <c r="L376">
        <v>368.16890000000001</v>
      </c>
      <c r="M376">
        <v>0.99985930000000001</v>
      </c>
      <c r="N376">
        <v>-1.4502889999999999E-2</v>
      </c>
      <c r="O376">
        <v>-8.4348449999999998E-3</v>
      </c>
      <c r="P376">
        <v>0.99888149999999998</v>
      </c>
      <c r="Q376">
        <v>-1.8100519999999998E-2</v>
      </c>
      <c r="R376">
        <v>4.3687589999999998E-2</v>
      </c>
      <c r="S376">
        <v>3.0322879999999999</v>
      </c>
      <c r="T376">
        <v>-0.73658080000000004</v>
      </c>
      <c r="U376">
        <v>-0.96630859999999996</v>
      </c>
      <c r="V376">
        <v>-5.2114199999999902E-2</v>
      </c>
      <c r="W376">
        <v>-3.593195E-3</v>
      </c>
      <c r="X376">
        <v>0.99863469999999999</v>
      </c>
      <c r="Y376">
        <v>0.28767619999999999</v>
      </c>
      <c r="Z376">
        <v>-3.3951559999999999E-2</v>
      </c>
      <c r="AA376">
        <v>0.95712569999999997</v>
      </c>
      <c r="AB376">
        <v>33</v>
      </c>
      <c r="AC376">
        <v>4.3708999999999998</v>
      </c>
      <c r="AD376">
        <v>-1.109636954687</v>
      </c>
      <c r="AE376">
        <v>-1.45409999999998</v>
      </c>
      <c r="AF376">
        <v>1.33945158422014</v>
      </c>
      <c r="AG376">
        <v>-1.109636954687</v>
      </c>
      <c r="AH376">
        <v>4.1426249820244099</v>
      </c>
      <c r="AI376">
        <v>104.298396539465</v>
      </c>
      <c r="AJ376">
        <v>72.082215223348896</v>
      </c>
      <c r="AK376">
        <v>4.4929685575763401</v>
      </c>
      <c r="AL376">
        <v>90.205875344795899</v>
      </c>
      <c r="AM376">
        <v>92.987296145555703</v>
      </c>
      <c r="AN376">
        <v>1.0000000324680101</v>
      </c>
    </row>
    <row r="377" spans="1:40" x14ac:dyDescent="0.25">
      <c r="A377" t="str">
        <f>"20190305135545632"</f>
        <v>20190305135545632</v>
      </c>
      <c r="B377" t="str">
        <f>"1551765345622576"</f>
        <v>1551765345622576</v>
      </c>
      <c r="C377" t="s">
        <v>40</v>
      </c>
      <c r="D377">
        <v>4.6311669999999996</v>
      </c>
      <c r="E377">
        <v>0.63391390000000003</v>
      </c>
      <c r="F377" t="s">
        <v>42</v>
      </c>
      <c r="G377">
        <v>-371.75349999999997</v>
      </c>
      <c r="H377" s="1">
        <v>-4.0337540000000002E-6</v>
      </c>
      <c r="I377">
        <v>366.7201</v>
      </c>
      <c r="J377">
        <v>-376.00979999999998</v>
      </c>
      <c r="K377">
        <v>1.1096459999999999</v>
      </c>
      <c r="L377">
        <v>368.16609999999997</v>
      </c>
      <c r="M377">
        <v>0.99985809999999997</v>
      </c>
      <c r="N377">
        <v>-1.4500570000000001E-2</v>
      </c>
      <c r="O377">
        <v>-8.593524E-3</v>
      </c>
      <c r="P377">
        <v>0.99883880000000003</v>
      </c>
      <c r="Q377">
        <v>-1.9427750000000001E-2</v>
      </c>
      <c r="R377">
        <v>4.408778E-2</v>
      </c>
      <c r="S377">
        <v>3.0321349999999998</v>
      </c>
      <c r="T377">
        <v>-0.73826789999999998</v>
      </c>
      <c r="U377">
        <v>-0.96386719999999904</v>
      </c>
      <c r="V377">
        <v>-5.2672450000000003E-2</v>
      </c>
      <c r="W377">
        <v>-4.9245490000000003E-3</v>
      </c>
      <c r="X377">
        <v>0.99859969999999998</v>
      </c>
      <c r="Y377">
        <v>0.286829</v>
      </c>
      <c r="Z377">
        <v>-3.3886189999999997E-2</v>
      </c>
      <c r="AA377">
        <v>0.95738230000000002</v>
      </c>
      <c r="AB377">
        <v>33</v>
      </c>
      <c r="AC377">
        <v>4.2563000000000004</v>
      </c>
      <c r="AD377">
        <v>-1.1096500337539901</v>
      </c>
      <c r="AE377">
        <v>-1.44599999999996</v>
      </c>
      <c r="AF377">
        <v>1.32841835491548</v>
      </c>
      <c r="AG377">
        <v>-1.1096500337539901</v>
      </c>
      <c r="AH377">
        <v>4.0234024614798001</v>
      </c>
      <c r="AI377">
        <v>104.67576648677201</v>
      </c>
      <c r="AJ377">
        <v>71.728178274514804</v>
      </c>
      <c r="AK377">
        <v>4.3799298955723396</v>
      </c>
      <c r="AL377">
        <v>90.282157014292807</v>
      </c>
      <c r="AM377">
        <v>93.019342948286805</v>
      </c>
      <c r="AN377">
        <v>0.99999999950597196</v>
      </c>
    </row>
    <row r="378" spans="1:40" x14ac:dyDescent="0.25">
      <c r="A378" t="str">
        <f>"20190305135545653"</f>
        <v>20190305135545653</v>
      </c>
      <c r="B378" t="str">
        <f>"1551765345642096"</f>
        <v>1551765345642096</v>
      </c>
      <c r="C378" t="s">
        <v>40</v>
      </c>
      <c r="D378">
        <v>4.6365970000000001</v>
      </c>
      <c r="E378">
        <v>0.63369039999999999</v>
      </c>
      <c r="F378" t="s">
        <v>42</v>
      </c>
      <c r="G378">
        <v>-371.46530000000001</v>
      </c>
      <c r="H378" s="1">
        <v>-4.1565260000000002E-6</v>
      </c>
      <c r="I378">
        <v>366.72500000000002</v>
      </c>
      <c r="J378">
        <v>-375.70260000000002</v>
      </c>
      <c r="K378">
        <v>1.109664</v>
      </c>
      <c r="L378">
        <v>368.16329999999999</v>
      </c>
      <c r="M378">
        <v>0.99985679999999999</v>
      </c>
      <c r="N378">
        <v>-1.44981E-2</v>
      </c>
      <c r="O378">
        <v>-8.7310819999999994E-3</v>
      </c>
      <c r="P378">
        <v>0.99878789999999995</v>
      </c>
      <c r="Q378">
        <v>-2.0835880000000001E-2</v>
      </c>
      <c r="R378">
        <v>4.4591930000000002E-2</v>
      </c>
      <c r="S378">
        <v>3.0314939999999999</v>
      </c>
      <c r="T378">
        <v>-0.740201</v>
      </c>
      <c r="U378">
        <v>-0.96127320000000005</v>
      </c>
      <c r="V378">
        <v>-5.3314380000000001E-2</v>
      </c>
      <c r="W378">
        <v>-6.3380529999999997E-3</v>
      </c>
      <c r="X378">
        <v>0.99855769999999999</v>
      </c>
      <c r="Y378">
        <v>0.28599390000000002</v>
      </c>
      <c r="Z378">
        <v>-3.384152E-2</v>
      </c>
      <c r="AA378">
        <v>0.95763370000000003</v>
      </c>
      <c r="AB378">
        <v>33</v>
      </c>
      <c r="AC378">
        <v>4.2373000000000003</v>
      </c>
      <c r="AD378">
        <v>-1.109668156526</v>
      </c>
      <c r="AE378">
        <v>-1.4382999999999599</v>
      </c>
      <c r="AF378">
        <v>1.3200660638599599</v>
      </c>
      <c r="AG378">
        <v>-1.109668156526</v>
      </c>
      <c r="AH378">
        <v>4.0034979227380996</v>
      </c>
      <c r="AI378">
        <v>104.747655821192</v>
      </c>
      <c r="AJ378">
        <v>71.751156123594001</v>
      </c>
      <c r="AK378">
        <v>4.35912071958679</v>
      </c>
      <c r="AL378">
        <v>90.363146105092795</v>
      </c>
      <c r="AM378">
        <v>93.056199265718703</v>
      </c>
      <c r="AN378">
        <v>1.00000003712995</v>
      </c>
    </row>
    <row r="379" spans="1:40" x14ac:dyDescent="0.25">
      <c r="A379" t="str">
        <f>"20190305135545676"</f>
        <v>20190305135545676</v>
      </c>
      <c r="B379" t="str">
        <f>"1551765345672353"</f>
        <v>1551765345672353</v>
      </c>
      <c r="C379" t="s">
        <v>40</v>
      </c>
      <c r="D379">
        <v>4.6338879999999998</v>
      </c>
      <c r="E379">
        <v>0.63341709999999996</v>
      </c>
      <c r="F379" t="s">
        <v>42</v>
      </c>
      <c r="G379">
        <v>-371.1678</v>
      </c>
      <c r="H379" s="1">
        <v>-4.2832580000000003E-6</v>
      </c>
      <c r="I379">
        <v>366.73020000000002</v>
      </c>
      <c r="J379">
        <v>-375.36419999999998</v>
      </c>
      <c r="K379">
        <v>1.10968</v>
      </c>
      <c r="L379">
        <v>368.16019999999997</v>
      </c>
      <c r="M379">
        <v>0.99985579999999996</v>
      </c>
      <c r="N379">
        <v>-1.449524E-2</v>
      </c>
      <c r="O379">
        <v>-8.8466550000000001E-3</v>
      </c>
      <c r="P379">
        <v>0.99870479999999995</v>
      </c>
      <c r="Q379">
        <v>-2.305979E-2</v>
      </c>
      <c r="R379">
        <v>4.5353940000000002E-2</v>
      </c>
      <c r="S379">
        <v>3.030945</v>
      </c>
      <c r="T379">
        <v>-0.74165979999999998</v>
      </c>
      <c r="U379">
        <v>-0.95779420000000004</v>
      </c>
      <c r="V379">
        <v>-5.4191469999999999E-2</v>
      </c>
      <c r="W379">
        <v>-8.569353E-3</v>
      </c>
      <c r="X379">
        <v>0.99849379999999999</v>
      </c>
      <c r="Y379">
        <v>0.28493190000000002</v>
      </c>
      <c r="Z379">
        <v>-3.3753180000000001E-2</v>
      </c>
      <c r="AA379">
        <v>0.95795330000000001</v>
      </c>
      <c r="AB379">
        <v>33</v>
      </c>
      <c r="AC379">
        <v>4.1963999999999801</v>
      </c>
      <c r="AD379">
        <v>-1.1096842832580001</v>
      </c>
      <c r="AE379">
        <v>-1.42999999999995</v>
      </c>
      <c r="AF379">
        <v>1.3106985001676801</v>
      </c>
      <c r="AG379">
        <v>-1.1096842832580001</v>
      </c>
      <c r="AH379">
        <v>3.9607405591047198</v>
      </c>
      <c r="AI379">
        <v>104.894958186645</v>
      </c>
      <c r="AJ379">
        <v>71.689454141744307</v>
      </c>
      <c r="AK379">
        <v>4.3170355040685999</v>
      </c>
      <c r="AL379">
        <v>90.490993765052906</v>
      </c>
      <c r="AM379">
        <v>93.106578400725198</v>
      </c>
      <c r="AN379">
        <v>1.0000000089350101</v>
      </c>
    </row>
    <row r="380" spans="1:40" x14ac:dyDescent="0.25">
      <c r="A380" t="str">
        <f>"20190305135545690"</f>
        <v>20190305135545690</v>
      </c>
      <c r="B380" t="str">
        <f>"1551765345682112"</f>
        <v>1551765345682112</v>
      </c>
      <c r="C380" t="s">
        <v>40</v>
      </c>
      <c r="D380">
        <v>4.6275339999999998</v>
      </c>
      <c r="E380">
        <v>0.63339969999999901</v>
      </c>
      <c r="F380" t="s">
        <v>42</v>
      </c>
      <c r="G380">
        <v>-370.84890000000001</v>
      </c>
      <c r="H380" s="1">
        <v>-4.41811E-6</v>
      </c>
      <c r="I380">
        <v>366.74119999999999</v>
      </c>
      <c r="J380">
        <v>-375.15660000000003</v>
      </c>
      <c r="K380">
        <v>1.1096919999999999</v>
      </c>
      <c r="L380">
        <v>368.1583</v>
      </c>
      <c r="M380">
        <v>0.99985550000000001</v>
      </c>
      <c r="N380">
        <v>-1.449346E-2</v>
      </c>
      <c r="O380">
        <v>-8.901483E-3</v>
      </c>
      <c r="P380">
        <v>0.99864949999999997</v>
      </c>
      <c r="Q380">
        <v>-2.454398E-2</v>
      </c>
      <c r="R380">
        <v>4.5795919999999997E-2</v>
      </c>
      <c r="S380">
        <v>3.029938</v>
      </c>
      <c r="T380">
        <v>-0.74462030000000001</v>
      </c>
      <c r="U380">
        <v>-0.95214840000000001</v>
      </c>
      <c r="V380">
        <v>-5.4687300000000001E-2</v>
      </c>
      <c r="W380">
        <v>-1.005849E-2</v>
      </c>
      <c r="X380">
        <v>0.99845280000000003</v>
      </c>
      <c r="Y380">
        <v>0.28332420000000003</v>
      </c>
      <c r="Z380">
        <v>-3.3678470000000002E-2</v>
      </c>
      <c r="AA380">
        <v>0.95843270000000003</v>
      </c>
      <c r="AB380">
        <v>33</v>
      </c>
      <c r="AC380">
        <v>4.3077000000000103</v>
      </c>
      <c r="AD380">
        <v>-1.10969641811</v>
      </c>
      <c r="AE380">
        <v>-1.4171</v>
      </c>
      <c r="AF380">
        <v>1.3008012326188201</v>
      </c>
      <c r="AG380">
        <v>-1.10969641811</v>
      </c>
      <c r="AH380">
        <v>4.0760648427836204</v>
      </c>
      <c r="AI380">
        <v>104.539858622822</v>
      </c>
      <c r="AJ380">
        <v>72.300471929257597</v>
      </c>
      <c r="AK380">
        <v>4.4201600185655598</v>
      </c>
      <c r="AL380">
        <v>90.576318781644304</v>
      </c>
      <c r="AM380">
        <v>93.135074370743595</v>
      </c>
      <c r="AN380">
        <v>0.999999933915102</v>
      </c>
    </row>
    <row r="381" spans="1:40" x14ac:dyDescent="0.25">
      <c r="A381" t="str">
        <f>"20190305135545711"</f>
        <v>20190305135545711</v>
      </c>
      <c r="B381" t="str">
        <f>"1551765345702608"</f>
        <v>1551765345702608</v>
      </c>
      <c r="C381" t="s">
        <v>40</v>
      </c>
      <c r="D381">
        <v>4.6163569999999998</v>
      </c>
      <c r="E381">
        <v>0.63317760000000001</v>
      </c>
      <c r="F381" t="s">
        <v>42</v>
      </c>
      <c r="G381">
        <v>-370.66160000000002</v>
      </c>
      <c r="H381" s="1">
        <v>-4.497317E-6</v>
      </c>
      <c r="I381">
        <v>366.74759999999998</v>
      </c>
      <c r="J381">
        <v>-374.84730000000002</v>
      </c>
      <c r="K381">
        <v>1.109712</v>
      </c>
      <c r="L381">
        <v>368.15550000000002</v>
      </c>
      <c r="M381">
        <v>0.99985500000000005</v>
      </c>
      <c r="N381">
        <v>-1.449084E-2</v>
      </c>
      <c r="O381">
        <v>-8.9529299999999996E-3</v>
      </c>
      <c r="P381">
        <v>0.99862249999999997</v>
      </c>
      <c r="Q381">
        <v>-2.6107780000000001E-2</v>
      </c>
      <c r="R381">
        <v>4.5515119999999999E-2</v>
      </c>
      <c r="S381">
        <v>3.029236</v>
      </c>
      <c r="T381">
        <v>-0.74781629999999999</v>
      </c>
      <c r="U381">
        <v>-0.95062259999999998</v>
      </c>
      <c r="V381">
        <v>-5.4457369999999998E-2</v>
      </c>
      <c r="W381">
        <v>-1.1628940000000001E-2</v>
      </c>
      <c r="X381">
        <v>0.99844840000000001</v>
      </c>
      <c r="Y381">
        <v>0.28284419999999999</v>
      </c>
      <c r="Z381">
        <v>-3.3746249999999998E-2</v>
      </c>
      <c r="AA381">
        <v>0.95857199999999998</v>
      </c>
      <c r="AB381">
        <v>33</v>
      </c>
      <c r="AC381">
        <v>4.18569999999999</v>
      </c>
      <c r="AD381">
        <v>-1.109716497317</v>
      </c>
      <c r="AE381">
        <v>-1.4079000000000399</v>
      </c>
      <c r="AF381">
        <v>1.28897313789884</v>
      </c>
      <c r="AG381">
        <v>-1.109716497317</v>
      </c>
      <c r="AH381">
        <v>3.9487918858959201</v>
      </c>
      <c r="AI381">
        <v>104.95749279243</v>
      </c>
      <c r="AJ381">
        <v>71.922170461975497</v>
      </c>
      <c r="AK381">
        <v>4.2995208817680801</v>
      </c>
      <c r="AL381">
        <v>90.6663041854775</v>
      </c>
      <c r="AM381">
        <v>93.121932967707707</v>
      </c>
      <c r="AN381">
        <v>1.0000000224276999</v>
      </c>
    </row>
    <row r="382" spans="1:40" x14ac:dyDescent="0.25">
      <c r="A382" t="str">
        <f>"20190305135545732"</f>
        <v>20190305135545732</v>
      </c>
      <c r="B382" t="str">
        <f>"1551765345722128"</f>
        <v>1551765345722128</v>
      </c>
      <c r="C382" t="s">
        <v>40</v>
      </c>
      <c r="D382">
        <v>4.5974139999999997</v>
      </c>
      <c r="E382">
        <v>0.63304469999999902</v>
      </c>
      <c r="F382" t="s">
        <v>42</v>
      </c>
      <c r="G382">
        <v>-370.37709999999998</v>
      </c>
      <c r="H382" s="1">
        <v>-4.6180660000000002E-6</v>
      </c>
      <c r="I382">
        <v>366.75479999999999</v>
      </c>
      <c r="J382">
        <v>-374.53179999999998</v>
      </c>
      <c r="K382">
        <v>1.1097349999999999</v>
      </c>
      <c r="L382">
        <v>368.15260000000001</v>
      </c>
      <c r="M382">
        <v>0.99985489999999999</v>
      </c>
      <c r="N382">
        <v>-1.448813E-2</v>
      </c>
      <c r="O382">
        <v>-8.9692160000000003E-3</v>
      </c>
      <c r="P382">
        <v>0.99865939999999997</v>
      </c>
      <c r="Q382">
        <v>-2.6882940000000001E-2</v>
      </c>
      <c r="R382">
        <v>4.4235240000000002E-2</v>
      </c>
      <c r="S382">
        <v>3.0277400000000001</v>
      </c>
      <c r="T382">
        <v>-0.75162959999999901</v>
      </c>
      <c r="U382">
        <v>-0.94863889999999995</v>
      </c>
      <c r="V382">
        <v>-5.3193740000000003E-2</v>
      </c>
      <c r="W382">
        <v>-1.2409949999999999E-2</v>
      </c>
      <c r="X382">
        <v>0.99850709999999998</v>
      </c>
      <c r="Y382">
        <v>0.28232059999999998</v>
      </c>
      <c r="Z382">
        <v>-3.3849410000000003E-2</v>
      </c>
      <c r="AA382">
        <v>0.95872270000000004</v>
      </c>
      <c r="AB382">
        <v>33</v>
      </c>
      <c r="AC382">
        <v>4.1546999999999903</v>
      </c>
      <c r="AD382">
        <v>-1.109739618066</v>
      </c>
      <c r="AE382">
        <v>-1.3978000000000099</v>
      </c>
      <c r="AF382">
        <v>1.2785336637749201</v>
      </c>
      <c r="AG382">
        <v>-1.109739618066</v>
      </c>
      <c r="AH382">
        <v>3.91608754481739</v>
      </c>
      <c r="AI382">
        <v>105.076786014091</v>
      </c>
      <c r="AJ382">
        <v>71.919050812724194</v>
      </c>
      <c r="AK382">
        <v>4.26636988644736</v>
      </c>
      <c r="AL382">
        <v>90.711056007607496</v>
      </c>
      <c r="AM382">
        <v>93.049450984625395</v>
      </c>
      <c r="AN382">
        <v>1.0000000047922999</v>
      </c>
    </row>
    <row r="383" spans="1:40" x14ac:dyDescent="0.25">
      <c r="A383" t="str">
        <f>"20190305135545754"</f>
        <v>20190305135545754</v>
      </c>
      <c r="B383" t="str">
        <f>"1551765345741648"</f>
        <v>1551765345741648</v>
      </c>
      <c r="C383" t="s">
        <v>40</v>
      </c>
      <c r="D383">
        <v>4.4364520000000001</v>
      </c>
      <c r="E383">
        <v>0.63297809999999999</v>
      </c>
      <c r="F383" t="s">
        <v>42</v>
      </c>
      <c r="G383">
        <v>-370.07089999999999</v>
      </c>
      <c r="H383" s="1">
        <v>-4.7501660000000002E-6</v>
      </c>
      <c r="I383">
        <v>366.75080000000003</v>
      </c>
      <c r="J383">
        <v>-374.22539999999998</v>
      </c>
      <c r="K383">
        <v>1.109764</v>
      </c>
      <c r="L383">
        <v>368.1499</v>
      </c>
      <c r="M383">
        <v>0.9998553</v>
      </c>
      <c r="N383">
        <v>-1.447588E-2</v>
      </c>
      <c r="O383">
        <v>-8.94297199999999E-3</v>
      </c>
      <c r="P383">
        <v>0.99874629999999998</v>
      </c>
      <c r="Q383">
        <v>-2.619492E-2</v>
      </c>
      <c r="R383">
        <v>4.2660719999999999E-2</v>
      </c>
      <c r="S383">
        <v>3.0258790000000002</v>
      </c>
      <c r="T383">
        <v>-0.75272890000000003</v>
      </c>
      <c r="U383">
        <v>-0.95083620000000002</v>
      </c>
      <c r="V383">
        <v>-5.1592409999999998E-2</v>
      </c>
      <c r="W383">
        <v>-1.1736709999999999E-2</v>
      </c>
      <c r="X383">
        <v>0.99859920000000002</v>
      </c>
      <c r="Y383">
        <v>0.28309489999999998</v>
      </c>
      <c r="Z383">
        <v>-3.4012100000000003E-2</v>
      </c>
      <c r="AA383">
        <v>0.95848860000000002</v>
      </c>
      <c r="AB383">
        <v>33</v>
      </c>
      <c r="AC383">
        <v>4.1544999999999801</v>
      </c>
      <c r="AD383">
        <v>-1.1097687501660001</v>
      </c>
      <c r="AE383">
        <v>-1.39909999999997</v>
      </c>
      <c r="AF383">
        <v>1.2798636626011599</v>
      </c>
      <c r="AG383">
        <v>-1.1097687501660001</v>
      </c>
      <c r="AH383">
        <v>3.91588880988337</v>
      </c>
      <c r="AI383">
        <v>105.076381070629</v>
      </c>
      <c r="AJ383">
        <v>71.900609274375697</v>
      </c>
      <c r="AK383">
        <v>4.2665938223671702</v>
      </c>
      <c r="AL383">
        <v>90.672479425217304</v>
      </c>
      <c r="AM383">
        <v>92.957544355264105</v>
      </c>
      <c r="AN383">
        <v>0.99999994468593401</v>
      </c>
    </row>
    <row r="384" spans="1:40" x14ac:dyDescent="0.25">
      <c r="A384" t="str">
        <f>"20190305135545777"</f>
        <v>20190305135545777</v>
      </c>
      <c r="B384" t="str">
        <f>"1551765345771904"</f>
        <v>1551765345771904</v>
      </c>
      <c r="C384" t="s">
        <v>40</v>
      </c>
      <c r="D384">
        <v>4.6087800000000003</v>
      </c>
      <c r="E384">
        <v>0.63268369999999996</v>
      </c>
      <c r="F384" t="s">
        <v>42</v>
      </c>
      <c r="G384">
        <v>-369.7346</v>
      </c>
      <c r="H384" s="1">
        <v>-8.4388969999999999E-7</v>
      </c>
      <c r="I384">
        <v>366.73180000000002</v>
      </c>
      <c r="J384">
        <v>-373.88630000000001</v>
      </c>
      <c r="K384">
        <v>1.1097889999999999</v>
      </c>
      <c r="L384">
        <v>368.14690000000002</v>
      </c>
      <c r="M384">
        <v>0.99985760000000001</v>
      </c>
      <c r="N384">
        <v>-1.43734E-2</v>
      </c>
      <c r="O384">
        <v>-8.8520890000000005E-3</v>
      </c>
      <c r="P384">
        <v>0.99889879999999998</v>
      </c>
      <c r="Q384">
        <v>-2.397531E-2</v>
      </c>
      <c r="R384">
        <v>4.0331440000000003E-2</v>
      </c>
      <c r="S384">
        <v>3.0249329999999999</v>
      </c>
      <c r="T384">
        <v>-0.74750090000000002</v>
      </c>
      <c r="U384">
        <v>-0.95513919999999997</v>
      </c>
      <c r="V384">
        <v>-4.9173000000000001E-2</v>
      </c>
      <c r="W384">
        <v>-9.6223809999999993E-3</v>
      </c>
      <c r="X384">
        <v>0.99874399999999997</v>
      </c>
      <c r="Y384">
        <v>0.28457310000000002</v>
      </c>
      <c r="Z384">
        <v>-3.39917E-2</v>
      </c>
      <c r="AA384">
        <v>0.95805149999999994</v>
      </c>
      <c r="AB384">
        <v>33</v>
      </c>
      <c r="AC384">
        <v>4.1516999999999999</v>
      </c>
      <c r="AD384">
        <v>-1.10978984388969</v>
      </c>
      <c r="AE384">
        <v>-1.41509999999999</v>
      </c>
      <c r="AF384">
        <v>1.2953640319472699</v>
      </c>
      <c r="AG384">
        <v>-1.10978984388969</v>
      </c>
      <c r="AH384">
        <v>3.9135320551497501</v>
      </c>
      <c r="AI384">
        <v>105.067563056132</v>
      </c>
      <c r="AJ384">
        <v>71.685655375965894</v>
      </c>
      <c r="AK384">
        <v>4.2691140321556196</v>
      </c>
      <c r="AL384">
        <v>90.551330286541301</v>
      </c>
      <c r="AM384">
        <v>92.818672395199997</v>
      </c>
      <c r="AN384">
        <v>1.0000000758405501</v>
      </c>
    </row>
    <row r="385" spans="1:40" x14ac:dyDescent="0.25">
      <c r="A385" t="str">
        <f>"20190305135545793"</f>
        <v>20190305135545793</v>
      </c>
      <c r="B385" t="str">
        <f>"1551765345782641"</f>
        <v>1551765345782641</v>
      </c>
      <c r="C385" t="s">
        <v>40</v>
      </c>
      <c r="D385">
        <v>4.561877</v>
      </c>
      <c r="E385">
        <v>0.63256519999999905</v>
      </c>
      <c r="F385" t="s">
        <v>42</v>
      </c>
      <c r="G385">
        <v>-369.3372</v>
      </c>
      <c r="H385" s="1">
        <v>-9.8668150000000003E-7</v>
      </c>
      <c r="I385">
        <v>366.70330000000001</v>
      </c>
      <c r="J385">
        <v>-373.65300000000002</v>
      </c>
      <c r="K385">
        <v>1.1097870000000001</v>
      </c>
      <c r="L385">
        <v>368.14490000000001</v>
      </c>
      <c r="M385">
        <v>0.99986090000000005</v>
      </c>
      <c r="N385">
        <v>-1.421216E-2</v>
      </c>
      <c r="O385">
        <v>-8.7520010000000006E-3</v>
      </c>
      <c r="P385">
        <v>0.99898869999999895</v>
      </c>
      <c r="Q385">
        <v>-2.2540000000000001E-2</v>
      </c>
      <c r="R385">
        <v>3.8910640000000003E-2</v>
      </c>
      <c r="S385">
        <v>3.0243229999999999</v>
      </c>
      <c r="T385">
        <v>-0.73779139999999999</v>
      </c>
      <c r="U385">
        <v>-0.95965579999999995</v>
      </c>
      <c r="V385">
        <v>-4.7652390000000003E-2</v>
      </c>
      <c r="W385">
        <v>-8.3507819999999993E-3</v>
      </c>
      <c r="X385">
        <v>0.99882910000000003</v>
      </c>
      <c r="Y385">
        <v>0.28618259999999901</v>
      </c>
      <c r="Z385">
        <v>-3.3787190000000002E-2</v>
      </c>
      <c r="AA385">
        <v>0.95757919999999996</v>
      </c>
      <c r="AB385">
        <v>33</v>
      </c>
      <c r="AC385">
        <v>4.3158000000000198</v>
      </c>
      <c r="AD385">
        <v>-1.1097879866814999</v>
      </c>
      <c r="AE385">
        <v>-1.44159999999999</v>
      </c>
      <c r="AF385">
        <v>1.32495226852717</v>
      </c>
      <c r="AG385">
        <v>-1.1097879866814999</v>
      </c>
      <c r="AH385">
        <v>4.08523629469091</v>
      </c>
      <c r="AI385">
        <v>104.488705806631</v>
      </c>
      <c r="AJ385">
        <v>72.030723617158799</v>
      </c>
      <c r="AK385">
        <v>4.4357956978109101</v>
      </c>
      <c r="AL385">
        <v>90.478470111809003</v>
      </c>
      <c r="AM385">
        <v>92.731410420060598</v>
      </c>
      <c r="AN385">
        <v>1.0000000284197601</v>
      </c>
    </row>
    <row r="386" spans="1:40" x14ac:dyDescent="0.25">
      <c r="A386" t="str">
        <f>"20190305135545812"</f>
        <v>20190305135545812</v>
      </c>
      <c r="B386" t="str">
        <f>"1551765345802160"</f>
        <v>1551765345802160</v>
      </c>
      <c r="C386" t="s">
        <v>40</v>
      </c>
      <c r="D386">
        <v>4.5774970000000001</v>
      </c>
      <c r="E386">
        <v>0.63232060000000001</v>
      </c>
      <c r="F386" t="s">
        <v>42</v>
      </c>
      <c r="G386">
        <v>-369.07220000000001</v>
      </c>
      <c r="H386" s="1">
        <v>-1.081434E-6</v>
      </c>
      <c r="I386">
        <v>366.68610000000001</v>
      </c>
      <c r="J386">
        <v>-373.36739999999998</v>
      </c>
      <c r="K386">
        <v>1.109769</v>
      </c>
      <c r="L386">
        <v>368.14249999999998</v>
      </c>
      <c r="M386">
        <v>0.9998667</v>
      </c>
      <c r="N386">
        <v>-1.389461E-2</v>
      </c>
      <c r="O386">
        <v>-8.58091699999999E-3</v>
      </c>
      <c r="P386">
        <v>0.99914000000000003</v>
      </c>
      <c r="Q386">
        <v>-1.9816489999999999E-2</v>
      </c>
      <c r="R386">
        <v>3.6421719999999998E-2</v>
      </c>
      <c r="S386">
        <v>3.0240480000000001</v>
      </c>
      <c r="T386">
        <v>-0.73261739999999997</v>
      </c>
      <c r="U386">
        <v>-0.96295169999999997</v>
      </c>
      <c r="V386">
        <v>-4.4993449999999997E-2</v>
      </c>
      <c r="W386">
        <v>-5.9472609999999997E-3</v>
      </c>
      <c r="X386">
        <v>0.99896960000000001</v>
      </c>
      <c r="Y386">
        <v>0.28739959999999998</v>
      </c>
      <c r="Z386">
        <v>-3.3707870000000001E-2</v>
      </c>
      <c r="AA386">
        <v>0.95721750000000005</v>
      </c>
      <c r="AB386">
        <v>33</v>
      </c>
      <c r="AC386">
        <v>4.2951999999999604</v>
      </c>
      <c r="AD386">
        <v>-1.1097700814339999</v>
      </c>
      <c r="AE386">
        <v>-1.4563999999999699</v>
      </c>
      <c r="AF386">
        <v>1.3392975562885701</v>
      </c>
      <c r="AG386">
        <v>-1.1097700814339999</v>
      </c>
      <c r="AH386">
        <v>4.0642020716505902</v>
      </c>
      <c r="AI386">
        <v>104.538855841103</v>
      </c>
      <c r="AJ386">
        <v>71.761130237194607</v>
      </c>
      <c r="AK386">
        <v>4.4207517524891102</v>
      </c>
      <c r="AL386">
        <v>90.340754956541701</v>
      </c>
      <c r="AM386">
        <v>92.578850967458195</v>
      </c>
      <c r="AN386">
        <v>1.00000002109023</v>
      </c>
    </row>
    <row r="387" spans="1:40" x14ac:dyDescent="0.25">
      <c r="A387" t="str">
        <f>"20190305135545834"</f>
        <v>20190305135545834</v>
      </c>
      <c r="B387" t="str">
        <f>"1551765345821679"</f>
        <v>1551765345821679</v>
      </c>
      <c r="C387" t="s">
        <v>40</v>
      </c>
      <c r="D387">
        <v>4.5807039999999999</v>
      </c>
      <c r="E387">
        <v>0.63209769999999998</v>
      </c>
      <c r="F387" t="s">
        <v>42</v>
      </c>
      <c r="G387">
        <v>-368.72370000000001</v>
      </c>
      <c r="H387" s="1">
        <v>-1.208051E-6</v>
      </c>
      <c r="I387">
        <v>366.65600000000001</v>
      </c>
      <c r="J387">
        <v>-373.0505</v>
      </c>
      <c r="K387">
        <v>1.109737</v>
      </c>
      <c r="L387">
        <v>368.14</v>
      </c>
      <c r="M387">
        <v>0.99987479999999995</v>
      </c>
      <c r="N387">
        <v>-1.3456249999999999E-2</v>
      </c>
      <c r="O387">
        <v>-8.3312979999999991E-3</v>
      </c>
      <c r="P387">
        <v>0.99927120000000003</v>
      </c>
      <c r="Q387">
        <v>-1.7800599999999899E-2</v>
      </c>
      <c r="R387">
        <v>3.3774070000000003E-2</v>
      </c>
      <c r="S387">
        <v>3.0235289999999999</v>
      </c>
      <c r="T387">
        <v>-0.72255530000000001</v>
      </c>
      <c r="U387">
        <v>-0.96777340000000001</v>
      </c>
      <c r="V387">
        <v>-4.2096939999999999E-2</v>
      </c>
      <c r="W387">
        <v>-4.3723770000000002E-3</v>
      </c>
      <c r="X387">
        <v>0.99910399999999999</v>
      </c>
      <c r="Y387">
        <v>0.28923670000000001</v>
      </c>
      <c r="Z387">
        <v>-3.3493050000000003E-2</v>
      </c>
      <c r="AA387">
        <v>0.95667150000000001</v>
      </c>
      <c r="AB387">
        <v>33</v>
      </c>
      <c r="AC387">
        <v>4.3267999999999898</v>
      </c>
      <c r="AD387">
        <v>-1.1097382080510001</v>
      </c>
      <c r="AE387">
        <v>-1.48399999999998</v>
      </c>
      <c r="AF387">
        <v>1.36741372132911</v>
      </c>
      <c r="AG387">
        <v>-1.1097382080510001</v>
      </c>
      <c r="AH387">
        <v>4.0978236499024003</v>
      </c>
      <c r="AI387">
        <v>104.407008100638</v>
      </c>
      <c r="AJ387">
        <v>71.5465234674692</v>
      </c>
      <c r="AK387">
        <v>4.4602127574126698</v>
      </c>
      <c r="AL387">
        <v>90.250519537644095</v>
      </c>
      <c r="AM387">
        <v>92.412712948131698</v>
      </c>
      <c r="AN387">
        <v>1.0000000364269901</v>
      </c>
    </row>
    <row r="388" spans="1:40" x14ac:dyDescent="0.25">
      <c r="A388" t="str">
        <f>"20190305135545855"</f>
        <v>20190305135545855</v>
      </c>
      <c r="B388" t="str">
        <f>"1551765345842176"</f>
        <v>1551765345842176</v>
      </c>
      <c r="C388" t="s">
        <v>40</v>
      </c>
      <c r="D388">
        <v>4.5860770000000004</v>
      </c>
      <c r="E388">
        <v>0.63176899999999903</v>
      </c>
      <c r="F388" t="s">
        <v>42</v>
      </c>
      <c r="G388">
        <v>-368.36270000000002</v>
      </c>
      <c r="H388" s="1">
        <v>-1.3379679999999999E-6</v>
      </c>
      <c r="I388">
        <v>366.62950000000001</v>
      </c>
      <c r="J388">
        <v>-372.73390000000001</v>
      </c>
      <c r="K388">
        <v>1.109704</v>
      </c>
      <c r="L388">
        <v>368.13760000000002</v>
      </c>
      <c r="M388">
        <v>0.99988330000000003</v>
      </c>
      <c r="N388">
        <v>-1.300248E-2</v>
      </c>
      <c r="O388">
        <v>-8.0262600000000003E-3</v>
      </c>
      <c r="P388">
        <v>0.99936380000000002</v>
      </c>
      <c r="Q388">
        <v>-1.6897889999999999E-2</v>
      </c>
      <c r="R388">
        <v>3.1413799999999999E-2</v>
      </c>
      <c r="S388">
        <v>3.0223390000000001</v>
      </c>
      <c r="T388">
        <v>-0.71545570000000003</v>
      </c>
      <c r="U388">
        <v>-0.97378540000000002</v>
      </c>
      <c r="V388">
        <v>-3.9432309999999998E-2</v>
      </c>
      <c r="W388">
        <v>-3.9255409999999899E-3</v>
      </c>
      <c r="X388">
        <v>0.99921450000000001</v>
      </c>
      <c r="Y388">
        <v>0.29145510000000002</v>
      </c>
      <c r="Z388">
        <v>-3.345687E-2</v>
      </c>
      <c r="AA388">
        <v>0.9559993</v>
      </c>
      <c r="AB388">
        <v>33</v>
      </c>
      <c r="AC388">
        <v>4.3711999999999804</v>
      </c>
      <c r="AD388">
        <v>-1.109705337968</v>
      </c>
      <c r="AE388">
        <v>-1.50810000000001</v>
      </c>
      <c r="AF388">
        <v>1.3927509332547501</v>
      </c>
      <c r="AG388">
        <v>-1.109705337968</v>
      </c>
      <c r="AH388">
        <v>4.1444708292123096</v>
      </c>
      <c r="AI388">
        <v>104.241387524892</v>
      </c>
      <c r="AJ388">
        <v>71.425058582917998</v>
      </c>
      <c r="AK388">
        <v>4.5108579620054998</v>
      </c>
      <c r="AL388">
        <v>90.224917516693793</v>
      </c>
      <c r="AM388">
        <v>92.259908347268905</v>
      </c>
      <c r="AN388">
        <v>0.99999996697716298</v>
      </c>
    </row>
    <row r="389" spans="1:40" x14ac:dyDescent="0.25">
      <c r="A389" t="str">
        <f>"20190305135545878"</f>
        <v>20190305135545878</v>
      </c>
      <c r="B389" t="str">
        <f>"1551765345872432"</f>
        <v>1551765345872432</v>
      </c>
      <c r="C389" t="s">
        <v>40</v>
      </c>
      <c r="D389">
        <v>4.5617650000000003</v>
      </c>
      <c r="E389">
        <v>0.62532880000000002</v>
      </c>
      <c r="F389" t="s">
        <v>42</v>
      </c>
      <c r="G389">
        <v>-368.0222</v>
      </c>
      <c r="H389" s="1">
        <v>-1.4583439999999901E-6</v>
      </c>
      <c r="I389">
        <v>366.61259999999999</v>
      </c>
      <c r="J389">
        <v>-372.39879999999999</v>
      </c>
      <c r="K389">
        <v>1.1096839999999999</v>
      </c>
      <c r="L389">
        <v>368.13529999999997</v>
      </c>
      <c r="M389">
        <v>0.99989209999999995</v>
      </c>
      <c r="N389">
        <v>-1.253958E-2</v>
      </c>
      <c r="O389">
        <v>-7.6522830000000002E-3</v>
      </c>
      <c r="P389">
        <v>0.99943179999999998</v>
      </c>
      <c r="Q389">
        <v>-1.624898E-2</v>
      </c>
      <c r="R389">
        <v>2.9528970000000002E-2</v>
      </c>
      <c r="S389">
        <v>3.0205989999999998</v>
      </c>
      <c r="T389">
        <v>-0.711399</v>
      </c>
      <c r="U389">
        <v>-0.97756960000000004</v>
      </c>
      <c r="V389">
        <v>-3.7174279999999997E-2</v>
      </c>
      <c r="W389">
        <v>-3.7410880000000001E-3</v>
      </c>
      <c r="X389">
        <v>0.99930180000000002</v>
      </c>
      <c r="Y389">
        <v>0.2930991</v>
      </c>
      <c r="Z389">
        <v>-3.3498180000000002E-2</v>
      </c>
      <c r="AA389">
        <v>0.95549510000000004</v>
      </c>
      <c r="AB389">
        <v>33</v>
      </c>
      <c r="AC389">
        <v>4.3765999999999901</v>
      </c>
      <c r="AD389">
        <v>-1.1096854583439999</v>
      </c>
      <c r="AE389">
        <v>-1.52269999999998</v>
      </c>
      <c r="AF389">
        <v>1.4083960937909501</v>
      </c>
      <c r="AG389">
        <v>-1.1096854583439999</v>
      </c>
      <c r="AH389">
        <v>4.1501319522477003</v>
      </c>
      <c r="AI389">
        <v>104.208814199481</v>
      </c>
      <c r="AJ389">
        <v>71.254752209038301</v>
      </c>
      <c r="AK389">
        <v>4.5209044000656604</v>
      </c>
      <c r="AL389">
        <v>90.214349052078902</v>
      </c>
      <c r="AM389">
        <v>92.130435128042905</v>
      </c>
      <c r="AN389">
        <v>1.00000000515809</v>
      </c>
    </row>
    <row r="390" spans="1:40" x14ac:dyDescent="0.25">
      <c r="A390" t="str">
        <f>"20190305135545902"</f>
        <v>20190305135545902</v>
      </c>
      <c r="B390" t="str">
        <f>"1551765345892088"</f>
        <v>1551765345892088</v>
      </c>
      <c r="C390" t="s">
        <v>40</v>
      </c>
      <c r="D390">
        <v>4.5422770000000003</v>
      </c>
      <c r="E390">
        <v>0.626359</v>
      </c>
      <c r="F390" t="s">
        <v>42</v>
      </c>
      <c r="G390">
        <v>-367.49680000000001</v>
      </c>
      <c r="H390" s="1">
        <v>-1.6342979999999999E-6</v>
      </c>
      <c r="I390">
        <v>366.6232</v>
      </c>
      <c r="J390">
        <v>-372.0412</v>
      </c>
      <c r="K390">
        <v>1.109661</v>
      </c>
      <c r="L390">
        <v>368.13290000000001</v>
      </c>
      <c r="M390">
        <v>0.99990120000000005</v>
      </c>
      <c r="N390">
        <v>-1.2075880000000001E-2</v>
      </c>
      <c r="O390">
        <v>-7.2108889999999998E-3</v>
      </c>
      <c r="P390">
        <v>0.99947330000000001</v>
      </c>
      <c r="Q390">
        <v>-1.602584E-2</v>
      </c>
      <c r="R390">
        <v>2.8228280000000001E-2</v>
      </c>
      <c r="S390">
        <v>3.018097</v>
      </c>
      <c r="T390">
        <v>-0.68319830000000004</v>
      </c>
      <c r="U390">
        <v>-0.93087770000000003</v>
      </c>
      <c r="V390">
        <v>-3.5432579999999998E-2</v>
      </c>
      <c r="W390">
        <v>-3.9826439999999996E-3</v>
      </c>
      <c r="X390">
        <v>0.99936409999999998</v>
      </c>
      <c r="Y390">
        <v>0.28110400000000002</v>
      </c>
      <c r="Z390">
        <v>-3.0994730000000002E-2</v>
      </c>
      <c r="AA390">
        <v>0.95917669999999999</v>
      </c>
      <c r="AB390">
        <v>33</v>
      </c>
      <c r="AC390">
        <v>4.5443999999999898</v>
      </c>
      <c r="AD390">
        <v>-1.1096626342980001</v>
      </c>
      <c r="AE390">
        <v>-1.5097</v>
      </c>
      <c r="AF390">
        <v>1.4016238830107901</v>
      </c>
      <c r="AG390">
        <v>-1.1096626342980001</v>
      </c>
      <c r="AH390">
        <v>4.3230281285316501</v>
      </c>
      <c r="AI390">
        <v>103.72160600193</v>
      </c>
      <c r="AJ390">
        <v>72.036128518929999</v>
      </c>
      <c r="AK390">
        <v>4.6780843164119297</v>
      </c>
      <c r="AL390">
        <v>90.228189303323305</v>
      </c>
      <c r="AM390">
        <v>92.030578505009302</v>
      </c>
      <c r="AN390">
        <v>0.99999996677374803</v>
      </c>
    </row>
    <row r="391" spans="1:40" x14ac:dyDescent="0.25">
      <c r="A391" t="str">
        <f>"20190305135545924"</f>
        <v>20190305135545924</v>
      </c>
      <c r="B391" t="str">
        <f>"1551765345912584"</f>
        <v>1551765345912584</v>
      </c>
      <c r="C391" t="s">
        <v>40</v>
      </c>
      <c r="D391">
        <v>4.5689070000000003</v>
      </c>
      <c r="E391">
        <v>0.62474169999999996</v>
      </c>
      <c r="F391" t="s">
        <v>41</v>
      </c>
      <c r="G391">
        <v>-371.24689999999998</v>
      </c>
      <c r="H391">
        <v>0.93002499999999999</v>
      </c>
      <c r="I391">
        <v>367.8845</v>
      </c>
      <c r="J391">
        <v>-371.71449999999999</v>
      </c>
      <c r="K391">
        <v>1.1096440000000001</v>
      </c>
      <c r="L391">
        <v>368.13099999999997</v>
      </c>
      <c r="M391">
        <v>0.99990880000000004</v>
      </c>
      <c r="N391">
        <v>-1.1682639999999999E-2</v>
      </c>
      <c r="O391">
        <v>-6.7829559999999997E-3</v>
      </c>
      <c r="P391">
        <v>0.99950119999999998</v>
      </c>
      <c r="Q391">
        <v>-1.5942629999999999E-2</v>
      </c>
      <c r="R391">
        <v>2.7265660000000001E-2</v>
      </c>
      <c r="S391">
        <v>3.017334</v>
      </c>
      <c r="T391">
        <v>-0.68251169999999906</v>
      </c>
      <c r="U391">
        <v>-0.94256589999999996</v>
      </c>
      <c r="V391">
        <v>-3.4041500000000002E-2</v>
      </c>
      <c r="W391">
        <v>-4.2928159999999996E-3</v>
      </c>
      <c r="X391">
        <v>0.99941120000000006</v>
      </c>
      <c r="Y391">
        <v>0.28489890000000001</v>
      </c>
      <c r="Z391">
        <v>-3.1423859999999998E-2</v>
      </c>
      <c r="AA391">
        <v>0.95804239999999996</v>
      </c>
      <c r="AB391">
        <v>33</v>
      </c>
      <c r="AC391">
        <v>0.46760000000000401</v>
      </c>
      <c r="AD391">
        <v>-0.179619</v>
      </c>
      <c r="AE391">
        <v>-0.24649999999996899</v>
      </c>
      <c r="AF391">
        <v>0.21813492419849201</v>
      </c>
      <c r="AG391">
        <v>-0.179619</v>
      </c>
      <c r="AH391">
        <v>0.420685843450742</v>
      </c>
      <c r="AI391">
        <v>110.75878156117901</v>
      </c>
      <c r="AJ391">
        <v>62.592260992161798</v>
      </c>
      <c r="AK391">
        <v>0.50677648840089595</v>
      </c>
      <c r="AL391">
        <v>90.2459609946321</v>
      </c>
      <c r="AM391">
        <v>91.950829159979705</v>
      </c>
      <c r="AN391">
        <v>0.99999999933844996</v>
      </c>
    </row>
    <row r="392" spans="1:40" x14ac:dyDescent="0.25">
      <c r="A392" t="str">
        <f>"20190305135545944"</f>
        <v>20190305135545944</v>
      </c>
      <c r="B392" t="str">
        <f>"1551765345932104"</f>
        <v>1551765345932104</v>
      </c>
      <c r="C392" t="s">
        <v>40</v>
      </c>
      <c r="D392">
        <v>4.5185420000000001</v>
      </c>
      <c r="E392">
        <v>0.60236919999999905</v>
      </c>
      <c r="F392" t="s">
        <v>41</v>
      </c>
      <c r="G392">
        <v>-370.95100000000002</v>
      </c>
      <c r="H392">
        <v>0.93708610000000003</v>
      </c>
      <c r="I392">
        <v>367.89499999999998</v>
      </c>
      <c r="J392">
        <v>-371.4178</v>
      </c>
      <c r="K392">
        <v>1.1096220000000001</v>
      </c>
      <c r="L392">
        <v>368.1293</v>
      </c>
      <c r="M392">
        <v>0.9999152</v>
      </c>
      <c r="N392">
        <v>-1.135007E-2</v>
      </c>
      <c r="O392">
        <v>-6.3833190000000001E-3</v>
      </c>
      <c r="P392">
        <v>0.99954149999999997</v>
      </c>
      <c r="Q392">
        <v>-1.5802819999999999E-2</v>
      </c>
      <c r="R392">
        <v>2.582721E-2</v>
      </c>
      <c r="S392">
        <v>3.0160520000000002</v>
      </c>
      <c r="T392">
        <v>-0.68166450000000001</v>
      </c>
      <c r="U392">
        <v>-0.93182370000000003</v>
      </c>
      <c r="V392">
        <v>-3.2203809999999999E-2</v>
      </c>
      <c r="W392">
        <v>-4.4844719999999998E-3</v>
      </c>
      <c r="X392">
        <v>0.9994712</v>
      </c>
      <c r="Y392">
        <v>0.28235159999999998</v>
      </c>
      <c r="Z392">
        <v>-3.1152240000000001E-2</v>
      </c>
      <c r="AA392">
        <v>0.95880509999999997</v>
      </c>
      <c r="AB392">
        <v>33</v>
      </c>
      <c r="AC392">
        <v>0.46680000000003402</v>
      </c>
      <c r="AD392">
        <v>-0.17253589999999899</v>
      </c>
      <c r="AE392">
        <v>-0.23430000000001799</v>
      </c>
      <c r="AF392">
        <v>0.20855692698320399</v>
      </c>
      <c r="AG392">
        <v>-0.17253589999999899</v>
      </c>
      <c r="AH392">
        <v>0.42221301327544603</v>
      </c>
      <c r="AI392">
        <v>110.122091647188</v>
      </c>
      <c r="AJ392">
        <v>63.712406328519101</v>
      </c>
      <c r="AK392">
        <v>0.50152612809366104</v>
      </c>
      <c r="AL392">
        <v>90.256942196150106</v>
      </c>
      <c r="AM392">
        <v>91.845480152732407</v>
      </c>
      <c r="AN392">
        <v>0.99999993774853502</v>
      </c>
    </row>
    <row r="393" spans="1:40" x14ac:dyDescent="0.25">
      <c r="A393" t="str">
        <f>"20190305135545967"</f>
        <v>20190305135545967</v>
      </c>
      <c r="B393" t="str">
        <f>"1551765345962360"</f>
        <v>1551765345962360</v>
      </c>
      <c r="C393" t="s">
        <v>40</v>
      </c>
      <c r="D393">
        <v>4.5064080000000004</v>
      </c>
      <c r="E393">
        <v>0.5956998</v>
      </c>
      <c r="F393" t="s">
        <v>41</v>
      </c>
      <c r="G393">
        <v>-370.66019999999997</v>
      </c>
      <c r="H393">
        <v>0.93061769999999999</v>
      </c>
      <c r="I393">
        <v>367.93830000000003</v>
      </c>
      <c r="J393">
        <v>-371.08440000000002</v>
      </c>
      <c r="K393">
        <v>1.1096010000000001</v>
      </c>
      <c r="L393">
        <v>368.12759999999997</v>
      </c>
      <c r="M393">
        <v>0.99992190000000003</v>
      </c>
      <c r="N393">
        <v>-1.1002400000000001E-2</v>
      </c>
      <c r="O393">
        <v>-5.9301719999999896E-3</v>
      </c>
      <c r="P393">
        <v>0.99957700000000005</v>
      </c>
      <c r="Q393">
        <v>-1.538957E-2</v>
      </c>
      <c r="R393">
        <v>2.467809E-2</v>
      </c>
      <c r="S393">
        <v>3.0097659999999999</v>
      </c>
      <c r="T393">
        <v>-0.71130389999999999</v>
      </c>
      <c r="U393">
        <v>-0.75729369999999996</v>
      </c>
      <c r="V393">
        <v>-3.0601969999999999E-2</v>
      </c>
      <c r="W393">
        <v>-4.4178300000000002E-3</v>
      </c>
      <c r="X393">
        <v>0.99952189999999996</v>
      </c>
      <c r="Y393">
        <v>0.2320749</v>
      </c>
      <c r="Z393">
        <v>-2.666688E-2</v>
      </c>
      <c r="AA393">
        <v>0.97233230000000004</v>
      </c>
      <c r="AB393">
        <v>33</v>
      </c>
      <c r="AC393">
        <v>0.42420000000004099</v>
      </c>
      <c r="AD393">
        <v>-0.17898330000000001</v>
      </c>
      <c r="AE393">
        <v>-0.18929999999994601</v>
      </c>
      <c r="AF393">
        <v>0.16263580011793199</v>
      </c>
      <c r="AG393">
        <v>-0.17898330000000001</v>
      </c>
      <c r="AH393">
        <v>0.37033476882097399</v>
      </c>
      <c r="AI393">
        <v>113.86987418608101</v>
      </c>
      <c r="AJ393">
        <v>66.290894166154104</v>
      </c>
      <c r="AK393">
        <v>0.44230449484102502</v>
      </c>
      <c r="AL393">
        <v>90.253123833652396</v>
      </c>
      <c r="AM393">
        <v>91.753654601886893</v>
      </c>
      <c r="AN393">
        <v>1.00000001318469</v>
      </c>
    </row>
    <row r="394" spans="1:40" x14ac:dyDescent="0.25">
      <c r="A394" t="str">
        <f>"20190305135545991"</f>
        <v>20190305135545991</v>
      </c>
      <c r="B394" t="str">
        <f>"1551765345981882"</f>
        <v>1551765345981882</v>
      </c>
      <c r="C394" t="s">
        <v>40</v>
      </c>
      <c r="D394">
        <v>4.4956480000000001</v>
      </c>
      <c r="E394">
        <v>0.593808</v>
      </c>
      <c r="F394" t="s">
        <v>41</v>
      </c>
      <c r="G394">
        <v>-370.35989999999998</v>
      </c>
      <c r="H394">
        <v>0.93926370000000003</v>
      </c>
      <c r="I394">
        <v>367.95740000000001</v>
      </c>
      <c r="J394">
        <v>-370.72469999999998</v>
      </c>
      <c r="K394">
        <v>1.1095870000000001</v>
      </c>
      <c r="L394">
        <v>368.12580000000003</v>
      </c>
      <c r="M394">
        <v>0.9999285</v>
      </c>
      <c r="N394">
        <v>-1.066215E-2</v>
      </c>
      <c r="O394">
        <v>-5.4436709999999998E-3</v>
      </c>
      <c r="P394">
        <v>0.9996157</v>
      </c>
      <c r="Q394">
        <v>-1.518918E-2</v>
      </c>
      <c r="R394">
        <v>2.3201679999999999E-2</v>
      </c>
      <c r="S394">
        <v>3.0078429999999998</v>
      </c>
      <c r="T394">
        <v>-0.70702909999999997</v>
      </c>
      <c r="U394">
        <v>-0.70642090000000002</v>
      </c>
      <c r="V394">
        <v>-2.8639700000000001E-2</v>
      </c>
      <c r="W394">
        <v>-4.5559820000000001E-3</v>
      </c>
      <c r="X394">
        <v>0.99957940000000001</v>
      </c>
      <c r="Y394">
        <v>0.21756880000000001</v>
      </c>
      <c r="Z394">
        <v>-2.490334E-2</v>
      </c>
      <c r="AA394">
        <v>0.97572729999999996</v>
      </c>
      <c r="AB394">
        <v>33</v>
      </c>
      <c r="AC394">
        <v>0.36480000000000201</v>
      </c>
      <c r="AD394">
        <v>-0.17032330000000001</v>
      </c>
      <c r="AE394">
        <v>-0.16840000000001901</v>
      </c>
      <c r="AF394">
        <v>0.14106282262549699</v>
      </c>
      <c r="AG394">
        <v>-0.17032330000000001</v>
      </c>
      <c r="AH394">
        <v>0.31000420107714499</v>
      </c>
      <c r="AI394">
        <v>116.568881745597</v>
      </c>
      <c r="AJ394">
        <v>65.532794172033803</v>
      </c>
      <c r="AK394">
        <v>0.38080355977254399</v>
      </c>
      <c r="AL394">
        <v>90.261039447607104</v>
      </c>
      <c r="AM394">
        <v>91.641175409227102</v>
      </c>
      <c r="AN394">
        <v>0.99999998314621696</v>
      </c>
    </row>
    <row r="395" spans="1:40" x14ac:dyDescent="0.25">
      <c r="A395" t="str">
        <f>"20190305135546012"</f>
        <v>20190305135546012</v>
      </c>
      <c r="B395" t="str">
        <f>"1551765346002376"</f>
        <v>1551765346002376</v>
      </c>
      <c r="C395" t="s">
        <v>40</v>
      </c>
      <c r="D395">
        <v>4.5001639999999998</v>
      </c>
      <c r="E395">
        <v>0.59261719999999996</v>
      </c>
      <c r="F395" t="s">
        <v>41</v>
      </c>
      <c r="G395">
        <v>-369.78190000000001</v>
      </c>
      <c r="H395">
        <v>0.88948760000000004</v>
      </c>
      <c r="I395">
        <v>367.90769999999998</v>
      </c>
      <c r="J395">
        <v>-370.40960000000001</v>
      </c>
      <c r="K395">
        <v>1.1095729999999999</v>
      </c>
      <c r="L395">
        <v>368.12450000000001</v>
      </c>
      <c r="M395">
        <v>0.99993339999999997</v>
      </c>
      <c r="N395">
        <v>-1.0398259999999999E-2</v>
      </c>
      <c r="O395">
        <v>-5.0272709999999998E-3</v>
      </c>
      <c r="P395">
        <v>0.99962510000000004</v>
      </c>
      <c r="Q395">
        <v>-1.560448E-2</v>
      </c>
      <c r="R395">
        <v>2.2498669999999998E-2</v>
      </c>
      <c r="S395">
        <v>3.0066220000000001</v>
      </c>
      <c r="T395">
        <v>-0.70188379999999995</v>
      </c>
      <c r="U395">
        <v>-0.69519039999999999</v>
      </c>
      <c r="V395">
        <v>-2.7519490000000001E-2</v>
      </c>
      <c r="W395">
        <v>-5.2341530000000001E-3</v>
      </c>
      <c r="X395">
        <v>0.99960760000000004</v>
      </c>
      <c r="Y395">
        <v>0.21474850000000001</v>
      </c>
      <c r="Z395">
        <v>-2.4477229999999999E-2</v>
      </c>
      <c r="AA395">
        <v>0.97636259999999997</v>
      </c>
      <c r="AB395">
        <v>33</v>
      </c>
      <c r="AC395">
        <v>0.62770000000000403</v>
      </c>
      <c r="AD395">
        <v>-0.22008539999999899</v>
      </c>
      <c r="AE395">
        <v>-0.21680000000003399</v>
      </c>
      <c r="AF395">
        <v>0.192498683684655</v>
      </c>
      <c r="AG395">
        <v>-0.22008539999999899</v>
      </c>
      <c r="AH395">
        <v>0.56655533070601705</v>
      </c>
      <c r="AI395">
        <v>110.19409135492801</v>
      </c>
      <c r="AJ395">
        <v>71.233763883194698</v>
      </c>
      <c r="AK395">
        <v>0.63755648319571601</v>
      </c>
      <c r="AL395">
        <v>90.299896234684397</v>
      </c>
      <c r="AM395">
        <v>91.576971267212201</v>
      </c>
      <c r="AN395">
        <v>1.00000003633262</v>
      </c>
    </row>
    <row r="396" spans="1:40" x14ac:dyDescent="0.25">
      <c r="A396" t="str">
        <f>"20190305135546033"</f>
        <v>20190305135546033</v>
      </c>
      <c r="B396" t="str">
        <f>"1551765346021896"</f>
        <v>1551765346021896</v>
      </c>
      <c r="C396" t="s">
        <v>40</v>
      </c>
      <c r="D396">
        <v>4.4895909999999999</v>
      </c>
      <c r="E396">
        <v>0.59194820000000004</v>
      </c>
      <c r="F396" t="s">
        <v>41</v>
      </c>
      <c r="G396">
        <v>-369.48129999999998</v>
      </c>
      <c r="H396">
        <v>0.8931152</v>
      </c>
      <c r="I396">
        <v>367.91219999999998</v>
      </c>
      <c r="J396">
        <v>-370.08859999999999</v>
      </c>
      <c r="K396">
        <v>1.1095569999999999</v>
      </c>
      <c r="L396">
        <v>368.12329999999997</v>
      </c>
      <c r="M396">
        <v>0.99993790000000005</v>
      </c>
      <c r="N396">
        <v>-1.0159329999999999E-2</v>
      </c>
      <c r="O396">
        <v>-4.6134430000000001E-3</v>
      </c>
      <c r="P396">
        <v>0.99963139999999995</v>
      </c>
      <c r="Q396">
        <v>-1.6263340000000001E-2</v>
      </c>
      <c r="R396">
        <v>2.1751039999999999E-2</v>
      </c>
      <c r="S396">
        <v>3.005646</v>
      </c>
      <c r="T396">
        <v>-0.70083629999999997</v>
      </c>
      <c r="U396">
        <v>-0.68734740000000005</v>
      </c>
      <c r="V396">
        <v>-2.6357749999999999E-2</v>
      </c>
      <c r="W396">
        <v>-6.130712E-3</v>
      </c>
      <c r="X396">
        <v>0.99963380000000002</v>
      </c>
      <c r="Y396">
        <v>0.21285760000000001</v>
      </c>
      <c r="Z396">
        <v>-2.4294360000000001E-2</v>
      </c>
      <c r="AA396">
        <v>0.97678120000000002</v>
      </c>
      <c r="AB396">
        <v>33</v>
      </c>
      <c r="AC396">
        <v>0.60730000000000905</v>
      </c>
      <c r="AD396">
        <v>-0.21644179999999899</v>
      </c>
      <c r="AE396">
        <v>-0.21109999999998699</v>
      </c>
      <c r="AF396">
        <v>0.18709302288423699</v>
      </c>
      <c r="AG396">
        <v>-0.21644179999999899</v>
      </c>
      <c r="AH396">
        <v>0.54635075114869702</v>
      </c>
      <c r="AI396">
        <v>110.545639178356</v>
      </c>
      <c r="AJ396">
        <v>71.096681794278297</v>
      </c>
      <c r="AK396">
        <v>0.616725218618427</v>
      </c>
      <c r="AL396">
        <v>90.351266114552303</v>
      </c>
      <c r="AM396">
        <v>91.510391102563403</v>
      </c>
      <c r="AN396">
        <v>1.0000000253585599</v>
      </c>
    </row>
    <row r="397" spans="1:40" x14ac:dyDescent="0.25">
      <c r="A397" t="str">
        <f>"20190305135546058"</f>
        <v>20190305135546058</v>
      </c>
      <c r="B397" t="str">
        <f>"1551765346052152"</f>
        <v>1551765346052152</v>
      </c>
      <c r="C397" t="s">
        <v>40</v>
      </c>
      <c r="D397">
        <v>4.4688309999999998</v>
      </c>
      <c r="E397">
        <v>0.59081419999999996</v>
      </c>
      <c r="F397" t="s">
        <v>41</v>
      </c>
      <c r="G397">
        <v>-369.1798</v>
      </c>
      <c r="H397">
        <v>0.89735019999999999</v>
      </c>
      <c r="I397">
        <v>367.91629999999998</v>
      </c>
      <c r="J397">
        <v>-369.75020000000001</v>
      </c>
      <c r="K397">
        <v>1.1095360000000001</v>
      </c>
      <c r="L397">
        <v>368.12209999999999</v>
      </c>
      <c r="M397">
        <v>0.99994179999999999</v>
      </c>
      <c r="N397">
        <v>-9.9378969999999994E-3</v>
      </c>
      <c r="O397">
        <v>-4.1958509999999996E-3</v>
      </c>
      <c r="P397">
        <v>0.99963239999999998</v>
      </c>
      <c r="Q397">
        <v>-1.750809E-2</v>
      </c>
      <c r="R397">
        <v>2.0699990000000001E-2</v>
      </c>
      <c r="S397">
        <v>3.0045470000000001</v>
      </c>
      <c r="T397">
        <v>-0.70164629999999995</v>
      </c>
      <c r="U397">
        <v>-0.68392940000000002</v>
      </c>
      <c r="V397">
        <v>-2.488839E-2</v>
      </c>
      <c r="W397">
        <v>-7.595091E-3</v>
      </c>
      <c r="X397">
        <v>0.99966140000000003</v>
      </c>
      <c r="Y397">
        <v>0.21227989999999999</v>
      </c>
      <c r="Z397">
        <v>-2.4328300000000001E-2</v>
      </c>
      <c r="AA397">
        <v>0.97690600000000005</v>
      </c>
      <c r="AB397">
        <v>34</v>
      </c>
      <c r="AC397">
        <v>0.57040000000000601</v>
      </c>
      <c r="AD397">
        <v>-0.21218580000000001</v>
      </c>
      <c r="AE397">
        <v>-0.20580000000001</v>
      </c>
      <c r="AF397">
        <v>0.18121640956618201</v>
      </c>
      <c r="AG397">
        <v>-0.21218580000000001</v>
      </c>
      <c r="AH397">
        <v>0.50894296169307196</v>
      </c>
      <c r="AI397">
        <v>111.442916522367</v>
      </c>
      <c r="AJ397">
        <v>70.401001823923295</v>
      </c>
      <c r="AK397">
        <v>0.58041807266367396</v>
      </c>
      <c r="AL397">
        <v>90.435170836254798</v>
      </c>
      <c r="AM397">
        <v>91.426188086601798</v>
      </c>
      <c r="AN397">
        <v>1.0000000160070199</v>
      </c>
    </row>
    <row r="398" spans="1:40" x14ac:dyDescent="0.25">
      <c r="A398" t="str">
        <f>"20190305135546090"</f>
        <v>20190305135546090</v>
      </c>
      <c r="B398" t="str">
        <f>"1551765346082408"</f>
        <v>1551765346082408</v>
      </c>
      <c r="C398" t="s">
        <v>40</v>
      </c>
      <c r="D398">
        <v>4.484883</v>
      </c>
      <c r="E398">
        <v>0.58946540000000003</v>
      </c>
      <c r="F398" t="s">
        <v>41</v>
      </c>
      <c r="G398">
        <v>-368.87700000000001</v>
      </c>
      <c r="H398">
        <v>0.90383460000000004</v>
      </c>
      <c r="I398">
        <v>367.92439999999999</v>
      </c>
      <c r="J398">
        <v>-369.23480000000001</v>
      </c>
      <c r="K398">
        <v>1.1094790000000001</v>
      </c>
      <c r="L398">
        <v>368.12049999999999</v>
      </c>
      <c r="M398">
        <v>0.99994700000000003</v>
      </c>
      <c r="N398">
        <v>-9.6468140000000001E-3</v>
      </c>
      <c r="O398">
        <v>-3.6156920000000002E-3</v>
      </c>
      <c r="P398">
        <v>0.9996022</v>
      </c>
      <c r="Q398">
        <v>-1.9308349999999998E-2</v>
      </c>
      <c r="R398">
        <v>2.0558110000000001E-2</v>
      </c>
      <c r="S398">
        <v>3.0028079999999999</v>
      </c>
      <c r="T398">
        <v>-0.70743730000000005</v>
      </c>
      <c r="U398">
        <v>-0.67852780000000001</v>
      </c>
      <c r="V398">
        <v>-2.4164830000000002E-2</v>
      </c>
      <c r="W398">
        <v>-9.6844759999999992E-3</v>
      </c>
      <c r="X398">
        <v>0.99966109999999997</v>
      </c>
      <c r="Y398">
        <v>0.2112214</v>
      </c>
      <c r="Z398">
        <v>-2.4500339999999999E-2</v>
      </c>
      <c r="AA398">
        <v>0.97713110000000003</v>
      </c>
      <c r="AB398">
        <v>34</v>
      </c>
      <c r="AC398">
        <v>0.35780000000005402</v>
      </c>
      <c r="AD398">
        <v>-0.2056444</v>
      </c>
      <c r="AE398">
        <v>-0.196100000000001</v>
      </c>
      <c r="AF398">
        <v>0.155343361449572</v>
      </c>
      <c r="AG398">
        <v>-0.2056444</v>
      </c>
      <c r="AH398">
        <v>0.28588409535677201</v>
      </c>
      <c r="AI398">
        <v>122.29474825776499</v>
      </c>
      <c r="AJ398">
        <v>61.4812801174131</v>
      </c>
      <c r="AK398">
        <v>0.38490374793677001</v>
      </c>
      <c r="AL398">
        <v>90.554888263656096</v>
      </c>
      <c r="AM398">
        <v>91.384742476451194</v>
      </c>
      <c r="AN398">
        <v>1.0000000214687601</v>
      </c>
    </row>
    <row r="399" spans="1:40" x14ac:dyDescent="0.25">
      <c r="A399" t="str">
        <f>"20190305135546113"</f>
        <v>20190305135546113</v>
      </c>
      <c r="B399" t="str">
        <f>"1551765346101928"</f>
        <v>1551765346101928</v>
      </c>
      <c r="C399" t="s">
        <v>40</v>
      </c>
      <c r="D399">
        <v>4.5130290000000004</v>
      </c>
      <c r="E399">
        <v>0.58872009999999997</v>
      </c>
      <c r="F399" t="s">
        <v>41</v>
      </c>
      <c r="G399">
        <v>-368.28190000000001</v>
      </c>
      <c r="H399">
        <v>0.88425609999999999</v>
      </c>
      <c r="I399">
        <v>367.90789999999998</v>
      </c>
      <c r="J399">
        <v>-368.88249999999999</v>
      </c>
      <c r="K399">
        <v>1.1094250000000001</v>
      </c>
      <c r="L399">
        <v>368.11959999999999</v>
      </c>
      <c r="M399">
        <v>0.99994989999999995</v>
      </c>
      <c r="N399">
        <v>-9.472266E-3</v>
      </c>
      <c r="O399">
        <v>-3.28255E-3</v>
      </c>
      <c r="P399">
        <v>0.99958380000000002</v>
      </c>
      <c r="Q399">
        <v>-1.976785E-2</v>
      </c>
      <c r="R399">
        <v>2.1015389999999998E-2</v>
      </c>
      <c r="S399">
        <v>3.0012509999999999</v>
      </c>
      <c r="T399">
        <v>-0.70937059999999996</v>
      </c>
      <c r="U399">
        <v>-0.66900630000000005</v>
      </c>
      <c r="V399">
        <v>-2.4289089999999999E-2</v>
      </c>
      <c r="W399">
        <v>-1.0316840000000001E-2</v>
      </c>
      <c r="X399">
        <v>0.99965170000000003</v>
      </c>
      <c r="Y399">
        <v>0.2087282</v>
      </c>
      <c r="Z399">
        <v>-2.433656E-2</v>
      </c>
      <c r="AA399">
        <v>0.97767079999999995</v>
      </c>
      <c r="AB399">
        <v>34</v>
      </c>
      <c r="AC399">
        <v>0.60059999999998503</v>
      </c>
      <c r="AD399">
        <v>-0.22516890000000001</v>
      </c>
      <c r="AE399">
        <v>-0.21170000000000699</v>
      </c>
      <c r="AF399">
        <v>0.18642061412001301</v>
      </c>
      <c r="AG399">
        <v>-0.22516890000000001</v>
      </c>
      <c r="AH399">
        <v>0.534471121045066</v>
      </c>
      <c r="AI399">
        <v>111.692174458987</v>
      </c>
      <c r="AJ399">
        <v>70.771506693066499</v>
      </c>
      <c r="AK399">
        <v>0.60919049412089699</v>
      </c>
      <c r="AL399">
        <v>90.591121900573498</v>
      </c>
      <c r="AM399">
        <v>91.391873365944207</v>
      </c>
      <c r="AN399">
        <v>0.999999959196751</v>
      </c>
    </row>
    <row r="400" spans="1:40" x14ac:dyDescent="0.25">
      <c r="A400" t="str">
        <f>"20190305135546135"</f>
        <v>20190305135546135</v>
      </c>
      <c r="B400" t="str">
        <f>"1551765346132184"</f>
        <v>1551765346132184</v>
      </c>
      <c r="C400" t="s">
        <v>40</v>
      </c>
      <c r="D400">
        <v>4.5200589999999998</v>
      </c>
      <c r="E400">
        <v>0.58804400000000001</v>
      </c>
      <c r="F400" t="s">
        <v>41</v>
      </c>
      <c r="G400">
        <v>-367.97570000000002</v>
      </c>
      <c r="H400">
        <v>0.89494289999999999</v>
      </c>
      <c r="I400">
        <v>367.9194</v>
      </c>
      <c r="J400">
        <v>-368.56029999999998</v>
      </c>
      <c r="K400">
        <v>1.1093740000000001</v>
      </c>
      <c r="L400">
        <v>368.11869999999999</v>
      </c>
      <c r="M400">
        <v>0.99995199999999995</v>
      </c>
      <c r="N400">
        <v>-9.3252449999999994E-3</v>
      </c>
      <c r="O400">
        <v>-3.019529E-3</v>
      </c>
      <c r="P400">
        <v>0.99956840000000002</v>
      </c>
      <c r="Q400">
        <v>-2.073649E-2</v>
      </c>
      <c r="R400">
        <v>2.081583E-2</v>
      </c>
      <c r="S400">
        <v>3.00116</v>
      </c>
      <c r="T400">
        <v>-0.70997049999999995</v>
      </c>
      <c r="U400">
        <v>-0.6621399</v>
      </c>
      <c r="V400">
        <v>-2.382691E-2</v>
      </c>
      <c r="W400">
        <v>-1.1430259999999999E-2</v>
      </c>
      <c r="X400">
        <v>0.99965079999999995</v>
      </c>
      <c r="Y400">
        <v>0.20689389999999999</v>
      </c>
      <c r="Z400">
        <v>-2.4183429999999999E-2</v>
      </c>
      <c r="AA400">
        <v>0.9780645</v>
      </c>
      <c r="AB400">
        <v>34</v>
      </c>
      <c r="AC400">
        <v>0.58459999999996604</v>
      </c>
      <c r="AD400">
        <v>-0.21443110000000001</v>
      </c>
      <c r="AE400">
        <v>-0.19929999999999301</v>
      </c>
      <c r="AF400">
        <v>0.17628554841285601</v>
      </c>
      <c r="AG400">
        <v>-0.21443110000000001</v>
      </c>
      <c r="AH400">
        <v>0.52225064596253001</v>
      </c>
      <c r="AI400">
        <v>111.257297842977</v>
      </c>
      <c r="AJ400">
        <v>71.347904920164396</v>
      </c>
      <c r="AK400">
        <v>0.59144148352538795</v>
      </c>
      <c r="AL400">
        <v>90.654919887316893</v>
      </c>
      <c r="AM400">
        <v>91.365399739320395</v>
      </c>
      <c r="AN400">
        <v>1.0000000472122199</v>
      </c>
    </row>
    <row r="401" spans="1:40" x14ac:dyDescent="0.25">
      <c r="A401" t="str">
        <f>"20190305135546156"</f>
        <v>20190305135546156</v>
      </c>
      <c r="B401" t="str">
        <f>"1551765346151703"</f>
        <v>1551765346151703</v>
      </c>
      <c r="C401" t="s">
        <v>40</v>
      </c>
      <c r="D401">
        <v>4.4754940000000003</v>
      </c>
      <c r="E401">
        <v>0.5875203</v>
      </c>
      <c r="F401" t="s">
        <v>41</v>
      </c>
      <c r="G401">
        <v>-367.67129999999997</v>
      </c>
      <c r="H401">
        <v>0.89900400000000003</v>
      </c>
      <c r="I401">
        <v>367.9237</v>
      </c>
      <c r="J401">
        <v>-368.23669999999998</v>
      </c>
      <c r="K401">
        <v>1.109318</v>
      </c>
      <c r="L401">
        <v>368.11799999999999</v>
      </c>
      <c r="M401">
        <v>0.99995389999999995</v>
      </c>
      <c r="N401">
        <v>-9.1766439999999994E-3</v>
      </c>
      <c r="O401">
        <v>-2.8117749999999999E-3</v>
      </c>
      <c r="P401">
        <v>0.99955309999999997</v>
      </c>
      <c r="Q401">
        <v>-2.1256359999999998E-2</v>
      </c>
      <c r="R401">
        <v>2.1019619999999999E-2</v>
      </c>
      <c r="S401">
        <v>3.0002749999999998</v>
      </c>
      <c r="T401">
        <v>-0.71003539999999998</v>
      </c>
      <c r="U401">
        <v>-0.65731809999999902</v>
      </c>
      <c r="V401">
        <v>-2.3823859999999999E-2</v>
      </c>
      <c r="W401">
        <v>-1.209641E-2</v>
      </c>
      <c r="X401">
        <v>0.99964299999999995</v>
      </c>
      <c r="Y401">
        <v>0.20568359999999999</v>
      </c>
      <c r="Z401">
        <v>-2.408018E-2</v>
      </c>
      <c r="AA401">
        <v>0.97832229999999998</v>
      </c>
      <c r="AB401">
        <v>34</v>
      </c>
      <c r="AC401">
        <v>0.565400000000011</v>
      </c>
      <c r="AD401">
        <v>-0.210313999999999</v>
      </c>
      <c r="AE401">
        <v>-0.19430000000005501</v>
      </c>
      <c r="AF401">
        <v>0.171487749733814</v>
      </c>
      <c r="AG401">
        <v>-0.210313999999999</v>
      </c>
      <c r="AH401">
        <v>0.50362094056612605</v>
      </c>
      <c r="AI401">
        <v>111.56960212325799</v>
      </c>
      <c r="AJ401">
        <v>71.195800002532394</v>
      </c>
      <c r="AK401">
        <v>0.57207873468734805</v>
      </c>
      <c r="AL401">
        <v>90.693090134162304</v>
      </c>
      <c r="AM401">
        <v>91.365235673920097</v>
      </c>
      <c r="AN401">
        <v>1.0000000134445901</v>
      </c>
    </row>
    <row r="402" spans="1:40" x14ac:dyDescent="0.25">
      <c r="A402" t="str">
        <f>"20190305135546180"</f>
        <v>20190305135546180</v>
      </c>
      <c r="B402" t="str">
        <f>"1551765346172200"</f>
        <v>1551765346172200</v>
      </c>
      <c r="C402" t="s">
        <v>40</v>
      </c>
      <c r="D402">
        <v>4.4800490000000002</v>
      </c>
      <c r="E402">
        <v>0.58712039999999999</v>
      </c>
      <c r="F402" t="s">
        <v>41</v>
      </c>
      <c r="G402">
        <v>-367.36619999999999</v>
      </c>
      <c r="H402">
        <v>0.90331090000000003</v>
      </c>
      <c r="I402">
        <v>367.92849999999999</v>
      </c>
      <c r="J402">
        <v>-367.88</v>
      </c>
      <c r="K402">
        <v>1.1092360000000001</v>
      </c>
      <c r="L402">
        <v>368.11720000000003</v>
      </c>
      <c r="M402">
        <v>0.99995619999999996</v>
      </c>
      <c r="N402">
        <v>-8.9974700000000005E-3</v>
      </c>
      <c r="O402">
        <v>-2.6529940000000001E-3</v>
      </c>
      <c r="P402">
        <v>0.99952470000000004</v>
      </c>
      <c r="Q402">
        <v>-2.1655270000000001E-2</v>
      </c>
      <c r="R402">
        <v>2.1954069999999999E-2</v>
      </c>
      <c r="S402">
        <v>3</v>
      </c>
      <c r="T402">
        <v>-0.709958599999999</v>
      </c>
      <c r="U402">
        <v>-0.6525879</v>
      </c>
      <c r="V402">
        <v>-2.460064E-2</v>
      </c>
      <c r="W402">
        <v>-1.2672040000000001E-2</v>
      </c>
      <c r="X402">
        <v>0.99961699999999998</v>
      </c>
      <c r="Y402">
        <v>0.2044183</v>
      </c>
      <c r="Z402">
        <v>-2.394729E-2</v>
      </c>
      <c r="AA402">
        <v>0.97859070000000004</v>
      </c>
      <c r="AB402">
        <v>34</v>
      </c>
      <c r="AC402">
        <v>0.51380000000000303</v>
      </c>
      <c r="AD402">
        <v>-0.2059251</v>
      </c>
      <c r="AE402">
        <v>-0.188700000000039</v>
      </c>
      <c r="AF402">
        <v>0.16410827267578099</v>
      </c>
      <c r="AG402">
        <v>-0.2059251</v>
      </c>
      <c r="AH402">
        <v>0.45053067828306798</v>
      </c>
      <c r="AI402">
        <v>113.241979579709</v>
      </c>
      <c r="AJ402">
        <v>69.985569286533405</v>
      </c>
      <c r="AK402">
        <v>0.52183767978638695</v>
      </c>
      <c r="AL402">
        <v>90.726073872422901</v>
      </c>
      <c r="AM402">
        <v>91.409768330296998</v>
      </c>
      <c r="AN402">
        <v>0.99999995938758401</v>
      </c>
    </row>
    <row r="403" spans="1:40" x14ac:dyDescent="0.25">
      <c r="A403" t="str">
        <f>"20190305135546201"</f>
        <v>20190305135546201</v>
      </c>
      <c r="B403" t="str">
        <f>"1551765346191735"</f>
        <v>1551765346191735</v>
      </c>
      <c r="C403" t="s">
        <v>40</v>
      </c>
      <c r="D403">
        <v>4.4465009999999996</v>
      </c>
      <c r="E403">
        <v>0.58699860000000004</v>
      </c>
      <c r="F403" t="s">
        <v>41</v>
      </c>
      <c r="G403">
        <v>-367.0575</v>
      </c>
      <c r="H403">
        <v>0.91489900000000002</v>
      </c>
      <c r="I403">
        <v>367.93970000000002</v>
      </c>
      <c r="J403">
        <v>-367.54469999999998</v>
      </c>
      <c r="K403">
        <v>1.1091549999999999</v>
      </c>
      <c r="L403">
        <v>368.1164</v>
      </c>
      <c r="M403">
        <v>0.99995800000000001</v>
      </c>
      <c r="N403">
        <v>-8.8107959999999992E-3</v>
      </c>
      <c r="O403">
        <v>-2.5579019999999999E-3</v>
      </c>
      <c r="P403">
        <v>0.99950830000000002</v>
      </c>
      <c r="Q403">
        <v>-2.1223860000000001E-2</v>
      </c>
      <c r="R403">
        <v>2.3082269999999998E-2</v>
      </c>
      <c r="S403">
        <v>3.0002749999999998</v>
      </c>
      <c r="T403">
        <v>-0.7089299</v>
      </c>
      <c r="U403">
        <v>-0.64633180000000001</v>
      </c>
      <c r="V403">
        <v>-2.563505E-2</v>
      </c>
      <c r="W403">
        <v>-1.2425E-2</v>
      </c>
      <c r="X403">
        <v>0.99959419999999999</v>
      </c>
      <c r="Y403">
        <v>0.2026086</v>
      </c>
      <c r="Z403">
        <v>-2.3701719999999999E-2</v>
      </c>
      <c r="AA403">
        <v>0.97897290000000003</v>
      </c>
      <c r="AB403">
        <v>34</v>
      </c>
      <c r="AC403">
        <v>0.48719999999997199</v>
      </c>
      <c r="AD403">
        <v>-0.19425599999999901</v>
      </c>
      <c r="AE403">
        <v>-0.17669999999998201</v>
      </c>
      <c r="AF403">
        <v>0.153839334168176</v>
      </c>
      <c r="AG403">
        <v>-0.19425599999999901</v>
      </c>
      <c r="AH403">
        <v>0.42757743418000199</v>
      </c>
      <c r="AI403">
        <v>113.146224278445</v>
      </c>
      <c r="AJ403">
        <v>70.211627817539906</v>
      </c>
      <c r="AK403">
        <v>0.49419064792169198</v>
      </c>
      <c r="AL403">
        <v>90.711918343000605</v>
      </c>
      <c r="AM403">
        <v>91.469054441491906</v>
      </c>
      <c r="AN403">
        <v>1.00000005054357</v>
      </c>
    </row>
    <row r="404" spans="1:40" x14ac:dyDescent="0.25">
      <c r="A404" t="str">
        <f>"20190305135546223"</f>
        <v>20190305135546223</v>
      </c>
      <c r="B404" t="str">
        <f>"1551765346212216"</f>
        <v>1551765346212216</v>
      </c>
      <c r="C404" t="s">
        <v>40</v>
      </c>
      <c r="D404">
        <v>4.2223709999999999</v>
      </c>
      <c r="E404">
        <v>0.55304759999999997</v>
      </c>
      <c r="F404" t="s">
        <v>41</v>
      </c>
      <c r="G404">
        <v>-366.74950000000001</v>
      </c>
      <c r="H404">
        <v>0.9223287</v>
      </c>
      <c r="I404">
        <v>367.94619999999998</v>
      </c>
      <c r="J404">
        <v>-367.21199999999999</v>
      </c>
      <c r="K404">
        <v>1.1090850000000001</v>
      </c>
      <c r="L404">
        <v>368.11559999999997</v>
      </c>
      <c r="M404">
        <v>0.99995990000000001</v>
      </c>
      <c r="N404">
        <v>-8.6028579999999997E-3</v>
      </c>
      <c r="O404">
        <v>-2.5064039999999998E-3</v>
      </c>
      <c r="P404">
        <v>0.99949670000000002</v>
      </c>
      <c r="Q404">
        <v>-2.0700900000000001E-2</v>
      </c>
      <c r="R404">
        <v>2.4038259999999999E-2</v>
      </c>
      <c r="S404">
        <v>3.001312</v>
      </c>
      <c r="T404">
        <v>-0.70522549999999995</v>
      </c>
      <c r="U404">
        <v>-0.64138790000000001</v>
      </c>
      <c r="V404">
        <v>-2.6540770000000002E-2</v>
      </c>
      <c r="W404">
        <v>-1.21077999999999E-2</v>
      </c>
      <c r="X404">
        <v>0.99957439999999997</v>
      </c>
      <c r="Y404">
        <v>0.20114750000000001</v>
      </c>
      <c r="Z404">
        <v>-2.3397100000000001E-2</v>
      </c>
      <c r="AA404">
        <v>0.97928150000000003</v>
      </c>
      <c r="AB404">
        <v>34</v>
      </c>
      <c r="AC404">
        <v>0.46249999999997699</v>
      </c>
      <c r="AD404">
        <v>-0.18675629999999999</v>
      </c>
      <c r="AE404">
        <v>-0.169399999999996</v>
      </c>
      <c r="AF404">
        <v>0.147093259018304</v>
      </c>
      <c r="AG404">
        <v>-0.18675629999999999</v>
      </c>
      <c r="AH404">
        <v>0.404736021100294</v>
      </c>
      <c r="AI404">
        <v>113.445180628432</v>
      </c>
      <c r="AJ404">
        <v>70.027331196925203</v>
      </c>
      <c r="AK404">
        <v>0.46938852693095701</v>
      </c>
      <c r="AL404">
        <v>90.6937427928316</v>
      </c>
      <c r="AM404">
        <v>91.520964214762799</v>
      </c>
      <c r="AN404">
        <v>0.999999996214196</v>
      </c>
    </row>
    <row r="405" spans="1:40" x14ac:dyDescent="0.25">
      <c r="A405" t="str">
        <f>"20190305135546245"</f>
        <v>20190305135546245</v>
      </c>
      <c r="B405" t="str">
        <f>"1551765346231736"</f>
        <v>1551765346231736</v>
      </c>
      <c r="C405" t="s">
        <v>40</v>
      </c>
      <c r="D405">
        <v>4.3497370000000002</v>
      </c>
      <c r="E405">
        <v>0.53419410000000001</v>
      </c>
      <c r="F405" t="s">
        <v>41</v>
      </c>
      <c r="G405">
        <v>-366.4271</v>
      </c>
      <c r="H405">
        <v>0.96410940000000001</v>
      </c>
      <c r="I405">
        <v>368.0204</v>
      </c>
      <c r="J405">
        <v>-366.87650000000002</v>
      </c>
      <c r="K405">
        <v>1.1090070000000001</v>
      </c>
      <c r="L405">
        <v>368.1148</v>
      </c>
      <c r="M405">
        <v>0.99996189999999996</v>
      </c>
      <c r="N405">
        <v>-8.3709749999999992E-3</v>
      </c>
      <c r="O405">
        <v>-2.4935000000000001E-3</v>
      </c>
      <c r="P405">
        <v>0.99948599999999999</v>
      </c>
      <c r="Q405">
        <v>-2.0115330000000001E-2</v>
      </c>
      <c r="R405">
        <v>2.496601E-2</v>
      </c>
      <c r="S405">
        <v>2.9987789999999999</v>
      </c>
      <c r="T405">
        <v>-0.55398269999999905</v>
      </c>
      <c r="U405">
        <v>-0.36315920000000002</v>
      </c>
      <c r="V405">
        <v>-2.745649E-2</v>
      </c>
      <c r="W405">
        <v>-1.175212E-2</v>
      </c>
      <c r="X405">
        <v>0.9995539</v>
      </c>
      <c r="Y405">
        <v>0.1157654</v>
      </c>
      <c r="Z405">
        <v>-1.062168E-2</v>
      </c>
      <c r="AA405">
        <v>0.99321979999999999</v>
      </c>
      <c r="AB405">
        <v>34</v>
      </c>
      <c r="AC405">
        <v>0.449400000000025</v>
      </c>
      <c r="AD405">
        <v>-0.14489759999999899</v>
      </c>
      <c r="AE405">
        <v>-9.4400000000007298E-2</v>
      </c>
      <c r="AF405">
        <v>8.4832765703092006E-2</v>
      </c>
      <c r="AG405">
        <v>-0.14489759999999899</v>
      </c>
      <c r="AH405">
        <v>0.40892011503104397</v>
      </c>
      <c r="AI405">
        <v>109.134454071364</v>
      </c>
      <c r="AJ405">
        <v>78.279918257034893</v>
      </c>
      <c r="AK405">
        <v>0.44204928808855398</v>
      </c>
      <c r="AL405">
        <v>90.673362386921099</v>
      </c>
      <c r="AM405">
        <v>91.573447429487203</v>
      </c>
      <c r="AN405">
        <v>0.99999998508641197</v>
      </c>
    </row>
    <row r="406" spans="1:40" x14ac:dyDescent="0.25">
      <c r="A406" t="str">
        <f>"20190305135546269"</f>
        <v>20190305135546269</v>
      </c>
      <c r="B406" t="str">
        <f>"1551765346261992"</f>
        <v>1551765346261992</v>
      </c>
      <c r="C406" t="s">
        <v>40</v>
      </c>
      <c r="D406">
        <v>4.2192290000000003</v>
      </c>
      <c r="E406">
        <v>0.52443109999999904</v>
      </c>
      <c r="F406" t="s">
        <v>41</v>
      </c>
      <c r="G406">
        <v>-366.11579999999998</v>
      </c>
      <c r="H406">
        <v>0.97299769999999997</v>
      </c>
      <c r="I406">
        <v>368.06180000000001</v>
      </c>
      <c r="J406">
        <v>-366.49889999999999</v>
      </c>
      <c r="K406">
        <v>1.1089249999999999</v>
      </c>
      <c r="L406">
        <v>368.11380000000003</v>
      </c>
      <c r="M406">
        <v>0.99996419999999997</v>
      </c>
      <c r="N406">
        <v>-8.0920349999999992E-3</v>
      </c>
      <c r="O406">
        <v>-2.5167589999999999E-3</v>
      </c>
      <c r="P406">
        <v>0.99947580000000003</v>
      </c>
      <c r="Q406">
        <v>-1.953419E-2</v>
      </c>
      <c r="R406">
        <v>2.5822910000000001E-2</v>
      </c>
      <c r="S406">
        <v>2.9960330000000002</v>
      </c>
      <c r="T406">
        <v>-0.53569359999999999</v>
      </c>
      <c r="U406">
        <v>-0.20916750000000001</v>
      </c>
      <c r="V406">
        <v>-2.8337850000000001E-2</v>
      </c>
      <c r="W406">
        <v>-1.144789E-2</v>
      </c>
      <c r="X406">
        <v>0.9995328</v>
      </c>
      <c r="Y406">
        <v>6.6079529999999997E-2</v>
      </c>
      <c r="Z406">
        <v>-5.6982580000000003E-3</v>
      </c>
      <c r="AA406">
        <v>0.99779810000000002</v>
      </c>
      <c r="AB406">
        <v>34</v>
      </c>
      <c r="AC406">
        <v>0.38310000000001299</v>
      </c>
      <c r="AD406">
        <v>-0.1359273</v>
      </c>
      <c r="AE406">
        <v>-5.2000000000020898E-2</v>
      </c>
      <c r="AF406">
        <v>4.54210487736861E-2</v>
      </c>
      <c r="AG406">
        <v>-0.1359273</v>
      </c>
      <c r="AH406">
        <v>0.341069405900502</v>
      </c>
      <c r="AI406">
        <v>111.556251206494</v>
      </c>
      <c r="AJ406">
        <v>82.414413685184698</v>
      </c>
      <c r="AK406">
        <v>0.36995627065683501</v>
      </c>
      <c r="AL406">
        <v>90.655930139689502</v>
      </c>
      <c r="AM406">
        <v>91.623963111974604</v>
      </c>
      <c r="AN406">
        <v>0.999999953101956</v>
      </c>
    </row>
    <row r="407" spans="1:40" x14ac:dyDescent="0.25">
      <c r="A407" t="str">
        <f>"20190305135546291"</f>
        <v>20190305135546291</v>
      </c>
      <c r="B407" t="str">
        <f>"1551765346282491"</f>
        <v>1551765346282491</v>
      </c>
      <c r="C407" t="s">
        <v>40</v>
      </c>
      <c r="D407">
        <v>4.2401929999999997</v>
      </c>
      <c r="E407">
        <v>0.5229762</v>
      </c>
      <c r="F407" t="s">
        <v>41</v>
      </c>
      <c r="G407">
        <v>-365.5102</v>
      </c>
      <c r="H407">
        <v>0.94923270000000004</v>
      </c>
      <c r="I407">
        <v>368.07190000000003</v>
      </c>
      <c r="J407">
        <v>-366.16199999999998</v>
      </c>
      <c r="K407">
        <v>1.1088519999999999</v>
      </c>
      <c r="L407">
        <v>368.11290000000002</v>
      </c>
      <c r="M407">
        <v>0.99996609999999997</v>
      </c>
      <c r="N407">
        <v>-7.8361209999999997E-3</v>
      </c>
      <c r="O407">
        <v>-2.563526E-3</v>
      </c>
      <c r="P407">
        <v>0.9994847</v>
      </c>
      <c r="Q407">
        <v>-1.8843309999999999E-2</v>
      </c>
      <c r="R407">
        <v>2.5994690000000001E-2</v>
      </c>
      <c r="S407">
        <v>2.995422</v>
      </c>
      <c r="T407">
        <v>-0.48384480000000002</v>
      </c>
      <c r="U407">
        <v>-0.1265259</v>
      </c>
      <c r="V407">
        <v>-2.855676E-2</v>
      </c>
      <c r="W407">
        <v>-1.101123E-2</v>
      </c>
      <c r="X407">
        <v>0.99953150000000002</v>
      </c>
      <c r="Y407">
        <v>3.9139359999999998E-2</v>
      </c>
      <c r="Z407">
        <v>-2.9025079999999998E-3</v>
      </c>
      <c r="AA407">
        <v>0.99922960000000005</v>
      </c>
      <c r="AB407">
        <v>34</v>
      </c>
      <c r="AC407">
        <v>0.65179999999997995</v>
      </c>
      <c r="AD407">
        <v>-0.15961929999999999</v>
      </c>
      <c r="AE407">
        <v>-4.0999999999996803E-2</v>
      </c>
      <c r="AF407">
        <v>3.7112029863309297E-2</v>
      </c>
      <c r="AG407">
        <v>-0.15961929999999999</v>
      </c>
      <c r="AH407">
        <v>0.61515672948640199</v>
      </c>
      <c r="AI407">
        <v>104.520886154705</v>
      </c>
      <c r="AJ407">
        <v>86.547565084930298</v>
      </c>
      <c r="AK407">
        <v>0.63661089020332595</v>
      </c>
      <c r="AL407">
        <v>90.630909770151206</v>
      </c>
      <c r="AM407">
        <v>91.636503564842997</v>
      </c>
      <c r="AN407">
        <v>0.99999997761003001</v>
      </c>
    </row>
    <row r="408" spans="1:40" x14ac:dyDescent="0.25">
      <c r="A408" t="str">
        <f>"20190305135546315"</f>
        <v>20190305135546315</v>
      </c>
      <c r="B408" t="str">
        <f>"1551765346302012"</f>
        <v>1551765346302012</v>
      </c>
      <c r="C408" t="s">
        <v>40</v>
      </c>
      <c r="D408">
        <v>4.2638780000000001</v>
      </c>
      <c r="E408">
        <v>0.52151499999999995</v>
      </c>
      <c r="F408" t="s">
        <v>41</v>
      </c>
      <c r="G408">
        <v>-365.19549999999998</v>
      </c>
      <c r="H408">
        <v>0.95895680000000005</v>
      </c>
      <c r="I408">
        <v>368.07580000000002</v>
      </c>
      <c r="J408">
        <v>-365.79930000000002</v>
      </c>
      <c r="K408">
        <v>1.1087929999999999</v>
      </c>
      <c r="L408">
        <v>368.11189999999999</v>
      </c>
      <c r="M408">
        <v>0.99996790000000002</v>
      </c>
      <c r="N408">
        <v>-7.5699349999999999E-3</v>
      </c>
      <c r="O408">
        <v>-2.6267E-3</v>
      </c>
      <c r="P408">
        <v>0.99950749999999999</v>
      </c>
      <c r="Q408">
        <v>-1.8301919999999999E-2</v>
      </c>
      <c r="R408">
        <v>2.5487940000000001E-2</v>
      </c>
      <c r="S408">
        <v>2.9957579999999999</v>
      </c>
      <c r="T408">
        <v>-0.46480060000000001</v>
      </c>
      <c r="U408">
        <v>-0.1139221</v>
      </c>
      <c r="V408">
        <v>-2.8114070000000001E-2</v>
      </c>
      <c r="W408">
        <v>-1.073441E-2</v>
      </c>
      <c r="X408">
        <v>0.99954710000000002</v>
      </c>
      <c r="Y408">
        <v>3.4965339999999998E-2</v>
      </c>
      <c r="Z408">
        <v>-2.443415E-3</v>
      </c>
      <c r="AA408">
        <v>0.99938550000000004</v>
      </c>
      <c r="AB408">
        <v>35</v>
      </c>
      <c r="AC408">
        <v>0.60380000000003498</v>
      </c>
      <c r="AD408">
        <v>-0.149836199999999</v>
      </c>
      <c r="AE408">
        <v>-3.60999999999762E-2</v>
      </c>
      <c r="AF408">
        <v>3.2518440667203698E-2</v>
      </c>
      <c r="AG408">
        <v>-0.149836199999999</v>
      </c>
      <c r="AH408">
        <v>0.56897919386293605</v>
      </c>
      <c r="AI408">
        <v>104.730445044562</v>
      </c>
      <c r="AJ408">
        <v>86.728975704303096</v>
      </c>
      <c r="AK408">
        <v>0.58927553730218796</v>
      </c>
      <c r="AL408">
        <v>90.615048190363197</v>
      </c>
      <c r="AM408">
        <v>91.611122652989593</v>
      </c>
      <c r="AN408">
        <v>1.00000001680421</v>
      </c>
    </row>
    <row r="409" spans="1:40" x14ac:dyDescent="0.25">
      <c r="A409" t="str">
        <f>"20190305135546336"</f>
        <v>20190305135546336</v>
      </c>
      <c r="B409" t="str">
        <f>"1551765346322504"</f>
        <v>1551765346322504</v>
      </c>
      <c r="C409" t="s">
        <v>40</v>
      </c>
      <c r="D409">
        <v>4.1930449999999997</v>
      </c>
      <c r="E409">
        <v>0.52105919999999994</v>
      </c>
      <c r="F409" t="s">
        <v>41</v>
      </c>
      <c r="G409">
        <v>-364.88069999999999</v>
      </c>
      <c r="H409">
        <v>0.96670990000000001</v>
      </c>
      <c r="I409">
        <v>368.08010000000002</v>
      </c>
      <c r="J409">
        <v>-365.47669999999999</v>
      </c>
      <c r="K409">
        <v>1.1087450000000001</v>
      </c>
      <c r="L409">
        <v>368.11110000000002</v>
      </c>
      <c r="M409">
        <v>0.99996940000000001</v>
      </c>
      <c r="N409">
        <v>-7.3462060000000001E-3</v>
      </c>
      <c r="O409">
        <v>-2.6891689999999999E-3</v>
      </c>
      <c r="P409">
        <v>0.99953499999999995</v>
      </c>
      <c r="Q409">
        <v>-1.8044480000000002E-2</v>
      </c>
      <c r="R409">
        <v>2.4582079999999999E-2</v>
      </c>
      <c r="S409">
        <v>2.9956360000000002</v>
      </c>
      <c r="T409">
        <v>-0.4634161</v>
      </c>
      <c r="U409">
        <v>-0.10357669999999999</v>
      </c>
      <c r="V409">
        <v>-2.7271400000000001E-2</v>
      </c>
      <c r="W409">
        <v>-1.0699510000000001E-2</v>
      </c>
      <c r="X409">
        <v>0.99957079999999998</v>
      </c>
      <c r="Y409">
        <v>3.150414E-2</v>
      </c>
      <c r="Z409">
        <v>-2.1443690000000001E-3</v>
      </c>
      <c r="AA409">
        <v>0.99950130000000004</v>
      </c>
      <c r="AB409">
        <v>35</v>
      </c>
      <c r="AC409">
        <v>0.59600000000000297</v>
      </c>
      <c r="AD409">
        <v>-0.1420351</v>
      </c>
      <c r="AE409">
        <v>-3.1000000000005901E-2</v>
      </c>
      <c r="AF409">
        <v>2.7821293703346298E-2</v>
      </c>
      <c r="AG409">
        <v>-0.1420351</v>
      </c>
      <c r="AH409">
        <v>0.56412879132472105</v>
      </c>
      <c r="AI409">
        <v>104.115602836638</v>
      </c>
      <c r="AJ409">
        <v>87.176615913100605</v>
      </c>
      <c r="AK409">
        <v>0.58239959410771303</v>
      </c>
      <c r="AL409">
        <v>90.613048465302896</v>
      </c>
      <c r="AM409">
        <v>91.562819355869493</v>
      </c>
      <c r="AN409">
        <v>0.99999999649242</v>
      </c>
    </row>
    <row r="410" spans="1:40" x14ac:dyDescent="0.25">
      <c r="A410" t="str">
        <f>"20190305135546358"</f>
        <v>20190305135546358</v>
      </c>
      <c r="B410" t="str">
        <f>"1551765346351784"</f>
        <v>1551765346351784</v>
      </c>
      <c r="C410" t="s">
        <v>40</v>
      </c>
      <c r="D410">
        <v>4.2422149999999998</v>
      </c>
      <c r="E410">
        <v>0.52047670000000001</v>
      </c>
      <c r="F410" t="s">
        <v>41</v>
      </c>
      <c r="G410">
        <v>-364.56740000000002</v>
      </c>
      <c r="H410">
        <v>0.96979950000000004</v>
      </c>
      <c r="I410">
        <v>368.07960000000003</v>
      </c>
      <c r="J410">
        <v>-365.12880000000001</v>
      </c>
      <c r="K410">
        <v>1.1087049999999901</v>
      </c>
      <c r="L410">
        <v>368.11</v>
      </c>
      <c r="M410">
        <v>0.99997100000000005</v>
      </c>
      <c r="N410">
        <v>-7.1238179999999996E-3</v>
      </c>
      <c r="O410">
        <v>-2.7598639999999999E-3</v>
      </c>
      <c r="P410">
        <v>0.99954310000000002</v>
      </c>
      <c r="Q410">
        <v>-1.8446339999999999E-2</v>
      </c>
      <c r="R410">
        <v>2.395038E-2</v>
      </c>
      <c r="S410">
        <v>2.9956049999999999</v>
      </c>
      <c r="T410">
        <v>-0.45788679999999898</v>
      </c>
      <c r="U410">
        <v>-0.10226440000000001</v>
      </c>
      <c r="V410">
        <v>-2.671022E-2</v>
      </c>
      <c r="W410">
        <v>-1.13229E-2</v>
      </c>
      <c r="X410">
        <v>0.99957910000000005</v>
      </c>
      <c r="Y410">
        <v>3.1012169999999999E-2</v>
      </c>
      <c r="Z410">
        <v>-2.067209E-3</v>
      </c>
      <c r="AA410">
        <v>0.99951679999999998</v>
      </c>
      <c r="AB410">
        <v>35</v>
      </c>
      <c r="AC410">
        <v>0.56139999999999102</v>
      </c>
      <c r="AD410">
        <v>-0.13890549999999899</v>
      </c>
      <c r="AE410">
        <v>-3.03999999999859E-2</v>
      </c>
      <c r="AF410">
        <v>2.7190706461390698E-2</v>
      </c>
      <c r="AG410">
        <v>-0.13890549999999899</v>
      </c>
      <c r="AH410">
        <v>0.52918002442093304</v>
      </c>
      <c r="AI410">
        <v>104.68933390454301</v>
      </c>
      <c r="AJ410">
        <v>87.058574096224902</v>
      </c>
      <c r="AK410">
        <v>0.54778241181536502</v>
      </c>
      <c r="AL410">
        <v>90.648768238402795</v>
      </c>
      <c r="AM410">
        <v>91.5306630380135</v>
      </c>
      <c r="AN410">
        <v>1.0000000105368301</v>
      </c>
    </row>
    <row r="411" spans="1:40" x14ac:dyDescent="0.25">
      <c r="A411" t="str">
        <f>"20190305135546381"</f>
        <v>20190305135546381</v>
      </c>
      <c r="B411" t="str">
        <f>"1551765346372280"</f>
        <v>1551765346372280</v>
      </c>
      <c r="C411" t="s">
        <v>40</v>
      </c>
      <c r="D411">
        <v>4.2171110000000001</v>
      </c>
      <c r="E411">
        <v>0.51974730000000002</v>
      </c>
      <c r="F411" t="s">
        <v>41</v>
      </c>
      <c r="G411">
        <v>-364.25170000000003</v>
      </c>
      <c r="H411">
        <v>0.97529449999999995</v>
      </c>
      <c r="I411">
        <v>368.08089999999999</v>
      </c>
      <c r="J411">
        <v>-364.76499999999999</v>
      </c>
      <c r="K411">
        <v>1.1086720000000001</v>
      </c>
      <c r="L411">
        <v>368.10899999999998</v>
      </c>
      <c r="M411">
        <v>0.99997219999999998</v>
      </c>
      <c r="N411">
        <v>-6.9145109999999999E-3</v>
      </c>
      <c r="O411">
        <v>-2.8305919999999998E-3</v>
      </c>
      <c r="P411">
        <v>0.99954699999999996</v>
      </c>
      <c r="Q411">
        <v>-1.879772E-2</v>
      </c>
      <c r="R411">
        <v>2.3509619999999998E-2</v>
      </c>
      <c r="S411">
        <v>2.9953609999999999</v>
      </c>
      <c r="T411">
        <v>-0.45562469999999999</v>
      </c>
      <c r="U411">
        <v>-9.9456790000000003E-2</v>
      </c>
      <c r="V411">
        <v>-2.634017E-2</v>
      </c>
      <c r="W411">
        <v>-1.1883009999999999E-2</v>
      </c>
      <c r="X411">
        <v>0.99958239999999998</v>
      </c>
      <c r="Y411">
        <v>3.002486E-2</v>
      </c>
      <c r="Z411">
        <v>-1.9658050000000002E-3</v>
      </c>
      <c r="AA411">
        <v>0.99954719999999997</v>
      </c>
      <c r="AB411">
        <v>35</v>
      </c>
      <c r="AC411">
        <v>0.51329999999995801</v>
      </c>
      <c r="AD411">
        <v>-0.13337749999999901</v>
      </c>
      <c r="AE411">
        <v>-2.8100000000051702E-2</v>
      </c>
      <c r="AF411">
        <v>2.4966262726911801E-2</v>
      </c>
      <c r="AG411">
        <v>-0.13337749999999901</v>
      </c>
      <c r="AH411">
        <v>0.48099825389600698</v>
      </c>
      <c r="AI411">
        <v>105.478491792765</v>
      </c>
      <c r="AJ411">
        <v>87.028723234314498</v>
      </c>
      <c r="AK411">
        <v>0.49977214011167798</v>
      </c>
      <c r="AL411">
        <v>90.680862350336199</v>
      </c>
      <c r="AM411">
        <v>91.509461752207898</v>
      </c>
      <c r="AN411">
        <v>0.999999992436024</v>
      </c>
    </row>
    <row r="412" spans="1:40" x14ac:dyDescent="0.25">
      <c r="A412" t="str">
        <f>"20190305135546402"</f>
        <v>20190305135546402</v>
      </c>
      <c r="B412" t="str">
        <f>"1551765346392531"</f>
        <v>1551765346392531</v>
      </c>
      <c r="C412" t="s">
        <v>40</v>
      </c>
      <c r="D412">
        <v>4.2571130000000004</v>
      </c>
      <c r="E412">
        <v>0.5194008</v>
      </c>
      <c r="F412" t="s">
        <v>41</v>
      </c>
      <c r="G412">
        <v>-363.93439999999998</v>
      </c>
      <c r="H412">
        <v>0.98213620000000001</v>
      </c>
      <c r="I412">
        <v>368.08210000000003</v>
      </c>
      <c r="J412">
        <v>-364.43310000000002</v>
      </c>
      <c r="K412">
        <v>1.108649</v>
      </c>
      <c r="L412">
        <v>368.108</v>
      </c>
      <c r="M412">
        <v>0.99997320000000001</v>
      </c>
      <c r="N412">
        <v>-6.7449780000000004E-3</v>
      </c>
      <c r="O412">
        <v>-2.8853279999999999E-3</v>
      </c>
      <c r="P412">
        <v>0.99954960000000004</v>
      </c>
      <c r="Q412">
        <v>-1.905308E-2</v>
      </c>
      <c r="R412">
        <v>2.319997E-2</v>
      </c>
      <c r="S412">
        <v>2.9949949999999999</v>
      </c>
      <c r="T412">
        <v>-0.45661839999999998</v>
      </c>
      <c r="U412">
        <v>-9.5153810000000005E-2</v>
      </c>
      <c r="V412">
        <v>-2.6085509999999999E-2</v>
      </c>
      <c r="W412">
        <v>-1.2307759999999999E-2</v>
      </c>
      <c r="X412">
        <v>0.99958400000000003</v>
      </c>
      <c r="Y412">
        <v>2.855686E-2</v>
      </c>
      <c r="Z412">
        <v>-1.8428590000000001E-3</v>
      </c>
      <c r="AA412">
        <v>0.99959050000000005</v>
      </c>
      <c r="AB412">
        <v>35</v>
      </c>
      <c r="AC412">
        <v>0.498700000000042</v>
      </c>
      <c r="AD412">
        <v>-0.12651280000000001</v>
      </c>
      <c r="AE412">
        <v>-2.58999999999787E-2</v>
      </c>
      <c r="AF412">
        <v>2.2985656886368201E-2</v>
      </c>
      <c r="AG412">
        <v>-0.12651280000000001</v>
      </c>
      <c r="AH412">
        <v>0.46869065803759202</v>
      </c>
      <c r="AI412">
        <v>105.08843202422101</v>
      </c>
      <c r="AJ412">
        <v>87.192334039648003</v>
      </c>
      <c r="AK412">
        <v>0.48600901423538401</v>
      </c>
      <c r="AL412">
        <v>90.705200470070807</v>
      </c>
      <c r="AM412">
        <v>91.494872352941698</v>
      </c>
      <c r="AN412">
        <v>1.0000000539220799</v>
      </c>
    </row>
    <row r="413" spans="1:40" x14ac:dyDescent="0.25">
      <c r="A413" t="str">
        <f>"20190305135546424"</f>
        <v>20190305135546424</v>
      </c>
      <c r="B413" t="str">
        <f>"1551765346412047"</f>
        <v>1551765346412047</v>
      </c>
      <c r="C413" t="s">
        <v>40</v>
      </c>
      <c r="D413">
        <v>4.2707290000000002</v>
      </c>
      <c r="E413">
        <v>0.51909709999999998</v>
      </c>
      <c r="F413" t="s">
        <v>41</v>
      </c>
      <c r="G413">
        <v>-363.61840000000001</v>
      </c>
      <c r="H413">
        <v>0.98441100000000004</v>
      </c>
      <c r="I413">
        <v>368.08240000000001</v>
      </c>
      <c r="J413">
        <v>-364.09070000000003</v>
      </c>
      <c r="K413">
        <v>1.1086309999999999</v>
      </c>
      <c r="L413">
        <v>368.1069</v>
      </c>
      <c r="M413">
        <v>0.99997400000000003</v>
      </c>
      <c r="N413">
        <v>-6.5929319999999897E-3</v>
      </c>
      <c r="O413">
        <v>-2.9281709999999998E-3</v>
      </c>
      <c r="P413">
        <v>0.99955419999999995</v>
      </c>
      <c r="Q413">
        <v>-1.8769910000000001E-2</v>
      </c>
      <c r="R413">
        <v>2.3222949999999999E-2</v>
      </c>
      <c r="S413">
        <v>2.994812</v>
      </c>
      <c r="T413">
        <v>-0.45687499999999998</v>
      </c>
      <c r="U413">
        <v>-9.3200679999999994E-2</v>
      </c>
      <c r="V413">
        <v>-2.6151810000000001E-2</v>
      </c>
      <c r="W413">
        <v>-1.217681E-2</v>
      </c>
      <c r="X413">
        <v>0.99958380000000002</v>
      </c>
      <c r="Y413">
        <v>2.7873419999999999E-2</v>
      </c>
      <c r="Z413">
        <v>-1.7810149999999999E-3</v>
      </c>
      <c r="AA413">
        <v>0.99960990000000005</v>
      </c>
      <c r="AB413">
        <v>35</v>
      </c>
      <c r="AC413">
        <v>0.47230000000001798</v>
      </c>
      <c r="AD413">
        <v>-0.124219999999999</v>
      </c>
      <c r="AE413">
        <v>-2.4499999999988999E-2</v>
      </c>
      <c r="AF413">
        <v>2.16250017063295E-2</v>
      </c>
      <c r="AG413">
        <v>-0.124219999999999</v>
      </c>
      <c r="AH413">
        <v>0.441884528373931</v>
      </c>
      <c r="AI413">
        <v>105.683581068856</v>
      </c>
      <c r="AJ413">
        <v>87.198287014493999</v>
      </c>
      <c r="AK413">
        <v>0.45952169210500898</v>
      </c>
      <c r="AL413">
        <v>90.697697075639795</v>
      </c>
      <c r="AM413">
        <v>91.498670350877902</v>
      </c>
      <c r="AN413">
        <v>0.99999998254524503</v>
      </c>
    </row>
    <row r="414" spans="1:40" x14ac:dyDescent="0.25">
      <c r="A414" t="str">
        <f>"20190305135546447"</f>
        <v>20190305135546447</v>
      </c>
      <c r="B414" t="str">
        <f>"1551765346442304"</f>
        <v>1551765346442304</v>
      </c>
      <c r="C414" t="s">
        <v>40</v>
      </c>
      <c r="D414">
        <v>4.2362270000000004</v>
      </c>
      <c r="E414">
        <v>0.51870890000000003</v>
      </c>
      <c r="F414" t="s">
        <v>41</v>
      </c>
      <c r="G414">
        <v>-363.3005</v>
      </c>
      <c r="H414">
        <v>0.98845400000000005</v>
      </c>
      <c r="I414">
        <v>368.08260000000001</v>
      </c>
      <c r="J414">
        <v>-363.7303</v>
      </c>
      <c r="K414">
        <v>1.1086149999999999</v>
      </c>
      <c r="L414">
        <v>368.10590000000002</v>
      </c>
      <c r="M414">
        <v>0.99997480000000005</v>
      </c>
      <c r="N414">
        <v>-6.4575240000000001E-3</v>
      </c>
      <c r="O414">
        <v>-2.959971E-3</v>
      </c>
      <c r="P414">
        <v>0.99952830000000004</v>
      </c>
      <c r="Q414">
        <v>-1.929674E-2</v>
      </c>
      <c r="R414">
        <v>2.3898969999999999E-2</v>
      </c>
      <c r="S414">
        <v>2.994904</v>
      </c>
      <c r="T414">
        <v>-0.4557561</v>
      </c>
      <c r="U414">
        <v>-9.0911870000000006E-2</v>
      </c>
      <c r="V414">
        <v>-2.685891E-2</v>
      </c>
      <c r="W414">
        <v>-1.283955E-2</v>
      </c>
      <c r="X414">
        <v>0.99955680000000002</v>
      </c>
      <c r="Y414">
        <v>2.7088999999999998E-2</v>
      </c>
      <c r="Z414">
        <v>-1.7081609999999999E-3</v>
      </c>
      <c r="AA414">
        <v>0.99963159999999895</v>
      </c>
      <c r="AB414">
        <v>35</v>
      </c>
      <c r="AC414">
        <v>0.42980000000000002</v>
      </c>
      <c r="AD414">
        <v>-0.120160999999999</v>
      </c>
      <c r="AE414">
        <v>-2.3300000000006E-2</v>
      </c>
      <c r="AF414">
        <v>2.0435112200632401E-2</v>
      </c>
      <c r="AG414">
        <v>-0.120160999999999</v>
      </c>
      <c r="AH414">
        <v>0.39878842277920701</v>
      </c>
      <c r="AI414">
        <v>106.747609611176</v>
      </c>
      <c r="AJ414">
        <v>87.066558585318802</v>
      </c>
      <c r="AK414">
        <v>0.416999359561115</v>
      </c>
      <c r="AL414">
        <v>90.735672220931207</v>
      </c>
      <c r="AM414">
        <v>91.539214141955199</v>
      </c>
      <c r="AN414">
        <v>1.0000000257584101</v>
      </c>
    </row>
    <row r="415" spans="1:40" x14ac:dyDescent="0.25">
      <c r="A415" t="str">
        <f>"20190305135546471"</f>
        <v>20190305135546471</v>
      </c>
      <c r="B415" t="str">
        <f>"1551765346461826"</f>
        <v>1551765346461826</v>
      </c>
      <c r="C415" t="s">
        <v>40</v>
      </c>
      <c r="D415">
        <v>4.2824619999999998</v>
      </c>
      <c r="E415">
        <v>0.51852169999999997</v>
      </c>
      <c r="F415" t="s">
        <v>41</v>
      </c>
      <c r="G415">
        <v>-362.98099999999999</v>
      </c>
      <c r="H415">
        <v>0.9938766</v>
      </c>
      <c r="I415">
        <v>368.08420000000001</v>
      </c>
      <c r="J415">
        <v>-363.35019999999997</v>
      </c>
      <c r="K415">
        <v>1.108614</v>
      </c>
      <c r="L415">
        <v>368.10469999999998</v>
      </c>
      <c r="M415">
        <v>0.99997559999999996</v>
      </c>
      <c r="N415">
        <v>-6.3388180000000004E-3</v>
      </c>
      <c r="O415">
        <v>-2.9754820000000002E-3</v>
      </c>
      <c r="P415">
        <v>0.99951920000000005</v>
      </c>
      <c r="Q415">
        <v>-1.9415749999999999E-2</v>
      </c>
      <c r="R415">
        <v>2.4176389999999999E-2</v>
      </c>
      <c r="S415">
        <v>2.9945979999999999</v>
      </c>
      <c r="T415">
        <v>-0.458791</v>
      </c>
      <c r="U415">
        <v>-8.5693359999999996E-2</v>
      </c>
      <c r="V415">
        <v>-2.715147E-2</v>
      </c>
      <c r="W415">
        <v>-1.307791E-2</v>
      </c>
      <c r="X415">
        <v>0.99954580000000004</v>
      </c>
      <c r="Y415">
        <v>2.535374E-2</v>
      </c>
      <c r="Z415">
        <v>-1.5770109999999999E-3</v>
      </c>
      <c r="AA415">
        <v>0.99967729999999999</v>
      </c>
      <c r="AB415">
        <v>35</v>
      </c>
      <c r="AC415">
        <v>0.36919999999997699</v>
      </c>
      <c r="AD415">
        <v>-0.1147374</v>
      </c>
      <c r="AE415">
        <v>-2.04999999999699E-2</v>
      </c>
      <c r="AF415">
        <v>1.7697381909407998E-2</v>
      </c>
      <c r="AG415">
        <v>-0.1147374</v>
      </c>
      <c r="AH415">
        <v>0.336828497921416</v>
      </c>
      <c r="AI415">
        <v>108.78682566598999</v>
      </c>
      <c r="AJ415">
        <v>86.992375116978593</v>
      </c>
      <c r="AK415">
        <v>0.35627419959520601</v>
      </c>
      <c r="AL415">
        <v>90.749330393647497</v>
      </c>
      <c r="AM415">
        <v>91.555988910686494</v>
      </c>
      <c r="AN415">
        <v>1.00000002017538</v>
      </c>
    </row>
    <row r="416" spans="1:40" x14ac:dyDescent="0.25">
      <c r="A416" t="str">
        <f>"20190305135546491"</f>
        <v>20190305135546491</v>
      </c>
      <c r="B416" t="str">
        <f>"1551765346482319"</f>
        <v>1551765346482319</v>
      </c>
      <c r="C416" t="s">
        <v>40</v>
      </c>
      <c r="D416">
        <v>4.4234410000000004</v>
      </c>
      <c r="E416">
        <v>0.51364940000000003</v>
      </c>
      <c r="F416" t="s">
        <v>41</v>
      </c>
      <c r="G416">
        <v>-362.36149999999998</v>
      </c>
      <c r="H416">
        <v>0.9580168</v>
      </c>
      <c r="I416">
        <v>368.07709999999997</v>
      </c>
      <c r="J416">
        <v>-363.01569999999998</v>
      </c>
      <c r="K416">
        <v>1.108619</v>
      </c>
      <c r="L416">
        <v>368.1037</v>
      </c>
      <c r="M416">
        <v>0.99997599999999998</v>
      </c>
      <c r="N416">
        <v>-6.2518909999999999E-3</v>
      </c>
      <c r="O416">
        <v>-2.9594719999999999E-3</v>
      </c>
      <c r="P416">
        <v>0.99950989999999995</v>
      </c>
      <c r="Q416">
        <v>-1.9111989999999999E-2</v>
      </c>
      <c r="R416">
        <v>2.4792020000000001E-2</v>
      </c>
      <c r="S416">
        <v>2.9945680000000001</v>
      </c>
      <c r="T416">
        <v>-0.45620189999999999</v>
      </c>
      <c r="U416">
        <v>-8.3099370000000006E-2</v>
      </c>
      <c r="V416">
        <v>-2.775066E-2</v>
      </c>
      <c r="W416">
        <v>-1.28621E-2</v>
      </c>
      <c r="X416">
        <v>0.99953210000000003</v>
      </c>
      <c r="Y416">
        <v>2.4517819999999999E-2</v>
      </c>
      <c r="Z416">
        <v>-1.5038300000000001E-3</v>
      </c>
      <c r="AA416">
        <v>0.99969830000000004</v>
      </c>
      <c r="AB416">
        <v>36</v>
      </c>
      <c r="AC416">
        <v>0.654200000000002</v>
      </c>
      <c r="AD416">
        <v>-0.15060219999999999</v>
      </c>
      <c r="AE416">
        <v>-2.6600000000030301E-2</v>
      </c>
      <c r="AF416">
        <v>2.34244121563232E-2</v>
      </c>
      <c r="AG416">
        <v>-0.15060219999999999</v>
      </c>
      <c r="AH416">
        <v>0.62139868509860197</v>
      </c>
      <c r="AI416">
        <v>103.614210296585</v>
      </c>
      <c r="AJ416">
        <v>87.841185045306801</v>
      </c>
      <c r="AK416">
        <v>0.63981720168496603</v>
      </c>
      <c r="AL416">
        <v>90.736964384214801</v>
      </c>
      <c r="AM416">
        <v>91.590331467985195</v>
      </c>
      <c r="AN416">
        <v>0.99999997583862699</v>
      </c>
    </row>
    <row r="417" spans="1:40" x14ac:dyDescent="0.25">
      <c r="A417" t="str">
        <f>"20190305135546513"</f>
        <v>20190305135546513</v>
      </c>
      <c r="B417" t="str">
        <f>"1551765346501840"</f>
        <v>1551765346501840</v>
      </c>
      <c r="C417" t="s">
        <v>40</v>
      </c>
      <c r="D417">
        <v>4.3536630000000001</v>
      </c>
      <c r="E417">
        <v>0.51302139999999996</v>
      </c>
      <c r="F417" t="s">
        <v>41</v>
      </c>
      <c r="G417">
        <v>-362.01389999999998</v>
      </c>
      <c r="H417">
        <v>1.0154840000000001</v>
      </c>
      <c r="I417">
        <v>368.09050000000002</v>
      </c>
      <c r="J417">
        <v>-362.6671</v>
      </c>
      <c r="K417">
        <v>1.1086339999999999</v>
      </c>
      <c r="L417">
        <v>368.1028</v>
      </c>
      <c r="M417">
        <v>0.99997689999999995</v>
      </c>
      <c r="N417">
        <v>-6.1757779999999998E-3</v>
      </c>
      <c r="O417">
        <v>-2.9117499999999998E-3</v>
      </c>
      <c r="P417">
        <v>0.99949270000000001</v>
      </c>
      <c r="Q417">
        <v>-1.9480580000000001E-2</v>
      </c>
      <c r="R417">
        <v>2.5201939999999999E-2</v>
      </c>
      <c r="S417">
        <v>2.997131</v>
      </c>
      <c r="T417">
        <v>-0.27886919999999998</v>
      </c>
      <c r="U417">
        <v>-3.8513180000000001E-2</v>
      </c>
      <c r="V417">
        <v>-2.811224E-2</v>
      </c>
      <c r="W417">
        <v>-1.33083E-2</v>
      </c>
      <c r="X417">
        <v>0.99951619999999997</v>
      </c>
      <c r="Y417">
        <v>9.902681E-3</v>
      </c>
      <c r="Z417">
        <v>-2.3795519999999999E-4</v>
      </c>
      <c r="AA417">
        <v>0.99995089999999998</v>
      </c>
      <c r="AB417">
        <v>36</v>
      </c>
      <c r="AC417">
        <v>0.65320000000002598</v>
      </c>
      <c r="AD417">
        <v>-9.3149999999999997E-2</v>
      </c>
      <c r="AE417">
        <v>-1.22999999999819E-2</v>
      </c>
      <c r="AF417">
        <v>1.0190786764867199E-2</v>
      </c>
      <c r="AG417">
        <v>-9.3149999999999997E-2</v>
      </c>
      <c r="AH417">
        <v>0.64021795387434</v>
      </c>
      <c r="AI417">
        <v>98.277259124167998</v>
      </c>
      <c r="AJ417">
        <v>89.088060930395798</v>
      </c>
      <c r="AK417">
        <v>0.64703925931734096</v>
      </c>
      <c r="AL417">
        <v>90.7625319160272</v>
      </c>
      <c r="AM417">
        <v>91.611067615419998</v>
      </c>
      <c r="AN417">
        <v>1.0000000214745699</v>
      </c>
    </row>
    <row r="418" spans="1:40" x14ac:dyDescent="0.25">
      <c r="A418" t="str">
        <f>"20190305135546537"</f>
        <v>20190305135546537</v>
      </c>
      <c r="B418" t="str">
        <f>"1551765346532097"</f>
        <v>1551765346532097</v>
      </c>
      <c r="C418" t="s">
        <v>40</v>
      </c>
      <c r="D418">
        <v>4.4029179999999997</v>
      </c>
      <c r="E418">
        <v>0.51392349999999998</v>
      </c>
      <c r="F418" t="s">
        <v>41</v>
      </c>
      <c r="G418">
        <v>-361.68619999999999</v>
      </c>
      <c r="H418">
        <v>1.02966</v>
      </c>
      <c r="I418">
        <v>368.0924</v>
      </c>
      <c r="J418">
        <v>-362.28960000000001</v>
      </c>
      <c r="K418">
        <v>1.1086549999999999</v>
      </c>
      <c r="L418">
        <v>368.10169999999999</v>
      </c>
      <c r="M418">
        <v>0.99997740000000002</v>
      </c>
      <c r="N418">
        <v>-6.1078139999999996E-3</v>
      </c>
      <c r="O418">
        <v>-2.8066229999999998E-3</v>
      </c>
      <c r="P418">
        <v>0.99948729999999997</v>
      </c>
      <c r="Q418">
        <v>-1.9979489999999999E-2</v>
      </c>
      <c r="R418">
        <v>2.5023630000000002E-2</v>
      </c>
      <c r="S418">
        <v>2.9976500000000001</v>
      </c>
      <c r="T418">
        <v>-0.24147840000000001</v>
      </c>
      <c r="U418">
        <v>-3.1311039999999998E-2</v>
      </c>
      <c r="V418">
        <v>-2.782749E-2</v>
      </c>
      <c r="W418">
        <v>-1.3877479999999999E-2</v>
      </c>
      <c r="X418">
        <v>0.99951639999999997</v>
      </c>
      <c r="Y418">
        <v>7.61927E-3</v>
      </c>
      <c r="Z418">
        <v>-1.210932E-4</v>
      </c>
      <c r="AA418">
        <v>0.99997100000000005</v>
      </c>
      <c r="AB418">
        <v>36</v>
      </c>
      <c r="AC418">
        <v>0.60340000000002103</v>
      </c>
      <c r="AD418">
        <v>-7.8994999999999899E-2</v>
      </c>
      <c r="AE418">
        <v>-9.2999999999960892E-3</v>
      </c>
      <c r="AF418">
        <v>7.4782748158284899E-3</v>
      </c>
      <c r="AG418">
        <v>-7.8994999999999899E-2</v>
      </c>
      <c r="AH418">
        <v>0.59325821476978702</v>
      </c>
      <c r="AI418">
        <v>97.583980125359304</v>
      </c>
      <c r="AJ418">
        <v>89.277800320141793</v>
      </c>
      <c r="AK418">
        <v>0.59854109634264496</v>
      </c>
      <c r="AL418">
        <v>90.795146562775898</v>
      </c>
      <c r="AM418">
        <v>91.594757198330598</v>
      </c>
      <c r="AN418">
        <v>0.999999993759905</v>
      </c>
    </row>
    <row r="419" spans="1:40" x14ac:dyDescent="0.25">
      <c r="A419" t="str">
        <f>"20190305135546559"</f>
        <v>20190305135546559</v>
      </c>
      <c r="B419" t="str">
        <f>"1551765346552593"</f>
        <v>1551765346552593</v>
      </c>
      <c r="C419" t="s">
        <v>40</v>
      </c>
      <c r="D419">
        <v>4.395848</v>
      </c>
      <c r="E419">
        <v>0.51410009999999995</v>
      </c>
      <c r="F419" t="s">
        <v>41</v>
      </c>
      <c r="G419">
        <v>-361.36340000000001</v>
      </c>
      <c r="H419">
        <v>1.0321039999999999</v>
      </c>
      <c r="I419">
        <v>368.08960000000002</v>
      </c>
      <c r="J419">
        <v>-361.93029999999999</v>
      </c>
      <c r="K419">
        <v>1.108695</v>
      </c>
      <c r="L419">
        <v>368.10090000000002</v>
      </c>
      <c r="M419">
        <v>0.99997820000000004</v>
      </c>
      <c r="N419">
        <v>-6.0549180000000003E-3</v>
      </c>
      <c r="O419">
        <v>-2.6397149999999999E-3</v>
      </c>
      <c r="P419">
        <v>0.99949030000000005</v>
      </c>
      <c r="Q419">
        <v>-2.0662349999999999E-2</v>
      </c>
      <c r="R419">
        <v>2.4343710000000001E-2</v>
      </c>
      <c r="S419">
        <v>2.9975890000000001</v>
      </c>
      <c r="T419">
        <v>-0.2478445</v>
      </c>
      <c r="U419">
        <v>-3.872681E-2</v>
      </c>
      <c r="V419">
        <v>-2.6979320000000001E-2</v>
      </c>
      <c r="W419">
        <v>-1.461612E-2</v>
      </c>
      <c r="X419">
        <v>0.99952909999999995</v>
      </c>
      <c r="Y419">
        <v>1.024885E-2</v>
      </c>
      <c r="Z419">
        <v>-2.521256E-4</v>
      </c>
      <c r="AA419">
        <v>0.99994740000000004</v>
      </c>
      <c r="AB419">
        <v>36</v>
      </c>
      <c r="AC419">
        <v>0.56689999999997498</v>
      </c>
      <c r="AD419">
        <v>-7.6590999999999798E-2</v>
      </c>
      <c r="AE419">
        <v>-1.1300000000005601E-2</v>
      </c>
      <c r="AF419">
        <v>9.6278088256861599E-3</v>
      </c>
      <c r="AG419">
        <v>-7.6590999999999798E-2</v>
      </c>
      <c r="AH419">
        <v>0.55676899158653403</v>
      </c>
      <c r="AI419">
        <v>97.831481765075495</v>
      </c>
      <c r="AJ419">
        <v>89.009323711979306</v>
      </c>
      <c r="AK419">
        <v>0.56209481938198802</v>
      </c>
      <c r="AL419">
        <v>90.837471835605896</v>
      </c>
      <c r="AM419">
        <v>91.546154010105695</v>
      </c>
      <c r="AN419">
        <v>0.99999996820916204</v>
      </c>
    </row>
    <row r="420" spans="1:40" x14ac:dyDescent="0.25">
      <c r="A420" t="str">
        <f>"20190305135546581"</f>
        <v>20190305135546581</v>
      </c>
      <c r="B420" t="str">
        <f>"1551765346572112"</f>
        <v>1551765346572112</v>
      </c>
      <c r="C420" t="s">
        <v>40</v>
      </c>
      <c r="D420">
        <v>4.6249129999999896</v>
      </c>
      <c r="E420">
        <v>0.51447080000000001</v>
      </c>
      <c r="F420" t="s">
        <v>41</v>
      </c>
      <c r="G420">
        <v>-361.0401</v>
      </c>
      <c r="H420">
        <v>1.0333810000000001</v>
      </c>
      <c r="I420">
        <v>368.0881</v>
      </c>
      <c r="J420">
        <v>-361.56760000000003</v>
      </c>
      <c r="K420">
        <v>1.108744</v>
      </c>
      <c r="L420">
        <v>368.1001</v>
      </c>
      <c r="M420">
        <v>0.99997910000000001</v>
      </c>
      <c r="N420">
        <v>-6.0118489999999997E-3</v>
      </c>
      <c r="O420">
        <v>-2.3930050000000001E-3</v>
      </c>
      <c r="P420">
        <v>0.99949860000000001</v>
      </c>
      <c r="Q420">
        <v>-2.0097520000000001E-2</v>
      </c>
      <c r="R420">
        <v>2.4471960000000001E-2</v>
      </c>
      <c r="S420">
        <v>2.9973450000000001</v>
      </c>
      <c r="T420">
        <v>-0.25371709999999997</v>
      </c>
      <c r="U420">
        <v>-4.214478E-2</v>
      </c>
      <c r="V420">
        <v>-2.685893E-2</v>
      </c>
      <c r="W420">
        <v>-1.409817E-2</v>
      </c>
      <c r="X420">
        <v>0.99953979999999998</v>
      </c>
      <c r="Y420">
        <v>1.16293E-2</v>
      </c>
      <c r="Z420">
        <v>-3.3849059999999998E-4</v>
      </c>
      <c r="AA420">
        <v>0.9999323</v>
      </c>
      <c r="AB420">
        <v>36</v>
      </c>
      <c r="AC420">
        <v>0.52750000000003106</v>
      </c>
      <c r="AD420">
        <v>-7.5362999999999999E-2</v>
      </c>
      <c r="AE420">
        <v>-1.2000000000000399E-2</v>
      </c>
      <c r="AF420">
        <v>1.0522956237164101E-2</v>
      </c>
      <c r="AG420">
        <v>-7.5362999999999999E-2</v>
      </c>
      <c r="AH420">
        <v>0.51698040358356001</v>
      </c>
      <c r="AI420">
        <v>98.292198295377105</v>
      </c>
      <c r="AJ420">
        <v>88.833925365191206</v>
      </c>
      <c r="AK420">
        <v>0.52255052585026696</v>
      </c>
      <c r="AL420">
        <v>90.807792411806602</v>
      </c>
      <c r="AM420">
        <v>91.539241453665198</v>
      </c>
      <c r="AN420">
        <v>0.999999986151066</v>
      </c>
    </row>
    <row r="421" spans="1:40" x14ac:dyDescent="0.25">
      <c r="A421" t="str">
        <f>"20190305135546603"</f>
        <v>20190305135546603</v>
      </c>
      <c r="B421" t="str">
        <f>"1551765346592387"</f>
        <v>1551765346592387</v>
      </c>
      <c r="C421" t="s">
        <v>40</v>
      </c>
      <c r="D421">
        <v>4.3256569999999996</v>
      </c>
      <c r="E421">
        <v>0.51477600000000001</v>
      </c>
      <c r="F421" t="s">
        <v>41</v>
      </c>
      <c r="G421">
        <v>-360.71480000000003</v>
      </c>
      <c r="H421">
        <v>1.0368999999999999</v>
      </c>
      <c r="I421">
        <v>368.08690000000001</v>
      </c>
      <c r="J421">
        <v>-361.22919999999999</v>
      </c>
      <c r="K421">
        <v>1.1088020000000001</v>
      </c>
      <c r="L421">
        <v>368.09949999999998</v>
      </c>
      <c r="M421">
        <v>0.99997999999999998</v>
      </c>
      <c r="N421">
        <v>-5.9776669999999999E-3</v>
      </c>
      <c r="O421">
        <v>-2.086227E-3</v>
      </c>
      <c r="P421">
        <v>0.99951679999999998</v>
      </c>
      <c r="Q421">
        <v>-1.9834379999999999E-2</v>
      </c>
      <c r="R421">
        <v>2.3941569999999999E-2</v>
      </c>
      <c r="S421">
        <v>2.997528</v>
      </c>
      <c r="T421">
        <v>-0.25286960000000003</v>
      </c>
      <c r="U421">
        <v>-4.5104980000000003E-2</v>
      </c>
      <c r="V421">
        <v>-2.601968E-2</v>
      </c>
      <c r="W421">
        <v>-1.3872840000000001E-2</v>
      </c>
      <c r="X421">
        <v>0.99956520000000004</v>
      </c>
      <c r="Y421">
        <v>1.291689E-2</v>
      </c>
      <c r="Z421">
        <v>-4.1929599999999999E-4</v>
      </c>
      <c r="AA421">
        <v>0.99991649999999999</v>
      </c>
      <c r="AB421">
        <v>36</v>
      </c>
      <c r="AC421">
        <v>0.514399999999966</v>
      </c>
      <c r="AD421">
        <v>-7.1902000000000105E-2</v>
      </c>
      <c r="AE421">
        <v>-1.25999999999635E-2</v>
      </c>
      <c r="AF421">
        <v>1.13060334976174E-2</v>
      </c>
      <c r="AG421">
        <v>-7.1902000000000105E-2</v>
      </c>
      <c r="AH421">
        <v>0.50457273849186901</v>
      </c>
      <c r="AI421">
        <v>98.108082525719894</v>
      </c>
      <c r="AJ421">
        <v>88.716380073924896</v>
      </c>
      <c r="AK421">
        <v>0.509795422131891</v>
      </c>
      <c r="AL421">
        <v>90.794880652580602</v>
      </c>
      <c r="AM421">
        <v>91.491129595813206</v>
      </c>
      <c r="AN421">
        <v>1.0000000342440001</v>
      </c>
    </row>
    <row r="422" spans="1:40" x14ac:dyDescent="0.25">
      <c r="A422" t="str">
        <f>"20190305135546625"</f>
        <v>20190305135546625</v>
      </c>
      <c r="B422" t="str">
        <f>"1551765346621668"</f>
        <v>1551765346621668</v>
      </c>
      <c r="C422" t="s">
        <v>40</v>
      </c>
      <c r="D422">
        <v>4.3021839999999996</v>
      </c>
      <c r="E422">
        <v>0.51507840000000005</v>
      </c>
      <c r="F422" t="s">
        <v>41</v>
      </c>
      <c r="G422">
        <v>-360.38869999999997</v>
      </c>
      <c r="H422">
        <v>1.0398719999999999</v>
      </c>
      <c r="I422">
        <v>368.08589999999998</v>
      </c>
      <c r="J422">
        <v>-360.86169999999998</v>
      </c>
      <c r="K422">
        <v>1.108868</v>
      </c>
      <c r="L422">
        <v>368.09910000000002</v>
      </c>
      <c r="M422">
        <v>0.99998109999999996</v>
      </c>
      <c r="N422">
        <v>-5.9419869999999897E-3</v>
      </c>
      <c r="O422">
        <v>-1.6724820000000001E-3</v>
      </c>
      <c r="P422">
        <v>0.99952629999999998</v>
      </c>
      <c r="Q422">
        <v>-1.971024E-2</v>
      </c>
      <c r="R422">
        <v>2.3642860000000002E-2</v>
      </c>
      <c r="S422">
        <v>2.9977719999999999</v>
      </c>
      <c r="T422">
        <v>-0.2457925</v>
      </c>
      <c r="U422">
        <v>-4.891968E-2</v>
      </c>
      <c r="V422">
        <v>-2.5305230000000001E-2</v>
      </c>
      <c r="W422">
        <v>-1.378834E-2</v>
      </c>
      <c r="X422">
        <v>0.99958469999999999</v>
      </c>
      <c r="Y422">
        <v>1.459649E-2</v>
      </c>
      <c r="Z422">
        <v>-5.138327E-4</v>
      </c>
      <c r="AA422">
        <v>0.99989329999999998</v>
      </c>
      <c r="AB422">
        <v>36</v>
      </c>
      <c r="AC422">
        <v>0.47300000000001302</v>
      </c>
      <c r="AD422">
        <v>-6.8996000000000002E-2</v>
      </c>
      <c r="AE422">
        <v>-1.32000000000402E-2</v>
      </c>
      <c r="AF422">
        <v>1.21505486542028E-2</v>
      </c>
      <c r="AG422">
        <v>-6.8996000000000002E-2</v>
      </c>
      <c r="AH422">
        <v>0.463173792299714</v>
      </c>
      <c r="AI422">
        <v>98.469806234153793</v>
      </c>
      <c r="AJ422">
        <v>88.497290789026295</v>
      </c>
      <c r="AK422">
        <v>0.46844214767876802</v>
      </c>
      <c r="AL422">
        <v>90.790038705353993</v>
      </c>
      <c r="AM422">
        <v>91.450175518580707</v>
      </c>
      <c r="AN422">
        <v>1.0000000227296899</v>
      </c>
    </row>
    <row r="423" spans="1:40" x14ac:dyDescent="0.25">
      <c r="A423" t="str">
        <f>"20190305135546648"</f>
        <v>20190305135546648</v>
      </c>
      <c r="B423" t="str">
        <f>"1551765346642164"</f>
        <v>1551765346642164</v>
      </c>
      <c r="C423" t="s">
        <v>40</v>
      </c>
      <c r="D423">
        <v>4.2476629999999904</v>
      </c>
      <c r="E423">
        <v>0.51526959999999999</v>
      </c>
      <c r="F423" t="s">
        <v>41</v>
      </c>
      <c r="G423">
        <v>-360.05869999999999</v>
      </c>
      <c r="H423">
        <v>1.0453629999999901</v>
      </c>
      <c r="I423">
        <v>368.0849</v>
      </c>
      <c r="J423">
        <v>-360.49189999999999</v>
      </c>
      <c r="K423">
        <v>1.108927</v>
      </c>
      <c r="L423">
        <v>368.09890000000001</v>
      </c>
      <c r="M423">
        <v>0.99998200000000004</v>
      </c>
      <c r="N423">
        <v>-5.9068599999999999E-3</v>
      </c>
      <c r="O423">
        <v>-1.1810639999999999E-3</v>
      </c>
      <c r="P423">
        <v>0.99951659999999998</v>
      </c>
      <c r="Q423">
        <v>-2.0048940000000001E-2</v>
      </c>
      <c r="R423">
        <v>2.3768299999999999E-2</v>
      </c>
      <c r="S423">
        <v>2.997986</v>
      </c>
      <c r="T423">
        <v>-0.23737179999999999</v>
      </c>
      <c r="U423">
        <v>-5.1971440000000001E-2</v>
      </c>
      <c r="V423">
        <v>-2.4936659999999999E-2</v>
      </c>
      <c r="W423">
        <v>-1.416604E-2</v>
      </c>
      <c r="X423">
        <v>0.9995887</v>
      </c>
      <c r="Y423">
        <v>1.6100949999999999E-2</v>
      </c>
      <c r="Z423">
        <v>-5.9761250000000003E-4</v>
      </c>
      <c r="AA423">
        <v>0.99987020000000004</v>
      </c>
      <c r="AB423">
        <v>36</v>
      </c>
      <c r="AC423">
        <v>0.43319999999999897</v>
      </c>
      <c r="AD423">
        <v>-6.3564000000000107E-2</v>
      </c>
      <c r="AE423">
        <v>-1.4000000000009999E-2</v>
      </c>
      <c r="AF423">
        <v>1.32043504151515E-2</v>
      </c>
      <c r="AG423">
        <v>-6.3564000000000107E-2</v>
      </c>
      <c r="AH423">
        <v>0.42409496320615397</v>
      </c>
      <c r="AI423">
        <v>98.520058692394699</v>
      </c>
      <c r="AJ423">
        <v>88.216651251913802</v>
      </c>
      <c r="AK423">
        <v>0.42903528384355</v>
      </c>
      <c r="AL423">
        <v>90.811681419914507</v>
      </c>
      <c r="AM423">
        <v>91.4290568580372</v>
      </c>
      <c r="AN423">
        <v>1.0000000414344601</v>
      </c>
    </row>
    <row r="424" spans="1:40" x14ac:dyDescent="0.25">
      <c r="A424" t="str">
        <f>"20190305135546671"</f>
        <v>20190305135546671</v>
      </c>
      <c r="B424" t="str">
        <f>"1551765346662659"</f>
        <v>1551765346662659</v>
      </c>
      <c r="C424" t="s">
        <v>40</v>
      </c>
      <c r="D424">
        <v>4.2392779999999997</v>
      </c>
      <c r="E424">
        <v>0.5153316</v>
      </c>
      <c r="F424" t="s">
        <v>41</v>
      </c>
      <c r="G424">
        <v>-359.7287</v>
      </c>
      <c r="H424">
        <v>1.0493920000000001</v>
      </c>
      <c r="I424">
        <v>368.08519999999999</v>
      </c>
      <c r="J424">
        <v>-360.11660000000001</v>
      </c>
      <c r="K424">
        <v>1.10897</v>
      </c>
      <c r="L424">
        <v>368.09899999999999</v>
      </c>
      <c r="M424">
        <v>0.99998260000000005</v>
      </c>
      <c r="N424">
        <v>-5.8676450000000003E-3</v>
      </c>
      <c r="O424">
        <v>-6.1902530000000004E-4</v>
      </c>
      <c r="P424">
        <v>0.999498</v>
      </c>
      <c r="Q424">
        <v>-2.033971E-2</v>
      </c>
      <c r="R424">
        <v>2.429781E-2</v>
      </c>
      <c r="S424">
        <v>2.9980470000000001</v>
      </c>
      <c r="T424">
        <v>-0.23392640000000001</v>
      </c>
      <c r="U424">
        <v>-5.3192139999999999E-2</v>
      </c>
      <c r="V424">
        <v>-2.4902219999999999E-2</v>
      </c>
      <c r="W424">
        <v>-1.449952E-2</v>
      </c>
      <c r="X424">
        <v>0.99958469999999999</v>
      </c>
      <c r="Y424">
        <v>1.7066370000000001E-2</v>
      </c>
      <c r="Z424">
        <v>-6.7030970000000003E-4</v>
      </c>
      <c r="AA424">
        <v>0.99985409999999997</v>
      </c>
      <c r="AB424">
        <v>36</v>
      </c>
      <c r="AC424">
        <v>0.38790000000000102</v>
      </c>
      <c r="AD424">
        <v>-5.9577999999999902E-2</v>
      </c>
      <c r="AE424">
        <v>-1.3800000000003299E-2</v>
      </c>
      <c r="AF424">
        <v>1.32477507880569E-2</v>
      </c>
      <c r="AG424">
        <v>-5.9577999999999902E-2</v>
      </c>
      <c r="AH424">
        <v>0.37897955240110798</v>
      </c>
      <c r="AI424">
        <v>98.9287757874786</v>
      </c>
      <c r="AJ424">
        <v>87.997962526918997</v>
      </c>
      <c r="AK424">
        <v>0.38386266049602502</v>
      </c>
      <c r="AL424">
        <v>90.830790442500302</v>
      </c>
      <c r="AM424">
        <v>91.4270897139059</v>
      </c>
      <c r="AN424">
        <v>0.99999996455762297</v>
      </c>
    </row>
    <row r="425" spans="1:40" x14ac:dyDescent="0.25">
      <c r="A425" t="str">
        <f>"20190305135546692"</f>
        <v>20190305135546692</v>
      </c>
      <c r="B425" t="str">
        <f>"1551765346682179"</f>
        <v>1551765346682179</v>
      </c>
      <c r="C425" t="s">
        <v>40</v>
      </c>
      <c r="D425">
        <v>4.207846</v>
      </c>
      <c r="E425">
        <v>0.51544420000000002</v>
      </c>
      <c r="F425" t="s">
        <v>41</v>
      </c>
      <c r="G425">
        <v>-359.08600000000001</v>
      </c>
      <c r="H425">
        <v>1.029847</v>
      </c>
      <c r="I425">
        <v>368.08069999999998</v>
      </c>
      <c r="J425">
        <v>-359.7534</v>
      </c>
      <c r="K425">
        <v>1.108989</v>
      </c>
      <c r="L425">
        <v>368.0992</v>
      </c>
      <c r="M425">
        <v>0.99998299999999996</v>
      </c>
      <c r="N425">
        <v>-5.8276569999999896E-3</v>
      </c>
      <c r="O425" s="1">
        <v>-3.1574179999999999E-5</v>
      </c>
      <c r="P425">
        <v>0.99947549999999996</v>
      </c>
      <c r="Q425">
        <v>-2.0558980000000001E-2</v>
      </c>
      <c r="R425">
        <v>2.501482E-2</v>
      </c>
      <c r="S425">
        <v>2.9980470000000001</v>
      </c>
      <c r="T425">
        <v>-0.23037270000000001</v>
      </c>
      <c r="U425">
        <v>-5.2337649999999999E-2</v>
      </c>
      <c r="V425">
        <v>-2.5029869999999999E-2</v>
      </c>
      <c r="W425">
        <v>-1.476159E-2</v>
      </c>
      <c r="X425">
        <v>0.99957770000000001</v>
      </c>
      <c r="Y425">
        <v>1.7368020000000001E-2</v>
      </c>
      <c r="Z425">
        <v>-7.1470780000000003E-4</v>
      </c>
      <c r="AA425">
        <v>0.99984890000000004</v>
      </c>
      <c r="AB425">
        <v>37</v>
      </c>
      <c r="AC425">
        <v>0.667399999999986</v>
      </c>
      <c r="AD425">
        <v>-7.9142000000000004E-2</v>
      </c>
      <c r="AE425">
        <v>-1.8500000000017201E-2</v>
      </c>
      <c r="AF425">
        <v>1.8222876890734499E-2</v>
      </c>
      <c r="AG425">
        <v>-7.9142000000000004E-2</v>
      </c>
      <c r="AH425">
        <v>0.65815286023044195</v>
      </c>
      <c r="AI425">
        <v>96.854216178731093</v>
      </c>
      <c r="AJ425">
        <v>88.414004839491</v>
      </c>
      <c r="AK425">
        <v>0.66314456707092695</v>
      </c>
      <c r="AL425">
        <v>90.845807534962802</v>
      </c>
      <c r="AM425">
        <v>91.4344120381366</v>
      </c>
      <c r="AN425">
        <v>0.99999998863441697</v>
      </c>
    </row>
    <row r="426" spans="1:40" x14ac:dyDescent="0.25">
      <c r="A426" t="str">
        <f>"20190305135546705"</f>
        <v>20190305135546705</v>
      </c>
      <c r="B426" t="str">
        <f>"1551765346702206"</f>
        <v>1551765346702206</v>
      </c>
      <c r="C426" t="s">
        <v>40</v>
      </c>
      <c r="D426">
        <v>4.1752859999999998</v>
      </c>
      <c r="E426">
        <v>0.51541599999999999</v>
      </c>
      <c r="F426" t="s">
        <v>41</v>
      </c>
      <c r="G426">
        <v>-358.7552</v>
      </c>
      <c r="H426">
        <v>1.0328409999999999</v>
      </c>
      <c r="I426">
        <v>368.08190000000002</v>
      </c>
      <c r="J426">
        <v>-359.548</v>
      </c>
      <c r="K426">
        <v>1.109003</v>
      </c>
      <c r="L426">
        <v>368.09949999999998</v>
      </c>
      <c r="M426">
        <v>0.99998310000000001</v>
      </c>
      <c r="N426">
        <v>-5.8057959999999898E-3</v>
      </c>
      <c r="O426">
        <v>3.1238890000000001E-4</v>
      </c>
      <c r="P426">
        <v>0.99945700000000004</v>
      </c>
      <c r="Q426">
        <v>-2.06784E-2</v>
      </c>
      <c r="R426">
        <v>2.5658719999999999E-2</v>
      </c>
      <c r="S426">
        <v>2.998138</v>
      </c>
      <c r="T426">
        <v>-0.22888530000000001</v>
      </c>
      <c r="U426">
        <v>-5.1239010000000001E-2</v>
      </c>
      <c r="V426">
        <v>-2.5329620000000001E-2</v>
      </c>
      <c r="W426">
        <v>-1.4904479999999999E-2</v>
      </c>
      <c r="X426">
        <v>0.99956800000000001</v>
      </c>
      <c r="Y426">
        <v>1.7345050000000001E-2</v>
      </c>
      <c r="Z426">
        <v>-7.33507E-4</v>
      </c>
      <c r="AA426">
        <v>0.99984930000000005</v>
      </c>
      <c r="AB426">
        <v>37</v>
      </c>
      <c r="AC426">
        <v>0.79279999999999895</v>
      </c>
      <c r="AD426">
        <v>-7.6161999999999994E-2</v>
      </c>
      <c r="AE426">
        <v>-1.7599999999958899E-2</v>
      </c>
      <c r="AF426">
        <v>1.7684537009707301E-2</v>
      </c>
      <c r="AG426">
        <v>-7.6161999999999994E-2</v>
      </c>
      <c r="AH426">
        <v>0.78554829670465898</v>
      </c>
      <c r="AI426">
        <v>95.5363489276899</v>
      </c>
      <c r="AJ426">
        <v>88.710355281752598</v>
      </c>
      <c r="AK426">
        <v>0.78942986993705699</v>
      </c>
      <c r="AL426">
        <v>90.853995454334907</v>
      </c>
      <c r="AM426">
        <v>91.451596888341896</v>
      </c>
      <c r="AN426">
        <v>0.99999995989870605</v>
      </c>
    </row>
    <row r="427" spans="1:40" x14ac:dyDescent="0.25">
      <c r="A427" t="str">
        <f>"20190305135546727"</f>
        <v>20190305135546727</v>
      </c>
      <c r="B427" t="str">
        <f>"1551765346721726"</f>
        <v>1551765346721726</v>
      </c>
      <c r="C427" t="s">
        <v>40</v>
      </c>
      <c r="D427">
        <v>4.1738799999999996</v>
      </c>
      <c r="E427">
        <v>0.51516850000000003</v>
      </c>
      <c r="F427" t="s">
        <v>41</v>
      </c>
      <c r="G427">
        <v>-358.7448</v>
      </c>
      <c r="H427">
        <v>1.048033</v>
      </c>
      <c r="I427">
        <v>368.08620000000002</v>
      </c>
      <c r="J427">
        <v>-359.1943</v>
      </c>
      <c r="K427">
        <v>1.109022</v>
      </c>
      <c r="L427">
        <v>368.1001</v>
      </c>
      <c r="M427">
        <v>0.99998299999999996</v>
      </c>
      <c r="N427">
        <v>-5.7683869999999998E-3</v>
      </c>
      <c r="O427">
        <v>9.1797619999999999E-4</v>
      </c>
      <c r="P427">
        <v>0.99943700000000002</v>
      </c>
      <c r="Q427">
        <v>-2.029659E-2</v>
      </c>
      <c r="R427">
        <v>2.6718660000000002E-2</v>
      </c>
      <c r="S427">
        <v>2.998138</v>
      </c>
      <c r="T427">
        <v>-0.22780619999999999</v>
      </c>
      <c r="U427">
        <v>-4.8858640000000002E-2</v>
      </c>
      <c r="V427">
        <v>-2.5783500000000001E-2</v>
      </c>
      <c r="W427">
        <v>-1.4562429999999999E-2</v>
      </c>
      <c r="X427">
        <v>0.99956149999999999</v>
      </c>
      <c r="Y427">
        <v>1.7156560000000001E-2</v>
      </c>
      <c r="Z427">
        <v>-7.6473899999999996E-4</v>
      </c>
      <c r="AA427">
        <v>0.99985250000000003</v>
      </c>
      <c r="AB427">
        <v>37</v>
      </c>
      <c r="AC427">
        <v>0.44950000000000001</v>
      </c>
      <c r="AD427">
        <v>-6.0988999999999897E-2</v>
      </c>
      <c r="AE427">
        <v>-1.3899999999978201E-2</v>
      </c>
      <c r="AF427">
        <v>1.40541476522457E-2</v>
      </c>
      <c r="AG427">
        <v>-6.0988999999999897E-2</v>
      </c>
      <c r="AH427">
        <v>0.44136939250000401</v>
      </c>
      <c r="AI427">
        <v>97.863449170406795</v>
      </c>
      <c r="AJ427">
        <v>88.176195783160907</v>
      </c>
      <c r="AK427">
        <v>0.445784833549834</v>
      </c>
      <c r="AL427">
        <v>90.834395252151396</v>
      </c>
      <c r="AM427">
        <v>91.477606143789302</v>
      </c>
      <c r="AN427">
        <v>1.000000022761</v>
      </c>
    </row>
    <row r="428" spans="1:40" x14ac:dyDescent="0.25">
      <c r="A428" t="str">
        <f>"20190305135546751"</f>
        <v>20190305135546751</v>
      </c>
      <c r="B428" t="str">
        <f>"1551765346742221"</f>
        <v>1551765346742221</v>
      </c>
      <c r="C428" t="s">
        <v>40</v>
      </c>
      <c r="D428">
        <v>4.2429189999999997</v>
      </c>
      <c r="E428">
        <v>0.54369489999999998</v>
      </c>
      <c r="F428" t="s">
        <v>41</v>
      </c>
      <c r="G428">
        <v>-358.40640000000002</v>
      </c>
      <c r="H428">
        <v>1.0499780000000001</v>
      </c>
      <c r="I428">
        <v>368.08859999999999</v>
      </c>
      <c r="J428">
        <v>-358.80470000000003</v>
      </c>
      <c r="K428">
        <v>1.10903</v>
      </c>
      <c r="L428">
        <v>368.101</v>
      </c>
      <c r="M428">
        <v>0.99998240000000005</v>
      </c>
      <c r="N428">
        <v>-5.7254899999999997E-3</v>
      </c>
      <c r="O428">
        <v>1.5958529999999999E-3</v>
      </c>
      <c r="P428">
        <v>0.99941930000000001</v>
      </c>
      <c r="Q428">
        <v>-1.9880910000000002E-2</v>
      </c>
      <c r="R428">
        <v>2.767936E-2</v>
      </c>
      <c r="S428">
        <v>2.998291</v>
      </c>
      <c r="T428">
        <v>-0.22473009999999999</v>
      </c>
      <c r="U428">
        <v>-4.3426510000000001E-2</v>
      </c>
      <c r="V428">
        <v>-2.6066280000000001E-2</v>
      </c>
      <c r="W428">
        <v>-1.41916E-2</v>
      </c>
      <c r="X428">
        <v>0.99955950000000005</v>
      </c>
      <c r="Y428">
        <v>1.6025729999999998E-2</v>
      </c>
      <c r="Z428">
        <v>-7.5597849999999999E-4</v>
      </c>
      <c r="AA428">
        <v>0.99987130000000002</v>
      </c>
      <c r="AB428">
        <v>37</v>
      </c>
      <c r="AC428">
        <v>0.39830000000000598</v>
      </c>
      <c r="AD428">
        <v>-5.9051999999999799E-2</v>
      </c>
      <c r="AE428">
        <v>-1.24000000000137E-2</v>
      </c>
      <c r="AF428">
        <v>1.2755514606667601E-2</v>
      </c>
      <c r="AG428">
        <v>-5.9051999999999799E-2</v>
      </c>
      <c r="AH428">
        <v>0.38972150728736898</v>
      </c>
      <c r="AI428">
        <v>98.611578436643796</v>
      </c>
      <c r="AJ428">
        <v>88.125388671575706</v>
      </c>
      <c r="AK428">
        <v>0.394376336890565</v>
      </c>
      <c r="AL428">
        <v>90.813146061995198</v>
      </c>
      <c r="AM428">
        <v>91.493807443083298</v>
      </c>
      <c r="AN428">
        <v>1.0000000232519199</v>
      </c>
    </row>
    <row r="429" spans="1:40" x14ac:dyDescent="0.25">
      <c r="A429" t="str">
        <f>"20190305135546770"</f>
        <v>20190305135546770</v>
      </c>
      <c r="B429" t="str">
        <f>"1551765346761742"</f>
        <v>1551765346761742</v>
      </c>
      <c r="C429" t="s">
        <v>40</v>
      </c>
      <c r="D429">
        <v>4.1826840000000001</v>
      </c>
      <c r="E429">
        <v>0.55741879999999999</v>
      </c>
      <c r="F429" t="s">
        <v>42</v>
      </c>
      <c r="G429">
        <v>-333.98480000000001</v>
      </c>
      <c r="H429" s="1">
        <v>-3.2219250000000001E-6</v>
      </c>
      <c r="I429">
        <v>365.90069999999997</v>
      </c>
      <c r="J429">
        <v>-358.46199999999999</v>
      </c>
      <c r="K429">
        <v>1.10903</v>
      </c>
      <c r="L429">
        <v>368.10199999999998</v>
      </c>
      <c r="M429">
        <v>0.99998149999999997</v>
      </c>
      <c r="N429">
        <v>-5.6846029999999999E-3</v>
      </c>
      <c r="O429">
        <v>2.1949510000000001E-3</v>
      </c>
      <c r="P429">
        <v>0.99938340000000003</v>
      </c>
      <c r="Q429">
        <v>-2.0360119999999999E-2</v>
      </c>
      <c r="R429">
        <v>2.8604589999999999E-2</v>
      </c>
      <c r="S429">
        <v>3.0064389999999999</v>
      </c>
      <c r="T429">
        <v>-0.13433689999999901</v>
      </c>
      <c r="U429">
        <v>-0.26651000000000002</v>
      </c>
      <c r="V429">
        <v>-2.6391609999999999E-2</v>
      </c>
      <c r="W429">
        <v>-1.471344E-2</v>
      </c>
      <c r="X429">
        <v>0.99954339999999997</v>
      </c>
      <c r="Y429">
        <v>9.0383720000000001E-2</v>
      </c>
      <c r="Z429">
        <v>-2.3572979999999999E-3</v>
      </c>
      <c r="AA429">
        <v>0.99590420000000002</v>
      </c>
      <c r="AB429">
        <v>37</v>
      </c>
      <c r="AC429">
        <v>24.4771999999999</v>
      </c>
      <c r="AD429">
        <v>-1.1090332219250001</v>
      </c>
      <c r="AE429">
        <v>-2.2012999999999998</v>
      </c>
      <c r="AF429">
        <v>2.2504389784632002</v>
      </c>
      <c r="AG429">
        <v>-1.1090332219250001</v>
      </c>
      <c r="AH429">
        <v>24.422574604654301</v>
      </c>
      <c r="AI429">
        <v>92.589071348293601</v>
      </c>
      <c r="AJ429">
        <v>84.735298524443607</v>
      </c>
      <c r="AK429">
        <v>24.551101413236601</v>
      </c>
      <c r="AL429">
        <v>90.843048429333507</v>
      </c>
      <c r="AM429">
        <v>91.512467211881301</v>
      </c>
      <c r="AN429">
        <v>1.0000000054392899</v>
      </c>
    </row>
    <row r="430" spans="1:40" x14ac:dyDescent="0.25">
      <c r="A430" t="str">
        <f>"20190305135546793"</f>
        <v>20190305135546793</v>
      </c>
      <c r="B430" t="str">
        <f>"1551765346782237"</f>
        <v>1551765346782237</v>
      </c>
      <c r="C430" t="s">
        <v>40</v>
      </c>
      <c r="D430">
        <v>4.1292799999999996</v>
      </c>
      <c r="E430">
        <v>0.56310859999999996</v>
      </c>
      <c r="F430" t="s">
        <v>41</v>
      </c>
      <c r="G430">
        <v>-357.40780000000001</v>
      </c>
      <c r="H430">
        <v>1.048181</v>
      </c>
      <c r="I430">
        <v>367.971</v>
      </c>
      <c r="J430">
        <v>-358.0865</v>
      </c>
      <c r="K430">
        <v>1.1090249999999999</v>
      </c>
      <c r="L430">
        <v>368.10329999999999</v>
      </c>
      <c r="M430">
        <v>0.99998019999999999</v>
      </c>
      <c r="N430">
        <v>-5.6400419999999996E-3</v>
      </c>
      <c r="O430">
        <v>2.8513269999999999E-3</v>
      </c>
      <c r="P430">
        <v>0.99936460000000005</v>
      </c>
      <c r="Q430">
        <v>-2.132732E-2</v>
      </c>
      <c r="R430">
        <v>2.8557079999999999E-2</v>
      </c>
      <c r="S430">
        <v>3.0090029999999999</v>
      </c>
      <c r="T430">
        <v>-0.17374479999999901</v>
      </c>
      <c r="U430">
        <v>-0.37353520000000001</v>
      </c>
      <c r="V430">
        <v>-2.5685329999999999E-2</v>
      </c>
      <c r="W430">
        <v>-1.5725409999999999E-2</v>
      </c>
      <c r="X430">
        <v>0.99954639999999995</v>
      </c>
      <c r="Y430">
        <v>0.12579209999999999</v>
      </c>
      <c r="Z430">
        <v>-4.1191509999999997E-3</v>
      </c>
      <c r="AA430">
        <v>0.99204809999999999</v>
      </c>
      <c r="AB430">
        <v>37</v>
      </c>
      <c r="AC430">
        <v>0.67869999999999198</v>
      </c>
      <c r="AD430">
        <v>-6.0843999999999898E-2</v>
      </c>
      <c r="AE430">
        <v>-0.13229999999998601</v>
      </c>
      <c r="AF430">
        <v>0.133203356603634</v>
      </c>
      <c r="AG430">
        <v>-6.0843999999999898E-2</v>
      </c>
      <c r="AH430">
        <v>0.67310843877862203</v>
      </c>
      <c r="AI430">
        <v>95.067332501971293</v>
      </c>
      <c r="AJ430">
        <v>78.806200975105696</v>
      </c>
      <c r="AK430">
        <v>0.68885419132169701</v>
      </c>
      <c r="AL430">
        <v>90.901036749003595</v>
      </c>
      <c r="AM430">
        <v>91.472004904301897</v>
      </c>
      <c r="AN430">
        <v>1.00000001522491</v>
      </c>
    </row>
    <row r="431" spans="1:40" x14ac:dyDescent="0.25">
      <c r="A431" t="str">
        <f>"20190305135546816"</f>
        <v>20190305135546816</v>
      </c>
      <c r="B431" t="str">
        <f>"1551765346812025"</f>
        <v>1551765346812025</v>
      </c>
      <c r="C431" t="s">
        <v>40</v>
      </c>
      <c r="D431">
        <v>4.101737</v>
      </c>
      <c r="E431">
        <v>0.56589560000000005</v>
      </c>
      <c r="F431" t="s">
        <v>42</v>
      </c>
      <c r="G431">
        <v>-338.9563</v>
      </c>
      <c r="H431" s="1">
        <v>-1.452597E-6</v>
      </c>
      <c r="I431">
        <v>365.43950000000001</v>
      </c>
      <c r="J431">
        <v>-357.70830000000001</v>
      </c>
      <c r="K431">
        <v>1.1090260000000001</v>
      </c>
      <c r="L431">
        <v>368.10489999999999</v>
      </c>
      <c r="M431">
        <v>0.99997820000000004</v>
      </c>
      <c r="N431">
        <v>-5.5991799999999996E-3</v>
      </c>
      <c r="O431">
        <v>3.5107810000000001E-3</v>
      </c>
      <c r="P431">
        <v>0.99934849999999997</v>
      </c>
      <c r="Q431">
        <v>-2.2436999999999999E-2</v>
      </c>
      <c r="R431">
        <v>2.8269880000000001E-2</v>
      </c>
      <c r="S431">
        <v>3.010132</v>
      </c>
      <c r="T431">
        <v>-0.1745042</v>
      </c>
      <c r="U431">
        <v>-0.41912840000000001</v>
      </c>
      <c r="V431">
        <v>-2.4737329999999998E-2</v>
      </c>
      <c r="W431">
        <v>-1.6875609999999999E-2</v>
      </c>
      <c r="X431">
        <v>0.99955150000000004</v>
      </c>
      <c r="Y431">
        <v>0.14112520000000001</v>
      </c>
      <c r="Z431">
        <v>-4.6478689999999998E-3</v>
      </c>
      <c r="AA431">
        <v>0.98998079999999999</v>
      </c>
      <c r="AB431">
        <v>37</v>
      </c>
      <c r="AC431">
        <v>18.751999999999999</v>
      </c>
      <c r="AD431">
        <v>-1.1090274525970001</v>
      </c>
      <c r="AE431">
        <v>-2.6653999999999698</v>
      </c>
      <c r="AF431">
        <v>2.7218868137257801</v>
      </c>
      <c r="AG431">
        <v>-1.1090274525970001</v>
      </c>
      <c r="AH431">
        <v>18.6784876927853</v>
      </c>
      <c r="AI431">
        <v>93.362492618054304</v>
      </c>
      <c r="AJ431">
        <v>81.709040456524605</v>
      </c>
      <c r="AK431">
        <v>18.908318598090101</v>
      </c>
      <c r="AL431">
        <v>90.966947166246101</v>
      </c>
      <c r="AM431">
        <v>91.417691178880602</v>
      </c>
      <c r="AN431">
        <v>0.99999996143032399</v>
      </c>
    </row>
    <row r="432" spans="1:40" x14ac:dyDescent="0.25">
      <c r="A432" t="str">
        <f>"20190305135546839"</f>
        <v>20190305135546839</v>
      </c>
      <c r="B432" t="str">
        <f>"1551765346832522"</f>
        <v>1551765346832522</v>
      </c>
      <c r="C432" t="s">
        <v>40</v>
      </c>
      <c r="D432">
        <v>4.0891929999999999</v>
      </c>
      <c r="E432">
        <v>0.56703859999999995</v>
      </c>
      <c r="F432" t="s">
        <v>42</v>
      </c>
      <c r="G432">
        <v>-338.983</v>
      </c>
      <c r="H432" s="1">
        <v>-1.4665719999999999E-6</v>
      </c>
      <c r="I432">
        <v>365.35289999999998</v>
      </c>
      <c r="J432">
        <v>-357.33170000000001</v>
      </c>
      <c r="K432">
        <v>1.109024</v>
      </c>
      <c r="L432">
        <v>368.10669999999999</v>
      </c>
      <c r="M432">
        <v>0.99997590000000003</v>
      </c>
      <c r="N432">
        <v>-5.5636840000000002E-3</v>
      </c>
      <c r="O432">
        <v>4.1655019999999997E-3</v>
      </c>
      <c r="P432">
        <v>0.99934809999999996</v>
      </c>
      <c r="Q432">
        <v>-2.330113E-2</v>
      </c>
      <c r="R432">
        <v>2.7578249999999999E-2</v>
      </c>
      <c r="S432">
        <v>3.010437</v>
      </c>
      <c r="T432">
        <v>-0.17829600000000001</v>
      </c>
      <c r="U432">
        <v>-0.44241330000000001</v>
      </c>
      <c r="V432">
        <v>-2.338954E-2</v>
      </c>
      <c r="W432">
        <v>-1.7774060000000001E-2</v>
      </c>
      <c r="X432">
        <v>0.99956840000000002</v>
      </c>
      <c r="Y432">
        <v>0.1492318</v>
      </c>
      <c r="Z432">
        <v>-5.0317180000000001E-3</v>
      </c>
      <c r="AA432">
        <v>0.98878940000000004</v>
      </c>
      <c r="AB432">
        <v>37</v>
      </c>
      <c r="AC432">
        <v>18.348700000000001</v>
      </c>
      <c r="AD432">
        <v>-1.1090254665719901</v>
      </c>
      <c r="AE432">
        <v>-2.7538000000000098</v>
      </c>
      <c r="AF432">
        <v>2.8201332925201701</v>
      </c>
      <c r="AG432">
        <v>-1.1090254665719901</v>
      </c>
      <c r="AH432">
        <v>18.271789718381701</v>
      </c>
      <c r="AI432">
        <v>93.432817784842499</v>
      </c>
      <c r="AJ432">
        <v>81.225998816848204</v>
      </c>
      <c r="AK432">
        <v>18.521376535933999</v>
      </c>
      <c r="AL432">
        <v>91.018432264197799</v>
      </c>
      <c r="AM432">
        <v>91.340455956353296</v>
      </c>
      <c r="AN432">
        <v>0.99999998703442705</v>
      </c>
    </row>
    <row r="433" spans="1:40" x14ac:dyDescent="0.25">
      <c r="A433" t="str">
        <f>"20190305135546861"</f>
        <v>20190305135546861</v>
      </c>
      <c r="B433" t="str">
        <f>"1551765346852042"</f>
        <v>1551765346852042</v>
      </c>
      <c r="C433" t="s">
        <v>40</v>
      </c>
      <c r="D433">
        <v>4.0757979999999998</v>
      </c>
      <c r="E433">
        <v>0.56767619999999996</v>
      </c>
      <c r="F433" t="s">
        <v>42</v>
      </c>
      <c r="G433">
        <v>-338.95280000000002</v>
      </c>
      <c r="H433" s="1">
        <v>-1.4810910000000001E-6</v>
      </c>
      <c r="I433">
        <v>365.33690000000001</v>
      </c>
      <c r="J433">
        <v>-356.94310000000002</v>
      </c>
      <c r="K433">
        <v>1.1090230000000001</v>
      </c>
      <c r="L433">
        <v>368.10890000000001</v>
      </c>
      <c r="M433">
        <v>0.99997309999999995</v>
      </c>
      <c r="N433">
        <v>-5.534771E-3</v>
      </c>
      <c r="O433">
        <v>4.8390940000000004E-3</v>
      </c>
      <c r="P433">
        <v>0.99933839999999996</v>
      </c>
      <c r="Q433">
        <v>-2.442892E-2</v>
      </c>
      <c r="R433">
        <v>2.6952400000000001E-2</v>
      </c>
      <c r="S433">
        <v>3.0102540000000002</v>
      </c>
      <c r="T433">
        <v>-0.18164540000000001</v>
      </c>
      <c r="U433">
        <v>-0.45364379999999999</v>
      </c>
      <c r="V433">
        <v>-2.2088320000000002E-2</v>
      </c>
      <c r="W433">
        <v>-1.8929519999999998E-2</v>
      </c>
      <c r="X433">
        <v>0.99957680000000004</v>
      </c>
      <c r="Y433">
        <v>0.15349460000000001</v>
      </c>
      <c r="Z433">
        <v>-5.2920880000000003E-3</v>
      </c>
      <c r="AA433">
        <v>0.98813530000000005</v>
      </c>
      <c r="AB433">
        <v>38</v>
      </c>
      <c r="AC433">
        <v>17.990299999999898</v>
      </c>
      <c r="AD433">
        <v>-1.1090244810909999</v>
      </c>
      <c r="AE433">
        <v>-2.77199999999999</v>
      </c>
      <c r="AF433">
        <v>2.8484519906898198</v>
      </c>
      <c r="AG433">
        <v>-1.1090244810909999</v>
      </c>
      <c r="AH433">
        <v>17.910191457779401</v>
      </c>
      <c r="AI433">
        <v>93.499442271511001</v>
      </c>
      <c r="AJ433">
        <v>80.963314848874205</v>
      </c>
      <c r="AK433">
        <v>18.169165421043299</v>
      </c>
      <c r="AL433">
        <v>91.084646387243893</v>
      </c>
      <c r="AM433">
        <v>91.265897305407293</v>
      </c>
      <c r="AN433">
        <v>0.999999999853046</v>
      </c>
    </row>
    <row r="434" spans="1:40" x14ac:dyDescent="0.25">
      <c r="A434" t="str">
        <f>"20190305135546882"</f>
        <v>20190305135546882</v>
      </c>
      <c r="B434" t="str">
        <f>"1551765346872538"</f>
        <v>1551765346872538</v>
      </c>
      <c r="C434" t="s">
        <v>40</v>
      </c>
      <c r="D434">
        <v>4.0725559999999996</v>
      </c>
      <c r="E434">
        <v>0.56820490000000001</v>
      </c>
      <c r="F434" t="s">
        <v>42</v>
      </c>
      <c r="G434">
        <v>-339.25580000000002</v>
      </c>
      <c r="H434" s="1">
        <v>-1.3605599999999999E-6</v>
      </c>
      <c r="I434">
        <v>365.40230000000003</v>
      </c>
      <c r="J434">
        <v>-356.59399999999999</v>
      </c>
      <c r="K434">
        <v>1.109029</v>
      </c>
      <c r="L434">
        <v>368.11099999999999</v>
      </c>
      <c r="M434">
        <v>0.99997000000000003</v>
      </c>
      <c r="N434">
        <v>-5.5208840000000002E-3</v>
      </c>
      <c r="O434">
        <v>5.4408089999999996E-3</v>
      </c>
      <c r="P434">
        <v>0.99932270000000001</v>
      </c>
      <c r="Q434">
        <v>-2.471427E-2</v>
      </c>
      <c r="R434">
        <v>2.726541E-2</v>
      </c>
      <c r="S434">
        <v>3.0097659999999999</v>
      </c>
      <c r="T434">
        <v>-0.18871760000000001</v>
      </c>
      <c r="U434">
        <v>-0.46054079999999997</v>
      </c>
      <c r="V434">
        <v>-2.1799349999999999E-2</v>
      </c>
      <c r="W434">
        <v>-1.9228789999999999E-2</v>
      </c>
      <c r="X434">
        <v>0.99957739999999995</v>
      </c>
      <c r="Y434">
        <v>0.1562955</v>
      </c>
      <c r="Z434">
        <v>-5.6103940000000003E-3</v>
      </c>
      <c r="AA434">
        <v>0.98769439999999997</v>
      </c>
      <c r="AB434">
        <v>38</v>
      </c>
      <c r="AC434">
        <v>17.338199999999901</v>
      </c>
      <c r="AD434">
        <v>-1.10903036056</v>
      </c>
      <c r="AE434">
        <v>-2.7086999999999599</v>
      </c>
      <c r="AF434">
        <v>2.7918445919271799</v>
      </c>
      <c r="AG434">
        <v>-1.10903036056</v>
      </c>
      <c r="AH434">
        <v>17.254292251941699</v>
      </c>
      <c r="AI434">
        <v>93.6305724403922</v>
      </c>
      <c r="AJ434">
        <v>80.8088693602501</v>
      </c>
      <c r="AK434">
        <v>17.5138501101709</v>
      </c>
      <c r="AL434">
        <v>91.101796451716794</v>
      </c>
      <c r="AM434">
        <v>91.249340763538299</v>
      </c>
      <c r="AN434">
        <v>0.99999996830802196</v>
      </c>
    </row>
    <row r="435" spans="1:40" x14ac:dyDescent="0.25">
      <c r="A435" t="str">
        <f>"20190305135546904"</f>
        <v>20190305135546904</v>
      </c>
      <c r="B435" t="str">
        <f>"1551765346891589"</f>
        <v>1551765346891589</v>
      </c>
      <c r="C435" t="s">
        <v>40</v>
      </c>
      <c r="D435">
        <v>4.082884</v>
      </c>
      <c r="E435">
        <v>0.56847209999999904</v>
      </c>
      <c r="F435" t="s">
        <v>42</v>
      </c>
      <c r="G435">
        <v>-339.26769999999999</v>
      </c>
      <c r="H435" s="1">
        <v>-1.3466350000000001E-6</v>
      </c>
      <c r="I435">
        <v>365.43950000000001</v>
      </c>
      <c r="J435">
        <v>-356.22379999999998</v>
      </c>
      <c r="K435">
        <v>1.1090279999999999</v>
      </c>
      <c r="L435">
        <v>368.11349999999999</v>
      </c>
      <c r="M435">
        <v>0.99996649999999998</v>
      </c>
      <c r="N435">
        <v>-5.5264809999999998E-3</v>
      </c>
      <c r="O435">
        <v>6.068688E-3</v>
      </c>
      <c r="P435">
        <v>0.9992875</v>
      </c>
      <c r="Q435">
        <v>-2.5040050000000001E-2</v>
      </c>
      <c r="R435">
        <v>2.8249320000000001E-2</v>
      </c>
      <c r="S435">
        <v>3.0099179999999999</v>
      </c>
      <c r="T435">
        <v>-0.19265930000000001</v>
      </c>
      <c r="U435">
        <v>-0.46408080000000002</v>
      </c>
      <c r="V435">
        <v>-2.2154790000000001E-2</v>
      </c>
      <c r="W435">
        <v>-1.9549799999999999E-2</v>
      </c>
      <c r="X435">
        <v>0.99956339999999999</v>
      </c>
      <c r="Y435">
        <v>0.15802439999999901</v>
      </c>
      <c r="Z435">
        <v>-5.8148820000000004E-3</v>
      </c>
      <c r="AA435">
        <v>0.98741809999999997</v>
      </c>
      <c r="AB435">
        <v>38</v>
      </c>
      <c r="AC435">
        <v>16.9560999999999</v>
      </c>
      <c r="AD435">
        <v>-1.1090293466349901</v>
      </c>
      <c r="AE435">
        <v>-2.6739999999999702</v>
      </c>
      <c r="AF435">
        <v>2.76531083681067</v>
      </c>
      <c r="AG435">
        <v>-1.1090293466349901</v>
      </c>
      <c r="AH435">
        <v>16.8691459053383</v>
      </c>
      <c r="AI435">
        <v>93.711984759810605</v>
      </c>
      <c r="AJ435">
        <v>80.690466388841003</v>
      </c>
      <c r="AK435">
        <v>17.130235657791498</v>
      </c>
      <c r="AL435">
        <v>91.120192382101195</v>
      </c>
      <c r="AM435">
        <v>91.269722519031703</v>
      </c>
      <c r="AN435">
        <v>1.0000000100097699</v>
      </c>
    </row>
    <row r="436" spans="1:40" x14ac:dyDescent="0.25">
      <c r="A436" t="str">
        <f>"20190305135546927"</f>
        <v>20190305135546927</v>
      </c>
      <c r="B436" t="str">
        <f>"1551765346921845"</f>
        <v>1551765346921845</v>
      </c>
      <c r="C436" t="s">
        <v>40</v>
      </c>
      <c r="D436">
        <v>4.1118319999999997</v>
      </c>
      <c r="E436">
        <v>0.56881440000000005</v>
      </c>
      <c r="F436" t="s">
        <v>42</v>
      </c>
      <c r="G436">
        <v>-339.13720000000001</v>
      </c>
      <c r="H436" s="1">
        <v>-1.378958E-6</v>
      </c>
      <c r="I436">
        <v>365.48489999999998</v>
      </c>
      <c r="J436">
        <v>-355.82229999999998</v>
      </c>
      <c r="K436">
        <v>1.109035</v>
      </c>
      <c r="L436">
        <v>368.11649999999997</v>
      </c>
      <c r="M436">
        <v>0.99996200000000002</v>
      </c>
      <c r="N436">
        <v>-5.5603839999999998E-3</v>
      </c>
      <c r="O436">
        <v>6.7313479999999998E-3</v>
      </c>
      <c r="P436">
        <v>0.99922029999999995</v>
      </c>
      <c r="Q436">
        <v>-2.5586250000000001E-2</v>
      </c>
      <c r="R436">
        <v>3.0072649999999999E-2</v>
      </c>
      <c r="S436">
        <v>3.010345</v>
      </c>
      <c r="T436">
        <v>-0.19539000000000001</v>
      </c>
      <c r="U436">
        <v>-0.46310420000000002</v>
      </c>
      <c r="V436">
        <v>-2.3315599999999999E-2</v>
      </c>
      <c r="W436">
        <v>-2.0063959999999999E-2</v>
      </c>
      <c r="X436">
        <v>0.99952680000000005</v>
      </c>
      <c r="Y436">
        <v>0.1583331</v>
      </c>
      <c r="Z436">
        <v>-5.9431249999999996E-3</v>
      </c>
      <c r="AA436">
        <v>0.98736789999999997</v>
      </c>
      <c r="AB436">
        <v>38</v>
      </c>
      <c r="AC436">
        <v>16.685099999999899</v>
      </c>
      <c r="AD436">
        <v>-1.109036378958</v>
      </c>
      <c r="AE436">
        <v>-2.6315999999999899</v>
      </c>
      <c r="AF436">
        <v>2.73207774630488</v>
      </c>
      <c r="AG436">
        <v>-1.109036378958</v>
      </c>
      <c r="AH436">
        <v>16.595466970548099</v>
      </c>
      <c r="AI436">
        <v>93.772626534877304</v>
      </c>
      <c r="AJ436">
        <v>80.651367933204398</v>
      </c>
      <c r="AK436">
        <v>16.8553770195821</v>
      </c>
      <c r="AL436">
        <v>91.149657369864698</v>
      </c>
      <c r="AM436">
        <v>91.336275582128806</v>
      </c>
      <c r="AN436">
        <v>1.00000000180624</v>
      </c>
    </row>
    <row r="437" spans="1:40" x14ac:dyDescent="0.25">
      <c r="A437" t="str">
        <f>"20190305135546951"</f>
        <v>20190305135546951</v>
      </c>
      <c r="B437" t="str">
        <f>"1551765346942341"</f>
        <v>1551765346942341</v>
      </c>
      <c r="C437" t="s">
        <v>40</v>
      </c>
      <c r="D437">
        <v>4.0526799999999996</v>
      </c>
      <c r="E437">
        <v>0.56911859999999903</v>
      </c>
      <c r="F437" t="s">
        <v>42</v>
      </c>
      <c r="G437">
        <v>-339.27620000000002</v>
      </c>
      <c r="H437" s="1">
        <v>-1.3050110000000001E-6</v>
      </c>
      <c r="I437">
        <v>365.58499999999998</v>
      </c>
      <c r="J437">
        <v>-355.43020000000001</v>
      </c>
      <c r="K437">
        <v>1.109032</v>
      </c>
      <c r="L437">
        <v>368.11970000000002</v>
      </c>
      <c r="M437">
        <v>0.99995719999999999</v>
      </c>
      <c r="N437">
        <v>-5.6243719999999999E-3</v>
      </c>
      <c r="O437">
        <v>7.3554659999999997E-3</v>
      </c>
      <c r="P437">
        <v>0.99913540000000001</v>
      </c>
      <c r="Q437">
        <v>-2.6246140000000001E-2</v>
      </c>
      <c r="R437">
        <v>3.2251589999999997E-2</v>
      </c>
      <c r="S437">
        <v>3.0110779999999999</v>
      </c>
      <c r="T437">
        <v>-0.20182310000000001</v>
      </c>
      <c r="U437">
        <v>-0.46066279999999998</v>
      </c>
      <c r="V437">
        <v>-2.4870929999999999E-2</v>
      </c>
      <c r="W437">
        <v>-2.0661990000000002E-2</v>
      </c>
      <c r="X437">
        <v>0.99947710000000001</v>
      </c>
      <c r="Y437">
        <v>0.15810669999999999</v>
      </c>
      <c r="Z437">
        <v>-6.1585819999999897E-3</v>
      </c>
      <c r="AA437">
        <v>0.98740289999999997</v>
      </c>
      <c r="AB437">
        <v>38</v>
      </c>
      <c r="AC437">
        <v>16.1539999999999</v>
      </c>
      <c r="AD437">
        <v>-1.1090333050109999</v>
      </c>
      <c r="AE437">
        <v>-2.5347000000000399</v>
      </c>
      <c r="AF437">
        <v>2.6413032729600201</v>
      </c>
      <c r="AG437">
        <v>-1.1090333050109999</v>
      </c>
      <c r="AH437">
        <v>16.061036627638</v>
      </c>
      <c r="AI437">
        <v>93.897877236917495</v>
      </c>
      <c r="AJ437">
        <v>80.6610665444651</v>
      </c>
      <c r="AK437">
        <v>16.314513029989602</v>
      </c>
      <c r="AL437">
        <v>91.183929100594398</v>
      </c>
      <c r="AM437">
        <v>91.425450674073502</v>
      </c>
      <c r="AN437">
        <v>0.99999997720711697</v>
      </c>
    </row>
    <row r="438" spans="1:40" x14ac:dyDescent="0.25">
      <c r="A438" t="str">
        <f>"20190305135546971"</f>
        <v>20190305135546971</v>
      </c>
      <c r="B438" t="str">
        <f>"1551765346961861"</f>
        <v>1551765346961861</v>
      </c>
      <c r="C438" t="s">
        <v>40</v>
      </c>
      <c r="D438">
        <v>4.0799940000000001</v>
      </c>
      <c r="E438">
        <v>0.56938650000000002</v>
      </c>
      <c r="F438" t="s">
        <v>42</v>
      </c>
      <c r="G438">
        <v>-339.06799999999998</v>
      </c>
      <c r="H438" s="1">
        <v>-1.361368E-6</v>
      </c>
      <c r="I438">
        <v>365.63959999999997</v>
      </c>
      <c r="J438">
        <v>-355.06479999999999</v>
      </c>
      <c r="K438">
        <v>1.1090279999999999</v>
      </c>
      <c r="L438">
        <v>368.12279999999998</v>
      </c>
      <c r="M438">
        <v>0.99995259999999997</v>
      </c>
      <c r="N438">
        <v>-5.7020559999999996E-3</v>
      </c>
      <c r="O438">
        <v>7.9133109999999993E-3</v>
      </c>
      <c r="P438">
        <v>0.99905480000000002</v>
      </c>
      <c r="Q438">
        <v>-2.6608130000000001E-2</v>
      </c>
      <c r="R438">
        <v>3.4375870000000003E-2</v>
      </c>
      <c r="S438">
        <v>3.0119929999999999</v>
      </c>
      <c r="T438">
        <v>-0.20415130000000001</v>
      </c>
      <c r="U438">
        <v>-0.45651249999999999</v>
      </c>
      <c r="V438">
        <v>-2.6438710000000001E-2</v>
      </c>
      <c r="W438">
        <v>-2.0948140000000001E-2</v>
      </c>
      <c r="X438">
        <v>0.99943090000000001</v>
      </c>
      <c r="Y438">
        <v>0.15727479999999999</v>
      </c>
      <c r="Z438">
        <v>-6.2332330000000003E-3</v>
      </c>
      <c r="AA438">
        <v>0.98753519999999995</v>
      </c>
      <c r="AB438">
        <v>38</v>
      </c>
      <c r="AC438">
        <v>15.996799999999901</v>
      </c>
      <c r="AD438">
        <v>-1.109029361368</v>
      </c>
      <c r="AE438">
        <v>-2.4832000000000098</v>
      </c>
      <c r="AF438">
        <v>2.5975209751309301</v>
      </c>
      <c r="AG438">
        <v>-1.109029361368</v>
      </c>
      <c r="AH438">
        <v>15.902015432651</v>
      </c>
      <c r="AI438">
        <v>93.937414872681202</v>
      </c>
      <c r="AJ438">
        <v>80.722928724845701</v>
      </c>
      <c r="AK438">
        <v>16.1508871632766</v>
      </c>
      <c r="AL438">
        <v>91.200327838169002</v>
      </c>
      <c r="AM438">
        <v>91.515335665218899</v>
      </c>
      <c r="AN438">
        <v>0.99999997691536602</v>
      </c>
    </row>
    <row r="439" spans="1:40" x14ac:dyDescent="0.25">
      <c r="A439" t="str">
        <f>"20190305135546985"</f>
        <v>20190305135546985</v>
      </c>
      <c r="B439" t="str">
        <f>"1551765346982357"</f>
        <v>1551765346982357</v>
      </c>
      <c r="C439" t="s">
        <v>40</v>
      </c>
      <c r="D439">
        <v>4.0685640000000003</v>
      </c>
      <c r="E439">
        <v>0.5697584</v>
      </c>
      <c r="F439" t="s">
        <v>42</v>
      </c>
      <c r="G439">
        <v>-338.92579999999998</v>
      </c>
      <c r="H439" s="1">
        <v>-1.393404E-6</v>
      </c>
      <c r="I439">
        <v>365.70100000000002</v>
      </c>
      <c r="J439">
        <v>-354.8338</v>
      </c>
      <c r="K439">
        <v>1.1090310000000001</v>
      </c>
      <c r="L439">
        <v>368.12479999999999</v>
      </c>
      <c r="M439">
        <v>0.99994950000000005</v>
      </c>
      <c r="N439">
        <v>-5.7545519999999996E-3</v>
      </c>
      <c r="O439">
        <v>8.2553419999999902E-3</v>
      </c>
      <c r="P439">
        <v>0.99901099999999998</v>
      </c>
      <c r="Q439">
        <v>-2.7013410000000002E-2</v>
      </c>
      <c r="R439">
        <v>3.5320160000000003E-2</v>
      </c>
      <c r="S439">
        <v>3.0128780000000002</v>
      </c>
      <c r="T439">
        <v>-0.20703550000000001</v>
      </c>
      <c r="U439">
        <v>-0.45208739999999997</v>
      </c>
      <c r="V439">
        <v>-2.7040890000000001E-2</v>
      </c>
      <c r="W439">
        <v>-2.130145E-2</v>
      </c>
      <c r="X439">
        <v>0.99940739999999995</v>
      </c>
      <c r="Y439">
        <v>0.15614249999999999</v>
      </c>
      <c r="Z439">
        <v>-6.2974679999999996E-3</v>
      </c>
      <c r="AA439">
        <v>0.98771450000000005</v>
      </c>
      <c r="AB439">
        <v>38</v>
      </c>
      <c r="AC439">
        <v>15.907999999999999</v>
      </c>
      <c r="AD439">
        <v>-1.1090323934039901</v>
      </c>
      <c r="AE439">
        <v>-2.4238000000000199</v>
      </c>
      <c r="AF439">
        <v>2.54296653573553</v>
      </c>
      <c r="AG439">
        <v>-1.1090323934039901</v>
      </c>
      <c r="AH439">
        <v>15.812340190398499</v>
      </c>
      <c r="AI439">
        <v>93.961258339237702</v>
      </c>
      <c r="AJ439">
        <v>80.863827353190302</v>
      </c>
      <c r="AK439">
        <v>16.053869749950699</v>
      </c>
      <c r="AL439">
        <v>91.220575431984699</v>
      </c>
      <c r="AM439">
        <v>91.549869413794596</v>
      </c>
      <c r="AN439">
        <v>1.00000005633942</v>
      </c>
    </row>
    <row r="440" spans="1:40" x14ac:dyDescent="0.25">
      <c r="A440" t="str">
        <f>"20190305135547005"</f>
        <v>20190305135547005</v>
      </c>
      <c r="B440" t="str">
        <f>"1551765347002384"</f>
        <v>1551765347002384</v>
      </c>
      <c r="C440" t="s">
        <v>40</v>
      </c>
      <c r="D440">
        <v>4.0684050000000003</v>
      </c>
      <c r="E440">
        <v>0.57016180000000005</v>
      </c>
      <c r="F440" t="s">
        <v>42</v>
      </c>
      <c r="G440">
        <v>-338.8252</v>
      </c>
      <c r="H440" s="1">
        <v>-1.42241E-6</v>
      </c>
      <c r="I440">
        <v>365.72070000000002</v>
      </c>
      <c r="J440">
        <v>-354.49610000000001</v>
      </c>
      <c r="K440">
        <v>1.109027</v>
      </c>
      <c r="L440">
        <v>368.12799999999999</v>
      </c>
      <c r="M440">
        <v>0.99994490000000003</v>
      </c>
      <c r="N440">
        <v>-5.8313109999999996E-3</v>
      </c>
      <c r="O440">
        <v>8.7420710000000006E-3</v>
      </c>
      <c r="P440">
        <v>0.99892000000000003</v>
      </c>
      <c r="Q440">
        <v>-2.787767E-2</v>
      </c>
      <c r="R440">
        <v>3.7176309999999997E-2</v>
      </c>
      <c r="S440">
        <v>3.0133359999999998</v>
      </c>
      <c r="T440">
        <v>-0.20875379999999999</v>
      </c>
      <c r="U440">
        <v>-0.45251459999999999</v>
      </c>
      <c r="V440">
        <v>-2.8410950000000001E-2</v>
      </c>
      <c r="W440">
        <v>-2.209042E-2</v>
      </c>
      <c r="X440">
        <v>0.99935220000000002</v>
      </c>
      <c r="Y440">
        <v>0.1567289</v>
      </c>
      <c r="Z440">
        <v>-6.4033010000000001E-3</v>
      </c>
      <c r="AA440">
        <v>0.98762090000000002</v>
      </c>
      <c r="AB440">
        <v>38</v>
      </c>
      <c r="AC440">
        <v>15.6709</v>
      </c>
      <c r="AD440">
        <v>-1.10902842241</v>
      </c>
      <c r="AE440">
        <v>-2.4073000000000202</v>
      </c>
      <c r="AF440">
        <v>2.5318184565856301</v>
      </c>
      <c r="AG440">
        <v>-1.10902842241</v>
      </c>
      <c r="AH440">
        <v>15.5730582836506</v>
      </c>
      <c r="AI440">
        <v>94.020802374724397</v>
      </c>
      <c r="AJ440">
        <v>80.765824997798006</v>
      </c>
      <c r="AK440">
        <v>15.8164532384728</v>
      </c>
      <c r="AL440">
        <v>91.265790803433504</v>
      </c>
      <c r="AM440">
        <v>91.628444093181002</v>
      </c>
      <c r="AN440">
        <v>0.99999999419025898</v>
      </c>
    </row>
    <row r="441" spans="1:40" x14ac:dyDescent="0.25">
      <c r="A441" t="str">
        <f>"20190305135547027"</f>
        <v>20190305135547027</v>
      </c>
      <c r="B441" t="str">
        <f>"1551765347021905"</f>
        <v>1551765347021905</v>
      </c>
      <c r="C441" t="s">
        <v>40</v>
      </c>
      <c r="D441">
        <v>4.0392460000000003</v>
      </c>
      <c r="E441">
        <v>0.57045389999999996</v>
      </c>
      <c r="F441" t="s">
        <v>42</v>
      </c>
      <c r="G441">
        <v>-338.71379999999999</v>
      </c>
      <c r="H441" s="1">
        <v>-1.44706E-6</v>
      </c>
      <c r="I441">
        <v>365.77050000000003</v>
      </c>
      <c r="J441">
        <v>-354.10509999999999</v>
      </c>
      <c r="K441">
        <v>1.10902099999999</v>
      </c>
      <c r="L441">
        <v>368.13189999999997</v>
      </c>
      <c r="M441">
        <v>0.99993949999999998</v>
      </c>
      <c r="N441">
        <v>-5.9185130000000002E-3</v>
      </c>
      <c r="O441">
        <v>9.2816789999999993E-3</v>
      </c>
      <c r="P441">
        <v>0.99886399999999997</v>
      </c>
      <c r="Q441">
        <v>-2.812972E-2</v>
      </c>
      <c r="R441">
        <v>3.8467630000000003E-2</v>
      </c>
      <c r="S441">
        <v>3.0140989999999999</v>
      </c>
      <c r="T441">
        <v>-0.2118012</v>
      </c>
      <c r="U441">
        <v>-0.45022580000000001</v>
      </c>
      <c r="V441">
        <v>-2.9164700000000002E-2</v>
      </c>
      <c r="W441">
        <v>-2.2255400000000002E-2</v>
      </c>
      <c r="X441">
        <v>0.99932679999999996</v>
      </c>
      <c r="Y441">
        <v>0.15647910000000001</v>
      </c>
      <c r="Z441">
        <v>-6.5205609999999898E-3</v>
      </c>
      <c r="AA441">
        <v>0.98765979999999998</v>
      </c>
      <c r="AB441">
        <v>38</v>
      </c>
      <c r="AC441">
        <v>15.391299999999999</v>
      </c>
      <c r="AD441">
        <v>-1.1090224470600001</v>
      </c>
      <c r="AE441">
        <v>-2.3613999999999402</v>
      </c>
      <c r="AF441">
        <v>2.4915195348691399</v>
      </c>
      <c r="AG441">
        <v>-1.1090224470600001</v>
      </c>
      <c r="AH441">
        <v>15.2911538256025</v>
      </c>
      <c r="AI441">
        <v>94.094423095810498</v>
      </c>
      <c r="AJ441">
        <v>80.745630809752896</v>
      </c>
      <c r="AK441">
        <v>15.5324494429872</v>
      </c>
      <c r="AL441">
        <v>91.275245819264697</v>
      </c>
      <c r="AM441">
        <v>91.671665412739401</v>
      </c>
      <c r="AN441">
        <v>0.99999996787674394</v>
      </c>
    </row>
    <row r="442" spans="1:40" x14ac:dyDescent="0.25">
      <c r="A442" t="str">
        <f>"20190305135547051"</f>
        <v>20190305135547051</v>
      </c>
      <c r="B442" t="str">
        <f>"1551765347042400"</f>
        <v>1551765347042400</v>
      </c>
      <c r="C442" t="s">
        <v>40</v>
      </c>
      <c r="D442">
        <v>4.0464549999999999</v>
      </c>
      <c r="E442">
        <v>0.57079789999999997</v>
      </c>
      <c r="F442" t="s">
        <v>42</v>
      </c>
      <c r="G442">
        <v>-338.51569999999998</v>
      </c>
      <c r="H442" s="1">
        <v>-1.502707E-6</v>
      </c>
      <c r="I442">
        <v>365.81479999999999</v>
      </c>
      <c r="J442">
        <v>-353.70089999999999</v>
      </c>
      <c r="K442">
        <v>1.109008</v>
      </c>
      <c r="L442">
        <v>368.13600000000002</v>
      </c>
      <c r="M442">
        <v>0.99993379999999998</v>
      </c>
      <c r="N442">
        <v>-6.0043569999999897E-3</v>
      </c>
      <c r="O442">
        <v>9.8107200000000002E-3</v>
      </c>
      <c r="P442">
        <v>0.99884269999999997</v>
      </c>
      <c r="Q442">
        <v>-2.8085760000000001E-2</v>
      </c>
      <c r="R442">
        <v>3.9044889999999999E-2</v>
      </c>
      <c r="S442">
        <v>3.014618</v>
      </c>
      <c r="T442">
        <v>-0.21445639999999999</v>
      </c>
      <c r="U442">
        <v>-0.44805909999999899</v>
      </c>
      <c r="V442">
        <v>-2.9214339999999998E-2</v>
      </c>
      <c r="W442">
        <v>-2.212443E-2</v>
      </c>
      <c r="X442">
        <v>0.99932829999999995</v>
      </c>
      <c r="Y442">
        <v>0.15627099999999999</v>
      </c>
      <c r="Z442">
        <v>-6.6284480000000003E-3</v>
      </c>
      <c r="AA442">
        <v>0.98769200000000001</v>
      </c>
      <c r="AB442">
        <v>38</v>
      </c>
      <c r="AC442">
        <v>15.1852</v>
      </c>
      <c r="AD442">
        <v>-1.1090095027069999</v>
      </c>
      <c r="AE442">
        <v>-2.32119999999997</v>
      </c>
      <c r="AF442">
        <v>2.4572616488564698</v>
      </c>
      <c r="AG442">
        <v>-1.1090095027069999</v>
      </c>
      <c r="AH442">
        <v>15.0830841418869</v>
      </c>
      <c r="AI442">
        <v>94.150676380332499</v>
      </c>
      <c r="AJ442">
        <v>80.746945573518204</v>
      </c>
      <c r="AK442">
        <v>15.322123355438601</v>
      </c>
      <c r="AL442">
        <v>91.267739889698206</v>
      </c>
      <c r="AM442">
        <v>91.674506553055906</v>
      </c>
      <c r="AN442">
        <v>1.00000000962267</v>
      </c>
    </row>
    <row r="443" spans="1:40" x14ac:dyDescent="0.25">
      <c r="A443" t="str">
        <f>"20190305135547072"</f>
        <v>20190305135547072</v>
      </c>
      <c r="B443" t="str">
        <f>"1551765347061924"</f>
        <v>1551765347061924</v>
      </c>
      <c r="C443" t="s">
        <v>40</v>
      </c>
      <c r="D443">
        <v>4.0079209999999996</v>
      </c>
      <c r="E443">
        <v>0.5712547</v>
      </c>
      <c r="F443" t="s">
        <v>42</v>
      </c>
      <c r="G443">
        <v>-338.18889999999999</v>
      </c>
      <c r="H443" s="1">
        <v>-1.611715E-6</v>
      </c>
      <c r="I443">
        <v>365.82299999999998</v>
      </c>
      <c r="J443">
        <v>-353.3415</v>
      </c>
      <c r="K443">
        <v>1.1089910000000001</v>
      </c>
      <c r="L443">
        <v>368.13990000000001</v>
      </c>
      <c r="M443">
        <v>0.99992910000000002</v>
      </c>
      <c r="N443">
        <v>-6.0760629999999996E-3</v>
      </c>
      <c r="O443">
        <v>1.0254910000000001E-2</v>
      </c>
      <c r="P443">
        <v>0.99884989999999996</v>
      </c>
      <c r="Q443">
        <v>-2.7713040000000001E-2</v>
      </c>
      <c r="R443">
        <v>3.9131689999999997E-2</v>
      </c>
      <c r="S443">
        <v>3.015015</v>
      </c>
      <c r="T443">
        <v>-0.21555299999999999</v>
      </c>
      <c r="U443">
        <v>-0.44955440000000002</v>
      </c>
      <c r="V443">
        <v>-2.8859139999999998E-2</v>
      </c>
      <c r="W443">
        <v>-2.1678200000000002E-2</v>
      </c>
      <c r="X443">
        <v>0.99934840000000003</v>
      </c>
      <c r="Y443">
        <v>0.1571621</v>
      </c>
      <c r="Z443">
        <v>-6.7273169999999896E-3</v>
      </c>
      <c r="AA443">
        <v>0.98754989999999998</v>
      </c>
      <c r="AB443">
        <v>39</v>
      </c>
      <c r="AC443">
        <v>15.1526</v>
      </c>
      <c r="AD443">
        <v>-1.108992611715</v>
      </c>
      <c r="AE443">
        <v>-2.3168999999999702</v>
      </c>
      <c r="AF443">
        <v>2.45929723101343</v>
      </c>
      <c r="AG443">
        <v>-1.108992611715</v>
      </c>
      <c r="AH443">
        <v>15.049273014416</v>
      </c>
      <c r="AI443">
        <v>94.159575599517098</v>
      </c>
      <c r="AJ443">
        <v>80.718969071611596</v>
      </c>
      <c r="AK443">
        <v>15.2891669408683</v>
      </c>
      <c r="AL443">
        <v>91.242166660194101</v>
      </c>
      <c r="AM443">
        <v>91.654125340431904</v>
      </c>
      <c r="AN443">
        <v>1.0000000094496599</v>
      </c>
    </row>
    <row r="444" spans="1:40" x14ac:dyDescent="0.25">
      <c r="A444" t="str">
        <f>"20190305135547105"</f>
        <v>20190305135547105</v>
      </c>
      <c r="B444" t="str">
        <f>"1551765347092176"</f>
        <v>1551765347092176</v>
      </c>
      <c r="C444" t="s">
        <v>40</v>
      </c>
      <c r="D444">
        <v>4.0202400000000003</v>
      </c>
      <c r="E444">
        <v>0.57185569999999997</v>
      </c>
      <c r="F444" t="s">
        <v>42</v>
      </c>
      <c r="G444">
        <v>-337.74810000000002</v>
      </c>
      <c r="H444" s="1">
        <v>-1.768197E-6</v>
      </c>
      <c r="I444">
        <v>365.7987</v>
      </c>
      <c r="J444">
        <v>-352.76389999999998</v>
      </c>
      <c r="K444">
        <v>1.1089610000000001</v>
      </c>
      <c r="L444">
        <v>368.1465</v>
      </c>
      <c r="M444">
        <v>0.99992119999999995</v>
      </c>
      <c r="N444">
        <v>-6.1818069999999897E-3</v>
      </c>
      <c r="O444">
        <v>1.092692E-2</v>
      </c>
      <c r="P444">
        <v>0.99886490000000006</v>
      </c>
      <c r="Q444">
        <v>-2.7498370000000001E-2</v>
      </c>
      <c r="R444">
        <v>3.8897000000000001E-2</v>
      </c>
      <c r="S444">
        <v>3.015228</v>
      </c>
      <c r="T444">
        <v>-0.21443989999999999</v>
      </c>
      <c r="U444">
        <v>-0.45269779999999998</v>
      </c>
      <c r="V444">
        <v>-2.7954400000000001E-2</v>
      </c>
      <c r="W444">
        <v>-2.1354459999999999E-2</v>
      </c>
      <c r="X444">
        <v>0.99938110000000002</v>
      </c>
      <c r="Y444">
        <v>0.1588205</v>
      </c>
      <c r="Z444">
        <v>-6.8083170000000004E-3</v>
      </c>
      <c r="AA444">
        <v>0.98728400000000005</v>
      </c>
      <c r="AB444">
        <v>39</v>
      </c>
      <c r="AC444">
        <v>15.015799999999899</v>
      </c>
      <c r="AD444">
        <v>-1.108962768197</v>
      </c>
      <c r="AE444">
        <v>-2.3477999999999999</v>
      </c>
      <c r="AF444">
        <v>2.4984374383508499</v>
      </c>
      <c r="AG444">
        <v>-1.108962768197</v>
      </c>
      <c r="AH444">
        <v>14.909866942847399</v>
      </c>
      <c r="AI444">
        <v>94.195418767380303</v>
      </c>
      <c r="AJ444">
        <v>80.487360346908602</v>
      </c>
      <c r="AK444">
        <v>15.158367996193199</v>
      </c>
      <c r="AL444">
        <v>91.2236134138479</v>
      </c>
      <c r="AM444">
        <v>91.602243238948802</v>
      </c>
      <c r="AN444">
        <v>1.00000002223923</v>
      </c>
    </row>
    <row r="445" spans="1:40" x14ac:dyDescent="0.25">
      <c r="A445" t="str">
        <f>"20190305135547129"</f>
        <v>20190305135547129</v>
      </c>
      <c r="B445" t="str">
        <f>"1551765347122433"</f>
        <v>1551765347122433</v>
      </c>
      <c r="C445" t="s">
        <v>40</v>
      </c>
      <c r="D445">
        <v>3.9450449999999999</v>
      </c>
      <c r="E445">
        <v>0.57246889999999995</v>
      </c>
      <c r="F445" t="s">
        <v>42</v>
      </c>
      <c r="G445">
        <v>-337.00240000000002</v>
      </c>
      <c r="H445" s="1">
        <v>-2.0350520000000002E-6</v>
      </c>
      <c r="I445">
        <v>365.74950000000001</v>
      </c>
      <c r="J445">
        <v>-352.3503</v>
      </c>
      <c r="K445">
        <v>1.108938</v>
      </c>
      <c r="L445">
        <v>368.15140000000002</v>
      </c>
      <c r="M445">
        <v>0.99991580000000002</v>
      </c>
      <c r="N445">
        <v>-6.250884E-3</v>
      </c>
      <c r="O445">
        <v>1.1377760000000001E-2</v>
      </c>
      <c r="P445">
        <v>0.99886889999999995</v>
      </c>
      <c r="Q445">
        <v>-2.7428370000000001E-2</v>
      </c>
      <c r="R445">
        <v>3.8840239999999998E-2</v>
      </c>
      <c r="S445">
        <v>3.0153810000000001</v>
      </c>
      <c r="T445">
        <v>-0.2121575</v>
      </c>
      <c r="U445">
        <v>-0.4585571</v>
      </c>
      <c r="V445">
        <v>-2.7447909999999999E-2</v>
      </c>
      <c r="W445">
        <v>-2.1213249999999999E-2</v>
      </c>
      <c r="X445">
        <v>0.99939809999999996</v>
      </c>
      <c r="Y445">
        <v>0.16113549999999999</v>
      </c>
      <c r="Z445">
        <v>-6.8610640000000001E-3</v>
      </c>
      <c r="AA445">
        <v>0.98690840000000002</v>
      </c>
      <c r="AB445">
        <v>39</v>
      </c>
      <c r="AC445">
        <v>15.3478999999999</v>
      </c>
      <c r="AD445">
        <v>-1.108940035052</v>
      </c>
      <c r="AE445">
        <v>-2.4019000000000101</v>
      </c>
      <c r="AF445">
        <v>2.5633105999862602</v>
      </c>
      <c r="AG445">
        <v>-1.108940035052</v>
      </c>
      <c r="AH445">
        <v>15.241908456841101</v>
      </c>
      <c r="AI445">
        <v>94.103849948670501</v>
      </c>
      <c r="AJ445">
        <v>80.453603316067301</v>
      </c>
      <c r="AK445">
        <v>15.4956794830065</v>
      </c>
      <c r="AL445">
        <v>91.215520900010802</v>
      </c>
      <c r="AM445">
        <v>91.573201073912898</v>
      </c>
      <c r="AN445">
        <v>0.99999997601127</v>
      </c>
    </row>
    <row r="446" spans="1:40" x14ac:dyDescent="0.25">
      <c r="A446" t="str">
        <f>"20190305135547151"</f>
        <v>20190305135547151</v>
      </c>
      <c r="B446" t="str">
        <f>"1551765347141951"</f>
        <v>1551765347141951</v>
      </c>
      <c r="C446" t="s">
        <v>40</v>
      </c>
      <c r="D446">
        <v>3.9360680000000001</v>
      </c>
      <c r="E446">
        <v>0.57293349999999998</v>
      </c>
      <c r="F446" t="s">
        <v>42</v>
      </c>
      <c r="G446">
        <v>-336.63499999999999</v>
      </c>
      <c r="H446" s="1">
        <v>-2.1638790000000002E-6</v>
      </c>
      <c r="I446">
        <v>365.73520000000002</v>
      </c>
      <c r="J446">
        <v>-351.94990000000001</v>
      </c>
      <c r="K446">
        <v>1.1089089999999999</v>
      </c>
      <c r="L446">
        <v>368.15629999999999</v>
      </c>
      <c r="M446">
        <v>0.99991070000000004</v>
      </c>
      <c r="N446">
        <v>-6.3082290000000003E-3</v>
      </c>
      <c r="O446">
        <v>1.1784070000000001E-2</v>
      </c>
      <c r="P446">
        <v>0.99887669999999995</v>
      </c>
      <c r="Q446">
        <v>-2.7468639999999999E-2</v>
      </c>
      <c r="R446">
        <v>3.860835E-2</v>
      </c>
      <c r="S446">
        <v>3.0156559999999999</v>
      </c>
      <c r="T446">
        <v>-0.21279619999999999</v>
      </c>
      <c r="U446">
        <v>-0.46362300000000001</v>
      </c>
      <c r="V446">
        <v>-2.6811729999999999E-2</v>
      </c>
      <c r="W446">
        <v>-2.1193819999999999E-2</v>
      </c>
      <c r="X446">
        <v>0.99941579999999997</v>
      </c>
      <c r="Y446">
        <v>0.163134</v>
      </c>
      <c r="Z446">
        <v>-6.9853509999999999E-3</v>
      </c>
      <c r="AA446">
        <v>0.98657919999999999</v>
      </c>
      <c r="AB446">
        <v>39</v>
      </c>
      <c r="AC446">
        <v>15.3149</v>
      </c>
      <c r="AD446">
        <v>-1.1089111638789999</v>
      </c>
      <c r="AE446">
        <v>-2.4210999999999601</v>
      </c>
      <c r="AF446">
        <v>2.5881688657237998</v>
      </c>
      <c r="AG446">
        <v>-1.1089111638789999</v>
      </c>
      <c r="AH446">
        <v>15.2075192847526</v>
      </c>
      <c r="AI446">
        <v>94.111633416633893</v>
      </c>
      <c r="AJ446">
        <v>80.341370349852298</v>
      </c>
      <c r="AK446">
        <v>15.4659931735081</v>
      </c>
      <c r="AL446">
        <v>91.214407370702205</v>
      </c>
      <c r="AM446">
        <v>91.536728347195293</v>
      </c>
      <c r="AN446">
        <v>0.99999999408071205</v>
      </c>
    </row>
    <row r="447" spans="1:40" x14ac:dyDescent="0.25">
      <c r="A447" t="str">
        <f>"20190305135547172"</f>
        <v>20190305135547172</v>
      </c>
      <c r="B447" t="str">
        <f>"1551765347162448"</f>
        <v>1551765347162448</v>
      </c>
      <c r="C447" t="s">
        <v>40</v>
      </c>
      <c r="D447">
        <v>3.9936029999999998</v>
      </c>
      <c r="E447">
        <v>0.573291199999999</v>
      </c>
      <c r="F447" t="s">
        <v>42</v>
      </c>
      <c r="G447">
        <v>-336.32740000000001</v>
      </c>
      <c r="H447" s="1">
        <v>-2.269323E-6</v>
      </c>
      <c r="I447">
        <v>365.73239999999998</v>
      </c>
      <c r="J447">
        <v>-351.58519999999999</v>
      </c>
      <c r="K447">
        <v>1.1088830000000001</v>
      </c>
      <c r="L447">
        <v>368.16079999999999</v>
      </c>
      <c r="M447">
        <v>0.99990619999999997</v>
      </c>
      <c r="N447">
        <v>-6.3529609999999999E-3</v>
      </c>
      <c r="O447">
        <v>1.212796E-2</v>
      </c>
      <c r="P447">
        <v>0.9988551</v>
      </c>
      <c r="Q447">
        <v>-2.7463560000000001E-2</v>
      </c>
      <c r="R447">
        <v>3.9167380000000002E-2</v>
      </c>
      <c r="S447">
        <v>3.015533</v>
      </c>
      <c r="T447">
        <v>-0.21404609999999999</v>
      </c>
      <c r="U447">
        <v>-0.46786499999999998</v>
      </c>
      <c r="V447">
        <v>-2.7028110000000001E-2</v>
      </c>
      <c r="W447">
        <v>-2.114278E-2</v>
      </c>
      <c r="X447">
        <v>0.99941100000000005</v>
      </c>
      <c r="Y447">
        <v>0.164824</v>
      </c>
      <c r="Z447">
        <v>-7.1134939999999997E-3</v>
      </c>
      <c r="AA447">
        <v>0.98629739999999999</v>
      </c>
      <c r="AB447">
        <v>39</v>
      </c>
      <c r="AC447">
        <v>15.2577999999999</v>
      </c>
      <c r="AD447">
        <v>-1.108885269323</v>
      </c>
      <c r="AE447">
        <v>-2.4284000000000101</v>
      </c>
      <c r="AF447">
        <v>2.5998781185541202</v>
      </c>
      <c r="AG447">
        <v>-1.108885269323</v>
      </c>
      <c r="AH447">
        <v>15.149186159400299</v>
      </c>
      <c r="AI447">
        <v>94.126339553453406</v>
      </c>
      <c r="AJ447">
        <v>80.261859482829493</v>
      </c>
      <c r="AK447">
        <v>15.4106078421334</v>
      </c>
      <c r="AL447">
        <v>91.211482402508693</v>
      </c>
      <c r="AM447">
        <v>91.549131697816406</v>
      </c>
      <c r="AN447">
        <v>0.99999994139864801</v>
      </c>
    </row>
    <row r="448" spans="1:40" x14ac:dyDescent="0.25">
      <c r="A448" t="str">
        <f>"20190305135547194"</f>
        <v>20190305135547194</v>
      </c>
      <c r="B448" t="str">
        <f>"1551765347181971"</f>
        <v>1551765347181971</v>
      </c>
      <c r="C448" t="s">
        <v>40</v>
      </c>
      <c r="D448">
        <v>3.9828739999999998</v>
      </c>
      <c r="E448">
        <v>0.53767339999999997</v>
      </c>
      <c r="F448" t="s">
        <v>42</v>
      </c>
      <c r="G448">
        <v>-335.83909999999997</v>
      </c>
      <c r="H448" s="1">
        <v>-2.4599080000000002E-6</v>
      </c>
      <c r="I448">
        <v>365.71210000000002</v>
      </c>
      <c r="J448">
        <v>-351.20080000000002</v>
      </c>
      <c r="K448">
        <v>1.108862</v>
      </c>
      <c r="L448">
        <v>368.16579999999999</v>
      </c>
      <c r="M448">
        <v>0.99990190000000001</v>
      </c>
      <c r="N448">
        <v>-6.3947409999999998E-3</v>
      </c>
      <c r="O448">
        <v>1.2467020000000001E-2</v>
      </c>
      <c r="P448">
        <v>0.99880530000000001</v>
      </c>
      <c r="Q448">
        <v>-2.756049E-2</v>
      </c>
      <c r="R448">
        <v>4.035561E-2</v>
      </c>
      <c r="S448">
        <v>3.016022</v>
      </c>
      <c r="T448">
        <v>-0.21239569999999999</v>
      </c>
      <c r="U448">
        <v>-0.46902470000000002</v>
      </c>
      <c r="V448">
        <v>-2.78792E-2</v>
      </c>
      <c r="W448">
        <v>-2.1197400000000002E-2</v>
      </c>
      <c r="X448">
        <v>0.99938649999999996</v>
      </c>
      <c r="Y448">
        <v>0.16550879999999901</v>
      </c>
      <c r="Z448">
        <v>-7.1116800000000004E-3</v>
      </c>
      <c r="AA448">
        <v>0.98618269999999997</v>
      </c>
      <c r="AB448">
        <v>39</v>
      </c>
      <c r="AC448">
        <v>15.361700000000001</v>
      </c>
      <c r="AD448">
        <v>-1.108864459908</v>
      </c>
      <c r="AE448">
        <v>-2.45369999999996</v>
      </c>
      <c r="AF448">
        <v>2.6316567479556898</v>
      </c>
      <c r="AG448">
        <v>-1.108864459908</v>
      </c>
      <c r="AH448">
        <v>15.2524197545048</v>
      </c>
      <c r="AI448">
        <v>94.097800616514604</v>
      </c>
      <c r="AJ448">
        <v>80.210555264814204</v>
      </c>
      <c r="AK448">
        <v>15.5174581036043</v>
      </c>
      <c r="AL448">
        <v>91.214612555255002</v>
      </c>
      <c r="AM448">
        <v>91.5979266599401</v>
      </c>
      <c r="AN448">
        <v>0.99999997797082396</v>
      </c>
    </row>
    <row r="449" spans="1:40" x14ac:dyDescent="0.25">
      <c r="A449" t="str">
        <f>"20190305135547218"</f>
        <v>20190305135547218</v>
      </c>
      <c r="B449" t="str">
        <f>"1551765347212224"</f>
        <v>1551765347212224</v>
      </c>
      <c r="C449" t="s">
        <v>40</v>
      </c>
      <c r="D449">
        <v>3.822171</v>
      </c>
      <c r="E449">
        <v>0.5081812</v>
      </c>
      <c r="F449" t="s">
        <v>43</v>
      </c>
      <c r="G449">
        <v>-314.21230000000003</v>
      </c>
      <c r="H449">
        <v>-0.05</v>
      </c>
      <c r="I449">
        <v>365.95749999999998</v>
      </c>
      <c r="J449">
        <v>-350.79610000000002</v>
      </c>
      <c r="K449">
        <v>1.108841</v>
      </c>
      <c r="L449">
        <v>368.17110000000002</v>
      </c>
      <c r="M449">
        <v>0.99989749999999999</v>
      </c>
      <c r="N449">
        <v>-6.4348199999999999E-3</v>
      </c>
      <c r="O449">
        <v>1.2798260000000001E-2</v>
      </c>
      <c r="P449">
        <v>0.99874929999999995</v>
      </c>
      <c r="Q449">
        <v>-2.747436E-2</v>
      </c>
      <c r="R449">
        <v>4.177877E-2</v>
      </c>
      <c r="S449">
        <v>3.0082089999999999</v>
      </c>
      <c r="T449">
        <v>-9.4248289999999998E-2</v>
      </c>
      <c r="U449">
        <v>-0.179595899999999</v>
      </c>
      <c r="V449">
        <v>-2.897388E-2</v>
      </c>
      <c r="W449">
        <v>-2.1070749999999999E-2</v>
      </c>
      <c r="X449">
        <v>0.99935810000000003</v>
      </c>
      <c r="Y449">
        <v>7.2320110000000007E-2</v>
      </c>
      <c r="Z449">
        <v>-1.682874E-3</v>
      </c>
      <c r="AA449">
        <v>0.99738009999999999</v>
      </c>
      <c r="AB449">
        <v>39</v>
      </c>
      <c r="AC449">
        <v>36.583799999999997</v>
      </c>
      <c r="AD449">
        <v>-1.158841</v>
      </c>
      <c r="AE449">
        <v>-2.21360000000004</v>
      </c>
      <c r="AF449">
        <v>2.6789590873230198</v>
      </c>
      <c r="AG449">
        <v>-1.158841</v>
      </c>
      <c r="AH449">
        <v>36.5159666854317</v>
      </c>
      <c r="AI449">
        <v>91.812813455525998</v>
      </c>
      <c r="AJ449">
        <v>85.804066878845703</v>
      </c>
      <c r="AK449">
        <v>36.632438592405897</v>
      </c>
      <c r="AL449">
        <v>91.207354352075996</v>
      </c>
      <c r="AM449">
        <v>91.660682131364396</v>
      </c>
      <c r="AN449">
        <v>1.0000000371317099</v>
      </c>
    </row>
    <row r="450" spans="1:40" x14ac:dyDescent="0.25">
      <c r="A450" t="str">
        <f>"20190305135547240"</f>
        <v>20190305135547240</v>
      </c>
      <c r="B450" t="str">
        <f>"1551765347231748"</f>
        <v>1551765347231748</v>
      </c>
      <c r="C450" t="s">
        <v>40</v>
      </c>
      <c r="D450">
        <v>4.0437399999999997</v>
      </c>
      <c r="E450">
        <v>0.50549469999999996</v>
      </c>
      <c r="F450" t="s">
        <v>42</v>
      </c>
      <c r="G450">
        <v>-249.64070000000001</v>
      </c>
      <c r="H450" s="1">
        <v>-3.1388499999999998E-7</v>
      </c>
      <c r="I450">
        <v>370.23099999999999</v>
      </c>
      <c r="J450">
        <v>-350.3897</v>
      </c>
      <c r="K450">
        <v>1.1088150000000001</v>
      </c>
      <c r="L450">
        <v>368.17660000000001</v>
      </c>
      <c r="M450">
        <v>0.99989329999999998</v>
      </c>
      <c r="N450">
        <v>-6.4716940000000001E-3</v>
      </c>
      <c r="O450">
        <v>1.3104660000000001E-2</v>
      </c>
      <c r="P450">
        <v>0.99869189999999997</v>
      </c>
      <c r="Q450">
        <v>-2.7428620000000001E-2</v>
      </c>
      <c r="R450">
        <v>4.3154980000000003E-2</v>
      </c>
      <c r="S450">
        <v>3.0002749999999998</v>
      </c>
      <c r="T450">
        <v>-3.2888290000000001E-2</v>
      </c>
      <c r="U450">
        <v>6.1096190000000002E-2</v>
      </c>
      <c r="V450">
        <v>-3.004515E-2</v>
      </c>
      <c r="W450">
        <v>-2.0987559999999999E-2</v>
      </c>
      <c r="X450">
        <v>0.9993282</v>
      </c>
      <c r="Y450">
        <v>-7.254791E-3</v>
      </c>
      <c r="Z450" s="1">
        <v>4.4184949999999998E-6</v>
      </c>
      <c r="AA450">
        <v>0.99997369999999997</v>
      </c>
      <c r="AB450">
        <v>39</v>
      </c>
      <c r="AC450">
        <v>100.749</v>
      </c>
      <c r="AD450">
        <v>-1.1088153138850001</v>
      </c>
      <c r="AE450">
        <v>2.0543999999999798</v>
      </c>
      <c r="AF450">
        <v>-0.73382584314143695</v>
      </c>
      <c r="AG450">
        <v>-1.1088153138850001</v>
      </c>
      <c r="AH450">
        <v>100.75507214872999</v>
      </c>
      <c r="AI450">
        <v>90.630501145807202</v>
      </c>
      <c r="AJ450">
        <v>90.417292940152507</v>
      </c>
      <c r="AK450">
        <v>100.76384537851</v>
      </c>
      <c r="AL450">
        <v>91.202586882673202</v>
      </c>
      <c r="AM450">
        <v>91.7220987865214</v>
      </c>
      <c r="AN450">
        <v>1.00000002001425</v>
      </c>
    </row>
    <row r="451" spans="1:40" x14ac:dyDescent="0.25">
      <c r="A451" t="str">
        <f>"20190305135547262"</f>
        <v>20190305135547262</v>
      </c>
      <c r="B451" t="str">
        <f>"1551765347252240"</f>
        <v>1551765347252240</v>
      </c>
      <c r="C451" t="s">
        <v>40</v>
      </c>
      <c r="D451">
        <v>3.6987230000000002</v>
      </c>
      <c r="E451">
        <v>0.50344549999999999</v>
      </c>
      <c r="F451" t="s">
        <v>42</v>
      </c>
      <c r="G451">
        <v>-255.90880000000001</v>
      </c>
      <c r="H451" s="1">
        <v>-2.0789959999999998E-6</v>
      </c>
      <c r="I451">
        <v>370.9</v>
      </c>
      <c r="J451">
        <v>-350.01170000000002</v>
      </c>
      <c r="K451">
        <v>1.1087910000000001</v>
      </c>
      <c r="L451">
        <v>368.18180000000001</v>
      </c>
      <c r="M451">
        <v>0.99988960000000005</v>
      </c>
      <c r="N451">
        <v>-6.503549E-3</v>
      </c>
      <c r="O451">
        <v>1.3366970000000001E-2</v>
      </c>
      <c r="P451">
        <v>0.99861560000000005</v>
      </c>
      <c r="Q451">
        <v>-2.7849559999999999E-2</v>
      </c>
      <c r="R451">
        <v>4.462671E-2</v>
      </c>
      <c r="S451">
        <v>2.9992679999999998</v>
      </c>
      <c r="T451">
        <v>-3.5199050000000003E-2</v>
      </c>
      <c r="U451">
        <v>8.64563E-2</v>
      </c>
      <c r="V451">
        <v>-3.1257140000000003E-2</v>
      </c>
      <c r="W451">
        <v>-2.1376329999999999E-2</v>
      </c>
      <c r="X451">
        <v>0.99928280000000003</v>
      </c>
      <c r="Y451">
        <v>-1.5448089999999999E-2</v>
      </c>
      <c r="Z451" s="1">
        <v>7.0970199999999993E-5</v>
      </c>
      <c r="AA451">
        <v>0.99988069999999896</v>
      </c>
      <c r="AB451">
        <v>40</v>
      </c>
      <c r="AC451">
        <v>94.102900000000005</v>
      </c>
      <c r="AD451">
        <v>-1.1087930789959899</v>
      </c>
      <c r="AE451">
        <v>2.71819999999996</v>
      </c>
      <c r="AF451">
        <v>-1.45985750430022</v>
      </c>
      <c r="AG451">
        <v>-1.1087930789959899</v>
      </c>
      <c r="AH451">
        <v>94.117771345625002</v>
      </c>
      <c r="AI451">
        <v>90.674884076035298</v>
      </c>
      <c r="AJ451">
        <v>90.888641597798696</v>
      </c>
      <c r="AK451">
        <v>94.135622848591296</v>
      </c>
      <c r="AL451">
        <v>91.224866742576495</v>
      </c>
      <c r="AM451">
        <v>91.791603402344606</v>
      </c>
      <c r="AN451">
        <v>1.00000003533054</v>
      </c>
    </row>
    <row r="452" spans="1:40" x14ac:dyDescent="0.25">
      <c r="A452" t="str">
        <f>"20190305135547283"</f>
        <v>20190305135547283</v>
      </c>
      <c r="B452" t="str">
        <f>"1551765347271760"</f>
        <v>1551765347271760</v>
      </c>
      <c r="C452" t="s">
        <v>40</v>
      </c>
      <c r="D452">
        <v>3.8593600000000001</v>
      </c>
      <c r="E452">
        <v>0.50442359999999997</v>
      </c>
      <c r="F452" t="s">
        <v>42</v>
      </c>
      <c r="G452">
        <v>-243.06010000000001</v>
      </c>
      <c r="H452" s="1">
        <v>-3.8996979999999996E-6</v>
      </c>
      <c r="I452">
        <v>372.01659999999998</v>
      </c>
      <c r="J452">
        <v>-349.62139999999999</v>
      </c>
      <c r="K452">
        <v>1.108768</v>
      </c>
      <c r="L452">
        <v>368.18720000000002</v>
      </c>
      <c r="M452">
        <v>0.99988600000000005</v>
      </c>
      <c r="N452">
        <v>-6.5343609999999998E-3</v>
      </c>
      <c r="O452">
        <v>1.3615749999999999E-2</v>
      </c>
      <c r="P452">
        <v>0.99857569999999996</v>
      </c>
      <c r="Q452">
        <v>-2.7842639999999998E-2</v>
      </c>
      <c r="R452">
        <v>4.5512749999999998E-2</v>
      </c>
      <c r="S452">
        <v>2.9984739999999999</v>
      </c>
      <c r="T452">
        <v>-3.1085970000000001E-2</v>
      </c>
      <c r="U452">
        <v>0.1075134</v>
      </c>
      <c r="V452">
        <v>-3.1895659999999999E-2</v>
      </c>
      <c r="W452">
        <v>-2.1337539999999999E-2</v>
      </c>
      <c r="X452">
        <v>0.99926340000000002</v>
      </c>
      <c r="Y452">
        <v>-2.222056E-2</v>
      </c>
      <c r="Z452">
        <v>1.356211E-4</v>
      </c>
      <c r="AA452">
        <v>0.99975309999999995</v>
      </c>
      <c r="AB452">
        <v>40</v>
      </c>
      <c r="AC452">
        <v>106.5613</v>
      </c>
      <c r="AD452">
        <v>-1.1087718996980001</v>
      </c>
      <c r="AE452">
        <v>3.8293999999999602</v>
      </c>
      <c r="AF452">
        <v>-2.3778449763104099</v>
      </c>
      <c r="AG452">
        <v>-1.1087718996980001</v>
      </c>
      <c r="AH452">
        <v>106.592037525264</v>
      </c>
      <c r="AI452">
        <v>90.595821799979504</v>
      </c>
      <c r="AJ452">
        <v>91.277936811211305</v>
      </c>
      <c r="AK452">
        <v>106.62432173591699</v>
      </c>
      <c r="AL452">
        <v>91.2226437961274</v>
      </c>
      <c r="AM452">
        <v>91.828213108775302</v>
      </c>
      <c r="AN452">
        <v>0.99999998315982297</v>
      </c>
    </row>
    <row r="453" spans="1:40" x14ac:dyDescent="0.25">
      <c r="A453" t="str">
        <f>"20190305135547305"</f>
        <v>20190305135547305</v>
      </c>
      <c r="B453" t="str">
        <f>"1551765347302016"</f>
        <v>1551765347302016</v>
      </c>
      <c r="C453" t="s">
        <v>40</v>
      </c>
      <c r="D453">
        <v>3.6924779999999999</v>
      </c>
      <c r="E453">
        <v>0.50329639999999998</v>
      </c>
      <c r="F453" t="s">
        <v>43</v>
      </c>
      <c r="G453">
        <v>-280.67340000000002</v>
      </c>
      <c r="H453">
        <v>-0.05</v>
      </c>
      <c r="I453">
        <v>370.53469999999999</v>
      </c>
      <c r="J453">
        <v>-349.221</v>
      </c>
      <c r="K453">
        <v>1.108746</v>
      </c>
      <c r="L453">
        <v>368.19279999999998</v>
      </c>
      <c r="M453">
        <v>0.99988270000000001</v>
      </c>
      <c r="N453">
        <v>-6.5642010000000004E-3</v>
      </c>
      <c r="O453">
        <v>1.3850700000000001E-2</v>
      </c>
      <c r="P453">
        <v>0.99854710000000002</v>
      </c>
      <c r="Q453">
        <v>-2.757443E-2</v>
      </c>
      <c r="R453">
        <v>4.629813E-2</v>
      </c>
      <c r="S453">
        <v>2.9982600000000001</v>
      </c>
      <c r="T453">
        <v>-5.0390009999999999E-2</v>
      </c>
      <c r="U453">
        <v>0.1020813</v>
      </c>
      <c r="V453">
        <v>-3.2448110000000002E-2</v>
      </c>
      <c r="W453">
        <v>-2.1038290000000001E-2</v>
      </c>
      <c r="X453">
        <v>0.99925200000000003</v>
      </c>
      <c r="Y453">
        <v>-2.0177649999999998E-2</v>
      </c>
      <c r="Z453" s="1">
        <v>9.3966939999999999E-5</v>
      </c>
      <c r="AA453">
        <v>0.99979640000000003</v>
      </c>
      <c r="AB453">
        <v>40</v>
      </c>
      <c r="AC453">
        <v>68.547599999999903</v>
      </c>
      <c r="AD453">
        <v>-1.1587459999999901</v>
      </c>
      <c r="AE453">
        <v>2.3418999999999999</v>
      </c>
      <c r="AF453">
        <v>-1.39182555122556</v>
      </c>
      <c r="AG453">
        <v>-1.1587459999999901</v>
      </c>
      <c r="AH453">
        <v>68.553895204275605</v>
      </c>
      <c r="AI453">
        <v>90.968161743467604</v>
      </c>
      <c r="AJ453">
        <v>91.163096208883999</v>
      </c>
      <c r="AK453">
        <v>68.577812872213698</v>
      </c>
      <c r="AL453">
        <v>91.205494134016405</v>
      </c>
      <c r="AM453">
        <v>91.859877897156807</v>
      </c>
      <c r="AN453">
        <v>1.0000000244963401</v>
      </c>
    </row>
    <row r="454" spans="1:40" x14ac:dyDescent="0.25">
      <c r="A454" t="str">
        <f>"20190305135547330"</f>
        <v>20190305135547330</v>
      </c>
      <c r="B454" t="str">
        <f>"1551765347322512"</f>
        <v>1551765347322512</v>
      </c>
      <c r="C454" t="s">
        <v>40</v>
      </c>
      <c r="D454">
        <v>3.7519469999999999</v>
      </c>
      <c r="E454">
        <v>0.50352609999999998</v>
      </c>
      <c r="F454" t="s">
        <v>42</v>
      </c>
      <c r="G454">
        <v>-261.3852</v>
      </c>
      <c r="H454" s="1">
        <v>-4.1427439999999997E-6</v>
      </c>
      <c r="I454">
        <v>371.5224</v>
      </c>
      <c r="J454">
        <v>-348.79270000000002</v>
      </c>
      <c r="K454">
        <v>1.1087209999999901</v>
      </c>
      <c r="L454">
        <v>368.19889999999998</v>
      </c>
      <c r="M454">
        <v>0.99987919999999997</v>
      </c>
      <c r="N454">
        <v>-6.5944869999999996E-3</v>
      </c>
      <c r="O454">
        <v>1.4082860000000001E-2</v>
      </c>
      <c r="P454">
        <v>0.99851570000000001</v>
      </c>
      <c r="Q454">
        <v>-2.8031460000000001E-2</v>
      </c>
      <c r="R454">
        <v>4.6697229999999999E-2</v>
      </c>
      <c r="S454">
        <v>2.9980470000000001</v>
      </c>
      <c r="T454">
        <v>-3.7844299999999997E-2</v>
      </c>
      <c r="U454">
        <v>0.113647499999999</v>
      </c>
      <c r="V454">
        <v>-3.2616489999999998E-2</v>
      </c>
      <c r="W454">
        <v>-2.1463630000000001E-2</v>
      </c>
      <c r="X454">
        <v>0.99923740000000005</v>
      </c>
      <c r="Y454">
        <v>-2.3800519999999999E-2</v>
      </c>
      <c r="Z454">
        <v>1.438298E-4</v>
      </c>
      <c r="AA454">
        <v>0.99971670000000001</v>
      </c>
      <c r="AB454">
        <v>40</v>
      </c>
      <c r="AC454">
        <v>87.407499999999999</v>
      </c>
      <c r="AD454">
        <v>-1.1087251427439999</v>
      </c>
      <c r="AE454">
        <v>3.3235000000000201</v>
      </c>
      <c r="AF454">
        <v>-2.09186009882503</v>
      </c>
      <c r="AG454">
        <v>-1.1087251427439999</v>
      </c>
      <c r="AH454">
        <v>87.431589710588696</v>
      </c>
      <c r="AI454">
        <v>90.726324378736805</v>
      </c>
      <c r="AJ454">
        <v>91.370578911283204</v>
      </c>
      <c r="AK454">
        <v>87.463638327226803</v>
      </c>
      <c r="AL454">
        <v>91.229869914088198</v>
      </c>
      <c r="AM454">
        <v>91.869549656156494</v>
      </c>
      <c r="AN454">
        <v>0.99999995219572702</v>
      </c>
    </row>
    <row r="455" spans="1:40" x14ac:dyDescent="0.25">
      <c r="A455" t="str">
        <f>"20190305135547353"</f>
        <v>20190305135547353</v>
      </c>
      <c r="B455" t="str">
        <f>"1551765347342032"</f>
        <v>1551765347342032</v>
      </c>
      <c r="C455" t="s">
        <v>40</v>
      </c>
      <c r="D455">
        <v>3.7635390000000002</v>
      </c>
      <c r="E455">
        <v>0.5034689</v>
      </c>
      <c r="F455" t="s">
        <v>42</v>
      </c>
      <c r="G455">
        <v>-266.67410000000001</v>
      </c>
      <c r="H455" s="1">
        <v>-1.8544969999999999E-6</v>
      </c>
      <c r="I455">
        <v>371.2901</v>
      </c>
      <c r="J455">
        <v>-348.37240000000003</v>
      </c>
      <c r="K455">
        <v>1.1087</v>
      </c>
      <c r="L455">
        <v>368.20499999999998</v>
      </c>
      <c r="M455">
        <v>0.99987599999999999</v>
      </c>
      <c r="N455">
        <v>-6.6228090000000003E-3</v>
      </c>
      <c r="O455">
        <v>1.429268E-2</v>
      </c>
      <c r="P455">
        <v>0.99848870000000001</v>
      </c>
      <c r="Q455">
        <v>-2.8541190000000001E-2</v>
      </c>
      <c r="R455">
        <v>4.6970699999999997E-2</v>
      </c>
      <c r="S455">
        <v>2.9980159999999998</v>
      </c>
      <c r="T455">
        <v>-4.0477630000000001E-2</v>
      </c>
      <c r="U455">
        <v>0.112854</v>
      </c>
      <c r="V455">
        <v>-3.2681420000000003E-2</v>
      </c>
      <c r="W455">
        <v>-2.1943710000000002E-2</v>
      </c>
      <c r="X455">
        <v>0.99922489999999997</v>
      </c>
      <c r="Y455">
        <v>-2.3326699999999999E-2</v>
      </c>
      <c r="Z455">
        <v>1.3644159999999999E-4</v>
      </c>
      <c r="AA455">
        <v>0.9997279</v>
      </c>
      <c r="AB455">
        <v>40</v>
      </c>
      <c r="AC455">
        <v>81.698300000000003</v>
      </c>
      <c r="AD455">
        <v>-1.108701854497</v>
      </c>
      <c r="AE455">
        <v>3.0851000000000099</v>
      </c>
      <c r="AF455">
        <v>-1.91671919435463</v>
      </c>
      <c r="AG455">
        <v>-1.108701854497</v>
      </c>
      <c r="AH455">
        <v>81.719021597327895</v>
      </c>
      <c r="AI455">
        <v>90.777084399255401</v>
      </c>
      <c r="AJ455">
        <v>91.343625831395698</v>
      </c>
      <c r="AK455">
        <v>81.749015425855205</v>
      </c>
      <c r="AL455">
        <v>91.257382892631199</v>
      </c>
      <c r="AM455">
        <v>91.873292157220007</v>
      </c>
      <c r="AN455">
        <v>1.0000000012008901</v>
      </c>
    </row>
    <row r="456" spans="1:40" x14ac:dyDescent="0.25">
      <c r="A456" t="str">
        <f>"20190305135547374"</f>
        <v>20190305135547374</v>
      </c>
      <c r="B456" t="str">
        <f>"1551765347362530"</f>
        <v>1551765347362530</v>
      </c>
      <c r="C456" t="s">
        <v>40</v>
      </c>
      <c r="D456">
        <v>3.6543559999999999</v>
      </c>
      <c r="E456">
        <v>0.50368429999999997</v>
      </c>
      <c r="F456" t="s">
        <v>43</v>
      </c>
      <c r="G456">
        <v>-281.80669999999998</v>
      </c>
      <c r="H456">
        <v>-0.05</v>
      </c>
      <c r="I456">
        <v>370.73680000000002</v>
      </c>
      <c r="J456">
        <v>-348.01179999999999</v>
      </c>
      <c r="K456">
        <v>1.108681</v>
      </c>
      <c r="L456">
        <v>368.21030000000002</v>
      </c>
      <c r="M456">
        <v>0.99987340000000002</v>
      </c>
      <c r="N456">
        <v>-6.6456070000000004E-3</v>
      </c>
      <c r="O456">
        <v>1.446274E-2</v>
      </c>
      <c r="P456">
        <v>0.99845930000000005</v>
      </c>
      <c r="Q456">
        <v>-2.8996290000000001E-2</v>
      </c>
      <c r="R456">
        <v>4.731225E-2</v>
      </c>
      <c r="S456">
        <v>2.997681</v>
      </c>
      <c r="T456">
        <v>-5.2180169999999998E-2</v>
      </c>
      <c r="U456">
        <v>0.1140137</v>
      </c>
      <c r="V456">
        <v>-3.2854069999999999E-2</v>
      </c>
      <c r="W456">
        <v>-2.2375119999999998E-2</v>
      </c>
      <c r="X456">
        <v>0.99920960000000003</v>
      </c>
      <c r="Y456">
        <v>-2.3545819999999999E-2</v>
      </c>
      <c r="Z456">
        <v>1.2758299999999999E-4</v>
      </c>
      <c r="AA456">
        <v>0.99972280000000002</v>
      </c>
      <c r="AB456">
        <v>40</v>
      </c>
      <c r="AC456">
        <v>66.205100000000002</v>
      </c>
      <c r="AD456">
        <v>-1.1586809999999901</v>
      </c>
      <c r="AE456">
        <v>2.5264999999999902</v>
      </c>
      <c r="AF456">
        <v>-1.5682278720284399</v>
      </c>
      <c r="AG456">
        <v>-1.1586809999999901</v>
      </c>
      <c r="AH456">
        <v>66.214464263038707</v>
      </c>
      <c r="AI456">
        <v>91.002230416669093</v>
      </c>
      <c r="AJ456">
        <v>91.356743492495099</v>
      </c>
      <c r="AK456">
        <v>66.243166877494602</v>
      </c>
      <c r="AL456">
        <v>91.282107026912001</v>
      </c>
      <c r="AM456">
        <v>91.883210126844503</v>
      </c>
      <c r="AN456">
        <v>0.99999993032136703</v>
      </c>
    </row>
    <row r="457" spans="1:40" x14ac:dyDescent="0.25">
      <c r="A457" t="str">
        <f>"20190305135547395"</f>
        <v>20190305135547395</v>
      </c>
      <c r="B457" t="str">
        <f>"1551765347391808"</f>
        <v>1551765347391808</v>
      </c>
      <c r="C457" t="s">
        <v>40</v>
      </c>
      <c r="D457">
        <v>3.8112200000000001</v>
      </c>
      <c r="E457">
        <v>0.50403419999999999</v>
      </c>
      <c r="F457" t="s">
        <v>43</v>
      </c>
      <c r="G457">
        <v>-295.7251</v>
      </c>
      <c r="H457">
        <v>-0.05</v>
      </c>
      <c r="I457">
        <v>370.17899999999997</v>
      </c>
      <c r="J457">
        <v>-347.6234</v>
      </c>
      <c r="K457">
        <v>1.108665</v>
      </c>
      <c r="L457">
        <v>368.21609999999998</v>
      </c>
      <c r="M457">
        <v>0.9998707</v>
      </c>
      <c r="N457">
        <v>-6.6654770000000004E-3</v>
      </c>
      <c r="O457">
        <v>1.463776E-2</v>
      </c>
      <c r="P457">
        <v>0.99842450000000005</v>
      </c>
      <c r="Q457">
        <v>-2.9309740000000001E-2</v>
      </c>
      <c r="R457">
        <v>4.7847800000000003E-2</v>
      </c>
      <c r="S457">
        <v>2.9973139999999998</v>
      </c>
      <c r="T457">
        <v>-6.642091E-2</v>
      </c>
      <c r="U457">
        <v>0.112854</v>
      </c>
      <c r="V457">
        <v>-3.3215479999999999E-2</v>
      </c>
      <c r="W457">
        <v>-2.266804E-2</v>
      </c>
      <c r="X457">
        <v>0.9991911</v>
      </c>
      <c r="Y457">
        <v>-2.298772E-2</v>
      </c>
      <c r="Z457">
        <v>1.045824E-4</v>
      </c>
      <c r="AA457">
        <v>0.9997357</v>
      </c>
      <c r="AB457">
        <v>40</v>
      </c>
      <c r="AC457">
        <v>51.898299999999999</v>
      </c>
      <c r="AD457">
        <v>-1.1586650000000001</v>
      </c>
      <c r="AE457">
        <v>1.9629000000000401</v>
      </c>
      <c r="AF457">
        <v>-1.2023995322507699</v>
      </c>
      <c r="AG457">
        <v>-1.1586650000000001</v>
      </c>
      <c r="AH457">
        <v>51.895642868758003</v>
      </c>
      <c r="AI457">
        <v>91.278677360200703</v>
      </c>
      <c r="AJ457">
        <v>91.327280882106294</v>
      </c>
      <c r="AK457">
        <v>51.922500112947702</v>
      </c>
      <c r="AL457">
        <v>91.298894299725703</v>
      </c>
      <c r="AM457">
        <v>91.903946372488306</v>
      </c>
      <c r="AN457">
        <v>0.99999998123414002</v>
      </c>
    </row>
    <row r="458" spans="1:40" x14ac:dyDescent="0.25">
      <c r="A458" t="str">
        <f>"20190305135547419"</f>
        <v>20190305135547419</v>
      </c>
      <c r="B458" t="str">
        <f>"1551765347412305"</f>
        <v>1551765347412305</v>
      </c>
      <c r="C458" t="s">
        <v>40</v>
      </c>
      <c r="D458">
        <v>3.8020149999999999</v>
      </c>
      <c r="E458">
        <v>0.50330450000000004</v>
      </c>
      <c r="F458" t="s">
        <v>43</v>
      </c>
      <c r="G458">
        <v>-302.53620000000001</v>
      </c>
      <c r="H458">
        <v>-0.05</v>
      </c>
      <c r="I458">
        <v>369.89819999999997</v>
      </c>
      <c r="J458">
        <v>-347.19560000000001</v>
      </c>
      <c r="K458">
        <v>1.1086530000000001</v>
      </c>
      <c r="L458">
        <v>368.2226</v>
      </c>
      <c r="M458">
        <v>0.99986790000000003</v>
      </c>
      <c r="N458">
        <v>-6.6781280000000002E-3</v>
      </c>
      <c r="O458">
        <v>1.4823599999999999E-2</v>
      </c>
      <c r="P458">
        <v>0.99839849999999997</v>
      </c>
      <c r="Q458">
        <v>-2.9327949999999998E-2</v>
      </c>
      <c r="R458">
        <v>4.837872E-2</v>
      </c>
      <c r="S458">
        <v>2.997131</v>
      </c>
      <c r="T458">
        <v>-7.7021240000000005E-2</v>
      </c>
      <c r="U458">
        <v>0.1118164</v>
      </c>
      <c r="V458">
        <v>-3.3561859999999999E-2</v>
      </c>
      <c r="W458">
        <v>-2.2672930000000001E-2</v>
      </c>
      <c r="X458">
        <v>0.99917940000000005</v>
      </c>
      <c r="Y458">
        <v>-2.2457499999999998E-2</v>
      </c>
      <c r="Z458" s="1">
        <v>8.1690260000000003E-5</v>
      </c>
      <c r="AA458">
        <v>0.99974779999999996</v>
      </c>
      <c r="AB458">
        <v>40</v>
      </c>
      <c r="AC458">
        <v>44.659399999999998</v>
      </c>
      <c r="AD458">
        <v>-1.1586529999999999</v>
      </c>
      <c r="AE458">
        <v>1.67559999999997</v>
      </c>
      <c r="AF458">
        <v>-1.01270739352217</v>
      </c>
      <c r="AG458">
        <v>-1.1586529999999999</v>
      </c>
      <c r="AH458">
        <v>44.649320471242198</v>
      </c>
      <c r="AI458">
        <v>91.486113847133097</v>
      </c>
      <c r="AJ458">
        <v>91.299323527797199</v>
      </c>
      <c r="AK458">
        <v>44.675830955707902</v>
      </c>
      <c r="AL458">
        <v>91.299174566883906</v>
      </c>
      <c r="AM458">
        <v>91.923808907223304</v>
      </c>
      <c r="AN458">
        <v>0.99999996679290104</v>
      </c>
    </row>
    <row r="459" spans="1:40" x14ac:dyDescent="0.25">
      <c r="A459" t="str">
        <f>"20190305135547441"</f>
        <v>20190305135547441</v>
      </c>
      <c r="B459" t="str">
        <f>"1551765347431828"</f>
        <v>1551765347431828</v>
      </c>
      <c r="C459" t="s">
        <v>40</v>
      </c>
      <c r="D459">
        <v>3.8030490000000001</v>
      </c>
      <c r="E459">
        <v>0.50327200000000005</v>
      </c>
      <c r="F459" t="s">
        <v>43</v>
      </c>
      <c r="G459">
        <v>-305.03859999999997</v>
      </c>
      <c r="H459">
        <v>-0.05</v>
      </c>
      <c r="I459">
        <v>369.8956</v>
      </c>
      <c r="J459">
        <v>-346.79050000000001</v>
      </c>
      <c r="K459">
        <v>1.1086389999999999</v>
      </c>
      <c r="L459">
        <v>368.2287</v>
      </c>
      <c r="M459">
        <v>0.99986529999999996</v>
      </c>
      <c r="N459">
        <v>-6.6804909999999898E-3</v>
      </c>
      <c r="O459">
        <v>1.499315E-2</v>
      </c>
      <c r="P459">
        <v>0.99837889999999996</v>
      </c>
      <c r="Q459">
        <v>-2.8886599999999998E-2</v>
      </c>
      <c r="R459">
        <v>4.9042460000000003E-2</v>
      </c>
      <c r="S459">
        <v>2.9966430000000002</v>
      </c>
      <c r="T459">
        <v>-8.2360630000000004E-2</v>
      </c>
      <c r="U459">
        <v>0.118927</v>
      </c>
      <c r="V459">
        <v>-3.4057209999999997E-2</v>
      </c>
      <c r="W459">
        <v>-2.2228680000000001E-2</v>
      </c>
      <c r="X459">
        <v>0.99917259999999997</v>
      </c>
      <c r="Y459">
        <v>-2.4661059999999999E-2</v>
      </c>
      <c r="Z459">
        <v>1.094505E-4</v>
      </c>
      <c r="AA459">
        <v>0.99969580000000002</v>
      </c>
      <c r="AB459">
        <v>40</v>
      </c>
      <c r="AC459">
        <v>41.751899999999999</v>
      </c>
      <c r="AD459">
        <v>-1.158639</v>
      </c>
      <c r="AE459">
        <v>1.6668999999999901</v>
      </c>
      <c r="AF459">
        <v>-1.0399066189529</v>
      </c>
      <c r="AG459">
        <v>-1.158639</v>
      </c>
      <c r="AH459">
        <v>41.740106709227597</v>
      </c>
      <c r="AI459">
        <v>91.589538457078802</v>
      </c>
      <c r="AJ459">
        <v>91.427163035132295</v>
      </c>
      <c r="AK459">
        <v>41.769131642951002</v>
      </c>
      <c r="AL459">
        <v>91.273714524802202</v>
      </c>
      <c r="AM459">
        <v>91.952194470308896</v>
      </c>
      <c r="AN459">
        <v>0.99999994617914101</v>
      </c>
    </row>
    <row r="460" spans="1:40" x14ac:dyDescent="0.25">
      <c r="A460" t="str">
        <f>"20190305135547462"</f>
        <v>20190305135547462</v>
      </c>
      <c r="B460" t="str">
        <f>"1551765347452320"</f>
        <v>1551765347452320</v>
      </c>
      <c r="C460" t="s">
        <v>40</v>
      </c>
      <c r="D460">
        <v>3.786489</v>
      </c>
      <c r="E460">
        <v>0.50308379999999997</v>
      </c>
      <c r="F460" t="s">
        <v>43</v>
      </c>
      <c r="G460">
        <v>-309.04140000000001</v>
      </c>
      <c r="H460">
        <v>-0.05</v>
      </c>
      <c r="I460">
        <v>369.75389999999999</v>
      </c>
      <c r="J460">
        <v>-346.41059999999999</v>
      </c>
      <c r="K460">
        <v>1.1086229999999999</v>
      </c>
      <c r="L460">
        <v>368.23450000000003</v>
      </c>
      <c r="M460">
        <v>0.9998631</v>
      </c>
      <c r="N460">
        <v>-6.6742399999999997E-3</v>
      </c>
      <c r="O460">
        <v>1.5146339999999999E-2</v>
      </c>
      <c r="P460">
        <v>0.99834469999999997</v>
      </c>
      <c r="Q460">
        <v>-2.9041040000000001E-2</v>
      </c>
      <c r="R460">
        <v>4.964408E-2</v>
      </c>
      <c r="S460">
        <v>2.9962770000000001</v>
      </c>
      <c r="T460">
        <v>-9.1965320000000003E-2</v>
      </c>
      <c r="U460">
        <v>0.1210632</v>
      </c>
      <c r="V460">
        <v>-3.4506380000000003E-2</v>
      </c>
      <c r="W460">
        <v>-2.2388979999999999E-2</v>
      </c>
      <c r="X460">
        <v>0.99915370000000003</v>
      </c>
      <c r="Y460">
        <v>-2.5222580000000001E-2</v>
      </c>
      <c r="Z460">
        <v>1.075624E-4</v>
      </c>
      <c r="AA460">
        <v>0.99968179999999995</v>
      </c>
      <c r="AB460">
        <v>40</v>
      </c>
      <c r="AC460">
        <v>37.3691999999999</v>
      </c>
      <c r="AD460">
        <v>-1.158623</v>
      </c>
      <c r="AE460">
        <v>1.5193999999999599</v>
      </c>
      <c r="AF460">
        <v>-0.95229260909358704</v>
      </c>
      <c r="AG460">
        <v>-1.158623</v>
      </c>
      <c r="AH460">
        <v>37.352079852311697</v>
      </c>
      <c r="AI460">
        <v>91.776109546148803</v>
      </c>
      <c r="AJ460">
        <v>91.460441571179899</v>
      </c>
      <c r="AK460">
        <v>37.382176739228697</v>
      </c>
      <c r="AL460">
        <v>91.282901209274101</v>
      </c>
      <c r="AM460">
        <v>91.977958426009494</v>
      </c>
      <c r="AN460">
        <v>1.00000003645491</v>
      </c>
    </row>
    <row r="461" spans="1:40" x14ac:dyDescent="0.25">
      <c r="A461" t="str">
        <f>"20190305135547484"</f>
        <v>20190305135547484</v>
      </c>
      <c r="B461" t="str">
        <f>"1551765347482576"</f>
        <v>1551765347482576</v>
      </c>
      <c r="C461" t="s">
        <v>40</v>
      </c>
      <c r="D461">
        <v>3.8702179999999999</v>
      </c>
      <c r="E461">
        <v>0.50261460000000002</v>
      </c>
      <c r="F461" t="s">
        <v>43</v>
      </c>
      <c r="G461">
        <v>-311.81049999999999</v>
      </c>
      <c r="H461">
        <v>-0.05</v>
      </c>
      <c r="I461">
        <v>369.6662</v>
      </c>
      <c r="J461">
        <v>-345.9991</v>
      </c>
      <c r="K461">
        <v>1.1085959999999999</v>
      </c>
      <c r="L461">
        <v>368.24090000000001</v>
      </c>
      <c r="M461">
        <v>0.99986079999999999</v>
      </c>
      <c r="N461">
        <v>-6.6567509999999998E-3</v>
      </c>
      <c r="O461">
        <v>1.5306119999999999E-2</v>
      </c>
      <c r="P461">
        <v>0.9983185</v>
      </c>
      <c r="Q461">
        <v>-2.839583E-2</v>
      </c>
      <c r="R461">
        <v>5.0538979999999997E-2</v>
      </c>
      <c r="S461">
        <v>2.9958800000000001</v>
      </c>
      <c r="T461">
        <v>-0.10032050000000001</v>
      </c>
      <c r="U461">
        <v>0.1239624</v>
      </c>
      <c r="V461">
        <v>-3.524294E-2</v>
      </c>
      <c r="W461">
        <v>-2.176084E-2</v>
      </c>
      <c r="X461">
        <v>0.99914179999999997</v>
      </c>
      <c r="Y461">
        <v>-2.6032059999999999E-2</v>
      </c>
      <c r="Z461">
        <v>1.119698E-4</v>
      </c>
      <c r="AA461">
        <v>0.99966109999999997</v>
      </c>
      <c r="AB461">
        <v>41</v>
      </c>
      <c r="AC461">
        <v>34.188600000000001</v>
      </c>
      <c r="AD461">
        <v>-1.158596</v>
      </c>
      <c r="AE461">
        <v>1.42529999999999</v>
      </c>
      <c r="AF461">
        <v>-0.90079397441935105</v>
      </c>
      <c r="AG461">
        <v>-1.158596</v>
      </c>
      <c r="AH461">
        <v>34.1672407511359</v>
      </c>
      <c r="AI461">
        <v>91.941456247406805</v>
      </c>
      <c r="AJ461">
        <v>91.510210915803896</v>
      </c>
      <c r="AK461">
        <v>34.198744348610902</v>
      </c>
      <c r="AL461">
        <v>91.2469027525987</v>
      </c>
      <c r="AM461">
        <v>92.020168594025407</v>
      </c>
      <c r="AN461">
        <v>0.99999996774229405</v>
      </c>
    </row>
    <row r="462" spans="1:40" x14ac:dyDescent="0.25">
      <c r="A462" t="str">
        <f>"20190305135547507"</f>
        <v>20190305135547507</v>
      </c>
      <c r="B462" t="str">
        <f>"1551765347502097"</f>
        <v>1551765347502097</v>
      </c>
      <c r="C462" t="s">
        <v>40</v>
      </c>
      <c r="D462">
        <v>3.8935949999999999</v>
      </c>
      <c r="E462">
        <v>0.50317590000000001</v>
      </c>
      <c r="F462" t="s">
        <v>43</v>
      </c>
      <c r="G462">
        <v>-312.65449999999998</v>
      </c>
      <c r="H462">
        <v>-0.05</v>
      </c>
      <c r="I462">
        <v>369.68869999999998</v>
      </c>
      <c r="J462">
        <v>-345.57639999999998</v>
      </c>
      <c r="K462">
        <v>1.108579</v>
      </c>
      <c r="L462">
        <v>368.2475</v>
      </c>
      <c r="M462">
        <v>0.99985840000000004</v>
      </c>
      <c r="N462">
        <v>-6.6294730000000003E-3</v>
      </c>
      <c r="O462">
        <v>1.546254E-2</v>
      </c>
      <c r="P462">
        <v>0.99828119999999998</v>
      </c>
      <c r="Q462">
        <v>-2.8490060000000001E-2</v>
      </c>
      <c r="R462">
        <v>5.1212960000000002E-2</v>
      </c>
      <c r="S462">
        <v>2.9955440000000002</v>
      </c>
      <c r="T462">
        <v>-0.1040835</v>
      </c>
      <c r="U462">
        <v>0.13006589999999901</v>
      </c>
      <c r="V462">
        <v>-3.57612E-2</v>
      </c>
      <c r="W462">
        <v>-2.1881879999999999E-2</v>
      </c>
      <c r="X462">
        <v>0.99912080000000003</v>
      </c>
      <c r="Y462">
        <v>-2.7911479999999999E-2</v>
      </c>
      <c r="Z462">
        <v>1.427911E-4</v>
      </c>
      <c r="AA462">
        <v>0.99961040000000001</v>
      </c>
      <c r="AB462">
        <v>41</v>
      </c>
      <c r="AC462">
        <v>32.921899999999901</v>
      </c>
      <c r="AD462">
        <v>-1.158579</v>
      </c>
      <c r="AE462">
        <v>1.4411999999999801</v>
      </c>
      <c r="AF462">
        <v>-0.93080971119065303</v>
      </c>
      <c r="AG462">
        <v>-1.158579</v>
      </c>
      <c r="AH462">
        <v>32.899582203608297</v>
      </c>
      <c r="AI462">
        <v>92.016066552350694</v>
      </c>
      <c r="AJ462">
        <v>91.620605530275199</v>
      </c>
      <c r="AK462">
        <v>32.933132574804802</v>
      </c>
      <c r="AL462">
        <v>91.253839411972706</v>
      </c>
      <c r="AM462">
        <v>92.049893781842499</v>
      </c>
      <c r="AN462">
        <v>1.0000000265452</v>
      </c>
    </row>
    <row r="463" spans="1:40" x14ac:dyDescent="0.25">
      <c r="A463" t="str">
        <f>"20190305135547531"</f>
        <v>20190305135547531</v>
      </c>
      <c r="B463" t="str">
        <f>"1551765347521616"</f>
        <v>1551765347521616</v>
      </c>
      <c r="C463" t="s">
        <v>40</v>
      </c>
      <c r="D463">
        <v>3.877745</v>
      </c>
      <c r="E463">
        <v>0.55009010000000003</v>
      </c>
      <c r="F463" t="s">
        <v>43</v>
      </c>
      <c r="G463">
        <v>-311.81020000000001</v>
      </c>
      <c r="H463">
        <v>-0.05</v>
      </c>
      <c r="I463">
        <v>369.68799999999999</v>
      </c>
      <c r="J463">
        <v>-345.15629999999999</v>
      </c>
      <c r="K463">
        <v>1.1085670000000001</v>
      </c>
      <c r="L463">
        <v>368.25409999999999</v>
      </c>
      <c r="M463">
        <v>0.99985659999999998</v>
      </c>
      <c r="N463">
        <v>-6.5959369999999996E-3</v>
      </c>
      <c r="O463">
        <v>1.560627E-2</v>
      </c>
      <c r="P463">
        <v>0.99823450000000002</v>
      </c>
      <c r="Q463">
        <v>-2.833666E-2</v>
      </c>
      <c r="R463">
        <v>5.220197E-2</v>
      </c>
      <c r="S463">
        <v>2.9956670000000001</v>
      </c>
      <c r="T463">
        <v>-0.1027864</v>
      </c>
      <c r="U463">
        <v>0.12780759999999999</v>
      </c>
      <c r="V463">
        <v>-3.6607880000000002E-2</v>
      </c>
      <c r="W463">
        <v>-2.1761570000000001E-2</v>
      </c>
      <c r="X463">
        <v>0.9990928</v>
      </c>
      <c r="Y463">
        <v>-2.701483E-2</v>
      </c>
      <c r="Z463">
        <v>1.201457E-4</v>
      </c>
      <c r="AA463">
        <v>0.99963500000000005</v>
      </c>
      <c r="AB463">
        <v>41</v>
      </c>
      <c r="AC463">
        <v>33.3460999999999</v>
      </c>
      <c r="AD463">
        <v>-1.1585669999999999</v>
      </c>
      <c r="AE463">
        <v>1.4339000000000499</v>
      </c>
      <c r="AF463">
        <v>-0.91220676197862605</v>
      </c>
      <c r="AG463">
        <v>-1.1585669999999999</v>
      </c>
      <c r="AH463">
        <v>33.324264768960298</v>
      </c>
      <c r="AI463">
        <v>91.990424932816595</v>
      </c>
      <c r="AJ463">
        <v>91.568003052360197</v>
      </c>
      <c r="AK463">
        <v>33.356873670382498</v>
      </c>
      <c r="AL463">
        <v>91.246944469739105</v>
      </c>
      <c r="AM463">
        <v>92.098442812535296</v>
      </c>
      <c r="AN463">
        <v>1.0000000629093899</v>
      </c>
    </row>
    <row r="464" spans="1:40" x14ac:dyDescent="0.25">
      <c r="A464" t="str">
        <f>"20190305135547552"</f>
        <v>20190305135547552</v>
      </c>
      <c r="B464" t="str">
        <f>"1551765347542114"</f>
        <v>1551765347542114</v>
      </c>
      <c r="C464" t="s">
        <v>40</v>
      </c>
      <c r="D464">
        <v>3.7929010000000001</v>
      </c>
      <c r="E464">
        <v>0.54998939999999996</v>
      </c>
      <c r="F464" t="s">
        <v>43</v>
      </c>
      <c r="G464">
        <v>-310.7047</v>
      </c>
      <c r="H464">
        <v>-0.05</v>
      </c>
      <c r="I464">
        <v>365.47739999999999</v>
      </c>
      <c r="J464">
        <v>-344.76330000000002</v>
      </c>
      <c r="K464">
        <v>1.108544</v>
      </c>
      <c r="L464">
        <v>368.26029999999997</v>
      </c>
      <c r="M464">
        <v>0.99985489999999999</v>
      </c>
      <c r="N464">
        <v>-6.5629869999999898E-3</v>
      </c>
      <c r="O464">
        <v>1.5725840000000001E-2</v>
      </c>
      <c r="P464">
        <v>0.99822089999999997</v>
      </c>
      <c r="Q464">
        <v>-2.798436E-2</v>
      </c>
      <c r="R464">
        <v>5.2651879999999998E-2</v>
      </c>
      <c r="S464">
        <v>3.0151059999999998</v>
      </c>
      <c r="T464">
        <v>-0.1013944</v>
      </c>
      <c r="U464">
        <v>-0.24301149999999999</v>
      </c>
      <c r="V464">
        <v>-3.6939239999999998E-2</v>
      </c>
      <c r="W464">
        <v>-2.1441189999999999E-2</v>
      </c>
      <c r="X464">
        <v>0.99908750000000002</v>
      </c>
      <c r="Y464">
        <v>9.5932690000000001E-2</v>
      </c>
      <c r="Z464">
        <v>-2.3503059999999999E-3</v>
      </c>
      <c r="AA464">
        <v>0.99538510000000002</v>
      </c>
      <c r="AB464">
        <v>41</v>
      </c>
      <c r="AC464">
        <v>34.058599999999998</v>
      </c>
      <c r="AD464">
        <v>-1.158544</v>
      </c>
      <c r="AE464">
        <v>-2.7828999999999802</v>
      </c>
      <c r="AF464">
        <v>3.3143578184161</v>
      </c>
      <c r="AG464">
        <v>-1.158544</v>
      </c>
      <c r="AH464">
        <v>33.971575934991399</v>
      </c>
      <c r="AI464">
        <v>91.943997215994102</v>
      </c>
      <c r="AJ464">
        <v>84.427705752480904</v>
      </c>
      <c r="AK464">
        <v>34.152527921887703</v>
      </c>
      <c r="AL464">
        <v>91.228583802271004</v>
      </c>
      <c r="AM464">
        <v>92.117431094321304</v>
      </c>
      <c r="AN464">
        <v>1.00000003236832</v>
      </c>
    </row>
    <row r="465" spans="1:40" x14ac:dyDescent="0.25">
      <c r="A465" t="str">
        <f>"20190305135547574"</f>
        <v>20190305135547574</v>
      </c>
      <c r="B465" t="str">
        <f>"1551765347561632"</f>
        <v>1551765347561632</v>
      </c>
      <c r="C465" t="s">
        <v>40</v>
      </c>
      <c r="D465">
        <v>3.8271820000000001</v>
      </c>
      <c r="E465">
        <v>0.5492996</v>
      </c>
      <c r="F465" t="s">
        <v>43</v>
      </c>
      <c r="G465">
        <v>-305.52429999999998</v>
      </c>
      <c r="H465">
        <v>-0.05</v>
      </c>
      <c r="I465">
        <v>365.13080000000002</v>
      </c>
      <c r="J465">
        <v>-344.36689999999999</v>
      </c>
      <c r="K465">
        <v>1.108522</v>
      </c>
      <c r="L465">
        <v>368.26670000000001</v>
      </c>
      <c r="M465">
        <v>0.9998534</v>
      </c>
      <c r="N465">
        <v>-6.5309749999999996E-3</v>
      </c>
      <c r="O465">
        <v>1.5832349999999999E-2</v>
      </c>
      <c r="P465">
        <v>0.99818799999999996</v>
      </c>
      <c r="Q465">
        <v>-2.8038540000000001E-2</v>
      </c>
      <c r="R465">
        <v>5.3241629999999998E-2</v>
      </c>
      <c r="S465">
        <v>3.0155639999999999</v>
      </c>
      <c r="T465">
        <v>-8.9035390000000006E-2</v>
      </c>
      <c r="U465">
        <v>-0.240509</v>
      </c>
      <c r="V465">
        <v>-3.7424140000000002E-2</v>
      </c>
      <c r="W465">
        <v>-2.1526409999999999E-2</v>
      </c>
      <c r="X465">
        <v>0.99906759999999994</v>
      </c>
      <c r="Y465">
        <v>9.5221500000000001E-2</v>
      </c>
      <c r="Z465">
        <v>-2.0781760000000002E-3</v>
      </c>
      <c r="AA465">
        <v>0.99545399999999995</v>
      </c>
      <c r="AB465">
        <v>41</v>
      </c>
      <c r="AC465">
        <v>38.842599999999997</v>
      </c>
      <c r="AD465">
        <v>-1.1585219999999901</v>
      </c>
      <c r="AE465">
        <v>-3.1358999999999901</v>
      </c>
      <c r="AF465">
        <v>3.7471777610158798</v>
      </c>
      <c r="AG465">
        <v>-1.1585219999999901</v>
      </c>
      <c r="AH465">
        <v>38.753829624081703</v>
      </c>
      <c r="AI465">
        <v>91.704368200839696</v>
      </c>
      <c r="AJ465">
        <v>84.477136567619695</v>
      </c>
      <c r="AK465">
        <v>38.951801305324601</v>
      </c>
      <c r="AL465">
        <v>91.233467702050206</v>
      </c>
      <c r="AM465">
        <v>92.145243420494594</v>
      </c>
      <c r="AN465">
        <v>1.0000000109759899</v>
      </c>
    </row>
    <row r="466" spans="1:40" x14ac:dyDescent="0.25">
      <c r="A466" t="str">
        <f>"20190305135547596"</f>
        <v>20190305135547596</v>
      </c>
      <c r="B466" t="str">
        <f>"1551765347591889"</f>
        <v>1551765347591889</v>
      </c>
      <c r="C466" t="s">
        <v>40</v>
      </c>
      <c r="D466">
        <v>3.914771</v>
      </c>
      <c r="E466">
        <v>0.54880669999999898</v>
      </c>
      <c r="F466" t="s">
        <v>43</v>
      </c>
      <c r="G466">
        <v>-305.60680000000002</v>
      </c>
      <c r="H466">
        <v>-0.05</v>
      </c>
      <c r="I466">
        <v>365.26960000000003</v>
      </c>
      <c r="J466">
        <v>-343.94310000000002</v>
      </c>
      <c r="K466">
        <v>1.108487</v>
      </c>
      <c r="L466">
        <v>368.27339999999998</v>
      </c>
      <c r="M466">
        <v>0.99985219999999997</v>
      </c>
      <c r="N466">
        <v>-6.497198E-3</v>
      </c>
      <c r="O466">
        <v>1.5927050000000002E-2</v>
      </c>
      <c r="P466">
        <v>0.9981835</v>
      </c>
      <c r="Q466">
        <v>-2.7995590000000001E-2</v>
      </c>
      <c r="R466">
        <v>5.3347800000000001E-2</v>
      </c>
      <c r="S466">
        <v>3.01532</v>
      </c>
      <c r="T466">
        <v>-9.0126629999999999E-2</v>
      </c>
      <c r="U466">
        <v>-0.23315429999999901</v>
      </c>
      <c r="V466">
        <v>-3.7436049999999998E-2</v>
      </c>
      <c r="W466">
        <v>-2.1515699999999999E-2</v>
      </c>
      <c r="X466">
        <v>0.99906740000000005</v>
      </c>
      <c r="Y466">
        <v>9.290872E-2</v>
      </c>
      <c r="Z466">
        <v>-2.060479E-3</v>
      </c>
      <c r="AA466">
        <v>0.99567249999999996</v>
      </c>
      <c r="AB466">
        <v>41</v>
      </c>
      <c r="AC466">
        <v>38.336300000000001</v>
      </c>
      <c r="AD466">
        <v>-1.158487</v>
      </c>
      <c r="AE466">
        <v>-3.0037999999999498</v>
      </c>
      <c r="AF466">
        <v>3.6107387559325099</v>
      </c>
      <c r="AG466">
        <v>-1.158487</v>
      </c>
      <c r="AH466">
        <v>38.248878982496301</v>
      </c>
      <c r="AI466">
        <v>91.727177430843795</v>
      </c>
      <c r="AJ466">
        <v>84.607193218466804</v>
      </c>
      <c r="AK466">
        <v>38.4363925194654</v>
      </c>
      <c r="AL466">
        <v>91.232853903006102</v>
      </c>
      <c r="AM466">
        <v>92.145925921893607</v>
      </c>
      <c r="AN466">
        <v>1.00000002646442</v>
      </c>
    </row>
    <row r="467" spans="1:40" x14ac:dyDescent="0.25">
      <c r="A467" t="str">
        <f>"20190305135547619"</f>
        <v>20190305135547619</v>
      </c>
      <c r="B467" t="str">
        <f>"1551765347612384"</f>
        <v>1551765347612384</v>
      </c>
      <c r="C467" t="s">
        <v>40</v>
      </c>
      <c r="D467">
        <v>3.9149409999999998</v>
      </c>
      <c r="E467">
        <v>0.54846980000000001</v>
      </c>
      <c r="F467" t="s">
        <v>43</v>
      </c>
      <c r="G467">
        <v>-304.55770000000001</v>
      </c>
      <c r="H467">
        <v>-0.05</v>
      </c>
      <c r="I467">
        <v>365.28449999999998</v>
      </c>
      <c r="J467">
        <v>-343.52359999999999</v>
      </c>
      <c r="K467">
        <v>1.108463</v>
      </c>
      <c r="L467">
        <v>368.28019999999998</v>
      </c>
      <c r="M467">
        <v>0.99985109999999999</v>
      </c>
      <c r="N467">
        <v>-6.4645220000000003E-3</v>
      </c>
      <c r="O467">
        <v>1.599925E-2</v>
      </c>
      <c r="P467">
        <v>0.99816130000000003</v>
      </c>
      <c r="Q467">
        <v>-2.808631E-2</v>
      </c>
      <c r="R467">
        <v>5.371596E-2</v>
      </c>
      <c r="S467">
        <v>3.0151979999999998</v>
      </c>
      <c r="T467">
        <v>-8.8689329999999997E-2</v>
      </c>
      <c r="U467">
        <v>-0.22882079999999999</v>
      </c>
      <c r="V467">
        <v>-3.7734179999999999E-2</v>
      </c>
      <c r="W467">
        <v>-2.163754E-2</v>
      </c>
      <c r="X467">
        <v>0.99905350000000004</v>
      </c>
      <c r="Y467">
        <v>9.15633E-2</v>
      </c>
      <c r="Z467">
        <v>-2.0074979999999999E-3</v>
      </c>
      <c r="AA467">
        <v>0.99579720000000005</v>
      </c>
      <c r="AB467">
        <v>41</v>
      </c>
      <c r="AC467">
        <v>38.965899999999898</v>
      </c>
      <c r="AD467">
        <v>-1.158463</v>
      </c>
      <c r="AE467">
        <v>-2.9956999999999998</v>
      </c>
      <c r="AF467">
        <v>3.6155777808380098</v>
      </c>
      <c r="AG467">
        <v>-1.158463</v>
      </c>
      <c r="AH467">
        <v>38.878819929711597</v>
      </c>
      <c r="AI467">
        <v>91.699395534876601</v>
      </c>
      <c r="AJ467">
        <v>84.686998134060104</v>
      </c>
      <c r="AK467">
        <v>39.063756582522799</v>
      </c>
      <c r="AL467">
        <v>91.239836511620894</v>
      </c>
      <c r="AM467">
        <v>92.163029359672507</v>
      </c>
      <c r="AN467">
        <v>0.99999997366988602</v>
      </c>
    </row>
    <row r="468" spans="1:40" x14ac:dyDescent="0.25">
      <c r="A468" t="str">
        <f>"20190305135547630"</f>
        <v>20190305135547630</v>
      </c>
      <c r="B468" t="str">
        <f>"1551765347622145"</f>
        <v>1551765347622145</v>
      </c>
      <c r="C468" t="s">
        <v>40</v>
      </c>
      <c r="D468">
        <v>3.8219650000000001</v>
      </c>
      <c r="E468">
        <v>0.54866230000000005</v>
      </c>
      <c r="F468" t="s">
        <v>43</v>
      </c>
      <c r="G468">
        <v>-306.37779999999998</v>
      </c>
      <c r="H468">
        <v>-0.05</v>
      </c>
      <c r="I468">
        <v>365.50569999999999</v>
      </c>
      <c r="J468">
        <v>-343.30110000000002</v>
      </c>
      <c r="K468">
        <v>1.108447</v>
      </c>
      <c r="L468">
        <v>368.28379999999999</v>
      </c>
      <c r="M468">
        <v>0.99985080000000004</v>
      </c>
      <c r="N468">
        <v>-6.4470650000000001E-3</v>
      </c>
      <c r="O468">
        <v>1.6029979999999999E-2</v>
      </c>
      <c r="P468">
        <v>0.99814610000000004</v>
      </c>
      <c r="Q468">
        <v>-2.7820170000000002E-2</v>
      </c>
      <c r="R468">
        <v>5.4137270000000001E-2</v>
      </c>
      <c r="S468">
        <v>3.0149539999999999</v>
      </c>
      <c r="T468">
        <v>-9.4027040000000006E-2</v>
      </c>
      <c r="U468">
        <v>-0.22518920000000001</v>
      </c>
      <c r="V468">
        <v>-3.8125020000000003E-2</v>
      </c>
      <c r="W468">
        <v>-2.1388029999999999E-2</v>
      </c>
      <c r="X468">
        <v>0.99904409999999999</v>
      </c>
      <c r="Y468">
        <v>9.0401839999999997E-2</v>
      </c>
      <c r="Z468">
        <v>-2.0952779999999999E-3</v>
      </c>
      <c r="AA468">
        <v>0.99590319999999999</v>
      </c>
      <c r="AB468">
        <v>41</v>
      </c>
      <c r="AC468">
        <v>36.923299999999998</v>
      </c>
      <c r="AD468">
        <v>-1.158447</v>
      </c>
      <c r="AE468">
        <v>-2.77809999999999</v>
      </c>
      <c r="AF468">
        <v>3.3663400324398398</v>
      </c>
      <c r="AG468">
        <v>-1.158447</v>
      </c>
      <c r="AH468">
        <v>36.837964302401602</v>
      </c>
      <c r="AI468">
        <v>91.793723319815697</v>
      </c>
      <c r="AJ468">
        <v>84.778678313449404</v>
      </c>
      <c r="AK468">
        <v>37.009591440744501</v>
      </c>
      <c r="AL468">
        <v>91.225537251529005</v>
      </c>
      <c r="AM468">
        <v>92.185432338317696</v>
      </c>
      <c r="AN468">
        <v>1.00000003936104</v>
      </c>
    </row>
    <row r="469" spans="1:40" x14ac:dyDescent="0.25">
      <c r="A469" t="str">
        <f>"20190305135547652"</f>
        <v>20190305135547652</v>
      </c>
      <c r="B469" t="str">
        <f>"1551765347642641"</f>
        <v>1551765347642641</v>
      </c>
      <c r="C469" t="s">
        <v>40</v>
      </c>
      <c r="D469">
        <v>3.8418320000000001</v>
      </c>
      <c r="E469">
        <v>0.54853109999999905</v>
      </c>
      <c r="F469" t="s">
        <v>43</v>
      </c>
      <c r="G469">
        <v>-305.67860000000002</v>
      </c>
      <c r="H469">
        <v>-0.05</v>
      </c>
      <c r="I469">
        <v>365.4667</v>
      </c>
      <c r="J469">
        <v>-342.91640000000001</v>
      </c>
      <c r="K469">
        <v>1.1084309999999999</v>
      </c>
      <c r="L469">
        <v>368.29</v>
      </c>
      <c r="M469">
        <v>0.99985029999999997</v>
      </c>
      <c r="N469">
        <v>-6.4147719999999896E-3</v>
      </c>
      <c r="O469">
        <v>1.606906E-2</v>
      </c>
      <c r="P469">
        <v>0.99811950000000005</v>
      </c>
      <c r="Q469">
        <v>-2.812572E-2</v>
      </c>
      <c r="R469">
        <v>5.446529E-2</v>
      </c>
      <c r="S469">
        <v>3.015228</v>
      </c>
      <c r="T469">
        <v>-9.2842820000000006E-2</v>
      </c>
      <c r="U469">
        <v>-0.225769</v>
      </c>
      <c r="V469">
        <v>-3.8415329999999998E-2</v>
      </c>
      <c r="W469">
        <v>-2.1724480000000001E-2</v>
      </c>
      <c r="X469">
        <v>0.99902570000000002</v>
      </c>
      <c r="Y469">
        <v>9.0625720000000007E-2</v>
      </c>
      <c r="Z469">
        <v>-2.0752600000000002E-3</v>
      </c>
      <c r="AA469">
        <v>0.99588290000000002</v>
      </c>
      <c r="AB469">
        <v>41</v>
      </c>
      <c r="AC469">
        <v>37.237799999999901</v>
      </c>
      <c r="AD469">
        <v>-1.158431</v>
      </c>
      <c r="AE469">
        <v>-2.8233000000000099</v>
      </c>
      <c r="AF469">
        <v>3.4180352440933501</v>
      </c>
      <c r="AG469">
        <v>-1.158431</v>
      </c>
      <c r="AH469">
        <v>37.151874124170298</v>
      </c>
      <c r="AI469">
        <v>91.778452628501796</v>
      </c>
      <c r="AJ469">
        <v>84.743488983275995</v>
      </c>
      <c r="AK469">
        <v>37.326755528036699</v>
      </c>
      <c r="AL469">
        <v>91.244818920405393</v>
      </c>
      <c r="AM469">
        <v>92.202097912826503</v>
      </c>
      <c r="AN469">
        <v>1.00000001993538</v>
      </c>
    </row>
    <row r="470" spans="1:40" x14ac:dyDescent="0.25">
      <c r="A470" t="str">
        <f>"20190305135547665"</f>
        <v>20190305135547665</v>
      </c>
      <c r="B470" t="str">
        <f>"1551765347662162"</f>
        <v>1551765347662162</v>
      </c>
      <c r="C470" t="s">
        <v>40</v>
      </c>
      <c r="D470">
        <v>3.8593950000000001</v>
      </c>
      <c r="E470">
        <v>0.54839340000000003</v>
      </c>
      <c r="F470" t="s">
        <v>43</v>
      </c>
      <c r="G470">
        <v>-307.00540000000001</v>
      </c>
      <c r="H470">
        <v>-0.05</v>
      </c>
      <c r="I470">
        <v>365.62349999999998</v>
      </c>
      <c r="J470">
        <v>-342.66860000000003</v>
      </c>
      <c r="K470">
        <v>1.1084149999999999</v>
      </c>
      <c r="L470">
        <v>368.29399999999998</v>
      </c>
      <c r="M470">
        <v>0.99985020000000002</v>
      </c>
      <c r="N470">
        <v>-6.3923369999999997E-3</v>
      </c>
      <c r="O470">
        <v>1.608747E-2</v>
      </c>
      <c r="P470">
        <v>0.99811570000000005</v>
      </c>
      <c r="Q470">
        <v>-2.8025419999999999E-2</v>
      </c>
      <c r="R470">
        <v>5.4588009999999999E-2</v>
      </c>
      <c r="S470">
        <v>3.0151370000000002</v>
      </c>
      <c r="T470">
        <v>-9.7263569999999994E-2</v>
      </c>
      <c r="U470">
        <v>-0.22387699999999999</v>
      </c>
      <c r="V470">
        <v>-3.8520190000000003E-2</v>
      </c>
      <c r="W470">
        <v>-2.164572E-2</v>
      </c>
      <c r="X470">
        <v>0.99902340000000001</v>
      </c>
      <c r="Y470">
        <v>9.0020020000000006E-2</v>
      </c>
      <c r="Z470">
        <v>-2.1532949999999999E-3</v>
      </c>
      <c r="AA470">
        <v>0.99593759999999998</v>
      </c>
      <c r="AB470">
        <v>42</v>
      </c>
      <c r="AC470">
        <v>35.663200000000003</v>
      </c>
      <c r="AD470">
        <v>-1.158415</v>
      </c>
      <c r="AE470">
        <v>-2.67050000000006</v>
      </c>
      <c r="AF470">
        <v>3.2404968104225298</v>
      </c>
      <c r="AG470">
        <v>-1.158415</v>
      </c>
      <c r="AH470">
        <v>35.5782932732956</v>
      </c>
      <c r="AI470">
        <v>91.8571868487617</v>
      </c>
      <c r="AJ470">
        <v>84.795817836532294</v>
      </c>
      <c r="AK470">
        <v>35.744337973044203</v>
      </c>
      <c r="AL470">
        <v>91.240305208709799</v>
      </c>
      <c r="AM470">
        <v>92.208107982829603</v>
      </c>
      <c r="AN470">
        <v>1.00000004798975</v>
      </c>
    </row>
    <row r="471" spans="1:40" x14ac:dyDescent="0.25">
      <c r="A471" t="str">
        <f>"20190305135547685"</f>
        <v>20190305135547685</v>
      </c>
      <c r="B471" t="str">
        <f>"1551765347681681"</f>
        <v>1551765347681681</v>
      </c>
      <c r="C471" t="s">
        <v>40</v>
      </c>
      <c r="D471">
        <v>3.8568190000000002</v>
      </c>
      <c r="E471">
        <v>0.54843129999999995</v>
      </c>
      <c r="F471" t="s">
        <v>43</v>
      </c>
      <c r="G471">
        <v>-307.69110000000001</v>
      </c>
      <c r="H471">
        <v>-0.05</v>
      </c>
      <c r="I471">
        <v>365.71879999999999</v>
      </c>
      <c r="J471">
        <v>-342.29390000000001</v>
      </c>
      <c r="K471">
        <v>1.108393</v>
      </c>
      <c r="L471">
        <v>368.3</v>
      </c>
      <c r="M471">
        <v>0.99985009999999996</v>
      </c>
      <c r="N471">
        <v>-6.358018E-3</v>
      </c>
      <c r="O471">
        <v>1.6108049999999999E-2</v>
      </c>
      <c r="P471">
        <v>0.99810889999999997</v>
      </c>
      <c r="Q471">
        <v>-2.7939060000000002E-2</v>
      </c>
      <c r="R471">
        <v>5.4757449999999999E-2</v>
      </c>
      <c r="S471">
        <v>3.0150450000000002</v>
      </c>
      <c r="T471">
        <v>-9.9854709999999999E-2</v>
      </c>
      <c r="U471">
        <v>-0.22198490000000001</v>
      </c>
      <c r="V471">
        <v>-3.8669820000000001E-2</v>
      </c>
      <c r="W471">
        <v>-2.1592509999999999E-2</v>
      </c>
      <c r="X471">
        <v>0.99901870000000004</v>
      </c>
      <c r="Y471">
        <v>8.9418429999999993E-2</v>
      </c>
      <c r="Z471">
        <v>-2.1934839999999999E-3</v>
      </c>
      <c r="AA471">
        <v>0.99599170000000004</v>
      </c>
      <c r="AB471">
        <v>42</v>
      </c>
      <c r="AC471">
        <v>34.602800000000002</v>
      </c>
      <c r="AD471">
        <v>-1.158393</v>
      </c>
      <c r="AE471">
        <v>-2.5812000000000199</v>
      </c>
      <c r="AF471">
        <v>3.1347662681097601</v>
      </c>
      <c r="AG471">
        <v>-1.158393</v>
      </c>
      <c r="AH471">
        <v>34.518260861929697</v>
      </c>
      <c r="AI471">
        <v>91.914187570288803</v>
      </c>
      <c r="AJ471">
        <v>84.810933752303001</v>
      </c>
      <c r="AK471">
        <v>34.679662149887797</v>
      </c>
      <c r="AL471">
        <v>91.237255875304498</v>
      </c>
      <c r="AM471">
        <v>92.216687160481698</v>
      </c>
      <c r="AN471">
        <v>0.99999997720831102</v>
      </c>
    </row>
    <row r="472" spans="1:40" x14ac:dyDescent="0.25">
      <c r="A472" t="str">
        <f>"20190305135547709"</f>
        <v>20190305135547709</v>
      </c>
      <c r="B472" t="str">
        <f>"1551765347702176"</f>
        <v>1551765347702176</v>
      </c>
      <c r="C472" t="s">
        <v>40</v>
      </c>
      <c r="D472">
        <v>3.8521700000000001</v>
      </c>
      <c r="E472">
        <v>0.54845759999999999</v>
      </c>
      <c r="F472" t="s">
        <v>43</v>
      </c>
      <c r="G472">
        <v>-307.99939999999998</v>
      </c>
      <c r="H472">
        <v>-0.05</v>
      </c>
      <c r="I472">
        <v>365.77289999999999</v>
      </c>
      <c r="J472">
        <v>-341.84</v>
      </c>
      <c r="K472">
        <v>1.1083700000000001</v>
      </c>
      <c r="L472">
        <v>368.3073</v>
      </c>
      <c r="M472">
        <v>0.99985029999999997</v>
      </c>
      <c r="N472">
        <v>-6.318588E-3</v>
      </c>
      <c r="O472">
        <v>1.6113240000000001E-2</v>
      </c>
      <c r="P472">
        <v>0.998085</v>
      </c>
      <c r="Q472">
        <v>-2.7794510000000001E-2</v>
      </c>
      <c r="R472">
        <v>5.5263090000000001E-2</v>
      </c>
      <c r="S472">
        <v>3.0150760000000001</v>
      </c>
      <c r="T472">
        <v>-0.10184260000000001</v>
      </c>
      <c r="U472">
        <v>-0.222168</v>
      </c>
      <c r="V472">
        <v>-3.9171520000000001E-2</v>
      </c>
      <c r="W472">
        <v>-2.1485959999999998E-2</v>
      </c>
      <c r="X472">
        <v>0.99900149999999999</v>
      </c>
      <c r="Y472">
        <v>8.9480569999999995E-2</v>
      </c>
      <c r="Z472">
        <v>-2.233732E-3</v>
      </c>
      <c r="AA472">
        <v>0.99598600000000004</v>
      </c>
      <c r="AB472">
        <v>42</v>
      </c>
      <c r="AC472">
        <v>33.840599999999903</v>
      </c>
      <c r="AD472">
        <v>-1.1583699999999999</v>
      </c>
      <c r="AE472">
        <v>-2.5344000000000002</v>
      </c>
      <c r="AF472">
        <v>3.0757796919607201</v>
      </c>
      <c r="AG472">
        <v>-1.1583699999999999</v>
      </c>
      <c r="AH472">
        <v>33.756036674448197</v>
      </c>
      <c r="AI472">
        <v>91.957285072089405</v>
      </c>
      <c r="AJ472">
        <v>84.793704629027999</v>
      </c>
      <c r="AK472">
        <v>33.915663840430298</v>
      </c>
      <c r="AL472">
        <v>91.231149533475104</v>
      </c>
      <c r="AM472">
        <v>92.245455701972006</v>
      </c>
      <c r="AN472">
        <v>1.0000000257292401</v>
      </c>
    </row>
    <row r="473" spans="1:40" x14ac:dyDescent="0.25">
      <c r="A473" t="str">
        <f>"20190305135547722"</f>
        <v>20190305135547722</v>
      </c>
      <c r="B473" t="str">
        <f>"1551765347711937"</f>
        <v>1551765347711937</v>
      </c>
      <c r="C473" t="s">
        <v>40</v>
      </c>
      <c r="D473">
        <v>3.8267159999999998</v>
      </c>
      <c r="E473">
        <v>0.54849340000000002</v>
      </c>
      <c r="F473" t="s">
        <v>43</v>
      </c>
      <c r="G473">
        <v>-308.06029999999998</v>
      </c>
      <c r="H473">
        <v>-0.05</v>
      </c>
      <c r="I473">
        <v>365.83429999999998</v>
      </c>
      <c r="J473">
        <v>-341.59390000000002</v>
      </c>
      <c r="K473">
        <v>1.10836</v>
      </c>
      <c r="L473">
        <v>368.31119999999999</v>
      </c>
      <c r="M473">
        <v>0.99985060000000003</v>
      </c>
      <c r="N473">
        <v>-6.2999579999999996E-3</v>
      </c>
      <c r="O473">
        <v>1.6099970000000002E-2</v>
      </c>
      <c r="P473">
        <v>0.99806980000000001</v>
      </c>
      <c r="Q473">
        <v>-2.75643E-2</v>
      </c>
      <c r="R473">
        <v>5.5650030000000003E-2</v>
      </c>
      <c r="S473">
        <v>3.0151059999999998</v>
      </c>
      <c r="T473">
        <v>-0.1033934</v>
      </c>
      <c r="U473">
        <v>-0.2207336</v>
      </c>
      <c r="V473">
        <v>-3.9572320000000001E-2</v>
      </c>
      <c r="W473">
        <v>-2.127329E-2</v>
      </c>
      <c r="X473">
        <v>0.99899020000000005</v>
      </c>
      <c r="Y473">
        <v>8.899377E-2</v>
      </c>
      <c r="Z473">
        <v>-2.2541990000000001E-3</v>
      </c>
      <c r="AA473">
        <v>0.99602959999999996</v>
      </c>
      <c r="AB473">
        <v>42</v>
      </c>
      <c r="AC473">
        <v>33.5336</v>
      </c>
      <c r="AD473">
        <v>-1.1583600000000001</v>
      </c>
      <c r="AE473">
        <v>-2.4769000000000001</v>
      </c>
      <c r="AF473">
        <v>3.0129039836198599</v>
      </c>
      <c r="AG473">
        <v>-1.1583600000000001</v>
      </c>
      <c r="AH473">
        <v>33.449677816297203</v>
      </c>
      <c r="AI473">
        <v>91.975365644274504</v>
      </c>
      <c r="AJ473">
        <v>84.853101514918706</v>
      </c>
      <c r="AK473">
        <v>33.605064117156502</v>
      </c>
      <c r="AL473">
        <v>91.218961721837104</v>
      </c>
      <c r="AM473">
        <v>92.268432785517007</v>
      </c>
      <c r="AN473">
        <v>0.99999997053682299</v>
      </c>
    </row>
    <row r="474" spans="1:40" x14ac:dyDescent="0.25">
      <c r="A474" t="str">
        <f>"20190305135547737"</f>
        <v>20190305135547737</v>
      </c>
      <c r="B474" t="str">
        <f>"1551765347732433"</f>
        <v>1551765347732433</v>
      </c>
      <c r="C474" t="s">
        <v>40</v>
      </c>
      <c r="D474">
        <v>3.8654510000000002</v>
      </c>
      <c r="E474">
        <v>0.54859449999999998</v>
      </c>
      <c r="F474" t="s">
        <v>43</v>
      </c>
      <c r="G474">
        <v>-307.89490000000001</v>
      </c>
      <c r="H474">
        <v>-0.05</v>
      </c>
      <c r="I474">
        <v>365.85140000000001</v>
      </c>
      <c r="J474">
        <v>-341.33710000000002</v>
      </c>
      <c r="K474">
        <v>1.1083430000000001</v>
      </c>
      <c r="L474">
        <v>368.31540000000001</v>
      </c>
      <c r="M474">
        <v>0.99985100000000005</v>
      </c>
      <c r="N474">
        <v>-6.2820710000000002E-3</v>
      </c>
      <c r="O474">
        <v>1.6079059999999999E-2</v>
      </c>
      <c r="P474">
        <v>0.9980772</v>
      </c>
      <c r="Q474">
        <v>-2.73913E-2</v>
      </c>
      <c r="R474">
        <v>5.5604300000000002E-2</v>
      </c>
      <c r="S474">
        <v>3.0151979999999998</v>
      </c>
      <c r="T474">
        <v>-0.10364370000000001</v>
      </c>
      <c r="U474">
        <v>-0.22009280000000001</v>
      </c>
      <c r="V474">
        <v>-3.9548630000000001E-2</v>
      </c>
      <c r="W474">
        <v>-2.111679E-2</v>
      </c>
      <c r="X474">
        <v>0.99899450000000001</v>
      </c>
      <c r="Y474">
        <v>8.8760039999999998E-2</v>
      </c>
      <c r="Z474">
        <v>-2.253325E-3</v>
      </c>
      <c r="AA474">
        <v>0.99605049999999995</v>
      </c>
      <c r="AB474">
        <v>42</v>
      </c>
      <c r="AC474">
        <v>33.4422</v>
      </c>
      <c r="AD474">
        <v>-1.1583429999999999</v>
      </c>
      <c r="AE474">
        <v>-2.4639999999999902</v>
      </c>
      <c r="AF474">
        <v>2.99783401345511</v>
      </c>
      <c r="AG474">
        <v>-1.1583429999999999</v>
      </c>
      <c r="AH474">
        <v>33.358451801722602</v>
      </c>
      <c r="AI474">
        <v>91.980770659259903</v>
      </c>
      <c r="AJ474">
        <v>84.864777560265395</v>
      </c>
      <c r="AK474">
        <v>33.512909063310602</v>
      </c>
      <c r="AL474">
        <v>91.209992867148202</v>
      </c>
      <c r="AM474">
        <v>92.267066455805207</v>
      </c>
      <c r="AN474">
        <v>1.0000000119925101</v>
      </c>
    </row>
    <row r="475" spans="1:40" x14ac:dyDescent="0.25">
      <c r="A475" t="str">
        <f>"20190305135547752"</f>
        <v>20190305135547752</v>
      </c>
      <c r="B475" t="str">
        <f>"1551765347742193"</f>
        <v>1551765347742193</v>
      </c>
      <c r="C475" t="s">
        <v>40</v>
      </c>
      <c r="D475">
        <v>3.8753959999999998</v>
      </c>
      <c r="E475">
        <v>0.548658599999999</v>
      </c>
      <c r="F475" t="s">
        <v>43</v>
      </c>
      <c r="G475">
        <v>-308.01510000000002</v>
      </c>
      <c r="H475">
        <v>-0.05</v>
      </c>
      <c r="I475">
        <v>365.87389999999999</v>
      </c>
      <c r="J475">
        <v>-341.02569999999997</v>
      </c>
      <c r="K475">
        <v>1.108322</v>
      </c>
      <c r="L475">
        <v>368.32040000000001</v>
      </c>
      <c r="M475">
        <v>0.99985179999999996</v>
      </c>
      <c r="N475">
        <v>-6.2629900000000004E-3</v>
      </c>
      <c r="O475">
        <v>1.6041199999999999E-2</v>
      </c>
      <c r="P475">
        <v>0.99805619999999995</v>
      </c>
      <c r="Q475">
        <v>-2.7389159999999999E-2</v>
      </c>
      <c r="R475">
        <v>5.5980229999999999E-2</v>
      </c>
      <c r="S475">
        <v>3.0151669999999999</v>
      </c>
      <c r="T475">
        <v>-0.10481360000000001</v>
      </c>
      <c r="U475">
        <v>-0.22091669999999999</v>
      </c>
      <c r="V475">
        <v>-3.996305E-2</v>
      </c>
      <c r="W475">
        <v>-2.1132049999999999E-2</v>
      </c>
      <c r="X475">
        <v>0.99897769999999997</v>
      </c>
      <c r="Y475">
        <v>8.8992199999999994E-2</v>
      </c>
      <c r="Z475">
        <v>-2.2798760000000001E-3</v>
      </c>
      <c r="AA475">
        <v>0.99602970000000002</v>
      </c>
      <c r="AB475">
        <v>42</v>
      </c>
      <c r="AC475">
        <v>33.010599999999897</v>
      </c>
      <c r="AD475">
        <v>-1.1583219999999901</v>
      </c>
      <c r="AE475">
        <v>-2.4465000000000101</v>
      </c>
      <c r="AF475">
        <v>2.9720857418972102</v>
      </c>
      <c r="AG475">
        <v>-1.1583219999999901</v>
      </c>
      <c r="AH475">
        <v>32.926786696200203</v>
      </c>
      <c r="AI475">
        <v>92.006609849945306</v>
      </c>
      <c r="AJ475">
        <v>84.842261853946894</v>
      </c>
      <c r="AK475">
        <v>33.080935380516998</v>
      </c>
      <c r="AL475">
        <v>91.210867377705597</v>
      </c>
      <c r="AM475">
        <v>92.290835772530798</v>
      </c>
      <c r="AN475">
        <v>1.0000000269998901</v>
      </c>
    </row>
    <row r="476" spans="1:40" x14ac:dyDescent="0.25">
      <c r="A476" t="str">
        <f>"20190305135547775"</f>
        <v>20190305135547775</v>
      </c>
      <c r="B476" t="str">
        <f>"1551765347772449"</f>
        <v>1551765347772449</v>
      </c>
      <c r="C476" t="s">
        <v>40</v>
      </c>
      <c r="D476">
        <v>3.8004910000000001</v>
      </c>
      <c r="E476">
        <v>0.5490623</v>
      </c>
      <c r="F476" t="s">
        <v>43</v>
      </c>
      <c r="G476">
        <v>-307.85059999999999</v>
      </c>
      <c r="H476">
        <v>-0.05</v>
      </c>
      <c r="I476">
        <v>365.89319999999998</v>
      </c>
      <c r="J476">
        <v>-340.60930000000002</v>
      </c>
      <c r="K476">
        <v>1.1082829999999999</v>
      </c>
      <c r="L476">
        <v>368.327</v>
      </c>
      <c r="M476">
        <v>0.9998532</v>
      </c>
      <c r="N476">
        <v>-6.2425249999999996E-3</v>
      </c>
      <c r="O476">
        <v>1.5962899999999999E-2</v>
      </c>
      <c r="P476">
        <v>0.99804479999999995</v>
      </c>
      <c r="Q476">
        <v>-2.7153900000000002E-2</v>
      </c>
      <c r="R476">
        <v>5.6299660000000001E-2</v>
      </c>
      <c r="S476">
        <v>3.01532</v>
      </c>
      <c r="T476">
        <v>-0.10528120000000001</v>
      </c>
      <c r="U476">
        <v>-0.22061159999999999</v>
      </c>
      <c r="V476">
        <v>-4.0362410000000001E-2</v>
      </c>
      <c r="W476">
        <v>-2.0914499999999999E-2</v>
      </c>
      <c r="X476">
        <v>0.99896620000000003</v>
      </c>
      <c r="Y476">
        <v>8.8809849999999996E-2</v>
      </c>
      <c r="Z476">
        <v>-2.2825710000000002E-3</v>
      </c>
      <c r="AA476">
        <v>0.99604599999999999</v>
      </c>
      <c r="AB476">
        <v>42</v>
      </c>
      <c r="AC476">
        <v>32.758699999999997</v>
      </c>
      <c r="AD476">
        <v>-1.158283</v>
      </c>
      <c r="AE476">
        <v>-2.4338000000000202</v>
      </c>
      <c r="AF476">
        <v>2.9527526348953601</v>
      </c>
      <c r="AG476">
        <v>-1.158283</v>
      </c>
      <c r="AH476">
        <v>32.6750488434879</v>
      </c>
      <c r="AI476">
        <v>92.021969757528794</v>
      </c>
      <c r="AJ476">
        <v>84.836366231404796</v>
      </c>
      <c r="AK476">
        <v>32.828633607801798</v>
      </c>
      <c r="AL476">
        <v>91.198399952561502</v>
      </c>
      <c r="AM476">
        <v>92.313730473959396</v>
      </c>
      <c r="AN476">
        <v>1.00000000459684</v>
      </c>
    </row>
    <row r="477" spans="1:40" x14ac:dyDescent="0.25">
      <c r="A477" t="str">
        <f>"20190305135547798"</f>
        <v>20190305135547798</v>
      </c>
      <c r="B477" t="str">
        <f>"1551765347791968"</f>
        <v>1551765347791968</v>
      </c>
      <c r="C477" t="s">
        <v>40</v>
      </c>
      <c r="D477">
        <v>4.1961529999999998</v>
      </c>
      <c r="E477">
        <v>0.54939380000000004</v>
      </c>
      <c r="F477" t="s">
        <v>43</v>
      </c>
      <c r="G477">
        <v>-306.74689999999998</v>
      </c>
      <c r="H477">
        <v>-0.05</v>
      </c>
      <c r="I477">
        <v>365.82679999999999</v>
      </c>
      <c r="J477">
        <v>-340.17259999999999</v>
      </c>
      <c r="K477">
        <v>1.1082479999999999</v>
      </c>
      <c r="L477">
        <v>368.33390000000003</v>
      </c>
      <c r="M477">
        <v>0.9998551</v>
      </c>
      <c r="N477">
        <v>-6.2264290000000003E-3</v>
      </c>
      <c r="O477">
        <v>1.585071E-2</v>
      </c>
      <c r="P477">
        <v>0.99801530000000005</v>
      </c>
      <c r="Q477">
        <v>-2.702421E-2</v>
      </c>
      <c r="R477">
        <v>5.6882200000000001E-2</v>
      </c>
      <c r="S477">
        <v>3.0155940000000001</v>
      </c>
      <c r="T477">
        <v>-0.10315000000000001</v>
      </c>
      <c r="U477">
        <v>-0.2226563</v>
      </c>
      <c r="V477">
        <v>-4.1059390000000001E-2</v>
      </c>
      <c r="W477">
        <v>-2.079781E-2</v>
      </c>
      <c r="X477">
        <v>0.99894019999999994</v>
      </c>
      <c r="Y477">
        <v>8.9365589999999995E-2</v>
      </c>
      <c r="Z477">
        <v>-2.247392E-3</v>
      </c>
      <c r="AA477">
        <v>0.9959964</v>
      </c>
      <c r="AB477">
        <v>42</v>
      </c>
      <c r="AC477">
        <v>33.425699999999999</v>
      </c>
      <c r="AD477">
        <v>-1.1582479999999999</v>
      </c>
      <c r="AE477">
        <v>-2.5071000000000301</v>
      </c>
      <c r="AF477">
        <v>3.03299489814159</v>
      </c>
      <c r="AG477">
        <v>-1.1582479999999999</v>
      </c>
      <c r="AH477">
        <v>33.341950059284997</v>
      </c>
      <c r="AI477">
        <v>91.981392658170705</v>
      </c>
      <c r="AJ477">
        <v>84.802318319513603</v>
      </c>
      <c r="AK477">
        <v>33.499645225546999</v>
      </c>
      <c r="AL477">
        <v>91.191712691408597</v>
      </c>
      <c r="AM477">
        <v>92.353700720578203</v>
      </c>
      <c r="AN477">
        <v>0.99999997279200303</v>
      </c>
    </row>
    <row r="478" spans="1:40" x14ac:dyDescent="0.25">
      <c r="A478" t="str">
        <f>"20190305135547822"</f>
        <v>20190305135547822</v>
      </c>
      <c r="B478" t="str">
        <f>"1551765347812465"</f>
        <v>1551765347812465</v>
      </c>
      <c r="C478" t="s">
        <v>40</v>
      </c>
      <c r="D478">
        <v>3.7911999999999999</v>
      </c>
      <c r="E478">
        <v>0.54972449999999995</v>
      </c>
      <c r="F478" t="s">
        <v>43</v>
      </c>
      <c r="G478">
        <v>-305.68819999999999</v>
      </c>
      <c r="H478">
        <v>-0.05</v>
      </c>
      <c r="I478">
        <v>365.78140000000002</v>
      </c>
      <c r="J478">
        <v>-339.72550000000001</v>
      </c>
      <c r="K478">
        <v>1.1082129999999999</v>
      </c>
      <c r="L478">
        <v>368.34089999999998</v>
      </c>
      <c r="M478">
        <v>0.99985729999999995</v>
      </c>
      <c r="N478">
        <v>-6.2166529999999999E-3</v>
      </c>
      <c r="O478">
        <v>1.570614E-2</v>
      </c>
      <c r="P478">
        <v>0.9979905</v>
      </c>
      <c r="Q478">
        <v>-2.7139429999999999E-2</v>
      </c>
      <c r="R478">
        <v>5.7257969999999998E-2</v>
      </c>
      <c r="S478">
        <v>3.01593</v>
      </c>
      <c r="T478">
        <v>-0.1012977</v>
      </c>
      <c r="U478">
        <v>-0.22323609999999999</v>
      </c>
      <c r="V478">
        <v>-4.1581340000000001E-2</v>
      </c>
      <c r="W478">
        <v>-2.091966E-2</v>
      </c>
      <c r="X478">
        <v>0.99891609999999997</v>
      </c>
      <c r="Y478">
        <v>8.940621E-2</v>
      </c>
      <c r="Z478">
        <v>-2.2066239999999999E-3</v>
      </c>
      <c r="AA478">
        <v>0.99599280000000001</v>
      </c>
      <c r="AB478">
        <v>42</v>
      </c>
      <c r="AC478">
        <v>34.037300000000002</v>
      </c>
      <c r="AD478">
        <v>-1.1582129999999999</v>
      </c>
      <c r="AE478">
        <v>-2.5594999999999501</v>
      </c>
      <c r="AF478">
        <v>3.0902311953970201</v>
      </c>
      <c r="AG478">
        <v>-1.1582129999999999</v>
      </c>
      <c r="AH478">
        <v>33.953807068745498</v>
      </c>
      <c r="AI478">
        <v>91.945648205603106</v>
      </c>
      <c r="AJ478">
        <v>84.799677519857099</v>
      </c>
      <c r="AK478">
        <v>34.113809530100298</v>
      </c>
      <c r="AL478">
        <v>91.1986956600893</v>
      </c>
      <c r="AM478">
        <v>92.383644284895695</v>
      </c>
      <c r="AN478">
        <v>1.00000000742496</v>
      </c>
    </row>
    <row r="479" spans="1:40" x14ac:dyDescent="0.25">
      <c r="A479" t="str">
        <f>"20190305135547843"</f>
        <v>20190305135547843</v>
      </c>
      <c r="B479" t="str">
        <f>"1551765347831985"</f>
        <v>1551765347831985</v>
      </c>
      <c r="C479" t="s">
        <v>40</v>
      </c>
      <c r="D479">
        <v>3.8128510000000002</v>
      </c>
      <c r="E479">
        <v>0.54997339999999995</v>
      </c>
      <c r="F479" t="s">
        <v>43</v>
      </c>
      <c r="G479">
        <v>-305.02980000000002</v>
      </c>
      <c r="H479">
        <v>-0.05</v>
      </c>
      <c r="I479">
        <v>365.75259999999997</v>
      </c>
      <c r="J479">
        <v>-339.31490000000002</v>
      </c>
      <c r="K479">
        <v>1.1081909999999999</v>
      </c>
      <c r="L479">
        <v>368.34719999999999</v>
      </c>
      <c r="M479">
        <v>0.99985990000000002</v>
      </c>
      <c r="N479">
        <v>-6.215216E-3</v>
      </c>
      <c r="O479">
        <v>1.554989E-2</v>
      </c>
      <c r="P479">
        <v>0.99798019999999998</v>
      </c>
      <c r="Q479">
        <v>-2.7085910000000001E-2</v>
      </c>
      <c r="R479">
        <v>5.7464010000000003E-2</v>
      </c>
      <c r="S479">
        <v>3.0162049999999998</v>
      </c>
      <c r="T479">
        <v>-0.10068729999999999</v>
      </c>
      <c r="U479">
        <v>-0.22500609999999999</v>
      </c>
      <c r="V479">
        <v>-4.1944809999999999E-2</v>
      </c>
      <c r="W479">
        <v>-2.0864850000000001E-2</v>
      </c>
      <c r="X479">
        <v>0.99890199999999996</v>
      </c>
      <c r="Y479">
        <v>8.982569E-2</v>
      </c>
      <c r="Z479">
        <v>-2.198218E-3</v>
      </c>
      <c r="AA479">
        <v>0.99595500000000003</v>
      </c>
      <c r="AB479">
        <v>42</v>
      </c>
      <c r="AC479">
        <v>34.2851</v>
      </c>
      <c r="AD479">
        <v>-1.158191</v>
      </c>
      <c r="AE479">
        <v>-2.59460000000001</v>
      </c>
      <c r="AF479">
        <v>3.1238814748553798</v>
      </c>
      <c r="AG479">
        <v>-1.158191</v>
      </c>
      <c r="AH479">
        <v>34.201800276838902</v>
      </c>
      <c r="AI479">
        <v>91.931458068833393</v>
      </c>
      <c r="AJ479">
        <v>84.781269493207006</v>
      </c>
      <c r="AK479">
        <v>34.363689907200097</v>
      </c>
      <c r="AL479">
        <v>91.195554652748498</v>
      </c>
      <c r="AM479">
        <v>92.404489701622794</v>
      </c>
      <c r="AN479">
        <v>0.99999995732772795</v>
      </c>
    </row>
    <row r="480" spans="1:40" x14ac:dyDescent="0.25">
      <c r="A480" t="str">
        <f>"20190305135547864"</f>
        <v>20190305135547864</v>
      </c>
      <c r="B480" t="str">
        <f>"1551765347852481"</f>
        <v>1551765347852481</v>
      </c>
      <c r="C480" t="s">
        <v>40</v>
      </c>
      <c r="D480">
        <v>3.8551549999999999</v>
      </c>
      <c r="E480">
        <v>0.55007119999999998</v>
      </c>
      <c r="F480" t="s">
        <v>43</v>
      </c>
      <c r="G480">
        <v>-304.39530000000002</v>
      </c>
      <c r="H480">
        <v>-0.05</v>
      </c>
      <c r="I480">
        <v>365.72859999999997</v>
      </c>
      <c r="J480">
        <v>-338.91559999999998</v>
      </c>
      <c r="K480">
        <v>1.108169</v>
      </c>
      <c r="L480">
        <v>368.35340000000002</v>
      </c>
      <c r="M480">
        <v>0.99986249999999999</v>
      </c>
      <c r="N480">
        <v>-6.2196059999999999E-3</v>
      </c>
      <c r="O480">
        <v>1.5380889999999999E-2</v>
      </c>
      <c r="P480">
        <v>0.99796689999999999</v>
      </c>
      <c r="Q480">
        <v>-2.71506E-2</v>
      </c>
      <c r="R480">
        <v>5.7663060000000002E-2</v>
      </c>
      <c r="S480">
        <v>3.0163880000000001</v>
      </c>
      <c r="T480">
        <v>-0.1000457</v>
      </c>
      <c r="U480">
        <v>-0.22619629999999999</v>
      </c>
      <c r="V480">
        <v>-4.2313900000000002E-2</v>
      </c>
      <c r="W480">
        <v>-2.0922820000000002E-2</v>
      </c>
      <c r="X480">
        <v>0.99888529999999998</v>
      </c>
      <c r="Y480">
        <v>9.004434E-2</v>
      </c>
      <c r="Z480">
        <v>-2.1851219999999998E-3</v>
      </c>
      <c r="AA480">
        <v>0.99593540000000003</v>
      </c>
      <c r="AB480">
        <v>43</v>
      </c>
      <c r="AC480">
        <v>34.520299999999899</v>
      </c>
      <c r="AD480">
        <v>-1.158169</v>
      </c>
      <c r="AE480">
        <v>-2.62480000000004</v>
      </c>
      <c r="AF480">
        <v>3.1519251273564599</v>
      </c>
      <c r="AG480">
        <v>-1.158169</v>
      </c>
      <c r="AH480">
        <v>34.437303046381103</v>
      </c>
      <c r="AI480">
        <v>91.918190126680997</v>
      </c>
      <c r="AJ480">
        <v>84.770489211325</v>
      </c>
      <c r="AK480">
        <v>34.600633354742399</v>
      </c>
      <c r="AL480">
        <v>91.198876719473802</v>
      </c>
      <c r="AM480">
        <v>92.4256631595524</v>
      </c>
      <c r="AN480">
        <v>1.0000000365430199</v>
      </c>
    </row>
    <row r="481" spans="1:40" x14ac:dyDescent="0.25">
      <c r="A481" t="str">
        <f>"20190305135547876"</f>
        <v>20190305135547876</v>
      </c>
      <c r="B481" t="str">
        <f>"1551765347872002"</f>
        <v>1551765347872002</v>
      </c>
      <c r="C481" t="s">
        <v>40</v>
      </c>
      <c r="D481">
        <v>3.892093</v>
      </c>
      <c r="E481">
        <v>0.55016140000000002</v>
      </c>
      <c r="F481" t="s">
        <v>43</v>
      </c>
      <c r="G481">
        <v>-304.76769999999999</v>
      </c>
      <c r="H481">
        <v>-0.05</v>
      </c>
      <c r="I481">
        <v>365.78710000000001</v>
      </c>
      <c r="J481">
        <v>-338.67009999999999</v>
      </c>
      <c r="K481">
        <v>1.1081570000000001</v>
      </c>
      <c r="L481">
        <v>368.3571</v>
      </c>
      <c r="M481">
        <v>0.99986399999999998</v>
      </c>
      <c r="N481">
        <v>-6.2244600000000002E-3</v>
      </c>
      <c r="O481">
        <v>1.5270209999999999E-2</v>
      </c>
      <c r="P481">
        <v>0.99798560000000003</v>
      </c>
      <c r="Q481">
        <v>-2.7041240000000001E-2</v>
      </c>
      <c r="R481">
        <v>5.7390990000000003E-2</v>
      </c>
      <c r="S481">
        <v>3.0164179999999998</v>
      </c>
      <c r="T481">
        <v>-0.10230549999999999</v>
      </c>
      <c r="U481">
        <v>-0.22668460000000001</v>
      </c>
      <c r="V481">
        <v>-4.2152540000000002E-2</v>
      </c>
      <c r="W481">
        <v>-2.080736E-2</v>
      </c>
      <c r="X481">
        <v>0.99889450000000002</v>
      </c>
      <c r="Y481">
        <v>9.0090909999999996E-2</v>
      </c>
      <c r="Z481">
        <v>-2.2282669999999999E-3</v>
      </c>
      <c r="AA481">
        <v>0.99593100000000001</v>
      </c>
      <c r="AB481">
        <v>43</v>
      </c>
      <c r="AC481">
        <v>33.9024</v>
      </c>
      <c r="AD481">
        <v>-1.1581569999999899</v>
      </c>
      <c r="AE481">
        <v>-2.5699999999999901</v>
      </c>
      <c r="AF481">
        <v>3.0838288557012601</v>
      </c>
      <c r="AG481">
        <v>-1.1581569999999899</v>
      </c>
      <c r="AH481">
        <v>33.819959078218602</v>
      </c>
      <c r="AI481">
        <v>91.953217965760402</v>
      </c>
      <c r="AJ481">
        <v>84.789966750646101</v>
      </c>
      <c r="AK481">
        <v>33.980008241615899</v>
      </c>
      <c r="AL481">
        <v>91.192259949132406</v>
      </c>
      <c r="AM481">
        <v>92.416401882069195</v>
      </c>
      <c r="AN481">
        <v>1.00000000249443</v>
      </c>
    </row>
    <row r="482" spans="1:40" x14ac:dyDescent="0.25">
      <c r="A482" t="str">
        <f>"20190305135547898"</f>
        <v>20190305135547898</v>
      </c>
      <c r="B482" t="str">
        <f>"1551765347892497"</f>
        <v>1551765347892497</v>
      </c>
      <c r="C482" t="s">
        <v>40</v>
      </c>
      <c r="D482">
        <v>3.8968609999999999</v>
      </c>
      <c r="E482">
        <v>0.5502302</v>
      </c>
      <c r="F482" t="s">
        <v>43</v>
      </c>
      <c r="G482">
        <v>-305.12369999999999</v>
      </c>
      <c r="H482">
        <v>-0.05</v>
      </c>
      <c r="I482">
        <v>365.81970000000001</v>
      </c>
      <c r="J482">
        <v>-338.26909999999998</v>
      </c>
      <c r="K482">
        <v>1.108133</v>
      </c>
      <c r="L482">
        <v>368.363</v>
      </c>
      <c r="M482">
        <v>0.99986679999999994</v>
      </c>
      <c r="N482">
        <v>-6.2349559999999998E-3</v>
      </c>
      <c r="O482">
        <v>1.508163E-2</v>
      </c>
      <c r="P482">
        <v>0.99799099999999996</v>
      </c>
      <c r="Q482">
        <v>-2.7024159999999998E-2</v>
      </c>
      <c r="R482">
        <v>5.7303020000000003E-2</v>
      </c>
      <c r="S482">
        <v>3.0163570000000002</v>
      </c>
      <c r="T482">
        <v>-0.1041371</v>
      </c>
      <c r="U482">
        <v>-0.2281494</v>
      </c>
      <c r="V482">
        <v>-4.2254010000000002E-2</v>
      </c>
      <c r="W482">
        <v>-2.0778029999999999E-2</v>
      </c>
      <c r="X482">
        <v>0.99889079999999997</v>
      </c>
      <c r="Y482">
        <v>9.0383080000000005E-2</v>
      </c>
      <c r="Z482">
        <v>-2.2657570000000002E-3</v>
      </c>
      <c r="AA482">
        <v>0.99590449999999997</v>
      </c>
      <c r="AB482">
        <v>43</v>
      </c>
      <c r="AC482">
        <v>33.145399999999903</v>
      </c>
      <c r="AD482">
        <v>-1.1581330000000001</v>
      </c>
      <c r="AE482">
        <v>-2.5433000000000399</v>
      </c>
      <c r="AF482">
        <v>3.0392183373829602</v>
      </c>
      <c r="AG482">
        <v>-1.1581330000000001</v>
      </c>
      <c r="AH482">
        <v>33.0631426179824</v>
      </c>
      <c r="AI482">
        <v>91.997716254314696</v>
      </c>
      <c r="AJ482">
        <v>84.748037029526103</v>
      </c>
      <c r="AK482">
        <v>33.222725955662</v>
      </c>
      <c r="AL482">
        <v>91.190579128385494</v>
      </c>
      <c r="AM482">
        <v>92.4222207095671</v>
      </c>
      <c r="AN482">
        <v>0.99999997910820004</v>
      </c>
    </row>
    <row r="483" spans="1:40" x14ac:dyDescent="0.25">
      <c r="A483" t="str">
        <f>"20190305135547920"</f>
        <v>20190305135547920</v>
      </c>
      <c r="B483" t="str">
        <f>"1551765347912020"</f>
        <v>1551765347912020</v>
      </c>
      <c r="C483" t="s">
        <v>40</v>
      </c>
      <c r="D483">
        <v>3.8343150000000001</v>
      </c>
      <c r="E483">
        <v>0.55054320000000001</v>
      </c>
      <c r="F483" t="s">
        <v>43</v>
      </c>
      <c r="G483">
        <v>-305.1825</v>
      </c>
      <c r="H483">
        <v>-0.05</v>
      </c>
      <c r="I483">
        <v>365.84769999999997</v>
      </c>
      <c r="J483">
        <v>-337.82150000000001</v>
      </c>
      <c r="K483">
        <v>1.1081160000000001</v>
      </c>
      <c r="L483">
        <v>368.36959999999999</v>
      </c>
      <c r="M483">
        <v>0.99987020000000004</v>
      </c>
      <c r="N483">
        <v>-6.2495930000000003E-3</v>
      </c>
      <c r="O483">
        <v>1.486312E-2</v>
      </c>
      <c r="P483">
        <v>0.9980118</v>
      </c>
      <c r="Q483">
        <v>-2.690536E-2</v>
      </c>
      <c r="R483">
        <v>5.6998699999999999E-2</v>
      </c>
      <c r="S483">
        <v>3.0163570000000002</v>
      </c>
      <c r="T483">
        <v>-0.10558190000000001</v>
      </c>
      <c r="U483">
        <v>-0.22930909999999999</v>
      </c>
      <c r="V483">
        <v>-4.2168400000000002E-2</v>
      </c>
      <c r="W483">
        <v>-2.064297E-2</v>
      </c>
      <c r="X483">
        <v>0.99889729999999999</v>
      </c>
      <c r="Y483">
        <v>9.0544250000000007E-2</v>
      </c>
      <c r="Z483">
        <v>-2.2920290000000001E-3</v>
      </c>
      <c r="AA483">
        <v>0.99588980000000005</v>
      </c>
      <c r="AB483">
        <v>43</v>
      </c>
      <c r="AC483">
        <v>32.639000000000003</v>
      </c>
      <c r="AD483">
        <v>-1.1581159999999999</v>
      </c>
      <c r="AE483">
        <v>-2.5219000000000098</v>
      </c>
      <c r="AF483">
        <v>3.0029898010587002</v>
      </c>
      <c r="AG483">
        <v>-1.1581159999999999</v>
      </c>
      <c r="AH483">
        <v>32.557163804020298</v>
      </c>
      <c r="AI483">
        <v>92.028649301332194</v>
      </c>
      <c r="AJ483">
        <v>84.730094596664102</v>
      </c>
      <c r="AK483">
        <v>32.715869167370897</v>
      </c>
      <c r="AL483">
        <v>91.182839003166293</v>
      </c>
      <c r="AM483">
        <v>92.417303213196703</v>
      </c>
      <c r="AN483">
        <v>1.0000000610581301</v>
      </c>
    </row>
    <row r="484" spans="1:40" x14ac:dyDescent="0.25">
      <c r="A484" t="str">
        <f>"20190305135547935"</f>
        <v>20190305135547935</v>
      </c>
      <c r="B484" t="str">
        <f>"1551765347932513"</f>
        <v>1551765347932513</v>
      </c>
      <c r="C484" t="s">
        <v>40</v>
      </c>
      <c r="D484">
        <v>3.8709319999999998</v>
      </c>
      <c r="E484">
        <v>0.55079599999999995</v>
      </c>
      <c r="F484" t="s">
        <v>43</v>
      </c>
      <c r="G484">
        <v>-304.5129</v>
      </c>
      <c r="H484">
        <v>-0.05</v>
      </c>
      <c r="I484">
        <v>365.80439999999999</v>
      </c>
      <c r="J484">
        <v>-337.56259999999997</v>
      </c>
      <c r="K484">
        <v>1.108107</v>
      </c>
      <c r="L484">
        <v>368.3734</v>
      </c>
      <c r="M484">
        <v>0.99987190000000004</v>
      </c>
      <c r="N484">
        <v>-6.2590780000000004E-3</v>
      </c>
      <c r="O484">
        <v>1.4734519999999999E-2</v>
      </c>
      <c r="P484">
        <v>0.99803640000000005</v>
      </c>
      <c r="Q484">
        <v>-2.6709960000000001E-2</v>
      </c>
      <c r="R484">
        <v>5.6659220000000003E-2</v>
      </c>
      <c r="S484">
        <v>3.0164490000000002</v>
      </c>
      <c r="T484">
        <v>-0.1048796</v>
      </c>
      <c r="U484">
        <v>-0.2322998</v>
      </c>
      <c r="V484">
        <v>-4.1957099999999997E-2</v>
      </c>
      <c r="W484">
        <v>-2.0437299999999999E-2</v>
      </c>
      <c r="X484">
        <v>0.99891039999999998</v>
      </c>
      <c r="Y484">
        <v>9.1395850000000001E-2</v>
      </c>
      <c r="Z484">
        <v>-2.2920100000000001E-3</v>
      </c>
      <c r="AA484">
        <v>0.99581200000000003</v>
      </c>
      <c r="AB484">
        <v>43</v>
      </c>
      <c r="AC484">
        <v>33.049699999999902</v>
      </c>
      <c r="AD484">
        <v>-1.158107</v>
      </c>
      <c r="AE484">
        <v>-2.5690000000000102</v>
      </c>
      <c r="AF484">
        <v>3.0519770722253199</v>
      </c>
      <c r="AG484">
        <v>-1.158107</v>
      </c>
      <c r="AH484">
        <v>32.968020055132399</v>
      </c>
      <c r="AI484">
        <v>92.003311208384503</v>
      </c>
      <c r="AJ484">
        <v>84.7109826281784</v>
      </c>
      <c r="AK484">
        <v>33.129233649881598</v>
      </c>
      <c r="AL484">
        <v>91.171052525564406</v>
      </c>
      <c r="AM484">
        <v>92.405173197716195</v>
      </c>
      <c r="AN484">
        <v>1.00000003434992</v>
      </c>
    </row>
    <row r="485" spans="1:40" x14ac:dyDescent="0.25">
      <c r="A485" t="str">
        <f>"20190305135547953"</f>
        <v>20190305135547953</v>
      </c>
      <c r="B485" t="str">
        <f>"1551765347942273"</f>
        <v>1551765347942273</v>
      </c>
      <c r="C485" t="s">
        <v>40</v>
      </c>
      <c r="D485">
        <v>3.8877250000000001</v>
      </c>
      <c r="E485">
        <v>0.550929</v>
      </c>
      <c r="F485" t="s">
        <v>43</v>
      </c>
      <c r="G485">
        <v>-304.1626</v>
      </c>
      <c r="H485">
        <v>-0.05</v>
      </c>
      <c r="I485">
        <v>365.76639999999998</v>
      </c>
      <c r="J485">
        <v>-337.19650000000001</v>
      </c>
      <c r="K485">
        <v>1.1080989999999999</v>
      </c>
      <c r="L485">
        <v>368.37869999999998</v>
      </c>
      <c r="M485">
        <v>0.9998745</v>
      </c>
      <c r="N485">
        <v>-6.2736839999999999E-3</v>
      </c>
      <c r="O485">
        <v>1.4550449999999999E-2</v>
      </c>
      <c r="P485">
        <v>0.99807349999999995</v>
      </c>
      <c r="Q485">
        <v>-2.649545E-2</v>
      </c>
      <c r="R485">
        <v>5.6104250000000001E-2</v>
      </c>
      <c r="S485">
        <v>3.0165099999999998</v>
      </c>
      <c r="T485">
        <v>-0.1045939</v>
      </c>
      <c r="U485">
        <v>-0.23544309999999999</v>
      </c>
      <c r="V485">
        <v>-4.1586230000000002E-2</v>
      </c>
      <c r="W485">
        <v>-2.0207220000000001E-2</v>
      </c>
      <c r="X485">
        <v>0.9989306</v>
      </c>
      <c r="Y485">
        <v>9.2242240000000003E-2</v>
      </c>
      <c r="Z485">
        <v>-2.2987289999999998E-3</v>
      </c>
      <c r="AA485">
        <v>0.99573389999999995</v>
      </c>
      <c r="AB485">
        <v>43</v>
      </c>
      <c r="AC485">
        <v>33.033900000000003</v>
      </c>
      <c r="AD485">
        <v>-1.158099</v>
      </c>
      <c r="AE485">
        <v>-2.6122999999999998</v>
      </c>
      <c r="AF485">
        <v>3.08891813047939</v>
      </c>
      <c r="AG485">
        <v>-1.158099</v>
      </c>
      <c r="AH485">
        <v>32.952143559659902</v>
      </c>
      <c r="AI485">
        <v>92.004046212405996</v>
      </c>
      <c r="AJ485">
        <v>84.644770168370002</v>
      </c>
      <c r="AK485">
        <v>33.116859357237402</v>
      </c>
      <c r="AL485">
        <v>91.157867177758106</v>
      </c>
      <c r="AM485">
        <v>92.383889716062797</v>
      </c>
      <c r="AN485">
        <v>1.00000004494104</v>
      </c>
    </row>
    <row r="486" spans="1:40" x14ac:dyDescent="0.25">
      <c r="A486" t="str">
        <f>"20190305135547978"</f>
        <v>20190305135547978</v>
      </c>
      <c r="B486" t="str">
        <f>"1551765347972530"</f>
        <v>1551765347972530</v>
      </c>
      <c r="C486" t="s">
        <v>40</v>
      </c>
      <c r="D486">
        <v>3.9025050000000001</v>
      </c>
      <c r="E486">
        <v>0.55123929999999999</v>
      </c>
      <c r="F486" t="s">
        <v>43</v>
      </c>
      <c r="G486">
        <v>-303.63459999999998</v>
      </c>
      <c r="H486">
        <v>-0.05</v>
      </c>
      <c r="I486">
        <v>365.7285</v>
      </c>
      <c r="J486">
        <v>-336.7484</v>
      </c>
      <c r="K486">
        <v>1.1080859999999999</v>
      </c>
      <c r="L486">
        <v>368.38499999999999</v>
      </c>
      <c r="M486">
        <v>0.99987780000000004</v>
      </c>
      <c r="N486">
        <v>-6.293318E-3</v>
      </c>
      <c r="O486">
        <v>1.432367E-2</v>
      </c>
      <c r="P486">
        <v>0.99809840000000005</v>
      </c>
      <c r="Q486">
        <v>-2.640839E-2</v>
      </c>
      <c r="R486">
        <v>5.5700670000000001E-2</v>
      </c>
      <c r="S486">
        <v>3.0164179999999998</v>
      </c>
      <c r="T486">
        <v>-0.1040856</v>
      </c>
      <c r="U486">
        <v>-0.2381897</v>
      </c>
      <c r="V486">
        <v>-4.1409130000000002E-2</v>
      </c>
      <c r="W486">
        <v>-2.009946E-2</v>
      </c>
      <c r="X486">
        <v>0.9989401</v>
      </c>
      <c r="Y486">
        <v>9.2920069999999994E-2</v>
      </c>
      <c r="Z486">
        <v>-2.2965759999999998E-3</v>
      </c>
      <c r="AA486">
        <v>0.99567090000000003</v>
      </c>
      <c r="AB486">
        <v>43</v>
      </c>
      <c r="AC486">
        <v>33.113799999999998</v>
      </c>
      <c r="AD486">
        <v>-1.1580859999999999</v>
      </c>
      <c r="AE486">
        <v>-2.6564999999999901</v>
      </c>
      <c r="AF486">
        <v>3.1267480216749499</v>
      </c>
      <c r="AG486">
        <v>-1.1580859999999999</v>
      </c>
      <c r="AH486">
        <v>33.032207690381199</v>
      </c>
      <c r="AI486">
        <v>91.998999071541107</v>
      </c>
      <c r="AJ486">
        <v>84.592633278907002</v>
      </c>
      <c r="AK486">
        <v>33.200067187807299</v>
      </c>
      <c r="AL486">
        <v>91.151691766400305</v>
      </c>
      <c r="AM486">
        <v>92.373726721746607</v>
      </c>
      <c r="AN486">
        <v>1.0000000138638201</v>
      </c>
    </row>
    <row r="487" spans="1:40" x14ac:dyDescent="0.25">
      <c r="A487" t="str">
        <f>"20190305135547999"</f>
        <v>20190305135547999</v>
      </c>
      <c r="B487" t="str">
        <f>"1551765347992052"</f>
        <v>1551765347992052</v>
      </c>
      <c r="C487" t="s">
        <v>40</v>
      </c>
      <c r="D487">
        <v>3.9083679999999998</v>
      </c>
      <c r="E487">
        <v>0.551396</v>
      </c>
      <c r="F487" t="s">
        <v>43</v>
      </c>
      <c r="G487">
        <v>-303.31299999999999</v>
      </c>
      <c r="H487">
        <v>-0.05</v>
      </c>
      <c r="I487">
        <v>365.7047</v>
      </c>
      <c r="J487">
        <v>-336.30689999999998</v>
      </c>
      <c r="K487">
        <v>1.1080779999999999</v>
      </c>
      <c r="L487">
        <v>368.3913</v>
      </c>
      <c r="M487">
        <v>0.99988069999999896</v>
      </c>
      <c r="N487">
        <v>-6.3138869999999998E-3</v>
      </c>
      <c r="O487">
        <v>1.409995E-2</v>
      </c>
      <c r="P487">
        <v>0.99813350000000001</v>
      </c>
      <c r="Q487">
        <v>-2.6519999999999998E-2</v>
      </c>
      <c r="R487">
        <v>5.5012289999999998E-2</v>
      </c>
      <c r="S487">
        <v>3.0164789999999999</v>
      </c>
      <c r="T487">
        <v>-0.10448060000000001</v>
      </c>
      <c r="U487">
        <v>-0.24182129999999999</v>
      </c>
      <c r="V487">
        <v>-4.0944630000000003E-2</v>
      </c>
      <c r="W487">
        <v>-2.018971E-2</v>
      </c>
      <c r="X487">
        <v>0.9989574</v>
      </c>
      <c r="Y487">
        <v>9.3885730000000001E-2</v>
      </c>
      <c r="Z487">
        <v>-2.318479E-3</v>
      </c>
      <c r="AA487">
        <v>0.99558029999999997</v>
      </c>
      <c r="AB487">
        <v>43</v>
      </c>
      <c r="AC487">
        <v>32.993899999999996</v>
      </c>
      <c r="AD487">
        <v>-1.1580779999999999</v>
      </c>
      <c r="AE487">
        <v>-2.6865999999999901</v>
      </c>
      <c r="AF487">
        <v>3.1477021048153202</v>
      </c>
      <c r="AG487">
        <v>-1.1580779999999999</v>
      </c>
      <c r="AH487">
        <v>32.912457445350299</v>
      </c>
      <c r="AI487">
        <v>92.006067107041702</v>
      </c>
      <c r="AJ487">
        <v>84.536926566930205</v>
      </c>
      <c r="AK487">
        <v>33.0829114239774</v>
      </c>
      <c r="AL487">
        <v>91.156863790952997</v>
      </c>
      <c r="AM487">
        <v>92.347089184175204</v>
      </c>
      <c r="AN487">
        <v>0.99999998706523996</v>
      </c>
    </row>
    <row r="488" spans="1:40" x14ac:dyDescent="0.25">
      <c r="A488" t="str">
        <f>"20190305135548011"</f>
        <v>20190305135548011</v>
      </c>
      <c r="B488" t="str">
        <f>"1551765348001810"</f>
        <v>1551765348001810</v>
      </c>
      <c r="C488" t="s">
        <v>40</v>
      </c>
      <c r="D488">
        <v>3.8483420000000002</v>
      </c>
      <c r="E488">
        <v>0.55145900000000003</v>
      </c>
      <c r="F488" t="s">
        <v>43</v>
      </c>
      <c r="G488">
        <v>-303.17840000000001</v>
      </c>
      <c r="H488">
        <v>-0.05</v>
      </c>
      <c r="I488">
        <v>365.69779999999997</v>
      </c>
      <c r="J488">
        <v>-336.06439999999998</v>
      </c>
      <c r="K488">
        <v>1.108066</v>
      </c>
      <c r="L488">
        <v>368.39460000000003</v>
      </c>
      <c r="M488">
        <v>0.9998823</v>
      </c>
      <c r="N488">
        <v>-6.325626E-3</v>
      </c>
      <c r="O488">
        <v>1.397696E-2</v>
      </c>
      <c r="P488">
        <v>0.99813510000000005</v>
      </c>
      <c r="Q488">
        <v>-2.6629750000000001E-2</v>
      </c>
      <c r="R488">
        <v>5.4929869999999999E-2</v>
      </c>
      <c r="S488">
        <v>3.0162960000000001</v>
      </c>
      <c r="T488">
        <v>-0.1054412</v>
      </c>
      <c r="U488">
        <v>-0.24523929999999999</v>
      </c>
      <c r="V488">
        <v>-4.0985510000000003E-2</v>
      </c>
      <c r="W488">
        <v>-2.0287240000000002E-2</v>
      </c>
      <c r="X488">
        <v>0.9989538</v>
      </c>
      <c r="Y488">
        <v>9.4886940000000003E-2</v>
      </c>
      <c r="Z488">
        <v>-2.3554330000000001E-3</v>
      </c>
      <c r="AA488">
        <v>0.99548519999999896</v>
      </c>
      <c r="AB488">
        <v>43</v>
      </c>
      <c r="AC488">
        <v>32.885999999999903</v>
      </c>
      <c r="AD488">
        <v>-1.158066</v>
      </c>
      <c r="AE488">
        <v>-2.6968000000000498</v>
      </c>
      <c r="AF488">
        <v>3.1523091092427502</v>
      </c>
      <c r="AG488">
        <v>-1.158066</v>
      </c>
      <c r="AH488">
        <v>32.804685451351297</v>
      </c>
      <c r="AI488">
        <v>92.012544467891303</v>
      </c>
      <c r="AJ488">
        <v>84.511115095436693</v>
      </c>
      <c r="AK488">
        <v>32.976136176675901</v>
      </c>
      <c r="AL488">
        <v>91.162452932407604</v>
      </c>
      <c r="AM488">
        <v>92.349438401220297</v>
      </c>
      <c r="AN488">
        <v>1.0000000393356001</v>
      </c>
    </row>
    <row r="489" spans="1:40" x14ac:dyDescent="0.25">
      <c r="A489" t="str">
        <f>"20190305135548031"</f>
        <v>20190305135548031</v>
      </c>
      <c r="B489" t="str">
        <f>"1551765348022305"</f>
        <v>1551765348022305</v>
      </c>
      <c r="C489" t="s">
        <v>40</v>
      </c>
      <c r="D489">
        <v>3.9407740000000002</v>
      </c>
      <c r="E489">
        <v>0.55162140000000004</v>
      </c>
      <c r="F489" t="s">
        <v>43</v>
      </c>
      <c r="G489">
        <v>-303.02179999999998</v>
      </c>
      <c r="H489">
        <v>-0.05</v>
      </c>
      <c r="I489">
        <v>365.69909999999999</v>
      </c>
      <c r="J489">
        <v>-335.68830000000003</v>
      </c>
      <c r="K489">
        <v>1.1080559999999999</v>
      </c>
      <c r="L489">
        <v>368.39980000000003</v>
      </c>
      <c r="M489">
        <v>0.99988489999999997</v>
      </c>
      <c r="N489">
        <v>-6.3445250000000002E-3</v>
      </c>
      <c r="O489">
        <v>1.378598E-2</v>
      </c>
      <c r="P489">
        <v>0.99814329999999996</v>
      </c>
      <c r="Q489">
        <v>-2.6350370000000001E-2</v>
      </c>
      <c r="R489">
        <v>5.491534E-2</v>
      </c>
      <c r="S489">
        <v>3.0163570000000002</v>
      </c>
      <c r="T489">
        <v>-0.1057163</v>
      </c>
      <c r="U489">
        <v>-0.24606320000000001</v>
      </c>
      <c r="V489">
        <v>-4.1161049999999998E-2</v>
      </c>
      <c r="W489">
        <v>-1.9988209999999999E-2</v>
      </c>
      <c r="X489">
        <v>0.99895259999999997</v>
      </c>
      <c r="Y489">
        <v>9.4964969999999996E-2</v>
      </c>
      <c r="Z489">
        <v>-2.3577350000000001E-3</v>
      </c>
      <c r="AA489">
        <v>0.99547779999999997</v>
      </c>
      <c r="AB489">
        <v>43</v>
      </c>
      <c r="AC489">
        <v>32.666499999999999</v>
      </c>
      <c r="AD489">
        <v>-1.158056</v>
      </c>
      <c r="AE489">
        <v>-2.7007000000000398</v>
      </c>
      <c r="AF489">
        <v>3.1468640733458599</v>
      </c>
      <c r="AG489">
        <v>-1.158056</v>
      </c>
      <c r="AH489">
        <v>32.585488725679802</v>
      </c>
      <c r="AI489">
        <v>92.025961158263499</v>
      </c>
      <c r="AJ489">
        <v>84.483905615932301</v>
      </c>
      <c r="AK489">
        <v>32.757562831911898</v>
      </c>
      <c r="AL489">
        <v>91.145316313081196</v>
      </c>
      <c r="AM489">
        <v>92.359492474744499</v>
      </c>
      <c r="AN489">
        <v>1.0000000288114299</v>
      </c>
    </row>
    <row r="490" spans="1:40" x14ac:dyDescent="0.25">
      <c r="A490" t="str">
        <f>"20190305135548054"</f>
        <v>20190305135548054</v>
      </c>
      <c r="B490" t="str">
        <f>"1551765348041825"</f>
        <v>1551765348041825</v>
      </c>
      <c r="C490" t="s">
        <v>40</v>
      </c>
      <c r="D490">
        <v>3.9091499999999999</v>
      </c>
      <c r="E490">
        <v>0.5517936</v>
      </c>
      <c r="F490" t="s">
        <v>43</v>
      </c>
      <c r="G490">
        <v>-302.34699999999998</v>
      </c>
      <c r="H490">
        <v>-0.05</v>
      </c>
      <c r="I490">
        <v>365.66520000000003</v>
      </c>
      <c r="J490">
        <v>-335.24579999999997</v>
      </c>
      <c r="K490">
        <v>1.108052</v>
      </c>
      <c r="L490">
        <v>368.40570000000002</v>
      </c>
      <c r="M490">
        <v>0.99988779999999999</v>
      </c>
      <c r="N490">
        <v>-6.3675950000000002E-3</v>
      </c>
      <c r="O490">
        <v>1.356102E-2</v>
      </c>
      <c r="P490">
        <v>0.99812970000000001</v>
      </c>
      <c r="Q490">
        <v>-2.645637E-2</v>
      </c>
      <c r="R490">
        <v>5.5111090000000001E-2</v>
      </c>
      <c r="S490">
        <v>3.0164490000000002</v>
      </c>
      <c r="T490">
        <v>-0.1047715</v>
      </c>
      <c r="U490">
        <v>-0.24740599999999999</v>
      </c>
      <c r="V490">
        <v>-4.1582540000000001E-2</v>
      </c>
      <c r="W490">
        <v>-2.0070379999999999E-2</v>
      </c>
      <c r="X490">
        <v>0.99893350000000003</v>
      </c>
      <c r="Y490">
        <v>9.5179910000000006E-2</v>
      </c>
      <c r="Z490">
        <v>-2.337315E-3</v>
      </c>
      <c r="AA490">
        <v>0.99545740000000005</v>
      </c>
      <c r="AB490">
        <v>44</v>
      </c>
      <c r="AC490">
        <v>32.898799999999902</v>
      </c>
      <c r="AD490">
        <v>-1.1580520000000001</v>
      </c>
      <c r="AE490">
        <v>-2.7404999999999902</v>
      </c>
      <c r="AF490">
        <v>3.1824821584500498</v>
      </c>
      <c r="AG490">
        <v>-1.1580520000000001</v>
      </c>
      <c r="AH490">
        <v>32.818226075802102</v>
      </c>
      <c r="AI490">
        <v>92.011521365706997</v>
      </c>
      <c r="AJ490">
        <v>84.461174424987803</v>
      </c>
      <c r="AK490">
        <v>32.992502782996297</v>
      </c>
      <c r="AL490">
        <v>91.150025247430506</v>
      </c>
      <c r="AM490">
        <v>92.383671522378407</v>
      </c>
      <c r="AN490">
        <v>1.00000003260422</v>
      </c>
    </row>
    <row r="491" spans="1:40" x14ac:dyDescent="0.25">
      <c r="A491" t="str">
        <f>"20190305135548088"</f>
        <v>20190305135548088</v>
      </c>
      <c r="B491" t="str">
        <f>"1551765348081845"</f>
        <v>1551765348081845</v>
      </c>
      <c r="C491" t="s">
        <v>40</v>
      </c>
      <c r="D491">
        <v>3.9267759999999998</v>
      </c>
      <c r="E491">
        <v>0.55207580000000001</v>
      </c>
      <c r="F491" t="s">
        <v>43</v>
      </c>
      <c r="G491">
        <v>-302.1472</v>
      </c>
      <c r="H491">
        <v>-0.05</v>
      </c>
      <c r="I491">
        <v>365.6841</v>
      </c>
      <c r="J491">
        <v>-334.58139999999997</v>
      </c>
      <c r="K491">
        <v>1.108034</v>
      </c>
      <c r="L491">
        <v>368.41449999999998</v>
      </c>
      <c r="M491">
        <v>0.99989209999999995</v>
      </c>
      <c r="N491">
        <v>-6.4033199999999997E-3</v>
      </c>
      <c r="O491">
        <v>1.322305E-2</v>
      </c>
      <c r="P491">
        <v>0.99811479999999997</v>
      </c>
      <c r="Q491">
        <v>-2.6805909999999999E-2</v>
      </c>
      <c r="R491">
        <v>5.5210990000000001E-2</v>
      </c>
      <c r="S491">
        <v>3.0165410000000001</v>
      </c>
      <c r="T491">
        <v>-0.10554239999999999</v>
      </c>
      <c r="U491">
        <v>-0.24804689999999999</v>
      </c>
      <c r="V491">
        <v>-4.2020490000000001E-2</v>
      </c>
      <c r="W491">
        <v>-2.038328E-2</v>
      </c>
      <c r="X491">
        <v>0.99890880000000004</v>
      </c>
      <c r="Y491">
        <v>9.5050220000000005E-2</v>
      </c>
      <c r="Z491">
        <v>-2.3417220000000001E-3</v>
      </c>
      <c r="AA491">
        <v>0.99546970000000001</v>
      </c>
      <c r="AB491">
        <v>44</v>
      </c>
      <c r="AC491">
        <v>32.434199999999898</v>
      </c>
      <c r="AD491">
        <v>-1.158034</v>
      </c>
      <c r="AE491">
        <v>-2.7303999999999702</v>
      </c>
      <c r="AF491">
        <v>3.1550553950343798</v>
      </c>
      <c r="AG491">
        <v>-1.158034</v>
      </c>
      <c r="AH491">
        <v>32.354304778629498</v>
      </c>
      <c r="AI491">
        <v>92.040201648539806</v>
      </c>
      <c r="AJ491">
        <v>84.430367085044196</v>
      </c>
      <c r="AK491">
        <v>32.528394596096199</v>
      </c>
      <c r="AL491">
        <v>91.167956808508805</v>
      </c>
      <c r="AM491">
        <v>92.408806579610001</v>
      </c>
      <c r="AN491">
        <v>0.99999999520041905</v>
      </c>
    </row>
    <row r="492" spans="1:40" x14ac:dyDescent="0.25">
      <c r="A492" t="str">
        <f>"20190305135548111"</f>
        <v>20190305135548111</v>
      </c>
      <c r="B492" t="str">
        <f>"1551765348102337"</f>
        <v>1551765348102337</v>
      </c>
      <c r="C492" t="s">
        <v>40</v>
      </c>
      <c r="D492">
        <v>3.9574560000000001</v>
      </c>
      <c r="E492">
        <v>0.55222959999999999</v>
      </c>
      <c r="F492" t="s">
        <v>43</v>
      </c>
      <c r="G492">
        <v>-302.14</v>
      </c>
      <c r="H492">
        <v>-0.05</v>
      </c>
      <c r="I492">
        <v>365.72359999999998</v>
      </c>
      <c r="J492">
        <v>-334.13850000000002</v>
      </c>
      <c r="K492">
        <v>1.108033</v>
      </c>
      <c r="L492">
        <v>368.42020000000002</v>
      </c>
      <c r="M492">
        <v>0.99989490000000003</v>
      </c>
      <c r="N492">
        <v>-6.4279259999999996E-3</v>
      </c>
      <c r="O492">
        <v>1.29975E-2</v>
      </c>
      <c r="P492">
        <v>0.9980966</v>
      </c>
      <c r="Q492">
        <v>-2.7647229999999998E-2</v>
      </c>
      <c r="R492">
        <v>5.5126710000000002E-2</v>
      </c>
      <c r="S492">
        <v>3.0166019999999998</v>
      </c>
      <c r="T492">
        <v>-0.1076812</v>
      </c>
      <c r="U492">
        <v>-0.25021359999999998</v>
      </c>
      <c r="V492">
        <v>-4.2163140000000002E-2</v>
      </c>
      <c r="W492">
        <v>-2.1199639999999999E-2</v>
      </c>
      <c r="X492">
        <v>0.99888580000000005</v>
      </c>
      <c r="Y492">
        <v>9.5531050000000006E-2</v>
      </c>
      <c r="Z492">
        <v>-2.3889610000000002E-3</v>
      </c>
      <c r="AA492">
        <v>0.99542359999999996</v>
      </c>
      <c r="AB492">
        <v>44</v>
      </c>
      <c r="AC492">
        <v>31.9985</v>
      </c>
      <c r="AD492">
        <v>-1.1580330000000001</v>
      </c>
      <c r="AE492">
        <v>-2.6966000000000401</v>
      </c>
      <c r="AF492">
        <v>3.1082390344088502</v>
      </c>
      <c r="AG492">
        <v>-1.1580330000000001</v>
      </c>
      <c r="AH492">
        <v>31.919236301244901</v>
      </c>
      <c r="AI492">
        <v>92.068011857105802</v>
      </c>
      <c r="AJ492">
        <v>84.438173676443498</v>
      </c>
      <c r="AK492">
        <v>32.091117717817497</v>
      </c>
      <c r="AL492">
        <v>91.214740901981301</v>
      </c>
      <c r="AM492">
        <v>92.417029834881106</v>
      </c>
      <c r="AN492">
        <v>0.999999998276214</v>
      </c>
    </row>
    <row r="493" spans="1:40" x14ac:dyDescent="0.25">
      <c r="A493" t="str">
        <f>"20190305135548132"</f>
        <v>20190305135548132</v>
      </c>
      <c r="B493" t="str">
        <f>"1551765348121861"</f>
        <v>1551765348121861</v>
      </c>
      <c r="C493" t="s">
        <v>40</v>
      </c>
      <c r="D493">
        <v>3.9340290000000002</v>
      </c>
      <c r="E493">
        <v>0.55235100000000004</v>
      </c>
      <c r="F493" t="s">
        <v>43</v>
      </c>
      <c r="G493">
        <v>-302.48090000000002</v>
      </c>
      <c r="H493">
        <v>-0.05</v>
      </c>
      <c r="I493">
        <v>365.77929999999998</v>
      </c>
      <c r="J493">
        <v>-333.71660000000003</v>
      </c>
      <c r="K493">
        <v>1.1080299999999901</v>
      </c>
      <c r="L493">
        <v>368.42559999999997</v>
      </c>
      <c r="M493">
        <v>0.99989749999999999</v>
      </c>
      <c r="N493">
        <v>-6.4519169999999997E-3</v>
      </c>
      <c r="O493">
        <v>1.278233E-2</v>
      </c>
      <c r="P493">
        <v>0.99811459999999996</v>
      </c>
      <c r="Q493">
        <v>-2.7143980000000002E-2</v>
      </c>
      <c r="R493">
        <v>5.5050010000000003E-2</v>
      </c>
      <c r="S493">
        <v>3.016632</v>
      </c>
      <c r="T493">
        <v>-0.110348</v>
      </c>
      <c r="U493">
        <v>-0.25164789999999998</v>
      </c>
      <c r="V493">
        <v>-4.2300780000000003E-2</v>
      </c>
      <c r="W493">
        <v>-2.067192E-2</v>
      </c>
      <c r="X493">
        <v>0.99889110000000003</v>
      </c>
      <c r="Y493">
        <v>9.5782290000000006E-2</v>
      </c>
      <c r="Z493">
        <v>-2.4422480000000002E-3</v>
      </c>
      <c r="AA493">
        <v>0.99539929999999999</v>
      </c>
      <c r="AB493">
        <v>44</v>
      </c>
      <c r="AC493">
        <v>31.235700000000001</v>
      </c>
      <c r="AD493">
        <v>-1.1580299999999999</v>
      </c>
      <c r="AE493">
        <v>-2.6462999999999899</v>
      </c>
      <c r="AF493">
        <v>3.04120684906133</v>
      </c>
      <c r="AG493">
        <v>-1.1580299999999999</v>
      </c>
      <c r="AH493">
        <v>31.1568023454704</v>
      </c>
      <c r="AI493">
        <v>92.118519533502607</v>
      </c>
      <c r="AJ493">
        <v>84.425035518411804</v>
      </c>
      <c r="AK493">
        <v>31.326287762427</v>
      </c>
      <c r="AL493">
        <v>91.184498074758906</v>
      </c>
      <c r="AM493">
        <v>92.424897884356895</v>
      </c>
      <c r="AN493">
        <v>1.0000000569621501</v>
      </c>
    </row>
    <row r="494" spans="1:40" x14ac:dyDescent="0.25">
      <c r="A494" t="str">
        <f>"20190305135548156"</f>
        <v>20190305135548156</v>
      </c>
      <c r="B494" t="str">
        <f>"1551765348152113"</f>
        <v>1551765348152113</v>
      </c>
      <c r="C494" t="s">
        <v>40</v>
      </c>
      <c r="D494">
        <v>4.0832329999999999</v>
      </c>
      <c r="E494">
        <v>0.57143239999999995</v>
      </c>
      <c r="F494" t="s">
        <v>43</v>
      </c>
      <c r="G494">
        <v>-301.76400000000001</v>
      </c>
      <c r="H494">
        <v>-0.05</v>
      </c>
      <c r="I494">
        <v>365.74810000000002</v>
      </c>
      <c r="J494">
        <v>-333.2552</v>
      </c>
      <c r="K494">
        <v>1.1080319999999999</v>
      </c>
      <c r="L494">
        <v>368.43130000000002</v>
      </c>
      <c r="M494">
        <v>0.99990029999999996</v>
      </c>
      <c r="N494">
        <v>-6.4783590000000004E-3</v>
      </c>
      <c r="O494">
        <v>1.254737E-2</v>
      </c>
      <c r="P494">
        <v>0.9981527</v>
      </c>
      <c r="Q494">
        <v>-2.6775159999999999E-2</v>
      </c>
      <c r="R494">
        <v>5.4536750000000002E-2</v>
      </c>
      <c r="S494">
        <v>3.016632</v>
      </c>
      <c r="T494">
        <v>-0.1093293</v>
      </c>
      <c r="U494">
        <v>-0.25277709999999998</v>
      </c>
      <c r="V494">
        <v>-4.2021059999999999E-2</v>
      </c>
      <c r="W494">
        <v>-2.0276389999999998E-2</v>
      </c>
      <c r="X494">
        <v>0.99891099999999999</v>
      </c>
      <c r="Y494">
        <v>9.5919749999999998E-2</v>
      </c>
      <c r="Z494">
        <v>-2.4186680000000001E-3</v>
      </c>
      <c r="AA494">
        <v>0.99538610000000005</v>
      </c>
      <c r="AB494">
        <v>44</v>
      </c>
      <c r="AC494">
        <v>31.4911999999999</v>
      </c>
      <c r="AD494">
        <v>-1.158032</v>
      </c>
      <c r="AE494">
        <v>-2.6831999999999998</v>
      </c>
      <c r="AF494">
        <v>3.0740018800905999</v>
      </c>
      <c r="AG494">
        <v>-1.158032</v>
      </c>
      <c r="AH494">
        <v>31.412880596338098</v>
      </c>
      <c r="AI494">
        <v>92.101218042103795</v>
      </c>
      <c r="AJ494">
        <v>84.410944510645805</v>
      </c>
      <c r="AK494">
        <v>31.5841668092039</v>
      </c>
      <c r="AL494">
        <v>91.161831140255401</v>
      </c>
      <c r="AM494">
        <v>92.408833917152194</v>
      </c>
      <c r="AN494">
        <v>1.0000000436979699</v>
      </c>
    </row>
    <row r="495" spans="1:40" x14ac:dyDescent="0.25">
      <c r="A495" t="str">
        <f>"20190305135548177"</f>
        <v>20190305135548177</v>
      </c>
      <c r="B495" t="str">
        <f>"1551765348172609"</f>
        <v>1551765348172609</v>
      </c>
      <c r="C495" t="s">
        <v>40</v>
      </c>
      <c r="D495">
        <v>4.0407409999999997</v>
      </c>
      <c r="E495">
        <v>0.61640130000000004</v>
      </c>
      <c r="F495" t="s">
        <v>43</v>
      </c>
      <c r="G495">
        <v>-290.74619999999999</v>
      </c>
      <c r="H495">
        <v>-0.05</v>
      </c>
      <c r="I495">
        <v>362.7285</v>
      </c>
      <c r="J495">
        <v>-332.81959999999998</v>
      </c>
      <c r="K495">
        <v>1.108025</v>
      </c>
      <c r="L495">
        <v>368.4366</v>
      </c>
      <c r="M495">
        <v>0.99990290000000004</v>
      </c>
      <c r="N495">
        <v>-6.5036640000000001E-3</v>
      </c>
      <c r="O495">
        <v>1.232493E-2</v>
      </c>
      <c r="P495">
        <v>0.99817929999999999</v>
      </c>
      <c r="Q495">
        <v>-2.6821279999999999E-2</v>
      </c>
      <c r="R495">
        <v>5.4026129999999999E-2</v>
      </c>
      <c r="S495">
        <v>3.0254819999999998</v>
      </c>
      <c r="T495">
        <v>-8.2420229999999997E-2</v>
      </c>
      <c r="U495">
        <v>-0.40588380000000002</v>
      </c>
      <c r="V495">
        <v>-4.1732869999999998E-2</v>
      </c>
      <c r="W495">
        <v>-2.0297099999999998E-2</v>
      </c>
      <c r="X495">
        <v>0.99892259999999999</v>
      </c>
      <c r="Y495">
        <v>0.14510120000000001</v>
      </c>
      <c r="Z495">
        <v>-2.6957970000000002E-3</v>
      </c>
      <c r="AA495">
        <v>0.98941310000000005</v>
      </c>
      <c r="AB495">
        <v>44</v>
      </c>
      <c r="AC495">
        <v>42.0733999999999</v>
      </c>
      <c r="AD495">
        <v>-1.1580250000000001</v>
      </c>
      <c r="AE495">
        <v>-5.7081</v>
      </c>
      <c r="AF495">
        <v>6.2216010089637903</v>
      </c>
      <c r="AG495">
        <v>-1.1580250000000001</v>
      </c>
      <c r="AH495">
        <v>41.968631380397603</v>
      </c>
      <c r="AI495">
        <v>91.563462737128802</v>
      </c>
      <c r="AJ495">
        <v>81.567652794053103</v>
      </c>
      <c r="AK495">
        <v>42.443083782391</v>
      </c>
      <c r="AL495">
        <v>91.163018050940295</v>
      </c>
      <c r="AM495">
        <v>92.392305097335296</v>
      </c>
      <c r="AN495">
        <v>0.99999998274880297</v>
      </c>
    </row>
    <row r="496" spans="1:40" x14ac:dyDescent="0.25">
      <c r="A496" t="str">
        <f>"20190305135548200"</f>
        <v>20190305135548200</v>
      </c>
      <c r="B496" t="str">
        <f>"1551765348192129"</f>
        <v>1551765348192129</v>
      </c>
      <c r="C496" t="s">
        <v>40</v>
      </c>
      <c r="D496">
        <v>4.0498649999999996</v>
      </c>
      <c r="E496">
        <v>0.62751299999999999</v>
      </c>
      <c r="F496" t="s">
        <v>45</v>
      </c>
      <c r="G496">
        <v>-233.6123</v>
      </c>
      <c r="H496">
        <v>8.9776399999999992</v>
      </c>
      <c r="I496">
        <v>343.92020000000002</v>
      </c>
      <c r="J496">
        <v>-332.36309999999997</v>
      </c>
      <c r="K496">
        <v>1.1080179999999999</v>
      </c>
      <c r="L496">
        <v>368.44209999999998</v>
      </c>
      <c r="M496">
        <v>0.99990559999999995</v>
      </c>
      <c r="N496">
        <v>-6.5305379999999998E-3</v>
      </c>
      <c r="O496">
        <v>1.2091879999999999E-2</v>
      </c>
      <c r="P496">
        <v>0.99819579999999997</v>
      </c>
      <c r="Q496">
        <v>-2.6831629999999999E-2</v>
      </c>
      <c r="R496">
        <v>5.3715659999999998E-2</v>
      </c>
      <c r="S496">
        <v>3.052826</v>
      </c>
      <c r="T496">
        <v>0.2421653</v>
      </c>
      <c r="U496">
        <v>-0.75442500000000001</v>
      </c>
      <c r="V496">
        <v>-4.1655230000000001E-2</v>
      </c>
      <c r="W496">
        <v>-2.0280409999999999E-2</v>
      </c>
      <c r="X496">
        <v>0.99892619999999999</v>
      </c>
      <c r="Y496">
        <v>0.25090659999999998</v>
      </c>
      <c r="Z496">
        <v>9.9784030000000003E-3</v>
      </c>
      <c r="AA496">
        <v>0.96795989999999998</v>
      </c>
      <c r="AB496">
        <v>44</v>
      </c>
      <c r="AC496">
        <v>98.750799999999899</v>
      </c>
      <c r="AD496">
        <v>7.8696219999999997</v>
      </c>
      <c r="AE496">
        <v>-24.521899999999899</v>
      </c>
      <c r="AF496">
        <v>25.5613099978031</v>
      </c>
      <c r="AG496">
        <v>7.8696219999999997</v>
      </c>
      <c r="AH496">
        <v>97.861658516895801</v>
      </c>
      <c r="AI496">
        <v>85.551039266706596</v>
      </c>
      <c r="AJ496">
        <v>75.361486310181604</v>
      </c>
      <c r="AK496">
        <v>101.450558041364</v>
      </c>
      <c r="AL496">
        <v>91.162061563798304</v>
      </c>
      <c r="AM496">
        <v>92.387851004223506</v>
      </c>
      <c r="AN496">
        <v>1.0000000031312799</v>
      </c>
    </row>
    <row r="497" spans="1:40" x14ac:dyDescent="0.25">
      <c r="A497" t="str">
        <f>"20190305135548221"</f>
        <v>20190305135548221</v>
      </c>
      <c r="B497" t="str">
        <f>"1551765348212629"</f>
        <v>1551765348212629</v>
      </c>
      <c r="C497" t="s">
        <v>40</v>
      </c>
      <c r="D497">
        <v>6.793488</v>
      </c>
      <c r="E497">
        <v>0.63040479999999999</v>
      </c>
      <c r="F497" t="s">
        <v>46</v>
      </c>
      <c r="G497">
        <v>-242.29150000000001</v>
      </c>
      <c r="H497">
        <v>11.5289</v>
      </c>
      <c r="I497">
        <v>343.71640000000002</v>
      </c>
      <c r="J497">
        <v>-331.94690000000003</v>
      </c>
      <c r="K497">
        <v>1.1080159999999999</v>
      </c>
      <c r="L497">
        <v>368.44709999999998</v>
      </c>
      <c r="M497">
        <v>0.99990800000000002</v>
      </c>
      <c r="N497">
        <v>-6.5551280000000003E-3</v>
      </c>
      <c r="O497">
        <v>1.1878980000000001E-2</v>
      </c>
      <c r="P497">
        <v>0.9982067</v>
      </c>
      <c r="Q497">
        <v>-2.6964749999999999E-2</v>
      </c>
      <c r="R497">
        <v>5.3446609999999999E-2</v>
      </c>
      <c r="S497">
        <v>3.060181</v>
      </c>
      <c r="T497">
        <v>0.35404960000000002</v>
      </c>
      <c r="U497">
        <v>-0.84005739999999995</v>
      </c>
      <c r="V497">
        <v>-4.1599419999999998E-2</v>
      </c>
      <c r="W497">
        <v>-2.0388770000000001E-2</v>
      </c>
      <c r="X497">
        <v>0.99892630000000004</v>
      </c>
      <c r="Y497">
        <v>0.27447169999999999</v>
      </c>
      <c r="Z497">
        <v>1.6043410000000001E-2</v>
      </c>
      <c r="AA497">
        <v>0.96146129999999996</v>
      </c>
      <c r="AB497">
        <v>44</v>
      </c>
      <c r="AC497">
        <v>89.6554</v>
      </c>
      <c r="AD497">
        <v>10.420883999999999</v>
      </c>
      <c r="AE497">
        <v>-24.730699999999899</v>
      </c>
      <c r="AF497">
        <v>25.474170611822199</v>
      </c>
      <c r="AG497">
        <v>10.420883999999999</v>
      </c>
      <c r="AH497">
        <v>88.247368181548794</v>
      </c>
      <c r="AI497">
        <v>83.527200797064694</v>
      </c>
      <c r="AJ497">
        <v>73.898275971960203</v>
      </c>
      <c r="AK497">
        <v>92.439851701912204</v>
      </c>
      <c r="AL497">
        <v>91.168271441675699</v>
      </c>
      <c r="AM497">
        <v>92.384655200262799</v>
      </c>
      <c r="AN497">
        <v>0.99999998325906903</v>
      </c>
    </row>
    <row r="498" spans="1:40" x14ac:dyDescent="0.25">
      <c r="A498" t="str">
        <f>"20190305135548243"</f>
        <v>20190305135548243</v>
      </c>
      <c r="B498" t="str">
        <f>"1551765348232145"</f>
        <v>1551765348232145</v>
      </c>
      <c r="C498" t="s">
        <v>40</v>
      </c>
      <c r="D498">
        <v>4.0354479999999997</v>
      </c>
      <c r="E498">
        <v>0.62992459999999995</v>
      </c>
      <c r="F498" t="s">
        <v>46</v>
      </c>
      <c r="G498">
        <v>-240.6969</v>
      </c>
      <c r="H498">
        <v>12.86867</v>
      </c>
      <c r="I498">
        <v>342.74400000000003</v>
      </c>
      <c r="J498">
        <v>-331.50409999999999</v>
      </c>
      <c r="K498">
        <v>1.1080099999999999</v>
      </c>
      <c r="L498">
        <v>368.4522</v>
      </c>
      <c r="M498">
        <v>0.99991059999999998</v>
      </c>
      <c r="N498">
        <v>-6.5814569999999998E-3</v>
      </c>
      <c r="O498">
        <v>1.164956E-2</v>
      </c>
      <c r="P498">
        <v>0.99822650000000002</v>
      </c>
      <c r="Q498">
        <v>-2.6890540000000001E-2</v>
      </c>
      <c r="R498">
        <v>5.3111110000000003E-2</v>
      </c>
      <c r="S498">
        <v>3.062195</v>
      </c>
      <c r="T498">
        <v>0.3946675</v>
      </c>
      <c r="U498">
        <v>-0.8625488</v>
      </c>
      <c r="V498">
        <v>-4.1492330000000001E-2</v>
      </c>
      <c r="W498">
        <v>-2.0287949999999999E-2</v>
      </c>
      <c r="X498">
        <v>0.99893279999999995</v>
      </c>
      <c r="Y498">
        <v>0.28018979999999999</v>
      </c>
      <c r="Z498">
        <v>1.8241980000000001E-2</v>
      </c>
      <c r="AA498">
        <v>0.95977129999999999</v>
      </c>
      <c r="AB498">
        <v>44</v>
      </c>
      <c r="AC498">
        <v>90.807199999999995</v>
      </c>
      <c r="AD498">
        <v>11.76066</v>
      </c>
      <c r="AE498">
        <v>-25.708199999999898</v>
      </c>
      <c r="AF498">
        <v>26.355078518028598</v>
      </c>
      <c r="AG498">
        <v>11.76066</v>
      </c>
      <c r="AH498">
        <v>89.117648984632595</v>
      </c>
      <c r="AI498">
        <v>82.787566242727806</v>
      </c>
      <c r="AJ498">
        <v>73.525284047785206</v>
      </c>
      <c r="AK498">
        <v>93.674215491111795</v>
      </c>
      <c r="AL498">
        <v>91.162493693677007</v>
      </c>
      <c r="AM498">
        <v>92.378507947607702</v>
      </c>
      <c r="AN498">
        <v>0.99999997663993501</v>
      </c>
    </row>
    <row r="499" spans="1:40" x14ac:dyDescent="0.25">
      <c r="A499" t="str">
        <f>"20190305135548267"</f>
        <v>20190305135548267</v>
      </c>
      <c r="B499" t="str">
        <f>"1551765348262401"</f>
        <v>1551765348262401</v>
      </c>
      <c r="C499" t="s">
        <v>40</v>
      </c>
      <c r="D499">
        <v>4.0151399999999997</v>
      </c>
      <c r="E499">
        <v>0.6293453</v>
      </c>
      <c r="F499" t="s">
        <v>46</v>
      </c>
      <c r="G499">
        <v>-240.5814</v>
      </c>
      <c r="H499">
        <v>12.9101</v>
      </c>
      <c r="I499">
        <v>342.92869999999999</v>
      </c>
      <c r="J499">
        <v>-331.04300000000001</v>
      </c>
      <c r="K499">
        <v>1.108006</v>
      </c>
      <c r="L499">
        <v>368.45740000000001</v>
      </c>
      <c r="M499">
        <v>0.99991319999999995</v>
      </c>
      <c r="N499">
        <v>-6.6089470000000004E-3</v>
      </c>
      <c r="O499">
        <v>1.140204E-2</v>
      </c>
      <c r="P499">
        <v>0.99824009999999996</v>
      </c>
      <c r="Q499">
        <v>-2.7192350000000001E-2</v>
      </c>
      <c r="R499">
        <v>5.2701390000000001E-2</v>
      </c>
      <c r="S499">
        <v>3.061798</v>
      </c>
      <c r="T499">
        <v>0.39743210000000001</v>
      </c>
      <c r="U499">
        <v>-0.85949709999999901</v>
      </c>
      <c r="V499">
        <v>-4.1330609999999997E-2</v>
      </c>
      <c r="W499">
        <v>-2.0561759999999998E-2</v>
      </c>
      <c r="X499">
        <v>0.99893390000000004</v>
      </c>
      <c r="Y499">
        <v>0.27907700000000002</v>
      </c>
      <c r="Z499">
        <v>1.8276319999999999E-2</v>
      </c>
      <c r="AA499">
        <v>0.96009480000000003</v>
      </c>
      <c r="AB499">
        <v>44</v>
      </c>
      <c r="AC499">
        <v>90.461600000000004</v>
      </c>
      <c r="AD499">
        <v>11.802094</v>
      </c>
      <c r="AE499">
        <v>-25.528700000000001</v>
      </c>
      <c r="AF499">
        <v>26.146297322169399</v>
      </c>
      <c r="AG499">
        <v>11.802094</v>
      </c>
      <c r="AH499">
        <v>88.765196063091096</v>
      </c>
      <c r="AI499">
        <v>82.7316949657978</v>
      </c>
      <c r="AJ499">
        <v>73.587360417603904</v>
      </c>
      <c r="AK499">
        <v>93.285466813234805</v>
      </c>
      <c r="AL499">
        <v>91.178185131581202</v>
      </c>
      <c r="AM499">
        <v>92.369245482850403</v>
      </c>
      <c r="AN499">
        <v>0.999999970933239</v>
      </c>
    </row>
    <row r="500" spans="1:40" x14ac:dyDescent="0.25">
      <c r="A500" t="str">
        <f>"20190305135548289"</f>
        <v>20190305135548289</v>
      </c>
      <c r="B500" t="str">
        <f>"1551765348281925"</f>
        <v>1551765348281925</v>
      </c>
      <c r="C500" t="s">
        <v>40</v>
      </c>
      <c r="D500">
        <v>3.9707539999999999</v>
      </c>
      <c r="E500">
        <v>0.62910699999999997</v>
      </c>
      <c r="F500" t="s">
        <v>46</v>
      </c>
      <c r="G500">
        <v>-240.42959999999999</v>
      </c>
      <c r="H500">
        <v>12.64395</v>
      </c>
      <c r="I500">
        <v>343.11950000000002</v>
      </c>
      <c r="J500">
        <v>-330.5831</v>
      </c>
      <c r="K500">
        <v>1.1079920000000001</v>
      </c>
      <c r="L500">
        <v>368.46249999999998</v>
      </c>
      <c r="M500">
        <v>0.99991600000000003</v>
      </c>
      <c r="N500">
        <v>-6.6388740000000003E-3</v>
      </c>
      <c r="O500">
        <v>1.1137599999999999E-2</v>
      </c>
      <c r="P500">
        <v>0.99829690000000004</v>
      </c>
      <c r="Q500">
        <v>-2.615839E-2</v>
      </c>
      <c r="R500">
        <v>5.2143160000000001E-2</v>
      </c>
      <c r="S500">
        <v>3.0610659999999998</v>
      </c>
      <c r="T500">
        <v>0.38970280000000002</v>
      </c>
      <c r="U500">
        <v>-0.85595699999999997</v>
      </c>
      <c r="V500">
        <v>-4.1035700000000001E-2</v>
      </c>
      <c r="W500">
        <v>-1.9496599999999999E-2</v>
      </c>
      <c r="X500">
        <v>0.99896750000000001</v>
      </c>
      <c r="Y500">
        <v>0.27794679999999999</v>
      </c>
      <c r="Z500">
        <v>1.7809160000000001E-2</v>
      </c>
      <c r="AA500">
        <v>0.96043129999999999</v>
      </c>
      <c r="AB500">
        <v>45</v>
      </c>
      <c r="AC500">
        <v>90.153499999999994</v>
      </c>
      <c r="AD500">
        <v>11.535958000000001</v>
      </c>
      <c r="AE500">
        <v>-25.3429999999999</v>
      </c>
      <c r="AF500">
        <v>25.951741508677301</v>
      </c>
      <c r="AG500">
        <v>11.535958000000001</v>
      </c>
      <c r="AH500">
        <v>88.522367424064001</v>
      </c>
      <c r="AI500">
        <v>82.871955300504396</v>
      </c>
      <c r="AJ500">
        <v>73.660660841882404</v>
      </c>
      <c r="AK500">
        <v>92.966557151870205</v>
      </c>
      <c r="AL500">
        <v>91.117143614124899</v>
      </c>
      <c r="AM500">
        <v>92.352280020767907</v>
      </c>
      <c r="AN500">
        <v>1.00000005607114</v>
      </c>
    </row>
    <row r="501" spans="1:40" x14ac:dyDescent="0.25">
      <c r="A501" t="str">
        <f>"20190305135548311"</f>
        <v>20190305135548311</v>
      </c>
      <c r="B501" t="str">
        <f>"1551765348302426"</f>
        <v>1551765348302426</v>
      </c>
      <c r="C501" t="s">
        <v>40</v>
      </c>
      <c r="D501">
        <v>3.983155</v>
      </c>
      <c r="E501">
        <v>0.62886309999999901</v>
      </c>
      <c r="F501" t="s">
        <v>46</v>
      </c>
      <c r="G501">
        <v>-240.2901</v>
      </c>
      <c r="H501">
        <v>12.63668</v>
      </c>
      <c r="I501">
        <v>343.21480000000003</v>
      </c>
      <c r="J501">
        <v>-330.15089999999998</v>
      </c>
      <c r="K501">
        <v>1.10797099999999</v>
      </c>
      <c r="L501">
        <v>368.46710000000002</v>
      </c>
      <c r="M501">
        <v>0.9999188</v>
      </c>
      <c r="N501">
        <v>-6.6700960000000004E-3</v>
      </c>
      <c r="O501">
        <v>1.086002E-2</v>
      </c>
      <c r="P501">
        <v>0.99833709999999998</v>
      </c>
      <c r="Q501">
        <v>-2.5119079999999998E-2</v>
      </c>
      <c r="R501">
        <v>5.1885269999999997E-2</v>
      </c>
      <c r="S501">
        <v>3.0600589999999999</v>
      </c>
      <c r="T501">
        <v>0.39071060000000002</v>
      </c>
      <c r="U501">
        <v>-0.85565190000000002</v>
      </c>
      <c r="V501">
        <v>-4.1054630000000002E-2</v>
      </c>
      <c r="W501">
        <v>-1.842392E-2</v>
      </c>
      <c r="X501">
        <v>0.99898699999999996</v>
      </c>
      <c r="Y501">
        <v>0.27766610000000003</v>
      </c>
      <c r="Z501">
        <v>1.7806079999999998E-2</v>
      </c>
      <c r="AA501">
        <v>0.96051260000000005</v>
      </c>
      <c r="AB501">
        <v>45</v>
      </c>
      <c r="AC501">
        <v>89.860799999999898</v>
      </c>
      <c r="AD501">
        <v>11.528708999999999</v>
      </c>
      <c r="AE501">
        <v>-25.252299999999899</v>
      </c>
      <c r="AF501">
        <v>25.832646181718999</v>
      </c>
      <c r="AG501">
        <v>11.528708999999999</v>
      </c>
      <c r="AH501">
        <v>88.235227794805098</v>
      </c>
      <c r="AI501">
        <v>82.852690531363194</v>
      </c>
      <c r="AJ501">
        <v>73.681541314434</v>
      </c>
      <c r="AK501">
        <v>92.659010160683806</v>
      </c>
      <c r="AL501">
        <v>91.055672613478393</v>
      </c>
      <c r="AM501">
        <v>92.353318035577303</v>
      </c>
      <c r="AN501">
        <v>0.99999997482080105</v>
      </c>
    </row>
    <row r="502" spans="1:40" x14ac:dyDescent="0.25">
      <c r="A502" t="str">
        <f>"20190305135548332"</f>
        <v>20190305135548332</v>
      </c>
      <c r="B502" t="str">
        <f>"1551765348321938"</f>
        <v>1551765348321938</v>
      </c>
      <c r="C502" t="s">
        <v>40</v>
      </c>
      <c r="D502">
        <v>3.9787840000000001</v>
      </c>
      <c r="E502">
        <v>0.62920959999999904</v>
      </c>
      <c r="F502" t="s">
        <v>46</v>
      </c>
      <c r="G502">
        <v>-240.22309999999999</v>
      </c>
      <c r="H502">
        <v>12.751799999999999</v>
      </c>
      <c r="I502">
        <v>343.36509999999998</v>
      </c>
      <c r="J502">
        <v>-329.71499999999997</v>
      </c>
      <c r="K502">
        <v>1.1079460000000001</v>
      </c>
      <c r="L502">
        <v>368.4717</v>
      </c>
      <c r="M502">
        <v>0.99992190000000003</v>
      </c>
      <c r="N502">
        <v>-6.7033750000000001E-3</v>
      </c>
      <c r="O502">
        <v>1.055217E-2</v>
      </c>
      <c r="P502">
        <v>0.99834679999999998</v>
      </c>
      <c r="Q502">
        <v>-2.3964849999999999E-2</v>
      </c>
      <c r="R502">
        <v>5.2245300000000001E-2</v>
      </c>
      <c r="S502">
        <v>3.0593569999999999</v>
      </c>
      <c r="T502">
        <v>0.3961248</v>
      </c>
      <c r="U502">
        <v>-0.85397339999999999</v>
      </c>
      <c r="V502">
        <v>-4.1721939999999999E-2</v>
      </c>
      <c r="W502">
        <v>-1.7233439999999999E-2</v>
      </c>
      <c r="X502">
        <v>0.9989806</v>
      </c>
      <c r="Y502">
        <v>0.27688740000000001</v>
      </c>
      <c r="Z502">
        <v>1.7976450000000001E-2</v>
      </c>
      <c r="AA502">
        <v>0.96073419999999998</v>
      </c>
      <c r="AB502">
        <v>45</v>
      </c>
      <c r="AC502">
        <v>89.491899999999902</v>
      </c>
      <c r="AD502">
        <v>11.643853999999999</v>
      </c>
      <c r="AE502">
        <v>-25.1066</v>
      </c>
      <c r="AF502">
        <v>25.647061985512298</v>
      </c>
      <c r="AG502">
        <v>11.643853999999999</v>
      </c>
      <c r="AH502">
        <v>87.843401926031504</v>
      </c>
      <c r="AI502">
        <v>82.748642090572005</v>
      </c>
      <c r="AJ502">
        <v>73.724125678275499</v>
      </c>
      <c r="AK502">
        <v>92.248655201039895</v>
      </c>
      <c r="AL502">
        <v>90.987452284326295</v>
      </c>
      <c r="AM502">
        <v>92.391540573331696</v>
      </c>
      <c r="AN502">
        <v>0.99999997545397801</v>
      </c>
    </row>
    <row r="503" spans="1:40" x14ac:dyDescent="0.25">
      <c r="A503" t="str">
        <f>"20190305135548359"</f>
        <v>20190305135548359</v>
      </c>
      <c r="B503" t="str">
        <f>"1551765348352194"</f>
        <v>1551765348352194</v>
      </c>
      <c r="C503" t="s">
        <v>40</v>
      </c>
      <c r="D503">
        <v>3.9918049999999998</v>
      </c>
      <c r="E503">
        <v>0.62926230000000005</v>
      </c>
      <c r="F503" t="s">
        <v>46</v>
      </c>
      <c r="G503">
        <v>-240.17009999999999</v>
      </c>
      <c r="H503">
        <v>12.946669999999999</v>
      </c>
      <c r="I503">
        <v>343.44940000000003</v>
      </c>
      <c r="J503">
        <v>-329.2063</v>
      </c>
      <c r="K503">
        <v>1.1079110000000001</v>
      </c>
      <c r="L503">
        <v>368.47680000000003</v>
      </c>
      <c r="M503">
        <v>0.99992570000000003</v>
      </c>
      <c r="N503">
        <v>-6.7461509999999997E-3</v>
      </c>
      <c r="O503">
        <v>1.0141570000000001E-2</v>
      </c>
      <c r="P503">
        <v>0.99830260000000004</v>
      </c>
      <c r="Q503">
        <v>-2.446065E-2</v>
      </c>
      <c r="R503">
        <v>5.285488E-2</v>
      </c>
      <c r="S503">
        <v>3.059418</v>
      </c>
      <c r="T503">
        <v>0.40448519999999999</v>
      </c>
      <c r="U503">
        <v>-0.8549194</v>
      </c>
      <c r="V503">
        <v>-4.2744289999999997E-2</v>
      </c>
      <c r="W503">
        <v>-1.768196E-2</v>
      </c>
      <c r="X503">
        <v>0.99892959999999997</v>
      </c>
      <c r="Y503">
        <v>0.27667770000000003</v>
      </c>
      <c r="Z503">
        <v>1.8295639999999998E-2</v>
      </c>
      <c r="AA503">
        <v>0.96078859999999999</v>
      </c>
      <c r="AB503">
        <v>45</v>
      </c>
      <c r="AC503">
        <v>89.036199999999994</v>
      </c>
      <c r="AD503">
        <v>11.838759</v>
      </c>
      <c r="AE503">
        <v>-25.0274</v>
      </c>
      <c r="AF503">
        <v>25.511095266788601</v>
      </c>
      <c r="AG503">
        <v>11.838759</v>
      </c>
      <c r="AH503">
        <v>87.3466040190239</v>
      </c>
      <c r="AI503">
        <v>82.587330644061893</v>
      </c>
      <c r="AJ503">
        <v>73.718637494690299</v>
      </c>
      <c r="AK503">
        <v>91.762745327433393</v>
      </c>
      <c r="AL503">
        <v>91.013154443904</v>
      </c>
      <c r="AM503">
        <v>92.450197005165705</v>
      </c>
      <c r="AN503">
        <v>1.0000000358965999</v>
      </c>
    </row>
    <row r="504" spans="1:40" x14ac:dyDescent="0.25">
      <c r="A504" t="str">
        <f>"20190305135548380"</f>
        <v>20190305135548380</v>
      </c>
      <c r="B504" t="str">
        <f>"1551765348371713"</f>
        <v>1551765348371713</v>
      </c>
      <c r="C504" t="s">
        <v>40</v>
      </c>
      <c r="D504">
        <v>3.9897450000000001</v>
      </c>
      <c r="E504">
        <v>0.62941359999999902</v>
      </c>
      <c r="F504" t="s">
        <v>46</v>
      </c>
      <c r="G504">
        <v>-239.97149999999999</v>
      </c>
      <c r="H504">
        <v>12.82128</v>
      </c>
      <c r="I504">
        <v>343.5718</v>
      </c>
      <c r="J504">
        <v>-328.76119999999997</v>
      </c>
      <c r="K504">
        <v>1.1078669999999999</v>
      </c>
      <c r="L504">
        <v>368.48099999999999</v>
      </c>
      <c r="M504">
        <v>0.99992979999999998</v>
      </c>
      <c r="N504">
        <v>-6.7873530000000003E-3</v>
      </c>
      <c r="O504">
        <v>9.7226250000000004E-3</v>
      </c>
      <c r="P504">
        <v>0.99826090000000001</v>
      </c>
      <c r="Q504">
        <v>-2.5345719999999999E-2</v>
      </c>
      <c r="R504">
        <v>5.3226849999999999E-2</v>
      </c>
      <c r="S504">
        <v>3.06012</v>
      </c>
      <c r="T504">
        <v>0.40168599999999999</v>
      </c>
      <c r="U504">
        <v>-0.85406489999999902</v>
      </c>
      <c r="V504">
        <v>-4.3538140000000003E-2</v>
      </c>
      <c r="W504">
        <v>-1.8520720000000001E-2</v>
      </c>
      <c r="X504">
        <v>0.99888010000000005</v>
      </c>
      <c r="Y504">
        <v>0.27601049999999999</v>
      </c>
      <c r="Z504">
        <v>1.805812E-2</v>
      </c>
      <c r="AA504">
        <v>0.96098490000000003</v>
      </c>
      <c r="AB504">
        <v>45</v>
      </c>
      <c r="AC504">
        <v>88.789699999999897</v>
      </c>
      <c r="AD504">
        <v>11.713412999999999</v>
      </c>
      <c r="AE504">
        <v>-24.909199999999998</v>
      </c>
      <c r="AF504">
        <v>25.3621211729808</v>
      </c>
      <c r="AG504">
        <v>11.713412999999999</v>
      </c>
      <c r="AH504">
        <v>87.137447018615703</v>
      </c>
      <c r="AI504">
        <v>82.645569885553002</v>
      </c>
      <c r="AJ504">
        <v>73.771897950093404</v>
      </c>
      <c r="AK504">
        <v>91.506152292747998</v>
      </c>
      <c r="AL504">
        <v>91.061219743162695</v>
      </c>
      <c r="AM504">
        <v>92.495768744447702</v>
      </c>
      <c r="AN504">
        <v>1.0000000204399899</v>
      </c>
    </row>
    <row r="505" spans="1:40" x14ac:dyDescent="0.25">
      <c r="A505" t="str">
        <f>"20190305135548400"</f>
        <v>20190305135548400</v>
      </c>
      <c r="B505" t="str">
        <f>"1551765348392209"</f>
        <v>1551765348392209</v>
      </c>
      <c r="C505" t="s">
        <v>40</v>
      </c>
      <c r="D505">
        <v>3.9911799999999999</v>
      </c>
      <c r="E505">
        <v>0.62953329999999996</v>
      </c>
      <c r="F505" t="s">
        <v>46</v>
      </c>
      <c r="G505">
        <v>-240.6943</v>
      </c>
      <c r="H505">
        <v>12.518000000000001</v>
      </c>
      <c r="I505">
        <v>343.90839999999997</v>
      </c>
      <c r="J505">
        <v>-328.34109999999998</v>
      </c>
      <c r="K505">
        <v>1.1078159999999999</v>
      </c>
      <c r="L505">
        <v>368.48480000000001</v>
      </c>
      <c r="M505">
        <v>0.99993399999999999</v>
      </c>
      <c r="N505">
        <v>-6.8310970000000004E-3</v>
      </c>
      <c r="O505">
        <v>9.2619090000000005E-3</v>
      </c>
      <c r="P505">
        <v>0.99821539999999997</v>
      </c>
      <c r="Q505">
        <v>-2.5480360000000001E-2</v>
      </c>
      <c r="R505">
        <v>5.401127E-2</v>
      </c>
      <c r="S505">
        <v>3.0608219999999999</v>
      </c>
      <c r="T505">
        <v>0.39656639999999999</v>
      </c>
      <c r="U505">
        <v>-0.85403439999999997</v>
      </c>
      <c r="V505">
        <v>-4.4785470000000001E-2</v>
      </c>
      <c r="W505">
        <v>-1.8604889999999999E-2</v>
      </c>
      <c r="X505">
        <v>0.99882329999999997</v>
      </c>
      <c r="Y505">
        <v>0.2755669</v>
      </c>
      <c r="Z505">
        <v>1.772077E-2</v>
      </c>
      <c r="AA505">
        <v>0.96111860000000005</v>
      </c>
      <c r="AB505">
        <v>45</v>
      </c>
      <c r="AC505">
        <v>87.646799999999899</v>
      </c>
      <c r="AD505">
        <v>11.410183999999999</v>
      </c>
      <c r="AE505">
        <v>-24.5764</v>
      </c>
      <c r="AF505">
        <v>24.994419048325799</v>
      </c>
      <c r="AG505">
        <v>11.410183999999999</v>
      </c>
      <c r="AH505">
        <v>86.063152485874198</v>
      </c>
      <c r="AI505">
        <v>82.744217265365606</v>
      </c>
      <c r="AJ505">
        <v>73.805671654883497</v>
      </c>
      <c r="AK505">
        <v>90.342567476710499</v>
      </c>
      <c r="AL505">
        <v>91.066043253743501</v>
      </c>
      <c r="AM505">
        <v>92.567321821723198</v>
      </c>
      <c r="AN505">
        <v>0.99999993243895902</v>
      </c>
    </row>
    <row r="506" spans="1:40" x14ac:dyDescent="0.25">
      <c r="A506" t="str">
        <f>"20190305135548422"</f>
        <v>20190305135548422</v>
      </c>
      <c r="B506" t="str">
        <f>"1551765348412709"</f>
        <v>1551765348412709</v>
      </c>
      <c r="C506" t="s">
        <v>40</v>
      </c>
      <c r="D506">
        <v>4.0266120000000001</v>
      </c>
      <c r="E506">
        <v>0.62974490000000005</v>
      </c>
      <c r="F506" t="s">
        <v>46</v>
      </c>
      <c r="G506">
        <v>-239.84270000000001</v>
      </c>
      <c r="H506">
        <v>12.6121</v>
      </c>
      <c r="I506">
        <v>343.84429999999998</v>
      </c>
      <c r="J506">
        <v>-327.91030000000001</v>
      </c>
      <c r="K506">
        <v>1.107758</v>
      </c>
      <c r="L506">
        <v>368.48840000000001</v>
      </c>
      <c r="M506">
        <v>0.99993840000000001</v>
      </c>
      <c r="N506">
        <v>-6.8820879999999997E-3</v>
      </c>
      <c r="O506">
        <v>8.7147739999999998E-3</v>
      </c>
      <c r="P506">
        <v>0.99823010000000001</v>
      </c>
      <c r="Q506">
        <v>-2.560685E-2</v>
      </c>
      <c r="R506">
        <v>5.3674930000000003E-2</v>
      </c>
      <c r="S506">
        <v>3.0616460000000001</v>
      </c>
      <c r="T506">
        <v>0.39799630000000003</v>
      </c>
      <c r="U506">
        <v>-0.85244750000000002</v>
      </c>
      <c r="V506">
        <v>-4.4998299999999998E-2</v>
      </c>
      <c r="W506">
        <v>-1.8672999999999999E-2</v>
      </c>
      <c r="X506">
        <v>0.99881260000000005</v>
      </c>
      <c r="Y506">
        <v>0.27451049999999999</v>
      </c>
      <c r="Z506">
        <v>1.7640530000000001E-2</v>
      </c>
      <c r="AA506">
        <v>0.96142229999999995</v>
      </c>
      <c r="AB506">
        <v>45</v>
      </c>
      <c r="AC506">
        <v>88.067599999999999</v>
      </c>
      <c r="AD506">
        <v>11.504341999999999</v>
      </c>
      <c r="AE506">
        <v>-24.644100000000002</v>
      </c>
      <c r="AF506">
        <v>25.014807040273102</v>
      </c>
      <c r="AG506">
        <v>11.504341999999999</v>
      </c>
      <c r="AH506">
        <v>86.480904701642004</v>
      </c>
      <c r="AI506">
        <v>82.717695606976093</v>
      </c>
      <c r="AJ506">
        <v>73.867361640328994</v>
      </c>
      <c r="AK506">
        <v>90.7581254441141</v>
      </c>
      <c r="AL506">
        <v>91.069946201546898</v>
      </c>
      <c r="AM506">
        <v>92.579533432416298</v>
      </c>
      <c r="AN506">
        <v>1.0000000689253199</v>
      </c>
    </row>
    <row r="507" spans="1:40" x14ac:dyDescent="0.25">
      <c r="A507" t="str">
        <f>"20190305135548444"</f>
        <v>20190305135548444</v>
      </c>
      <c r="B507" t="str">
        <f>"1551765348441985"</f>
        <v>1551765348441985</v>
      </c>
      <c r="C507" t="s">
        <v>40</v>
      </c>
      <c r="D507">
        <v>4.0423339999999897</v>
      </c>
      <c r="E507">
        <v>0.6297355</v>
      </c>
      <c r="F507" t="s">
        <v>46</v>
      </c>
      <c r="G507">
        <v>-239.84299999999999</v>
      </c>
      <c r="H507">
        <v>12.548629999999999</v>
      </c>
      <c r="I507">
        <v>343.88209999999998</v>
      </c>
      <c r="J507">
        <v>-327.44779999999997</v>
      </c>
      <c r="K507">
        <v>1.1076790000000001</v>
      </c>
      <c r="L507">
        <v>368.49200000000002</v>
      </c>
      <c r="M507">
        <v>0.99994369999999999</v>
      </c>
      <c r="N507">
        <v>-6.944141E-3</v>
      </c>
      <c r="O507">
        <v>8.0404629999999994E-3</v>
      </c>
      <c r="P507">
        <v>0.99827909999999997</v>
      </c>
      <c r="Q507">
        <v>-2.5153120000000001E-2</v>
      </c>
      <c r="R507">
        <v>5.2976280000000001E-2</v>
      </c>
      <c r="S507">
        <v>3.0615540000000001</v>
      </c>
      <c r="T507">
        <v>0.39772819999999998</v>
      </c>
      <c r="U507">
        <v>-0.85540769999999899</v>
      </c>
      <c r="V507">
        <v>-4.4975880000000003E-2</v>
      </c>
      <c r="W507">
        <v>-1.814837E-2</v>
      </c>
      <c r="X507">
        <v>0.99882320000000002</v>
      </c>
      <c r="Y507">
        <v>0.27474110000000002</v>
      </c>
      <c r="Z507">
        <v>1.7541620000000001E-2</v>
      </c>
      <c r="AA507">
        <v>0.96135820000000005</v>
      </c>
      <c r="AB507">
        <v>45</v>
      </c>
      <c r="AC507">
        <v>87.604799999999898</v>
      </c>
      <c r="AD507">
        <v>11.440951</v>
      </c>
      <c r="AE507">
        <v>-24.6098999999999</v>
      </c>
      <c r="AF507">
        <v>24.919572285516001</v>
      </c>
      <c r="AG507">
        <v>11.440951</v>
      </c>
      <c r="AH507">
        <v>86.043893987489895</v>
      </c>
      <c r="AI507">
        <v>82.721700701726903</v>
      </c>
      <c r="AJ507">
        <v>73.8482091926724</v>
      </c>
      <c r="AK507">
        <v>90.307431229151206</v>
      </c>
      <c r="AL507">
        <v>91.039882105995602</v>
      </c>
      <c r="AM507">
        <v>92.578222612964296</v>
      </c>
      <c r="AN507">
        <v>0.99999998898683495</v>
      </c>
    </row>
    <row r="508" spans="1:40" x14ac:dyDescent="0.25">
      <c r="A508" t="str">
        <f>"20190305135548468"</f>
        <v>20190305135548468</v>
      </c>
      <c r="B508" t="str">
        <f>"1551765348462482"</f>
        <v>1551765348462482</v>
      </c>
      <c r="C508" t="s">
        <v>40</v>
      </c>
      <c r="D508">
        <v>3.964941</v>
      </c>
      <c r="E508">
        <v>0.63002930000000001</v>
      </c>
      <c r="F508" t="s">
        <v>46</v>
      </c>
      <c r="G508">
        <v>-239.84460000000001</v>
      </c>
      <c r="H508">
        <v>12.388339999999999</v>
      </c>
      <c r="I508">
        <v>343.94670000000002</v>
      </c>
      <c r="J508">
        <v>-326.983</v>
      </c>
      <c r="K508">
        <v>1.1075980000000001</v>
      </c>
      <c r="L508">
        <v>368.49520000000001</v>
      </c>
      <c r="M508">
        <v>0.99994910000000004</v>
      </c>
      <c r="N508">
        <v>-7.0138120000000003E-3</v>
      </c>
      <c r="O508">
        <v>7.2750089999999998E-3</v>
      </c>
      <c r="P508">
        <v>0.99835879999999999</v>
      </c>
      <c r="Q508">
        <v>-2.502426E-2</v>
      </c>
      <c r="R508">
        <v>5.1516190000000003E-2</v>
      </c>
      <c r="S508">
        <v>3.0606080000000002</v>
      </c>
      <c r="T508">
        <v>0.39411439999999998</v>
      </c>
      <c r="U508">
        <v>-0.85754390000000003</v>
      </c>
      <c r="V508">
        <v>-4.4283530000000002E-2</v>
      </c>
      <c r="W508">
        <v>-1.79414E-2</v>
      </c>
      <c r="X508">
        <v>0.99885789999999997</v>
      </c>
      <c r="Y508">
        <v>0.27475050000000001</v>
      </c>
      <c r="Z508">
        <v>1.726857E-2</v>
      </c>
      <c r="AA508">
        <v>0.96136049999999995</v>
      </c>
      <c r="AB508">
        <v>45</v>
      </c>
      <c r="AC508">
        <v>87.138399999999905</v>
      </c>
      <c r="AD508">
        <v>11.280742</v>
      </c>
      <c r="AE508">
        <v>-24.548499999999901</v>
      </c>
      <c r="AF508">
        <v>24.796778746985702</v>
      </c>
      <c r="AG508">
        <v>11.280742</v>
      </c>
      <c r="AH508">
        <v>85.627953285208093</v>
      </c>
      <c r="AI508">
        <v>82.787998872025696</v>
      </c>
      <c r="AJ508">
        <v>73.849648242679194</v>
      </c>
      <c r="AK508">
        <v>89.857007295543198</v>
      </c>
      <c r="AL508">
        <v>91.028021640852899</v>
      </c>
      <c r="AM508">
        <v>92.538498204337003</v>
      </c>
      <c r="AN508">
        <v>1.0000000146278101</v>
      </c>
    </row>
    <row r="509" spans="1:40" x14ac:dyDescent="0.25">
      <c r="A509" t="str">
        <f>"20190305135548490"</f>
        <v>20190305135548490</v>
      </c>
      <c r="B509" t="str">
        <f>"1551765348482005"</f>
        <v>1551765348482005</v>
      </c>
      <c r="C509" t="s">
        <v>40</v>
      </c>
      <c r="D509">
        <v>3.9886189999999999</v>
      </c>
      <c r="E509">
        <v>0.63011319999999904</v>
      </c>
      <c r="F509" t="s">
        <v>46</v>
      </c>
      <c r="G509">
        <v>-239.84620000000001</v>
      </c>
      <c r="H509">
        <v>12.392670000000001</v>
      </c>
      <c r="I509">
        <v>343.87520000000001</v>
      </c>
      <c r="J509">
        <v>-326.52050000000003</v>
      </c>
      <c r="K509">
        <v>1.107523</v>
      </c>
      <c r="L509">
        <v>368.49799999999999</v>
      </c>
      <c r="M509">
        <v>0.99995429999999996</v>
      </c>
      <c r="N509">
        <v>-7.0930630000000001E-3</v>
      </c>
      <c r="O509">
        <v>6.4283020000000003E-3</v>
      </c>
      <c r="P509">
        <v>0.99844429999999995</v>
      </c>
      <c r="Q509">
        <v>-2.4879789999999999E-2</v>
      </c>
      <c r="R509">
        <v>4.9904549999999999E-2</v>
      </c>
      <c r="S509">
        <v>3.0594790000000001</v>
      </c>
      <c r="T509">
        <v>0.39623219999999998</v>
      </c>
      <c r="U509">
        <v>-0.86444089999999996</v>
      </c>
      <c r="V509">
        <v>-4.3520200000000002E-2</v>
      </c>
      <c r="W509">
        <v>-1.770975E-2</v>
      </c>
      <c r="X509">
        <v>0.99889559999999999</v>
      </c>
      <c r="Y509">
        <v>0.27601399999999998</v>
      </c>
      <c r="Z509">
        <v>1.731806E-2</v>
      </c>
      <c r="AA509">
        <v>0.96099760000000001</v>
      </c>
      <c r="AB509">
        <v>45</v>
      </c>
      <c r="AC509">
        <v>86.674300000000002</v>
      </c>
      <c r="AD509">
        <v>11.285146999999901</v>
      </c>
      <c r="AE509">
        <v>-24.622800000000002</v>
      </c>
      <c r="AF509">
        <v>24.790595177563599</v>
      </c>
      <c r="AG509">
        <v>11.285146999999901</v>
      </c>
      <c r="AH509">
        <v>85.178073362323303</v>
      </c>
      <c r="AI509">
        <v>82.750309536790496</v>
      </c>
      <c r="AJ509">
        <v>73.772662592383696</v>
      </c>
      <c r="AK509">
        <v>89.427246037137806</v>
      </c>
      <c r="AL509">
        <v>91.014746947506794</v>
      </c>
      <c r="AM509">
        <v>92.494702993883493</v>
      </c>
      <c r="AN509">
        <v>1.0000000313762301</v>
      </c>
    </row>
    <row r="510" spans="1:40" x14ac:dyDescent="0.25">
      <c r="A510" t="str">
        <f>"20190305135548512"</f>
        <v>20190305135548512</v>
      </c>
      <c r="B510" t="str">
        <f>"1551765348502429"</f>
        <v>1551765348502429</v>
      </c>
      <c r="C510" t="s">
        <v>40</v>
      </c>
      <c r="D510">
        <v>3.9920490000000002</v>
      </c>
      <c r="E510">
        <v>0.6303299</v>
      </c>
      <c r="F510" t="s">
        <v>46</v>
      </c>
      <c r="G510">
        <v>-239.84780000000001</v>
      </c>
      <c r="H510">
        <v>12.35716</v>
      </c>
      <c r="I510">
        <v>343.83519999999999</v>
      </c>
      <c r="J510">
        <v>-326.0838</v>
      </c>
      <c r="K510">
        <v>1.1074539999999999</v>
      </c>
      <c r="L510">
        <v>368.50020000000001</v>
      </c>
      <c r="M510">
        <v>0.99995880000000004</v>
      </c>
      <c r="N510">
        <v>-7.1902619999999898E-3</v>
      </c>
      <c r="O510">
        <v>5.5602300000000002E-3</v>
      </c>
      <c r="P510">
        <v>0.99849639999999995</v>
      </c>
      <c r="Q510">
        <v>-2.5278430000000001E-2</v>
      </c>
      <c r="R510">
        <v>4.8645809999999998E-2</v>
      </c>
      <c r="S510">
        <v>3.0580750000000001</v>
      </c>
      <c r="T510">
        <v>0.39692090000000002</v>
      </c>
      <c r="U510">
        <v>-0.87017819999999901</v>
      </c>
      <c r="V510">
        <v>-4.3131780000000002E-2</v>
      </c>
      <c r="W510">
        <v>-1.8003910000000001E-2</v>
      </c>
      <c r="X510">
        <v>0.99890710000000005</v>
      </c>
      <c r="Y510">
        <v>0.2769587</v>
      </c>
      <c r="Z510">
        <v>1.7279889999999999E-2</v>
      </c>
      <c r="AA510">
        <v>0.96072639999999998</v>
      </c>
      <c r="AB510">
        <v>46</v>
      </c>
      <c r="AC510">
        <v>86.235999999999905</v>
      </c>
      <c r="AD510">
        <v>11.249706</v>
      </c>
      <c r="AE510">
        <v>-24.664999999999999</v>
      </c>
      <c r="AF510">
        <v>24.754707252245701</v>
      </c>
      <c r="AG510">
        <v>11.249706</v>
      </c>
      <c r="AH510">
        <v>84.764097998086996</v>
      </c>
      <c r="AI510">
        <v>82.7398420565751</v>
      </c>
      <c r="AJ510">
        <v>73.719959245177506</v>
      </c>
      <c r="AK510">
        <v>89.018558321622606</v>
      </c>
      <c r="AL510">
        <v>91.0316038526489</v>
      </c>
      <c r="AM510">
        <v>92.472436968408502</v>
      </c>
      <c r="AN510">
        <v>0.99999994282583105</v>
      </c>
    </row>
    <row r="511" spans="1:40" x14ac:dyDescent="0.25">
      <c r="A511" t="str">
        <f>"20190305135548533"</f>
        <v>20190305135548533</v>
      </c>
      <c r="B511" t="str">
        <f>"1551765348521938"</f>
        <v>1551765348521938</v>
      </c>
      <c r="C511" t="s">
        <v>40</v>
      </c>
      <c r="D511">
        <v>4.0162490000000002</v>
      </c>
      <c r="E511">
        <v>0.63046829999999998</v>
      </c>
      <c r="F511" t="s">
        <v>46</v>
      </c>
      <c r="G511">
        <v>-239.84989999999999</v>
      </c>
      <c r="H511">
        <v>12.28851</v>
      </c>
      <c r="I511">
        <v>343.8005</v>
      </c>
      <c r="J511">
        <v>-325.64350000000002</v>
      </c>
      <c r="K511">
        <v>1.1073980000000001</v>
      </c>
      <c r="L511">
        <v>368.50209999999998</v>
      </c>
      <c r="M511">
        <v>0.99996260000000003</v>
      </c>
      <c r="N511">
        <v>-7.3079809999999999E-3</v>
      </c>
      <c r="O511">
        <v>4.6353449999999999E-3</v>
      </c>
      <c r="P511">
        <v>0.99854480000000001</v>
      </c>
      <c r="Q511">
        <v>-2.572841E-2</v>
      </c>
      <c r="R511">
        <v>4.7398099999999999E-2</v>
      </c>
      <c r="S511">
        <v>3.05722</v>
      </c>
      <c r="T511">
        <v>0.39639809999999998</v>
      </c>
      <c r="U511">
        <v>-0.87567139999999999</v>
      </c>
      <c r="V511">
        <v>-4.2811429999999998E-2</v>
      </c>
      <c r="W511">
        <v>-1.8329539999999998E-2</v>
      </c>
      <c r="X511">
        <v>0.998915</v>
      </c>
      <c r="Y511">
        <v>0.27774729999999997</v>
      </c>
      <c r="Z511">
        <v>1.7163479999999998E-2</v>
      </c>
      <c r="AA511">
        <v>0.96050080000000004</v>
      </c>
      <c r="AB511">
        <v>46</v>
      </c>
      <c r="AC511">
        <v>85.793599999999998</v>
      </c>
      <c r="AD511">
        <v>11.181111999999899</v>
      </c>
      <c r="AE511">
        <v>-24.7015999999999</v>
      </c>
      <c r="AF511">
        <v>24.711439552820799</v>
      </c>
      <c r="AG511">
        <v>11.181111999999899</v>
      </c>
      <c r="AH511">
        <v>84.355100293123996</v>
      </c>
      <c r="AI511">
        <v>82.750770235805405</v>
      </c>
      <c r="AJ511">
        <v>73.6722959592704</v>
      </c>
      <c r="AK511">
        <v>88.608438964876598</v>
      </c>
      <c r="AL511">
        <v>91.050264114821104</v>
      </c>
      <c r="AM511">
        <v>92.454076740701097</v>
      </c>
      <c r="AN511">
        <v>0.99999998390012801</v>
      </c>
    </row>
    <row r="512" spans="1:40" x14ac:dyDescent="0.25">
      <c r="A512" t="str">
        <f>"20190305135548558"</f>
        <v>20190305135548558</v>
      </c>
      <c r="B512" t="str">
        <f>"1551765348552194"</f>
        <v>1551765348552194</v>
      </c>
      <c r="C512" t="s">
        <v>40</v>
      </c>
      <c r="D512">
        <v>4.0065439999999999</v>
      </c>
      <c r="E512">
        <v>0.63072469999999903</v>
      </c>
      <c r="F512" t="s">
        <v>46</v>
      </c>
      <c r="G512">
        <v>-241.32560000000001</v>
      </c>
      <c r="H512">
        <v>11.981680000000001</v>
      </c>
      <c r="I512">
        <v>344.21199999999999</v>
      </c>
      <c r="J512">
        <v>-325.14870000000002</v>
      </c>
      <c r="K512">
        <v>1.1073519999999999</v>
      </c>
      <c r="L512">
        <v>368.50360000000001</v>
      </c>
      <c r="M512">
        <v>0.99996580000000002</v>
      </c>
      <c r="N512">
        <v>-7.4831799999999999E-3</v>
      </c>
      <c r="O512">
        <v>3.5523759999999999E-3</v>
      </c>
      <c r="P512">
        <v>0.99858950000000002</v>
      </c>
      <c r="Q512">
        <v>-2.6273930000000001E-2</v>
      </c>
      <c r="R512">
        <v>4.6142379999999997E-2</v>
      </c>
      <c r="S512">
        <v>3.0563349999999998</v>
      </c>
      <c r="T512">
        <v>0.39416899999999999</v>
      </c>
      <c r="U512">
        <v>-0.88046259999999998</v>
      </c>
      <c r="V512">
        <v>-4.2641579999999998E-2</v>
      </c>
      <c r="W512">
        <v>-1.8693230000000002E-2</v>
      </c>
      <c r="X512">
        <v>0.99891560000000001</v>
      </c>
      <c r="Y512">
        <v>0.27820499999999998</v>
      </c>
      <c r="Z512">
        <v>1.6921780000000001E-2</v>
      </c>
      <c r="AA512">
        <v>0.96037269999999997</v>
      </c>
      <c r="AB512">
        <v>46</v>
      </c>
      <c r="AC512">
        <v>83.823099999999997</v>
      </c>
      <c r="AD512">
        <v>10.874328</v>
      </c>
      <c r="AE512">
        <v>-24.291599999999999</v>
      </c>
      <c r="AF512">
        <v>24.213294156187398</v>
      </c>
      <c r="AG512">
        <v>10.874328</v>
      </c>
      <c r="AH512">
        <v>82.456074902268497</v>
      </c>
      <c r="AI512">
        <v>82.788271947969903</v>
      </c>
      <c r="AJ512">
        <v>73.635080346133293</v>
      </c>
      <c r="AK512">
        <v>86.622969884633704</v>
      </c>
      <c r="AL512">
        <v>91.071105508541095</v>
      </c>
      <c r="AM512">
        <v>92.444350806929194</v>
      </c>
      <c r="AN512">
        <v>1.00000005855804</v>
      </c>
    </row>
    <row r="513" spans="1:40" x14ac:dyDescent="0.25">
      <c r="A513" t="str">
        <f>"20190305135548581"</f>
        <v>20190305135548581</v>
      </c>
      <c r="B513" t="str">
        <f>"1551765348571714"</f>
        <v>1551765348571714</v>
      </c>
      <c r="C513" t="s">
        <v>40</v>
      </c>
      <c r="D513">
        <v>3.9952939999999999</v>
      </c>
      <c r="E513">
        <v>0.63092269999999995</v>
      </c>
      <c r="F513" t="s">
        <v>46</v>
      </c>
      <c r="G513">
        <v>-241.27350000000001</v>
      </c>
      <c r="H513">
        <v>11.8774</v>
      </c>
      <c r="I513">
        <v>344.17309999999998</v>
      </c>
      <c r="J513">
        <v>-324.66649999999998</v>
      </c>
      <c r="K513">
        <v>1.107337</v>
      </c>
      <c r="L513">
        <v>368.50459999999998</v>
      </c>
      <c r="M513">
        <v>0.99996719999999895</v>
      </c>
      <c r="N513">
        <v>-7.7357210000000001E-3</v>
      </c>
      <c r="O513">
        <v>2.4702029999999998E-3</v>
      </c>
      <c r="P513">
        <v>0.99863539999999995</v>
      </c>
      <c r="Q513">
        <v>-2.693657E-2</v>
      </c>
      <c r="R513">
        <v>4.4747839999999997E-2</v>
      </c>
      <c r="S513">
        <v>3.055542</v>
      </c>
      <c r="T513">
        <v>0.39234910000000001</v>
      </c>
      <c r="U513">
        <v>-0.88635249999999999</v>
      </c>
      <c r="V513">
        <v>-4.2331170000000001E-2</v>
      </c>
      <c r="W513">
        <v>-1.9098190000000001E-2</v>
      </c>
      <c r="X513">
        <v>0.99892110000000001</v>
      </c>
      <c r="Y513">
        <v>0.27896860000000001</v>
      </c>
      <c r="Z513">
        <v>1.670495E-2</v>
      </c>
      <c r="AA513">
        <v>0.96015499999999998</v>
      </c>
      <c r="AB513">
        <v>46</v>
      </c>
      <c r="AC513">
        <v>83.392999999999901</v>
      </c>
      <c r="AD513">
        <v>10.770063</v>
      </c>
      <c r="AE513">
        <v>-24.331499999999998</v>
      </c>
      <c r="AF513">
        <v>24.165979628441399</v>
      </c>
      <c r="AG513">
        <v>10.770063</v>
      </c>
      <c r="AH513">
        <v>82.071142736217396</v>
      </c>
      <c r="AI513">
        <v>82.825085387839096</v>
      </c>
      <c r="AJ513">
        <v>73.592850363640295</v>
      </c>
      <c r="AK513">
        <v>86.230280635370704</v>
      </c>
      <c r="AL513">
        <v>91.094312195640697</v>
      </c>
      <c r="AM513">
        <v>92.426565122736704</v>
      </c>
      <c r="AN513">
        <v>1.00000001642002</v>
      </c>
    </row>
    <row r="514" spans="1:40" x14ac:dyDescent="0.25">
      <c r="A514" t="str">
        <f>"20190305135548601"</f>
        <v>20190305135548601</v>
      </c>
      <c r="B514" t="str">
        <f>"1551765348592210"</f>
        <v>1551765348592210</v>
      </c>
      <c r="C514" t="s">
        <v>40</v>
      </c>
      <c r="D514">
        <v>3.9276339999999998</v>
      </c>
      <c r="E514">
        <v>0.63108469999999905</v>
      </c>
      <c r="F514" t="s">
        <v>46</v>
      </c>
      <c r="G514">
        <v>-241.24189999999999</v>
      </c>
      <c r="H514">
        <v>11.795159999999999</v>
      </c>
      <c r="I514">
        <v>344.13010000000003</v>
      </c>
      <c r="J514">
        <v>-324.23680000000002</v>
      </c>
      <c r="K514">
        <v>1.107345</v>
      </c>
      <c r="L514">
        <v>368.50510000000003</v>
      </c>
      <c r="M514">
        <v>0.99996640000000003</v>
      </c>
      <c r="N514">
        <v>-8.0619130000000004E-3</v>
      </c>
      <c r="O514">
        <v>1.491823E-3</v>
      </c>
      <c r="P514">
        <v>0.99865199999999998</v>
      </c>
      <c r="Q514">
        <v>-2.7743529999999999E-2</v>
      </c>
      <c r="R514">
        <v>4.3871970000000003E-2</v>
      </c>
      <c r="S514">
        <v>3.0546259999999998</v>
      </c>
      <c r="T514">
        <v>0.3913392</v>
      </c>
      <c r="U514">
        <v>-0.89248660000000002</v>
      </c>
      <c r="V514">
        <v>-4.2436519999999998E-2</v>
      </c>
      <c r="W514">
        <v>-1.9574109999999999E-2</v>
      </c>
      <c r="X514">
        <v>0.9989074</v>
      </c>
      <c r="Y514">
        <v>0.27990219999999999</v>
      </c>
      <c r="Z514">
        <v>1.6538150000000001E-2</v>
      </c>
      <c r="AA514">
        <v>0.95988609999999996</v>
      </c>
      <c r="AB514">
        <v>46</v>
      </c>
      <c r="AC514">
        <v>82.994900000000001</v>
      </c>
      <c r="AD514">
        <v>10.687814999999899</v>
      </c>
      <c r="AE514">
        <v>-24.375</v>
      </c>
      <c r="AF514">
        <v>24.130400779018199</v>
      </c>
      <c r="AG514">
        <v>10.687814999999899</v>
      </c>
      <c r="AH514">
        <v>81.710992066941799</v>
      </c>
      <c r="AI514">
        <v>82.849908416168105</v>
      </c>
      <c r="AJ514">
        <v>73.547391064281499</v>
      </c>
      <c r="AK514">
        <v>85.867292118676403</v>
      </c>
      <c r="AL514">
        <v>91.121585521536304</v>
      </c>
      <c r="AM514">
        <v>92.432630216613106</v>
      </c>
      <c r="AN514">
        <v>0.99999999889338098</v>
      </c>
    </row>
    <row r="515" spans="1:40" x14ac:dyDescent="0.25">
      <c r="A515" t="str">
        <f>"20190305135548616"</f>
        <v>20190305135548616</v>
      </c>
      <c r="B515" t="str">
        <f>"1551765348612237"</f>
        <v>1551765348612237</v>
      </c>
      <c r="C515" t="s">
        <v>40</v>
      </c>
      <c r="D515">
        <v>3.950942</v>
      </c>
      <c r="E515">
        <v>0.63117900000000005</v>
      </c>
      <c r="F515" t="s">
        <v>46</v>
      </c>
      <c r="G515">
        <v>-241.18100000000001</v>
      </c>
      <c r="H515">
        <v>11.729609999999999</v>
      </c>
      <c r="I515">
        <v>344.14260000000002</v>
      </c>
      <c r="J515">
        <v>-323.95479999999998</v>
      </c>
      <c r="K515">
        <v>1.1073649999999999</v>
      </c>
      <c r="L515">
        <v>368.5052</v>
      </c>
      <c r="M515">
        <v>0.99996499999999999</v>
      </c>
      <c r="N515">
        <v>-8.3335879999999994E-3</v>
      </c>
      <c r="O515">
        <v>8.4786690000000005E-4</v>
      </c>
      <c r="P515">
        <v>0.99866569999999999</v>
      </c>
      <c r="Q515">
        <v>-2.831709E-2</v>
      </c>
      <c r="R515">
        <v>4.3187620000000003E-2</v>
      </c>
      <c r="S515">
        <v>3.0542910000000001</v>
      </c>
      <c r="T515">
        <v>0.39062249999999998</v>
      </c>
      <c r="U515">
        <v>-0.89590449999999999</v>
      </c>
      <c r="V515">
        <v>-4.2397209999999998E-2</v>
      </c>
      <c r="W515">
        <v>-1.9873330000000002E-2</v>
      </c>
      <c r="X515">
        <v>0.99890319999999999</v>
      </c>
      <c r="Y515">
        <v>0.28031729999999999</v>
      </c>
      <c r="Z515">
        <v>1.6405030000000001E-2</v>
      </c>
      <c r="AA515">
        <v>0.95976719999999904</v>
      </c>
      <c r="AB515">
        <v>46</v>
      </c>
      <c r="AC515">
        <v>82.773799999999994</v>
      </c>
      <c r="AD515">
        <v>10.622244999999999</v>
      </c>
      <c r="AE515">
        <v>-24.362599999999901</v>
      </c>
      <c r="AF515">
        <v>24.068015865909</v>
      </c>
      <c r="AG515">
        <v>10.622244999999999</v>
      </c>
      <c r="AH515">
        <v>81.5176850235556</v>
      </c>
      <c r="AI515">
        <v>82.876520544559696</v>
      </c>
      <c r="AJ515">
        <v>73.550816602907801</v>
      </c>
      <c r="AK515">
        <v>85.657658432631095</v>
      </c>
      <c r="AL515">
        <v>91.138732856142497</v>
      </c>
      <c r="AM515">
        <v>92.4303897208233</v>
      </c>
      <c r="AN515">
        <v>1.0000000378156499</v>
      </c>
    </row>
    <row r="516" spans="1:40" x14ac:dyDescent="0.25">
      <c r="A516" t="str">
        <f>"20190305135548629"</f>
        <v>20190305135548629</v>
      </c>
      <c r="B516" t="str">
        <f>"1551765348621997"</f>
        <v>1551765348621997</v>
      </c>
      <c r="C516" t="s">
        <v>40</v>
      </c>
      <c r="D516">
        <v>3.9760629999999999</v>
      </c>
      <c r="E516">
        <v>0.63136969999999903</v>
      </c>
      <c r="F516" t="s">
        <v>46</v>
      </c>
      <c r="G516">
        <v>-241.14060000000001</v>
      </c>
      <c r="H516">
        <v>11.68418</v>
      </c>
      <c r="I516">
        <v>344.14879999999999</v>
      </c>
      <c r="J516">
        <v>-323.66030000000001</v>
      </c>
      <c r="K516">
        <v>1.107397</v>
      </c>
      <c r="L516">
        <v>368.505</v>
      </c>
      <c r="M516">
        <v>0.99996260000000003</v>
      </c>
      <c r="N516">
        <v>-8.6588910000000002E-3</v>
      </c>
      <c r="O516">
        <v>1.769633E-4</v>
      </c>
      <c r="P516">
        <v>0.9986661</v>
      </c>
      <c r="Q516">
        <v>-2.9180149999999998E-2</v>
      </c>
      <c r="R516">
        <v>4.2602519999999998E-2</v>
      </c>
      <c r="S516">
        <v>3.0539550000000002</v>
      </c>
      <c r="T516">
        <v>0.39004309999999998</v>
      </c>
      <c r="U516">
        <v>-0.89819340000000003</v>
      </c>
      <c r="V516">
        <v>-4.2485830000000002E-2</v>
      </c>
      <c r="W516">
        <v>-2.0408260000000001E-2</v>
      </c>
      <c r="X516">
        <v>0.99888860000000002</v>
      </c>
      <c r="Y516">
        <v>0.28038150000000001</v>
      </c>
      <c r="Z516">
        <v>1.62471E-2</v>
      </c>
      <c r="AA516">
        <v>0.95975109999999997</v>
      </c>
      <c r="AB516">
        <v>46</v>
      </c>
      <c r="AC516">
        <v>82.5197</v>
      </c>
      <c r="AD516">
        <v>10.576783000000001</v>
      </c>
      <c r="AE516">
        <v>-24.356200000000001</v>
      </c>
      <c r="AF516">
        <v>24.007999575182499</v>
      </c>
      <c r="AG516">
        <v>10.576783000000001</v>
      </c>
      <c r="AH516">
        <v>81.286997375205203</v>
      </c>
      <c r="AI516">
        <v>82.886962963464299</v>
      </c>
      <c r="AJ516">
        <v>73.545569069016196</v>
      </c>
      <c r="AK516">
        <v>85.415621080149407</v>
      </c>
      <c r="AL516">
        <v>91.169388362101699</v>
      </c>
      <c r="AM516">
        <v>92.435499242711501</v>
      </c>
      <c r="AN516">
        <v>0.99999998901848797</v>
      </c>
    </row>
    <row r="517" spans="1:40" x14ac:dyDescent="0.25">
      <c r="A517" t="str">
        <f>"20190305135548646"</f>
        <v>20190305135548646</v>
      </c>
      <c r="B517" t="str">
        <f>"1551765348642493"</f>
        <v>1551765348642493</v>
      </c>
      <c r="C517" t="s">
        <v>40</v>
      </c>
      <c r="D517">
        <v>4.0001150000000001</v>
      </c>
      <c r="E517">
        <v>0.63163780000000003</v>
      </c>
      <c r="F517" t="s">
        <v>41</v>
      </c>
      <c r="G517">
        <v>-322.71260000000001</v>
      </c>
      <c r="H517">
        <v>1.228037</v>
      </c>
      <c r="I517">
        <v>368.2251</v>
      </c>
      <c r="J517">
        <v>-323.32499999999999</v>
      </c>
      <c r="K517">
        <v>1.1074440000000001</v>
      </c>
      <c r="L517">
        <v>368.50459999999998</v>
      </c>
      <c r="M517">
        <v>0.99995849999999997</v>
      </c>
      <c r="N517">
        <v>-9.0954639999999993E-3</v>
      </c>
      <c r="O517">
        <v>-5.8143919999999996E-4</v>
      </c>
      <c r="P517">
        <v>0.99867950000000005</v>
      </c>
      <c r="Q517">
        <v>-2.9729780000000001E-2</v>
      </c>
      <c r="R517">
        <v>4.1901639999999997E-2</v>
      </c>
      <c r="S517">
        <v>3.0538639999999999</v>
      </c>
      <c r="T517">
        <v>0.3887061</v>
      </c>
      <c r="U517">
        <v>-0.90145869999999995</v>
      </c>
      <c r="V517">
        <v>-4.2543369999999997E-2</v>
      </c>
      <c r="W517">
        <v>-2.051884E-2</v>
      </c>
      <c r="X517">
        <v>0.99888390000000005</v>
      </c>
      <c r="Y517">
        <v>0.28063290000000002</v>
      </c>
      <c r="Z517">
        <v>1.603634E-2</v>
      </c>
      <c r="AA517">
        <v>0.95968120000000001</v>
      </c>
      <c r="AB517">
        <v>46</v>
      </c>
      <c r="AC517">
        <v>0.61239999999997896</v>
      </c>
      <c r="AD517">
        <v>0.12059299999999901</v>
      </c>
      <c r="AE517">
        <v>-0.27949999999998398</v>
      </c>
      <c r="AF517">
        <v>0.27046409907115099</v>
      </c>
      <c r="AG517">
        <v>0.12059299999999901</v>
      </c>
      <c r="AH517">
        <v>0.59351525428094698</v>
      </c>
      <c r="AI517">
        <v>79.524776313259295</v>
      </c>
      <c r="AJ517">
        <v>65.501309776445794</v>
      </c>
      <c r="AK517">
        <v>0.66329017601615903</v>
      </c>
      <c r="AL517">
        <v>91.175725439548899</v>
      </c>
      <c r="AM517">
        <v>92.438805203248904</v>
      </c>
      <c r="AN517">
        <v>1.00000000340255</v>
      </c>
    </row>
    <row r="518" spans="1:40" x14ac:dyDescent="0.25">
      <c r="A518" t="str">
        <f>"20190305135548659"</f>
        <v>20190305135548659</v>
      </c>
      <c r="B518" t="str">
        <f>"1551765348652254"</f>
        <v>1551765348652254</v>
      </c>
      <c r="C518" t="s">
        <v>40</v>
      </c>
      <c r="D518">
        <v>4.0144440000000001</v>
      </c>
      <c r="E518">
        <v>0.63161619999999996</v>
      </c>
      <c r="F518" t="s">
        <v>46</v>
      </c>
      <c r="G518">
        <v>-241.08969999999999</v>
      </c>
      <c r="H518">
        <v>11.58057</v>
      </c>
      <c r="I518">
        <v>344.10899999999998</v>
      </c>
      <c r="J518">
        <v>-323.05770000000001</v>
      </c>
      <c r="K518">
        <v>1.107491</v>
      </c>
      <c r="L518">
        <v>368.50409999999999</v>
      </c>
      <c r="M518">
        <v>0.99995460000000003</v>
      </c>
      <c r="N518">
        <v>-9.4635369999999993E-3</v>
      </c>
      <c r="O518">
        <v>-1.186917E-3</v>
      </c>
      <c r="P518">
        <v>0.99868219999999996</v>
      </c>
      <c r="Q518">
        <v>-3.0166499999999999E-2</v>
      </c>
      <c r="R518">
        <v>4.1524949999999998E-2</v>
      </c>
      <c r="S518">
        <v>3.0535580000000002</v>
      </c>
      <c r="T518">
        <v>0.3888876</v>
      </c>
      <c r="U518">
        <v>-0.90585329999999997</v>
      </c>
      <c r="V518">
        <v>-4.2772879999999999E-2</v>
      </c>
      <c r="W518">
        <v>-2.0585510000000001E-2</v>
      </c>
      <c r="X518">
        <v>0.99887269999999995</v>
      </c>
      <c r="Y518">
        <v>0.28135349999999998</v>
      </c>
      <c r="Z518">
        <v>1.5949720000000001E-2</v>
      </c>
      <c r="AA518">
        <v>0.95947159999999998</v>
      </c>
      <c r="AB518">
        <v>46</v>
      </c>
      <c r="AC518">
        <v>81.968000000000004</v>
      </c>
      <c r="AD518">
        <v>10.473078999999901</v>
      </c>
      <c r="AE518">
        <v>-24.3950999999999</v>
      </c>
      <c r="AF518">
        <v>23.9387819060344</v>
      </c>
      <c r="AG518">
        <v>10.473078999999901</v>
      </c>
      <c r="AH518">
        <v>80.785368986922805</v>
      </c>
      <c r="AI518">
        <v>82.914570263615602</v>
      </c>
      <c r="AJ518">
        <v>73.494089307814804</v>
      </c>
      <c r="AK518">
        <v>84.905986274456495</v>
      </c>
      <c r="AL518">
        <v>91.179546187727595</v>
      </c>
      <c r="AM518">
        <v>92.4519733440723</v>
      </c>
      <c r="AN518">
        <v>0.99999997664537199</v>
      </c>
    </row>
    <row r="519" spans="1:40" x14ac:dyDescent="0.25">
      <c r="A519" t="str">
        <f>"20190305135548671"</f>
        <v>20190305135548671</v>
      </c>
      <c r="B519" t="str">
        <f>"1551765348662013"</f>
        <v>1551765348662013</v>
      </c>
      <c r="C519" t="s">
        <v>40</v>
      </c>
      <c r="D519">
        <v>3.986605</v>
      </c>
      <c r="E519">
        <v>0.63168970000000002</v>
      </c>
      <c r="F519" t="s">
        <v>46</v>
      </c>
      <c r="G519">
        <v>-241.0035</v>
      </c>
      <c r="H519">
        <v>11.49539</v>
      </c>
      <c r="I519">
        <v>344.13440000000003</v>
      </c>
      <c r="J519">
        <v>-322.80680000000001</v>
      </c>
      <c r="K519">
        <v>1.1075349999999999</v>
      </c>
      <c r="L519">
        <v>368.5034</v>
      </c>
      <c r="M519">
        <v>0.99995040000000002</v>
      </c>
      <c r="N519">
        <v>-9.8156739999999999E-3</v>
      </c>
      <c r="O519">
        <v>-1.75549E-3</v>
      </c>
      <c r="P519">
        <v>0.99869350000000001</v>
      </c>
      <c r="Q519">
        <v>-3.0719900000000001E-2</v>
      </c>
      <c r="R519">
        <v>4.0836890000000001E-2</v>
      </c>
      <c r="S519">
        <v>3.0533450000000002</v>
      </c>
      <c r="T519">
        <v>0.3865478</v>
      </c>
      <c r="U519">
        <v>-0.90682980000000002</v>
      </c>
      <c r="V519">
        <v>-4.26541E-2</v>
      </c>
      <c r="W519">
        <v>-2.078605E-2</v>
      </c>
      <c r="X519">
        <v>0.99887369999999998</v>
      </c>
      <c r="Y519">
        <v>0.28114489999999998</v>
      </c>
      <c r="Z519">
        <v>1.570804E-2</v>
      </c>
      <c r="AA519">
        <v>0.95953679999999997</v>
      </c>
      <c r="AB519">
        <v>46</v>
      </c>
      <c r="AC519">
        <v>81.803299999999993</v>
      </c>
      <c r="AD519">
        <v>10.387854999999901</v>
      </c>
      <c r="AE519">
        <v>-24.3689999999999</v>
      </c>
      <c r="AF519">
        <v>23.871785347702801</v>
      </c>
      <c r="AG519">
        <v>10.387854999999901</v>
      </c>
      <c r="AH519">
        <v>80.651426212275197</v>
      </c>
      <c r="AI519">
        <v>82.959450638744997</v>
      </c>
      <c r="AJ519">
        <v>73.511923524069502</v>
      </c>
      <c r="AK519">
        <v>84.749172369185402</v>
      </c>
      <c r="AL519">
        <v>91.191038654961005</v>
      </c>
      <c r="AM519">
        <v>92.445170061585202</v>
      </c>
      <c r="AN519">
        <v>1.00000005033654</v>
      </c>
    </row>
    <row r="520" spans="1:40" x14ac:dyDescent="0.25">
      <c r="A520" t="str">
        <f>"20190305135548691"</f>
        <v>20190305135548691</v>
      </c>
      <c r="B520" t="str">
        <f>"1551765348682512"</f>
        <v>1551765348682512</v>
      </c>
      <c r="C520" t="s">
        <v>40</v>
      </c>
      <c r="D520">
        <v>4.1675700000000004</v>
      </c>
      <c r="E520">
        <v>0.63197329999999996</v>
      </c>
      <c r="F520" t="s">
        <v>46</v>
      </c>
      <c r="G520">
        <v>-240.9633</v>
      </c>
      <c r="H520">
        <v>11.42759</v>
      </c>
      <c r="I520">
        <v>344.1173</v>
      </c>
      <c r="J520">
        <v>-322.4008</v>
      </c>
      <c r="K520">
        <v>1.107604</v>
      </c>
      <c r="L520">
        <v>368.50200000000001</v>
      </c>
      <c r="M520">
        <v>0.99994249999999996</v>
      </c>
      <c r="N520">
        <v>-1.038507E-2</v>
      </c>
      <c r="O520">
        <v>-2.6792000000000001E-3</v>
      </c>
      <c r="P520">
        <v>0.99871969999999999</v>
      </c>
      <c r="Q520">
        <v>-3.0796239999999999E-2</v>
      </c>
      <c r="R520">
        <v>4.013336E-2</v>
      </c>
      <c r="S520">
        <v>3.0529790000000001</v>
      </c>
      <c r="T520">
        <v>0.38496580000000002</v>
      </c>
      <c r="U520">
        <v>-0.90966800000000003</v>
      </c>
      <c r="V520">
        <v>-4.2872689999999998E-2</v>
      </c>
      <c r="W520">
        <v>-2.0291190000000001E-2</v>
      </c>
      <c r="X520">
        <v>0.9988745</v>
      </c>
      <c r="Y520">
        <v>0.28114400000000001</v>
      </c>
      <c r="Z520">
        <v>1.5432100000000001E-2</v>
      </c>
      <c r="AA520">
        <v>0.95954150000000005</v>
      </c>
      <c r="AB520">
        <v>46</v>
      </c>
      <c r="AC520">
        <v>81.4375</v>
      </c>
      <c r="AD520">
        <v>10.319985999999901</v>
      </c>
      <c r="AE520">
        <v>-24.384699999999899</v>
      </c>
      <c r="AF520">
        <v>23.8154369343833</v>
      </c>
      <c r="AG520">
        <v>10.319985999999901</v>
      </c>
      <c r="AH520">
        <v>80.318855624010794</v>
      </c>
      <c r="AI520">
        <v>82.977310113510995</v>
      </c>
      <c r="AJ520">
        <v>73.484322130025603</v>
      </c>
      <c r="AK520">
        <v>84.408504999001593</v>
      </c>
      <c r="AL520">
        <v>91.162679304290606</v>
      </c>
      <c r="AM520">
        <v>92.457683563258399</v>
      </c>
      <c r="AN520">
        <v>1.00000003334485</v>
      </c>
    </row>
    <row r="521" spans="1:40" x14ac:dyDescent="0.25">
      <c r="A521" t="str">
        <f>"20190305135548704"</f>
        <v>20190305135548704</v>
      </c>
      <c r="B521" t="str">
        <f>"1551765348692270"</f>
        <v>1551765348692270</v>
      </c>
      <c r="C521" t="s">
        <v>40</v>
      </c>
      <c r="D521">
        <v>4.0429680000000001</v>
      </c>
      <c r="E521">
        <v>0.63210959999999905</v>
      </c>
      <c r="F521" t="s">
        <v>46</v>
      </c>
      <c r="G521">
        <v>-240.9487</v>
      </c>
      <c r="H521">
        <v>11.385899999999999</v>
      </c>
      <c r="I521">
        <v>344.09370000000001</v>
      </c>
      <c r="J521">
        <v>-322.13720000000001</v>
      </c>
      <c r="K521">
        <v>1.107642</v>
      </c>
      <c r="L521">
        <v>368.5009</v>
      </c>
      <c r="M521">
        <v>0.99993690000000002</v>
      </c>
      <c r="N521">
        <v>-1.074028E-2</v>
      </c>
      <c r="O521">
        <v>-3.2806580000000001E-3</v>
      </c>
      <c r="P521">
        <v>0.99875449999999999</v>
      </c>
      <c r="Q521">
        <v>-3.057723E-2</v>
      </c>
      <c r="R521">
        <v>3.9425340000000003E-2</v>
      </c>
      <c r="S521">
        <v>3.052521</v>
      </c>
      <c r="T521">
        <v>0.38519229999999999</v>
      </c>
      <c r="U521">
        <v>-0.91473389999999999</v>
      </c>
      <c r="V521">
        <v>-4.2763629999999997E-2</v>
      </c>
      <c r="W521">
        <v>-1.9716689999999999E-2</v>
      </c>
      <c r="X521">
        <v>0.99889059999999996</v>
      </c>
      <c r="Y521">
        <v>0.28207189999999999</v>
      </c>
      <c r="Z521">
        <v>1.5359799999999899E-2</v>
      </c>
      <c r="AA521">
        <v>0.95927030000000002</v>
      </c>
      <c r="AB521">
        <v>46</v>
      </c>
      <c r="AC521">
        <v>81.188500000000005</v>
      </c>
      <c r="AD521">
        <v>10.278257999999999</v>
      </c>
      <c r="AE521">
        <v>-24.4071999999999</v>
      </c>
      <c r="AF521">
        <v>23.791008451853902</v>
      </c>
      <c r="AG521">
        <v>10.278257999999999</v>
      </c>
      <c r="AH521">
        <v>80.090919677572302</v>
      </c>
      <c r="AI521">
        <v>82.986736213841994</v>
      </c>
      <c r="AJ521">
        <v>73.455947450002895</v>
      </c>
      <c r="AK521">
        <v>84.179629872494004</v>
      </c>
      <c r="AL521">
        <v>91.129756382144393</v>
      </c>
      <c r="AM521">
        <v>92.451399854913106</v>
      </c>
      <c r="AN521">
        <v>0.99999995334184499</v>
      </c>
    </row>
    <row r="522" spans="1:40" x14ac:dyDescent="0.25">
      <c r="A522" t="str">
        <f>"20190305135548724"</f>
        <v>20190305135548724</v>
      </c>
      <c r="B522" t="str">
        <f>"1551765348722056"</f>
        <v>1551765348722056</v>
      </c>
      <c r="C522" t="s">
        <v>40</v>
      </c>
      <c r="D522">
        <v>3.9776590000000001</v>
      </c>
      <c r="E522">
        <v>0.63198330000000003</v>
      </c>
      <c r="F522" t="s">
        <v>46</v>
      </c>
      <c r="G522">
        <v>-240.95820000000001</v>
      </c>
      <c r="H522">
        <v>11.373889999999999</v>
      </c>
      <c r="I522">
        <v>344.06889999999999</v>
      </c>
      <c r="J522">
        <v>-321.73289999999997</v>
      </c>
      <c r="K522">
        <v>1.107704</v>
      </c>
      <c r="L522">
        <v>368.49889999999999</v>
      </c>
      <c r="M522">
        <v>0.99992789999999998</v>
      </c>
      <c r="N522">
        <v>-1.1257400000000001E-2</v>
      </c>
      <c r="O522">
        <v>-4.20273E-3</v>
      </c>
      <c r="P522">
        <v>0.99875939999999996</v>
      </c>
      <c r="Q522">
        <v>-3.0285220000000002E-2</v>
      </c>
      <c r="R522">
        <v>3.9528470000000003E-2</v>
      </c>
      <c r="S522">
        <v>3.0518190000000001</v>
      </c>
      <c r="T522">
        <v>0.38594630000000002</v>
      </c>
      <c r="U522">
        <v>-0.91848750000000001</v>
      </c>
      <c r="V522">
        <v>-4.3785490000000003E-2</v>
      </c>
      <c r="W522">
        <v>-1.890418E-2</v>
      </c>
      <c r="X522">
        <v>0.99886209999999997</v>
      </c>
      <c r="Y522">
        <v>0.2823386</v>
      </c>
      <c r="Z522">
        <v>1.5208019999999999E-2</v>
      </c>
      <c r="AA522">
        <v>0.9591942</v>
      </c>
      <c r="AB522">
        <v>46</v>
      </c>
      <c r="AC522">
        <v>80.774699999999896</v>
      </c>
      <c r="AD522">
        <v>10.266185999999999</v>
      </c>
      <c r="AE522">
        <v>-24.43</v>
      </c>
      <c r="AF522">
        <v>23.738957926112601</v>
      </c>
      <c r="AG522">
        <v>10.266185999999999</v>
      </c>
      <c r="AH522">
        <v>79.697167858991193</v>
      </c>
      <c r="AI522">
        <v>82.962179449869694</v>
      </c>
      <c r="AJ522">
        <v>73.413073482214401</v>
      </c>
      <c r="AK522">
        <v>83.788849276908905</v>
      </c>
      <c r="AL522">
        <v>91.083194234868898</v>
      </c>
      <c r="AM522">
        <v>92.509974860597595</v>
      </c>
      <c r="AN522">
        <v>1.0000000159862099</v>
      </c>
    </row>
    <row r="523" spans="1:40" x14ac:dyDescent="0.25">
      <c r="A523" t="str">
        <f>"20190305135548737"</f>
        <v>20190305135548737</v>
      </c>
      <c r="B523" t="str">
        <f>"1551765348731816"</f>
        <v>1551765348731816</v>
      </c>
      <c r="C523" t="s">
        <v>40</v>
      </c>
      <c r="D523">
        <v>3.9904639999999998</v>
      </c>
      <c r="E523">
        <v>0.63179569999999996</v>
      </c>
      <c r="F523" t="s">
        <v>46</v>
      </c>
      <c r="G523">
        <v>-240.83959999999999</v>
      </c>
      <c r="H523">
        <v>11.33376</v>
      </c>
      <c r="I523">
        <v>344.18299999999999</v>
      </c>
      <c r="J523">
        <v>-321.47269999999997</v>
      </c>
      <c r="K523">
        <v>1.1077319999999999</v>
      </c>
      <c r="L523">
        <v>368.49740000000003</v>
      </c>
      <c r="M523">
        <v>0.99992170000000002</v>
      </c>
      <c r="N523">
        <v>-1.156799E-2</v>
      </c>
      <c r="O523">
        <v>-4.7932180000000001E-3</v>
      </c>
      <c r="P523">
        <v>0.99876640000000005</v>
      </c>
      <c r="Q523">
        <v>-3.0118789999999999E-2</v>
      </c>
      <c r="R523">
        <v>3.9478359999999997E-2</v>
      </c>
      <c r="S523">
        <v>3.0517270000000001</v>
      </c>
      <c r="T523">
        <v>0.3857816</v>
      </c>
      <c r="U523">
        <v>-0.91732789999999997</v>
      </c>
      <c r="V523">
        <v>-4.4324099999999998E-2</v>
      </c>
      <c r="W523">
        <v>-1.842558E-2</v>
      </c>
      <c r="X523">
        <v>0.99884720000000005</v>
      </c>
      <c r="Y523">
        <v>0.28146389999999999</v>
      </c>
      <c r="Z523">
        <v>1.502803E-2</v>
      </c>
      <c r="AA523">
        <v>0.95945409999999998</v>
      </c>
      <c r="AB523">
        <v>46</v>
      </c>
      <c r="AC523">
        <v>80.633099999999899</v>
      </c>
      <c r="AD523">
        <v>10.226027999999999</v>
      </c>
      <c r="AE523">
        <v>-24.3143999999999</v>
      </c>
      <c r="AF523">
        <v>23.5799594103548</v>
      </c>
      <c r="AG523">
        <v>10.226027999999999</v>
      </c>
      <c r="AH523">
        <v>79.575529909218005</v>
      </c>
      <c r="AI523">
        <v>82.975897078670599</v>
      </c>
      <c r="AJ523">
        <v>73.494298514348401</v>
      </c>
      <c r="AK523">
        <v>83.623268859711601</v>
      </c>
      <c r="AL523">
        <v>91.055767789644605</v>
      </c>
      <c r="AM523">
        <v>92.540847965183005</v>
      </c>
      <c r="AN523">
        <v>0.99999992839348995</v>
      </c>
    </row>
    <row r="524" spans="1:40" x14ac:dyDescent="0.25">
      <c r="A524" t="str">
        <f>"20190305135548751"</f>
        <v>20190305135548751</v>
      </c>
      <c r="B524" t="str">
        <f>"1551765348742552"</f>
        <v>1551765348742552</v>
      </c>
      <c r="C524" t="s">
        <v>40</v>
      </c>
      <c r="D524">
        <v>4.0465220000000004</v>
      </c>
      <c r="E524">
        <v>0.63154129999999997</v>
      </c>
      <c r="F524" t="s">
        <v>46</v>
      </c>
      <c r="G524">
        <v>-240.74979999999999</v>
      </c>
      <c r="H524">
        <v>11.296110000000001</v>
      </c>
      <c r="I524">
        <v>344.26190000000003</v>
      </c>
      <c r="J524">
        <v>-321.18920000000003</v>
      </c>
      <c r="K524">
        <v>1.107748</v>
      </c>
      <c r="L524">
        <v>368.49560000000002</v>
      </c>
      <c r="M524">
        <v>0.9999152</v>
      </c>
      <c r="N524">
        <v>-1.184081E-2</v>
      </c>
      <c r="O524">
        <v>-5.4376579999999997E-3</v>
      </c>
      <c r="P524">
        <v>0.99876830000000005</v>
      </c>
      <c r="Q524">
        <v>-3.0113640000000001E-2</v>
      </c>
      <c r="R524">
        <v>3.9437949999999999E-2</v>
      </c>
      <c r="S524">
        <v>3.0515439999999998</v>
      </c>
      <c r="T524">
        <v>0.3851483</v>
      </c>
      <c r="U524">
        <v>-0.91616819999999999</v>
      </c>
      <c r="V524">
        <v>-4.4926349999999997E-2</v>
      </c>
      <c r="W524">
        <v>-1.8146180000000001E-2</v>
      </c>
      <c r="X524">
        <v>0.99882550000000003</v>
      </c>
      <c r="Y524">
        <v>0.2805494</v>
      </c>
      <c r="Z524">
        <v>1.482465E-2</v>
      </c>
      <c r="AA524">
        <v>0.9597251</v>
      </c>
      <c r="AB524">
        <v>46</v>
      </c>
      <c r="AC524">
        <v>80.439400000000006</v>
      </c>
      <c r="AD524">
        <v>10.188362</v>
      </c>
      <c r="AE524">
        <v>-24.233699999999999</v>
      </c>
      <c r="AF524">
        <v>23.451001573338999</v>
      </c>
      <c r="AG524">
        <v>10.188362</v>
      </c>
      <c r="AH524">
        <v>79.402180328251603</v>
      </c>
      <c r="AI524">
        <v>82.984539238332204</v>
      </c>
      <c r="AJ524">
        <v>73.545781422313695</v>
      </c>
      <c r="AK524">
        <v>83.417374904248703</v>
      </c>
      <c r="AL524">
        <v>91.039756575204805</v>
      </c>
      <c r="AM524">
        <v>92.575381229954203</v>
      </c>
      <c r="AN524">
        <v>1.00000002011158</v>
      </c>
    </row>
    <row r="525" spans="1:40" x14ac:dyDescent="0.25">
      <c r="A525" t="str">
        <f>"20190305135548771"</f>
        <v>20190305135548771</v>
      </c>
      <c r="B525" t="str">
        <f>"1551765348762072"</f>
        <v>1551765348762072</v>
      </c>
      <c r="C525" t="s">
        <v>40</v>
      </c>
      <c r="D525">
        <v>3.999663</v>
      </c>
      <c r="E525">
        <v>0.6311158</v>
      </c>
      <c r="F525" t="s">
        <v>46</v>
      </c>
      <c r="G525">
        <v>-240.63</v>
      </c>
      <c r="H525">
        <v>11.233169999999999</v>
      </c>
      <c r="I525">
        <v>344.35399999999998</v>
      </c>
      <c r="J525">
        <v>-320.7697</v>
      </c>
      <c r="K525">
        <v>1.107556</v>
      </c>
      <c r="L525">
        <v>368.49270000000001</v>
      </c>
      <c r="M525">
        <v>0.99991419999999998</v>
      </c>
      <c r="N525">
        <v>-1.140092E-2</v>
      </c>
      <c r="O525">
        <v>-6.4480060000000001E-3</v>
      </c>
      <c r="P525">
        <v>0.99878670000000003</v>
      </c>
      <c r="Q525">
        <v>-2.9670180000000001E-2</v>
      </c>
      <c r="R525">
        <v>3.9303770000000002E-2</v>
      </c>
      <c r="S525">
        <v>3.0513919999999999</v>
      </c>
      <c r="T525">
        <v>0.38352700000000001</v>
      </c>
      <c r="U525">
        <v>-0.91442869999999998</v>
      </c>
      <c r="V525">
        <v>-4.5800309999999997E-2</v>
      </c>
      <c r="W525">
        <v>-1.8142080000000001E-2</v>
      </c>
      <c r="X525">
        <v>0.9987859</v>
      </c>
      <c r="Y525">
        <v>0.2791167</v>
      </c>
      <c r="Z525">
        <v>1.460874E-2</v>
      </c>
      <c r="AA525">
        <v>0.9601461</v>
      </c>
      <c r="AB525">
        <v>46</v>
      </c>
      <c r="AC525">
        <v>80.139700000000005</v>
      </c>
      <c r="AD525">
        <v>10.125614000000001</v>
      </c>
      <c r="AE525">
        <v>-24.138699999999901</v>
      </c>
      <c r="AF525">
        <v>23.280680014419101</v>
      </c>
      <c r="AG525">
        <v>10.125614000000001</v>
      </c>
      <c r="AH525">
        <v>79.135439571227707</v>
      </c>
      <c r="AI525">
        <v>83.001875839756906</v>
      </c>
      <c r="AJ525">
        <v>73.606760859846304</v>
      </c>
      <c r="AK525">
        <v>83.107977456693007</v>
      </c>
      <c r="AL525">
        <v>91.039521604458201</v>
      </c>
      <c r="AM525">
        <v>92.625515079201804</v>
      </c>
      <c r="AN525">
        <v>1.0000000387508099</v>
      </c>
    </row>
    <row r="526" spans="1:40" x14ac:dyDescent="0.25">
      <c r="A526" t="str">
        <f>"20190305135548793"</f>
        <v>20190305135548793</v>
      </c>
      <c r="B526" t="str">
        <f>"1551765348782568"</f>
        <v>1551765348782568</v>
      </c>
      <c r="C526" t="s">
        <v>40</v>
      </c>
      <c r="D526">
        <v>4.0858410000000003</v>
      </c>
      <c r="E526">
        <v>0.63081039999999999</v>
      </c>
      <c r="F526" t="s">
        <v>46</v>
      </c>
      <c r="G526">
        <v>-240.46680000000001</v>
      </c>
      <c r="H526">
        <v>11.14676</v>
      </c>
      <c r="I526">
        <v>344.47890000000001</v>
      </c>
      <c r="J526">
        <v>-320.31270000000001</v>
      </c>
      <c r="K526">
        <v>1.107262</v>
      </c>
      <c r="L526">
        <v>368.48899999999998</v>
      </c>
      <c r="M526">
        <v>0.99991059999999998</v>
      </c>
      <c r="N526">
        <v>-1.104262E-2</v>
      </c>
      <c r="O526">
        <v>-7.54425699999999E-3</v>
      </c>
      <c r="P526">
        <v>0.99882349999999998</v>
      </c>
      <c r="Q526">
        <v>-2.9815399999999999E-2</v>
      </c>
      <c r="R526">
        <v>3.8241549999999999E-2</v>
      </c>
      <c r="S526">
        <v>3.0508419999999998</v>
      </c>
      <c r="T526">
        <v>0.38140580000000002</v>
      </c>
      <c r="U526">
        <v>-0.912323</v>
      </c>
      <c r="V526">
        <v>-4.5833690000000003E-2</v>
      </c>
      <c r="W526">
        <v>-1.8646909999999999E-2</v>
      </c>
      <c r="X526">
        <v>0.99877499999999997</v>
      </c>
      <c r="Y526">
        <v>0.27753610000000001</v>
      </c>
      <c r="Z526">
        <v>1.434443E-2</v>
      </c>
      <c r="AA526">
        <v>0.96060809999999996</v>
      </c>
      <c r="AB526">
        <v>46</v>
      </c>
      <c r="AC526">
        <v>79.8459</v>
      </c>
      <c r="AD526">
        <v>10.039498</v>
      </c>
      <c r="AE526">
        <v>-24.010100000000001</v>
      </c>
      <c r="AF526">
        <v>23.0724852213738</v>
      </c>
      <c r="AG526">
        <v>10.039498</v>
      </c>
      <c r="AH526">
        <v>78.881118000033794</v>
      </c>
      <c r="AI526">
        <v>83.035508221707005</v>
      </c>
      <c r="AJ526">
        <v>73.695963782737607</v>
      </c>
      <c r="AK526">
        <v>82.797112699162199</v>
      </c>
      <c r="AL526">
        <v>91.068451202817897</v>
      </c>
      <c r="AM526">
        <v>92.627454550054495</v>
      </c>
      <c r="AN526">
        <v>0.99999996750828102</v>
      </c>
    </row>
    <row r="527" spans="1:40" x14ac:dyDescent="0.25">
      <c r="A527" t="str">
        <f>"20190305135548814"</f>
        <v>20190305135548814</v>
      </c>
      <c r="B527" t="str">
        <f>"1551765348802597"</f>
        <v>1551765348802597</v>
      </c>
      <c r="C527" t="s">
        <v>40</v>
      </c>
      <c r="D527">
        <v>4.0981430000000003</v>
      </c>
      <c r="E527">
        <v>0.63055039999999996</v>
      </c>
      <c r="F527" t="s">
        <v>46</v>
      </c>
      <c r="G527">
        <v>-238.9948</v>
      </c>
      <c r="H527">
        <v>11.194000000000001</v>
      </c>
      <c r="I527">
        <v>344.1284</v>
      </c>
      <c r="J527">
        <v>-319.89080000000001</v>
      </c>
      <c r="K527">
        <v>1.1069599999999999</v>
      </c>
      <c r="L527">
        <v>368.4853</v>
      </c>
      <c r="M527">
        <v>0.99989989999999995</v>
      </c>
      <c r="N527">
        <v>-1.127798E-2</v>
      </c>
      <c r="O527">
        <v>-8.5542380000000005E-3</v>
      </c>
      <c r="P527">
        <v>0.99886969999999997</v>
      </c>
      <c r="Q527">
        <v>-3.0228060000000001E-2</v>
      </c>
      <c r="R527">
        <v>3.6689560000000003E-2</v>
      </c>
      <c r="S527">
        <v>3.0498050000000001</v>
      </c>
      <c r="T527">
        <v>0.37830039999999998</v>
      </c>
      <c r="U527">
        <v>-0.91363530000000004</v>
      </c>
      <c r="V527">
        <v>-4.52906E-2</v>
      </c>
      <c r="W527">
        <v>-1.8827750000000001E-2</v>
      </c>
      <c r="X527">
        <v>0.99879640000000003</v>
      </c>
      <c r="Y527">
        <v>0.27707949999999998</v>
      </c>
      <c r="Z527">
        <v>1.4025940000000001E-2</v>
      </c>
      <c r="AA527">
        <v>0.96074459999999995</v>
      </c>
      <c r="AB527">
        <v>46</v>
      </c>
      <c r="AC527">
        <v>80.896000000000001</v>
      </c>
      <c r="AD527">
        <v>10.08704</v>
      </c>
      <c r="AE527">
        <v>-24.3569</v>
      </c>
      <c r="AF527">
        <v>23.331358119521202</v>
      </c>
      <c r="AG527">
        <v>10.08704</v>
      </c>
      <c r="AH527">
        <v>79.961506786931693</v>
      </c>
      <c r="AI527">
        <v>83.095161426791194</v>
      </c>
      <c r="AJ527">
        <v>73.733685801202597</v>
      </c>
      <c r="AK527">
        <v>83.904369464882294</v>
      </c>
      <c r="AL527">
        <v>91.078814371730303</v>
      </c>
      <c r="AM527">
        <v>92.596308767004203</v>
      </c>
      <c r="AN527">
        <v>0.99999998563569104</v>
      </c>
    </row>
    <row r="528" spans="1:40" x14ac:dyDescent="0.25">
      <c r="A528" t="str">
        <f>"20190305135548837"</f>
        <v>20190305135548837</v>
      </c>
      <c r="B528" t="str">
        <f>"1551765348831877"</f>
        <v>1551765348831877</v>
      </c>
      <c r="C528" t="s">
        <v>40</v>
      </c>
      <c r="D528">
        <v>4.0790410000000001</v>
      </c>
      <c r="E528">
        <v>0.63022100000000003</v>
      </c>
      <c r="F528" t="s">
        <v>46</v>
      </c>
      <c r="G528">
        <v>-238.9435</v>
      </c>
      <c r="H528">
        <v>11.05908</v>
      </c>
      <c r="I528">
        <v>344.15550000000002</v>
      </c>
      <c r="J528">
        <v>-319.4212</v>
      </c>
      <c r="K528">
        <v>1.1064700000000001</v>
      </c>
      <c r="L528">
        <v>368.48079999999999</v>
      </c>
      <c r="M528">
        <v>0.99988010000000005</v>
      </c>
      <c r="N528">
        <v>-1.2128720000000001E-2</v>
      </c>
      <c r="O528">
        <v>-9.6400670000000004E-3</v>
      </c>
      <c r="P528">
        <v>0.99891839999999998</v>
      </c>
      <c r="Q528">
        <v>-3.1432549999999997E-2</v>
      </c>
      <c r="R528">
        <v>3.4270149999999999E-2</v>
      </c>
      <c r="S528">
        <v>3.0483699999999998</v>
      </c>
      <c r="T528">
        <v>0.37478349999999999</v>
      </c>
      <c r="U528">
        <v>-0.91622919999999997</v>
      </c>
      <c r="V528">
        <v>-4.3957209999999997E-2</v>
      </c>
      <c r="W528">
        <v>-1.9187059999999999E-2</v>
      </c>
      <c r="X528">
        <v>0.99884919999999999</v>
      </c>
      <c r="Y528">
        <v>0.27696759999999998</v>
      </c>
      <c r="Z528">
        <v>1.3609080000000001E-2</v>
      </c>
      <c r="AA528">
        <v>0.9607829</v>
      </c>
      <c r="AB528">
        <v>46</v>
      </c>
      <c r="AC528">
        <v>80.477699999999999</v>
      </c>
      <c r="AD528">
        <v>9.95261</v>
      </c>
      <c r="AE528">
        <v>-24.325299999999899</v>
      </c>
      <c r="AF528">
        <v>23.222862964781701</v>
      </c>
      <c r="AG528">
        <v>9.95261</v>
      </c>
      <c r="AH528">
        <v>79.593077968669505</v>
      </c>
      <c r="AI528">
        <v>83.155047204101194</v>
      </c>
      <c r="AJ528">
        <v>73.734345283512496</v>
      </c>
      <c r="AK528">
        <v>83.5069689943291</v>
      </c>
      <c r="AL528">
        <v>91.0994049655949</v>
      </c>
      <c r="AM528">
        <v>92.519838436232604</v>
      </c>
      <c r="AN528">
        <v>1.00000005196153</v>
      </c>
    </row>
    <row r="529" spans="1:40" x14ac:dyDescent="0.25">
      <c r="A529" t="str">
        <f>"20190305135548860"</f>
        <v>20190305135548860</v>
      </c>
      <c r="B529" t="str">
        <f>"1551765348852372"</f>
        <v>1551765348852372</v>
      </c>
      <c r="C529" t="s">
        <v>40</v>
      </c>
      <c r="D529">
        <v>4.0833490000000001</v>
      </c>
      <c r="E529">
        <v>0.63015969999999999</v>
      </c>
      <c r="F529" t="s">
        <v>46</v>
      </c>
      <c r="G529">
        <v>-238.9511</v>
      </c>
      <c r="H529">
        <v>10.88241</v>
      </c>
      <c r="I529">
        <v>344.14260000000002</v>
      </c>
      <c r="J529">
        <v>-318.95229999999998</v>
      </c>
      <c r="K529">
        <v>1.105729</v>
      </c>
      <c r="L529">
        <v>368.47590000000002</v>
      </c>
      <c r="M529">
        <v>0.99985369999999996</v>
      </c>
      <c r="N529">
        <v>-1.345374E-2</v>
      </c>
      <c r="O529">
        <v>-1.057493E-2</v>
      </c>
      <c r="P529">
        <v>0.99894910000000003</v>
      </c>
      <c r="Q529">
        <v>-3.3147860000000001E-2</v>
      </c>
      <c r="R529">
        <v>3.1654870000000002E-2</v>
      </c>
      <c r="S529">
        <v>3.0465089999999999</v>
      </c>
      <c r="T529">
        <v>0.37010609999999999</v>
      </c>
      <c r="U529">
        <v>-0.92141719999999905</v>
      </c>
      <c r="V529">
        <v>-4.22779E-2</v>
      </c>
      <c r="W529">
        <v>-1.9581939999999999E-2</v>
      </c>
      <c r="X529">
        <v>0.99891399999999997</v>
      </c>
      <c r="Y529">
        <v>0.27779920000000002</v>
      </c>
      <c r="Z529">
        <v>1.314277E-2</v>
      </c>
      <c r="AA529">
        <v>0.96054919999999999</v>
      </c>
      <c r="AB529">
        <v>46</v>
      </c>
      <c r="AC529">
        <v>80.001199999999898</v>
      </c>
      <c r="AD529">
        <v>9.776681</v>
      </c>
      <c r="AE529">
        <v>-24.333300000000001</v>
      </c>
      <c r="AF529">
        <v>23.169137668211398</v>
      </c>
      <c r="AG529">
        <v>9.776681</v>
      </c>
      <c r="AH529">
        <v>79.171807803281098</v>
      </c>
      <c r="AI529">
        <v>83.241047258274307</v>
      </c>
      <c r="AJ529">
        <v>73.688213190371002</v>
      </c>
      <c r="AK529">
        <v>83.069655004122794</v>
      </c>
      <c r="AL529">
        <v>91.122034202739798</v>
      </c>
      <c r="AM529">
        <v>92.423532355424001</v>
      </c>
      <c r="AN529">
        <v>1.0000000262992801</v>
      </c>
    </row>
    <row r="530" spans="1:40" x14ac:dyDescent="0.25">
      <c r="A530" t="str">
        <f>"20190305135548873"</f>
        <v>20190305135548873</v>
      </c>
      <c r="B530" t="str">
        <f>"1551765348862132"</f>
        <v>1551765348862132</v>
      </c>
      <c r="C530" t="s">
        <v>40</v>
      </c>
      <c r="D530">
        <v>4.1402869999999998</v>
      </c>
      <c r="E530">
        <v>0.63008589999999998</v>
      </c>
      <c r="F530" t="s">
        <v>46</v>
      </c>
      <c r="G530">
        <v>-239.02109999999999</v>
      </c>
      <c r="H530">
        <v>10.68103</v>
      </c>
      <c r="I530">
        <v>344.0883</v>
      </c>
      <c r="J530">
        <v>-318.68</v>
      </c>
      <c r="K530">
        <v>1.1051949999999999</v>
      </c>
      <c r="L530">
        <v>368.47289999999998</v>
      </c>
      <c r="M530">
        <v>0.99983569999999999</v>
      </c>
      <c r="N530">
        <v>-1.439326E-2</v>
      </c>
      <c r="O530">
        <v>-1.1031559999999999E-2</v>
      </c>
      <c r="P530">
        <v>0.99894369999999999</v>
      </c>
      <c r="Q530">
        <v>-3.4506670000000003E-2</v>
      </c>
      <c r="R530">
        <v>3.0348880000000002E-2</v>
      </c>
      <c r="S530">
        <v>3.0446780000000002</v>
      </c>
      <c r="T530">
        <v>0.36473539999999999</v>
      </c>
      <c r="U530">
        <v>-0.92895510000000003</v>
      </c>
      <c r="V530">
        <v>-4.1429220000000003E-2</v>
      </c>
      <c r="W530">
        <v>-2.0003940000000001E-2</v>
      </c>
      <c r="X530">
        <v>0.99894119999999997</v>
      </c>
      <c r="Y530">
        <v>0.27975409999999901</v>
      </c>
      <c r="Z530">
        <v>1.282318E-2</v>
      </c>
      <c r="AA530">
        <v>0.95998600000000001</v>
      </c>
      <c r="AB530">
        <v>46</v>
      </c>
      <c r="AC530">
        <v>79.658900000000003</v>
      </c>
      <c r="AD530">
        <v>9.5758349999999997</v>
      </c>
      <c r="AE530">
        <v>-24.384599999999899</v>
      </c>
      <c r="AF530">
        <v>23.197762958086699</v>
      </c>
      <c r="AG530">
        <v>9.5758349999999997</v>
      </c>
      <c r="AH530">
        <v>78.880867514742206</v>
      </c>
      <c r="AI530">
        <v>83.357014781981704</v>
      </c>
      <c r="AJ530">
        <v>73.612125779485496</v>
      </c>
      <c r="AK530">
        <v>82.776953810134401</v>
      </c>
      <c r="AL530">
        <v>91.146217755146196</v>
      </c>
      <c r="AM530">
        <v>92.374874425521298</v>
      </c>
      <c r="AN530">
        <v>1.00000002947138</v>
      </c>
    </row>
    <row r="531" spans="1:40" x14ac:dyDescent="0.25">
      <c r="A531" t="str">
        <f>"20190305135548892"</f>
        <v>20190305135548892</v>
      </c>
      <c r="B531" t="str">
        <f>"1551765348882632"</f>
        <v>1551765348882632</v>
      </c>
      <c r="C531" t="s">
        <v>40</v>
      </c>
      <c r="D531">
        <v>4.0846460000000002</v>
      </c>
      <c r="E531">
        <v>0.63000599999999995</v>
      </c>
      <c r="F531" t="s">
        <v>46</v>
      </c>
      <c r="G531">
        <v>-238.99420000000001</v>
      </c>
      <c r="H531">
        <v>10.54041</v>
      </c>
      <c r="I531">
        <v>344.0693</v>
      </c>
      <c r="J531">
        <v>-318.29180000000002</v>
      </c>
      <c r="K531">
        <v>1.1042529999999999</v>
      </c>
      <c r="L531">
        <v>368.46839999999997</v>
      </c>
      <c r="M531">
        <v>0.9998068</v>
      </c>
      <c r="N531">
        <v>-1.582919E-2</v>
      </c>
      <c r="O531">
        <v>-1.1657610000000001E-2</v>
      </c>
      <c r="P531">
        <v>0.99893750000000003</v>
      </c>
      <c r="Q531">
        <v>-3.6297509999999998E-2</v>
      </c>
      <c r="R531">
        <v>2.8397390000000002E-2</v>
      </c>
      <c r="S531">
        <v>3.044006</v>
      </c>
      <c r="T531">
        <v>0.36042610000000003</v>
      </c>
      <c r="U531">
        <v>-0.93222050000000001</v>
      </c>
      <c r="V531">
        <v>-4.0103729999999997E-2</v>
      </c>
      <c r="W531">
        <v>-2.036644E-2</v>
      </c>
      <c r="X531">
        <v>0.99898790000000004</v>
      </c>
      <c r="Y531">
        <v>0.28021960000000001</v>
      </c>
      <c r="Z531">
        <v>1.236729E-2</v>
      </c>
      <c r="AA531">
        <v>0.95985620000000005</v>
      </c>
      <c r="AB531">
        <v>46</v>
      </c>
      <c r="AC531">
        <v>79.297600000000003</v>
      </c>
      <c r="AD531">
        <v>9.4361569999999997</v>
      </c>
      <c r="AE531">
        <v>-24.399099999999901</v>
      </c>
      <c r="AF531">
        <v>23.1731473665258</v>
      </c>
      <c r="AG531">
        <v>9.4361569999999997</v>
      </c>
      <c r="AH531">
        <v>78.560456425155095</v>
      </c>
      <c r="AI531">
        <v>83.428161338170696</v>
      </c>
      <c r="AJ531">
        <v>73.5654083038702</v>
      </c>
      <c r="AK531">
        <v>82.448657548368004</v>
      </c>
      <c r="AL531">
        <v>91.1669917851831</v>
      </c>
      <c r="AM531">
        <v>92.298868007006803</v>
      </c>
      <c r="AN531">
        <v>0.99999996269229696</v>
      </c>
    </row>
    <row r="532" spans="1:40" x14ac:dyDescent="0.25">
      <c r="A532" t="str">
        <f>"20190305135548913"</f>
        <v>20190305135548913</v>
      </c>
      <c r="B532" t="str">
        <f>"1551765348911909"</f>
        <v>1551765348911909</v>
      </c>
      <c r="C532" t="s">
        <v>40</v>
      </c>
      <c r="D532">
        <v>4.0992879999999996</v>
      </c>
      <c r="E532">
        <v>0.62972169999999905</v>
      </c>
      <c r="F532" t="s">
        <v>46</v>
      </c>
      <c r="G532">
        <v>-238.9666</v>
      </c>
      <c r="H532">
        <v>10.40245</v>
      </c>
      <c r="I532">
        <v>344.04320000000001</v>
      </c>
      <c r="J532">
        <v>-317.84269999999998</v>
      </c>
      <c r="K532">
        <v>1.1028560000000001</v>
      </c>
      <c r="L532">
        <v>368.46300000000002</v>
      </c>
      <c r="M532">
        <v>0.99976889999999996</v>
      </c>
      <c r="N532">
        <v>-1.7576560000000001E-2</v>
      </c>
      <c r="O532">
        <v>-1.237853E-2</v>
      </c>
      <c r="P532">
        <v>0.99891450000000004</v>
      </c>
      <c r="Q532">
        <v>-3.807398E-2</v>
      </c>
      <c r="R532">
        <v>2.6842680000000001E-2</v>
      </c>
      <c r="S532">
        <v>3.0428160000000002</v>
      </c>
      <c r="T532">
        <v>0.35666690000000001</v>
      </c>
      <c r="U532">
        <v>-0.93692019999999998</v>
      </c>
      <c r="V532">
        <v>-3.9266719999999998E-2</v>
      </c>
      <c r="W532">
        <v>-2.040488E-2</v>
      </c>
      <c r="X532">
        <v>0.99902040000000003</v>
      </c>
      <c r="Y532">
        <v>0.28105160000000001</v>
      </c>
      <c r="Z532">
        <v>1.189021E-2</v>
      </c>
      <c r="AA532">
        <v>0.959619</v>
      </c>
      <c r="AB532">
        <v>46</v>
      </c>
      <c r="AC532">
        <v>78.876099999999894</v>
      </c>
      <c r="AD532">
        <v>9.2995940000000008</v>
      </c>
      <c r="AE532">
        <v>-24.419799999999999</v>
      </c>
      <c r="AF532">
        <v>23.147780926930999</v>
      </c>
      <c r="AG532">
        <v>9.2995940000000008</v>
      </c>
      <c r="AH532">
        <v>78.1806714376131</v>
      </c>
      <c r="AI532">
        <v>83.493203427650002</v>
      </c>
      <c r="AJ532">
        <v>73.506999814729298</v>
      </c>
      <c r="AK532">
        <v>82.064118814753897</v>
      </c>
      <c r="AL532">
        <v>91.169194652670896</v>
      </c>
      <c r="AM532">
        <v>92.250864769831196</v>
      </c>
      <c r="AN532">
        <v>0.99999999702176601</v>
      </c>
    </row>
    <row r="533" spans="1:40" x14ac:dyDescent="0.25">
      <c r="A533" t="str">
        <f>"20190305135548938"</f>
        <v>20190305135548938</v>
      </c>
      <c r="B533" t="str">
        <f>"1551765348932405"</f>
        <v>1551765348932405</v>
      </c>
      <c r="C533" t="s">
        <v>40</v>
      </c>
      <c r="D533">
        <v>4.117165</v>
      </c>
      <c r="E533">
        <v>0.62959379999999998</v>
      </c>
      <c r="F533" t="s">
        <v>46</v>
      </c>
      <c r="G533">
        <v>-238.8785</v>
      </c>
      <c r="H533">
        <v>10.226459999999999</v>
      </c>
      <c r="I533">
        <v>344.08539999999999</v>
      </c>
      <c r="J533">
        <v>-317.36759999999998</v>
      </c>
      <c r="K533">
        <v>1.100986</v>
      </c>
      <c r="L533">
        <v>368.45679999999999</v>
      </c>
      <c r="M533">
        <v>0.99972649999999996</v>
      </c>
      <c r="N533">
        <v>-1.9362669999999998E-2</v>
      </c>
      <c r="O533">
        <v>-1.311089E-2</v>
      </c>
      <c r="P533">
        <v>0.99887340000000002</v>
      </c>
      <c r="Q533">
        <v>-3.9689120000000001E-2</v>
      </c>
      <c r="R533">
        <v>2.6017660000000001E-2</v>
      </c>
      <c r="S533">
        <v>3.0419010000000002</v>
      </c>
      <c r="T533">
        <v>0.35146430000000001</v>
      </c>
      <c r="U533">
        <v>-0.93908689999999995</v>
      </c>
      <c r="V533">
        <v>-3.9171110000000002E-2</v>
      </c>
      <c r="W533">
        <v>-2.023987E-2</v>
      </c>
      <c r="X533">
        <v>0.99902749999999996</v>
      </c>
      <c r="Y533">
        <v>0.281134</v>
      </c>
      <c r="Z533">
        <v>1.130949E-2</v>
      </c>
      <c r="AA533">
        <v>0.95960190000000001</v>
      </c>
      <c r="AB533">
        <v>46</v>
      </c>
      <c r="AC533">
        <v>78.489099999999894</v>
      </c>
      <c r="AD533">
        <v>9.1254740000000005</v>
      </c>
      <c r="AE533">
        <v>-24.371399999999898</v>
      </c>
      <c r="AF533">
        <v>23.055801346941699</v>
      </c>
      <c r="AG533">
        <v>9.1254740000000005</v>
      </c>
      <c r="AH533">
        <v>77.842247913562503</v>
      </c>
      <c r="AI533">
        <v>83.586667142323506</v>
      </c>
      <c r="AJ533">
        <v>73.501436570326703</v>
      </c>
      <c r="AK533">
        <v>81.696143187489795</v>
      </c>
      <c r="AL533">
        <v>91.1597383347776</v>
      </c>
      <c r="AM533">
        <v>92.245373845066496</v>
      </c>
      <c r="AN533">
        <v>0.99999998697624903</v>
      </c>
    </row>
    <row r="534" spans="1:40" x14ac:dyDescent="0.25">
      <c r="A534" t="str">
        <f>"20190305135548950"</f>
        <v>20190305135548950</v>
      </c>
      <c r="B534" t="str">
        <f>"1551765348942165"</f>
        <v>1551765348942165</v>
      </c>
      <c r="C534" t="s">
        <v>40</v>
      </c>
      <c r="D534">
        <v>4.0939459999999999</v>
      </c>
      <c r="E534">
        <v>0.62959730000000003</v>
      </c>
      <c r="F534" t="s">
        <v>46</v>
      </c>
      <c r="G534">
        <v>-238.614</v>
      </c>
      <c r="H534">
        <v>10.0921</v>
      </c>
      <c r="I534">
        <v>344.1069</v>
      </c>
      <c r="J534">
        <v>-317.09320000000002</v>
      </c>
      <c r="K534">
        <v>1.099747</v>
      </c>
      <c r="L534">
        <v>368.45319999999998</v>
      </c>
      <c r="M534">
        <v>0.99970250000000005</v>
      </c>
      <c r="N534">
        <v>-2.0313379999999999E-2</v>
      </c>
      <c r="O534">
        <v>-1.350762E-2</v>
      </c>
      <c r="P534">
        <v>0.99885990000000002</v>
      </c>
      <c r="Q534">
        <v>-4.0353260000000002E-2</v>
      </c>
      <c r="R534">
        <v>2.5513959999999999E-2</v>
      </c>
      <c r="S534">
        <v>3.041687</v>
      </c>
      <c r="T534">
        <v>0.34726240000000003</v>
      </c>
      <c r="U534">
        <v>-0.94046019999999997</v>
      </c>
      <c r="V534">
        <v>-3.9062720000000002E-2</v>
      </c>
      <c r="W534">
        <v>-1.9955009999999999E-2</v>
      </c>
      <c r="X534">
        <v>0.99903750000000002</v>
      </c>
      <c r="Y534">
        <v>0.28122140000000001</v>
      </c>
      <c r="Z534">
        <v>1.0941930000000001E-2</v>
      </c>
      <c r="AA534">
        <v>0.95958049999999995</v>
      </c>
      <c r="AB534">
        <v>46</v>
      </c>
      <c r="AC534">
        <v>78.479200000000006</v>
      </c>
      <c r="AD534">
        <v>8.9923529999999996</v>
      </c>
      <c r="AE534">
        <v>-24.3462999999999</v>
      </c>
      <c r="AF534">
        <v>23.0082327263754</v>
      </c>
      <c r="AG534">
        <v>8.9923529999999996</v>
      </c>
      <c r="AH534">
        <v>77.868371028943898</v>
      </c>
      <c r="AI534">
        <v>83.6803534071028</v>
      </c>
      <c r="AJ534">
        <v>73.538856032431497</v>
      </c>
      <c r="AK534">
        <v>81.692866226916905</v>
      </c>
      <c r="AL534">
        <v>91.1434137324745</v>
      </c>
      <c r="AM534">
        <v>92.239144635474602</v>
      </c>
      <c r="AN534">
        <v>1.00000001246207</v>
      </c>
    </row>
    <row r="535" spans="1:40" x14ac:dyDescent="0.25">
      <c r="A535" t="str">
        <f>"20190305135548964"</f>
        <v>20190305135548964</v>
      </c>
      <c r="B535" t="str">
        <f>"1551765348951924"</f>
        <v>1551765348951924</v>
      </c>
      <c r="C535" t="s">
        <v>40</v>
      </c>
      <c r="D535">
        <v>4.3006479999999998</v>
      </c>
      <c r="E535">
        <v>0.6295731</v>
      </c>
      <c r="F535" t="s">
        <v>46</v>
      </c>
      <c r="G535">
        <v>-238.62559999999999</v>
      </c>
      <c r="H535">
        <v>10.016870000000001</v>
      </c>
      <c r="I535">
        <v>344.14859999999999</v>
      </c>
      <c r="J535">
        <v>-316.80770000000001</v>
      </c>
      <c r="K535">
        <v>1.0982590000000001</v>
      </c>
      <c r="L535">
        <v>368.44909999999999</v>
      </c>
      <c r="M535">
        <v>0.99968080000000004</v>
      </c>
      <c r="N535">
        <v>-2.1127759999999999E-2</v>
      </c>
      <c r="O535">
        <v>-1.3864370000000001E-2</v>
      </c>
      <c r="P535">
        <v>0.99882769999999999</v>
      </c>
      <c r="Q535">
        <v>-4.1062359999999999E-2</v>
      </c>
      <c r="R535">
        <v>2.5639209999999999E-2</v>
      </c>
      <c r="S535">
        <v>3.0414119999999998</v>
      </c>
      <c r="T535">
        <v>0.34562890000000002</v>
      </c>
      <c r="U535">
        <v>-0.94204710000000003</v>
      </c>
      <c r="V535">
        <v>-3.9544419999999997E-2</v>
      </c>
      <c r="W535">
        <v>-1.9848009999999999E-2</v>
      </c>
      <c r="X535">
        <v>0.99902069999999998</v>
      </c>
      <c r="Y535">
        <v>0.28138970000000002</v>
      </c>
      <c r="Z535">
        <v>1.070845E-2</v>
      </c>
      <c r="AA535">
        <v>0.95953390000000005</v>
      </c>
      <c r="AB535">
        <v>45</v>
      </c>
      <c r="AC535">
        <v>78.182100000000005</v>
      </c>
      <c r="AD535">
        <v>8.9186109999999896</v>
      </c>
      <c r="AE535">
        <v>-24.3005</v>
      </c>
      <c r="AF535">
        <v>22.941734376704201</v>
      </c>
      <c r="AG535">
        <v>8.9186109999999896</v>
      </c>
      <c r="AH535">
        <v>77.590825293815797</v>
      </c>
      <c r="AI535">
        <v>83.709860334282894</v>
      </c>
      <c r="AJ535">
        <v>73.528323287611101</v>
      </c>
      <c r="AK535">
        <v>81.401480134921499</v>
      </c>
      <c r="AL535">
        <v>91.137281847653497</v>
      </c>
      <c r="AM535">
        <v>92.266765988549693</v>
      </c>
      <c r="AN535">
        <v>1.00000003184129</v>
      </c>
    </row>
    <row r="536" spans="1:40" x14ac:dyDescent="0.25">
      <c r="A536" t="str">
        <f>"20190305135548983"</f>
        <v>20190305135548983</v>
      </c>
      <c r="B536" t="str">
        <f>"1551765348972420"</f>
        <v>1551765348972420</v>
      </c>
      <c r="C536" t="s">
        <v>40</v>
      </c>
      <c r="D536">
        <v>4.0504429999999996</v>
      </c>
      <c r="E536">
        <v>0.62958930000000002</v>
      </c>
      <c r="F536" t="s">
        <v>46</v>
      </c>
      <c r="G536">
        <v>-238.6121</v>
      </c>
      <c r="H536">
        <v>9.9440919999999995</v>
      </c>
      <c r="I536">
        <v>344.2466</v>
      </c>
      <c r="J536">
        <v>-316.43819999999999</v>
      </c>
      <c r="K536">
        <v>1.096171</v>
      </c>
      <c r="L536">
        <v>368.44380000000001</v>
      </c>
      <c r="M536">
        <v>0.99965709999999997</v>
      </c>
      <c r="N536">
        <v>-2.196091E-2</v>
      </c>
      <c r="O536">
        <v>-1.4266340000000001E-2</v>
      </c>
      <c r="P536">
        <v>0.99880119999999895</v>
      </c>
      <c r="Q536">
        <v>-4.1450670000000002E-2</v>
      </c>
      <c r="R536">
        <v>2.6039759999999999E-2</v>
      </c>
      <c r="S536">
        <v>3.0418699999999999</v>
      </c>
      <c r="T536">
        <v>0.34410980000000002</v>
      </c>
      <c r="U536">
        <v>-0.94149780000000005</v>
      </c>
      <c r="V536">
        <v>-4.0346489999999999E-2</v>
      </c>
      <c r="W536">
        <v>-1.9399329999999999E-2</v>
      </c>
      <c r="X536">
        <v>0.99899740000000004</v>
      </c>
      <c r="Y536">
        <v>0.28083740000000001</v>
      </c>
      <c r="Z536">
        <v>1.0437139999999999E-2</v>
      </c>
      <c r="AA536">
        <v>0.95969859999999896</v>
      </c>
      <c r="AB536">
        <v>45</v>
      </c>
      <c r="AC536">
        <v>77.826099999999997</v>
      </c>
      <c r="AD536">
        <v>8.8479209999999995</v>
      </c>
      <c r="AE536">
        <v>-24.197199999999999</v>
      </c>
      <c r="AF536">
        <v>22.815279844443602</v>
      </c>
      <c r="AG536">
        <v>8.8479209999999995</v>
      </c>
      <c r="AH536">
        <v>77.252980679250896</v>
      </c>
      <c r="AI536">
        <v>83.731665622878694</v>
      </c>
      <c r="AJ536">
        <v>73.546441289425601</v>
      </c>
      <c r="AK536">
        <v>81.036076683358999</v>
      </c>
      <c r="AL536">
        <v>91.111569474017699</v>
      </c>
      <c r="AM536">
        <v>92.312746714867998</v>
      </c>
      <c r="AN536">
        <v>0.99999998923326405</v>
      </c>
    </row>
    <row r="537" spans="1:40" x14ac:dyDescent="0.25">
      <c r="A537" t="str">
        <f>"20190305135549003"</f>
        <v>20190305135549003</v>
      </c>
      <c r="B537" t="str">
        <f>"1551765348991941"</f>
        <v>1551765348991941</v>
      </c>
      <c r="C537" t="s">
        <v>40</v>
      </c>
      <c r="D537">
        <v>4.0780940000000001</v>
      </c>
      <c r="E537">
        <v>0.6295347</v>
      </c>
      <c r="F537" t="s">
        <v>46</v>
      </c>
      <c r="G537">
        <v>-238.56540000000001</v>
      </c>
      <c r="H537">
        <v>9.9217929999999992</v>
      </c>
      <c r="I537">
        <v>344.3759</v>
      </c>
      <c r="J537">
        <v>-316.02820000000003</v>
      </c>
      <c r="K537">
        <v>1.093677</v>
      </c>
      <c r="L537">
        <v>368.4375</v>
      </c>
      <c r="M537">
        <v>0.99963769999999996</v>
      </c>
      <c r="N537">
        <v>-2.257545E-2</v>
      </c>
      <c r="O537">
        <v>-1.466073E-2</v>
      </c>
      <c r="P537">
        <v>0.99878080000000002</v>
      </c>
      <c r="Q537">
        <v>-4.1347090000000003E-2</v>
      </c>
      <c r="R537">
        <v>2.6966339999999998E-2</v>
      </c>
      <c r="S537">
        <v>3.0424190000000002</v>
      </c>
      <c r="T537">
        <v>0.34480880000000003</v>
      </c>
      <c r="U537">
        <v>-0.94030760000000002</v>
      </c>
      <c r="V537">
        <v>-4.1665599999999997E-2</v>
      </c>
      <c r="W537">
        <v>-1.8676740000000001E-2</v>
      </c>
      <c r="X537">
        <v>0.99895699999999998</v>
      </c>
      <c r="Y537">
        <v>0.28007910000000003</v>
      </c>
      <c r="Z537">
        <v>1.0281510000000001E-2</v>
      </c>
      <c r="AA537">
        <v>0.95992189999999999</v>
      </c>
      <c r="AB537">
        <v>45</v>
      </c>
      <c r="AC537">
        <v>77.462800000000001</v>
      </c>
      <c r="AD537">
        <v>8.8281159999999996</v>
      </c>
      <c r="AE537">
        <v>-24.061599999999999</v>
      </c>
      <c r="AF537">
        <v>22.654709794963601</v>
      </c>
      <c r="AG537">
        <v>8.8281159999999996</v>
      </c>
      <c r="AH537">
        <v>76.896457999700502</v>
      </c>
      <c r="AI537">
        <v>83.715602670211297</v>
      </c>
      <c r="AJ537">
        <v>73.584331887407004</v>
      </c>
      <c r="AK537">
        <v>80.648848478469802</v>
      </c>
      <c r="AL537">
        <v>91.070160635984294</v>
      </c>
      <c r="AM537">
        <v>92.388371211775294</v>
      </c>
      <c r="AN537">
        <v>0.99999996534469304</v>
      </c>
    </row>
    <row r="538" spans="1:40" x14ac:dyDescent="0.25">
      <c r="A538" t="str">
        <f>"20190305135549026"</f>
        <v>20190305135549026</v>
      </c>
      <c r="B538" t="str">
        <f>"1551765349022197"</f>
        <v>1551765349022197</v>
      </c>
      <c r="C538" t="s">
        <v>40</v>
      </c>
      <c r="D538">
        <v>4.0949710000000001</v>
      </c>
      <c r="E538">
        <v>0.62944169999999999</v>
      </c>
      <c r="F538" t="s">
        <v>46</v>
      </c>
      <c r="G538">
        <v>-238.48769999999999</v>
      </c>
      <c r="H538">
        <v>9.9101289999999995</v>
      </c>
      <c r="I538">
        <v>344.5677</v>
      </c>
      <c r="J538">
        <v>-315.56779999999998</v>
      </c>
      <c r="K538">
        <v>1.0907389999999999</v>
      </c>
      <c r="L538">
        <v>368.43020000000001</v>
      </c>
      <c r="M538">
        <v>0.99962410000000002</v>
      </c>
      <c r="N538">
        <v>-2.2942980000000002E-2</v>
      </c>
      <c r="O538">
        <v>-1.500625E-2</v>
      </c>
      <c r="P538">
        <v>0.9987627</v>
      </c>
      <c r="Q538">
        <v>-4.1090040000000001E-2</v>
      </c>
      <c r="R538">
        <v>2.8013699999999999E-2</v>
      </c>
      <c r="S538">
        <v>3.0432739999999998</v>
      </c>
      <c r="T538">
        <v>0.34602379999999999</v>
      </c>
      <c r="U538">
        <v>-0.93682860000000001</v>
      </c>
      <c r="V538">
        <v>-4.3055999999999997E-2</v>
      </c>
      <c r="W538">
        <v>-1.805004E-2</v>
      </c>
      <c r="X538">
        <v>0.99890959999999995</v>
      </c>
      <c r="Y538">
        <v>0.27867520000000001</v>
      </c>
      <c r="Z538">
        <v>1.0163790000000001E-2</v>
      </c>
      <c r="AA538">
        <v>0.96033159999999895</v>
      </c>
      <c r="AB538">
        <v>45</v>
      </c>
      <c r="AC538">
        <v>77.080099999999902</v>
      </c>
      <c r="AD538">
        <v>8.8193900000000003</v>
      </c>
      <c r="AE538">
        <v>-23.862500000000001</v>
      </c>
      <c r="AF538">
        <v>22.4348035486565</v>
      </c>
      <c r="AG538">
        <v>8.8193900000000003</v>
      </c>
      <c r="AH538">
        <v>76.515494942392905</v>
      </c>
      <c r="AI538">
        <v>83.688374546716403</v>
      </c>
      <c r="AJ538">
        <v>73.658545407099993</v>
      </c>
      <c r="AK538">
        <v>80.222958163597198</v>
      </c>
      <c r="AL538">
        <v>91.034247271301297</v>
      </c>
      <c r="AM538">
        <v>92.4680922491589</v>
      </c>
      <c r="AN538">
        <v>1.0000000060260801</v>
      </c>
    </row>
    <row r="539" spans="1:40" x14ac:dyDescent="0.25">
      <c r="A539" t="str">
        <f>"20190305135549049"</f>
        <v>20190305135549049</v>
      </c>
      <c r="B539" t="str">
        <f>"1551765349041716"</f>
        <v>1551765349041716</v>
      </c>
      <c r="C539" t="s">
        <v>40</v>
      </c>
      <c r="D539">
        <v>4.0863849999999999</v>
      </c>
      <c r="E539">
        <v>0.62936259999999999</v>
      </c>
      <c r="F539" t="s">
        <v>45</v>
      </c>
      <c r="G539">
        <v>-235.69110000000001</v>
      </c>
      <c r="H539">
        <v>10.21616</v>
      </c>
      <c r="I539">
        <v>343.95119999999997</v>
      </c>
      <c r="J539">
        <v>-315.10239999999999</v>
      </c>
      <c r="K539">
        <v>1.08772</v>
      </c>
      <c r="L539">
        <v>368.42259999999999</v>
      </c>
      <c r="M539">
        <v>0.99961469999999997</v>
      </c>
      <c r="N539">
        <v>-2.3151970000000001E-2</v>
      </c>
      <c r="O539">
        <v>-1.531806E-2</v>
      </c>
      <c r="P539">
        <v>0.9987239</v>
      </c>
      <c r="Q539">
        <v>-4.1470519999999997E-2</v>
      </c>
      <c r="R539">
        <v>2.8828300000000001E-2</v>
      </c>
      <c r="S539">
        <v>3.0441889999999998</v>
      </c>
      <c r="T539">
        <v>0.34778029999999999</v>
      </c>
      <c r="U539">
        <v>-0.93292240000000004</v>
      </c>
      <c r="V539">
        <v>-4.4178990000000001E-2</v>
      </c>
      <c r="W539">
        <v>-1.822644E-2</v>
      </c>
      <c r="X539">
        <v>0.99885740000000001</v>
      </c>
      <c r="Y539">
        <v>0.27716770000000002</v>
      </c>
      <c r="Z539">
        <v>1.00917E-2</v>
      </c>
      <c r="AA539">
        <v>0.96076850000000003</v>
      </c>
      <c r="AB539">
        <v>45</v>
      </c>
      <c r="AC539">
        <v>79.411299999999898</v>
      </c>
      <c r="AD539">
        <v>9.1284399999999994</v>
      </c>
      <c r="AE539">
        <v>-24.471399999999999</v>
      </c>
      <c r="AF539">
        <v>22.974521567020101</v>
      </c>
      <c r="AG539">
        <v>9.1284399999999994</v>
      </c>
      <c r="AH539">
        <v>78.8256777377443</v>
      </c>
      <c r="AI539">
        <v>83.6559448812406</v>
      </c>
      <c r="AJ539">
        <v>73.750715693198202</v>
      </c>
      <c r="AK539">
        <v>82.611406772199302</v>
      </c>
      <c r="AL539">
        <v>91.044355868094897</v>
      </c>
      <c r="AM539">
        <v>92.532514656454694</v>
      </c>
      <c r="AN539">
        <v>1.00000004590362</v>
      </c>
    </row>
    <row r="540" spans="1:40" x14ac:dyDescent="0.25">
      <c r="A540" t="str">
        <f>"20190305135549062"</f>
        <v>20190305135549062</v>
      </c>
      <c r="B540" t="str">
        <f>"1551765349052453"</f>
        <v>1551765349052453</v>
      </c>
      <c r="C540" t="s">
        <v>40</v>
      </c>
      <c r="D540">
        <v>4.0286339999999896</v>
      </c>
      <c r="E540">
        <v>0.62939940000000005</v>
      </c>
      <c r="F540" t="s">
        <v>45</v>
      </c>
      <c r="G540">
        <v>-234.6627</v>
      </c>
      <c r="H540">
        <v>10.258559999999999</v>
      </c>
      <c r="I540">
        <v>343.86040000000003</v>
      </c>
      <c r="J540">
        <v>-314.8442</v>
      </c>
      <c r="K540">
        <v>1.086071</v>
      </c>
      <c r="L540">
        <v>368.41820000000001</v>
      </c>
      <c r="M540">
        <v>0.99960959999999999</v>
      </c>
      <c r="N540">
        <v>-2.3222240000000002E-2</v>
      </c>
      <c r="O540">
        <v>-1.554198E-2</v>
      </c>
      <c r="P540">
        <v>0.99872110000000003</v>
      </c>
      <c r="Q540">
        <v>-4.1437950000000001E-2</v>
      </c>
      <c r="R540">
        <v>2.8968819999999999E-2</v>
      </c>
      <c r="S540">
        <v>3.0450740000000001</v>
      </c>
      <c r="T540">
        <v>0.34716570000000002</v>
      </c>
      <c r="U540">
        <v>-0.92980960000000001</v>
      </c>
      <c r="V540">
        <v>-4.4539629999999997E-2</v>
      </c>
      <c r="W540">
        <v>-1.8130340000000002E-2</v>
      </c>
      <c r="X540">
        <v>0.99884309999999998</v>
      </c>
      <c r="Y540">
        <v>0.275989599999999</v>
      </c>
      <c r="Z540">
        <v>9.9738580000000004E-3</v>
      </c>
      <c r="AA540">
        <v>0.96110890000000004</v>
      </c>
      <c r="AB540">
        <v>45</v>
      </c>
      <c r="AC540">
        <v>80.1815</v>
      </c>
      <c r="AD540">
        <v>9.1724890000000006</v>
      </c>
      <c r="AE540">
        <v>-24.557799999999901</v>
      </c>
      <c r="AF540">
        <v>23.0327471876498</v>
      </c>
      <c r="AG540">
        <v>9.1724890000000006</v>
      </c>
      <c r="AH540">
        <v>79.601220408852299</v>
      </c>
      <c r="AI540">
        <v>83.683647895374307</v>
      </c>
      <c r="AJ540">
        <v>73.862111069388604</v>
      </c>
      <c r="AK540">
        <v>83.372635127144605</v>
      </c>
      <c r="AL540">
        <v>91.038848867985607</v>
      </c>
      <c r="AM540">
        <v>92.553197227730607</v>
      </c>
      <c r="AN540">
        <v>1.00000001314333</v>
      </c>
    </row>
    <row r="541" spans="1:40" x14ac:dyDescent="0.25">
      <c r="A541" t="str">
        <f>"20190305135549081"</f>
        <v>20190305135549081</v>
      </c>
      <c r="B541" t="str">
        <f>"1551765349071979"</f>
        <v>1551765349071979</v>
      </c>
      <c r="C541" t="s">
        <v>40</v>
      </c>
      <c r="D541">
        <v>4.0292879999999904</v>
      </c>
      <c r="E541">
        <v>0.62941150000000001</v>
      </c>
      <c r="F541" t="s">
        <v>45</v>
      </c>
      <c r="G541">
        <v>-234.6131</v>
      </c>
      <c r="H541">
        <v>10.252549999999999</v>
      </c>
      <c r="I541">
        <v>343.91910000000001</v>
      </c>
      <c r="J541">
        <v>-314.44060000000002</v>
      </c>
      <c r="K541">
        <v>1.0835330000000001</v>
      </c>
      <c r="L541">
        <v>368.41140000000001</v>
      </c>
      <c r="M541">
        <v>0.99960199999999999</v>
      </c>
      <c r="N541">
        <v>-2.326816E-2</v>
      </c>
      <c r="O541">
        <v>-1.5954200000000002E-2</v>
      </c>
      <c r="P541">
        <v>0.99867740000000005</v>
      </c>
      <c r="Q541">
        <v>-4.1745829999999998E-2</v>
      </c>
      <c r="R541">
        <v>3.0010930000000002E-2</v>
      </c>
      <c r="S541">
        <v>3.0452880000000002</v>
      </c>
      <c r="T541">
        <v>0.34792709999999999</v>
      </c>
      <c r="U541">
        <v>-0.92990110000000004</v>
      </c>
      <c r="V541">
        <v>-4.5988199999999903E-2</v>
      </c>
      <c r="W541">
        <v>-1.840321E-2</v>
      </c>
      <c r="X541">
        <v>0.9987724</v>
      </c>
      <c r="Y541">
        <v>0.2756014</v>
      </c>
      <c r="Z541">
        <v>9.9231409999999999E-3</v>
      </c>
      <c r="AA541">
        <v>0.96122079999999999</v>
      </c>
      <c r="AB541">
        <v>45</v>
      </c>
      <c r="AC541">
        <v>79.827500000000001</v>
      </c>
      <c r="AD541">
        <v>9.1690170000000002</v>
      </c>
      <c r="AE541">
        <v>-24.4923</v>
      </c>
      <c r="AF541">
        <v>22.938661685931301</v>
      </c>
      <c r="AG541">
        <v>9.1690170000000002</v>
      </c>
      <c r="AH541">
        <v>79.2525806640393</v>
      </c>
      <c r="AI541">
        <v>83.658613436500502</v>
      </c>
      <c r="AJ541">
        <v>73.857578904623793</v>
      </c>
      <c r="AK541">
        <v>83.013400211038004</v>
      </c>
      <c r="AL541">
        <v>91.054485842985599</v>
      </c>
      <c r="AM541">
        <v>92.636306342740397</v>
      </c>
      <c r="AN541">
        <v>0.99999994983965002</v>
      </c>
    </row>
    <row r="542" spans="1:40" x14ac:dyDescent="0.25">
      <c r="A542" t="str">
        <f>"20190305135549104"</f>
        <v>20190305135549104</v>
      </c>
      <c r="B542" t="str">
        <f>"1551765349092468"</f>
        <v>1551765349092468</v>
      </c>
      <c r="C542" t="s">
        <v>40</v>
      </c>
      <c r="D542">
        <v>4.0274769999999904</v>
      </c>
      <c r="E542">
        <v>0.62940509999999905</v>
      </c>
      <c r="F542" t="s">
        <v>45</v>
      </c>
      <c r="G542">
        <v>-234.4676</v>
      </c>
      <c r="H542">
        <v>10.21748</v>
      </c>
      <c r="I542">
        <v>344.0736</v>
      </c>
      <c r="J542">
        <v>-314.00799999999998</v>
      </c>
      <c r="K542">
        <v>1.0808759999999999</v>
      </c>
      <c r="L542">
        <v>368.404</v>
      </c>
      <c r="M542">
        <v>0.99959560000000003</v>
      </c>
      <c r="N542">
        <v>-2.318835E-2</v>
      </c>
      <c r="O542">
        <v>-1.6464579999999999E-2</v>
      </c>
      <c r="P542">
        <v>0.99869730000000001</v>
      </c>
      <c r="Q542">
        <v>-4.1485590000000003E-2</v>
      </c>
      <c r="R542">
        <v>2.9712280000000001E-2</v>
      </c>
      <c r="S542">
        <v>3.0463870000000002</v>
      </c>
      <c r="T542">
        <v>0.34793639999999998</v>
      </c>
      <c r="U542">
        <v>-0.92709350000000001</v>
      </c>
      <c r="V542">
        <v>-4.619409E-2</v>
      </c>
      <c r="W542">
        <v>-1.8235089999999999E-2</v>
      </c>
      <c r="X542">
        <v>0.99876600000000004</v>
      </c>
      <c r="Y542">
        <v>0.27421299999999998</v>
      </c>
      <c r="Z542">
        <v>9.8044210000000007E-3</v>
      </c>
      <c r="AA542">
        <v>0.961619</v>
      </c>
      <c r="AB542">
        <v>45</v>
      </c>
      <c r="AC542">
        <v>79.540399999999906</v>
      </c>
      <c r="AD542">
        <v>9.1366040000000002</v>
      </c>
      <c r="AE542">
        <v>-24.330400000000001</v>
      </c>
      <c r="AF542">
        <v>22.742744142011201</v>
      </c>
      <c r="AG542">
        <v>9.1366040000000002</v>
      </c>
      <c r="AH542">
        <v>78.977400881838406</v>
      </c>
      <c r="AI542">
        <v>83.656542313267806</v>
      </c>
      <c r="AJ542">
        <v>73.935439922289405</v>
      </c>
      <c r="AK542">
        <v>82.693045619401403</v>
      </c>
      <c r="AL542">
        <v>91.044851640763198</v>
      </c>
      <c r="AM542">
        <v>92.648109314909803</v>
      </c>
      <c r="AN542">
        <v>0.99999996760711696</v>
      </c>
    </row>
    <row r="543" spans="1:40" x14ac:dyDescent="0.25">
      <c r="A543" t="str">
        <f>"20190305135549126"</f>
        <v>20190305135549126</v>
      </c>
      <c r="B543" t="str">
        <f>"1551765349122724"</f>
        <v>1551765349122724</v>
      </c>
      <c r="C543" t="s">
        <v>40</v>
      </c>
      <c r="D543">
        <v>4.171754</v>
      </c>
      <c r="E543">
        <v>0.62960199999999999</v>
      </c>
      <c r="F543" t="s">
        <v>45</v>
      </c>
      <c r="G543">
        <v>-234.4067</v>
      </c>
      <c r="H543">
        <v>10.213789999999999</v>
      </c>
      <c r="I543">
        <v>344.14940000000001</v>
      </c>
      <c r="J543">
        <v>-313.56079999999997</v>
      </c>
      <c r="K543">
        <v>1.078227</v>
      </c>
      <c r="L543">
        <v>368.39609999999999</v>
      </c>
      <c r="M543">
        <v>0.99959219999999904</v>
      </c>
      <c r="N543">
        <v>-2.295699E-2</v>
      </c>
      <c r="O543">
        <v>-1.6992380000000001E-2</v>
      </c>
      <c r="P543">
        <v>0.99873299999999998</v>
      </c>
      <c r="Q543">
        <v>-4.120468E-2</v>
      </c>
      <c r="R543">
        <v>2.8891730000000001E-2</v>
      </c>
      <c r="S543">
        <v>3.0460509999999998</v>
      </c>
      <c r="T543">
        <v>0.3494834</v>
      </c>
      <c r="U543">
        <v>-0.92813109999999999</v>
      </c>
      <c r="V543">
        <v>-4.5897420000000001E-2</v>
      </c>
      <c r="W543">
        <v>-1.8194559999999999E-2</v>
      </c>
      <c r="X543">
        <v>0.99878040000000001</v>
      </c>
      <c r="Y543">
        <v>0.2740242</v>
      </c>
      <c r="Z543">
        <v>9.8214389999999995E-3</v>
      </c>
      <c r="AA543">
        <v>0.96167259999999999</v>
      </c>
      <c r="AB543">
        <v>45</v>
      </c>
      <c r="AC543">
        <v>79.1540999999999</v>
      </c>
      <c r="AD543">
        <v>9.1355629999999994</v>
      </c>
      <c r="AE543">
        <v>-24.246699999999901</v>
      </c>
      <c r="AF543">
        <v>22.622333898354601</v>
      </c>
      <c r="AG543">
        <v>9.1355629999999994</v>
      </c>
      <c r="AH543">
        <v>78.597628958702302</v>
      </c>
      <c r="AI543">
        <v>83.626627341240095</v>
      </c>
      <c r="AJ543">
        <v>73.942877987027401</v>
      </c>
      <c r="AK543">
        <v>82.297118906225705</v>
      </c>
      <c r="AL543">
        <v>91.042529074421296</v>
      </c>
      <c r="AM543">
        <v>92.631088589827002</v>
      </c>
      <c r="AN543">
        <v>0.99999995130020303</v>
      </c>
    </row>
    <row r="544" spans="1:40" x14ac:dyDescent="0.25">
      <c r="A544" t="str">
        <f>"20190305135549150"</f>
        <v>20190305135549150</v>
      </c>
      <c r="B544" t="str">
        <f>"1551765349142244"</f>
        <v>1551765349142244</v>
      </c>
      <c r="C544" t="s">
        <v>40</v>
      </c>
      <c r="D544">
        <v>4.0384039999999999</v>
      </c>
      <c r="E544">
        <v>0.62970789999999999</v>
      </c>
      <c r="F544" t="s">
        <v>45</v>
      </c>
      <c r="G544">
        <v>-234.4314</v>
      </c>
      <c r="H544">
        <v>10.25878</v>
      </c>
      <c r="I544">
        <v>344.16329999999999</v>
      </c>
      <c r="J544">
        <v>-313.08909999999997</v>
      </c>
      <c r="K544">
        <v>1.0755809999999999</v>
      </c>
      <c r="L544">
        <v>368.3877</v>
      </c>
      <c r="M544">
        <v>0.99959219999999904</v>
      </c>
      <c r="N544">
        <v>-2.2576140000000001E-2</v>
      </c>
      <c r="O544">
        <v>-1.748342E-2</v>
      </c>
      <c r="P544">
        <v>0.99880899999999995</v>
      </c>
      <c r="Q544">
        <v>-4.0257920000000003E-2</v>
      </c>
      <c r="R544">
        <v>2.756786E-2</v>
      </c>
      <c r="S544">
        <v>3.0453489999999999</v>
      </c>
      <c r="T544">
        <v>0.35331990000000002</v>
      </c>
      <c r="U544">
        <v>-0.93261719999999904</v>
      </c>
      <c r="V544">
        <v>-4.5062020000000001E-2</v>
      </c>
      <c r="W544">
        <v>-1.7633920000000001E-2</v>
      </c>
      <c r="X544">
        <v>0.99882850000000001</v>
      </c>
      <c r="Y544">
        <v>0.2748737</v>
      </c>
      <c r="Z544">
        <v>9.9990019999999999E-3</v>
      </c>
      <c r="AA544">
        <v>0.96142830000000001</v>
      </c>
      <c r="AB544">
        <v>45</v>
      </c>
      <c r="AC544">
        <v>78.657699999999906</v>
      </c>
      <c r="AD544">
        <v>9.1831990000000001</v>
      </c>
      <c r="AE544">
        <v>-24.224399999999999</v>
      </c>
      <c r="AF544">
        <v>22.5642258024758</v>
      </c>
      <c r="AG544">
        <v>9.1831990000000001</v>
      </c>
      <c r="AH544">
        <v>78.097035240737199</v>
      </c>
      <c r="AI544">
        <v>83.554824096539605</v>
      </c>
      <c r="AJ544">
        <v>73.884645129381298</v>
      </c>
      <c r="AK544">
        <v>81.808449095015007</v>
      </c>
      <c r="AL544">
        <v>91.010401605670594</v>
      </c>
      <c r="AM544">
        <v>92.583140180323497</v>
      </c>
      <c r="AN544">
        <v>0.99999995659664698</v>
      </c>
    </row>
    <row r="545" spans="1:40" x14ac:dyDescent="0.25">
      <c r="A545" t="str">
        <f>"20190305135549172"</f>
        <v>20190305135549172</v>
      </c>
      <c r="B545" t="str">
        <f>"1551765349161764"</f>
        <v>1551765349161764</v>
      </c>
      <c r="C545" t="s">
        <v>40</v>
      </c>
      <c r="D545">
        <v>3.9855960000000001</v>
      </c>
      <c r="E545">
        <v>0.62974989999999997</v>
      </c>
      <c r="F545" t="s">
        <v>45</v>
      </c>
      <c r="G545">
        <v>-234.4684</v>
      </c>
      <c r="H545">
        <v>10.30663</v>
      </c>
      <c r="I545">
        <v>344.16410000000002</v>
      </c>
      <c r="J545">
        <v>-312.64960000000002</v>
      </c>
      <c r="K545">
        <v>1.0733440000000001</v>
      </c>
      <c r="L545">
        <v>368.37970000000001</v>
      </c>
      <c r="M545">
        <v>0.99959580000000003</v>
      </c>
      <c r="N545">
        <v>-2.212165E-2</v>
      </c>
      <c r="O545">
        <v>-1.7859630000000001E-2</v>
      </c>
      <c r="P545">
        <v>0.99889209999999995</v>
      </c>
      <c r="Q545">
        <v>-3.9202960000000002E-2</v>
      </c>
      <c r="R545">
        <v>2.6030439999999998E-2</v>
      </c>
      <c r="S545">
        <v>3.0438540000000001</v>
      </c>
      <c r="T545">
        <v>0.35738599999999998</v>
      </c>
      <c r="U545">
        <v>-0.93783570000000005</v>
      </c>
      <c r="V545">
        <v>-4.3898899999999998E-2</v>
      </c>
      <c r="W545">
        <v>-1.7036969999999999E-2</v>
      </c>
      <c r="X545">
        <v>0.99889070000000002</v>
      </c>
      <c r="Y545">
        <v>0.27610709999999999</v>
      </c>
      <c r="Z545">
        <v>1.0233529999999999E-2</v>
      </c>
      <c r="AA545">
        <v>0.96107240000000005</v>
      </c>
      <c r="AB545">
        <v>45</v>
      </c>
      <c r="AC545">
        <v>78.181200000000004</v>
      </c>
      <c r="AD545">
        <v>9.2332859999999997</v>
      </c>
      <c r="AE545">
        <v>-24.215599999999899</v>
      </c>
      <c r="AF545">
        <v>22.528390421911599</v>
      </c>
      <c r="AG545">
        <v>9.2332859999999997</v>
      </c>
      <c r="AH545">
        <v>77.613532776815504</v>
      </c>
      <c r="AI545">
        <v>83.482258187823902</v>
      </c>
      <c r="AJ545">
        <v>73.813905681891598</v>
      </c>
      <c r="AK545">
        <v>81.342746544837695</v>
      </c>
      <c r="AL545">
        <v>90.976193704173994</v>
      </c>
      <c r="AM545">
        <v>92.516395710538106</v>
      </c>
      <c r="AN545">
        <v>1.0000000011572401</v>
      </c>
    </row>
    <row r="546" spans="1:40" x14ac:dyDescent="0.25">
      <c r="A546" t="str">
        <f>"20190305135549193"</f>
        <v>20190305135549193</v>
      </c>
      <c r="B546" t="str">
        <f>"1551765349182261"</f>
        <v>1551765349182261</v>
      </c>
      <c r="C546" t="s">
        <v>40</v>
      </c>
      <c r="D546">
        <v>3.9689939999999999</v>
      </c>
      <c r="E546">
        <v>0.62981189999999998</v>
      </c>
      <c r="F546" t="s">
        <v>45</v>
      </c>
      <c r="G546">
        <v>-234.52250000000001</v>
      </c>
      <c r="H546">
        <v>10.386509999999999</v>
      </c>
      <c r="I546">
        <v>344.17520000000002</v>
      </c>
      <c r="J546">
        <v>-312.21699999999998</v>
      </c>
      <c r="K546">
        <v>1.071367</v>
      </c>
      <c r="L546">
        <v>368.3716</v>
      </c>
      <c r="M546">
        <v>0.99960119999999997</v>
      </c>
      <c r="N546">
        <v>-2.1608720000000001E-2</v>
      </c>
      <c r="O546">
        <v>-1.8183890000000001E-2</v>
      </c>
      <c r="P546">
        <v>0.99897329999999995</v>
      </c>
      <c r="Q546">
        <v>-3.790785E-2</v>
      </c>
      <c r="R546">
        <v>2.4813559999999998E-2</v>
      </c>
      <c r="S546">
        <v>3.0421140000000002</v>
      </c>
      <c r="T546">
        <v>0.36263620000000002</v>
      </c>
      <c r="U546">
        <v>-0.94247440000000005</v>
      </c>
      <c r="V546">
        <v>-4.300445E-2</v>
      </c>
      <c r="W546">
        <v>-1.6258109999999999E-2</v>
      </c>
      <c r="X546">
        <v>0.99894260000000001</v>
      </c>
      <c r="Y546">
        <v>0.2772329</v>
      </c>
      <c r="Z546">
        <v>1.052786E-2</v>
      </c>
      <c r="AA546">
        <v>0.96074499999999996</v>
      </c>
      <c r="AB546">
        <v>44</v>
      </c>
      <c r="AC546">
        <v>77.694499999999906</v>
      </c>
      <c r="AD546">
        <v>9.3151429999999902</v>
      </c>
      <c r="AE546">
        <v>-24.196399999999901</v>
      </c>
      <c r="AF546">
        <v>22.484645697588199</v>
      </c>
      <c r="AG546">
        <v>9.3151429999999902</v>
      </c>
      <c r="AH546">
        <v>77.111286549590602</v>
      </c>
      <c r="AI546">
        <v>83.384860683387302</v>
      </c>
      <c r="AJ546">
        <v>73.744004147421506</v>
      </c>
      <c r="AK546">
        <v>80.860878640969503</v>
      </c>
      <c r="AL546">
        <v>90.931562115747298</v>
      </c>
      <c r="AM546">
        <v>92.465059568952299</v>
      </c>
      <c r="AN546">
        <v>1.0000000134776601</v>
      </c>
    </row>
    <row r="547" spans="1:40" x14ac:dyDescent="0.25">
      <c r="A547" t="str">
        <f>"20190305135549216"</f>
        <v>20190305135549216</v>
      </c>
      <c r="B547" t="str">
        <f>"1551765349212516"</f>
        <v>1551765349212516</v>
      </c>
      <c r="C547" t="s">
        <v>40</v>
      </c>
      <c r="D547">
        <v>4.0032249999999996</v>
      </c>
      <c r="E547">
        <v>0.62994680000000003</v>
      </c>
      <c r="F547" t="s">
        <v>45</v>
      </c>
      <c r="G547">
        <v>-234.58420000000001</v>
      </c>
      <c r="H547">
        <v>10.50431</v>
      </c>
      <c r="I547">
        <v>344.21550000000002</v>
      </c>
      <c r="J547">
        <v>-311.78129999999999</v>
      </c>
      <c r="K547">
        <v>1.069566</v>
      </c>
      <c r="L547">
        <v>368.36329999999998</v>
      </c>
      <c r="M547">
        <v>0.99960950000000004</v>
      </c>
      <c r="N547">
        <v>-2.095259E-2</v>
      </c>
      <c r="O547">
        <v>-1.848837E-2</v>
      </c>
      <c r="P547">
        <v>0.99905770000000005</v>
      </c>
      <c r="Q547">
        <v>-3.6579790000000001E-2</v>
      </c>
      <c r="R547">
        <v>2.3359629999999999E-2</v>
      </c>
      <c r="S547">
        <v>3.0405880000000001</v>
      </c>
      <c r="T547">
        <v>0.36945299999999998</v>
      </c>
      <c r="U547">
        <v>-0.946106</v>
      </c>
      <c r="V547">
        <v>-4.1853580000000001E-2</v>
      </c>
      <c r="W547">
        <v>-1.5590430000000001E-2</v>
      </c>
      <c r="X547">
        <v>0.9990021</v>
      </c>
      <c r="Y547">
        <v>0.27805289999999999</v>
      </c>
      <c r="Z547">
        <v>1.0894890000000001E-2</v>
      </c>
      <c r="AA547">
        <v>0.96050400000000002</v>
      </c>
      <c r="AB547">
        <v>44</v>
      </c>
      <c r="AC547">
        <v>77.197099999999907</v>
      </c>
      <c r="AD547">
        <v>9.4347440000000002</v>
      </c>
      <c r="AE547">
        <v>-24.147799999999901</v>
      </c>
      <c r="AF547">
        <v>22.4111922966698</v>
      </c>
      <c r="AG547">
        <v>9.4347440000000002</v>
      </c>
      <c r="AH547">
        <v>76.588423572107303</v>
      </c>
      <c r="AI547">
        <v>83.257232692845193</v>
      </c>
      <c r="AJ547">
        <v>73.689545910328306</v>
      </c>
      <c r="AK547">
        <v>80.355849567809102</v>
      </c>
      <c r="AL547">
        <v>90.893302039346395</v>
      </c>
      <c r="AM547">
        <v>92.3990259269777</v>
      </c>
      <c r="AN547">
        <v>0.99999998973540505</v>
      </c>
    </row>
    <row r="548" spans="1:40" x14ac:dyDescent="0.25">
      <c r="A548" t="str">
        <f>"20190305135549238"</f>
        <v>20190305135549238</v>
      </c>
      <c r="B548" t="str">
        <f>"1551765349232039"</f>
        <v>1551765349232039</v>
      </c>
      <c r="C548" t="s">
        <v>40</v>
      </c>
      <c r="D548">
        <v>3.9626670000000002</v>
      </c>
      <c r="E548">
        <v>0.63005419999999901</v>
      </c>
      <c r="F548" t="s">
        <v>45</v>
      </c>
      <c r="G548">
        <v>-234.6619</v>
      </c>
      <c r="H548">
        <v>10.59327</v>
      </c>
      <c r="I548">
        <v>344.20499999999998</v>
      </c>
      <c r="J548">
        <v>-311.3261</v>
      </c>
      <c r="K548">
        <v>1.0678780000000001</v>
      </c>
      <c r="L548">
        <v>368.3546</v>
      </c>
      <c r="M548">
        <v>0.99962220000000002</v>
      </c>
      <c r="N548">
        <v>-2.0066090000000002E-2</v>
      </c>
      <c r="O548">
        <v>-1.879142E-2</v>
      </c>
      <c r="P548">
        <v>0.99910600000000005</v>
      </c>
      <c r="Q548">
        <v>-3.5583360000000001E-2</v>
      </c>
      <c r="R548">
        <v>2.2831560000000001E-2</v>
      </c>
      <c r="S548">
        <v>3.038818</v>
      </c>
      <c r="T548">
        <v>0.37527280000000002</v>
      </c>
      <c r="U548">
        <v>-0.95193479999999997</v>
      </c>
      <c r="V548">
        <v>-4.1626419999999997E-2</v>
      </c>
      <c r="W548">
        <v>-1.5485530000000001E-2</v>
      </c>
      <c r="X548">
        <v>0.99901320000000005</v>
      </c>
      <c r="Y548">
        <v>0.27952729999999998</v>
      </c>
      <c r="Z548">
        <v>1.1294500000000001E-2</v>
      </c>
      <c r="AA548">
        <v>0.96007129999999996</v>
      </c>
      <c r="AB548">
        <v>44</v>
      </c>
      <c r="AC548">
        <v>76.664199999999994</v>
      </c>
      <c r="AD548">
        <v>9.5253920000000001</v>
      </c>
      <c r="AE548">
        <v>-24.1496</v>
      </c>
      <c r="AF548">
        <v>22.3899689365022</v>
      </c>
      <c r="AG548">
        <v>9.5253920000000001</v>
      </c>
      <c r="AH548">
        <v>76.036690373395302</v>
      </c>
      <c r="AI548">
        <v>83.147513761426396</v>
      </c>
      <c r="AJ548">
        <v>73.592265485088106</v>
      </c>
      <c r="AK548">
        <v>79.834967806536895</v>
      </c>
      <c r="AL548">
        <v>90.887291006407594</v>
      </c>
      <c r="AM548">
        <v>92.385993840477198</v>
      </c>
      <c r="AN548">
        <v>0.99999996712781802</v>
      </c>
    </row>
    <row r="549" spans="1:40" x14ac:dyDescent="0.25">
      <c r="A549" t="str">
        <f>"20190305135549260"</f>
        <v>20190305135549260</v>
      </c>
      <c r="B549" t="str">
        <f>"1551765349252532"</f>
        <v>1551765349252532</v>
      </c>
      <c r="C549" t="s">
        <v>40</v>
      </c>
      <c r="D549">
        <v>3.963444</v>
      </c>
      <c r="E549">
        <v>0.63015969999999999</v>
      </c>
      <c r="F549" t="s">
        <v>45</v>
      </c>
      <c r="G549">
        <v>-234.66159999999999</v>
      </c>
      <c r="H549">
        <v>10.66459</v>
      </c>
      <c r="I549">
        <v>344.27859999999998</v>
      </c>
      <c r="J549">
        <v>-310.88600000000002</v>
      </c>
      <c r="K549">
        <v>1.06643</v>
      </c>
      <c r="L549">
        <v>368.346</v>
      </c>
      <c r="M549">
        <v>0.99963650000000004</v>
      </c>
      <c r="N549">
        <v>-1.9059590000000001E-2</v>
      </c>
      <c r="O549">
        <v>-1.907238E-2</v>
      </c>
      <c r="P549">
        <v>0.99913280000000004</v>
      </c>
      <c r="Q549">
        <v>-3.4944669999999997E-2</v>
      </c>
      <c r="R549">
        <v>2.264478E-2</v>
      </c>
      <c r="S549">
        <v>3.0380250000000002</v>
      </c>
      <c r="T549">
        <v>0.38029420000000003</v>
      </c>
      <c r="U549">
        <v>-0.954071</v>
      </c>
      <c r="V549">
        <v>-4.171859E-2</v>
      </c>
      <c r="W549">
        <v>-1.5858710000000002E-2</v>
      </c>
      <c r="X549">
        <v>0.99900350000000004</v>
      </c>
      <c r="Y549">
        <v>0.27988150000000001</v>
      </c>
      <c r="Z549">
        <v>1.163081E-2</v>
      </c>
      <c r="AA549">
        <v>0.95996409999999999</v>
      </c>
      <c r="AB549">
        <v>44</v>
      </c>
      <c r="AC549">
        <v>76.224399999999903</v>
      </c>
      <c r="AD549">
        <v>9.5981599999999894</v>
      </c>
      <c r="AE549">
        <v>-24.067399999999999</v>
      </c>
      <c r="AF549">
        <v>22.287624872779599</v>
      </c>
      <c r="AG549">
        <v>9.5981599999999894</v>
      </c>
      <c r="AH549">
        <v>75.579897699833694</v>
      </c>
      <c r="AI549">
        <v>83.055139791080407</v>
      </c>
      <c r="AJ549">
        <v>73.569830391397602</v>
      </c>
      <c r="AK549">
        <v>79.379996435957693</v>
      </c>
      <c r="AL549">
        <v>90.908675273368701</v>
      </c>
      <c r="AM549">
        <v>92.391294018258293</v>
      </c>
      <c r="AN549">
        <v>0.99999996622334997</v>
      </c>
    </row>
    <row r="550" spans="1:40" x14ac:dyDescent="0.25">
      <c r="A550" t="str">
        <f>"20190305135549282"</f>
        <v>20190305135549282</v>
      </c>
      <c r="B550" t="str">
        <f>"1551765349272053"</f>
        <v>1551765349272053</v>
      </c>
      <c r="C550" t="s">
        <v>40</v>
      </c>
      <c r="D550">
        <v>3.9933559999999999</v>
      </c>
      <c r="E550">
        <v>0.63035010000000002</v>
      </c>
      <c r="F550" t="s">
        <v>45</v>
      </c>
      <c r="G550">
        <v>-234.64099999999999</v>
      </c>
      <c r="H550">
        <v>10.732799999999999</v>
      </c>
      <c r="I550">
        <v>344.37560000000002</v>
      </c>
      <c r="J550">
        <v>-310.45830000000001</v>
      </c>
      <c r="K550">
        <v>1.0651999999999999</v>
      </c>
      <c r="L550">
        <v>368.33760000000001</v>
      </c>
      <c r="M550">
        <v>0.9996507</v>
      </c>
      <c r="N550">
        <v>-1.8029099999999999E-2</v>
      </c>
      <c r="O550">
        <v>-1.93248E-2</v>
      </c>
      <c r="P550">
        <v>0.99915169999999998</v>
      </c>
      <c r="Q550">
        <v>-3.4160870000000003E-2</v>
      </c>
      <c r="R550">
        <v>2.3005520000000002E-2</v>
      </c>
      <c r="S550">
        <v>3.0377200000000002</v>
      </c>
      <c r="T550">
        <v>0.38512370000000001</v>
      </c>
      <c r="U550">
        <v>-0.95501709999999995</v>
      </c>
      <c r="V550">
        <v>-4.232959E-2</v>
      </c>
      <c r="W550">
        <v>-1.6110090000000001E-2</v>
      </c>
      <c r="X550">
        <v>0.99897380000000002</v>
      </c>
      <c r="Y550">
        <v>0.27987869999999998</v>
      </c>
      <c r="Z550">
        <v>1.194831E-2</v>
      </c>
      <c r="AA550">
        <v>0.95996099999999995</v>
      </c>
      <c r="AB550">
        <v>44</v>
      </c>
      <c r="AC550">
        <v>75.817300000000003</v>
      </c>
      <c r="AD550">
        <v>9.6676000000000002</v>
      </c>
      <c r="AE550">
        <v>-23.9619999999999</v>
      </c>
      <c r="AF550">
        <v>22.164481517735499</v>
      </c>
      <c r="AG550">
        <v>9.6676000000000002</v>
      </c>
      <c r="AH550">
        <v>75.155278341047904</v>
      </c>
      <c r="AI550">
        <v>82.966319668408204</v>
      </c>
      <c r="AJ550">
        <v>73.568377216956193</v>
      </c>
      <c r="AK550">
        <v>78.949620602194301</v>
      </c>
      <c r="AL550">
        <v>90.923080104292296</v>
      </c>
      <c r="AM550">
        <v>92.426346806489505</v>
      </c>
      <c r="AN550">
        <v>0.99999999113790805</v>
      </c>
    </row>
    <row r="551" spans="1:40" x14ac:dyDescent="0.25">
      <c r="A551" t="str">
        <f>"20190305135549304"</f>
        <v>20190305135549304</v>
      </c>
      <c r="B551" t="str">
        <f>"1551765349302309"</f>
        <v>1551765349302309</v>
      </c>
      <c r="C551" t="s">
        <v>40</v>
      </c>
      <c r="D551">
        <v>3.9933339999999999</v>
      </c>
      <c r="E551">
        <v>0.63056869999999998</v>
      </c>
      <c r="F551" t="s">
        <v>45</v>
      </c>
      <c r="G551">
        <v>-233.41630000000001</v>
      </c>
      <c r="H551">
        <v>10.98016</v>
      </c>
      <c r="I551">
        <v>344.11779999999999</v>
      </c>
      <c r="J551">
        <v>-310.0136</v>
      </c>
      <c r="K551">
        <v>1.064093</v>
      </c>
      <c r="L551">
        <v>368.3288</v>
      </c>
      <c r="M551">
        <v>0.99966469999999996</v>
      </c>
      <c r="N551">
        <v>-1.6981340000000001E-2</v>
      </c>
      <c r="O551">
        <v>-1.955813E-2</v>
      </c>
      <c r="P551">
        <v>0.99916819999999895</v>
      </c>
      <c r="Q551">
        <v>-3.3335169999999997E-2</v>
      </c>
      <c r="R551">
        <v>2.3495829999999999E-2</v>
      </c>
      <c r="S551">
        <v>3.0378720000000001</v>
      </c>
      <c r="T551">
        <v>0.39096019999999998</v>
      </c>
      <c r="U551">
        <v>-0.95501709999999995</v>
      </c>
      <c r="V551">
        <v>-4.3050600000000001E-2</v>
      </c>
      <c r="W551">
        <v>-1.633621E-2</v>
      </c>
      <c r="X551">
        <v>0.99893929999999997</v>
      </c>
      <c r="Y551">
        <v>0.2795724</v>
      </c>
      <c r="Z551">
        <v>1.229181E-2</v>
      </c>
      <c r="AA551">
        <v>0.96004590000000001</v>
      </c>
      <c r="AB551">
        <v>45</v>
      </c>
      <c r="AC551">
        <v>76.597299999999905</v>
      </c>
      <c r="AD551">
        <v>9.916067</v>
      </c>
      <c r="AE551">
        <v>-24.210999999999999</v>
      </c>
      <c r="AF551">
        <v>22.367245103284102</v>
      </c>
      <c r="AG551">
        <v>9.916067</v>
      </c>
      <c r="AH551">
        <v>75.899759625834903</v>
      </c>
      <c r="AI551">
        <v>82.857015044736897</v>
      </c>
      <c r="AJ551">
        <v>73.580042292658007</v>
      </c>
      <c r="AK551">
        <v>79.745818382648693</v>
      </c>
      <c r="AL551">
        <v>90.936037545985002</v>
      </c>
      <c r="AM551">
        <v>92.467709808242901</v>
      </c>
      <c r="AN551">
        <v>0.99999997550100606</v>
      </c>
    </row>
    <row r="552" spans="1:40" x14ac:dyDescent="0.25">
      <c r="A552" t="str">
        <f>"20190305135549327"</f>
        <v>20190305135549327</v>
      </c>
      <c r="B552" t="str">
        <f>"1551765349321829"</f>
        <v>1551765349321829</v>
      </c>
      <c r="C552" t="s">
        <v>40</v>
      </c>
      <c r="D552">
        <v>3.9259819999999999</v>
      </c>
      <c r="E552">
        <v>0.63067039999999996</v>
      </c>
      <c r="F552" t="s">
        <v>45</v>
      </c>
      <c r="G552">
        <v>-233.27950000000001</v>
      </c>
      <c r="H552">
        <v>11.087009999999999</v>
      </c>
      <c r="I552">
        <v>344.21089999999998</v>
      </c>
      <c r="J552">
        <v>-309.54390000000001</v>
      </c>
      <c r="K552">
        <v>1.0631060000000001</v>
      </c>
      <c r="L552">
        <v>368.31950000000001</v>
      </c>
      <c r="M552">
        <v>0.9996775</v>
      </c>
      <c r="N552">
        <v>-1.594769E-2</v>
      </c>
      <c r="O552">
        <v>-1.9769209999999999E-2</v>
      </c>
      <c r="P552">
        <v>0.9991603</v>
      </c>
      <c r="Q552">
        <v>-3.3002240000000002E-2</v>
      </c>
      <c r="R552">
        <v>2.428319E-2</v>
      </c>
      <c r="S552">
        <v>3.038208</v>
      </c>
      <c r="T552">
        <v>0.39684700000000001</v>
      </c>
      <c r="U552">
        <v>-0.95492549999999998</v>
      </c>
      <c r="V552">
        <v>-4.4046549999999997E-2</v>
      </c>
      <c r="W552">
        <v>-1.7040280000000001E-2</v>
      </c>
      <c r="X552">
        <v>0.99888410000000005</v>
      </c>
      <c r="Y552">
        <v>0.27924320000000002</v>
      </c>
      <c r="Z552">
        <v>1.26347E-2</v>
      </c>
      <c r="AA552">
        <v>0.96013729999999997</v>
      </c>
      <c r="AB552">
        <v>45</v>
      </c>
      <c r="AC552">
        <v>76.264399999999995</v>
      </c>
      <c r="AD552">
        <v>10.023904</v>
      </c>
      <c r="AE552">
        <v>-24.108599999999999</v>
      </c>
      <c r="AF552">
        <v>22.2466043542825</v>
      </c>
      <c r="AG552">
        <v>10.023904</v>
      </c>
      <c r="AH552">
        <v>75.539735921309003</v>
      </c>
      <c r="AI552">
        <v>82.745731780507001</v>
      </c>
      <c r="AJ552">
        <v>73.5901925721314</v>
      </c>
      <c r="AK552">
        <v>79.382880772609298</v>
      </c>
      <c r="AL552">
        <v>90.976383423397493</v>
      </c>
      <c r="AM552">
        <v>92.524865107649006</v>
      </c>
      <c r="AN552">
        <v>0.99999995747109405</v>
      </c>
    </row>
    <row r="553" spans="1:40" x14ac:dyDescent="0.25">
      <c r="A553" t="str">
        <f>"20190305135549350"</f>
        <v>20190305135549350</v>
      </c>
      <c r="B553" t="str">
        <f>"1551765349342324"</f>
        <v>1551765349342324</v>
      </c>
      <c r="C553" t="s">
        <v>40</v>
      </c>
      <c r="D553">
        <v>3.9901550000000001</v>
      </c>
      <c r="E553">
        <v>0.63083109999999998</v>
      </c>
      <c r="F553" t="s">
        <v>45</v>
      </c>
      <c r="G553">
        <v>-233.09270000000001</v>
      </c>
      <c r="H553">
        <v>11.10256</v>
      </c>
      <c r="I553">
        <v>344.33210000000003</v>
      </c>
      <c r="J553">
        <v>-309.09930000000003</v>
      </c>
      <c r="K553">
        <v>1.0623149999999999</v>
      </c>
      <c r="L553">
        <v>368.31060000000002</v>
      </c>
      <c r="M553">
        <v>0.99968780000000002</v>
      </c>
      <c r="N553">
        <v>-1.505767E-2</v>
      </c>
      <c r="O553">
        <v>-1.9938339999999999E-2</v>
      </c>
      <c r="P553">
        <v>0.9991487</v>
      </c>
      <c r="Q553">
        <v>-3.2366579999999999E-2</v>
      </c>
      <c r="R553">
        <v>2.557748E-2</v>
      </c>
      <c r="S553">
        <v>3.03891</v>
      </c>
      <c r="T553">
        <v>0.399065</v>
      </c>
      <c r="U553">
        <v>-0.95349119999999998</v>
      </c>
      <c r="V553">
        <v>-4.5508560000000003E-2</v>
      </c>
      <c r="W553">
        <v>-1.729646E-2</v>
      </c>
      <c r="X553">
        <v>0.99881419999999999</v>
      </c>
      <c r="Y553">
        <v>0.27857300000000002</v>
      </c>
      <c r="Z553">
        <v>1.2799909999999999E-2</v>
      </c>
      <c r="AA553">
        <v>0.96032980000000001</v>
      </c>
      <c r="AB553">
        <v>45</v>
      </c>
      <c r="AC553">
        <v>76.006600000000006</v>
      </c>
      <c r="AD553">
        <v>10.040245000000001</v>
      </c>
      <c r="AE553">
        <v>-23.9785</v>
      </c>
      <c r="AF553">
        <v>22.107270070174401</v>
      </c>
      <c r="AG553">
        <v>10.040245000000001</v>
      </c>
      <c r="AH553">
        <v>75.275009995794406</v>
      </c>
      <c r="AI553">
        <v>82.707161851937499</v>
      </c>
      <c r="AJ553">
        <v>73.633187329270697</v>
      </c>
      <c r="AK553">
        <v>79.094026572697601</v>
      </c>
      <c r="AL553">
        <v>90.9910635770498</v>
      </c>
      <c r="AM553">
        <v>92.608739797077604</v>
      </c>
      <c r="AN553">
        <v>1.0000000013417201</v>
      </c>
    </row>
    <row r="554" spans="1:40" x14ac:dyDescent="0.25">
      <c r="A554" t="str">
        <f>"20190305135549372"</f>
        <v>20190305135549372</v>
      </c>
      <c r="B554" t="str">
        <f>"1551765349361844"</f>
        <v>1551765349361844</v>
      </c>
      <c r="C554" t="s">
        <v>40</v>
      </c>
      <c r="D554">
        <v>3.9749910000000002</v>
      </c>
      <c r="E554">
        <v>0.63096030000000003</v>
      </c>
      <c r="F554" t="s">
        <v>45</v>
      </c>
      <c r="G554">
        <v>-232.48</v>
      </c>
      <c r="H554">
        <v>11.229179999999999</v>
      </c>
      <c r="I554">
        <v>344.35950000000003</v>
      </c>
      <c r="J554">
        <v>-308.65190000000001</v>
      </c>
      <c r="K554">
        <v>1.06166</v>
      </c>
      <c r="L554">
        <v>368.30169999999998</v>
      </c>
      <c r="M554">
        <v>0.99969680000000005</v>
      </c>
      <c r="N554">
        <v>-1.4253689999999999E-2</v>
      </c>
      <c r="O554">
        <v>-2.008499E-2</v>
      </c>
      <c r="P554">
        <v>0.9991506</v>
      </c>
      <c r="Q554">
        <v>-3.1396299999999898E-2</v>
      </c>
      <c r="R554">
        <v>2.6698929999999999E-2</v>
      </c>
      <c r="S554">
        <v>3.0399479999999999</v>
      </c>
      <c r="T554">
        <v>0.40338049999999998</v>
      </c>
      <c r="U554">
        <v>-0.95028690000000005</v>
      </c>
      <c r="V554">
        <v>-4.6774589999999998E-2</v>
      </c>
      <c r="W554">
        <v>-1.7131009999999999E-2</v>
      </c>
      <c r="X554">
        <v>0.99875860000000005</v>
      </c>
      <c r="Y554">
        <v>0.27737000000000001</v>
      </c>
      <c r="Z554">
        <v>1.3001739999999999E-2</v>
      </c>
      <c r="AA554">
        <v>0.96067519999999995</v>
      </c>
      <c r="AB554">
        <v>45</v>
      </c>
      <c r="AC554">
        <v>76.171899999999994</v>
      </c>
      <c r="AD554">
        <v>10.16752</v>
      </c>
      <c r="AE554">
        <v>-23.9421999999999</v>
      </c>
      <c r="AF554">
        <v>22.049759978638502</v>
      </c>
      <c r="AG554">
        <v>10.16752</v>
      </c>
      <c r="AH554">
        <v>75.414592787792799</v>
      </c>
      <c r="AI554">
        <v>82.626675331036694</v>
      </c>
      <c r="AJ554">
        <v>73.7021068804045</v>
      </c>
      <c r="AK554">
        <v>79.227086172688303</v>
      </c>
      <c r="AL554">
        <v>90.981582550137404</v>
      </c>
      <c r="AM554">
        <v>92.6813584661286</v>
      </c>
      <c r="AN554">
        <v>1.00000003742362</v>
      </c>
    </row>
    <row r="555" spans="1:40" x14ac:dyDescent="0.25">
      <c r="A555" t="str">
        <f>"20190305135549395"</f>
        <v>20190305135549395</v>
      </c>
      <c r="B555" t="str">
        <f>"1551765349392101"</f>
        <v>1551765349392101</v>
      </c>
      <c r="C555" t="s">
        <v>40</v>
      </c>
      <c r="D555">
        <v>4.301145</v>
      </c>
      <c r="E555">
        <v>0.63094430000000001</v>
      </c>
      <c r="F555" t="s">
        <v>45</v>
      </c>
      <c r="G555">
        <v>-232.3852</v>
      </c>
      <c r="H555">
        <v>11.28847</v>
      </c>
      <c r="I555">
        <v>344.5265</v>
      </c>
      <c r="J555">
        <v>-308.2056</v>
      </c>
      <c r="K555">
        <v>1.0611200000000001</v>
      </c>
      <c r="L555">
        <v>368.29270000000002</v>
      </c>
      <c r="M555">
        <v>0.99970409999999998</v>
      </c>
      <c r="N555">
        <v>-1.3532550000000001E-2</v>
      </c>
      <c r="O555">
        <v>-2.0217160000000001E-2</v>
      </c>
      <c r="P555">
        <v>0.9991525</v>
      </c>
      <c r="Q555">
        <v>-3.042162E-2</v>
      </c>
      <c r="R555">
        <v>2.7736690000000001E-2</v>
      </c>
      <c r="S555">
        <v>3.040619</v>
      </c>
      <c r="T555">
        <v>0.40772459999999999</v>
      </c>
      <c r="U555">
        <v>-0.94787600000000005</v>
      </c>
      <c r="V555">
        <v>-4.7943470000000002E-2</v>
      </c>
      <c r="W555">
        <v>-1.6877949999999999E-2</v>
      </c>
      <c r="X555">
        <v>0.99870749999999997</v>
      </c>
      <c r="Y555">
        <v>0.27644089999999999</v>
      </c>
      <c r="Z555">
        <v>1.320751E-2</v>
      </c>
      <c r="AA555">
        <v>0.96094020000000002</v>
      </c>
      <c r="AB555">
        <v>45</v>
      </c>
      <c r="AC555">
        <v>75.820400000000006</v>
      </c>
      <c r="AD555">
        <v>10.227349999999999</v>
      </c>
      <c r="AE555">
        <v>-23.766200000000001</v>
      </c>
      <c r="AF555">
        <v>21.866066635784598</v>
      </c>
      <c r="AG555">
        <v>10.227349999999999</v>
      </c>
      <c r="AH555">
        <v>75.042183581569702</v>
      </c>
      <c r="AI555">
        <v>82.545401566791</v>
      </c>
      <c r="AJ555">
        <v>73.754739880385401</v>
      </c>
      <c r="AK555">
        <v>78.829264076439898</v>
      </c>
      <c r="AL555">
        <v>90.967081165974804</v>
      </c>
      <c r="AM555">
        <v>92.7484035616461</v>
      </c>
      <c r="AN555">
        <v>1.0000000560340401</v>
      </c>
    </row>
    <row r="556" spans="1:40" x14ac:dyDescent="0.25">
      <c r="A556" t="str">
        <f>"20190305135549416"</f>
        <v>20190305135549416</v>
      </c>
      <c r="B556" t="str">
        <f>"1551765349412597"</f>
        <v>1551765349412597</v>
      </c>
      <c r="C556" t="s">
        <v>40</v>
      </c>
      <c r="D556">
        <v>3.9735849999999999</v>
      </c>
      <c r="E556">
        <v>0.56738730000000004</v>
      </c>
      <c r="F556" t="s">
        <v>45</v>
      </c>
      <c r="G556">
        <v>-232.29239999999999</v>
      </c>
      <c r="H556">
        <v>11.319839999999999</v>
      </c>
      <c r="I556">
        <v>344.71409999999997</v>
      </c>
      <c r="J556">
        <v>-307.7627</v>
      </c>
      <c r="K556">
        <v>1.0606719999999901</v>
      </c>
      <c r="L556">
        <v>368.28359999999998</v>
      </c>
      <c r="M556">
        <v>0.99970990000000004</v>
      </c>
      <c r="N556">
        <v>-1.2891059999999999E-2</v>
      </c>
      <c r="O556">
        <v>-2.0341350000000001E-2</v>
      </c>
      <c r="P556">
        <v>0.99918099999999999</v>
      </c>
      <c r="Q556">
        <v>-2.8989000000000001E-2</v>
      </c>
      <c r="R556">
        <v>2.8229819999999999E-2</v>
      </c>
      <c r="S556">
        <v>3.0412599999999999</v>
      </c>
      <c r="T556">
        <v>0.41098810000000002</v>
      </c>
      <c r="U556">
        <v>-0.94461059999999997</v>
      </c>
      <c r="V556">
        <v>-4.8560319999999997E-2</v>
      </c>
      <c r="W556">
        <v>-1.6087029999999999E-2</v>
      </c>
      <c r="X556">
        <v>0.99869070000000004</v>
      </c>
      <c r="Y556">
        <v>0.27528849999999999</v>
      </c>
      <c r="Z556">
        <v>1.3346780000000001E-2</v>
      </c>
      <c r="AA556">
        <v>0.96126900000000004</v>
      </c>
      <c r="AB556">
        <v>45</v>
      </c>
      <c r="AC556">
        <v>75.470299999999995</v>
      </c>
      <c r="AD556">
        <v>10.259168000000001</v>
      </c>
      <c r="AE556">
        <v>-23.569500000000001</v>
      </c>
      <c r="AF556">
        <v>21.664568983879299</v>
      </c>
      <c r="AG556">
        <v>10.259168000000001</v>
      </c>
      <c r="AH556">
        <v>74.676851934906196</v>
      </c>
      <c r="AI556">
        <v>82.483772614464598</v>
      </c>
      <c r="AJ556">
        <v>73.821979797233993</v>
      </c>
      <c r="AK556">
        <v>78.429817621982295</v>
      </c>
      <c r="AL556">
        <v>90.921758678902506</v>
      </c>
      <c r="AM556">
        <v>92.783756541463205</v>
      </c>
      <c r="AN556">
        <v>1.0000000057395999</v>
      </c>
    </row>
    <row r="557" spans="1:40" x14ac:dyDescent="0.25">
      <c r="A557" t="str">
        <f>"20190305135549439"</f>
        <v>20190305135549439</v>
      </c>
      <c r="B557" t="str">
        <f>"1551765349432120"</f>
        <v>1551765349432120</v>
      </c>
      <c r="C557" t="s">
        <v>40</v>
      </c>
      <c r="D557">
        <v>4.0015269999999896</v>
      </c>
      <c r="E557">
        <v>0.51771739999999999</v>
      </c>
      <c r="F557" t="s">
        <v>47</v>
      </c>
      <c r="G557">
        <v>0</v>
      </c>
      <c r="H557">
        <v>0</v>
      </c>
      <c r="I557">
        <v>0</v>
      </c>
      <c r="J557">
        <v>-307.2989</v>
      </c>
      <c r="K557">
        <v>1.060284</v>
      </c>
      <c r="L557">
        <v>368.274</v>
      </c>
      <c r="M557">
        <v>0.99971489999999996</v>
      </c>
      <c r="N557">
        <v>-1.2293699999999999E-2</v>
      </c>
      <c r="O557">
        <v>-2.0469020000000001E-2</v>
      </c>
      <c r="P557">
        <v>0.99918709999999999</v>
      </c>
      <c r="Q557">
        <v>-2.874401E-2</v>
      </c>
      <c r="R557">
        <v>2.8269579999999999E-2</v>
      </c>
      <c r="S557">
        <v>3.0208740000000001</v>
      </c>
      <c r="T557">
        <v>0.20229939999999999</v>
      </c>
      <c r="U557">
        <v>-0.44342039999999999</v>
      </c>
      <c r="V557">
        <v>-4.8727189999999997E-2</v>
      </c>
      <c r="W557">
        <v>-1.6439990000000002E-2</v>
      </c>
      <c r="X557">
        <v>0.99867680000000003</v>
      </c>
      <c r="Y557">
        <v>0.1247858</v>
      </c>
      <c r="Z557">
        <v>1.7681379999999901E-3</v>
      </c>
      <c r="AA557">
        <v>0.99218209999999996</v>
      </c>
      <c r="AB557">
        <v>45</v>
      </c>
      <c r="AC557">
        <v>3.0208740000000001</v>
      </c>
      <c r="AD557">
        <v>0.20229939999999999</v>
      </c>
      <c r="AE557">
        <v>-0.44342039999999999</v>
      </c>
      <c r="AF557">
        <v>0.37982105997240101</v>
      </c>
      <c r="AG557">
        <v>0.20229939999999999</v>
      </c>
      <c r="AH557">
        <v>3.0160774343602701</v>
      </c>
      <c r="AI557">
        <v>86.192690701344105</v>
      </c>
      <c r="AJ557">
        <v>82.822404148303306</v>
      </c>
      <c r="AK557">
        <v>3.0466230772604801</v>
      </c>
      <c r="AL557">
        <v>90.941984495037403</v>
      </c>
      <c r="AM557">
        <v>92.793346180973899</v>
      </c>
      <c r="AN557">
        <v>0.99999998158736703</v>
      </c>
    </row>
    <row r="558" spans="1:40" x14ac:dyDescent="0.25">
      <c r="A558" t="str">
        <f>"20190305135549461"</f>
        <v>20190305135549461</v>
      </c>
      <c r="B558" t="str">
        <f>"1551765349452616"</f>
        <v>1551765349452616</v>
      </c>
      <c r="C558" t="s">
        <v>40</v>
      </c>
      <c r="D558">
        <v>3.9682559999999998</v>
      </c>
      <c r="E558">
        <v>0.52016960000000001</v>
      </c>
      <c r="F558" t="s">
        <v>42</v>
      </c>
      <c r="G558">
        <v>-273.92970000000003</v>
      </c>
      <c r="H558" s="1">
        <v>-2.9363799999999998E-6</v>
      </c>
      <c r="I558">
        <v>367.64359999999999</v>
      </c>
      <c r="J558">
        <v>-306.8614</v>
      </c>
      <c r="K558">
        <v>1.0599730000000001</v>
      </c>
      <c r="L558">
        <v>368.26499999999999</v>
      </c>
      <c r="M558">
        <v>0.99971849999999995</v>
      </c>
      <c r="N558">
        <v>-1.179581E-2</v>
      </c>
      <c r="O558">
        <v>-2.0589630000000001E-2</v>
      </c>
      <c r="P558">
        <v>0.99920120000000001</v>
      </c>
      <c r="Q558">
        <v>-2.8426219999999999E-2</v>
      </c>
      <c r="R558">
        <v>2.8090150000000001E-2</v>
      </c>
      <c r="S558">
        <v>3.001312</v>
      </c>
      <c r="T558">
        <v>-9.5364809999999994E-2</v>
      </c>
      <c r="U558">
        <v>-5.6701660000000001E-2</v>
      </c>
      <c r="V558">
        <v>-4.8668000000000003E-2</v>
      </c>
      <c r="W558">
        <v>-1.6620670000000001E-2</v>
      </c>
      <c r="X558">
        <v>0.99867669999999997</v>
      </c>
      <c r="Y558">
        <v>-1.6971989999999999E-3</v>
      </c>
      <c r="Z558">
        <v>4.4805769999999999E-4</v>
      </c>
      <c r="AA558">
        <v>0.99999850000000001</v>
      </c>
      <c r="AB558">
        <v>45</v>
      </c>
      <c r="AC558">
        <v>32.9316999999999</v>
      </c>
      <c r="AD558">
        <v>-1.0599759363799901</v>
      </c>
      <c r="AE558">
        <v>-0.62139999999999396</v>
      </c>
      <c r="AF558">
        <v>-5.6771596900491397E-2</v>
      </c>
      <c r="AG558">
        <v>-1.0599759363799901</v>
      </c>
      <c r="AH558">
        <v>32.903437021525598</v>
      </c>
      <c r="AI558">
        <v>91.845128251938903</v>
      </c>
      <c r="AJ558">
        <v>90.098858051475005</v>
      </c>
      <c r="AK558">
        <v>32.920554974505201</v>
      </c>
      <c r="AL558">
        <v>90.952338107142097</v>
      </c>
      <c r="AM558">
        <v>92.789958684609203</v>
      </c>
      <c r="AN558">
        <v>0.99999998600906903</v>
      </c>
    </row>
    <row r="559" spans="1:40" x14ac:dyDescent="0.25">
      <c r="A559" t="str">
        <f>"20190305135549483"</f>
        <v>20190305135549483</v>
      </c>
      <c r="B559" t="str">
        <f>"1551765349472132"</f>
        <v>1551765349472132</v>
      </c>
      <c r="C559" t="s">
        <v>40</v>
      </c>
      <c r="D559">
        <v>3.9173369999999998</v>
      </c>
      <c r="E559">
        <v>0.52402769999999999</v>
      </c>
      <c r="F559" t="s">
        <v>42</v>
      </c>
      <c r="G559">
        <v>-273.05459999999999</v>
      </c>
      <c r="H559" s="1">
        <v>-3.3548399999999999E-6</v>
      </c>
      <c r="I559">
        <v>367.40089999999998</v>
      </c>
      <c r="J559">
        <v>-306.4144</v>
      </c>
      <c r="K559">
        <v>1.059714</v>
      </c>
      <c r="L559">
        <v>368.25569999999999</v>
      </c>
      <c r="M559">
        <v>0.99972110000000003</v>
      </c>
      <c r="N559">
        <v>-1.1347930000000001E-2</v>
      </c>
      <c r="O559">
        <v>-2.071342E-2</v>
      </c>
      <c r="P559">
        <v>0.99925850000000005</v>
      </c>
      <c r="Q559">
        <v>-2.7282520000000001E-2</v>
      </c>
      <c r="R559">
        <v>2.717114E-2</v>
      </c>
      <c r="S559">
        <v>3.0018919999999998</v>
      </c>
      <c r="T559">
        <v>-9.4120980000000007E-2</v>
      </c>
      <c r="U559">
        <v>-7.6721189999999995E-2</v>
      </c>
      <c r="V559">
        <v>-4.7873260000000001E-2</v>
      </c>
      <c r="W559">
        <v>-1.592522E-2</v>
      </c>
      <c r="X559">
        <v>0.99872649999999996</v>
      </c>
      <c r="Y559">
        <v>4.8366989999999999E-3</v>
      </c>
      <c r="Z559">
        <v>3.1083670000000001E-4</v>
      </c>
      <c r="AA559">
        <v>0.99998830000000005</v>
      </c>
      <c r="AB559">
        <v>45</v>
      </c>
      <c r="AC559">
        <v>33.3598</v>
      </c>
      <c r="AD559">
        <v>-1.0597173548400001</v>
      </c>
      <c r="AE559">
        <v>-0.854800000000011</v>
      </c>
      <c r="AF559">
        <v>0.163411782071545</v>
      </c>
      <c r="AG559">
        <v>-1.0597173548400001</v>
      </c>
      <c r="AH559">
        <v>33.336730895289797</v>
      </c>
      <c r="AI559">
        <v>91.820699343948803</v>
      </c>
      <c r="AJ559">
        <v>89.719146713109396</v>
      </c>
      <c r="AK559">
        <v>33.353970244449698</v>
      </c>
      <c r="AL559">
        <v>90.912486428191499</v>
      </c>
      <c r="AM559">
        <v>92.744332736511893</v>
      </c>
      <c r="AN559">
        <v>1.0000000417286601</v>
      </c>
    </row>
    <row r="560" spans="1:40" x14ac:dyDescent="0.25">
      <c r="A560" t="str">
        <f>"20190305135549506"</f>
        <v>20190305135549506</v>
      </c>
      <c r="B560" t="str">
        <f>"1551765349502389"</f>
        <v>1551765349502389</v>
      </c>
      <c r="C560" t="s">
        <v>40</v>
      </c>
      <c r="D560">
        <v>3.9626769999999998</v>
      </c>
      <c r="E560">
        <v>0.52606489999999995</v>
      </c>
      <c r="F560" t="s">
        <v>42</v>
      </c>
      <c r="G560">
        <v>-259.38979999999998</v>
      </c>
      <c r="H560" s="1">
        <v>-1.011908E-6</v>
      </c>
      <c r="I560">
        <v>366.54129999999998</v>
      </c>
      <c r="J560">
        <v>-305.95740000000001</v>
      </c>
      <c r="K560">
        <v>1.0594939999999999</v>
      </c>
      <c r="L560">
        <v>368.24610000000001</v>
      </c>
      <c r="M560">
        <v>0.99972309999999998</v>
      </c>
      <c r="N560">
        <v>-1.094737E-2</v>
      </c>
      <c r="O560">
        <v>-2.0840689999999999E-2</v>
      </c>
      <c r="P560">
        <v>0.9993069</v>
      </c>
      <c r="Q560">
        <v>-2.6637419999999998E-2</v>
      </c>
      <c r="R560">
        <v>2.6011610000000001E-2</v>
      </c>
      <c r="S560">
        <v>3.0033569999999998</v>
      </c>
      <c r="T560">
        <v>-6.7681549999999993E-2</v>
      </c>
      <c r="U560">
        <v>-0.1094971</v>
      </c>
      <c r="V560">
        <v>-4.6841420000000002E-2</v>
      </c>
      <c r="W560">
        <v>-1.568114E-2</v>
      </c>
      <c r="X560">
        <v>0.99877919999999998</v>
      </c>
      <c r="Y560">
        <v>1.559353E-2</v>
      </c>
      <c r="Z560" s="1">
        <v>-1.97581E-5</v>
      </c>
      <c r="AA560">
        <v>0.99987839999999995</v>
      </c>
      <c r="AB560">
        <v>45</v>
      </c>
      <c r="AC560">
        <v>46.567599999999999</v>
      </c>
      <c r="AD560">
        <v>-1.059495011908</v>
      </c>
      <c r="AE560">
        <v>-1.7048000000000301</v>
      </c>
      <c r="AF560">
        <v>0.73349165614491996</v>
      </c>
      <c r="AG560">
        <v>-1.059495011908</v>
      </c>
      <c r="AH560">
        <v>46.568942258822197</v>
      </c>
      <c r="AI560">
        <v>91.303156019330402</v>
      </c>
      <c r="AJ560">
        <v>89.097628175149197</v>
      </c>
      <c r="AK560">
        <v>46.586767679196299</v>
      </c>
      <c r="AL560">
        <v>90.898500007490796</v>
      </c>
      <c r="AM560">
        <v>92.685128598718805</v>
      </c>
      <c r="AN560">
        <v>0.99999995356597604</v>
      </c>
    </row>
    <row r="561" spans="1:40" x14ac:dyDescent="0.25">
      <c r="A561" t="str">
        <f>"20190305135549529"</f>
        <v>20190305135549529</v>
      </c>
      <c r="B561" t="str">
        <f>"1551765349521908"</f>
        <v>1551765349521908</v>
      </c>
      <c r="C561" t="s">
        <v>40</v>
      </c>
      <c r="D561">
        <v>3.9421460000000002</v>
      </c>
      <c r="E561">
        <v>0.52716450000000004</v>
      </c>
      <c r="F561" t="s">
        <v>42</v>
      </c>
      <c r="G561">
        <v>-256.00599999999997</v>
      </c>
      <c r="H561" s="1">
        <v>-2.3205640000000001E-6</v>
      </c>
      <c r="I561">
        <v>366.09379999999999</v>
      </c>
      <c r="J561">
        <v>-305.48270000000002</v>
      </c>
      <c r="K561">
        <v>1.059312</v>
      </c>
      <c r="L561">
        <v>368.23610000000002</v>
      </c>
      <c r="M561">
        <v>0.9997239</v>
      </c>
      <c r="N561">
        <v>-1.059307E-2</v>
      </c>
      <c r="O561">
        <v>-2.0972370000000001E-2</v>
      </c>
      <c r="P561">
        <v>0.99933550000000004</v>
      </c>
      <c r="Q561">
        <v>-2.662836E-2</v>
      </c>
      <c r="R561">
        <v>2.489266E-2</v>
      </c>
      <c r="S561">
        <v>3.0037539999999998</v>
      </c>
      <c r="T561">
        <v>-6.3711169999999998E-2</v>
      </c>
      <c r="U561">
        <v>-0.12942500000000001</v>
      </c>
      <c r="V561">
        <v>-4.5854829999999999E-2</v>
      </c>
      <c r="W561">
        <v>-1.6026909999999998E-2</v>
      </c>
      <c r="X561">
        <v>0.99881949999999997</v>
      </c>
      <c r="Y561">
        <v>2.2078E-2</v>
      </c>
      <c r="Z561">
        <v>-1.28608E-4</v>
      </c>
      <c r="AA561">
        <v>0.99975619999999998</v>
      </c>
      <c r="AB561">
        <v>45</v>
      </c>
      <c r="AC561">
        <v>49.476700000000001</v>
      </c>
      <c r="AD561">
        <v>-1.0593143205640001</v>
      </c>
      <c r="AE561">
        <v>-2.1423000000000298</v>
      </c>
      <c r="AF561">
        <v>1.1036218837323299</v>
      </c>
      <c r="AG561">
        <v>-1.0593143205640001</v>
      </c>
      <c r="AH561">
        <v>49.488105203377202</v>
      </c>
      <c r="AI561">
        <v>91.225948990389796</v>
      </c>
      <c r="AJ561">
        <v>88.722472873323696</v>
      </c>
      <c r="AK561">
        <v>49.511742897140401</v>
      </c>
      <c r="AL561">
        <v>90.918313654127104</v>
      </c>
      <c r="AM561">
        <v>92.628547769190106</v>
      </c>
      <c r="AN561">
        <v>0.99999996042936201</v>
      </c>
    </row>
    <row r="562" spans="1:40" x14ac:dyDescent="0.25">
      <c r="A562" t="str">
        <f>"20190305135549551"</f>
        <v>20190305135549551</v>
      </c>
      <c r="B562" t="str">
        <f>"1551765349542405"</f>
        <v>1551765349542405</v>
      </c>
      <c r="C562" t="s">
        <v>40</v>
      </c>
      <c r="D562">
        <v>3.945144</v>
      </c>
      <c r="E562">
        <v>0.52776309999999904</v>
      </c>
      <c r="F562" t="s">
        <v>42</v>
      </c>
      <c r="G562">
        <v>-254.49350000000001</v>
      </c>
      <c r="H562" s="1">
        <v>-3.0151589999999999E-6</v>
      </c>
      <c r="I562">
        <v>365.83609999999999</v>
      </c>
      <c r="J562">
        <v>-305.04390000000001</v>
      </c>
      <c r="K562">
        <v>1.0591759999999999</v>
      </c>
      <c r="L562">
        <v>368.2269</v>
      </c>
      <c r="M562">
        <v>0.9997241</v>
      </c>
      <c r="N562">
        <v>-1.033133E-2</v>
      </c>
      <c r="O562">
        <v>-2.1094020000000002E-2</v>
      </c>
      <c r="P562">
        <v>0.99935779999999996</v>
      </c>
      <c r="Q562">
        <v>-2.6595110000000002E-2</v>
      </c>
      <c r="R562">
        <v>2.4019349999999998E-2</v>
      </c>
      <c r="S562">
        <v>3.0038149999999999</v>
      </c>
      <c r="T562">
        <v>-6.240499E-2</v>
      </c>
      <c r="U562">
        <v>-0.14138789999999901</v>
      </c>
      <c r="V562">
        <v>-4.5103560000000001E-2</v>
      </c>
      <c r="W562">
        <v>-1.6255800000000001E-2</v>
      </c>
      <c r="X562">
        <v>0.99885000000000002</v>
      </c>
      <c r="Y562">
        <v>2.5927909999999998E-2</v>
      </c>
      <c r="Z562">
        <v>-1.8316210000000001E-4</v>
      </c>
      <c r="AA562">
        <v>0.99966379999999999</v>
      </c>
      <c r="AB562">
        <v>45</v>
      </c>
      <c r="AC562">
        <v>50.550400000000003</v>
      </c>
      <c r="AD562">
        <v>-1.0591790151589999</v>
      </c>
      <c r="AE562">
        <v>-2.3908000000000098</v>
      </c>
      <c r="AF562">
        <v>1.3233202310314001</v>
      </c>
      <c r="AG562">
        <v>-1.0591790151589999</v>
      </c>
      <c r="AH562">
        <v>50.567434593921099</v>
      </c>
      <c r="AI562">
        <v>91.199524055565604</v>
      </c>
      <c r="AJ562">
        <v>88.500945052866896</v>
      </c>
      <c r="AK562">
        <v>50.595834591698399</v>
      </c>
      <c r="AL562">
        <v>90.931429801965805</v>
      </c>
      <c r="AM562">
        <v>92.585462616842406</v>
      </c>
      <c r="AN562">
        <v>0.99999995232915495</v>
      </c>
    </row>
    <row r="563" spans="1:40" x14ac:dyDescent="0.25">
      <c r="A563" t="str">
        <f>"20190305135549574"</f>
        <v>20190305135549574</v>
      </c>
      <c r="B563" t="str">
        <f>"1551765349561925"</f>
        <v>1551765349561925</v>
      </c>
      <c r="C563" t="s">
        <v>40</v>
      </c>
      <c r="D563">
        <v>3.956928</v>
      </c>
      <c r="E563">
        <v>0.52821580000000001</v>
      </c>
      <c r="F563" t="s">
        <v>42</v>
      </c>
      <c r="G563">
        <v>-253.04859999999999</v>
      </c>
      <c r="H563" s="1">
        <v>-3.668282E-6</v>
      </c>
      <c r="I563">
        <v>365.64850000000001</v>
      </c>
      <c r="J563">
        <v>-304.57690000000002</v>
      </c>
      <c r="K563">
        <v>1.059061</v>
      </c>
      <c r="L563">
        <v>368.21690000000001</v>
      </c>
      <c r="M563">
        <v>0.99972360000000005</v>
      </c>
      <c r="N563">
        <v>-1.0126670000000001E-2</v>
      </c>
      <c r="O563">
        <v>-2.1221750000000001E-2</v>
      </c>
      <c r="P563">
        <v>0.99937339999999997</v>
      </c>
      <c r="Q563">
        <v>-2.6598569999999998E-2</v>
      </c>
      <c r="R563">
        <v>2.3357900000000001E-2</v>
      </c>
      <c r="S563">
        <v>3.0039060000000002</v>
      </c>
      <c r="T563">
        <v>-6.119144E-2</v>
      </c>
      <c r="U563">
        <v>-0.14895630000000001</v>
      </c>
      <c r="V563">
        <v>-4.4569480000000002E-2</v>
      </c>
      <c r="W563">
        <v>-1.646423E-2</v>
      </c>
      <c r="X563">
        <v>0.99887060000000005</v>
      </c>
      <c r="Y563">
        <v>2.8311070000000001E-2</v>
      </c>
      <c r="Z563">
        <v>-2.1451179999999999E-4</v>
      </c>
      <c r="AA563">
        <v>0.99959920000000002</v>
      </c>
      <c r="AB563">
        <v>46</v>
      </c>
      <c r="AC563">
        <v>51.528300000000002</v>
      </c>
      <c r="AD563">
        <v>-1.059064668282</v>
      </c>
      <c r="AE563">
        <v>-2.5683999999999898</v>
      </c>
      <c r="AF563">
        <v>1.4736238900344401</v>
      </c>
      <c r="AG563">
        <v>-1.059064668282</v>
      </c>
      <c r="AH563">
        <v>51.549481018039202</v>
      </c>
      <c r="AI563">
        <v>91.176474164545397</v>
      </c>
      <c r="AJ563">
        <v>88.362554968717404</v>
      </c>
      <c r="AK563">
        <v>51.581413111411202</v>
      </c>
      <c r="AL563">
        <v>90.943373522480499</v>
      </c>
      <c r="AM563">
        <v>92.554835841370306</v>
      </c>
      <c r="AN563">
        <v>0.99999999248066096</v>
      </c>
    </row>
    <row r="564" spans="1:40" x14ac:dyDescent="0.25">
      <c r="A564" t="str">
        <f>"20190305135549596"</f>
        <v>20190305135549596</v>
      </c>
      <c r="B564" t="str">
        <f>"1551765349592181"</f>
        <v>1551765349592181</v>
      </c>
      <c r="C564" t="s">
        <v>40</v>
      </c>
      <c r="D564">
        <v>3.9747080000000001</v>
      </c>
      <c r="E564">
        <v>0.52818030000000005</v>
      </c>
      <c r="F564" t="s">
        <v>42</v>
      </c>
      <c r="G564">
        <v>-252.75640000000001</v>
      </c>
      <c r="H564" s="1">
        <v>-3.810662E-6</v>
      </c>
      <c r="I564">
        <v>365.55239999999998</v>
      </c>
      <c r="J564">
        <v>-304.11770000000001</v>
      </c>
      <c r="K564">
        <v>1.0589740000000001</v>
      </c>
      <c r="L564">
        <v>368.20710000000003</v>
      </c>
      <c r="M564">
        <v>0.99972229999999995</v>
      </c>
      <c r="N564">
        <v>-9.9871920000000006E-3</v>
      </c>
      <c r="O564">
        <v>-2.1346029999999998E-2</v>
      </c>
      <c r="P564">
        <v>0.99936360000000002</v>
      </c>
      <c r="Q564">
        <v>-2.6719039999999999E-2</v>
      </c>
      <c r="R564">
        <v>2.3631510000000001E-2</v>
      </c>
      <c r="S564">
        <v>3.0038149999999999</v>
      </c>
      <c r="T564">
        <v>-6.1389449999999998E-2</v>
      </c>
      <c r="U564">
        <v>-0.15444949999999999</v>
      </c>
      <c r="V564">
        <v>-4.4967E-2</v>
      </c>
      <c r="W564">
        <v>-1.672444E-2</v>
      </c>
      <c r="X564">
        <v>0.99884839999999997</v>
      </c>
      <c r="Y564">
        <v>3.0011159999999999E-2</v>
      </c>
      <c r="Z564">
        <v>-2.336738E-4</v>
      </c>
      <c r="AA564">
        <v>0.99954949999999998</v>
      </c>
      <c r="AB564">
        <v>46</v>
      </c>
      <c r="AC564">
        <v>51.3613</v>
      </c>
      <c r="AD564">
        <v>-1.058977810662</v>
      </c>
      <c r="AE564">
        <v>-2.65470000000004</v>
      </c>
      <c r="AF564">
        <v>1.5570204260732401</v>
      </c>
      <c r="AG564">
        <v>-1.058977810662</v>
      </c>
      <c r="AH564">
        <v>51.384480290735503</v>
      </c>
      <c r="AI564">
        <v>91.180094589111206</v>
      </c>
      <c r="AJ564">
        <v>88.264390144104198</v>
      </c>
      <c r="AK564">
        <v>51.418970831393203</v>
      </c>
      <c r="AL564">
        <v>90.958284568481204</v>
      </c>
      <c r="AM564">
        <v>92.577649311958197</v>
      </c>
      <c r="AN564">
        <v>0.99999993208243398</v>
      </c>
    </row>
    <row r="565" spans="1:40" x14ac:dyDescent="0.25">
      <c r="A565" t="str">
        <f>"20190305135549618"</f>
        <v>20190305135549618</v>
      </c>
      <c r="B565" t="str">
        <f>"1551765349612677"</f>
        <v>1551765349612677</v>
      </c>
      <c r="C565" t="s">
        <v>40</v>
      </c>
      <c r="D565">
        <v>3.9530729999999998</v>
      </c>
      <c r="E565">
        <v>0.528165199999999</v>
      </c>
      <c r="F565" t="s">
        <v>42</v>
      </c>
      <c r="G565">
        <v>-255.9522</v>
      </c>
      <c r="H565" s="1">
        <v>-2.4052439999999998E-6</v>
      </c>
      <c r="I565">
        <v>365.7466</v>
      </c>
      <c r="J565">
        <v>-303.66609999999997</v>
      </c>
      <c r="K565">
        <v>1.0589139999999999</v>
      </c>
      <c r="L565">
        <v>368.19740000000002</v>
      </c>
      <c r="M565">
        <v>0.99972019999999995</v>
      </c>
      <c r="N565">
        <v>-9.9287439999999998E-3</v>
      </c>
      <c r="O565">
        <v>-2.1466820000000001E-2</v>
      </c>
      <c r="P565">
        <v>0.9993476</v>
      </c>
      <c r="Q565">
        <v>-2.7006849999999999E-2</v>
      </c>
      <c r="R565">
        <v>2.3977149999999999E-2</v>
      </c>
      <c r="S565">
        <v>3.003784</v>
      </c>
      <c r="T565">
        <v>-6.6041710000000003E-2</v>
      </c>
      <c r="U565">
        <v>-0.15344240000000001</v>
      </c>
      <c r="V565">
        <v>-4.5433010000000003E-2</v>
      </c>
      <c r="W565">
        <v>-1.7070979999999999E-2</v>
      </c>
      <c r="X565">
        <v>0.99882150000000003</v>
      </c>
      <c r="Y565">
        <v>2.955603E-2</v>
      </c>
      <c r="Z565">
        <v>-2.1302849999999999E-4</v>
      </c>
      <c r="AA565">
        <v>0.99956310000000004</v>
      </c>
      <c r="AB565">
        <v>46</v>
      </c>
      <c r="AC565">
        <v>47.713899999999903</v>
      </c>
      <c r="AD565">
        <v>-1.0589164052440001</v>
      </c>
      <c r="AE565">
        <v>-2.4508000000000099</v>
      </c>
      <c r="AF565">
        <v>1.42521881506677</v>
      </c>
      <c r="AG565">
        <v>-1.0589164052440001</v>
      </c>
      <c r="AH565">
        <v>47.7320696037985</v>
      </c>
      <c r="AI565">
        <v>91.270308972376696</v>
      </c>
      <c r="AJ565">
        <v>88.289729125271606</v>
      </c>
      <c r="AK565">
        <v>47.765081610795797</v>
      </c>
      <c r="AL565">
        <v>90.978142635011594</v>
      </c>
      <c r="AM565">
        <v>92.604395916739605</v>
      </c>
      <c r="AN565">
        <v>0.99999998280903502</v>
      </c>
    </row>
    <row r="566" spans="1:40" x14ac:dyDescent="0.25">
      <c r="A566" t="str">
        <f>"20190305135549631"</f>
        <v>20190305135549631</v>
      </c>
      <c r="B566" t="str">
        <f>"1551765349622437"</f>
        <v>1551765349622437</v>
      </c>
      <c r="C566" t="s">
        <v>40</v>
      </c>
      <c r="D566">
        <v>3.9287879999999999</v>
      </c>
      <c r="E566">
        <v>0.52824629999999995</v>
      </c>
      <c r="F566" t="s">
        <v>42</v>
      </c>
      <c r="G566">
        <v>-257.56790000000001</v>
      </c>
      <c r="H566" s="1">
        <v>-1.813242E-6</v>
      </c>
      <c r="I566">
        <v>365.85989999999998</v>
      </c>
      <c r="J566">
        <v>-303.39359999999999</v>
      </c>
      <c r="K566">
        <v>1.058894</v>
      </c>
      <c r="L566">
        <v>368.19150000000002</v>
      </c>
      <c r="M566">
        <v>0.99971869999999996</v>
      </c>
      <c r="N566">
        <v>-9.9392779999999993E-3</v>
      </c>
      <c r="O566">
        <v>-2.1539579999999999E-2</v>
      </c>
      <c r="P566">
        <v>0.99932989999999999</v>
      </c>
      <c r="Q566">
        <v>-2.7166880000000001E-2</v>
      </c>
      <c r="R566">
        <v>2.453464E-2</v>
      </c>
      <c r="S566">
        <v>3.0037539999999998</v>
      </c>
      <c r="T566">
        <v>-6.8998580000000004E-2</v>
      </c>
      <c r="U566">
        <v>-0.15231320000000001</v>
      </c>
      <c r="V566">
        <v>-4.6062989999999998E-2</v>
      </c>
      <c r="W566">
        <v>-1.7220639999999999E-2</v>
      </c>
      <c r="X566">
        <v>0.99879010000000001</v>
      </c>
      <c r="Y566">
        <v>2.9108660000000001E-2</v>
      </c>
      <c r="Z566">
        <v>-1.9852819999999999E-4</v>
      </c>
      <c r="AA566">
        <v>0.99957620000000003</v>
      </c>
      <c r="AB566">
        <v>46</v>
      </c>
      <c r="AC566">
        <v>45.825699999999898</v>
      </c>
      <c r="AD566">
        <v>-1.0588958132420001</v>
      </c>
      <c r="AE566">
        <v>-2.3316000000000301</v>
      </c>
      <c r="AF566">
        <v>1.3432286811344101</v>
      </c>
      <c r="AG566">
        <v>-1.0588958132420001</v>
      </c>
      <c r="AH566">
        <v>45.840878538753302</v>
      </c>
      <c r="AI566">
        <v>91.322694073347407</v>
      </c>
      <c r="AJ566">
        <v>88.321600247455805</v>
      </c>
      <c r="AK566">
        <v>45.872776990692998</v>
      </c>
      <c r="AL566">
        <v>90.986718758674201</v>
      </c>
      <c r="AM566">
        <v>92.640540940539196</v>
      </c>
      <c r="AN566">
        <v>1.0000000066738799</v>
      </c>
    </row>
    <row r="567" spans="1:40" x14ac:dyDescent="0.25">
      <c r="A567" t="str">
        <f>"20190305135549643"</f>
        <v>20190305135549643</v>
      </c>
      <c r="B567" t="str">
        <f>"1551765349632197"</f>
        <v>1551765349632197</v>
      </c>
      <c r="C567" t="s">
        <v>40</v>
      </c>
      <c r="D567">
        <v>3.9464229999999998</v>
      </c>
      <c r="E567">
        <v>0.52828909999999996</v>
      </c>
      <c r="F567" t="s">
        <v>42</v>
      </c>
      <c r="G567">
        <v>-257.80680000000001</v>
      </c>
      <c r="H567" s="1">
        <v>-1.7227719999999999E-6</v>
      </c>
      <c r="I567">
        <v>365.89429999999999</v>
      </c>
      <c r="J567">
        <v>-303.13900000000001</v>
      </c>
      <c r="K567">
        <v>1.058889</v>
      </c>
      <c r="L567">
        <v>368.18599999999998</v>
      </c>
      <c r="M567">
        <v>0.99971650000000001</v>
      </c>
      <c r="N567">
        <v>-1.001176E-2</v>
      </c>
      <c r="O567">
        <v>-2.1607660000000001E-2</v>
      </c>
      <c r="P567">
        <v>0.99932080000000001</v>
      </c>
      <c r="Q567">
        <v>-2.72617E-2</v>
      </c>
      <c r="R567">
        <v>2.4797659999999999E-2</v>
      </c>
      <c r="S567">
        <v>3.0038450000000001</v>
      </c>
      <c r="T567">
        <v>-6.9773550000000004E-2</v>
      </c>
      <c r="U567">
        <v>-0.15136720000000001</v>
      </c>
      <c r="V567">
        <v>-4.639302E-2</v>
      </c>
      <c r="W567">
        <v>-1.7243089999999999E-2</v>
      </c>
      <c r="X567">
        <v>0.99877439999999995</v>
      </c>
      <c r="Y567">
        <v>2.8725000000000001E-2</v>
      </c>
      <c r="Z567">
        <v>-1.920766E-4</v>
      </c>
      <c r="AA567">
        <v>0.99958740000000001</v>
      </c>
      <c r="AB567">
        <v>46</v>
      </c>
      <c r="AC567">
        <v>45.3322</v>
      </c>
      <c r="AD567">
        <v>-1.0588907227719999</v>
      </c>
      <c r="AE567">
        <v>-2.2916999999999899</v>
      </c>
      <c r="AF567">
        <v>1.3108797221528301</v>
      </c>
      <c r="AG567">
        <v>-1.0588907227719999</v>
      </c>
      <c r="AH567">
        <v>45.346457086241998</v>
      </c>
      <c r="AI567">
        <v>91.337119347572099</v>
      </c>
      <c r="AJ567">
        <v>88.344149271235906</v>
      </c>
      <c r="AK567">
        <v>45.377756946362098</v>
      </c>
      <c r="AL567">
        <v>90.988005276884493</v>
      </c>
      <c r="AM567">
        <v>92.659474446796494</v>
      </c>
      <c r="AN567">
        <v>0.99999996927641299</v>
      </c>
    </row>
    <row r="568" spans="1:40" x14ac:dyDescent="0.25">
      <c r="A568" t="str">
        <f>"20190305135549661"</f>
        <v>20190305135549661</v>
      </c>
      <c r="B568" t="str">
        <f>"1551765349652697"</f>
        <v>1551765349652697</v>
      </c>
      <c r="C568" t="s">
        <v>40</v>
      </c>
      <c r="D568">
        <v>3.937878</v>
      </c>
      <c r="E568">
        <v>0.5285571</v>
      </c>
      <c r="F568" t="s">
        <v>42</v>
      </c>
      <c r="G568">
        <v>-257.83510000000001</v>
      </c>
      <c r="H568" s="1">
        <v>-1.7080950000000001E-6</v>
      </c>
      <c r="I568">
        <v>365.91320000000002</v>
      </c>
      <c r="J568">
        <v>-302.78320000000002</v>
      </c>
      <c r="K568">
        <v>1.0589040000000001</v>
      </c>
      <c r="L568">
        <v>368.17829999999998</v>
      </c>
      <c r="M568">
        <v>0.99971279999999996</v>
      </c>
      <c r="N568">
        <v>-1.019056E-2</v>
      </c>
      <c r="O568">
        <v>-2.17012E-2</v>
      </c>
      <c r="P568">
        <v>0.99928859999999997</v>
      </c>
      <c r="Q568">
        <v>-2.7717579999999999E-2</v>
      </c>
      <c r="R568">
        <v>2.5581199999999998E-2</v>
      </c>
      <c r="S568">
        <v>3.0039060000000002</v>
      </c>
      <c r="T568">
        <v>-7.0210460000000002E-2</v>
      </c>
      <c r="U568">
        <v>-0.15069579999999999</v>
      </c>
      <c r="V568">
        <v>-4.7269560000000002E-2</v>
      </c>
      <c r="W568">
        <v>-1.7520540000000001E-2</v>
      </c>
      <c r="X568">
        <v>0.99872850000000002</v>
      </c>
      <c r="Y568">
        <v>2.8407499999999999E-2</v>
      </c>
      <c r="Z568">
        <v>-1.909018E-4</v>
      </c>
      <c r="AA568">
        <v>0.99959640000000005</v>
      </c>
      <c r="AB568">
        <v>46</v>
      </c>
      <c r="AC568">
        <v>44.948099999999997</v>
      </c>
      <c r="AD568">
        <v>-1.058905708095</v>
      </c>
      <c r="AE568">
        <v>-2.2650999999999599</v>
      </c>
      <c r="AF568">
        <v>1.2883751521656199</v>
      </c>
      <c r="AG568">
        <v>-1.058905708095</v>
      </c>
      <c r="AH568">
        <v>44.961781095904598</v>
      </c>
      <c r="AI568">
        <v>91.348583921852907</v>
      </c>
      <c r="AJ568">
        <v>88.358644550758697</v>
      </c>
      <c r="AK568">
        <v>44.992698864898003</v>
      </c>
      <c r="AL568">
        <v>91.003904363901796</v>
      </c>
      <c r="AM568">
        <v>92.709772150496505</v>
      </c>
      <c r="AN568">
        <v>0.99999999866836697</v>
      </c>
    </row>
    <row r="569" spans="1:40" x14ac:dyDescent="0.25">
      <c r="A569" t="str">
        <f>"20190305135549684"</f>
        <v>20190305135549684</v>
      </c>
      <c r="B569" t="str">
        <f>"1551765349672213"</f>
        <v>1551765349672213</v>
      </c>
      <c r="C569" t="s">
        <v>40</v>
      </c>
      <c r="D569">
        <v>3.9197000000000002</v>
      </c>
      <c r="E569">
        <v>0.52869259999999996</v>
      </c>
      <c r="F569" t="s">
        <v>42</v>
      </c>
      <c r="G569">
        <v>-257.06869999999998</v>
      </c>
      <c r="H569" s="1">
        <v>-1.9756690000000002E-6</v>
      </c>
      <c r="I569">
        <v>365.88780000000003</v>
      </c>
      <c r="J569">
        <v>-302.31099999999998</v>
      </c>
      <c r="K569">
        <v>1.058951</v>
      </c>
      <c r="L569">
        <v>368.16789999999997</v>
      </c>
      <c r="M569">
        <v>0.99970619999999999</v>
      </c>
      <c r="N569">
        <v>-1.056254E-2</v>
      </c>
      <c r="O569">
        <v>-2.1821420000000001E-2</v>
      </c>
      <c r="P569">
        <v>0.99925299999999995</v>
      </c>
      <c r="Q569">
        <v>-2.8338019999999998E-2</v>
      </c>
      <c r="R569">
        <v>2.6286569999999999E-2</v>
      </c>
      <c r="S569">
        <v>3.004089</v>
      </c>
      <c r="T569">
        <v>-6.9584969999999996E-2</v>
      </c>
      <c r="U569">
        <v>-0.1505127</v>
      </c>
      <c r="V569">
        <v>-4.8094650000000003E-2</v>
      </c>
      <c r="W569">
        <v>-1.7769670000000001E-2</v>
      </c>
      <c r="X569">
        <v>0.99868469999999998</v>
      </c>
      <c r="Y569">
        <v>2.8223350000000001E-2</v>
      </c>
      <c r="Z569">
        <v>-2.0121280000000001E-4</v>
      </c>
      <c r="AA569">
        <v>0.99960159999999998</v>
      </c>
      <c r="AB569">
        <v>46</v>
      </c>
      <c r="AC569">
        <v>45.2423</v>
      </c>
      <c r="AD569">
        <v>-1.0589529756689999</v>
      </c>
      <c r="AE569">
        <v>-2.2800999999999401</v>
      </c>
      <c r="AF569">
        <v>1.2915450335938701</v>
      </c>
      <c r="AG569">
        <v>-1.0589529756689999</v>
      </c>
      <c r="AH569">
        <v>45.256552574906102</v>
      </c>
      <c r="AI569">
        <v>91.339867590236693</v>
      </c>
      <c r="AJ569">
        <v>88.3653195908268</v>
      </c>
      <c r="AK569">
        <v>45.287360498749798</v>
      </c>
      <c r="AL569">
        <v>91.018180689639905</v>
      </c>
      <c r="AM569">
        <v>92.757119589785503</v>
      </c>
      <c r="AN569">
        <v>0.99999999327231004</v>
      </c>
    </row>
    <row r="570" spans="1:40" x14ac:dyDescent="0.25">
      <c r="A570" t="str">
        <f>"20190305135549707"</f>
        <v>20190305135549707</v>
      </c>
      <c r="B570" t="str">
        <f>"1551765349702482"</f>
        <v>1551765349702482</v>
      </c>
      <c r="C570" t="s">
        <v>40</v>
      </c>
      <c r="D570">
        <v>3.8990109999999998</v>
      </c>
      <c r="E570">
        <v>0.52874540000000003</v>
      </c>
      <c r="F570" t="s">
        <v>42</v>
      </c>
      <c r="G570">
        <v>-257.12670000000003</v>
      </c>
      <c r="H570" s="1">
        <v>-1.9469400000000002E-6</v>
      </c>
      <c r="I570">
        <v>365.92149999999998</v>
      </c>
      <c r="J570">
        <v>-301.8553</v>
      </c>
      <c r="K570">
        <v>1.0590079999999999</v>
      </c>
      <c r="L570">
        <v>368.15789999999998</v>
      </c>
      <c r="M570">
        <v>0.99969870000000005</v>
      </c>
      <c r="N570">
        <v>-1.101968E-2</v>
      </c>
      <c r="O570">
        <v>-2.1935719999999999E-2</v>
      </c>
      <c r="P570">
        <v>0.9992335</v>
      </c>
      <c r="Q570">
        <v>-2.854955E-2</v>
      </c>
      <c r="R570">
        <v>2.6785509999999998E-2</v>
      </c>
      <c r="S570">
        <v>3.004181</v>
      </c>
      <c r="T570">
        <v>-7.0406789999999997E-2</v>
      </c>
      <c r="U570">
        <v>-0.14935300000000001</v>
      </c>
      <c r="V570">
        <v>-4.8706770000000003E-2</v>
      </c>
      <c r="W570">
        <v>-1.7524930000000001E-2</v>
      </c>
      <c r="X570">
        <v>0.99865939999999997</v>
      </c>
      <c r="Y570">
        <v>2.7722299999999998E-2</v>
      </c>
      <c r="Z570">
        <v>-2.054937E-4</v>
      </c>
      <c r="AA570">
        <v>0.9996157</v>
      </c>
      <c r="AB570">
        <v>46</v>
      </c>
      <c r="AC570">
        <v>44.728599999999901</v>
      </c>
      <c r="AD570">
        <v>-1.0590099469399901</v>
      </c>
      <c r="AE570">
        <v>-2.2364000000000002</v>
      </c>
      <c r="AF570">
        <v>1.2539470731612901</v>
      </c>
      <c r="AG570">
        <v>-1.0590099469399901</v>
      </c>
      <c r="AH570">
        <v>44.741877871374101</v>
      </c>
      <c r="AI570">
        <v>91.355367128566897</v>
      </c>
      <c r="AJ570">
        <v>88.394634370328106</v>
      </c>
      <c r="AK570">
        <v>44.771972491581899</v>
      </c>
      <c r="AL570">
        <v>91.0041558946007</v>
      </c>
      <c r="AM570">
        <v>92.792226004303302</v>
      </c>
      <c r="AN570">
        <v>1.0000000349118401</v>
      </c>
    </row>
    <row r="571" spans="1:40" x14ac:dyDescent="0.25">
      <c r="A571" t="str">
        <f>"20190305135549730"</f>
        <v>20190305135549730</v>
      </c>
      <c r="B571" t="str">
        <f>"1551765349721992"</f>
        <v>1551765349721992</v>
      </c>
      <c r="C571" t="s">
        <v>40</v>
      </c>
      <c r="D571">
        <v>3.875734</v>
      </c>
      <c r="E571">
        <v>0.528941199999999</v>
      </c>
      <c r="F571" t="s">
        <v>42</v>
      </c>
      <c r="G571">
        <v>-256.101</v>
      </c>
      <c r="H571" s="1">
        <v>-2.314284E-6</v>
      </c>
      <c r="I571">
        <v>365.89949999999999</v>
      </c>
      <c r="J571">
        <v>-301.3784</v>
      </c>
      <c r="K571">
        <v>1.059072</v>
      </c>
      <c r="L571">
        <v>368.14729999999997</v>
      </c>
      <c r="M571">
        <v>0.99969039999999998</v>
      </c>
      <c r="N571">
        <v>-1.152657E-2</v>
      </c>
      <c r="O571">
        <v>-2.2058029999999999E-2</v>
      </c>
      <c r="P571">
        <v>0.99921789999999999</v>
      </c>
      <c r="Q571">
        <v>-2.893215E-2</v>
      </c>
      <c r="R571">
        <v>2.6963580000000001E-2</v>
      </c>
      <c r="S571">
        <v>3.0043030000000002</v>
      </c>
      <c r="T571">
        <v>-6.9536210000000001E-2</v>
      </c>
      <c r="U571">
        <v>-0.1482849</v>
      </c>
      <c r="V571">
        <v>-4.900641E-2</v>
      </c>
      <c r="W571">
        <v>-1.740177E-2</v>
      </c>
      <c r="X571">
        <v>0.9986469</v>
      </c>
      <c r="Y571">
        <v>2.7243409999999999E-2</v>
      </c>
      <c r="Z571">
        <v>-2.1626570000000001E-4</v>
      </c>
      <c r="AA571">
        <v>0.99962879999999998</v>
      </c>
      <c r="AB571">
        <v>46</v>
      </c>
      <c r="AC571">
        <v>45.2774</v>
      </c>
      <c r="AD571">
        <v>-1.059074314284</v>
      </c>
      <c r="AE571">
        <v>-2.2477999999999798</v>
      </c>
      <c r="AF571">
        <v>1.24777556019862</v>
      </c>
      <c r="AG571">
        <v>-1.059074314284</v>
      </c>
      <c r="AH571">
        <v>45.291248273000498</v>
      </c>
      <c r="AI571">
        <v>91.339031969897903</v>
      </c>
      <c r="AJ571">
        <v>88.421898342751106</v>
      </c>
      <c r="AK571">
        <v>45.320809264380699</v>
      </c>
      <c r="AL571">
        <v>90.997098264956094</v>
      </c>
      <c r="AM571">
        <v>92.809411219746707</v>
      </c>
      <c r="AN571">
        <v>1.0000000403499101</v>
      </c>
    </row>
    <row r="572" spans="1:40" x14ac:dyDescent="0.25">
      <c r="A572" t="str">
        <f>"20190305135549742"</f>
        <v>20190305135549742</v>
      </c>
      <c r="B572" t="str">
        <f>"1551765349731749"</f>
        <v>1551765349731749</v>
      </c>
      <c r="C572" t="s">
        <v>40</v>
      </c>
      <c r="D572">
        <v>3.832748</v>
      </c>
      <c r="E572">
        <v>0.52903559999999905</v>
      </c>
      <c r="F572" t="s">
        <v>42</v>
      </c>
      <c r="G572">
        <v>-255.8407</v>
      </c>
      <c r="H572" s="1">
        <v>-2.4286130000000001E-6</v>
      </c>
      <c r="I572">
        <v>365.88440000000003</v>
      </c>
      <c r="J572">
        <v>-301.11779999999999</v>
      </c>
      <c r="K572">
        <v>1.0590980000000001</v>
      </c>
      <c r="L572">
        <v>368.14139999999998</v>
      </c>
      <c r="M572">
        <v>0.99968559999999995</v>
      </c>
      <c r="N572">
        <v>-1.1794270000000001E-2</v>
      </c>
      <c r="O572">
        <v>-2.2126099999999999E-2</v>
      </c>
      <c r="P572">
        <v>0.99921890000000002</v>
      </c>
      <c r="Q572">
        <v>-2.9263620000000001E-2</v>
      </c>
      <c r="R572">
        <v>2.6563349999999999E-2</v>
      </c>
      <c r="S572">
        <v>3.0043639999999998</v>
      </c>
      <c r="T572">
        <v>-6.9872740000000003E-2</v>
      </c>
      <c r="U572">
        <v>-0.14929200000000001</v>
      </c>
      <c r="V572">
        <v>-4.8674439999999999E-2</v>
      </c>
      <c r="W572">
        <v>-1.746611E-2</v>
      </c>
      <c r="X572">
        <v>0.99866200000000005</v>
      </c>
      <c r="Y572">
        <v>2.7508210000000002E-2</v>
      </c>
      <c r="Z572">
        <v>-2.2874249999999999E-4</v>
      </c>
      <c r="AA572">
        <v>0.9996216</v>
      </c>
      <c r="AB572">
        <v>46</v>
      </c>
      <c r="AC572">
        <v>45.277099999999898</v>
      </c>
      <c r="AD572">
        <v>-1.0591004286129999</v>
      </c>
      <c r="AE572">
        <v>-2.2569999999999402</v>
      </c>
      <c r="AF572">
        <v>1.2538876576320599</v>
      </c>
      <c r="AG572">
        <v>-1.0591004286129999</v>
      </c>
      <c r="AH572">
        <v>45.291235874791603</v>
      </c>
      <c r="AI572">
        <v>91.339060356381395</v>
      </c>
      <c r="AJ572">
        <v>88.414171681427106</v>
      </c>
      <c r="AK572">
        <v>45.320966175070197</v>
      </c>
      <c r="AL572">
        <v>91.000785247802298</v>
      </c>
      <c r="AM572">
        <v>92.790368290723904</v>
      </c>
      <c r="AN572">
        <v>1.00000002817592</v>
      </c>
    </row>
    <row r="573" spans="1:40" x14ac:dyDescent="0.25">
      <c r="A573" t="str">
        <f>"20190305135549762"</f>
        <v>20190305135549762</v>
      </c>
      <c r="B573" t="str">
        <f>"1551765349752245"</f>
        <v>1551765349752245</v>
      </c>
      <c r="C573" t="s">
        <v>40</v>
      </c>
      <c r="D573">
        <v>3.7856450000000001</v>
      </c>
      <c r="E573">
        <v>0.52923050000000005</v>
      </c>
      <c r="F573" t="s">
        <v>42</v>
      </c>
      <c r="G573">
        <v>-256.16669999999999</v>
      </c>
      <c r="H573" s="1">
        <v>-2.2904870000000002E-6</v>
      </c>
      <c r="I573">
        <v>365.87479999999999</v>
      </c>
      <c r="J573">
        <v>-300.72030000000001</v>
      </c>
      <c r="K573">
        <v>1.0591299999999999</v>
      </c>
      <c r="L573">
        <v>368.13249999999999</v>
      </c>
      <c r="M573">
        <v>0.99967859999999997</v>
      </c>
      <c r="N573">
        <v>-1.218442E-2</v>
      </c>
      <c r="O573">
        <v>-2.2230469999999999E-2</v>
      </c>
      <c r="P573">
        <v>0.99921660000000001</v>
      </c>
      <c r="Q573">
        <v>-2.9434430000000001E-2</v>
      </c>
      <c r="R573">
        <v>2.6455929999999999E-2</v>
      </c>
      <c r="S573">
        <v>3.0042719999999998</v>
      </c>
      <c r="T573">
        <v>-7.0783970000000002E-2</v>
      </c>
      <c r="U573">
        <v>-0.15148929999999999</v>
      </c>
      <c r="V573">
        <v>-4.8671289999999999E-2</v>
      </c>
      <c r="W573">
        <v>-1.724759E-2</v>
      </c>
      <c r="X573">
        <v>0.9986659</v>
      </c>
      <c r="Y573">
        <v>2.8133869999999998E-2</v>
      </c>
      <c r="Z573">
        <v>-2.5020110000000001E-4</v>
      </c>
      <c r="AA573">
        <v>0.9996041</v>
      </c>
      <c r="AB573">
        <v>46</v>
      </c>
      <c r="AC573">
        <v>44.553600000000003</v>
      </c>
      <c r="AD573">
        <v>-1.059132290487</v>
      </c>
      <c r="AE573">
        <v>-2.2576999999999998</v>
      </c>
      <c r="AF573">
        <v>1.26590741129888</v>
      </c>
      <c r="AG573">
        <v>-1.059132290487</v>
      </c>
      <c r="AH573">
        <v>44.5676601778286</v>
      </c>
      <c r="AI573">
        <v>91.360805993040501</v>
      </c>
      <c r="AJ573">
        <v>88.372998378194495</v>
      </c>
      <c r="AK573">
        <v>44.598213153770402</v>
      </c>
      <c r="AL573">
        <v>90.988263138785797</v>
      </c>
      <c r="AM573">
        <v>92.790177116432503</v>
      </c>
      <c r="AN573">
        <v>0.99999997682693997</v>
      </c>
    </row>
    <row r="574" spans="1:40" x14ac:dyDescent="0.25">
      <c r="A574" t="str">
        <f>"20190305135549786"</f>
        <v>20190305135549786</v>
      </c>
      <c r="B574" t="str">
        <f>"1551765349782501"</f>
        <v>1551765349782501</v>
      </c>
      <c r="C574" t="s">
        <v>40</v>
      </c>
      <c r="D574">
        <v>3.795801</v>
      </c>
      <c r="E574">
        <v>0.52959339999999999</v>
      </c>
      <c r="F574" t="s">
        <v>42</v>
      </c>
      <c r="G574">
        <v>-255.67349999999999</v>
      </c>
      <c r="H574" s="1">
        <v>-2.5089650000000001E-6</v>
      </c>
      <c r="I574">
        <v>365.83589999999998</v>
      </c>
      <c r="J574">
        <v>-300.25119999999998</v>
      </c>
      <c r="K574">
        <v>1.059145</v>
      </c>
      <c r="L574">
        <v>368.12200000000001</v>
      </c>
      <c r="M574">
        <v>0.99967070000000002</v>
      </c>
      <c r="N574">
        <v>-1.2608589999999999E-2</v>
      </c>
      <c r="O574">
        <v>-2.235326E-2</v>
      </c>
      <c r="P574">
        <v>0.99922010000000006</v>
      </c>
      <c r="Q574">
        <v>-2.964872E-2</v>
      </c>
      <c r="R574">
        <v>2.608835E-2</v>
      </c>
      <c r="S574">
        <v>3.0043329999999999</v>
      </c>
      <c r="T574">
        <v>-7.0637229999999995E-2</v>
      </c>
      <c r="U574">
        <v>-0.15316769999999999</v>
      </c>
      <c r="V574">
        <v>-4.8426700000000003E-2</v>
      </c>
      <c r="W574">
        <v>-1.7038459999999998E-2</v>
      </c>
      <c r="X574">
        <v>0.99868140000000005</v>
      </c>
      <c r="Y574">
        <v>2.8566589999999999E-2</v>
      </c>
      <c r="Z574">
        <v>-2.7248319999999997E-4</v>
      </c>
      <c r="AA574">
        <v>0.99959180000000003</v>
      </c>
      <c r="AB574">
        <v>45</v>
      </c>
      <c r="AC574">
        <v>44.577699999999901</v>
      </c>
      <c r="AD574">
        <v>-1.059147508965</v>
      </c>
      <c r="AE574">
        <v>-2.28609999999997</v>
      </c>
      <c r="AF574">
        <v>1.2882672920071301</v>
      </c>
      <c r="AG574">
        <v>-1.059147508965</v>
      </c>
      <c r="AH574">
        <v>44.592558397167799</v>
      </c>
      <c r="AI574">
        <v>91.360047112693096</v>
      </c>
      <c r="AJ574">
        <v>88.345200260890607</v>
      </c>
      <c r="AK574">
        <v>44.623734609131702</v>
      </c>
      <c r="AL574">
        <v>90.976279091778295</v>
      </c>
      <c r="AM574">
        <v>92.776134485980094</v>
      </c>
      <c r="AN574">
        <v>0.99999999654900995</v>
      </c>
    </row>
    <row r="575" spans="1:40" x14ac:dyDescent="0.25">
      <c r="A575" t="str">
        <f>"20190305135549809"</f>
        <v>20190305135549809</v>
      </c>
      <c r="B575" t="str">
        <f>"1551765349802023"</f>
        <v>1551765349802023</v>
      </c>
      <c r="C575" t="s">
        <v>40</v>
      </c>
      <c r="D575">
        <v>3.798384</v>
      </c>
      <c r="E575">
        <v>0.5297191</v>
      </c>
      <c r="F575" t="s">
        <v>42</v>
      </c>
      <c r="G575">
        <v>-254.7653</v>
      </c>
      <c r="H575" s="1">
        <v>-2.9147280000000002E-6</v>
      </c>
      <c r="I575">
        <v>365.7448</v>
      </c>
      <c r="J575">
        <v>-299.77510000000001</v>
      </c>
      <c r="K575">
        <v>1.059156</v>
      </c>
      <c r="L575">
        <v>368.11130000000003</v>
      </c>
      <c r="M575">
        <v>0.99966299999999997</v>
      </c>
      <c r="N575">
        <v>-1.29975E-2</v>
      </c>
      <c r="O575">
        <v>-2.2476630000000001E-2</v>
      </c>
      <c r="P575">
        <v>0.99921629999999995</v>
      </c>
      <c r="Q575">
        <v>-2.9996169999999999E-2</v>
      </c>
      <c r="R575">
        <v>2.5832669999999999E-2</v>
      </c>
      <c r="S575">
        <v>3.0043639999999998</v>
      </c>
      <c r="T575">
        <v>-6.9957019999999995E-2</v>
      </c>
      <c r="U575">
        <v>-0.15701289999999901</v>
      </c>
      <c r="V575">
        <v>-4.829435E-2</v>
      </c>
      <c r="W575">
        <v>-1.6997689999999999E-2</v>
      </c>
      <c r="X575">
        <v>0.99868849999999998</v>
      </c>
      <c r="Y575">
        <v>2.971797E-2</v>
      </c>
      <c r="Z575">
        <v>-3.0818419999999999E-4</v>
      </c>
      <c r="AA575">
        <v>0.99955830000000001</v>
      </c>
      <c r="AB575">
        <v>45</v>
      </c>
      <c r="AC575">
        <v>45.009799999999998</v>
      </c>
      <c r="AD575">
        <v>-1.0591589147280001</v>
      </c>
      <c r="AE575">
        <v>-2.36650000000003</v>
      </c>
      <c r="AF575">
        <v>1.3534007174230001</v>
      </c>
      <c r="AG575">
        <v>-1.0591589147280001</v>
      </c>
      <c r="AH575">
        <v>45.026758118535497</v>
      </c>
      <c r="AI575">
        <v>91.346905021265997</v>
      </c>
      <c r="AJ575">
        <v>88.278339099367699</v>
      </c>
      <c r="AK575">
        <v>45.059543470542103</v>
      </c>
      <c r="AL575">
        <v>90.973942808086804</v>
      </c>
      <c r="AM575">
        <v>92.768539488919401</v>
      </c>
      <c r="AN575">
        <v>0.99999999286975405</v>
      </c>
    </row>
    <row r="576" spans="1:40" x14ac:dyDescent="0.25">
      <c r="A576" t="str">
        <f>"20190305135549831"</f>
        <v>20190305135549831</v>
      </c>
      <c r="B576" t="str">
        <f>"1551765349822517"</f>
        <v>1551765349822517</v>
      </c>
      <c r="C576" t="s">
        <v>40</v>
      </c>
      <c r="D576">
        <v>3.7612930000000002</v>
      </c>
      <c r="E576">
        <v>0.52987320000000004</v>
      </c>
      <c r="F576" t="s">
        <v>42</v>
      </c>
      <c r="G576">
        <v>-254.56659999999999</v>
      </c>
      <c r="H576" s="1">
        <v>-3.0047519999999898E-6</v>
      </c>
      <c r="I576">
        <v>365.71780000000001</v>
      </c>
      <c r="J576">
        <v>-299.3381</v>
      </c>
      <c r="K576">
        <v>1.0591630000000001</v>
      </c>
      <c r="L576">
        <v>368.10129999999998</v>
      </c>
      <c r="M576">
        <v>0.99965630000000005</v>
      </c>
      <c r="N576">
        <v>-1.3315260000000001E-2</v>
      </c>
      <c r="O576">
        <v>-2.2588509999999999E-2</v>
      </c>
      <c r="P576">
        <v>0.99921329999999997</v>
      </c>
      <c r="Q576">
        <v>-3.038565E-2</v>
      </c>
      <c r="R576">
        <v>2.549709E-2</v>
      </c>
      <c r="S576">
        <v>3.0043639999999998</v>
      </c>
      <c r="T576">
        <v>-7.038701E-2</v>
      </c>
      <c r="U576">
        <v>-0.15905759999999999</v>
      </c>
      <c r="V576">
        <v>-4.8070469999999997E-2</v>
      </c>
      <c r="W576">
        <v>-1.706995E-2</v>
      </c>
      <c r="X576">
        <v>0.99869810000000003</v>
      </c>
      <c r="Y576">
        <v>3.0283890000000001E-2</v>
      </c>
      <c r="Z576">
        <v>-3.2823169999999998E-4</v>
      </c>
      <c r="AA576">
        <v>0.99954129999999997</v>
      </c>
      <c r="AB576">
        <v>45</v>
      </c>
      <c r="AC576">
        <v>44.771500000000003</v>
      </c>
      <c r="AD576">
        <v>-1.059166004752</v>
      </c>
      <c r="AE576">
        <v>-2.3834999999999602</v>
      </c>
      <c r="AF576">
        <v>1.3707157575531099</v>
      </c>
      <c r="AG576">
        <v>-1.059166004752</v>
      </c>
      <c r="AH576">
        <v>44.788923121433598</v>
      </c>
      <c r="AI576">
        <v>91.354041263489506</v>
      </c>
      <c r="AJ576">
        <v>88.247072777367194</v>
      </c>
      <c r="AK576">
        <v>44.822408778325602</v>
      </c>
      <c r="AL576">
        <v>90.978083571356393</v>
      </c>
      <c r="AM576">
        <v>92.755698643419706</v>
      </c>
      <c r="AN576">
        <v>1.0000000241113101</v>
      </c>
    </row>
    <row r="577" spans="1:40" x14ac:dyDescent="0.25">
      <c r="A577" t="str">
        <f>"20190305135549852"</f>
        <v>20190305135549852</v>
      </c>
      <c r="B577" t="str">
        <f>"1551765349842037"</f>
        <v>1551765349842037</v>
      </c>
      <c r="C577" t="s">
        <v>40</v>
      </c>
      <c r="D577">
        <v>3.867137</v>
      </c>
      <c r="E577">
        <v>0.5298851</v>
      </c>
      <c r="F577" t="s">
        <v>42</v>
      </c>
      <c r="G577">
        <v>-254.54220000000001</v>
      </c>
      <c r="H577" s="1">
        <v>-3.0186089999999998E-6</v>
      </c>
      <c r="I577">
        <v>365.69869999999997</v>
      </c>
      <c r="J577">
        <v>-298.8981</v>
      </c>
      <c r="K577">
        <v>1.0591630000000001</v>
      </c>
      <c r="L577">
        <v>368.09129999999999</v>
      </c>
      <c r="M577">
        <v>0.99964980000000003</v>
      </c>
      <c r="N577">
        <v>-1.3600060000000001E-2</v>
      </c>
      <c r="O577">
        <v>-2.2701280000000001E-2</v>
      </c>
      <c r="P577">
        <v>0.99918709999999999</v>
      </c>
      <c r="Q577">
        <v>-3.1313279999999999E-2</v>
      </c>
      <c r="R577">
        <v>2.539257E-2</v>
      </c>
      <c r="S577">
        <v>3.0043329999999999</v>
      </c>
      <c r="T577">
        <v>-7.1035150000000005E-2</v>
      </c>
      <c r="U577">
        <v>-0.16113279999999999</v>
      </c>
      <c r="V577">
        <v>-4.8078030000000001E-2</v>
      </c>
      <c r="W577">
        <v>-1.771356E-2</v>
      </c>
      <c r="X577">
        <v>0.99868650000000003</v>
      </c>
      <c r="Y577">
        <v>3.085947E-2</v>
      </c>
      <c r="Z577">
        <v>-3.4696530000000002E-4</v>
      </c>
      <c r="AA577">
        <v>0.99952370000000001</v>
      </c>
      <c r="AB577">
        <v>45</v>
      </c>
      <c r="AC577">
        <v>44.355899999999899</v>
      </c>
      <c r="AD577">
        <v>-1.0591660186089999</v>
      </c>
      <c r="AE577">
        <v>-2.3926000000000101</v>
      </c>
      <c r="AF577">
        <v>1.38416751208628</v>
      </c>
      <c r="AG577">
        <v>-1.0591660186089999</v>
      </c>
      <c r="AH577">
        <v>44.373558867191598</v>
      </c>
      <c r="AI577">
        <v>91.366686303111806</v>
      </c>
      <c r="AJ577">
        <v>88.213322285183494</v>
      </c>
      <c r="AK577">
        <v>44.4077749825029</v>
      </c>
      <c r="AL577">
        <v>91.014965314344707</v>
      </c>
      <c r="AM577">
        <v>92.756163325306005</v>
      </c>
      <c r="AN577">
        <v>0.99999999622940206</v>
      </c>
    </row>
    <row r="578" spans="1:40" x14ac:dyDescent="0.25">
      <c r="A578" t="str">
        <f>"20190305135549875"</f>
        <v>20190305135549875</v>
      </c>
      <c r="B578" t="str">
        <f>"1551765349872293"</f>
        <v>1551765349872293</v>
      </c>
      <c r="C578" t="s">
        <v>40</v>
      </c>
      <c r="D578">
        <v>3.7345280000000001</v>
      </c>
      <c r="E578">
        <v>0.49962889999999999</v>
      </c>
      <c r="F578" t="s">
        <v>42</v>
      </c>
      <c r="G578">
        <v>-255.73509999999999</v>
      </c>
      <c r="H578" s="1">
        <v>-2.4939669999999999E-6</v>
      </c>
      <c r="I578">
        <v>365.77140000000003</v>
      </c>
      <c r="J578">
        <v>-298.4486</v>
      </c>
      <c r="K578">
        <v>1.0591630000000001</v>
      </c>
      <c r="L578">
        <v>368.08100000000002</v>
      </c>
      <c r="M578">
        <v>0.99964359999999997</v>
      </c>
      <c r="N578">
        <v>-1.3857609999999999E-2</v>
      </c>
      <c r="O578">
        <v>-2.2816409999999999E-2</v>
      </c>
      <c r="P578">
        <v>0.99914800000000004</v>
      </c>
      <c r="Q578">
        <v>-3.2453919999999997E-2</v>
      </c>
      <c r="R578">
        <v>2.549653E-2</v>
      </c>
      <c r="S578">
        <v>3.0042420000000001</v>
      </c>
      <c r="T578">
        <v>-7.3720220000000003E-2</v>
      </c>
      <c r="U578">
        <v>-0.16146849999999999</v>
      </c>
      <c r="V578">
        <v>-4.82963E-2</v>
      </c>
      <c r="W578">
        <v>-1.8597550000000001E-2</v>
      </c>
      <c r="X578">
        <v>0.99865990000000004</v>
      </c>
      <c r="Y578">
        <v>3.0856479999999999E-2</v>
      </c>
      <c r="Z578">
        <v>-3.4901350000000002E-4</v>
      </c>
      <c r="AA578">
        <v>0.99952379999999996</v>
      </c>
      <c r="AB578">
        <v>45</v>
      </c>
      <c r="AC578">
        <v>42.713500000000003</v>
      </c>
      <c r="AD578">
        <v>-1.0591654939670001</v>
      </c>
      <c r="AE578">
        <v>-2.3095999999999299</v>
      </c>
      <c r="AF578">
        <v>1.3335187120593699</v>
      </c>
      <c r="AG578">
        <v>-1.0591654939670001</v>
      </c>
      <c r="AH578">
        <v>42.7288832156609</v>
      </c>
      <c r="AI578">
        <v>91.4192688704386</v>
      </c>
      <c r="AJ578">
        <v>88.212445612804302</v>
      </c>
      <c r="AK578">
        <v>42.762805854581302</v>
      </c>
      <c r="AL578">
        <v>91.065622559339204</v>
      </c>
      <c r="AM578">
        <v>92.768730267699198</v>
      </c>
      <c r="AN578">
        <v>0.99999999866385103</v>
      </c>
    </row>
    <row r="579" spans="1:40" x14ac:dyDescent="0.25">
      <c r="A579" t="str">
        <f>"20190305135549897"</f>
        <v>20190305135549897</v>
      </c>
      <c r="B579" t="str">
        <f>"1551765349891814"</f>
        <v>1551765349891814</v>
      </c>
      <c r="C579" t="s">
        <v>40</v>
      </c>
      <c r="D579">
        <v>3.7014939999999998</v>
      </c>
      <c r="E579">
        <v>0.49598969999999998</v>
      </c>
      <c r="F579" t="s">
        <v>42</v>
      </c>
      <c r="G579">
        <v>-271.9151</v>
      </c>
      <c r="H579" s="1">
        <v>-3.5996199999999999E-6</v>
      </c>
      <c r="I579">
        <v>368.77679999999998</v>
      </c>
      <c r="J579">
        <v>-297.9898</v>
      </c>
      <c r="K579">
        <v>1.0591660000000001</v>
      </c>
      <c r="L579">
        <v>368.07049999999998</v>
      </c>
      <c r="M579">
        <v>0.99963780000000002</v>
      </c>
      <c r="N579">
        <v>-1.40882E-2</v>
      </c>
      <c r="O579">
        <v>-2.2934710000000001E-2</v>
      </c>
      <c r="P579">
        <v>0.99912999999999996</v>
      </c>
      <c r="Q579">
        <v>-3.2851810000000002E-2</v>
      </c>
      <c r="R579">
        <v>2.569372E-2</v>
      </c>
      <c r="S579">
        <v>2.9966430000000002</v>
      </c>
      <c r="T579">
        <v>-0.1196198</v>
      </c>
      <c r="U579">
        <v>7.8582760000000001E-2</v>
      </c>
      <c r="V579">
        <v>-4.8611380000000003E-2</v>
      </c>
      <c r="W579">
        <v>-1.8765480000000001E-2</v>
      </c>
      <c r="X579">
        <v>0.99864149999999996</v>
      </c>
      <c r="Y579">
        <v>-4.9076290000000002E-2</v>
      </c>
      <c r="Z579">
        <v>1.916926E-3</v>
      </c>
      <c r="AA579">
        <v>0.99879320000000005</v>
      </c>
      <c r="AB579">
        <v>45</v>
      </c>
      <c r="AC579">
        <v>26.0747</v>
      </c>
      <c r="AD579">
        <v>-1.0591695996199999</v>
      </c>
      <c r="AE579">
        <v>0.70629999999999804</v>
      </c>
      <c r="AF579">
        <v>-1.3020423204851199</v>
      </c>
      <c r="AG579">
        <v>-1.0591695996199999</v>
      </c>
      <c r="AH579">
        <v>26.008755873074701</v>
      </c>
      <c r="AI579">
        <v>92.329087077513506</v>
      </c>
      <c r="AJ579">
        <v>92.865931080071505</v>
      </c>
      <c r="AK579">
        <v>26.0628574126149</v>
      </c>
      <c r="AL579">
        <v>91.075245888010699</v>
      </c>
      <c r="AM579">
        <v>92.786816057293606</v>
      </c>
      <c r="AN579">
        <v>1.00000002751369</v>
      </c>
    </row>
    <row r="580" spans="1:40" x14ac:dyDescent="0.25">
      <c r="A580" t="str">
        <f>"20190305135549911"</f>
        <v>20190305135549911</v>
      </c>
      <c r="B580" t="str">
        <f>"1551765349902550"</f>
        <v>1551765349902550</v>
      </c>
      <c r="C580" t="s">
        <v>40</v>
      </c>
      <c r="D580">
        <v>3.7264219999999999</v>
      </c>
      <c r="E580">
        <v>0.49543900000000002</v>
      </c>
      <c r="F580" t="s">
        <v>42</v>
      </c>
      <c r="G580">
        <v>-266.98140000000001</v>
      </c>
      <c r="H580" s="1">
        <v>-1.3516629999999999E-6</v>
      </c>
      <c r="I580">
        <v>369.19690000000003</v>
      </c>
      <c r="J580">
        <v>-297.70420000000001</v>
      </c>
      <c r="K580">
        <v>1.0591630000000001</v>
      </c>
      <c r="L580">
        <v>368.06380000000001</v>
      </c>
      <c r="M580">
        <v>0.99963409999999997</v>
      </c>
      <c r="N580">
        <v>-1.4218379999999999E-2</v>
      </c>
      <c r="O580">
        <v>-2.3008460000000001E-2</v>
      </c>
      <c r="P580">
        <v>0.99912800000000002</v>
      </c>
      <c r="Q580">
        <v>-3.2947190000000001E-2</v>
      </c>
      <c r="R580">
        <v>2.5652560000000001E-2</v>
      </c>
      <c r="S580">
        <v>2.9964599999999999</v>
      </c>
      <c r="T580">
        <v>-0.10235130000000001</v>
      </c>
      <c r="U580">
        <v>0.1088562</v>
      </c>
      <c r="V580">
        <v>-4.8644270000000003E-2</v>
      </c>
      <c r="W580">
        <v>-1.873097E-2</v>
      </c>
      <c r="X580">
        <v>0.99864050000000004</v>
      </c>
      <c r="Y580">
        <v>-5.9236869999999997E-2</v>
      </c>
      <c r="Z580">
        <v>1.890989E-3</v>
      </c>
      <c r="AA580">
        <v>0.99824210000000002</v>
      </c>
      <c r="AB580">
        <v>45</v>
      </c>
      <c r="AC580">
        <v>30.722799999999999</v>
      </c>
      <c r="AD580">
        <v>-1.0591643516629901</v>
      </c>
      <c r="AE580">
        <v>1.13310000000001</v>
      </c>
      <c r="AF580">
        <v>-1.8375747722783999</v>
      </c>
      <c r="AG580">
        <v>-1.0591643516629901</v>
      </c>
      <c r="AH580">
        <v>30.6522104317044</v>
      </c>
      <c r="AI580">
        <v>91.9754818368028</v>
      </c>
      <c r="AJ580">
        <v>93.4307288252067</v>
      </c>
      <c r="AK580">
        <v>30.725502673138401</v>
      </c>
      <c r="AL580">
        <v>91.073268312789097</v>
      </c>
      <c r="AM580">
        <v>92.788701403348199</v>
      </c>
      <c r="AN580">
        <v>0.99999998124061096</v>
      </c>
    </row>
    <row r="581" spans="1:40" x14ac:dyDescent="0.25">
      <c r="A581" t="str">
        <f>"20190305135549930"</f>
        <v>20190305135549930</v>
      </c>
      <c r="B581" t="str">
        <f>"1551765349922069"</f>
        <v>1551765349922069</v>
      </c>
      <c r="C581" t="s">
        <v>40</v>
      </c>
      <c r="D581">
        <v>3.7342719999999998</v>
      </c>
      <c r="E581">
        <v>0.49520740000000002</v>
      </c>
      <c r="F581" t="s">
        <v>42</v>
      </c>
      <c r="G581">
        <v>-265.13569999999999</v>
      </c>
      <c r="H581" s="1">
        <v>-2.1256189999999999E-6</v>
      </c>
      <c r="I581">
        <v>369.29770000000002</v>
      </c>
      <c r="J581">
        <v>-297.31659999999999</v>
      </c>
      <c r="K581">
        <v>1.0591539999999999</v>
      </c>
      <c r="L581">
        <v>368.05489999999998</v>
      </c>
      <c r="M581">
        <v>0.99962969999999896</v>
      </c>
      <c r="N581">
        <v>-1.4375600000000001E-2</v>
      </c>
      <c r="O581">
        <v>-2.3108980000000001E-2</v>
      </c>
      <c r="P581">
        <v>0.99911419999999995</v>
      </c>
      <c r="Q581">
        <v>-3.3254430000000001E-2</v>
      </c>
      <c r="R581">
        <v>2.5795950000000002E-2</v>
      </c>
      <c r="S581">
        <v>2.9964900000000001</v>
      </c>
      <c r="T581">
        <v>-9.7449179999999996E-2</v>
      </c>
      <c r="U581">
        <v>0.113525399999999</v>
      </c>
      <c r="V581">
        <v>-4.8887470000000002E-2</v>
      </c>
      <c r="W581">
        <v>-1.8881479999999999E-2</v>
      </c>
      <c r="X581">
        <v>0.99862580000000001</v>
      </c>
      <c r="Y581">
        <v>-6.0893469999999998E-2</v>
      </c>
      <c r="Z581">
        <v>1.8466349999999999E-3</v>
      </c>
      <c r="AA581">
        <v>0.99814250000000004</v>
      </c>
      <c r="AB581">
        <v>45</v>
      </c>
      <c r="AC581">
        <v>32.180900000000001</v>
      </c>
      <c r="AD581">
        <v>-1.0591561256190001</v>
      </c>
      <c r="AE581">
        <v>1.2428000000000401</v>
      </c>
      <c r="AF581">
        <v>-1.9840665768197501</v>
      </c>
      <c r="AG581">
        <v>-1.0591561256190001</v>
      </c>
      <c r="AH581">
        <v>32.108851863075898</v>
      </c>
      <c r="AI581">
        <v>91.885703690328498</v>
      </c>
      <c r="AJ581">
        <v>93.535918635664999</v>
      </c>
      <c r="AK581">
        <v>32.1875239781602</v>
      </c>
      <c r="AL581">
        <v>91.0818934147715</v>
      </c>
      <c r="AM581">
        <v>92.802662702080895</v>
      </c>
      <c r="AN581">
        <v>0.99999999171781495</v>
      </c>
    </row>
    <row r="582" spans="1:40" x14ac:dyDescent="0.25">
      <c r="A582" t="str">
        <f>"20190305135549944"</f>
        <v>20190305135549944</v>
      </c>
      <c r="B582" t="str">
        <f>"1551765349931829"</f>
        <v>1551765349931829</v>
      </c>
      <c r="C582" t="s">
        <v>40</v>
      </c>
      <c r="D582">
        <v>3.7262339999999998</v>
      </c>
      <c r="E582">
        <v>0.49533120000000003</v>
      </c>
      <c r="F582" t="s">
        <v>42</v>
      </c>
      <c r="G582">
        <v>-262.44099999999997</v>
      </c>
      <c r="H582" s="1">
        <v>-3.263133E-6</v>
      </c>
      <c r="I582">
        <v>369.40199999999999</v>
      </c>
      <c r="J582">
        <v>-297.04939999999999</v>
      </c>
      <c r="K582">
        <v>1.059151</v>
      </c>
      <c r="L582">
        <v>368.04860000000002</v>
      </c>
      <c r="M582">
        <v>0.99962680000000004</v>
      </c>
      <c r="N582">
        <v>-1.4471990000000001E-2</v>
      </c>
      <c r="O582">
        <v>-2.3177739999999999E-2</v>
      </c>
      <c r="P582">
        <v>0.99910149999999998</v>
      </c>
      <c r="Q582">
        <v>-3.3494980000000001E-2</v>
      </c>
      <c r="R582">
        <v>2.5972249999999999E-2</v>
      </c>
      <c r="S582">
        <v>2.996613</v>
      </c>
      <c r="T582">
        <v>-9.1005559999999999E-2</v>
      </c>
      <c r="U582">
        <v>0.1157532</v>
      </c>
      <c r="V582">
        <v>-4.9132090000000003E-2</v>
      </c>
      <c r="W582">
        <v>-1.9026009999999999E-2</v>
      </c>
      <c r="X582">
        <v>0.99861100000000003</v>
      </c>
      <c r="Y582">
        <v>-6.1706839999999999E-2</v>
      </c>
      <c r="Z582">
        <v>1.7515269999999999E-3</v>
      </c>
      <c r="AA582">
        <v>0.9980928</v>
      </c>
      <c r="AB582">
        <v>45</v>
      </c>
      <c r="AC582">
        <v>34.608400000000003</v>
      </c>
      <c r="AD582">
        <v>-1.059154263133</v>
      </c>
      <c r="AE582">
        <v>1.35339999999996</v>
      </c>
      <c r="AF582">
        <v>-2.15325104106702</v>
      </c>
      <c r="AG582">
        <v>-1.059154263133</v>
      </c>
      <c r="AH582">
        <v>34.535432238493499</v>
      </c>
      <c r="AI582">
        <v>91.753229923563495</v>
      </c>
      <c r="AJ582">
        <v>93.567718570109406</v>
      </c>
      <c r="AK582">
        <v>34.618699826806697</v>
      </c>
      <c r="AL582">
        <v>91.090175917742101</v>
      </c>
      <c r="AM582">
        <v>92.816705636790303</v>
      </c>
      <c r="AN582">
        <v>0.99999994032264194</v>
      </c>
    </row>
    <row r="583" spans="1:40" x14ac:dyDescent="0.25">
      <c r="A583" t="str">
        <f>"20190305135549963"</f>
        <v>20190305135549963</v>
      </c>
      <c r="B583" t="str">
        <f>"1551765349952325"</f>
        <v>1551765349952325</v>
      </c>
      <c r="C583" t="s">
        <v>40</v>
      </c>
      <c r="D583">
        <v>3.730362</v>
      </c>
      <c r="E583">
        <v>0.49543730000000002</v>
      </c>
      <c r="F583" t="s">
        <v>42</v>
      </c>
      <c r="G583">
        <v>-261.21949999999998</v>
      </c>
      <c r="H583" s="1">
        <v>-3.7818540000000002E-6</v>
      </c>
      <c r="I583">
        <v>369.43189999999998</v>
      </c>
      <c r="J583">
        <v>-296.66590000000002</v>
      </c>
      <c r="K583">
        <v>1.059145</v>
      </c>
      <c r="L583">
        <v>368.03969999999998</v>
      </c>
      <c r="M583">
        <v>0.99962260000000003</v>
      </c>
      <c r="N583">
        <v>-1.45982E-2</v>
      </c>
      <c r="O583">
        <v>-2.327483E-2</v>
      </c>
      <c r="P583">
        <v>0.99906640000000002</v>
      </c>
      <c r="Q583">
        <v>-3.4315030000000003E-2</v>
      </c>
      <c r="R583">
        <v>2.6254300000000001E-2</v>
      </c>
      <c r="S583">
        <v>2.9967039999999998</v>
      </c>
      <c r="T583">
        <v>-8.8584300000000005E-2</v>
      </c>
      <c r="U583">
        <v>0.11569210000000001</v>
      </c>
      <c r="V583">
        <v>-4.9510459999999999E-2</v>
      </c>
      <c r="W583">
        <v>-1.9720600000000001E-2</v>
      </c>
      <c r="X583">
        <v>0.99857890000000005</v>
      </c>
      <c r="Y583">
        <v>-6.178438E-2</v>
      </c>
      <c r="Z583">
        <v>1.711993E-3</v>
      </c>
      <c r="AA583">
        <v>0.99808810000000003</v>
      </c>
      <c r="AB583">
        <v>45</v>
      </c>
      <c r="AC583">
        <v>35.446399999999997</v>
      </c>
      <c r="AD583">
        <v>-1.059148781854</v>
      </c>
      <c r="AE583">
        <v>1.3922000000000001</v>
      </c>
      <c r="AF583">
        <v>-2.2149450381387799</v>
      </c>
      <c r="AG583">
        <v>-1.059148781854</v>
      </c>
      <c r="AH583">
        <v>35.3728556456756</v>
      </c>
      <c r="AI583">
        <v>91.711711239400998</v>
      </c>
      <c r="AJ583">
        <v>93.583016585802199</v>
      </c>
      <c r="AK583">
        <v>35.4579567120538</v>
      </c>
      <c r="AL583">
        <v>91.129980395398903</v>
      </c>
      <c r="AM583">
        <v>92.838453058934903</v>
      </c>
      <c r="AN583">
        <v>1.00000000361949</v>
      </c>
    </row>
    <row r="584" spans="1:40" x14ac:dyDescent="0.25">
      <c r="A584" t="str">
        <f>"20190305135549987"</f>
        <v>20190305135549987</v>
      </c>
      <c r="B584" t="str">
        <f>"1551765349982581"</f>
        <v>1551765349982581</v>
      </c>
      <c r="C584" t="s">
        <v>40</v>
      </c>
      <c r="D584">
        <v>3.7150810000000001</v>
      </c>
      <c r="E584">
        <v>0.49570170000000002</v>
      </c>
      <c r="F584" t="s">
        <v>42</v>
      </c>
      <c r="G584">
        <v>-260.23399999999998</v>
      </c>
      <c r="H584" s="1">
        <v>-4.2022210000000001E-6</v>
      </c>
      <c r="I584">
        <v>369.44540000000001</v>
      </c>
      <c r="J584">
        <v>-296.19819999999999</v>
      </c>
      <c r="K584">
        <v>1.0591390000000001</v>
      </c>
      <c r="L584">
        <v>368.02870000000001</v>
      </c>
      <c r="M584">
        <v>0.99961809999999995</v>
      </c>
      <c r="N584">
        <v>-1.4733039999999999E-2</v>
      </c>
      <c r="O584">
        <v>-2.338637E-2</v>
      </c>
      <c r="P584">
        <v>0.99903439999999999</v>
      </c>
      <c r="Q584">
        <v>-3.5054059999999998E-2</v>
      </c>
      <c r="R584">
        <v>2.649317E-2</v>
      </c>
      <c r="S584">
        <v>2.9967649999999999</v>
      </c>
      <c r="T584">
        <v>-8.7121840000000006E-2</v>
      </c>
      <c r="U584">
        <v>0.1156311</v>
      </c>
      <c r="V584">
        <v>-4.9860309999999998E-2</v>
      </c>
      <c r="W584">
        <v>-2.0325860000000001E-2</v>
      </c>
      <c r="X584">
        <v>0.99854929999999997</v>
      </c>
      <c r="Y584">
        <v>-6.1875840000000001E-2</v>
      </c>
      <c r="Z584">
        <v>1.6901799999999999E-3</v>
      </c>
      <c r="AA584">
        <v>0.99808240000000004</v>
      </c>
      <c r="AB584">
        <v>45</v>
      </c>
      <c r="AC584">
        <v>35.964199999999899</v>
      </c>
      <c r="AD584">
        <v>-1.0591432022209999</v>
      </c>
      <c r="AE584">
        <v>1.4166999999999901</v>
      </c>
      <c r="AF584">
        <v>-2.2555225165957302</v>
      </c>
      <c r="AG584">
        <v>-1.0591432022209999</v>
      </c>
      <c r="AH584">
        <v>35.890147407660002</v>
      </c>
      <c r="AI584">
        <v>91.687021457241002</v>
      </c>
      <c r="AJ584">
        <v>93.596033943941606</v>
      </c>
      <c r="AK584">
        <v>35.976545791518703</v>
      </c>
      <c r="AL584">
        <v>91.164666258296094</v>
      </c>
      <c r="AM584">
        <v>92.858561534383696</v>
      </c>
      <c r="AN584">
        <v>0.99999994781426105</v>
      </c>
    </row>
    <row r="585" spans="1:40" x14ac:dyDescent="0.25">
      <c r="A585" t="str">
        <f>"20190305135550010"</f>
        <v>20190305135550010</v>
      </c>
      <c r="B585" t="str">
        <f>"1551765350002101"</f>
        <v>1551765350002101</v>
      </c>
      <c r="C585" t="s">
        <v>40</v>
      </c>
      <c r="D585">
        <v>3.7376100000000001</v>
      </c>
      <c r="E585">
        <v>0.49591839999999998</v>
      </c>
      <c r="F585" t="s">
        <v>42</v>
      </c>
      <c r="G585">
        <v>-259.392</v>
      </c>
      <c r="H585" s="1">
        <v>-2.7579880000000001E-7</v>
      </c>
      <c r="I585">
        <v>369.4323</v>
      </c>
      <c r="J585">
        <v>-295.73270000000002</v>
      </c>
      <c r="K585">
        <v>1.0591379999999999</v>
      </c>
      <c r="L585">
        <v>368.01769999999999</v>
      </c>
      <c r="M585">
        <v>0.999614</v>
      </c>
      <c r="N585">
        <v>-1.484808E-2</v>
      </c>
      <c r="O585">
        <v>-2.348362E-2</v>
      </c>
      <c r="P585">
        <v>0.99900940000000005</v>
      </c>
      <c r="Q585">
        <v>-3.5569509999999999E-2</v>
      </c>
      <c r="R585">
        <v>2.6745990000000001E-2</v>
      </c>
      <c r="S585">
        <v>2.9968870000000001</v>
      </c>
      <c r="T585">
        <v>-8.6238620000000002E-2</v>
      </c>
      <c r="U585">
        <v>0.1142883</v>
      </c>
      <c r="V585">
        <v>-5.0209379999999998E-2</v>
      </c>
      <c r="W585">
        <v>-2.0727849999999999E-2</v>
      </c>
      <c r="X585">
        <v>0.99852359999999896</v>
      </c>
      <c r="Y585">
        <v>-6.152577E-2</v>
      </c>
      <c r="Z585">
        <v>1.6687150000000001E-3</v>
      </c>
      <c r="AA585">
        <v>0.99810410000000005</v>
      </c>
      <c r="AB585">
        <v>45</v>
      </c>
      <c r="AC585">
        <v>36.340699999999998</v>
      </c>
      <c r="AD585">
        <v>-1.0591382757987999</v>
      </c>
      <c r="AE585">
        <v>1.4146000000000001</v>
      </c>
      <c r="AF585">
        <v>-2.2657933545153699</v>
      </c>
      <c r="AG585">
        <v>-1.0591382757987999</v>
      </c>
      <c r="AH585">
        <v>36.266693443819698</v>
      </c>
      <c r="AI585">
        <v>91.669546291674905</v>
      </c>
      <c r="AJ585">
        <v>93.574957409265295</v>
      </c>
      <c r="AK585">
        <v>36.352835470711597</v>
      </c>
      <c r="AL585">
        <v>91.187703378776206</v>
      </c>
      <c r="AM585">
        <v>92.8786146287961</v>
      </c>
      <c r="AN585">
        <v>1.0000000026812801</v>
      </c>
    </row>
    <row r="586" spans="1:40" x14ac:dyDescent="0.25">
      <c r="A586" t="str">
        <f>"20190305135550031"</f>
        <v>20190305135550031</v>
      </c>
      <c r="B586" t="str">
        <f>"1551765350022601"</f>
        <v>1551765350022601</v>
      </c>
      <c r="C586" t="s">
        <v>40</v>
      </c>
      <c r="D586">
        <v>3.7649379999999999</v>
      </c>
      <c r="E586">
        <v>0.49584270000000003</v>
      </c>
      <c r="F586" t="s">
        <v>42</v>
      </c>
      <c r="G586">
        <v>-259.19670000000002</v>
      </c>
      <c r="H586" s="1">
        <v>-3.6471759999999998E-7</v>
      </c>
      <c r="I586">
        <v>369.40320000000003</v>
      </c>
      <c r="J586">
        <v>-295.30489999999998</v>
      </c>
      <c r="K586">
        <v>1.0591549999999901</v>
      </c>
      <c r="L586">
        <v>368.00760000000002</v>
      </c>
      <c r="M586">
        <v>0.99961100000000003</v>
      </c>
      <c r="N586">
        <v>-1.493795E-2</v>
      </c>
      <c r="O586">
        <v>-2.3551369999999999E-2</v>
      </c>
      <c r="P586">
        <v>0.99900440000000001</v>
      </c>
      <c r="Q586">
        <v>-3.5621090000000001E-2</v>
      </c>
      <c r="R586">
        <v>2.686239E-2</v>
      </c>
      <c r="S586">
        <v>2.9968569999999999</v>
      </c>
      <c r="T586">
        <v>-8.6875439999999998E-2</v>
      </c>
      <c r="U586">
        <v>0.113647499999999</v>
      </c>
      <c r="V586">
        <v>-5.039225E-2</v>
      </c>
      <c r="W586">
        <v>-2.069151E-2</v>
      </c>
      <c r="X586">
        <v>0.99851509999999999</v>
      </c>
      <c r="Y586">
        <v>-6.1380190000000001E-2</v>
      </c>
      <c r="Z586">
        <v>1.6786640000000001E-3</v>
      </c>
      <c r="AA586">
        <v>0.99811300000000003</v>
      </c>
      <c r="AB586">
        <v>45</v>
      </c>
      <c r="AC586">
        <v>36.108199999999897</v>
      </c>
      <c r="AD586">
        <v>-1.05915536471759</v>
      </c>
      <c r="AE586">
        <v>1.3956</v>
      </c>
      <c r="AF586">
        <v>-2.24377760511469</v>
      </c>
      <c r="AG586">
        <v>-1.05915536471759</v>
      </c>
      <c r="AH586">
        <v>36.034352172924997</v>
      </c>
      <c r="AI586">
        <v>91.680353805857905</v>
      </c>
      <c r="AJ586">
        <v>93.563078339819498</v>
      </c>
      <c r="AK586">
        <v>36.119674480125198</v>
      </c>
      <c r="AL586">
        <v>91.185620852710898</v>
      </c>
      <c r="AM586">
        <v>92.889105791432101</v>
      </c>
      <c r="AN586">
        <v>0.99999996118707501</v>
      </c>
    </row>
    <row r="587" spans="1:40" x14ac:dyDescent="0.25">
      <c r="A587" t="str">
        <f>"20190305135550044"</f>
        <v>20190305135550044</v>
      </c>
      <c r="B587" t="str">
        <f>"1551765350032358"</f>
        <v>1551765350032358</v>
      </c>
      <c r="C587" t="s">
        <v>40</v>
      </c>
      <c r="D587">
        <v>3.77833</v>
      </c>
      <c r="E587">
        <v>0.49588110000000002</v>
      </c>
      <c r="F587" t="s">
        <v>42</v>
      </c>
      <c r="G587">
        <v>-258.68299999999999</v>
      </c>
      <c r="H587" s="1">
        <v>-5.8448849999999997E-7</v>
      </c>
      <c r="I587">
        <v>369.40679999999998</v>
      </c>
      <c r="J587">
        <v>-295.03559999999999</v>
      </c>
      <c r="K587">
        <v>1.059172</v>
      </c>
      <c r="L587">
        <v>368.00119999999998</v>
      </c>
      <c r="M587">
        <v>0.99960950000000004</v>
      </c>
      <c r="N587">
        <v>-1.498768E-2</v>
      </c>
      <c r="O587">
        <v>-2.35848E-2</v>
      </c>
      <c r="P587">
        <v>0.99900409999999995</v>
      </c>
      <c r="Q587">
        <v>-3.5696569999999997E-2</v>
      </c>
      <c r="R587">
        <v>2.6773749999999999E-2</v>
      </c>
      <c r="S587">
        <v>2.996826</v>
      </c>
      <c r="T587">
        <v>-8.6671949999999998E-2</v>
      </c>
      <c r="U587">
        <v>0.11450200000000001</v>
      </c>
      <c r="V587">
        <v>-5.0336510000000001E-2</v>
      </c>
      <c r="W587">
        <v>-2.071866E-2</v>
      </c>
      <c r="X587">
        <v>0.9985174</v>
      </c>
      <c r="Y587">
        <v>-6.1698089999999997E-2</v>
      </c>
      <c r="Z587">
        <v>1.682797E-3</v>
      </c>
      <c r="AA587">
        <v>0.99809340000000002</v>
      </c>
      <c r="AB587">
        <v>45</v>
      </c>
      <c r="AC587">
        <v>36.352600000000002</v>
      </c>
      <c r="AD587">
        <v>-1.0591725844885</v>
      </c>
      <c r="AE587">
        <v>1.40559999999999</v>
      </c>
      <c r="AF587">
        <v>-2.2607577129363601</v>
      </c>
      <c r="AG587">
        <v>-1.0591725844885</v>
      </c>
      <c r="AH587">
        <v>36.278580031694602</v>
      </c>
      <c r="AI587">
        <v>91.669070125442005</v>
      </c>
      <c r="AJ587">
        <v>93.565867022299599</v>
      </c>
      <c r="AK587">
        <v>36.364381489534502</v>
      </c>
      <c r="AL587">
        <v>91.187176705678297</v>
      </c>
      <c r="AM587">
        <v>92.885908855638206</v>
      </c>
      <c r="AN587">
        <v>1.0000000126069599</v>
      </c>
    </row>
    <row r="588" spans="1:40" x14ac:dyDescent="0.25">
      <c r="A588" t="str">
        <f>"20190305135550064"</f>
        <v>20190305135550064</v>
      </c>
      <c r="B588" t="str">
        <f>"1551765350051877"</f>
        <v>1551765350051877</v>
      </c>
      <c r="C588" t="s">
        <v>40</v>
      </c>
      <c r="D588">
        <v>3.7977660000000002</v>
      </c>
      <c r="E588">
        <v>0.49590230000000002</v>
      </c>
      <c r="F588" t="s">
        <v>42</v>
      </c>
      <c r="G588">
        <v>-258.43220000000002</v>
      </c>
      <c r="H588" s="1">
        <v>-6.9493849999999895E-7</v>
      </c>
      <c r="I588">
        <v>369.39080000000001</v>
      </c>
      <c r="J588">
        <v>-294.64679999999998</v>
      </c>
      <c r="K588">
        <v>1.0591980000000001</v>
      </c>
      <c r="L588">
        <v>367.99200000000002</v>
      </c>
      <c r="M588">
        <v>0.99960749999999998</v>
      </c>
      <c r="N588">
        <v>-1.5052619999999999E-2</v>
      </c>
      <c r="O588">
        <v>-2.3623729999999999E-2</v>
      </c>
      <c r="P588">
        <v>0.99901960000000001</v>
      </c>
      <c r="Q588">
        <v>-3.5521879999999999E-2</v>
      </c>
      <c r="R588">
        <v>2.6424139999999999E-2</v>
      </c>
      <c r="S588">
        <v>2.9968870000000001</v>
      </c>
      <c r="T588">
        <v>-8.6719039999999997E-2</v>
      </c>
      <c r="U588">
        <v>0.1137695</v>
      </c>
      <c r="V588">
        <v>-5.0025359999999998E-2</v>
      </c>
      <c r="W588">
        <v>-2.048086E-2</v>
      </c>
      <c r="X588">
        <v>0.99853800000000004</v>
      </c>
      <c r="Y588">
        <v>-6.1492690000000003E-2</v>
      </c>
      <c r="Z588">
        <v>1.6801190000000001E-3</v>
      </c>
      <c r="AA588">
        <v>0.9981061</v>
      </c>
      <c r="AB588">
        <v>45</v>
      </c>
      <c r="AC588">
        <v>36.214599999999898</v>
      </c>
      <c r="AD588">
        <v>-1.0591986949384999</v>
      </c>
      <c r="AE588">
        <v>1.39880000000005</v>
      </c>
      <c r="AF588">
        <v>-2.2521068227667098</v>
      </c>
      <c r="AG588">
        <v>-1.0591986949384999</v>
      </c>
      <c r="AH588">
        <v>36.140572453877702</v>
      </c>
      <c r="AI588">
        <v>91.675481490560003</v>
      </c>
      <c r="AJ588">
        <v>93.565786912367798</v>
      </c>
      <c r="AK588">
        <v>36.226162704742798</v>
      </c>
      <c r="AL588">
        <v>91.173548810463004</v>
      </c>
      <c r="AM588">
        <v>92.868040711764493</v>
      </c>
      <c r="AN588">
        <v>1.00000006985673</v>
      </c>
    </row>
    <row r="589" spans="1:40" x14ac:dyDescent="0.25">
      <c r="A589" t="str">
        <f>"20190305135550087"</f>
        <v>20190305135550087</v>
      </c>
      <c r="B589" t="str">
        <f>"1551765350082134"</f>
        <v>1551765350082134</v>
      </c>
      <c r="C589" t="s">
        <v>40</v>
      </c>
      <c r="D589">
        <v>3.7985099999999998</v>
      </c>
      <c r="E589">
        <v>0.49590469999999998</v>
      </c>
      <c r="F589" t="s">
        <v>42</v>
      </c>
      <c r="G589">
        <v>-257.93669999999997</v>
      </c>
      <c r="H589" s="1">
        <v>-9.1085800000000004E-7</v>
      </c>
      <c r="I589">
        <v>369.37180000000001</v>
      </c>
      <c r="J589">
        <v>-294.19380000000001</v>
      </c>
      <c r="K589">
        <v>1.059223</v>
      </c>
      <c r="L589">
        <v>367.98129999999998</v>
      </c>
      <c r="M589">
        <v>0.99960599999999999</v>
      </c>
      <c r="N589">
        <v>-1.5118039999999999E-2</v>
      </c>
      <c r="O589">
        <v>-2.3654390000000001E-2</v>
      </c>
      <c r="P589">
        <v>0.99905520000000003</v>
      </c>
      <c r="Q589">
        <v>-3.498685E-2</v>
      </c>
      <c r="R589">
        <v>2.579205E-2</v>
      </c>
      <c r="S589">
        <v>2.9968569999999999</v>
      </c>
      <c r="T589">
        <v>-8.6468219999999998E-2</v>
      </c>
      <c r="U589">
        <v>0.1126404</v>
      </c>
      <c r="V589">
        <v>-4.9424120000000002E-2</v>
      </c>
      <c r="W589">
        <v>-1.9882150000000001E-2</v>
      </c>
      <c r="X589">
        <v>0.99858000000000002</v>
      </c>
      <c r="Y589">
        <v>-6.1148569999999999E-2</v>
      </c>
      <c r="Z589">
        <v>1.668917E-3</v>
      </c>
      <c r="AA589">
        <v>0.99812730000000005</v>
      </c>
      <c r="AB589">
        <v>45</v>
      </c>
      <c r="AC589">
        <v>36.257100000000001</v>
      </c>
      <c r="AD589">
        <v>-1.0592239108579999</v>
      </c>
      <c r="AE589">
        <v>1.39050000000003</v>
      </c>
      <c r="AF589">
        <v>-2.24593432208016</v>
      </c>
      <c r="AG589">
        <v>-1.0592239108579999</v>
      </c>
      <c r="AH589">
        <v>36.183221585323302</v>
      </c>
      <c r="AI589">
        <v>91.6735728320634</v>
      </c>
      <c r="AJ589">
        <v>93.551858268889902</v>
      </c>
      <c r="AK589">
        <v>36.2683291669886</v>
      </c>
      <c r="AL589">
        <v>91.139238313713093</v>
      </c>
      <c r="AM589">
        <v>92.833508112223399</v>
      </c>
      <c r="AN589">
        <v>1.0000000299631899</v>
      </c>
    </row>
    <row r="590" spans="1:40" x14ac:dyDescent="0.25">
      <c r="A590" t="str">
        <f>"20190305135550110"</f>
        <v>20190305135550110</v>
      </c>
      <c r="B590" t="str">
        <f>"1551765350102634"</f>
        <v>1551765350102634</v>
      </c>
      <c r="C590" t="s">
        <v>40</v>
      </c>
      <c r="D590">
        <v>3.7959040000000002</v>
      </c>
      <c r="E590">
        <v>0.49585950000000001</v>
      </c>
      <c r="F590" t="s">
        <v>42</v>
      </c>
      <c r="G590">
        <v>-257.1952</v>
      </c>
      <c r="H590" s="1">
        <v>-1.2329469999999999E-6</v>
      </c>
      <c r="I590">
        <v>369.3492</v>
      </c>
      <c r="J590">
        <v>-293.73480000000001</v>
      </c>
      <c r="K590">
        <v>1.059253</v>
      </c>
      <c r="L590">
        <v>367.97039999999998</v>
      </c>
      <c r="M590">
        <v>0.99960499999999997</v>
      </c>
      <c r="N590">
        <v>-1.5174389999999999E-2</v>
      </c>
      <c r="O590">
        <v>-2.3658479999999999E-2</v>
      </c>
      <c r="P590">
        <v>0.99905690000000003</v>
      </c>
      <c r="Q590">
        <v>-3.5136470000000003E-2</v>
      </c>
      <c r="R590">
        <v>2.5516029999999999E-2</v>
      </c>
      <c r="S590">
        <v>2.9969790000000001</v>
      </c>
      <c r="T590">
        <v>-8.5799689999999998E-2</v>
      </c>
      <c r="U590">
        <v>0.1108093</v>
      </c>
      <c r="V590">
        <v>-4.9151180000000003E-2</v>
      </c>
      <c r="W590">
        <v>-1.997788E-2</v>
      </c>
      <c r="X590">
        <v>0.99859149999999997</v>
      </c>
      <c r="Y590">
        <v>-6.0543079999999999E-2</v>
      </c>
      <c r="Z590">
        <v>1.6439579999999901E-3</v>
      </c>
      <c r="AA590">
        <v>0.99816419999999995</v>
      </c>
      <c r="AB590">
        <v>45</v>
      </c>
      <c r="AC590">
        <v>36.5396</v>
      </c>
      <c r="AD590">
        <v>-1.0592542329470001</v>
      </c>
      <c r="AE590">
        <v>1.37880000000001</v>
      </c>
      <c r="AF590">
        <v>-2.24110417403352</v>
      </c>
      <c r="AG590">
        <v>-1.0592542329470001</v>
      </c>
      <c r="AH590">
        <v>36.466144465673104</v>
      </c>
      <c r="AI590">
        <v>91.660705920005199</v>
      </c>
      <c r="AJ590">
        <v>93.516810343413098</v>
      </c>
      <c r="AK590">
        <v>36.550297668284799</v>
      </c>
      <c r="AL590">
        <v>91.144724397932094</v>
      </c>
      <c r="AM590">
        <v>92.817853224484494</v>
      </c>
      <c r="AN590">
        <v>0.999999969028467</v>
      </c>
    </row>
    <row r="591" spans="1:40" x14ac:dyDescent="0.25">
      <c r="A591" t="str">
        <f>"20190305135550130"</f>
        <v>20190305135550130</v>
      </c>
      <c r="B591" t="str">
        <f>"1551765350122150"</f>
        <v>1551765350122150</v>
      </c>
      <c r="C591" t="s">
        <v>40</v>
      </c>
      <c r="D591">
        <v>3.8140350000000001</v>
      </c>
      <c r="E591">
        <v>0.49581639999999999</v>
      </c>
      <c r="F591" t="s">
        <v>42</v>
      </c>
      <c r="G591">
        <v>-257.50889999999998</v>
      </c>
      <c r="H591" s="1">
        <v>-1.1067299999999999E-6</v>
      </c>
      <c r="I591">
        <v>369.3021</v>
      </c>
      <c r="J591">
        <v>-293.31079999999997</v>
      </c>
      <c r="K591">
        <v>1.0592870000000001</v>
      </c>
      <c r="L591">
        <v>367.96039999999999</v>
      </c>
      <c r="M591">
        <v>0.99960519999999997</v>
      </c>
      <c r="N591">
        <v>-1.521815E-2</v>
      </c>
      <c r="O591">
        <v>-2.3620639999999998E-2</v>
      </c>
      <c r="P591">
        <v>0.99906740000000005</v>
      </c>
      <c r="Q591">
        <v>-3.526228E-2</v>
      </c>
      <c r="R591">
        <v>2.4920149999999999E-2</v>
      </c>
      <c r="S591">
        <v>2.9969480000000002</v>
      </c>
      <c r="T591">
        <v>-8.7631459999999994E-2</v>
      </c>
      <c r="U591">
        <v>0.1101685</v>
      </c>
      <c r="V591">
        <v>-4.8516360000000001E-2</v>
      </c>
      <c r="W591">
        <v>-2.006287E-2</v>
      </c>
      <c r="X591">
        <v>0.99862090000000003</v>
      </c>
      <c r="Y591">
        <v>-6.0291110000000002E-2</v>
      </c>
      <c r="Z591">
        <v>1.6710749999999999E-3</v>
      </c>
      <c r="AA591">
        <v>0.99817940000000005</v>
      </c>
      <c r="AB591">
        <v>45</v>
      </c>
      <c r="AC591">
        <v>35.801899999999897</v>
      </c>
      <c r="AD591">
        <v>-1.05928810673</v>
      </c>
      <c r="AE591">
        <v>1.3416999999999999</v>
      </c>
      <c r="AF591">
        <v>-2.1851770054769002</v>
      </c>
      <c r="AG591">
        <v>-1.05928810673</v>
      </c>
      <c r="AH591">
        <v>35.728979284468998</v>
      </c>
      <c r="AI591">
        <v>91.6950349817523</v>
      </c>
      <c r="AJ591">
        <v>93.499838665155906</v>
      </c>
      <c r="AK591">
        <v>35.8114095023966</v>
      </c>
      <c r="AL591">
        <v>91.149594873707699</v>
      </c>
      <c r="AM591">
        <v>92.781434553691497</v>
      </c>
      <c r="AN591">
        <v>1.00000002892854</v>
      </c>
    </row>
    <row r="592" spans="1:40" x14ac:dyDescent="0.25">
      <c r="A592" t="str">
        <f>"20190305135550153"</f>
        <v>20190305135550153</v>
      </c>
      <c r="B592" t="str">
        <f>"1551765350142645"</f>
        <v>1551765350142645</v>
      </c>
      <c r="C592" t="s">
        <v>40</v>
      </c>
      <c r="D592">
        <v>3.8988390000000002</v>
      </c>
      <c r="E592">
        <v>0.49575819999999998</v>
      </c>
      <c r="F592" t="s">
        <v>42</v>
      </c>
      <c r="G592">
        <v>-257.7706</v>
      </c>
      <c r="H592" s="1">
        <v>-1.003368E-6</v>
      </c>
      <c r="I592">
        <v>369.25200000000001</v>
      </c>
      <c r="J592">
        <v>-292.87430000000001</v>
      </c>
      <c r="K592">
        <v>1.059328</v>
      </c>
      <c r="L592">
        <v>367.95010000000002</v>
      </c>
      <c r="M592">
        <v>0.99960640000000001</v>
      </c>
      <c r="N592">
        <v>-1.5256520000000001E-2</v>
      </c>
      <c r="O592">
        <v>-2.3544349999999999E-2</v>
      </c>
      <c r="P592">
        <v>0.99903609999999998</v>
      </c>
      <c r="Q592">
        <v>-3.6063999999999999E-2</v>
      </c>
      <c r="R592">
        <v>2.5029559999999999E-2</v>
      </c>
      <c r="S592">
        <v>2.996918</v>
      </c>
      <c r="T592">
        <v>-8.9323879999999994E-2</v>
      </c>
      <c r="U592">
        <v>0.10891720000000001</v>
      </c>
      <c r="V592">
        <v>-4.85475E-2</v>
      </c>
      <c r="W592">
        <v>-2.083074E-2</v>
      </c>
      <c r="X592">
        <v>0.99860360000000004</v>
      </c>
      <c r="Y592">
        <v>-5.9797980000000001E-2</v>
      </c>
      <c r="Z592">
        <v>1.6894690000000001E-3</v>
      </c>
      <c r="AA592">
        <v>0.99820909999999996</v>
      </c>
      <c r="AB592">
        <v>45</v>
      </c>
      <c r="AC592">
        <v>35.103700000000003</v>
      </c>
      <c r="AD592">
        <v>-1.0593290033679901</v>
      </c>
      <c r="AE592">
        <v>1.3018999999999299</v>
      </c>
      <c r="AF592">
        <v>-2.1261954225798898</v>
      </c>
      <c r="AG592">
        <v>-1.0593290033679901</v>
      </c>
      <c r="AH592">
        <v>35.031452900165696</v>
      </c>
      <c r="AI592">
        <v>91.728880840999693</v>
      </c>
      <c r="AJ592">
        <v>93.473243515640405</v>
      </c>
      <c r="AK592">
        <v>35.111900791738698</v>
      </c>
      <c r="AL592">
        <v>91.193599859963598</v>
      </c>
      <c r="AM592">
        <v>92.783265139526804</v>
      </c>
      <c r="AN592">
        <v>0.99999996470907804</v>
      </c>
    </row>
    <row r="593" spans="1:40" x14ac:dyDescent="0.25">
      <c r="A593" t="str">
        <f>"20190305135550177"</f>
        <v>20190305135550177</v>
      </c>
      <c r="B593" t="str">
        <f>"1551765350171925"</f>
        <v>1551765350171925</v>
      </c>
      <c r="C593" t="s">
        <v>40</v>
      </c>
      <c r="D593">
        <v>3.83399</v>
      </c>
      <c r="E593">
        <v>0.4733735</v>
      </c>
      <c r="F593" t="s">
        <v>42</v>
      </c>
      <c r="G593">
        <v>-258.52089999999998</v>
      </c>
      <c r="H593" s="1">
        <v>-6.8953760000000005E-7</v>
      </c>
      <c r="I593">
        <v>369.20670000000001</v>
      </c>
      <c r="J593">
        <v>-292.40350000000001</v>
      </c>
      <c r="K593">
        <v>1.0593779999999999</v>
      </c>
      <c r="L593">
        <v>367.9391</v>
      </c>
      <c r="M593">
        <v>0.99960910000000003</v>
      </c>
      <c r="N593">
        <v>-1.529134E-2</v>
      </c>
      <c r="O593">
        <v>-2.3407000000000001E-2</v>
      </c>
      <c r="P593">
        <v>0.99901050000000002</v>
      </c>
      <c r="Q593">
        <v>-3.6652200000000003E-2</v>
      </c>
      <c r="R593">
        <v>2.5196409999999999E-2</v>
      </c>
      <c r="S593">
        <v>2.996826</v>
      </c>
      <c r="T593">
        <v>-9.2410450000000005E-2</v>
      </c>
      <c r="U593">
        <v>0.1096191</v>
      </c>
      <c r="V593">
        <v>-4.8574079999999999E-2</v>
      </c>
      <c r="W593">
        <v>-2.1390070000000001E-2</v>
      </c>
      <c r="X593">
        <v>0.99859050000000005</v>
      </c>
      <c r="Y593">
        <v>-5.989266E-2</v>
      </c>
      <c r="Z593">
        <v>1.7447889999999901E-3</v>
      </c>
      <c r="AA593">
        <v>0.99820330000000002</v>
      </c>
      <c r="AB593">
        <v>44</v>
      </c>
      <c r="AC593">
        <v>33.882599999999996</v>
      </c>
      <c r="AD593">
        <v>-1.0593786895376001</v>
      </c>
      <c r="AE593">
        <v>1.2676000000000101</v>
      </c>
      <c r="AF593">
        <v>-2.0584259024224898</v>
      </c>
      <c r="AG593">
        <v>-1.0593786895376001</v>
      </c>
      <c r="AH593">
        <v>33.810634294188503</v>
      </c>
      <c r="AI593">
        <v>91.791330176862601</v>
      </c>
      <c r="AJ593">
        <v>93.483925356089202</v>
      </c>
      <c r="AK593">
        <v>33.889797753586002</v>
      </c>
      <c r="AL593">
        <v>91.2256542325688</v>
      </c>
      <c r="AM593">
        <v>92.784823067759405</v>
      </c>
      <c r="AN593">
        <v>0.99999998151634995</v>
      </c>
    </row>
    <row r="594" spans="1:40" x14ac:dyDescent="0.25">
      <c r="A594" t="str">
        <f>"20190305135550200"</f>
        <v>20190305135550200</v>
      </c>
      <c r="B594" t="str">
        <f>"1551765350192423"</f>
        <v>1551765350192423</v>
      </c>
      <c r="C594" t="s">
        <v>40</v>
      </c>
      <c r="D594">
        <v>3.8404959999999999</v>
      </c>
      <c r="E594">
        <v>0.4714834</v>
      </c>
      <c r="F594" t="s">
        <v>42</v>
      </c>
      <c r="G594">
        <v>-264.1105</v>
      </c>
      <c r="H594" s="1">
        <v>-2.787516E-6</v>
      </c>
      <c r="I594">
        <v>370.66340000000002</v>
      </c>
      <c r="J594">
        <v>-291.95100000000002</v>
      </c>
      <c r="K594">
        <v>1.0594380000000001</v>
      </c>
      <c r="L594">
        <v>367.92869999999999</v>
      </c>
      <c r="M594">
        <v>0.99961330000000004</v>
      </c>
      <c r="N594">
        <v>-1.531942E-2</v>
      </c>
      <c r="O594">
        <v>-2.3209839999999999E-2</v>
      </c>
      <c r="P594">
        <v>0.999</v>
      </c>
      <c r="Q594">
        <v>-3.6909299999999999E-2</v>
      </c>
      <c r="R594">
        <v>2.5237579999999999E-2</v>
      </c>
      <c r="S594">
        <v>2.9916079999999998</v>
      </c>
      <c r="T594">
        <v>-0.1120149</v>
      </c>
      <c r="U594">
        <v>0.28805540000000002</v>
      </c>
      <c r="V594">
        <v>-4.8414770000000003E-2</v>
      </c>
      <c r="W594">
        <v>-2.1625769999999999E-2</v>
      </c>
      <c r="X594">
        <v>0.99859319999999896</v>
      </c>
      <c r="Y594">
        <v>-0.1188022</v>
      </c>
      <c r="Z594">
        <v>3.6431549999999999E-3</v>
      </c>
      <c r="AA594">
        <v>0.99291130000000005</v>
      </c>
      <c r="AB594">
        <v>44</v>
      </c>
      <c r="AC594">
        <v>27.840499999999899</v>
      </c>
      <c r="AD594">
        <v>-1.0594407875159999</v>
      </c>
      <c r="AE594">
        <v>2.7347000000000299</v>
      </c>
      <c r="AF594">
        <v>-3.37537131297259</v>
      </c>
      <c r="AG594">
        <v>-1.0594407875159999</v>
      </c>
      <c r="AH594">
        <v>27.7297472684618</v>
      </c>
      <c r="AI594">
        <v>92.171958442302397</v>
      </c>
      <c r="AJ594">
        <v>96.940120130202203</v>
      </c>
      <c r="AK594">
        <v>27.954506431977201</v>
      </c>
      <c r="AL594">
        <v>91.239161923185094</v>
      </c>
      <c r="AM594">
        <v>92.775696406357696</v>
      </c>
      <c r="AN594">
        <v>1.0000000214842399</v>
      </c>
    </row>
    <row r="595" spans="1:40" x14ac:dyDescent="0.25">
      <c r="A595" t="str">
        <f>"20190305135550220"</f>
        <v>20190305135550220</v>
      </c>
      <c r="B595" t="str">
        <f>"1551765350211941"</f>
        <v>1551765350211941</v>
      </c>
      <c r="C595" t="s">
        <v>40</v>
      </c>
      <c r="D595">
        <v>3.7665549999999999</v>
      </c>
      <c r="E595">
        <v>0.47019870000000002</v>
      </c>
      <c r="F595" t="s">
        <v>42</v>
      </c>
      <c r="G595">
        <v>-256.26330000000002</v>
      </c>
      <c r="H595" s="1">
        <v>-2.10059E-6</v>
      </c>
      <c r="I595">
        <v>371.55270000000002</v>
      </c>
      <c r="J595">
        <v>-291.5258</v>
      </c>
      <c r="K595">
        <v>1.0595060000000001</v>
      </c>
      <c r="L595">
        <v>367.91899999999998</v>
      </c>
      <c r="M595">
        <v>0.99961860000000002</v>
      </c>
      <c r="N595">
        <v>-1.534173E-2</v>
      </c>
      <c r="O595">
        <v>-2.2957479999999999E-2</v>
      </c>
      <c r="P595">
        <v>0.99899570000000004</v>
      </c>
      <c r="Q595">
        <v>-3.674235E-2</v>
      </c>
      <c r="R595">
        <v>2.5646120000000001E-2</v>
      </c>
      <c r="S595">
        <v>2.992035</v>
      </c>
      <c r="T595">
        <v>-8.8822600000000002E-2</v>
      </c>
      <c r="U595">
        <v>0.30383300000000002</v>
      </c>
      <c r="V595">
        <v>-4.856829E-2</v>
      </c>
      <c r="W595">
        <v>-2.144393E-2</v>
      </c>
      <c r="X595">
        <v>0.99858959999999997</v>
      </c>
      <c r="Y595">
        <v>-0.1237593</v>
      </c>
      <c r="Z595">
        <v>3.1125879999999999E-3</v>
      </c>
      <c r="AA595">
        <v>0.99230739999999995</v>
      </c>
      <c r="AB595">
        <v>44</v>
      </c>
      <c r="AC595">
        <v>35.262499999999903</v>
      </c>
      <c r="AD595">
        <v>-1.05950810059</v>
      </c>
      <c r="AE595">
        <v>3.63369999999997</v>
      </c>
      <c r="AF595">
        <v>-4.4384107958831596</v>
      </c>
      <c r="AG595">
        <v>-1.05950810059</v>
      </c>
      <c r="AH595">
        <v>35.138384730421201</v>
      </c>
      <c r="AI595">
        <v>91.713477586991203</v>
      </c>
      <c r="AJ595">
        <v>97.199037812790394</v>
      </c>
      <c r="AK595">
        <v>35.4334323665</v>
      </c>
      <c r="AL595">
        <v>91.228740923789701</v>
      </c>
      <c r="AM595">
        <v>92.784494146674803</v>
      </c>
      <c r="AN595">
        <v>0.99999995507776296</v>
      </c>
    </row>
    <row r="596" spans="1:40" x14ac:dyDescent="0.25">
      <c r="A596" t="str">
        <f>"20190305135550243"</f>
        <v>20190305135550243</v>
      </c>
      <c r="B596" t="str">
        <f>"1551765350232437"</f>
        <v>1551765350232437</v>
      </c>
      <c r="C596" t="s">
        <v>40</v>
      </c>
      <c r="D596">
        <v>3.824808</v>
      </c>
      <c r="E596">
        <v>0.46798669999999998</v>
      </c>
      <c r="F596" t="s">
        <v>42</v>
      </c>
      <c r="G596">
        <v>-243.95920000000001</v>
      </c>
      <c r="H596" s="1">
        <v>-3.7202890000000001E-6</v>
      </c>
      <c r="I596">
        <v>372.93970000000002</v>
      </c>
      <c r="J596">
        <v>-291.09410000000003</v>
      </c>
      <c r="K596">
        <v>1.0595810000000001</v>
      </c>
      <c r="L596">
        <v>367.90940000000001</v>
      </c>
      <c r="M596">
        <v>0.99962600000000001</v>
      </c>
      <c r="N596">
        <v>-1.5360820000000001E-2</v>
      </c>
      <c r="O596">
        <v>-2.2631060000000001E-2</v>
      </c>
      <c r="P596">
        <v>0.99900239999999996</v>
      </c>
      <c r="Q596">
        <v>-3.6539160000000001E-2</v>
      </c>
      <c r="R596">
        <v>2.5678579999999999E-2</v>
      </c>
      <c r="S596">
        <v>2.9924930000000001</v>
      </c>
      <c r="T596">
        <v>-6.6655400000000004E-2</v>
      </c>
      <c r="U596">
        <v>0.3158569</v>
      </c>
      <c r="V596">
        <v>-4.8270920000000002E-2</v>
      </c>
      <c r="W596">
        <v>-2.1229379999999999E-2</v>
      </c>
      <c r="X596">
        <v>0.99860859999999996</v>
      </c>
      <c r="Y596">
        <v>-0.12739489999999901</v>
      </c>
      <c r="Z596">
        <v>2.5522769999999999E-3</v>
      </c>
      <c r="AA596">
        <v>0.99184879999999997</v>
      </c>
      <c r="AB596">
        <v>44</v>
      </c>
      <c r="AC596">
        <v>47.134900000000002</v>
      </c>
      <c r="AD596">
        <v>-1.0595847202890001</v>
      </c>
      <c r="AE596">
        <v>5.0303000000000102</v>
      </c>
      <c r="AF596">
        <v>-6.0928055580380196</v>
      </c>
      <c r="AG596">
        <v>-1.0595847202890001</v>
      </c>
      <c r="AH596">
        <v>46.985494344112801</v>
      </c>
      <c r="AI596">
        <v>91.281153224455807</v>
      </c>
      <c r="AJ596">
        <v>97.388553629847706</v>
      </c>
      <c r="AK596">
        <v>47.390734095476802</v>
      </c>
      <c r="AL596">
        <v>91.216445318164901</v>
      </c>
      <c r="AM596">
        <v>92.767419483455797</v>
      </c>
      <c r="AN596">
        <v>0.99999995214339399</v>
      </c>
    </row>
    <row r="597" spans="1:40" x14ac:dyDescent="0.25">
      <c r="A597" t="str">
        <f>"20190305135550265"</f>
        <v>20190305135550265</v>
      </c>
      <c r="B597" t="str">
        <f>"1551765350262694"</f>
        <v>1551765350262694</v>
      </c>
      <c r="C597" t="s">
        <v>40</v>
      </c>
      <c r="D597">
        <v>3.821475</v>
      </c>
      <c r="E597">
        <v>0.46612710000000002</v>
      </c>
      <c r="F597" t="s">
        <v>42</v>
      </c>
      <c r="G597">
        <v>-258.97160000000002</v>
      </c>
      <c r="H597" s="1">
        <v>-9.2079010000000002E-7</v>
      </c>
      <c r="I597">
        <v>371.4853</v>
      </c>
      <c r="J597">
        <v>-290.65780000000001</v>
      </c>
      <c r="K597">
        <v>1.059661</v>
      </c>
      <c r="L597">
        <v>367.89980000000003</v>
      </c>
      <c r="M597">
        <v>0.99963469999999999</v>
      </c>
      <c r="N597">
        <v>-1.5377099999999999E-2</v>
      </c>
      <c r="O597">
        <v>-2.2228399999999999E-2</v>
      </c>
      <c r="P597">
        <v>0.99899970000000005</v>
      </c>
      <c r="Q597">
        <v>-3.6248370000000002E-2</v>
      </c>
      <c r="R597">
        <v>2.6186640000000001E-2</v>
      </c>
      <c r="S597">
        <v>2.9908450000000002</v>
      </c>
      <c r="T597">
        <v>-9.8654629999999993E-2</v>
      </c>
      <c r="U597">
        <v>0.33294679999999999</v>
      </c>
      <c r="V597">
        <v>-4.8373590000000001E-2</v>
      </c>
      <c r="W597">
        <v>-2.093091E-2</v>
      </c>
      <c r="X597">
        <v>0.99861</v>
      </c>
      <c r="Y597">
        <v>-0.13259749999999901</v>
      </c>
      <c r="Z597">
        <v>3.5929629999999998E-3</v>
      </c>
      <c r="AA597">
        <v>0.99116340000000003</v>
      </c>
      <c r="AB597">
        <v>44</v>
      </c>
      <c r="AC597">
        <v>31.6861999999999</v>
      </c>
      <c r="AD597">
        <v>-1.0596619207900999</v>
      </c>
      <c r="AE597">
        <v>3.5854999999999602</v>
      </c>
      <c r="AF597">
        <v>-4.2842997101183897</v>
      </c>
      <c r="AG597">
        <v>-1.0596619207900999</v>
      </c>
      <c r="AH597">
        <v>31.563805288420699</v>
      </c>
      <c r="AI597">
        <v>91.905356234696399</v>
      </c>
      <c r="AJ597">
        <v>97.7297784841533</v>
      </c>
      <c r="AK597">
        <v>31.870863051976201</v>
      </c>
      <c r="AL597">
        <v>91.199340364104302</v>
      </c>
      <c r="AM597">
        <v>92.773292594295597</v>
      </c>
      <c r="AN597">
        <v>1.00000001965145</v>
      </c>
    </row>
    <row r="598" spans="1:40" x14ac:dyDescent="0.25">
      <c r="A598" t="str">
        <f>"20190305135550288"</f>
        <v>20190305135550288</v>
      </c>
      <c r="B598" t="str">
        <f>"1551765350282216"</f>
        <v>1551765350282216</v>
      </c>
      <c r="C598" t="s">
        <v>40</v>
      </c>
      <c r="D598">
        <v>3.8187150000000001</v>
      </c>
      <c r="E598">
        <v>0.4653988</v>
      </c>
      <c r="F598" t="s">
        <v>42</v>
      </c>
      <c r="G598">
        <v>-265.10160000000002</v>
      </c>
      <c r="H598" s="1">
        <v>-2.419276E-6</v>
      </c>
      <c r="I598">
        <v>370.87740000000002</v>
      </c>
      <c r="J598">
        <v>-290.21050000000002</v>
      </c>
      <c r="K598">
        <v>1.0597350000000001</v>
      </c>
      <c r="L598">
        <v>367.8904</v>
      </c>
      <c r="M598">
        <v>0.99964500000000001</v>
      </c>
      <c r="N598">
        <v>-1.539071E-2</v>
      </c>
      <c r="O598">
        <v>-2.1748139999999999E-2</v>
      </c>
      <c r="P598">
        <v>0.99899819999999995</v>
      </c>
      <c r="Q598">
        <v>-3.6077459999999999E-2</v>
      </c>
      <c r="R598">
        <v>2.6479849999999999E-2</v>
      </c>
      <c r="S598">
        <v>2.9893800000000001</v>
      </c>
      <c r="T598">
        <v>-0.1239516</v>
      </c>
      <c r="U598">
        <v>0.34829710000000003</v>
      </c>
      <c r="V598">
        <v>-4.8183780000000002E-2</v>
      </c>
      <c r="W598">
        <v>-2.075459E-2</v>
      </c>
      <c r="X598">
        <v>0.99862280000000003</v>
      </c>
      <c r="Y598">
        <v>-0.1371385</v>
      </c>
      <c r="Z598">
        <v>4.4570679999999998E-3</v>
      </c>
      <c r="AA598">
        <v>0.99054189999999998</v>
      </c>
      <c r="AB598">
        <v>44</v>
      </c>
      <c r="AC598">
        <v>25.108899999999998</v>
      </c>
      <c r="AD598">
        <v>-1.0597374192760001</v>
      </c>
      <c r="AE598">
        <v>2.9870000000000201</v>
      </c>
      <c r="AF598">
        <v>-3.5262362238177798</v>
      </c>
      <c r="AG598">
        <v>-1.0597374192760001</v>
      </c>
      <c r="AH598">
        <v>24.994089369697601</v>
      </c>
      <c r="AI598">
        <v>92.404079842148406</v>
      </c>
      <c r="AJ598">
        <v>98.030448841784704</v>
      </c>
      <c r="AK598">
        <v>25.263845485681902</v>
      </c>
      <c r="AL598">
        <v>91.189235844568003</v>
      </c>
      <c r="AM598">
        <v>92.762392186861902</v>
      </c>
      <c r="AN598">
        <v>0.999999963170497</v>
      </c>
    </row>
    <row r="599" spans="1:40" x14ac:dyDescent="0.25">
      <c r="A599" t="str">
        <f>"20190305135550310"</f>
        <v>20190305135550310</v>
      </c>
      <c r="B599" t="str">
        <f>"1551765350302713"</f>
        <v>1551765350302713</v>
      </c>
      <c r="C599" t="s">
        <v>40</v>
      </c>
      <c r="D599">
        <v>3.8215729999999999</v>
      </c>
      <c r="E599">
        <v>0.46515099999999998</v>
      </c>
      <c r="F599" t="s">
        <v>42</v>
      </c>
      <c r="G599">
        <v>-266.98090000000002</v>
      </c>
      <c r="H599" s="1">
        <v>-1.5512549999999999E-6</v>
      </c>
      <c r="I599">
        <v>370.64510000000001</v>
      </c>
      <c r="J599">
        <v>-289.76100000000002</v>
      </c>
      <c r="K599">
        <v>1.0598030000000001</v>
      </c>
      <c r="L599">
        <v>367.88099999999997</v>
      </c>
      <c r="M599">
        <v>0.99965660000000001</v>
      </c>
      <c r="N599">
        <v>-1.540181E-2</v>
      </c>
      <c r="O599">
        <v>-2.1206719999999998E-2</v>
      </c>
      <c r="P599">
        <v>0.99898419999999999</v>
      </c>
      <c r="Q599">
        <v>-3.6035749999999998E-2</v>
      </c>
      <c r="R599">
        <v>2.7063759999999999E-2</v>
      </c>
      <c r="S599">
        <v>2.9886780000000002</v>
      </c>
      <c r="T599">
        <v>-0.1363432</v>
      </c>
      <c r="U599">
        <v>0.3544312</v>
      </c>
      <c r="V599">
        <v>-4.8223349999999998E-2</v>
      </c>
      <c r="W599">
        <v>-2.070957E-2</v>
      </c>
      <c r="X599">
        <v>0.99862189999999995</v>
      </c>
      <c r="Y599">
        <v>-0.138600799999999</v>
      </c>
      <c r="Z599">
        <v>4.8592139999999997E-3</v>
      </c>
      <c r="AA599">
        <v>0.99033640000000001</v>
      </c>
      <c r="AB599">
        <v>44</v>
      </c>
      <c r="AC599">
        <v>22.780099999999901</v>
      </c>
      <c r="AD599">
        <v>-1.0598045512549901</v>
      </c>
      <c r="AE599">
        <v>2.76410000000004</v>
      </c>
      <c r="AF599">
        <v>-3.2397163427757301</v>
      </c>
      <c r="AG599">
        <v>-1.0598045512549901</v>
      </c>
      <c r="AH599">
        <v>22.668000317092101</v>
      </c>
      <c r="AI599">
        <v>92.649931126477796</v>
      </c>
      <c r="AJ599">
        <v>98.133645954851502</v>
      </c>
      <c r="AK599">
        <v>22.922852921139601</v>
      </c>
      <c r="AL599">
        <v>91.186655744586503</v>
      </c>
      <c r="AM599">
        <v>92.764659717758406</v>
      </c>
      <c r="AN599">
        <v>1.0000000384672001</v>
      </c>
    </row>
    <row r="600" spans="1:40" x14ac:dyDescent="0.25">
      <c r="A600" t="str">
        <f>"20190305135550331"</f>
        <v>20190305135550331</v>
      </c>
      <c r="B600" t="str">
        <f>"1551765350322660"</f>
        <v>1551765350322660</v>
      </c>
      <c r="C600" t="s">
        <v>40</v>
      </c>
      <c r="D600">
        <v>3.8124020000000001</v>
      </c>
      <c r="E600">
        <v>0.4647616</v>
      </c>
      <c r="F600" t="s">
        <v>42</v>
      </c>
      <c r="G600">
        <v>-267.32139999999998</v>
      </c>
      <c r="H600" s="1">
        <v>-1.385059E-6</v>
      </c>
      <c r="I600">
        <v>370.56950000000001</v>
      </c>
      <c r="J600">
        <v>-289.34399999999999</v>
      </c>
      <c r="K600">
        <v>1.0598620000000001</v>
      </c>
      <c r="L600">
        <v>367.87259999999998</v>
      </c>
      <c r="M600">
        <v>0.9996678</v>
      </c>
      <c r="N600">
        <v>-1.540999E-2</v>
      </c>
      <c r="O600">
        <v>-2.066434E-2</v>
      </c>
      <c r="P600">
        <v>0.99894709999999998</v>
      </c>
      <c r="Q600">
        <v>-3.6095889999999999E-2</v>
      </c>
      <c r="R600">
        <v>2.8314550000000001E-2</v>
      </c>
      <c r="S600">
        <v>2.988251</v>
      </c>
      <c r="T600">
        <v>-0.14113210000000001</v>
      </c>
      <c r="U600">
        <v>0.35803220000000002</v>
      </c>
      <c r="V600">
        <v>-4.8928489999999998E-2</v>
      </c>
      <c r="W600">
        <v>-2.0769039999999999E-2</v>
      </c>
      <c r="X600">
        <v>0.99858630000000004</v>
      </c>
      <c r="Y600">
        <v>-0.13924310000000001</v>
      </c>
      <c r="Z600">
        <v>5.0072420000000003E-3</v>
      </c>
      <c r="AA600">
        <v>0.99024559999999995</v>
      </c>
      <c r="AB600">
        <v>44</v>
      </c>
      <c r="AC600">
        <v>22.022600000000001</v>
      </c>
      <c r="AD600">
        <v>-1.059863385059</v>
      </c>
      <c r="AE600">
        <v>2.6969000000000198</v>
      </c>
      <c r="AF600">
        <v>-3.1442855186605998</v>
      </c>
      <c r="AG600">
        <v>-1.059863385059</v>
      </c>
      <c r="AH600">
        <v>21.9121586042499</v>
      </c>
      <c r="AI600">
        <v>92.741132380033704</v>
      </c>
      <c r="AJ600">
        <v>98.165915562415194</v>
      </c>
      <c r="AK600">
        <v>22.1619614771719</v>
      </c>
      <c r="AL600">
        <v>91.190063933801198</v>
      </c>
      <c r="AM600">
        <v>92.805121355143896</v>
      </c>
      <c r="AN600">
        <v>0.99999997435194499</v>
      </c>
    </row>
    <row r="601" spans="1:40" x14ac:dyDescent="0.25">
      <c r="A601" t="str">
        <f>"20190305135550353"</f>
        <v>20190305135550353</v>
      </c>
      <c r="B601" t="str">
        <f>"1551765350342180"</f>
        <v>1551765350342180</v>
      </c>
      <c r="C601" t="s">
        <v>40</v>
      </c>
      <c r="D601">
        <v>3.7190180000000002</v>
      </c>
      <c r="E601">
        <v>0.46503679999999997</v>
      </c>
      <c r="F601" t="s">
        <v>42</v>
      </c>
      <c r="G601">
        <v>-268.06639999999999</v>
      </c>
      <c r="H601" s="1">
        <v>-1.0387370000000001E-6</v>
      </c>
      <c r="I601">
        <v>370.46910000000003</v>
      </c>
      <c r="J601">
        <v>-288.90289999999999</v>
      </c>
      <c r="K601">
        <v>1.059914</v>
      </c>
      <c r="L601">
        <v>367.86399999999998</v>
      </c>
      <c r="M601">
        <v>0.99967989999999995</v>
      </c>
      <c r="N601">
        <v>-1.541671E-2</v>
      </c>
      <c r="O601">
        <v>-2.00626E-2</v>
      </c>
      <c r="P601">
        <v>0.99891229999999998</v>
      </c>
      <c r="Q601">
        <v>-3.6062499999999997E-2</v>
      </c>
      <c r="R601">
        <v>2.9560360000000001E-2</v>
      </c>
      <c r="S601">
        <v>2.987457</v>
      </c>
      <c r="T601">
        <v>-0.148809</v>
      </c>
      <c r="U601">
        <v>0.36456300000000003</v>
      </c>
      <c r="V601">
        <v>-4.9570389999999999E-2</v>
      </c>
      <c r="W601">
        <v>-2.0735610000000002E-2</v>
      </c>
      <c r="X601">
        <v>0.99855539999999998</v>
      </c>
      <c r="Y601">
        <v>-0.14078769999999999</v>
      </c>
      <c r="Z601">
        <v>5.2688240000000001E-3</v>
      </c>
      <c r="AA601">
        <v>0.99002579999999996</v>
      </c>
      <c r="AB601">
        <v>44</v>
      </c>
      <c r="AC601">
        <v>20.836500000000001</v>
      </c>
      <c r="AD601">
        <v>-1.059915038737</v>
      </c>
      <c r="AE601">
        <v>2.60509999999999</v>
      </c>
      <c r="AF601">
        <v>-3.0149781661396999</v>
      </c>
      <c r="AG601">
        <v>-1.059915038737</v>
      </c>
      <c r="AH601">
        <v>20.7272261201195</v>
      </c>
      <c r="AI601">
        <v>92.896914091765794</v>
      </c>
      <c r="AJ601">
        <v>98.276187652911204</v>
      </c>
      <c r="AK601">
        <v>20.972158111796801</v>
      </c>
      <c r="AL601">
        <v>91.188148047659894</v>
      </c>
      <c r="AM601">
        <v>92.841950010345698</v>
      </c>
      <c r="AN601">
        <v>1.0000000379779901</v>
      </c>
    </row>
    <row r="602" spans="1:40" x14ac:dyDescent="0.25">
      <c r="A602" t="str">
        <f>"20190305135550380"</f>
        <v>20190305135550380</v>
      </c>
      <c r="B602" t="str">
        <f>"1551765350372436"</f>
        <v>1551765350372436</v>
      </c>
      <c r="C602" t="s">
        <v>40</v>
      </c>
      <c r="D602">
        <v>3.7117239999999998</v>
      </c>
      <c r="E602">
        <v>0.4653793</v>
      </c>
      <c r="F602" t="s">
        <v>42</v>
      </c>
      <c r="G602">
        <v>-265.63170000000002</v>
      </c>
      <c r="H602" s="1">
        <v>-2.1501310000000002E-6</v>
      </c>
      <c r="I602">
        <v>370.72059999999999</v>
      </c>
      <c r="J602">
        <v>-288.40559999999999</v>
      </c>
      <c r="K602">
        <v>1.0599620000000001</v>
      </c>
      <c r="L602">
        <v>367.8546</v>
      </c>
      <c r="M602">
        <v>0.99969359999999996</v>
      </c>
      <c r="N602">
        <v>-1.542222E-2</v>
      </c>
      <c r="O602">
        <v>-1.936175E-2</v>
      </c>
      <c r="P602">
        <v>0.99887599999999999</v>
      </c>
      <c r="Q602">
        <v>-3.6013860000000002E-2</v>
      </c>
      <c r="R602">
        <v>3.0820650000000002E-2</v>
      </c>
      <c r="S602">
        <v>2.987457</v>
      </c>
      <c r="T602">
        <v>-0.13606760000000001</v>
      </c>
      <c r="U602">
        <v>0.36672969999999999</v>
      </c>
      <c r="V602">
        <v>-5.0128470000000001E-2</v>
      </c>
      <c r="W602">
        <v>-2.0687589999999999E-2</v>
      </c>
      <c r="X602">
        <v>0.99852850000000004</v>
      </c>
      <c r="Y602">
        <v>-0.14083689999999999</v>
      </c>
      <c r="Z602">
        <v>4.8655499999999997E-3</v>
      </c>
      <c r="AA602">
        <v>0.99002089999999998</v>
      </c>
      <c r="AB602">
        <v>44</v>
      </c>
      <c r="AC602">
        <v>22.773899999999902</v>
      </c>
      <c r="AD602">
        <v>-1.059964150131</v>
      </c>
      <c r="AE602">
        <v>2.8659999999999801</v>
      </c>
      <c r="AF602">
        <v>-3.2994216986772398</v>
      </c>
      <c r="AG602">
        <v>-1.059964150131</v>
      </c>
      <c r="AH602">
        <v>22.665798307911299</v>
      </c>
      <c r="AI602">
        <v>92.649596537215501</v>
      </c>
      <c r="AJ602">
        <v>98.282275269622005</v>
      </c>
      <c r="AK602">
        <v>22.929197990339301</v>
      </c>
      <c r="AL602">
        <v>91.185396156064499</v>
      </c>
      <c r="AM602">
        <v>92.873969583500994</v>
      </c>
      <c r="AN602">
        <v>1.0000000025983899</v>
      </c>
    </row>
    <row r="603" spans="1:40" x14ac:dyDescent="0.25">
      <c r="A603" t="str">
        <f>"20190305135550400"</f>
        <v>20190305135550400</v>
      </c>
      <c r="B603" t="str">
        <f>"1551765350391956"</f>
        <v>1551765350391956</v>
      </c>
      <c r="C603" t="s">
        <v>40</v>
      </c>
      <c r="D603">
        <v>3.6918150000000001</v>
      </c>
      <c r="E603">
        <v>0.46564870000000003</v>
      </c>
      <c r="F603" t="s">
        <v>42</v>
      </c>
      <c r="G603">
        <v>-262.31029999999998</v>
      </c>
      <c r="H603" s="1">
        <v>-3.6681020000000001E-6</v>
      </c>
      <c r="I603">
        <v>371.07049999999998</v>
      </c>
      <c r="J603">
        <v>-287.99639999999999</v>
      </c>
      <c r="K603">
        <v>1.059995</v>
      </c>
      <c r="L603">
        <v>367.84710000000001</v>
      </c>
      <c r="M603">
        <v>0.99970479999999995</v>
      </c>
      <c r="N603">
        <v>-1.542553E-2</v>
      </c>
      <c r="O603">
        <v>-1.8775190000000001E-2</v>
      </c>
      <c r="P603">
        <v>0.99884600000000001</v>
      </c>
      <c r="Q603">
        <v>-3.6033879999999997E-2</v>
      </c>
      <c r="R603">
        <v>3.1756199999999998E-2</v>
      </c>
      <c r="S603">
        <v>2.9876399999999999</v>
      </c>
      <c r="T603">
        <v>-0.1213548</v>
      </c>
      <c r="U603">
        <v>0.36819459999999998</v>
      </c>
      <c r="V603">
        <v>-5.0475560000000003E-2</v>
      </c>
      <c r="W603">
        <v>-2.0708460000000001E-2</v>
      </c>
      <c r="X603">
        <v>0.99851060000000003</v>
      </c>
      <c r="Y603">
        <v>-0.14076449999999999</v>
      </c>
      <c r="Z603">
        <v>4.4086000000000004E-3</v>
      </c>
      <c r="AA603">
        <v>0.9900333</v>
      </c>
      <c r="AB603">
        <v>44</v>
      </c>
      <c r="AC603">
        <v>25.6861</v>
      </c>
      <c r="AD603">
        <v>-1.0599986681019999</v>
      </c>
      <c r="AE603">
        <v>3.2233999999999599</v>
      </c>
      <c r="AF603">
        <v>-3.6989487983526601</v>
      </c>
      <c r="AG603">
        <v>-1.0599986681019999</v>
      </c>
      <c r="AH603">
        <v>25.578159883974799</v>
      </c>
      <c r="AI603">
        <v>92.3486641595929</v>
      </c>
      <c r="AJ603">
        <v>98.228700681406593</v>
      </c>
      <c r="AK603">
        <v>25.865963783307802</v>
      </c>
      <c r="AL603">
        <v>91.186592154082007</v>
      </c>
      <c r="AM603">
        <v>92.893887056433101</v>
      </c>
      <c r="AN603">
        <v>1.00000002039262</v>
      </c>
    </row>
    <row r="604" spans="1:40" x14ac:dyDescent="0.25">
      <c r="A604" t="str">
        <f>"20190305135550421"</f>
        <v>20190305135550421</v>
      </c>
      <c r="B604" t="str">
        <f>"1551765350411982"</f>
        <v>1551765350411982</v>
      </c>
      <c r="C604" t="s">
        <v>40</v>
      </c>
      <c r="D604">
        <v>3.6984840000000001</v>
      </c>
      <c r="E604">
        <v>0.46585589999999999</v>
      </c>
      <c r="F604" t="s">
        <v>42</v>
      </c>
      <c r="G604">
        <v>-259.9316</v>
      </c>
      <c r="H604" s="1">
        <v>-4.6277899999999999E-7</v>
      </c>
      <c r="I604">
        <v>371.31180000000001</v>
      </c>
      <c r="J604">
        <v>-287.58249999999998</v>
      </c>
      <c r="K604">
        <v>1.0600210000000001</v>
      </c>
      <c r="L604">
        <v>367.83980000000003</v>
      </c>
      <c r="M604">
        <v>0.99971580000000004</v>
      </c>
      <c r="N604">
        <v>-1.5427980000000001E-2</v>
      </c>
      <c r="O604">
        <v>-1.817736E-2</v>
      </c>
      <c r="P604">
        <v>0.99881609999999998</v>
      </c>
      <c r="Q604">
        <v>-3.6323319999999999E-2</v>
      </c>
      <c r="R604">
        <v>3.236025E-2</v>
      </c>
      <c r="S604">
        <v>2.9876710000000002</v>
      </c>
      <c r="T604">
        <v>-0.112842899999999</v>
      </c>
      <c r="U604">
        <v>0.36883539999999998</v>
      </c>
      <c r="V604">
        <v>-5.0480480000000001E-2</v>
      </c>
      <c r="W604">
        <v>-2.0998490000000002E-2</v>
      </c>
      <c r="X604">
        <v>0.99850430000000001</v>
      </c>
      <c r="Y604">
        <v>-0.14040079999999999</v>
      </c>
      <c r="Z604">
        <v>4.132831E-3</v>
      </c>
      <c r="AA604">
        <v>0.99008609999999997</v>
      </c>
      <c r="AB604">
        <v>44</v>
      </c>
      <c r="AC604">
        <v>27.650899999999901</v>
      </c>
      <c r="AD604">
        <v>-1.0600214627789999</v>
      </c>
      <c r="AE604">
        <v>3.4719999999999702</v>
      </c>
      <c r="AF604">
        <v>-3.96836483489392</v>
      </c>
      <c r="AG604">
        <v>-1.0600214627789999</v>
      </c>
      <c r="AH604">
        <v>27.5433605813935</v>
      </c>
      <c r="AI604">
        <v>92.181468790828603</v>
      </c>
      <c r="AJ604">
        <v>98.198585586134698</v>
      </c>
      <c r="AK604">
        <v>27.847949243724202</v>
      </c>
      <c r="AL604">
        <v>91.203213256029997</v>
      </c>
      <c r="AM604">
        <v>92.894186882020605</v>
      </c>
      <c r="AN604">
        <v>1.0000000262808999</v>
      </c>
    </row>
    <row r="605" spans="1:40" x14ac:dyDescent="0.25">
      <c r="A605" t="str">
        <f>"20190305135550444"</f>
        <v>20190305135550444</v>
      </c>
      <c r="B605" t="str">
        <f>"1551765350432478"</f>
        <v>1551765350432478</v>
      </c>
      <c r="C605" t="s">
        <v>40</v>
      </c>
      <c r="D605">
        <v>3.8345159999999998</v>
      </c>
      <c r="E605">
        <v>0.46598729999999999</v>
      </c>
      <c r="F605" t="s">
        <v>42</v>
      </c>
      <c r="G605">
        <v>-258.02629999999999</v>
      </c>
      <c r="H605" s="1">
        <v>-1.328128E-6</v>
      </c>
      <c r="I605">
        <v>371.49209999999999</v>
      </c>
      <c r="J605">
        <v>-287.1497</v>
      </c>
      <c r="K605">
        <v>1.060052</v>
      </c>
      <c r="L605">
        <v>367.83249999999998</v>
      </c>
      <c r="M605">
        <v>0.99972700000000003</v>
      </c>
      <c r="N605">
        <v>-1.5429429999999999E-2</v>
      </c>
      <c r="O605">
        <v>-1.7550380000000001E-2</v>
      </c>
      <c r="P605">
        <v>0.99879720000000005</v>
      </c>
      <c r="Q605">
        <v>-3.6338210000000003E-2</v>
      </c>
      <c r="R605">
        <v>3.291521E-2</v>
      </c>
      <c r="S605">
        <v>2.987762</v>
      </c>
      <c r="T605">
        <v>-0.10715479999999999</v>
      </c>
      <c r="U605">
        <v>0.36920170000000002</v>
      </c>
      <c r="V605">
        <v>-5.040762E-2</v>
      </c>
      <c r="W605">
        <v>-2.1014330000000001E-2</v>
      </c>
      <c r="X605">
        <v>0.99850760000000005</v>
      </c>
      <c r="Y605">
        <v>-0.1399087</v>
      </c>
      <c r="Z605">
        <v>3.9399120000000003E-3</v>
      </c>
      <c r="AA605">
        <v>0.99015660000000005</v>
      </c>
      <c r="AB605">
        <v>44</v>
      </c>
      <c r="AC605">
        <v>29.1234</v>
      </c>
      <c r="AD605">
        <v>-1.060053328128</v>
      </c>
      <c r="AE605">
        <v>3.65960000000001</v>
      </c>
      <c r="AF605">
        <v>-4.1647917530581804</v>
      </c>
      <c r="AG605">
        <v>-1.060053328128</v>
      </c>
      <c r="AH605">
        <v>29.0168325717469</v>
      </c>
      <c r="AI605">
        <v>92.071014631368698</v>
      </c>
      <c r="AJ605">
        <v>98.167890798177694</v>
      </c>
      <c r="AK605">
        <v>29.3333560286171</v>
      </c>
      <c r="AL605">
        <v>91.204121078715403</v>
      </c>
      <c r="AM605">
        <v>92.890007166416396</v>
      </c>
      <c r="AN605">
        <v>0.99999997873858604</v>
      </c>
    </row>
    <row r="606" spans="1:40" x14ac:dyDescent="0.25">
      <c r="A606" t="str">
        <f>"20190305135550465"</f>
        <v>20190305135550465</v>
      </c>
      <c r="B606" t="str">
        <f>"1551765350462734"</f>
        <v>1551765350462734</v>
      </c>
      <c r="C606" t="s">
        <v>40</v>
      </c>
      <c r="D606">
        <v>3.694191</v>
      </c>
      <c r="E606">
        <v>0.46626060000000003</v>
      </c>
      <c r="F606" t="s">
        <v>42</v>
      </c>
      <c r="G606">
        <v>-256.81079999999997</v>
      </c>
      <c r="H606" s="1">
        <v>-1.875979E-6</v>
      </c>
      <c r="I606">
        <v>371.59129999999999</v>
      </c>
      <c r="J606">
        <v>-286.71420000000001</v>
      </c>
      <c r="K606">
        <v>1.0600719999999999</v>
      </c>
      <c r="L606">
        <v>367.82530000000003</v>
      </c>
      <c r="M606">
        <v>0.99973780000000001</v>
      </c>
      <c r="N606">
        <v>-1.5429979999999999E-2</v>
      </c>
      <c r="O606">
        <v>-1.691879E-2</v>
      </c>
      <c r="P606">
        <v>0.998807</v>
      </c>
      <c r="Q606">
        <v>-3.6011550000000003E-2</v>
      </c>
      <c r="R606">
        <v>3.297891E-2</v>
      </c>
      <c r="S606">
        <v>2.987549</v>
      </c>
      <c r="T606">
        <v>-0.1043859</v>
      </c>
      <c r="U606">
        <v>0.37014770000000002</v>
      </c>
      <c r="V606">
        <v>-4.9841370000000003E-2</v>
      </c>
      <c r="W606">
        <v>-2.0687770000000001E-2</v>
      </c>
      <c r="X606">
        <v>0.99854279999999995</v>
      </c>
      <c r="Y606">
        <v>-0.1396068</v>
      </c>
      <c r="Z606">
        <v>3.8395069999999998E-3</v>
      </c>
      <c r="AA606">
        <v>0.99019959999999996</v>
      </c>
      <c r="AB606">
        <v>44</v>
      </c>
      <c r="AC606">
        <v>29.903400000000001</v>
      </c>
      <c r="AD606">
        <v>-1.0600738759789901</v>
      </c>
      <c r="AE606">
        <v>3.76599999999996</v>
      </c>
      <c r="AF606">
        <v>-4.2661728281467104</v>
      </c>
      <c r="AG606">
        <v>-1.0600738759789901</v>
      </c>
      <c r="AH606">
        <v>29.798531966692401</v>
      </c>
      <c r="AI606">
        <v>92.016873355605895</v>
      </c>
      <c r="AJ606">
        <v>98.147512097796906</v>
      </c>
      <c r="AK606">
        <v>30.121030769084602</v>
      </c>
      <c r="AL606">
        <v>91.185406551997602</v>
      </c>
      <c r="AM606">
        <v>92.857496047469198</v>
      </c>
      <c r="AN606">
        <v>0.999999934711442</v>
      </c>
    </row>
    <row r="607" spans="1:40" x14ac:dyDescent="0.25">
      <c r="A607" t="str">
        <f>"20190305135550489"</f>
        <v>20190305135550489</v>
      </c>
      <c r="B607" t="str">
        <f>"1551765350482254"</f>
        <v>1551765350482254</v>
      </c>
      <c r="C607" t="s">
        <v>40</v>
      </c>
      <c r="D607">
        <v>3.7079499999999999</v>
      </c>
      <c r="E607">
        <v>0.46642349999999999</v>
      </c>
      <c r="F607" t="s">
        <v>42</v>
      </c>
      <c r="G607">
        <v>-253.62780000000001</v>
      </c>
      <c r="H607" s="1">
        <v>-3.324958E-6</v>
      </c>
      <c r="I607">
        <v>371.9051</v>
      </c>
      <c r="J607">
        <v>-286.2647</v>
      </c>
      <c r="K607">
        <v>1.060087</v>
      </c>
      <c r="L607">
        <v>367.81830000000002</v>
      </c>
      <c r="M607">
        <v>0.99974879999999999</v>
      </c>
      <c r="N607">
        <v>-1.5429780000000001E-2</v>
      </c>
      <c r="O607">
        <v>-1.62665E-2</v>
      </c>
      <c r="P607">
        <v>0.99878699999999998</v>
      </c>
      <c r="Q607">
        <v>-3.6549600000000002E-2</v>
      </c>
      <c r="R607">
        <v>3.2995549999999998E-2</v>
      </c>
      <c r="S607">
        <v>2.9879760000000002</v>
      </c>
      <c r="T607">
        <v>-9.5733280000000004E-2</v>
      </c>
      <c r="U607">
        <v>0.36843870000000001</v>
      </c>
      <c r="V607">
        <v>-4.9204659999999997E-2</v>
      </c>
      <c r="W607">
        <v>-2.1226499999999999E-2</v>
      </c>
      <c r="X607">
        <v>0.99856310000000004</v>
      </c>
      <c r="Y607">
        <v>-0.1384039</v>
      </c>
      <c r="Z607">
        <v>3.5497530000000001E-3</v>
      </c>
      <c r="AA607">
        <v>0.99036950000000001</v>
      </c>
      <c r="AB607">
        <v>44</v>
      </c>
      <c r="AC607">
        <v>32.636899999999997</v>
      </c>
      <c r="AD607">
        <v>-1.060090324958</v>
      </c>
      <c r="AE607">
        <v>4.0867999999999798</v>
      </c>
      <c r="AF607">
        <v>-4.6124192551770102</v>
      </c>
      <c r="AG607">
        <v>-1.060090324958</v>
      </c>
      <c r="AH607">
        <v>32.532302080259299</v>
      </c>
      <c r="AI607">
        <v>91.847899720587094</v>
      </c>
      <c r="AJ607">
        <v>98.069593643351595</v>
      </c>
      <c r="AK607">
        <v>32.8747453453839</v>
      </c>
      <c r="AL607">
        <v>91.216280254970997</v>
      </c>
      <c r="AM607">
        <v>92.820994400395406</v>
      </c>
      <c r="AN607">
        <v>0.99999996377478695</v>
      </c>
    </row>
    <row r="608" spans="1:40" x14ac:dyDescent="0.25">
      <c r="A608" t="str">
        <f>"20190305135550511"</f>
        <v>20190305135550511</v>
      </c>
      <c r="B608" t="str">
        <f>"1551765350502753"</f>
        <v>1551765350502753</v>
      </c>
      <c r="C608" t="s">
        <v>40</v>
      </c>
      <c r="D608">
        <v>3.6970209999999999</v>
      </c>
      <c r="E608">
        <v>0.46653470000000002</v>
      </c>
      <c r="F608" t="s">
        <v>42</v>
      </c>
      <c r="G608">
        <v>-252.01589999999999</v>
      </c>
      <c r="H608" s="1">
        <v>-4.0182190000000002E-6</v>
      </c>
      <c r="I608">
        <v>372.03039999999999</v>
      </c>
      <c r="J608">
        <v>-285.83870000000002</v>
      </c>
      <c r="K608">
        <v>1.060093</v>
      </c>
      <c r="L608">
        <v>367.81180000000001</v>
      </c>
      <c r="M608">
        <v>0.9997587</v>
      </c>
      <c r="N608">
        <v>-1.5428809999999999E-2</v>
      </c>
      <c r="O608">
        <v>-1.5646819999999999E-2</v>
      </c>
      <c r="P608">
        <v>0.9987914</v>
      </c>
      <c r="Q608">
        <v>-3.6495670000000001E-2</v>
      </c>
      <c r="R608">
        <v>3.2925639999999999E-2</v>
      </c>
      <c r="S608">
        <v>2.9880979999999999</v>
      </c>
      <c r="T608">
        <v>-9.2489360000000007E-2</v>
      </c>
      <c r="U608">
        <v>0.36749270000000001</v>
      </c>
      <c r="V608">
        <v>-4.851573E-2</v>
      </c>
      <c r="W608">
        <v>-2.11731E-2</v>
      </c>
      <c r="X608">
        <v>0.99859799999999999</v>
      </c>
      <c r="Y608">
        <v>-0.13748299999999999</v>
      </c>
      <c r="Z608">
        <v>3.4262979999999999E-3</v>
      </c>
      <c r="AA608">
        <v>0.9904982</v>
      </c>
      <c r="AB608">
        <v>44</v>
      </c>
      <c r="AC608">
        <v>33.822800000000001</v>
      </c>
      <c r="AD608">
        <v>-1.0600970182189999</v>
      </c>
      <c r="AE608">
        <v>4.2185999999999799</v>
      </c>
      <c r="AF608">
        <v>-4.7427778575981501</v>
      </c>
      <c r="AG608">
        <v>-1.0600970182189999</v>
      </c>
      <c r="AH608">
        <v>33.7200250539452</v>
      </c>
      <c r="AI608">
        <v>91.783143317398398</v>
      </c>
      <c r="AJ608">
        <v>98.006227333386207</v>
      </c>
      <c r="AK608">
        <v>34.0684287447081</v>
      </c>
      <c r="AL608">
        <v>91.213219903131801</v>
      </c>
      <c r="AM608">
        <v>92.7814621759033</v>
      </c>
      <c r="AN608">
        <v>1.0000000209125199</v>
      </c>
    </row>
    <row r="609" spans="1:40" x14ac:dyDescent="0.25">
      <c r="A609" t="str">
        <f>"20190305135550533"</f>
        <v>20190305135550533</v>
      </c>
      <c r="B609" t="str">
        <f>"1551765350522270"</f>
        <v>1551765350522270</v>
      </c>
      <c r="C609" t="s">
        <v>40</v>
      </c>
      <c r="D609">
        <v>3.9711419999999999</v>
      </c>
      <c r="E609">
        <v>0.4666033</v>
      </c>
      <c r="F609" t="s">
        <v>42</v>
      </c>
      <c r="G609">
        <v>-250.25299999999999</v>
      </c>
      <c r="H609" s="1">
        <v>-4.6437930000000003E-6</v>
      </c>
      <c r="I609">
        <v>372.17489999999998</v>
      </c>
      <c r="J609">
        <v>-285.40750000000003</v>
      </c>
      <c r="K609">
        <v>1.0601050000000001</v>
      </c>
      <c r="L609">
        <v>367.80560000000003</v>
      </c>
      <c r="M609">
        <v>0.9997682</v>
      </c>
      <c r="N609">
        <v>-1.5427410000000001E-2</v>
      </c>
      <c r="O609">
        <v>-1.5019070000000001E-2</v>
      </c>
      <c r="P609">
        <v>0.99877689999999997</v>
      </c>
      <c r="Q609">
        <v>-3.6482010000000002E-2</v>
      </c>
      <c r="R609">
        <v>3.3375059999999998E-2</v>
      </c>
      <c r="S609">
        <v>2.9883120000000001</v>
      </c>
      <c r="T609">
        <v>-8.902156E-2</v>
      </c>
      <c r="U609">
        <v>0.366394</v>
      </c>
      <c r="V609">
        <v>-4.8337650000000003E-2</v>
      </c>
      <c r="W609">
        <v>-2.116142E-2</v>
      </c>
      <c r="X609">
        <v>0.99860689999999996</v>
      </c>
      <c r="Y609">
        <v>-0.1365007</v>
      </c>
      <c r="Z609">
        <v>3.2973680000000002E-3</v>
      </c>
      <c r="AA609">
        <v>0.99063449999999997</v>
      </c>
      <c r="AB609">
        <v>44</v>
      </c>
      <c r="AC609">
        <v>35.154499999999999</v>
      </c>
      <c r="AD609">
        <v>-1.06010964379299</v>
      </c>
      <c r="AE609">
        <v>4.3692999999999502</v>
      </c>
      <c r="AF609">
        <v>-4.8924764091036597</v>
      </c>
      <c r="AG609">
        <v>-1.06010964379299</v>
      </c>
      <c r="AH609">
        <v>35.053511637249599</v>
      </c>
      <c r="AI609">
        <v>91.715626140558101</v>
      </c>
      <c r="AJ609">
        <v>97.9455380439652</v>
      </c>
      <c r="AK609">
        <v>35.409163163979002</v>
      </c>
      <c r="AL609">
        <v>91.212550518454904</v>
      </c>
      <c r="AM609">
        <v>92.771243930902202</v>
      </c>
      <c r="AN609">
        <v>1.00000003741577</v>
      </c>
    </row>
    <row r="610" spans="1:40" x14ac:dyDescent="0.25">
      <c r="A610" t="str">
        <f>"20190305135550555"</f>
        <v>20190305135550555</v>
      </c>
      <c r="B610" t="str">
        <f>"1551765350552527"</f>
        <v>1551765350552527</v>
      </c>
      <c r="C610" t="s">
        <v>40</v>
      </c>
      <c r="D610">
        <v>3.7229079999999999</v>
      </c>
      <c r="E610">
        <v>0.46670590000000001</v>
      </c>
      <c r="F610" t="s">
        <v>42</v>
      </c>
      <c r="G610">
        <v>-249.24690000000001</v>
      </c>
      <c r="H610" s="1">
        <v>-1.037063E-6</v>
      </c>
      <c r="I610">
        <v>372.24939999999998</v>
      </c>
      <c r="J610">
        <v>-284.97829999999999</v>
      </c>
      <c r="K610">
        <v>1.0601210000000001</v>
      </c>
      <c r="L610">
        <v>367.79969999999997</v>
      </c>
      <c r="M610">
        <v>0.99977740000000004</v>
      </c>
      <c r="N610">
        <v>-1.542555E-2</v>
      </c>
      <c r="O610">
        <v>-1.4391950000000001E-2</v>
      </c>
      <c r="P610">
        <v>0.99874799999999997</v>
      </c>
      <c r="Q610">
        <v>-3.6631280000000002E-2</v>
      </c>
      <c r="R610">
        <v>3.4067699999999999E-2</v>
      </c>
      <c r="S610">
        <v>2.9881899999999999</v>
      </c>
      <c r="T610">
        <v>-8.7603570000000006E-2</v>
      </c>
      <c r="U610">
        <v>0.36721799999999999</v>
      </c>
      <c r="V610">
        <v>-4.8402729999999998E-2</v>
      </c>
      <c r="W610">
        <v>-2.1313490000000001E-2</v>
      </c>
      <c r="X610">
        <v>0.9986005</v>
      </c>
      <c r="Y610">
        <v>-0.1361561</v>
      </c>
      <c r="Z610">
        <v>3.2416110000000001E-3</v>
      </c>
      <c r="AA610">
        <v>0.99068210000000001</v>
      </c>
      <c r="AB610">
        <v>44</v>
      </c>
      <c r="AC610">
        <v>35.731399999999901</v>
      </c>
      <c r="AD610">
        <v>-1.06012203706299</v>
      </c>
      <c r="AE610">
        <v>4.4497</v>
      </c>
      <c r="AF610">
        <v>-4.9592460044409004</v>
      </c>
      <c r="AG610">
        <v>-1.06012203706299</v>
      </c>
      <c r="AH610">
        <v>35.6327638111525</v>
      </c>
      <c r="AI610">
        <v>91.687863730648502</v>
      </c>
      <c r="AJ610">
        <v>97.923333290670897</v>
      </c>
      <c r="AK610">
        <v>35.991830135287799</v>
      </c>
      <c r="AL610">
        <v>91.221265469448596</v>
      </c>
      <c r="AM610">
        <v>92.774986958716894</v>
      </c>
      <c r="AN610">
        <v>1.00000002386384</v>
      </c>
    </row>
    <row r="611" spans="1:40" x14ac:dyDescent="0.25">
      <c r="A611" t="str">
        <f>"20190305135550578"</f>
        <v>20190305135550578</v>
      </c>
      <c r="B611" t="str">
        <f>"1551765350572057"</f>
        <v>1551765350572057</v>
      </c>
      <c r="C611" t="s">
        <v>40</v>
      </c>
      <c r="D611">
        <v>3.8138999999999998</v>
      </c>
      <c r="E611">
        <v>0.4666032</v>
      </c>
      <c r="F611" t="s">
        <v>42</v>
      </c>
      <c r="G611">
        <v>-247.07849999999999</v>
      </c>
      <c r="H611" s="1">
        <v>-2.121948E-6</v>
      </c>
      <c r="I611">
        <v>372.4744</v>
      </c>
      <c r="J611">
        <v>-284.52999999999997</v>
      </c>
      <c r="K611">
        <v>1.060138</v>
      </c>
      <c r="L611">
        <v>367.79379999999998</v>
      </c>
      <c r="M611">
        <v>0.99978679999999998</v>
      </c>
      <c r="N611">
        <v>-1.542322E-2</v>
      </c>
      <c r="O611">
        <v>-1.3736480000000001E-2</v>
      </c>
      <c r="P611">
        <v>0.99873350000000005</v>
      </c>
      <c r="Q611">
        <v>-3.644443E-2</v>
      </c>
      <c r="R611">
        <v>3.4692149999999998E-2</v>
      </c>
      <c r="S611">
        <v>2.9880680000000002</v>
      </c>
      <c r="T611">
        <v>-8.3581569999999994E-2</v>
      </c>
      <c r="U611">
        <v>0.36856080000000002</v>
      </c>
      <c r="V611">
        <v>-4.8372909999999998E-2</v>
      </c>
      <c r="W611">
        <v>-2.112938E-2</v>
      </c>
      <c r="X611">
        <v>0.99860579999999999</v>
      </c>
      <c r="Y611">
        <v>-0.13595699999999999</v>
      </c>
      <c r="Z611">
        <v>3.118483E-3</v>
      </c>
      <c r="AA611">
        <v>0.99070979999999997</v>
      </c>
      <c r="AB611">
        <v>44</v>
      </c>
      <c r="AC611">
        <v>37.451499999999903</v>
      </c>
      <c r="AD611">
        <v>-1.060140121948</v>
      </c>
      <c r="AE611">
        <v>4.6806000000000196</v>
      </c>
      <c r="AF611">
        <v>-5.1905760288131404</v>
      </c>
      <c r="AG611">
        <v>-1.060140121948</v>
      </c>
      <c r="AH611">
        <v>37.354191897158799</v>
      </c>
      <c r="AI611">
        <v>91.610198222542095</v>
      </c>
      <c r="AJ611">
        <v>97.910915428259699</v>
      </c>
      <c r="AK611">
        <v>37.727995293665103</v>
      </c>
      <c r="AL611">
        <v>91.210714437124395</v>
      </c>
      <c r="AM611">
        <v>92.773265315987203</v>
      </c>
      <c r="AN611">
        <v>0.99999996645734501</v>
      </c>
    </row>
    <row r="612" spans="1:40" x14ac:dyDescent="0.25">
      <c r="A612" t="str">
        <f>"20190305135550601"</f>
        <v>20190305135550601</v>
      </c>
      <c r="B612" t="str">
        <f>"1551765350592542"</f>
        <v>1551765350592542</v>
      </c>
      <c r="C612" t="s">
        <v>40</v>
      </c>
      <c r="D612">
        <v>3.782546</v>
      </c>
      <c r="E612">
        <v>0.46647480000000002</v>
      </c>
      <c r="F612" t="s">
        <v>42</v>
      </c>
      <c r="G612">
        <v>-247.54509999999999</v>
      </c>
      <c r="H612" s="1">
        <v>-1.879264E-6</v>
      </c>
      <c r="I612">
        <v>372.39120000000003</v>
      </c>
      <c r="J612">
        <v>-284.08659999999998</v>
      </c>
      <c r="K612">
        <v>1.0601449999999999</v>
      </c>
      <c r="L612">
        <v>367.78829999999999</v>
      </c>
      <c r="M612">
        <v>0.9997954</v>
      </c>
      <c r="N612">
        <v>-1.542053E-2</v>
      </c>
      <c r="O612">
        <v>-1.3087110000000001E-2</v>
      </c>
      <c r="P612">
        <v>0.99870510000000001</v>
      </c>
      <c r="Q612">
        <v>-3.6170300000000002E-2</v>
      </c>
      <c r="R612">
        <v>3.5776259999999997E-2</v>
      </c>
      <c r="S612">
        <v>2.9878230000000001</v>
      </c>
      <c r="T612">
        <v>-8.5643410000000003E-2</v>
      </c>
      <c r="U612">
        <v>0.37139889999999998</v>
      </c>
      <c r="V612">
        <v>-4.8808879999999999E-2</v>
      </c>
      <c r="W612">
        <v>-2.0859320000000001E-2</v>
      </c>
      <c r="X612">
        <v>0.99859030000000004</v>
      </c>
      <c r="Y612">
        <v>-0.1362467</v>
      </c>
      <c r="Z612">
        <v>3.172425E-3</v>
      </c>
      <c r="AA612">
        <v>0.99066980000000004</v>
      </c>
      <c r="AB612">
        <v>43</v>
      </c>
      <c r="AC612">
        <v>36.5414999999999</v>
      </c>
      <c r="AD612">
        <v>-1.0601468792640001</v>
      </c>
      <c r="AE612">
        <v>4.6029000000000302</v>
      </c>
      <c r="AF612">
        <v>-5.0765789990731101</v>
      </c>
      <c r="AG612">
        <v>-1.0601468792640001</v>
      </c>
      <c r="AH612">
        <v>36.447924825796001</v>
      </c>
      <c r="AI612">
        <v>91.650150277514996</v>
      </c>
      <c r="AJ612">
        <v>97.929319212018001</v>
      </c>
      <c r="AK612">
        <v>36.815034834240201</v>
      </c>
      <c r="AL612">
        <v>91.195237683952001</v>
      </c>
      <c r="AM612">
        <v>92.798263710541903</v>
      </c>
      <c r="AN612">
        <v>1.0000000026258999</v>
      </c>
    </row>
    <row r="613" spans="1:40" x14ac:dyDescent="0.25">
      <c r="A613" t="str">
        <f>"20190305135550621"</f>
        <v>20190305135550621</v>
      </c>
      <c r="B613" t="str">
        <f>"1551765350612062"</f>
        <v>1551765350612062</v>
      </c>
      <c r="C613" t="s">
        <v>40</v>
      </c>
      <c r="D613">
        <v>3.7744249999999999</v>
      </c>
      <c r="E613">
        <v>0.4663853</v>
      </c>
      <c r="F613" t="s">
        <v>42</v>
      </c>
      <c r="G613">
        <v>-248.76769999999999</v>
      </c>
      <c r="H613" s="1">
        <v>-1.257753E-6</v>
      </c>
      <c r="I613">
        <v>372.22750000000002</v>
      </c>
      <c r="J613">
        <v>-283.6816</v>
      </c>
      <c r="K613">
        <v>1.060152</v>
      </c>
      <c r="L613">
        <v>367.78339999999997</v>
      </c>
      <c r="M613">
        <v>0.9998032</v>
      </c>
      <c r="N613">
        <v>-1.541782E-2</v>
      </c>
      <c r="O613">
        <v>-1.2493310000000001E-2</v>
      </c>
      <c r="P613">
        <v>0.99868069999999998</v>
      </c>
      <c r="Q613">
        <v>-3.5898020000000003E-2</v>
      </c>
      <c r="R613">
        <v>3.672139E-2</v>
      </c>
      <c r="S613">
        <v>2.9871829999999999</v>
      </c>
      <c r="T613">
        <v>-8.9664460000000001E-2</v>
      </c>
      <c r="U613">
        <v>0.37545780000000001</v>
      </c>
      <c r="V613">
        <v>-4.9161040000000003E-2</v>
      </c>
      <c r="W613">
        <v>-2.0590799999999999E-2</v>
      </c>
      <c r="X613">
        <v>0.99857859999999998</v>
      </c>
      <c r="Y613">
        <v>-0.13700219999999999</v>
      </c>
      <c r="Z613">
        <v>3.2900350000000002E-3</v>
      </c>
      <c r="AA613">
        <v>0.99056529999999998</v>
      </c>
      <c r="AB613">
        <v>43</v>
      </c>
      <c r="AC613">
        <v>34.913899999999998</v>
      </c>
      <c r="AD613">
        <v>-1.060153257753</v>
      </c>
      <c r="AE613">
        <v>4.4441000000000397</v>
      </c>
      <c r="AF613">
        <v>-4.8755713549114299</v>
      </c>
      <c r="AG613">
        <v>-1.060153257753</v>
      </c>
      <c r="AH613">
        <v>34.824049846410702</v>
      </c>
      <c r="AI613">
        <v>91.726892131991207</v>
      </c>
      <c r="AJ613">
        <v>97.9699401892358</v>
      </c>
      <c r="AK613">
        <v>35.179675505496803</v>
      </c>
      <c r="AL613">
        <v>91.179849313633397</v>
      </c>
      <c r="AM613">
        <v>92.818453940799003</v>
      </c>
      <c r="AN613">
        <v>1.00000000463824</v>
      </c>
    </row>
    <row r="614" spans="1:40" x14ac:dyDescent="0.25">
      <c r="A614" t="str">
        <f>"20190305135550645"</f>
        <v>20190305135550645</v>
      </c>
      <c r="B614" t="str">
        <f>"1551765350632560"</f>
        <v>1551765350632560</v>
      </c>
      <c r="C614" t="s">
        <v>40</v>
      </c>
      <c r="D614">
        <v>3.8131539999999999</v>
      </c>
      <c r="E614">
        <v>0.46632950000000001</v>
      </c>
      <c r="F614" t="s">
        <v>42</v>
      </c>
      <c r="G614">
        <v>-249.72280000000001</v>
      </c>
      <c r="H614" s="1">
        <v>-7.6948219999999896E-7</v>
      </c>
      <c r="I614">
        <v>372.08920000000001</v>
      </c>
      <c r="J614">
        <v>-283.24169999999998</v>
      </c>
      <c r="K614">
        <v>1.0601560000000001</v>
      </c>
      <c r="L614">
        <v>367.77850000000001</v>
      </c>
      <c r="M614">
        <v>0.99981109999999895</v>
      </c>
      <c r="N614">
        <v>-1.5414580000000001E-2</v>
      </c>
      <c r="O614">
        <v>-1.1847420000000001E-2</v>
      </c>
      <c r="P614">
        <v>0.998641</v>
      </c>
      <c r="Q614">
        <v>-3.5889129999999998E-2</v>
      </c>
      <c r="R614">
        <v>3.7797570000000003E-2</v>
      </c>
      <c r="S614">
        <v>2.986694</v>
      </c>
      <c r="T614">
        <v>-9.3241099999999993E-2</v>
      </c>
      <c r="U614">
        <v>0.37869259999999999</v>
      </c>
      <c r="V614">
        <v>-4.9591959999999997E-2</v>
      </c>
      <c r="W614">
        <v>-2.0586380000000001E-2</v>
      </c>
      <c r="X614">
        <v>0.99855740000000004</v>
      </c>
      <c r="Y614">
        <v>-0.13743169999999999</v>
      </c>
      <c r="Z614">
        <v>3.386563E-3</v>
      </c>
      <c r="AA614">
        <v>0.99050550000000004</v>
      </c>
      <c r="AB614">
        <v>43</v>
      </c>
      <c r="AC614">
        <v>33.518899999999903</v>
      </c>
      <c r="AD614">
        <v>-1.0601567694821901</v>
      </c>
      <c r="AE614">
        <v>4.31069999999999</v>
      </c>
      <c r="AF614">
        <v>-4.7029288988340401</v>
      </c>
      <c r="AG614">
        <v>-1.0601567694821901</v>
      </c>
      <c r="AH614">
        <v>33.432569457596401</v>
      </c>
      <c r="AI614">
        <v>91.798561869152095</v>
      </c>
      <c r="AJ614">
        <v>98.007205650904496</v>
      </c>
      <c r="AK614">
        <v>33.778368420342197</v>
      </c>
      <c r="AL614">
        <v>91.179595992921193</v>
      </c>
      <c r="AM614">
        <v>92.843178939159003</v>
      </c>
      <c r="AN614">
        <v>1.0000000213164499</v>
      </c>
    </row>
    <row r="615" spans="1:40" x14ac:dyDescent="0.25">
      <c r="A615" t="str">
        <f>"20190305135550658"</f>
        <v>20190305135550658</v>
      </c>
      <c r="B615" t="str">
        <f>"1551765350652078"</f>
        <v>1551765350652078</v>
      </c>
      <c r="C615" t="s">
        <v>40</v>
      </c>
      <c r="D615">
        <v>3.8058730000000001</v>
      </c>
      <c r="E615">
        <v>0.46628389999999997</v>
      </c>
      <c r="F615" t="s">
        <v>42</v>
      </c>
      <c r="G615">
        <v>-249.67789999999999</v>
      </c>
      <c r="H615" s="1">
        <v>-7.8708099999999995E-7</v>
      </c>
      <c r="I615">
        <v>372.07560000000001</v>
      </c>
      <c r="J615">
        <v>-282.98219999999998</v>
      </c>
      <c r="K615">
        <v>1.0601590000000001</v>
      </c>
      <c r="L615">
        <v>367.77569999999997</v>
      </c>
      <c r="M615">
        <v>0.99981560000000003</v>
      </c>
      <c r="N615">
        <v>-1.5412489999999999E-2</v>
      </c>
      <c r="O615">
        <v>-1.1466189999999999E-2</v>
      </c>
      <c r="P615">
        <v>0.99861310000000003</v>
      </c>
      <c r="Q615">
        <v>-3.614059E-2</v>
      </c>
      <c r="R615">
        <v>3.8288389999999999E-2</v>
      </c>
      <c r="S615">
        <v>2.9862669999999998</v>
      </c>
      <c r="T615">
        <v>-9.4325179999999995E-2</v>
      </c>
      <c r="U615">
        <v>0.3823242</v>
      </c>
      <c r="V615">
        <v>-4.9701210000000003E-2</v>
      </c>
      <c r="W615">
        <v>-2.084039E-2</v>
      </c>
      <c r="X615">
        <v>0.99854670000000001</v>
      </c>
      <c r="Y615">
        <v>-0.1382544</v>
      </c>
      <c r="Z615">
        <v>3.4289799999999999E-3</v>
      </c>
      <c r="AA615">
        <v>0.99039080000000002</v>
      </c>
      <c r="AB615">
        <v>43</v>
      </c>
      <c r="AC615">
        <v>33.304299999999898</v>
      </c>
      <c r="AD615">
        <v>-1.060159787081</v>
      </c>
      <c r="AE615">
        <v>4.2999000000000303</v>
      </c>
      <c r="AF615">
        <v>-4.6768745914379899</v>
      </c>
      <c r="AG615">
        <v>-1.060159787081</v>
      </c>
      <c r="AH615">
        <v>33.219690865812098</v>
      </c>
      <c r="AI615">
        <v>91.810055690327005</v>
      </c>
      <c r="AJ615">
        <v>98.013786559278401</v>
      </c>
      <c r="AK615">
        <v>33.564042604226003</v>
      </c>
      <c r="AL615">
        <v>91.194152815757704</v>
      </c>
      <c r="AM615">
        <v>92.8494625719091</v>
      </c>
      <c r="AN615">
        <v>1.00000002210585</v>
      </c>
    </row>
    <row r="616" spans="1:40" x14ac:dyDescent="0.25">
      <c r="A616" t="str">
        <f>"20190305135550670"</f>
        <v>20190305135550670</v>
      </c>
      <c r="B616" t="str">
        <f>"1551765350662815"</f>
        <v>1551765350662815</v>
      </c>
      <c r="C616" t="s">
        <v>40</v>
      </c>
      <c r="D616">
        <v>3.909478</v>
      </c>
      <c r="E616">
        <v>0.4664838</v>
      </c>
      <c r="F616" t="s">
        <v>42</v>
      </c>
      <c r="G616">
        <v>-249.953</v>
      </c>
      <c r="H616" s="1">
        <v>-6.4342769999999995E-7</v>
      </c>
      <c r="I616">
        <v>372.02440000000001</v>
      </c>
      <c r="J616">
        <v>-282.73250000000002</v>
      </c>
      <c r="K616">
        <v>1.0601609999999999</v>
      </c>
      <c r="L616">
        <v>367.7731</v>
      </c>
      <c r="M616">
        <v>0.99981960000000003</v>
      </c>
      <c r="N616">
        <v>-1.541039E-2</v>
      </c>
      <c r="O616">
        <v>-1.109914E-2</v>
      </c>
      <c r="P616">
        <v>0.99859730000000002</v>
      </c>
      <c r="Q616">
        <v>-3.6357189999999998E-2</v>
      </c>
      <c r="R616">
        <v>3.8492899999999997E-2</v>
      </c>
      <c r="S616">
        <v>2.9859619999999998</v>
      </c>
      <c r="T616">
        <v>-9.5842239999999995E-2</v>
      </c>
      <c r="U616">
        <v>0.3840942</v>
      </c>
      <c r="V616">
        <v>-4.953863E-2</v>
      </c>
      <c r="W616">
        <v>-2.1058830000000001E-2</v>
      </c>
      <c r="X616">
        <v>0.99855020000000005</v>
      </c>
      <c r="Y616">
        <v>-0.13847809999999999</v>
      </c>
      <c r="Z616">
        <v>3.4690340000000002E-3</v>
      </c>
      <c r="AA616">
        <v>0.9903594</v>
      </c>
      <c r="AB616">
        <v>43</v>
      </c>
      <c r="AC616">
        <v>32.779499999999999</v>
      </c>
      <c r="AD616">
        <v>-1.0601616434276999</v>
      </c>
      <c r="AE616">
        <v>4.2513000000000103</v>
      </c>
      <c r="AF616">
        <v>-4.6101630087484597</v>
      </c>
      <c r="AG616">
        <v>-1.0601616434276999</v>
      </c>
      <c r="AH616">
        <v>32.696653459525002</v>
      </c>
      <c r="AI616">
        <v>91.838940267691498</v>
      </c>
      <c r="AJ616">
        <v>98.025685127501603</v>
      </c>
      <c r="AK616">
        <v>33.037080578188103</v>
      </c>
      <c r="AL616">
        <v>91.206671248206504</v>
      </c>
      <c r="AM616">
        <v>92.840146906716498</v>
      </c>
      <c r="AN616">
        <v>1.00000002605164</v>
      </c>
    </row>
    <row r="617" spans="1:40" x14ac:dyDescent="0.25">
      <c r="A617" t="str">
        <f>"20190305135550684"</f>
        <v>20190305135550684</v>
      </c>
      <c r="B617" t="str">
        <f>"1551765350682337"</f>
        <v>1551765350682337</v>
      </c>
      <c r="C617" t="s">
        <v>40</v>
      </c>
      <c r="D617">
        <v>3.8265940000000001</v>
      </c>
      <c r="E617">
        <v>0.5127138</v>
      </c>
      <c r="F617" t="s">
        <v>42</v>
      </c>
      <c r="G617">
        <v>-249.56440000000001</v>
      </c>
      <c r="H617" s="1">
        <v>-8.287697E-7</v>
      </c>
      <c r="I617">
        <v>372.03050000000002</v>
      </c>
      <c r="J617">
        <v>-282.46980000000002</v>
      </c>
      <c r="K617">
        <v>1.060157</v>
      </c>
      <c r="L617">
        <v>367.77050000000003</v>
      </c>
      <c r="M617">
        <v>0.99982400000000005</v>
      </c>
      <c r="N617">
        <v>-1.540818E-2</v>
      </c>
      <c r="O617">
        <v>-1.071279E-2</v>
      </c>
      <c r="P617">
        <v>0.99859240000000005</v>
      </c>
      <c r="Q617">
        <v>-3.6164219999999997E-2</v>
      </c>
      <c r="R617">
        <v>3.8799699999999902E-2</v>
      </c>
      <c r="S617">
        <v>2.9859619999999998</v>
      </c>
      <c r="T617">
        <v>-9.5441100000000001E-2</v>
      </c>
      <c r="U617">
        <v>0.38327030000000001</v>
      </c>
      <c r="V617">
        <v>-4.9459780000000002E-2</v>
      </c>
      <c r="W617">
        <v>-2.0867779999999999E-2</v>
      </c>
      <c r="X617">
        <v>0.9985581</v>
      </c>
      <c r="Y617">
        <v>-0.1378279</v>
      </c>
      <c r="Z617">
        <v>3.4364320000000001E-3</v>
      </c>
      <c r="AA617">
        <v>0.99045030000000001</v>
      </c>
      <c r="AB617">
        <v>43</v>
      </c>
      <c r="AC617">
        <v>32.9054</v>
      </c>
      <c r="AD617">
        <v>-1.0601578287697</v>
      </c>
      <c r="AE617">
        <v>4.25999999999999</v>
      </c>
      <c r="AF617">
        <v>-4.6076019903082397</v>
      </c>
      <c r="AG617">
        <v>-1.0601578287697</v>
      </c>
      <c r="AH617">
        <v>32.824358660124297</v>
      </c>
      <c r="AI617">
        <v>91.831942291893597</v>
      </c>
      <c r="AJ617">
        <v>97.990481306505501</v>
      </c>
      <c r="AK617">
        <v>33.163118854707697</v>
      </c>
      <c r="AL617">
        <v>91.195722507050803</v>
      </c>
      <c r="AM617">
        <v>92.835611268237599</v>
      </c>
      <c r="AN617">
        <v>1.0000000065776899</v>
      </c>
    </row>
    <row r="618" spans="1:40" x14ac:dyDescent="0.25">
      <c r="A618" t="str">
        <f>"20190305135550698"</f>
        <v>20190305135550698</v>
      </c>
      <c r="B618" t="str">
        <f>"1551765350692095"</f>
        <v>1551765350692095</v>
      </c>
      <c r="C618" t="s">
        <v>40</v>
      </c>
      <c r="D618">
        <v>3.9266999999999999</v>
      </c>
      <c r="E618">
        <v>0.52382109999999904</v>
      </c>
      <c r="F618" t="s">
        <v>42</v>
      </c>
      <c r="G618">
        <v>-262.32029999999997</v>
      </c>
      <c r="H618" s="1">
        <v>-3.5886159999999998E-6</v>
      </c>
      <c r="I618">
        <v>367.85890000000001</v>
      </c>
      <c r="J618">
        <v>-282.19839999999999</v>
      </c>
      <c r="K618">
        <v>1.0601609999999999</v>
      </c>
      <c r="L618">
        <v>367.7679</v>
      </c>
      <c r="M618">
        <v>0.99982819999999994</v>
      </c>
      <c r="N618">
        <v>-1.5405830000000001E-2</v>
      </c>
      <c r="O618">
        <v>-1.031309E-2</v>
      </c>
      <c r="P618">
        <v>0.99858089999999999</v>
      </c>
      <c r="Q618">
        <v>-3.6066109999999998E-2</v>
      </c>
      <c r="R618">
        <v>3.918572E-2</v>
      </c>
      <c r="S618">
        <v>2.9980159999999998</v>
      </c>
      <c r="T618">
        <v>-0.15773989999999999</v>
      </c>
      <c r="U618">
        <v>1.3153079999999999E-2</v>
      </c>
      <c r="V618">
        <v>-4.9447030000000003E-2</v>
      </c>
      <c r="W618">
        <v>-2.0771939999999999E-2</v>
      </c>
      <c r="X618">
        <v>0.99856069999999997</v>
      </c>
      <c r="Y618">
        <v>-1.466783E-2</v>
      </c>
      <c r="Z618">
        <v>8.8212190000000002E-4</v>
      </c>
      <c r="AA618">
        <v>0.99989209999999995</v>
      </c>
      <c r="AB618">
        <v>43</v>
      </c>
      <c r="AC618">
        <v>19.8781</v>
      </c>
      <c r="AD618">
        <v>-1.060164588616</v>
      </c>
      <c r="AE618">
        <v>9.1000000000008199E-2</v>
      </c>
      <c r="AF618">
        <v>-0.29518449552609599</v>
      </c>
      <c r="AG618">
        <v>-1.060164588616</v>
      </c>
      <c r="AH618">
        <v>19.819729145120501</v>
      </c>
      <c r="AI618">
        <v>93.061515413522898</v>
      </c>
      <c r="AJ618">
        <v>90.8532697548806</v>
      </c>
      <c r="AK618">
        <v>19.850258089689699</v>
      </c>
      <c r="AL618">
        <v>91.190230124355097</v>
      </c>
      <c r="AM618">
        <v>92.834874112865904</v>
      </c>
      <c r="AN618">
        <v>0.99999997692583598</v>
      </c>
    </row>
    <row r="619" spans="1:40" x14ac:dyDescent="0.25">
      <c r="A619" t="str">
        <f>"20190305135550711"</f>
        <v>20190305135550711</v>
      </c>
      <c r="B619" t="str">
        <f>"1551765350702830"</f>
        <v>1551765350702830</v>
      </c>
      <c r="C619" t="s">
        <v>40</v>
      </c>
      <c r="D619">
        <v>3.9730110000000001</v>
      </c>
      <c r="E619">
        <v>0.53107799999999905</v>
      </c>
      <c r="F619" t="s">
        <v>42</v>
      </c>
      <c r="G619">
        <v>-264.82490000000001</v>
      </c>
      <c r="H619" s="1">
        <v>-2.6073110000000001E-6</v>
      </c>
      <c r="I619">
        <v>367.33370000000002</v>
      </c>
      <c r="J619">
        <v>-281.95359999999999</v>
      </c>
      <c r="K619">
        <v>1.0601670000000001</v>
      </c>
      <c r="L619">
        <v>367.76560000000001</v>
      </c>
      <c r="M619">
        <v>0.9998319</v>
      </c>
      <c r="N619">
        <v>-1.540366E-2</v>
      </c>
      <c r="O619">
        <v>-9.9529709999999997E-3</v>
      </c>
      <c r="P619">
        <v>0.99859070000000005</v>
      </c>
      <c r="Q619">
        <v>-3.575043E-2</v>
      </c>
      <c r="R619">
        <v>3.9223460000000002E-2</v>
      </c>
      <c r="S619">
        <v>3.0005799999999998</v>
      </c>
      <c r="T619">
        <v>-0.18310080000000001</v>
      </c>
      <c r="U619">
        <v>-7.4981690000000004E-2</v>
      </c>
      <c r="V619">
        <v>-4.9125460000000003E-2</v>
      </c>
      <c r="W619">
        <v>-2.0457469999999998E-2</v>
      </c>
      <c r="X619">
        <v>0.99858309999999995</v>
      </c>
      <c r="Y619">
        <v>1.500437E-2</v>
      </c>
      <c r="Z619">
        <v>-1.195555E-4</v>
      </c>
      <c r="AA619">
        <v>0.99988739999999998</v>
      </c>
      <c r="AB619">
        <v>43</v>
      </c>
      <c r="AC619">
        <v>17.128699999999899</v>
      </c>
      <c r="AD619">
        <v>-1.0601696073109901</v>
      </c>
      <c r="AE619">
        <v>-0.43189999999998402</v>
      </c>
      <c r="AF619">
        <v>0.26038007393309498</v>
      </c>
      <c r="AG619">
        <v>-1.0601696073109901</v>
      </c>
      <c r="AH619">
        <v>17.066810712517501</v>
      </c>
      <c r="AI619">
        <v>93.554164493397195</v>
      </c>
      <c r="AJ619">
        <v>89.125933824334197</v>
      </c>
      <c r="AK619">
        <v>17.101689544488501</v>
      </c>
      <c r="AL619">
        <v>91.172208447794802</v>
      </c>
      <c r="AM619">
        <v>92.816404716177999</v>
      </c>
      <c r="AN619">
        <v>1.0000000132523099</v>
      </c>
    </row>
    <row r="620" spans="1:40" x14ac:dyDescent="0.25">
      <c r="A620" t="str">
        <f>"20190305135550734"</f>
        <v>20190305135550734</v>
      </c>
      <c r="B620" t="str">
        <f>"1551765350722351"</f>
        <v>1551765350722351</v>
      </c>
      <c r="C620" t="s">
        <v>40</v>
      </c>
      <c r="D620">
        <v>3.941767</v>
      </c>
      <c r="E620">
        <v>0.53763799999999995</v>
      </c>
      <c r="F620" t="s">
        <v>41</v>
      </c>
      <c r="G620">
        <v>-280.8768</v>
      </c>
      <c r="H620">
        <v>0.98922310000000002</v>
      </c>
      <c r="I620">
        <v>367.71769999999998</v>
      </c>
      <c r="J620">
        <v>-281.52690000000001</v>
      </c>
      <c r="K620">
        <v>1.0601670000000001</v>
      </c>
      <c r="L620">
        <v>367.76190000000003</v>
      </c>
      <c r="M620">
        <v>0.99983789999999995</v>
      </c>
      <c r="N620">
        <v>-1.5399799999999899E-2</v>
      </c>
      <c r="O620">
        <v>-9.3246319999999994E-3</v>
      </c>
      <c r="P620">
        <v>0.99858429999999998</v>
      </c>
      <c r="Q620">
        <v>-3.5810630000000003E-2</v>
      </c>
      <c r="R620">
        <v>3.9332890000000002E-2</v>
      </c>
      <c r="S620">
        <v>3.00238</v>
      </c>
      <c r="T620">
        <v>-0.19786020000000001</v>
      </c>
      <c r="U620">
        <v>-0.1333618</v>
      </c>
      <c r="V620">
        <v>-4.8607810000000001E-2</v>
      </c>
      <c r="W620">
        <v>-2.052023E-2</v>
      </c>
      <c r="X620">
        <v>0.99860720000000003</v>
      </c>
      <c r="Y620">
        <v>3.4974829999999998E-2</v>
      </c>
      <c r="Z620">
        <v>-9.5036459999999997E-4</v>
      </c>
      <c r="AA620">
        <v>0.99938769999999999</v>
      </c>
      <c r="AB620">
        <v>43</v>
      </c>
      <c r="AC620">
        <v>0.650100000000009</v>
      </c>
      <c r="AD620">
        <v>-7.0943900000000004E-2</v>
      </c>
      <c r="AE620">
        <v>-4.4200000000046202E-2</v>
      </c>
      <c r="AF620">
        <v>3.7688652252757499E-2</v>
      </c>
      <c r="AG620">
        <v>-7.0943900000000004E-2</v>
      </c>
      <c r="AH620">
        <v>0.64286339111930901</v>
      </c>
      <c r="AI620">
        <v>96.286749138511894</v>
      </c>
      <c r="AJ620">
        <v>86.644805333536794</v>
      </c>
      <c r="AK620">
        <v>0.64786326574151198</v>
      </c>
      <c r="AL620">
        <v>91.175805019769896</v>
      </c>
      <c r="AM620">
        <v>92.786707280475596</v>
      </c>
      <c r="AN620">
        <v>1.0000000694620399</v>
      </c>
    </row>
    <row r="621" spans="1:40" x14ac:dyDescent="0.25">
      <c r="A621" t="str">
        <f>"20190305135550757"</f>
        <v>20190305135550757</v>
      </c>
      <c r="B621" t="str">
        <f>"1551765350752608"</f>
        <v>1551765350752608</v>
      </c>
      <c r="C621" t="s">
        <v>40</v>
      </c>
      <c r="D621">
        <v>3.9289670000000001</v>
      </c>
      <c r="E621">
        <v>0.539975599999999</v>
      </c>
      <c r="F621" t="s">
        <v>41</v>
      </c>
      <c r="G621">
        <v>-280.4923</v>
      </c>
      <c r="H621">
        <v>0.98958590000000002</v>
      </c>
      <c r="I621">
        <v>367.69779999999997</v>
      </c>
      <c r="J621">
        <v>-281.08300000000003</v>
      </c>
      <c r="K621">
        <v>1.0602400000000001</v>
      </c>
      <c r="L621">
        <v>367.75830000000002</v>
      </c>
      <c r="M621">
        <v>0.99983880000000003</v>
      </c>
      <c r="N621">
        <v>-1.5713769999999998E-2</v>
      </c>
      <c r="O621">
        <v>-8.7064359999999997E-3</v>
      </c>
      <c r="P621">
        <v>0.99857189999999996</v>
      </c>
      <c r="Q621">
        <v>-3.6187450000000003E-2</v>
      </c>
      <c r="R621">
        <v>3.9303879999999999E-2</v>
      </c>
      <c r="S621">
        <v>3.0042420000000001</v>
      </c>
      <c r="T621">
        <v>-0.20511219999999999</v>
      </c>
      <c r="U621">
        <v>-0.18573000000000001</v>
      </c>
      <c r="V621">
        <v>-4.7962049999999999E-2</v>
      </c>
      <c r="W621">
        <v>-2.0580459999999998E-2</v>
      </c>
      <c r="X621">
        <v>0.99863710000000006</v>
      </c>
      <c r="Y621">
        <v>5.2872490000000001E-2</v>
      </c>
      <c r="Z621">
        <v>-1.7609829999999901E-3</v>
      </c>
      <c r="AA621">
        <v>0.99859969999999998</v>
      </c>
      <c r="AB621">
        <v>43</v>
      </c>
      <c r="AC621">
        <v>0.59069999999996903</v>
      </c>
      <c r="AD621">
        <v>-7.0654099999999997E-2</v>
      </c>
      <c r="AE621">
        <v>-6.0500000000047301E-2</v>
      </c>
      <c r="AF621">
        <v>5.4581404746643997E-2</v>
      </c>
      <c r="AG621">
        <v>-7.0654099999999997E-2</v>
      </c>
      <c r="AH621">
        <v>0.58295086170017096</v>
      </c>
      <c r="AI621">
        <v>96.880782866973604</v>
      </c>
      <c r="AJ621">
        <v>84.651018336912998</v>
      </c>
      <c r="AK621">
        <v>0.58974811466243704</v>
      </c>
      <c r="AL621">
        <v>91.179256772238404</v>
      </c>
      <c r="AM621">
        <v>92.749660572365798</v>
      </c>
      <c r="AN621">
        <v>0.99999998553521197</v>
      </c>
    </row>
    <row r="622" spans="1:40" x14ac:dyDescent="0.25">
      <c r="A622" t="str">
        <f>"20190305135550770"</f>
        <v>20190305135550770</v>
      </c>
      <c r="B622" t="str">
        <f>"1551765350762367"</f>
        <v>1551765350762367</v>
      </c>
      <c r="C622" t="s">
        <v>40</v>
      </c>
      <c r="D622">
        <v>3.9216250000000001</v>
      </c>
      <c r="E622">
        <v>0.54053960000000001</v>
      </c>
      <c r="F622" t="s">
        <v>41</v>
      </c>
      <c r="G622">
        <v>-280.11079999999998</v>
      </c>
      <c r="H622">
        <v>0.99041679999999999</v>
      </c>
      <c r="I622">
        <v>367.69209999999998</v>
      </c>
      <c r="J622">
        <v>-280.82850000000002</v>
      </c>
      <c r="K622">
        <v>1.060387</v>
      </c>
      <c r="L622">
        <v>367.75639999999999</v>
      </c>
      <c r="M622">
        <v>0.99983180000000005</v>
      </c>
      <c r="N622">
        <v>-1.6307769999999999E-2</v>
      </c>
      <c r="O622">
        <v>-8.3987539999999996E-3</v>
      </c>
      <c r="P622">
        <v>0.99854770000000004</v>
      </c>
      <c r="Q622">
        <v>-3.6698620000000001E-2</v>
      </c>
      <c r="R622">
        <v>3.9442430000000001E-2</v>
      </c>
      <c r="S622">
        <v>3.0044559999999998</v>
      </c>
      <c r="T622">
        <v>-0.21585499999999999</v>
      </c>
      <c r="U622">
        <v>-0.20452880000000001</v>
      </c>
      <c r="V622">
        <v>-4.7794509999999998E-2</v>
      </c>
      <c r="W622">
        <v>-2.04954E-2</v>
      </c>
      <c r="X622">
        <v>0.9986469</v>
      </c>
      <c r="Y622">
        <v>5.9360900000000001E-2</v>
      </c>
      <c r="Z622">
        <v>-2.1473709999999999E-3</v>
      </c>
      <c r="AA622">
        <v>0.99823430000000002</v>
      </c>
      <c r="AB622">
        <v>43</v>
      </c>
      <c r="AC622">
        <v>0.71770000000003598</v>
      </c>
      <c r="AD622">
        <v>-6.9970200000000204E-2</v>
      </c>
      <c r="AE622">
        <v>-6.4300000000002897E-2</v>
      </c>
      <c r="AF622">
        <v>5.7724853434244203E-2</v>
      </c>
      <c r="AG622">
        <v>-6.9970200000000204E-2</v>
      </c>
      <c r="AH622">
        <v>0.71150596053690995</v>
      </c>
      <c r="AI622">
        <v>95.598188118707199</v>
      </c>
      <c r="AJ622">
        <v>85.361722053642197</v>
      </c>
      <c r="AK622">
        <v>0.71726474852149003</v>
      </c>
      <c r="AL622">
        <v>91.174382143595494</v>
      </c>
      <c r="AM622">
        <v>92.740043332993494</v>
      </c>
      <c r="AN622">
        <v>1.00000000374345</v>
      </c>
    </row>
    <row r="623" spans="1:40" x14ac:dyDescent="0.25">
      <c r="A623" t="str">
        <f>"20190305135550791"</f>
        <v>20190305135550791</v>
      </c>
      <c r="B623" t="str">
        <f>"1551765350781886"</f>
        <v>1551765350781886</v>
      </c>
      <c r="C623" t="s">
        <v>40</v>
      </c>
      <c r="D623">
        <v>3.8951069999999999</v>
      </c>
      <c r="E623">
        <v>0.54189560000000003</v>
      </c>
      <c r="F623" t="s">
        <v>41</v>
      </c>
      <c r="G623">
        <v>-279.73869999999999</v>
      </c>
      <c r="H623">
        <v>0.98069640000000002</v>
      </c>
      <c r="I623">
        <v>367.68049999999999</v>
      </c>
      <c r="J623">
        <v>-280.43439999999998</v>
      </c>
      <c r="K623">
        <v>1.060983</v>
      </c>
      <c r="L623">
        <v>367.75349999999997</v>
      </c>
      <c r="M623">
        <v>0.99981620000000004</v>
      </c>
      <c r="N623">
        <v>-1.7446489999999999E-2</v>
      </c>
      <c r="O623">
        <v>-7.9426989999999992E-3</v>
      </c>
      <c r="P623">
        <v>0.99849540000000003</v>
      </c>
      <c r="Q623">
        <v>-3.8012240000000003E-2</v>
      </c>
      <c r="R623">
        <v>3.952195E-2</v>
      </c>
      <c r="S623">
        <v>3.004486</v>
      </c>
      <c r="T623">
        <v>-0.21989310000000001</v>
      </c>
      <c r="U623">
        <v>-0.2086182</v>
      </c>
      <c r="V623">
        <v>-4.7420530000000002E-2</v>
      </c>
      <c r="W623">
        <v>-2.066633E-2</v>
      </c>
      <c r="X623">
        <v>0.99866120000000003</v>
      </c>
      <c r="Y623">
        <v>6.1152190000000002E-2</v>
      </c>
      <c r="Z623">
        <v>-2.3256430000000001E-3</v>
      </c>
      <c r="AA623">
        <v>0.9981257</v>
      </c>
      <c r="AB623">
        <v>43</v>
      </c>
      <c r="AC623">
        <v>0.695699999999987</v>
      </c>
      <c r="AD623">
        <v>-8.0286599999999902E-2</v>
      </c>
      <c r="AE623">
        <v>-7.2999999999978998E-2</v>
      </c>
      <c r="AF623">
        <v>6.6593874681323301E-2</v>
      </c>
      <c r="AG623">
        <v>-8.0286599999999902E-2</v>
      </c>
      <c r="AH623">
        <v>0.68720535938325999</v>
      </c>
      <c r="AI623">
        <v>96.632898200331894</v>
      </c>
      <c r="AJ623">
        <v>84.465015053418696</v>
      </c>
      <c r="AK623">
        <v>0.69507689376766602</v>
      </c>
      <c r="AL623">
        <v>91.184177792618797</v>
      </c>
      <c r="AM623">
        <v>92.718596606579197</v>
      </c>
      <c r="AN623">
        <v>0.99999999812329399</v>
      </c>
    </row>
    <row r="624" spans="1:40" x14ac:dyDescent="0.25">
      <c r="A624" t="str">
        <f>"20190305135550814"</f>
        <v>20190305135550814</v>
      </c>
      <c r="B624" t="str">
        <f>"1551765350802382"</f>
        <v>1551765350802382</v>
      </c>
      <c r="C624" t="s">
        <v>40</v>
      </c>
      <c r="D624">
        <v>3.9471539999999998</v>
      </c>
      <c r="E624">
        <v>0.54261649999999995</v>
      </c>
      <c r="F624" t="s">
        <v>41</v>
      </c>
      <c r="G624">
        <v>-279.36360000000002</v>
      </c>
      <c r="H624">
        <v>0.98136140000000005</v>
      </c>
      <c r="I624">
        <v>367.67540000000002</v>
      </c>
      <c r="J624">
        <v>-280.02339999999998</v>
      </c>
      <c r="K624">
        <v>1.061812</v>
      </c>
      <c r="L624">
        <v>367.75080000000003</v>
      </c>
      <c r="M624">
        <v>0.99981739999999997</v>
      </c>
      <c r="N624">
        <v>-1.7608530000000001E-2</v>
      </c>
      <c r="O624">
        <v>-7.4355599999999999E-3</v>
      </c>
      <c r="P624">
        <v>0.99848029999999999</v>
      </c>
      <c r="Q624">
        <v>-3.824748E-2</v>
      </c>
      <c r="R624">
        <v>3.9680060000000003E-2</v>
      </c>
      <c r="S624">
        <v>3.0046689999999998</v>
      </c>
      <c r="T624">
        <v>-0.2234353</v>
      </c>
      <c r="U624">
        <v>-0.2192383</v>
      </c>
      <c r="V624">
        <v>-4.7071399999999999E-2</v>
      </c>
      <c r="W624">
        <v>-2.074059E-2</v>
      </c>
      <c r="X624">
        <v>0.99867620000000001</v>
      </c>
      <c r="Y624">
        <v>6.5143699999999999E-2</v>
      </c>
      <c r="Z624">
        <v>-2.5701600000000002E-3</v>
      </c>
      <c r="AA624">
        <v>0.9978726</v>
      </c>
      <c r="AB624">
        <v>42</v>
      </c>
      <c r="AC624">
        <v>0.65979999999996097</v>
      </c>
      <c r="AD624">
        <v>-8.0450599999999997E-2</v>
      </c>
      <c r="AE624">
        <v>-7.5400000000001896E-2</v>
      </c>
      <c r="AF624">
        <v>6.9471626771849398E-2</v>
      </c>
      <c r="AG624">
        <v>-8.0450599999999997E-2</v>
      </c>
      <c r="AH624">
        <v>0.65079165354944901</v>
      </c>
      <c r="AI624">
        <v>97.007712866537005</v>
      </c>
      <c r="AJ624">
        <v>83.906784226446902</v>
      </c>
      <c r="AK624">
        <v>0.659415182033529</v>
      </c>
      <c r="AL624">
        <v>91.1884334626521</v>
      </c>
      <c r="AM624">
        <v>92.698570373085303</v>
      </c>
      <c r="AN624">
        <v>1.0000000206089701</v>
      </c>
    </row>
    <row r="625" spans="1:40" x14ac:dyDescent="0.25">
      <c r="A625" t="str">
        <f>"20190305135550835"</f>
        <v>20190305135550835</v>
      </c>
      <c r="B625" t="str">
        <f>"1551765350832639"</f>
        <v>1551765350832639</v>
      </c>
      <c r="C625" t="s">
        <v>40</v>
      </c>
      <c r="D625">
        <v>3.9402270000000001</v>
      </c>
      <c r="E625">
        <v>0.54339519999999997</v>
      </c>
      <c r="F625" t="s">
        <v>41</v>
      </c>
      <c r="G625">
        <v>-278.98559999999998</v>
      </c>
      <c r="H625">
        <v>0.98385199999999995</v>
      </c>
      <c r="I625">
        <v>367.6728</v>
      </c>
      <c r="J625">
        <v>-279.60300000000001</v>
      </c>
      <c r="K625">
        <v>1.0626260000000001</v>
      </c>
      <c r="L625">
        <v>367.74829999999997</v>
      </c>
      <c r="M625">
        <v>0.99984879999999998</v>
      </c>
      <c r="N625">
        <v>-1.5982980000000001E-2</v>
      </c>
      <c r="O625">
        <v>-6.8729019999999898E-3</v>
      </c>
      <c r="P625">
        <v>0.99853689999999995</v>
      </c>
      <c r="Q625">
        <v>-3.6439659999999999E-2</v>
      </c>
      <c r="R625">
        <v>3.9954089999999998E-2</v>
      </c>
      <c r="S625">
        <v>3.0048520000000001</v>
      </c>
      <c r="T625">
        <v>-0.2259803</v>
      </c>
      <c r="U625">
        <v>-0.22479250000000001</v>
      </c>
      <c r="V625">
        <v>-4.6782990000000003E-2</v>
      </c>
      <c r="W625">
        <v>-2.055829E-2</v>
      </c>
      <c r="X625">
        <v>0.99869350000000001</v>
      </c>
      <c r="Y625">
        <v>6.7526719999999998E-2</v>
      </c>
      <c r="Z625">
        <v>-2.667614E-3</v>
      </c>
      <c r="AA625">
        <v>0.99771390000000004</v>
      </c>
      <c r="AB625">
        <v>42</v>
      </c>
      <c r="AC625">
        <v>0.61740000000003104</v>
      </c>
      <c r="AD625">
        <v>-7.8773999999999997E-2</v>
      </c>
      <c r="AE625">
        <v>-7.5499999999976794E-2</v>
      </c>
      <c r="AF625">
        <v>7.0129514997014697E-2</v>
      </c>
      <c r="AG625">
        <v>-7.8773999999999997E-2</v>
      </c>
      <c r="AH625">
        <v>0.60815006668795202</v>
      </c>
      <c r="AI625">
        <v>97.332401446120898</v>
      </c>
      <c r="AJ625">
        <v>83.421927478577302</v>
      </c>
      <c r="AK625">
        <v>0.61722766914832705</v>
      </c>
      <c r="AL625">
        <v>91.177986239893201</v>
      </c>
      <c r="AM625">
        <v>92.682013854981406</v>
      </c>
      <c r="AN625">
        <v>0.99999999919165705</v>
      </c>
    </row>
    <row r="626" spans="1:40" x14ac:dyDescent="0.25">
      <c r="A626" t="str">
        <f>"20190305135550858"</f>
        <v>20190305135550858</v>
      </c>
      <c r="B626" t="str">
        <f>"1551765350852159"</f>
        <v>1551765350852159</v>
      </c>
      <c r="C626" t="s">
        <v>40</v>
      </c>
      <c r="D626">
        <v>3.9610940000000001</v>
      </c>
      <c r="E626">
        <v>0.54383019999999904</v>
      </c>
      <c r="F626" t="s">
        <v>41</v>
      </c>
      <c r="G626">
        <v>-278.60509999999999</v>
      </c>
      <c r="H626">
        <v>0.98809849999999999</v>
      </c>
      <c r="I626">
        <v>367.67189999999999</v>
      </c>
      <c r="J626">
        <v>-279.1771</v>
      </c>
      <c r="K626">
        <v>1.0636589999999999</v>
      </c>
      <c r="L626">
        <v>367.74610000000001</v>
      </c>
      <c r="M626">
        <v>0.99988679999999996</v>
      </c>
      <c r="N626">
        <v>-1.366145E-2</v>
      </c>
      <c r="O626">
        <v>-6.3226849999999998E-3</v>
      </c>
      <c r="P626">
        <v>0.99861580000000005</v>
      </c>
      <c r="Q626">
        <v>-3.4060559999999997E-2</v>
      </c>
      <c r="R626">
        <v>4.008076E-2</v>
      </c>
      <c r="S626">
        <v>3.0054319999999999</v>
      </c>
      <c r="T626">
        <v>-0.22443250000000001</v>
      </c>
      <c r="U626">
        <v>-0.23019410000000001</v>
      </c>
      <c r="V626">
        <v>-4.635922E-2</v>
      </c>
      <c r="W626">
        <v>-2.0498450000000001E-2</v>
      </c>
      <c r="X626">
        <v>0.99871449999999995</v>
      </c>
      <c r="Y626">
        <v>6.9845379999999999E-2</v>
      </c>
      <c r="Z626">
        <v>-2.694437E-3</v>
      </c>
      <c r="AA626">
        <v>0.99755419999999995</v>
      </c>
      <c r="AB626">
        <v>42</v>
      </c>
      <c r="AC626">
        <v>0.57200000000000195</v>
      </c>
      <c r="AD626">
        <v>-7.5560499999999794E-2</v>
      </c>
      <c r="AE626">
        <v>-7.4200000000018904E-2</v>
      </c>
      <c r="AF626">
        <v>6.9390767349726906E-2</v>
      </c>
      <c r="AG626">
        <v>-7.5560499999999794E-2</v>
      </c>
      <c r="AH626">
        <v>0.56279937837694605</v>
      </c>
      <c r="AI626">
        <v>97.589914037213305</v>
      </c>
      <c r="AJ626">
        <v>82.971148224424098</v>
      </c>
      <c r="AK626">
        <v>0.572073079295916</v>
      </c>
      <c r="AL626">
        <v>91.1745569273005</v>
      </c>
      <c r="AM626">
        <v>92.657698807521101</v>
      </c>
      <c r="AN626">
        <v>1.00000000812083</v>
      </c>
    </row>
    <row r="627" spans="1:40" x14ac:dyDescent="0.25">
      <c r="A627" t="str">
        <f>"20190305135550871"</f>
        <v>20190305135550871</v>
      </c>
      <c r="B627" t="str">
        <f>"1551765350861918"</f>
        <v>1551765350861918</v>
      </c>
      <c r="C627" t="s">
        <v>40</v>
      </c>
      <c r="D627">
        <v>3.9447549999999998</v>
      </c>
      <c r="E627">
        <v>0.54399439999999999</v>
      </c>
      <c r="F627" t="s">
        <v>41</v>
      </c>
      <c r="G627">
        <v>-278.22359999999998</v>
      </c>
      <c r="H627">
        <v>0.99421309999999996</v>
      </c>
      <c r="I627">
        <v>367.67180000000002</v>
      </c>
      <c r="J627">
        <v>-278.91570000000002</v>
      </c>
      <c r="K627">
        <v>1.0644100000000001</v>
      </c>
      <c r="L627">
        <v>367.7448</v>
      </c>
      <c r="M627">
        <v>0.9999072</v>
      </c>
      <c r="N627">
        <v>-1.2246419999999999E-2</v>
      </c>
      <c r="O627">
        <v>-5.9686219999999998E-3</v>
      </c>
      <c r="P627">
        <v>0.99865380000000004</v>
      </c>
      <c r="Q627">
        <v>-3.2440789999999997E-2</v>
      </c>
      <c r="R627">
        <v>4.0473820000000001E-2</v>
      </c>
      <c r="S627">
        <v>3.0060419999999999</v>
      </c>
      <c r="T627">
        <v>-0.2192017</v>
      </c>
      <c r="U627">
        <v>-0.2330933</v>
      </c>
      <c r="V627">
        <v>-4.6399419999999997E-2</v>
      </c>
      <c r="W627">
        <v>-2.0290510000000001E-2</v>
      </c>
      <c r="X627">
        <v>0.99871690000000002</v>
      </c>
      <c r="Y627">
        <v>7.1148279999999994E-2</v>
      </c>
      <c r="Z627">
        <v>-2.6627E-3</v>
      </c>
      <c r="AA627">
        <v>0.99746219999999997</v>
      </c>
      <c r="AB627">
        <v>43</v>
      </c>
      <c r="AC627">
        <v>0.69210000000003802</v>
      </c>
      <c r="AD627">
        <v>-7.0196900000000104E-2</v>
      </c>
      <c r="AE627">
        <v>-7.2999999999978998E-2</v>
      </c>
      <c r="AF627">
        <v>6.8173902751887797E-2</v>
      </c>
      <c r="AG627">
        <v>-7.0196900000000104E-2</v>
      </c>
      <c r="AH627">
        <v>0.685548616587497</v>
      </c>
      <c r="AI627">
        <v>95.8179395497515</v>
      </c>
      <c r="AJ627">
        <v>84.320932580273904</v>
      </c>
      <c r="AK627">
        <v>0.69249706966243896</v>
      </c>
      <c r="AL627">
        <v>91.1626403405876</v>
      </c>
      <c r="AM627">
        <v>92.659993716601093</v>
      </c>
      <c r="AN627">
        <v>1.0000000286590001</v>
      </c>
    </row>
    <row r="628" spans="1:40" x14ac:dyDescent="0.25">
      <c r="A628" t="str">
        <f>"20190305135550884"</f>
        <v>20190305135550884</v>
      </c>
      <c r="B628" t="str">
        <f>"1551765350872655"</f>
        <v>1551765350872655</v>
      </c>
      <c r="C628" t="s">
        <v>40</v>
      </c>
      <c r="D628">
        <v>3.9416090000000001</v>
      </c>
      <c r="E628">
        <v>0.54415230000000003</v>
      </c>
      <c r="F628" t="s">
        <v>41</v>
      </c>
      <c r="G628">
        <v>-277.84840000000003</v>
      </c>
      <c r="H628">
        <v>0.98797690000000005</v>
      </c>
      <c r="I628">
        <v>367.66180000000003</v>
      </c>
      <c r="J628">
        <v>-278.66309999999999</v>
      </c>
      <c r="K628">
        <v>1.065248</v>
      </c>
      <c r="L628">
        <v>367.74380000000002</v>
      </c>
      <c r="M628">
        <v>0.99992400000000004</v>
      </c>
      <c r="N628">
        <v>-1.099733E-2</v>
      </c>
      <c r="O628">
        <v>-5.597739E-3</v>
      </c>
      <c r="P628">
        <v>0.99868690000000004</v>
      </c>
      <c r="Q628">
        <v>-3.0996079999999999E-2</v>
      </c>
      <c r="R628">
        <v>4.0797420000000001E-2</v>
      </c>
      <c r="S628">
        <v>3.0065</v>
      </c>
      <c r="T628">
        <v>-0.2154008</v>
      </c>
      <c r="U628">
        <v>-0.2335815</v>
      </c>
      <c r="V628">
        <v>-4.6354840000000001E-2</v>
      </c>
      <c r="W628">
        <v>-2.009006E-2</v>
      </c>
      <c r="X628">
        <v>0.99872300000000003</v>
      </c>
      <c r="Y628">
        <v>7.1675660000000002E-2</v>
      </c>
      <c r="Z628">
        <v>-2.617271E-3</v>
      </c>
      <c r="AA628">
        <v>0.99742450000000005</v>
      </c>
      <c r="AB628">
        <v>43</v>
      </c>
      <c r="AC628">
        <v>0.81469999999995901</v>
      </c>
      <c r="AD628">
        <v>-7.7271099999999898E-2</v>
      </c>
      <c r="AE628">
        <v>-8.1999999999993606E-2</v>
      </c>
      <c r="AF628">
        <v>7.6754420853490199E-2</v>
      </c>
      <c r="AG628">
        <v>-7.7271099999999898E-2</v>
      </c>
      <c r="AH628">
        <v>0.80795101978095496</v>
      </c>
      <c r="AI628">
        <v>95.438719077593404</v>
      </c>
      <c r="AJ628">
        <v>84.573252583107802</v>
      </c>
      <c r="AK628">
        <v>0.81525880208731905</v>
      </c>
      <c r="AL628">
        <v>91.151153086113595</v>
      </c>
      <c r="AM628">
        <v>92.657425484437695</v>
      </c>
      <c r="AN628">
        <v>1.00000000621561</v>
      </c>
    </row>
    <row r="629" spans="1:40" x14ac:dyDescent="0.25">
      <c r="A629" t="str">
        <f>"20190305135550901"</f>
        <v>20190305135550901</v>
      </c>
      <c r="B629" t="str">
        <f>"1551765350892175"</f>
        <v>1551765350892175</v>
      </c>
      <c r="C629" t="s">
        <v>40</v>
      </c>
      <c r="D629">
        <v>3.9600019999999998</v>
      </c>
      <c r="E629">
        <v>0.54438690000000001</v>
      </c>
      <c r="F629" t="s">
        <v>41</v>
      </c>
      <c r="G629">
        <v>-277.83699999999999</v>
      </c>
      <c r="H629">
        <v>1.007083</v>
      </c>
      <c r="I629">
        <v>367.67950000000002</v>
      </c>
      <c r="J629">
        <v>-278.34379999999999</v>
      </c>
      <c r="K629">
        <v>1.0664910000000001</v>
      </c>
      <c r="L629">
        <v>367.74250000000001</v>
      </c>
      <c r="M629">
        <v>0.99993799999999999</v>
      </c>
      <c r="N629">
        <v>-9.9020080000000003E-3</v>
      </c>
      <c r="O629">
        <v>-5.0923330000000001E-3</v>
      </c>
      <c r="P629">
        <v>0.99870599999999998</v>
      </c>
      <c r="Q629">
        <v>-2.968997E-2</v>
      </c>
      <c r="R629">
        <v>4.1292780000000001E-2</v>
      </c>
      <c r="S629">
        <v>3.0069270000000001</v>
      </c>
      <c r="T629">
        <v>-0.21185419999999999</v>
      </c>
      <c r="U629">
        <v>-0.23385619999999999</v>
      </c>
      <c r="V629">
        <v>-4.6347899999999997E-2</v>
      </c>
      <c r="W629">
        <v>-1.987299E-2</v>
      </c>
      <c r="X629">
        <v>0.9987277</v>
      </c>
      <c r="Y629">
        <v>7.2266079999999996E-2</v>
      </c>
      <c r="Z629">
        <v>-2.5901549999999998E-3</v>
      </c>
      <c r="AA629">
        <v>0.99738199999999999</v>
      </c>
      <c r="AB629">
        <v>43</v>
      </c>
      <c r="AC629">
        <v>0.50679999999999803</v>
      </c>
      <c r="AD629">
        <v>-5.94080000000001E-2</v>
      </c>
      <c r="AE629">
        <v>-6.2999999999988093E-2</v>
      </c>
      <c r="AF629">
        <v>5.9611607329182699E-2</v>
      </c>
      <c r="AG629">
        <v>-5.94080000000001E-2</v>
      </c>
      <c r="AH629">
        <v>0.50034368943722296</v>
      </c>
      <c r="AI629">
        <v>96.724162321957095</v>
      </c>
      <c r="AJ629">
        <v>83.205731870088002</v>
      </c>
      <c r="AK629">
        <v>0.5073723107857</v>
      </c>
      <c r="AL629">
        <v>91.138713367925305</v>
      </c>
      <c r="AM629">
        <v>92.657015713011106</v>
      </c>
      <c r="AN629">
        <v>1.0000000411566099</v>
      </c>
    </row>
    <row r="630" spans="1:40" x14ac:dyDescent="0.25">
      <c r="A630" t="str">
        <f>"20190305135550924"</f>
        <v>20190305135550924</v>
      </c>
      <c r="B630" t="str">
        <f>"1551765350912671"</f>
        <v>1551765350912671</v>
      </c>
      <c r="C630" t="s">
        <v>40</v>
      </c>
      <c r="D630">
        <v>3.9421020000000002</v>
      </c>
      <c r="E630">
        <v>0.54468169999999905</v>
      </c>
      <c r="F630" t="s">
        <v>41</v>
      </c>
      <c r="G630">
        <v>-277.464</v>
      </c>
      <c r="H630">
        <v>1.005377</v>
      </c>
      <c r="I630">
        <v>367.6737</v>
      </c>
      <c r="J630">
        <v>-277.92630000000003</v>
      </c>
      <c r="K630">
        <v>1.0686169999999999</v>
      </c>
      <c r="L630">
        <v>367.74090000000001</v>
      </c>
      <c r="M630">
        <v>0.99994680000000002</v>
      </c>
      <c r="N630">
        <v>-9.3571709999999992E-3</v>
      </c>
      <c r="O630">
        <v>-4.3756450000000001E-3</v>
      </c>
      <c r="P630">
        <v>0.99868049999999997</v>
      </c>
      <c r="Q630">
        <v>-2.9177689999999999E-2</v>
      </c>
      <c r="R630">
        <v>4.2264280000000001E-2</v>
      </c>
      <c r="S630">
        <v>3.0073240000000001</v>
      </c>
      <c r="T630">
        <v>-0.20928260000000001</v>
      </c>
      <c r="U630">
        <v>-0.2338867</v>
      </c>
      <c r="V630">
        <v>-4.6605979999999998E-2</v>
      </c>
      <c r="W630">
        <v>-1.9899279999999998E-2</v>
      </c>
      <c r="X630">
        <v>0.99871509999999997</v>
      </c>
      <c r="Y630">
        <v>7.2983500000000007E-2</v>
      </c>
      <c r="Z630">
        <v>-2.612241E-3</v>
      </c>
      <c r="AA630">
        <v>0.99732969999999999</v>
      </c>
      <c r="AB630">
        <v>43</v>
      </c>
      <c r="AC630">
        <v>0.46230000000002702</v>
      </c>
      <c r="AD630">
        <v>-6.3239999999999894E-2</v>
      </c>
      <c r="AE630">
        <v>-6.7200000000013901E-2</v>
      </c>
      <c r="AF630">
        <v>6.4003513336198498E-2</v>
      </c>
      <c r="AG630">
        <v>-6.3239999999999894E-2</v>
      </c>
      <c r="AH630">
        <v>0.454265011061182</v>
      </c>
      <c r="AI630">
        <v>97.848888634838602</v>
      </c>
      <c r="AJ630">
        <v>81.980121056011399</v>
      </c>
      <c r="AK630">
        <v>0.46309010742380602</v>
      </c>
      <c r="AL630">
        <v>91.140220047458797</v>
      </c>
      <c r="AM630">
        <v>92.671823109853094</v>
      </c>
      <c r="AN630">
        <v>0.99999997484214398</v>
      </c>
    </row>
    <row r="631" spans="1:40" x14ac:dyDescent="0.25">
      <c r="A631" t="str">
        <f>"20190305135550939"</f>
        <v>20190305135550939</v>
      </c>
      <c r="B631" t="str">
        <f>"1551765350932190"</f>
        <v>1551765350932190</v>
      </c>
      <c r="C631" t="s">
        <v>40</v>
      </c>
      <c r="D631">
        <v>3.925878</v>
      </c>
      <c r="E631">
        <v>0.54490319999999903</v>
      </c>
      <c r="F631" t="s">
        <v>41</v>
      </c>
      <c r="G631">
        <v>-277.0872</v>
      </c>
      <c r="H631">
        <v>1.01033</v>
      </c>
      <c r="I631">
        <v>367.67579999999998</v>
      </c>
      <c r="J631">
        <v>-277.65820000000002</v>
      </c>
      <c r="K631">
        <v>1.070298</v>
      </c>
      <c r="L631">
        <v>367.74</v>
      </c>
      <c r="M631">
        <v>0.99994879999999997</v>
      </c>
      <c r="N631">
        <v>-9.3478239999999994E-3</v>
      </c>
      <c r="O631">
        <v>-3.8942099999999999E-3</v>
      </c>
      <c r="P631">
        <v>0.99866759999999999</v>
      </c>
      <c r="Q631">
        <v>-2.9092150000000001E-2</v>
      </c>
      <c r="R631">
        <v>4.2625320000000001E-2</v>
      </c>
      <c r="S631">
        <v>3.0078130000000001</v>
      </c>
      <c r="T631">
        <v>-0.20869740000000001</v>
      </c>
      <c r="U631">
        <v>-0.23364260000000001</v>
      </c>
      <c r="V631">
        <v>-4.6487479999999998E-2</v>
      </c>
      <c r="W631">
        <v>-1.9820529999999999E-2</v>
      </c>
      <c r="X631">
        <v>0.9987222</v>
      </c>
      <c r="Y631">
        <v>7.3369859999999995E-2</v>
      </c>
      <c r="Z631">
        <v>-2.6492870000000002E-3</v>
      </c>
      <c r="AA631">
        <v>0.99730129999999995</v>
      </c>
      <c r="AB631">
        <v>42</v>
      </c>
      <c r="AC631">
        <v>0.57100000000002604</v>
      </c>
      <c r="AD631">
        <v>-5.9968E-2</v>
      </c>
      <c r="AE631">
        <v>-6.4200000000027999E-2</v>
      </c>
      <c r="AF631">
        <v>6.1308049500013402E-2</v>
      </c>
      <c r="AG631">
        <v>-5.9968E-2</v>
      </c>
      <c r="AH631">
        <v>0.565090671058181</v>
      </c>
      <c r="AI631">
        <v>96.022536250483498</v>
      </c>
      <c r="AJ631">
        <v>83.808061219999303</v>
      </c>
      <c r="AK631">
        <v>0.57156128671777795</v>
      </c>
      <c r="AL631">
        <v>91.135707101971803</v>
      </c>
      <c r="AM631">
        <v>92.665020641264903</v>
      </c>
      <c r="AN631">
        <v>0.99999998598953499</v>
      </c>
    </row>
    <row r="632" spans="1:40" x14ac:dyDescent="0.25">
      <c r="A632" t="str">
        <f>"20190305135550951"</f>
        <v>20190305135550951</v>
      </c>
      <c r="B632" t="str">
        <f>"1551765350941952"</f>
        <v>1551765350941952</v>
      </c>
      <c r="C632" t="s">
        <v>40</v>
      </c>
      <c r="D632">
        <v>3.930777</v>
      </c>
      <c r="E632">
        <v>0.54506949999999998</v>
      </c>
      <c r="F632" t="s">
        <v>41</v>
      </c>
      <c r="G632">
        <v>-276.71890000000002</v>
      </c>
      <c r="H632">
        <v>1.0049110000000001</v>
      </c>
      <c r="I632">
        <v>367.66669999999999</v>
      </c>
      <c r="J632">
        <v>-277.41269999999997</v>
      </c>
      <c r="K632">
        <v>1.0719639999999999</v>
      </c>
      <c r="L632">
        <v>367.73930000000001</v>
      </c>
      <c r="M632">
        <v>0.99995020000000001</v>
      </c>
      <c r="N632">
        <v>-9.3824530000000007E-3</v>
      </c>
      <c r="O632">
        <v>-3.4497989999999999E-3</v>
      </c>
      <c r="P632">
        <v>0.99863400000000002</v>
      </c>
      <c r="Q632">
        <v>-2.945269E-2</v>
      </c>
      <c r="R632">
        <v>4.3161739999999997E-2</v>
      </c>
      <c r="S632">
        <v>3.0079039999999999</v>
      </c>
      <c r="T632">
        <v>-0.2096663</v>
      </c>
      <c r="U632">
        <v>-0.23416139999999999</v>
      </c>
      <c r="V632">
        <v>-4.6580040000000003E-2</v>
      </c>
      <c r="W632">
        <v>-2.0145670000000001E-2</v>
      </c>
      <c r="X632">
        <v>0.99871140000000003</v>
      </c>
      <c r="Y632">
        <v>7.3977490000000007E-2</v>
      </c>
      <c r="Z632">
        <v>-2.7118350000000001E-3</v>
      </c>
      <c r="AA632">
        <v>0.99725620000000004</v>
      </c>
      <c r="AB632">
        <v>42</v>
      </c>
      <c r="AC632">
        <v>0.69379999999995301</v>
      </c>
      <c r="AD632">
        <v>-6.7052999999999793E-2</v>
      </c>
      <c r="AE632">
        <v>-7.2600000000022605E-2</v>
      </c>
      <c r="AF632">
        <v>6.9563277651597796E-2</v>
      </c>
      <c r="AG632">
        <v>-6.7052999999999793E-2</v>
      </c>
      <c r="AH632">
        <v>0.687692551540242</v>
      </c>
      <c r="AI632">
        <v>95.540884284213703</v>
      </c>
      <c r="AJ632">
        <v>84.223914612399696</v>
      </c>
      <c r="AK632">
        <v>0.69444668611100902</v>
      </c>
      <c r="AL632">
        <v>91.154339951556096</v>
      </c>
      <c r="AM632">
        <v>92.6703480558227</v>
      </c>
      <c r="AN632">
        <v>1.0000000043180499</v>
      </c>
    </row>
    <row r="633" spans="1:40" x14ac:dyDescent="0.25">
      <c r="A633" t="str">
        <f>"20190305135550964"</f>
        <v>20190305135550964</v>
      </c>
      <c r="B633" t="str">
        <f>"1551765350952687"</f>
        <v>1551765350952687</v>
      </c>
      <c r="C633" t="s">
        <v>40</v>
      </c>
      <c r="D633">
        <v>3.9312079999999998</v>
      </c>
      <c r="E633">
        <v>0.54523900000000003</v>
      </c>
      <c r="F633" t="s">
        <v>41</v>
      </c>
      <c r="G633">
        <v>-276.34949999999998</v>
      </c>
      <c r="H633">
        <v>0.99734149999999999</v>
      </c>
      <c r="I633">
        <v>367.65640000000002</v>
      </c>
      <c r="J633">
        <v>-277.17309999999998</v>
      </c>
      <c r="K633">
        <v>1.0736779999999999</v>
      </c>
      <c r="L633">
        <v>367.73860000000002</v>
      </c>
      <c r="M633">
        <v>0.99995259999999997</v>
      </c>
      <c r="N633">
        <v>-9.2663060000000002E-3</v>
      </c>
      <c r="O633">
        <v>-3.0207329999999998E-3</v>
      </c>
      <c r="P633">
        <v>0.99861420000000001</v>
      </c>
      <c r="Q633">
        <v>-2.9232250000000001E-2</v>
      </c>
      <c r="R633">
        <v>4.3764169999999998E-2</v>
      </c>
      <c r="S633">
        <v>3.007965</v>
      </c>
      <c r="T633">
        <v>-0.21128440000000001</v>
      </c>
      <c r="U633">
        <v>-0.23379520000000001</v>
      </c>
      <c r="V633">
        <v>-4.675348E-2</v>
      </c>
      <c r="W633">
        <v>-2.004214E-2</v>
      </c>
      <c r="X633">
        <v>0.99870539999999997</v>
      </c>
      <c r="Y633">
        <v>7.4278999999999998E-2</v>
      </c>
      <c r="Z633">
        <v>-2.7630939999999998E-3</v>
      </c>
      <c r="AA633">
        <v>0.9972337</v>
      </c>
      <c r="AB633">
        <v>42</v>
      </c>
      <c r="AC633">
        <v>0.823599999999999</v>
      </c>
      <c r="AD633">
        <v>-7.6336500000000002E-2</v>
      </c>
      <c r="AE633">
        <v>-8.2200000000000203E-2</v>
      </c>
      <c r="AF633">
        <v>7.9039331396228804E-2</v>
      </c>
      <c r="AG633">
        <v>-7.6336500000000002E-2</v>
      </c>
      <c r="AH633">
        <v>0.816896011472237</v>
      </c>
      <c r="AI633">
        <v>95.313943794371795</v>
      </c>
      <c r="AJ633">
        <v>84.473510595402402</v>
      </c>
      <c r="AK633">
        <v>0.82425334133327099</v>
      </c>
      <c r="AL633">
        <v>91.148406897153805</v>
      </c>
      <c r="AM633">
        <v>92.680292658613297</v>
      </c>
      <c r="AN633">
        <v>1.00000002562852</v>
      </c>
    </row>
    <row r="634" spans="1:40" x14ac:dyDescent="0.25">
      <c r="A634" t="str">
        <f>"20190305135550980"</f>
        <v>20190305135550980</v>
      </c>
      <c r="B634" t="str">
        <f>"1551765350972206"</f>
        <v>1551765350972206</v>
      </c>
      <c r="C634" t="s">
        <v>40</v>
      </c>
      <c r="D634">
        <v>3.9466350000000001</v>
      </c>
      <c r="E634">
        <v>0.54550739999999998</v>
      </c>
      <c r="F634" t="s">
        <v>41</v>
      </c>
      <c r="G634">
        <v>-276.33940000000001</v>
      </c>
      <c r="H634">
        <v>1.015396</v>
      </c>
      <c r="I634">
        <v>367.67380000000003</v>
      </c>
      <c r="J634">
        <v>-276.87</v>
      </c>
      <c r="K634">
        <v>1.075906</v>
      </c>
      <c r="L634">
        <v>367.73790000000002</v>
      </c>
      <c r="M634">
        <v>0.99995599999999996</v>
      </c>
      <c r="N634">
        <v>-9.0537800000000009E-3</v>
      </c>
      <c r="O634">
        <v>-2.4940890000000001E-3</v>
      </c>
      <c r="P634">
        <v>0.99860099999999996</v>
      </c>
      <c r="Q634">
        <v>-2.9034460000000002E-2</v>
      </c>
      <c r="R634">
        <v>4.419302E-2</v>
      </c>
      <c r="S634">
        <v>3.0082089999999999</v>
      </c>
      <c r="T634">
        <v>-0.21054919999999999</v>
      </c>
      <c r="U634">
        <v>-0.23345949999999999</v>
      </c>
      <c r="V634">
        <v>-4.6655839999999997E-2</v>
      </c>
      <c r="W634">
        <v>-2.0057809999999999E-2</v>
      </c>
      <c r="X634">
        <v>0.99870959999999998</v>
      </c>
      <c r="Y634">
        <v>7.4687160000000002E-2</v>
      </c>
      <c r="Z634">
        <v>-2.7941540000000001E-3</v>
      </c>
      <c r="AA634">
        <v>0.99720310000000001</v>
      </c>
      <c r="AB634">
        <v>42</v>
      </c>
      <c r="AC634">
        <v>0.53059999999999197</v>
      </c>
      <c r="AD634">
        <v>-6.0510000000000001E-2</v>
      </c>
      <c r="AE634">
        <v>-6.4099999999996202E-2</v>
      </c>
      <c r="AF634">
        <v>6.19818859782547E-2</v>
      </c>
      <c r="AG634">
        <v>-6.0510000000000001E-2</v>
      </c>
      <c r="AH634">
        <v>0.52404095954622698</v>
      </c>
      <c r="AI634">
        <v>96.541466192076996</v>
      </c>
      <c r="AJ634">
        <v>83.254577058639299</v>
      </c>
      <c r="AK634">
        <v>0.53115171238691505</v>
      </c>
      <c r="AL634">
        <v>91.149304961697496</v>
      </c>
      <c r="AM634">
        <v>92.674692038828198</v>
      </c>
      <c r="AN634">
        <v>0.99999997414012998</v>
      </c>
    </row>
    <row r="635" spans="1:40" x14ac:dyDescent="0.25">
      <c r="A635" t="str">
        <f>"20190305135551003"</f>
        <v>20190305135551003</v>
      </c>
      <c r="B635" t="str">
        <f>"1551765350992703"</f>
        <v>1551765350992703</v>
      </c>
      <c r="C635" t="s">
        <v>40</v>
      </c>
      <c r="D635">
        <v>3.9351349999999998</v>
      </c>
      <c r="E635">
        <v>0.54573689999999997</v>
      </c>
      <c r="F635" t="s">
        <v>41</v>
      </c>
      <c r="G635">
        <v>-275.96769999999998</v>
      </c>
      <c r="H635">
        <v>1.012899</v>
      </c>
      <c r="I635">
        <v>367.66739999999999</v>
      </c>
      <c r="J635">
        <v>-276.45049999999998</v>
      </c>
      <c r="K635">
        <v>1.079075</v>
      </c>
      <c r="L635">
        <v>367.73719999999997</v>
      </c>
      <c r="M635">
        <v>0.99995999999999996</v>
      </c>
      <c r="N635">
        <v>-8.7584529999999994E-3</v>
      </c>
      <c r="O635">
        <v>-1.79579E-3</v>
      </c>
      <c r="P635">
        <v>0.99858150000000001</v>
      </c>
      <c r="Q635">
        <v>-2.9027520000000001E-2</v>
      </c>
      <c r="R635">
        <v>4.4634739999999999E-2</v>
      </c>
      <c r="S635">
        <v>3.0084529999999998</v>
      </c>
      <c r="T635">
        <v>-0.2103177</v>
      </c>
      <c r="U635">
        <v>-0.23440549999999999</v>
      </c>
      <c r="V635">
        <v>-4.6398410000000001E-2</v>
      </c>
      <c r="W635">
        <v>-2.0347730000000001E-2</v>
      </c>
      <c r="X635">
        <v>0.99871580000000004</v>
      </c>
      <c r="Y635">
        <v>7.568619E-2</v>
      </c>
      <c r="Z635">
        <v>-2.86126E-3</v>
      </c>
      <c r="AA635">
        <v>0.9971276</v>
      </c>
      <c r="AB635">
        <v>42</v>
      </c>
      <c r="AC635">
        <v>0.48279999999999701</v>
      </c>
      <c r="AD635">
        <v>-6.6175999999999999E-2</v>
      </c>
      <c r="AE635">
        <v>-6.9799999999986498E-2</v>
      </c>
      <c r="AF635">
        <v>6.7687215956257193E-2</v>
      </c>
      <c r="AG635">
        <v>-6.6175999999999999E-2</v>
      </c>
      <c r="AH635">
        <v>0.47419802554942497</v>
      </c>
      <c r="AI635">
        <v>97.865803630997505</v>
      </c>
      <c r="AJ635">
        <v>81.876452835456206</v>
      </c>
      <c r="AK635">
        <v>0.48355412273589699</v>
      </c>
      <c r="AL635">
        <v>91.165919461924403</v>
      </c>
      <c r="AM635">
        <v>92.659938823795798</v>
      </c>
      <c r="AN635">
        <v>1.0000000458681499</v>
      </c>
    </row>
    <row r="636" spans="1:40" x14ac:dyDescent="0.25">
      <c r="A636" t="str">
        <f>"20190305135551024"</f>
        <v>20190305135551024</v>
      </c>
      <c r="B636" t="str">
        <f>"1551765351021983"</f>
        <v>1551765351021983</v>
      </c>
      <c r="C636" t="s">
        <v>40</v>
      </c>
      <c r="D636">
        <v>3.9177970000000002</v>
      </c>
      <c r="E636">
        <v>0.54630659999999998</v>
      </c>
      <c r="F636" t="s">
        <v>41</v>
      </c>
      <c r="G636">
        <v>-275.58999999999997</v>
      </c>
      <c r="H636">
        <v>1.018594</v>
      </c>
      <c r="I636">
        <v>367.67</v>
      </c>
      <c r="J636">
        <v>-276.03399999999999</v>
      </c>
      <c r="K636">
        <v>1.0822499999999999</v>
      </c>
      <c r="L636">
        <v>367.73680000000002</v>
      </c>
      <c r="M636">
        <v>0.99996240000000003</v>
      </c>
      <c r="N636">
        <v>-8.6153649999999998E-3</v>
      </c>
      <c r="O636">
        <v>-1.135051E-3</v>
      </c>
      <c r="P636">
        <v>0.99856230000000001</v>
      </c>
      <c r="Q636">
        <v>-2.9306269999999999E-2</v>
      </c>
      <c r="R636">
        <v>4.488897E-2</v>
      </c>
      <c r="S636">
        <v>3.0086059999999999</v>
      </c>
      <c r="T636">
        <v>-0.2115687</v>
      </c>
      <c r="U636">
        <v>-0.23489380000000001</v>
      </c>
      <c r="V636">
        <v>-4.5991789999999998E-2</v>
      </c>
      <c r="W636">
        <v>-2.0770899999999998E-2</v>
      </c>
      <c r="X636">
        <v>0.9987258</v>
      </c>
      <c r="Y636">
        <v>7.6496610000000007E-2</v>
      </c>
      <c r="Z636">
        <v>-2.9429220000000002E-3</v>
      </c>
      <c r="AA636">
        <v>0.99706550000000005</v>
      </c>
      <c r="AB636">
        <v>42</v>
      </c>
      <c r="AC636">
        <v>0.44400000000001599</v>
      </c>
      <c r="AD636">
        <v>-6.3655999999999893E-2</v>
      </c>
      <c r="AE636">
        <v>-6.6800000000000595E-2</v>
      </c>
      <c r="AF636">
        <v>6.4989695167319395E-2</v>
      </c>
      <c r="AG636">
        <v>-6.3655999999999893E-2</v>
      </c>
      <c r="AH636">
        <v>0.43532557676120898</v>
      </c>
      <c r="AI636">
        <v>98.229254262199802</v>
      </c>
      <c r="AJ636">
        <v>81.5090311213023</v>
      </c>
      <c r="AK636">
        <v>0.44472924864058599</v>
      </c>
      <c r="AL636">
        <v>91.190170556756598</v>
      </c>
      <c r="AM636">
        <v>92.636634696276005</v>
      </c>
      <c r="AN636">
        <v>0.99999994930992497</v>
      </c>
    </row>
    <row r="637" spans="1:40" x14ac:dyDescent="0.25">
      <c r="A637" t="str">
        <f>"20190305135551047"</f>
        <v>20190305135551047</v>
      </c>
      <c r="B637" t="str">
        <f>"1551765351042479"</f>
        <v>1551765351042479</v>
      </c>
      <c r="C637" t="s">
        <v>40</v>
      </c>
      <c r="D637">
        <v>3.9093170000000002</v>
      </c>
      <c r="E637">
        <v>0.54668519999999998</v>
      </c>
      <c r="F637" t="s">
        <v>41</v>
      </c>
      <c r="G637">
        <v>-275.2106</v>
      </c>
      <c r="H637">
        <v>1.024564</v>
      </c>
      <c r="I637">
        <v>367.67129999999997</v>
      </c>
      <c r="J637">
        <v>-275.61810000000003</v>
      </c>
      <c r="K637">
        <v>1.085383</v>
      </c>
      <c r="L637">
        <v>367.73669999999998</v>
      </c>
      <c r="M637">
        <v>0.99996229999999997</v>
      </c>
      <c r="N637">
        <v>-8.6690859999999995E-3</v>
      </c>
      <c r="O637">
        <v>-4.9471330000000003E-4</v>
      </c>
      <c r="P637">
        <v>0.99852229999999997</v>
      </c>
      <c r="Q637">
        <v>-3.0117519999999998E-2</v>
      </c>
      <c r="R637">
        <v>4.5234709999999997E-2</v>
      </c>
      <c r="S637">
        <v>3.0088499999999998</v>
      </c>
      <c r="T637">
        <v>-0.21109839999999999</v>
      </c>
      <c r="U637">
        <v>-0.2385254</v>
      </c>
      <c r="V637">
        <v>-4.569579E-2</v>
      </c>
      <c r="W637">
        <v>-2.1530029999999999E-2</v>
      </c>
      <c r="X637">
        <v>0.99872340000000004</v>
      </c>
      <c r="Y637">
        <v>7.8319269999999996E-2</v>
      </c>
      <c r="Z637">
        <v>-3.0499009999999998E-3</v>
      </c>
      <c r="AA637">
        <v>0.99692369999999997</v>
      </c>
      <c r="AB637">
        <v>42</v>
      </c>
      <c r="AC637">
        <v>0.40750000000002701</v>
      </c>
      <c r="AD637">
        <v>-6.0818999999999901E-2</v>
      </c>
      <c r="AE637">
        <v>-6.5400000000010894E-2</v>
      </c>
      <c r="AF637">
        <v>6.3812637108847797E-2</v>
      </c>
      <c r="AG637">
        <v>-6.0818999999999901E-2</v>
      </c>
      <c r="AH637">
        <v>0.39887045715965003</v>
      </c>
      <c r="AI637">
        <v>98.562335284923705</v>
      </c>
      <c r="AJ637">
        <v>80.910652521951803</v>
      </c>
      <c r="AK637">
        <v>0.40849558750436199</v>
      </c>
      <c r="AL637">
        <v>91.233675126813296</v>
      </c>
      <c r="AM637">
        <v>92.619695499212995</v>
      </c>
      <c r="AN637">
        <v>1.00000003856154</v>
      </c>
    </row>
    <row r="638" spans="1:40" x14ac:dyDescent="0.25">
      <c r="A638" t="str">
        <f>"20190305135551069"</f>
        <v>20190305135551069</v>
      </c>
      <c r="B638" t="str">
        <f>"1551765351061999"</f>
        <v>1551765351061999</v>
      </c>
      <c r="C638" t="s">
        <v>40</v>
      </c>
      <c r="D638">
        <v>3.9135260000000001</v>
      </c>
      <c r="E638">
        <v>0.54701199999999905</v>
      </c>
      <c r="F638" t="s">
        <v>41</v>
      </c>
      <c r="G638">
        <v>-274.83170000000001</v>
      </c>
      <c r="H638">
        <v>1.029871</v>
      </c>
      <c r="I638">
        <v>367.6739</v>
      </c>
      <c r="J638">
        <v>-275.1927</v>
      </c>
      <c r="K638">
        <v>1.088449</v>
      </c>
      <c r="L638">
        <v>367.73689999999999</v>
      </c>
      <c r="M638">
        <v>0.99996039999999997</v>
      </c>
      <c r="N638">
        <v>-8.8931640000000003E-3</v>
      </c>
      <c r="O638">
        <v>1.484562E-4</v>
      </c>
      <c r="P638">
        <v>0.99850950000000005</v>
      </c>
      <c r="Q638">
        <v>-3.0659550000000001E-2</v>
      </c>
      <c r="R638">
        <v>4.5152949999999997E-2</v>
      </c>
      <c r="S638">
        <v>3.0089109999999999</v>
      </c>
      <c r="T638">
        <v>-0.21239420000000001</v>
      </c>
      <c r="U638">
        <v>-0.24032590000000001</v>
      </c>
      <c r="V638">
        <v>-4.4971120000000003E-2</v>
      </c>
      <c r="W638">
        <v>-2.1848759999999998E-2</v>
      </c>
      <c r="X638">
        <v>0.99874929999999995</v>
      </c>
      <c r="Y638">
        <v>7.9543909999999995E-2</v>
      </c>
      <c r="Z638">
        <v>-3.1634020000000001E-3</v>
      </c>
      <c r="AA638">
        <v>0.9968264</v>
      </c>
      <c r="AB638">
        <v>42</v>
      </c>
      <c r="AC638">
        <v>0.36099999999999</v>
      </c>
      <c r="AD638">
        <v>-5.8577999999999998E-2</v>
      </c>
      <c r="AE638">
        <v>-6.2999999999988093E-2</v>
      </c>
      <c r="AF638">
        <v>6.1482589164168697E-2</v>
      </c>
      <c r="AG638">
        <v>-5.8577999999999998E-2</v>
      </c>
      <c r="AH638">
        <v>0.35199641989441799</v>
      </c>
      <c r="AI638">
        <v>99.309945152321404</v>
      </c>
      <c r="AJ638">
        <v>80.092200089311305</v>
      </c>
      <c r="AK638">
        <v>0.36209525055269298</v>
      </c>
      <c r="AL638">
        <v>91.251941396455194</v>
      </c>
      <c r="AM638">
        <v>92.578140607904999</v>
      </c>
      <c r="AN638">
        <v>0.99999996709904004</v>
      </c>
    </row>
    <row r="639" spans="1:40" x14ac:dyDescent="0.25">
      <c r="A639" t="str">
        <f>"20190305135551091"</f>
        <v>20190305135551091</v>
      </c>
      <c r="B639" t="str">
        <f>"1551765351082513"</f>
        <v>1551765351082513</v>
      </c>
      <c r="C639" t="s">
        <v>40</v>
      </c>
      <c r="D639">
        <v>3.943486</v>
      </c>
      <c r="E639">
        <v>0.54732609999999904</v>
      </c>
      <c r="F639" t="s">
        <v>41</v>
      </c>
      <c r="G639">
        <v>-274.45030000000003</v>
      </c>
      <c r="H639">
        <v>1.035741</v>
      </c>
      <c r="I639">
        <v>367.67669999999998</v>
      </c>
      <c r="J639">
        <v>-274.78980000000001</v>
      </c>
      <c r="K639">
        <v>1.091145</v>
      </c>
      <c r="L639">
        <v>367.7373</v>
      </c>
      <c r="M639">
        <v>0.9999574</v>
      </c>
      <c r="N639">
        <v>-9.2173700000000008E-3</v>
      </c>
      <c r="O639">
        <v>7.5192939999999995E-4</v>
      </c>
      <c r="P639">
        <v>0.99848930000000002</v>
      </c>
      <c r="Q639">
        <v>-3.1060910000000001E-2</v>
      </c>
      <c r="R639">
        <v>4.5327369999999999E-2</v>
      </c>
      <c r="S639">
        <v>3.0089419999999998</v>
      </c>
      <c r="T639">
        <v>-0.2137918</v>
      </c>
      <c r="U639">
        <v>-0.24328610000000001</v>
      </c>
      <c r="V639">
        <v>-4.454147E-2</v>
      </c>
      <c r="W639">
        <v>-2.192707E-2</v>
      </c>
      <c r="X639">
        <v>0.99876690000000001</v>
      </c>
      <c r="Y639">
        <v>8.1109749999999994E-2</v>
      </c>
      <c r="Z639">
        <v>-3.2945299999999999E-3</v>
      </c>
      <c r="AA639">
        <v>0.99669980000000002</v>
      </c>
      <c r="AB639">
        <v>42</v>
      </c>
      <c r="AC639">
        <v>0.33949999999998598</v>
      </c>
      <c r="AD639">
        <v>-5.5404000000000002E-2</v>
      </c>
      <c r="AE639">
        <v>-6.0600000000022101E-2</v>
      </c>
      <c r="AF639">
        <v>5.9324141282367598E-2</v>
      </c>
      <c r="AG639">
        <v>-5.5404000000000002E-2</v>
      </c>
      <c r="AH639">
        <v>0.33091358749025002</v>
      </c>
      <c r="AI639">
        <v>99.358233478917199</v>
      </c>
      <c r="AJ639">
        <v>79.836332936870903</v>
      </c>
      <c r="AK639">
        <v>0.34072387550707101</v>
      </c>
      <c r="AL639">
        <v>91.256429225542604</v>
      </c>
      <c r="AM639">
        <v>92.553497108646098</v>
      </c>
      <c r="AN639">
        <v>1.0000000297420699</v>
      </c>
    </row>
    <row r="640" spans="1:40" x14ac:dyDescent="0.25">
      <c r="A640" t="str">
        <f>"20190305135551113"</f>
        <v>20190305135551113</v>
      </c>
      <c r="B640" t="str">
        <f>"1551765351102028"</f>
        <v>1551765351102028</v>
      </c>
      <c r="C640" t="s">
        <v>40</v>
      </c>
      <c r="D640">
        <v>3.9313549999999999</v>
      </c>
      <c r="E640">
        <v>0.54764219999999997</v>
      </c>
      <c r="F640" t="s">
        <v>41</v>
      </c>
      <c r="G640">
        <v>-273.71570000000003</v>
      </c>
      <c r="H640">
        <v>1.01475</v>
      </c>
      <c r="I640">
        <v>367.64949999999999</v>
      </c>
      <c r="J640">
        <v>-274.36559999999997</v>
      </c>
      <c r="K640">
        <v>1.0937490000000001</v>
      </c>
      <c r="L640">
        <v>367.73809999999997</v>
      </c>
      <c r="M640">
        <v>0.99995290000000003</v>
      </c>
      <c r="N640">
        <v>-9.6189589999999998E-3</v>
      </c>
      <c r="O640">
        <v>1.3831689999999901E-3</v>
      </c>
      <c r="P640">
        <v>0.99846440000000003</v>
      </c>
      <c r="Q640">
        <v>-3.1529420000000002E-2</v>
      </c>
      <c r="R640">
        <v>4.5554169999999998E-2</v>
      </c>
      <c r="S640">
        <v>3.0090330000000001</v>
      </c>
      <c r="T640">
        <v>-0.2142551</v>
      </c>
      <c r="U640">
        <v>-0.2452087</v>
      </c>
      <c r="V640">
        <v>-4.4137549999999998E-2</v>
      </c>
      <c r="W640">
        <v>-2.1995109999999998E-2</v>
      </c>
      <c r="X640">
        <v>0.99878330000000004</v>
      </c>
      <c r="Y640">
        <v>8.2362240000000003E-2</v>
      </c>
      <c r="Z640">
        <v>-3.4060079999999999E-3</v>
      </c>
      <c r="AA640">
        <v>0.99659660000000005</v>
      </c>
      <c r="AB640">
        <v>42</v>
      </c>
      <c r="AC640">
        <v>0.64989999999994497</v>
      </c>
      <c r="AD640">
        <v>-7.8999E-2</v>
      </c>
      <c r="AE640">
        <v>-8.8599999999985302E-2</v>
      </c>
      <c r="AF640">
        <v>8.8219156585357894E-2</v>
      </c>
      <c r="AG640">
        <v>-7.8999E-2</v>
      </c>
      <c r="AH640">
        <v>0.64048583050279495</v>
      </c>
      <c r="AI640">
        <v>96.9663636451386</v>
      </c>
      <c r="AJ640">
        <v>82.157547641706302</v>
      </c>
      <c r="AK640">
        <v>0.651341354947225</v>
      </c>
      <c r="AL640">
        <v>91.260328615397299</v>
      </c>
      <c r="AM640">
        <v>92.530329707986894</v>
      </c>
      <c r="AN640">
        <v>0.99999999427140196</v>
      </c>
    </row>
    <row r="641" spans="1:40" x14ac:dyDescent="0.25">
      <c r="A641" t="str">
        <f>"20190305135551136"</f>
        <v>20190305135551136</v>
      </c>
      <c r="B641" t="str">
        <f>"1551765351132271"</f>
        <v>1551765351132271</v>
      </c>
      <c r="C641" t="s">
        <v>40</v>
      </c>
      <c r="D641">
        <v>3.9439280000000001</v>
      </c>
      <c r="E641">
        <v>0.54801809999999995</v>
      </c>
      <c r="F641" t="s">
        <v>41</v>
      </c>
      <c r="G641">
        <v>-273.3381</v>
      </c>
      <c r="H641">
        <v>1.0203949999999999</v>
      </c>
      <c r="I641">
        <v>367.65359999999998</v>
      </c>
      <c r="J641">
        <v>-273.94549999999998</v>
      </c>
      <c r="K641">
        <v>1.0960669999999999</v>
      </c>
      <c r="L641">
        <v>367.73910000000001</v>
      </c>
      <c r="M641">
        <v>0.99994760000000005</v>
      </c>
      <c r="N641">
        <v>-1.004592E-2</v>
      </c>
      <c r="O641">
        <v>2.004554E-3</v>
      </c>
      <c r="P641">
        <v>0.99844089999999996</v>
      </c>
      <c r="Q641">
        <v>-3.213564E-2</v>
      </c>
      <c r="R641">
        <v>4.5642309999999998E-2</v>
      </c>
      <c r="S641">
        <v>3.009125</v>
      </c>
      <c r="T641">
        <v>-0.21498629999999999</v>
      </c>
      <c r="U641">
        <v>-0.24700929999999999</v>
      </c>
      <c r="V641">
        <v>-4.3603959999999997E-2</v>
      </c>
      <c r="W641">
        <v>-2.217504E-2</v>
      </c>
      <c r="X641">
        <v>0.99880279999999999</v>
      </c>
      <c r="Y641">
        <v>8.3564040000000006E-2</v>
      </c>
      <c r="Z641">
        <v>-3.5200969999999998E-3</v>
      </c>
      <c r="AA641">
        <v>0.99649620000000005</v>
      </c>
      <c r="AB641">
        <v>42</v>
      </c>
      <c r="AC641">
        <v>0.60739999999998395</v>
      </c>
      <c r="AD641">
        <v>-7.5671999999999698E-2</v>
      </c>
      <c r="AE641">
        <v>-8.5500000000024501E-2</v>
      </c>
      <c r="AF641">
        <v>8.5417446947610803E-2</v>
      </c>
      <c r="AG641">
        <v>-7.5671999999999698E-2</v>
      </c>
      <c r="AH641">
        <v>0.59812424445198598</v>
      </c>
      <c r="AI641">
        <v>97.138827372066601</v>
      </c>
      <c r="AJ641">
        <v>81.872608227541207</v>
      </c>
      <c r="AK641">
        <v>0.60891296884555401</v>
      </c>
      <c r="AL641">
        <v>91.270640307759905</v>
      </c>
      <c r="AM641">
        <v>92.499730211331993</v>
      </c>
      <c r="AN641">
        <v>1.00000003550726</v>
      </c>
    </row>
    <row r="642" spans="1:40" x14ac:dyDescent="0.25">
      <c r="A642" t="str">
        <f>"20190305135551159"</f>
        <v>20190305135551159</v>
      </c>
      <c r="B642" t="str">
        <f>"1551765351152770"</f>
        <v>1551765351152770</v>
      </c>
      <c r="C642" t="s">
        <v>40</v>
      </c>
      <c r="D642">
        <v>3.8978160000000002</v>
      </c>
      <c r="E642">
        <v>0.54826960000000002</v>
      </c>
      <c r="F642" t="s">
        <v>41</v>
      </c>
      <c r="G642">
        <v>-272.96100000000001</v>
      </c>
      <c r="H642">
        <v>1.0256019999999999</v>
      </c>
      <c r="I642">
        <v>367.65710000000001</v>
      </c>
      <c r="J642">
        <v>-273.49970000000002</v>
      </c>
      <c r="K642">
        <v>1.0982479999999999</v>
      </c>
      <c r="L642">
        <v>367.7405</v>
      </c>
      <c r="M642">
        <v>0.99994130000000003</v>
      </c>
      <c r="N642">
        <v>-1.050706E-2</v>
      </c>
      <c r="O642">
        <v>2.661732E-3</v>
      </c>
      <c r="P642">
        <v>0.99839770000000005</v>
      </c>
      <c r="Q642">
        <v>-3.2860920000000002E-2</v>
      </c>
      <c r="R642">
        <v>4.6069319999999997E-2</v>
      </c>
      <c r="S642">
        <v>3.0091549999999998</v>
      </c>
      <c r="T642">
        <v>-0.21568560000000001</v>
      </c>
      <c r="U642">
        <v>-0.24972530000000001</v>
      </c>
      <c r="V642">
        <v>-4.3373660000000001E-2</v>
      </c>
      <c r="W642">
        <v>-2.2440229999999999E-2</v>
      </c>
      <c r="X642">
        <v>0.99880690000000005</v>
      </c>
      <c r="Y642">
        <v>8.5102860000000002E-2</v>
      </c>
      <c r="Z642">
        <v>-3.6516750000000001E-3</v>
      </c>
      <c r="AA642">
        <v>0.99636550000000002</v>
      </c>
      <c r="AB642">
        <v>42</v>
      </c>
      <c r="AC642">
        <v>0.53870000000000495</v>
      </c>
      <c r="AD642">
        <v>-7.2645999999999697E-2</v>
      </c>
      <c r="AE642">
        <v>-8.3399999999983196E-2</v>
      </c>
      <c r="AF642">
        <v>8.3353304084340094E-2</v>
      </c>
      <c r="AG642">
        <v>-7.2645999999999697E-2</v>
      </c>
      <c r="AH642">
        <v>0.52907963716014705</v>
      </c>
      <c r="AI642">
        <v>97.724089745206996</v>
      </c>
      <c r="AJ642">
        <v>81.046983300117901</v>
      </c>
      <c r="AK642">
        <v>0.54050946067140204</v>
      </c>
      <c r="AL642">
        <v>91.285838362941803</v>
      </c>
      <c r="AM642">
        <v>92.486533981181097</v>
      </c>
      <c r="AN642">
        <v>1.00000003089592</v>
      </c>
    </row>
    <row r="643" spans="1:40" x14ac:dyDescent="0.25">
      <c r="A643" t="str">
        <f>"20190305135551181"</f>
        <v>20190305135551181</v>
      </c>
      <c r="B643" t="str">
        <f>"1551765351172287"</f>
        <v>1551765351172287</v>
      </c>
      <c r="C643" t="s">
        <v>40</v>
      </c>
      <c r="D643">
        <v>3.9616760000000002</v>
      </c>
      <c r="E643">
        <v>0.54839830000000001</v>
      </c>
      <c r="F643" t="s">
        <v>41</v>
      </c>
      <c r="G643">
        <v>-272.58359999999999</v>
      </c>
      <c r="H643">
        <v>1.0320940000000001</v>
      </c>
      <c r="I643">
        <v>367.66430000000003</v>
      </c>
      <c r="J643">
        <v>-273.10660000000001</v>
      </c>
      <c r="K643">
        <v>1.099934</v>
      </c>
      <c r="L643">
        <v>367.74209999999999</v>
      </c>
      <c r="M643">
        <v>0.99993529999999997</v>
      </c>
      <c r="N643">
        <v>-1.090724E-2</v>
      </c>
      <c r="O643">
        <v>3.241383E-3</v>
      </c>
      <c r="P643">
        <v>0.99837580000000004</v>
      </c>
      <c r="Q643">
        <v>-3.3564599999999903E-2</v>
      </c>
      <c r="R643">
        <v>4.6036559999999997E-2</v>
      </c>
      <c r="S643">
        <v>3.0092159999999999</v>
      </c>
      <c r="T643">
        <v>-0.2174006</v>
      </c>
      <c r="U643">
        <v>-0.25024410000000002</v>
      </c>
      <c r="V643">
        <v>-4.2761830000000001E-2</v>
      </c>
      <c r="W643">
        <v>-2.2743429999999999E-2</v>
      </c>
      <c r="X643">
        <v>0.9988264</v>
      </c>
      <c r="Y643">
        <v>8.5841100000000004E-2</v>
      </c>
      <c r="Z643">
        <v>-3.7593240000000001E-3</v>
      </c>
      <c r="AA643">
        <v>0.99630180000000002</v>
      </c>
      <c r="AB643">
        <v>42</v>
      </c>
      <c r="AC643">
        <v>0.523000000000024</v>
      </c>
      <c r="AD643">
        <v>-6.78399999999999E-2</v>
      </c>
      <c r="AE643">
        <v>-7.7799999999967895E-2</v>
      </c>
      <c r="AF643">
        <v>7.8207541709665193E-2</v>
      </c>
      <c r="AG643">
        <v>-6.78399999999999E-2</v>
      </c>
      <c r="AH643">
        <v>0.51427937797228396</v>
      </c>
      <c r="AI643">
        <v>97.430202784486596</v>
      </c>
      <c r="AJ643">
        <v>81.3531600831829</v>
      </c>
      <c r="AK643">
        <v>0.52459695365854797</v>
      </c>
      <c r="AL643">
        <v>91.303214908254901</v>
      </c>
      <c r="AM643">
        <v>92.451454162797205</v>
      </c>
      <c r="AN643">
        <v>1.0000000075250299</v>
      </c>
    </row>
    <row r="644" spans="1:40" x14ac:dyDescent="0.25">
      <c r="A644" t="str">
        <f>"20190305135551204"</f>
        <v>20190305135551204</v>
      </c>
      <c r="B644" t="str">
        <f>"1551765351192783"</f>
        <v>1551765351192783</v>
      </c>
      <c r="C644" t="s">
        <v>40</v>
      </c>
      <c r="D644">
        <v>4.0158950000000004</v>
      </c>
      <c r="E644">
        <v>0.57003870000000001</v>
      </c>
      <c r="F644" t="s">
        <v>41</v>
      </c>
      <c r="G644">
        <v>-272.20859999999999</v>
      </c>
      <c r="H644">
        <v>1.0344059999999999</v>
      </c>
      <c r="I644">
        <v>367.6669</v>
      </c>
      <c r="J644">
        <v>-272.67450000000002</v>
      </c>
      <c r="K644">
        <v>1.101559</v>
      </c>
      <c r="L644">
        <v>367.74400000000003</v>
      </c>
      <c r="M644">
        <v>0.9999285</v>
      </c>
      <c r="N644">
        <v>-1.133051E-2</v>
      </c>
      <c r="O644">
        <v>3.8810160000000002E-3</v>
      </c>
      <c r="P644">
        <v>0.99833660000000002</v>
      </c>
      <c r="Q644">
        <v>-3.3660160000000001E-2</v>
      </c>
      <c r="R644">
        <v>4.6814809999999998E-2</v>
      </c>
      <c r="S644">
        <v>3.0090940000000002</v>
      </c>
      <c r="T644">
        <v>-0.2197808</v>
      </c>
      <c r="U644">
        <v>-0.2514343</v>
      </c>
      <c r="V644">
        <v>-4.2902170000000003E-2</v>
      </c>
      <c r="W644">
        <v>-2.2416640000000002E-2</v>
      </c>
      <c r="X644">
        <v>0.99882780000000004</v>
      </c>
      <c r="Y644">
        <v>8.6862049999999996E-2</v>
      </c>
      <c r="Z644">
        <v>-3.8949240000000001E-3</v>
      </c>
      <c r="AA644">
        <v>0.99621269999999995</v>
      </c>
      <c r="AB644">
        <v>42</v>
      </c>
      <c r="AC644">
        <v>0.46590000000003301</v>
      </c>
      <c r="AD644">
        <v>-6.7153000000000004E-2</v>
      </c>
      <c r="AE644">
        <v>-7.7100000000029895E-2</v>
      </c>
      <c r="AF644">
        <v>7.7343699905579599E-2</v>
      </c>
      <c r="AG644">
        <v>-6.7153000000000004E-2</v>
      </c>
      <c r="AH644">
        <v>0.45636881420731801</v>
      </c>
      <c r="AI644">
        <v>98.254742480798896</v>
      </c>
      <c r="AJ644">
        <v>80.381119970011198</v>
      </c>
      <c r="AK644">
        <v>0.46772221232808497</v>
      </c>
      <c r="AL644">
        <v>91.284486406341998</v>
      </c>
      <c r="AM644">
        <v>92.459486280719304</v>
      </c>
      <c r="AN644">
        <v>1.00000003799621</v>
      </c>
    </row>
    <row r="645" spans="1:40" x14ac:dyDescent="0.25">
      <c r="A645" t="str">
        <f>"20190305135551225"</f>
        <v>20190305135551225</v>
      </c>
      <c r="B645" t="str">
        <f>"1551765351222062"</f>
        <v>1551765351222062</v>
      </c>
      <c r="C645" t="s">
        <v>40</v>
      </c>
      <c r="D645">
        <v>4.0076539999999996</v>
      </c>
      <c r="E645">
        <v>0.58763279999999996</v>
      </c>
      <c r="F645" t="s">
        <v>42</v>
      </c>
      <c r="G645">
        <v>-254.69579999999999</v>
      </c>
      <c r="H645" s="1">
        <v>-3.034173E-6</v>
      </c>
      <c r="I645">
        <v>365.23950000000002</v>
      </c>
      <c r="J645">
        <v>-272.27030000000002</v>
      </c>
      <c r="K645">
        <v>1.102878</v>
      </c>
      <c r="L645">
        <v>367.74610000000001</v>
      </c>
      <c r="M645">
        <v>0.99992159999999997</v>
      </c>
      <c r="N645">
        <v>-1.170439E-2</v>
      </c>
      <c r="O645">
        <v>4.4839570000000002E-3</v>
      </c>
      <c r="P645">
        <v>0.99831239999999999</v>
      </c>
      <c r="Q645">
        <v>-3.388385E-2</v>
      </c>
      <c r="R645">
        <v>4.7166230000000003E-2</v>
      </c>
      <c r="S645">
        <v>3.018494</v>
      </c>
      <c r="T645">
        <v>-0.18494389999999999</v>
      </c>
      <c r="U645">
        <v>-0.42047119999999999</v>
      </c>
      <c r="V645">
        <v>-4.265132E-2</v>
      </c>
      <c r="W645">
        <v>-2.2266399999999999E-2</v>
      </c>
      <c r="X645">
        <v>0.99884189999999995</v>
      </c>
      <c r="Y645">
        <v>0.14208860000000001</v>
      </c>
      <c r="Z645">
        <v>-5.3854489999999996E-3</v>
      </c>
      <c r="AA645">
        <v>0.98983929999999998</v>
      </c>
      <c r="AB645">
        <v>42</v>
      </c>
      <c r="AC645">
        <v>17.5745</v>
      </c>
      <c r="AD645">
        <v>-1.102881034173</v>
      </c>
      <c r="AE645">
        <v>-2.5065999999999899</v>
      </c>
      <c r="AF645">
        <v>2.5754432344191498</v>
      </c>
      <c r="AG645">
        <v>-1.102881034173</v>
      </c>
      <c r="AH645">
        <v>17.495556710477899</v>
      </c>
      <c r="AI645">
        <v>93.568668538426294</v>
      </c>
      <c r="AJ645">
        <v>81.625884604667206</v>
      </c>
      <c r="AK645">
        <v>17.718458145075701</v>
      </c>
      <c r="AL645">
        <v>91.275876144148796</v>
      </c>
      <c r="AM645">
        <v>92.445088636966801</v>
      </c>
      <c r="AN645">
        <v>1.0000000344311499</v>
      </c>
    </row>
    <row r="646" spans="1:40" x14ac:dyDescent="0.25">
      <c r="A646" t="str">
        <f>"20190305135551248"</f>
        <v>20190305135551248</v>
      </c>
      <c r="B646" t="str">
        <f>"1551765351242559"</f>
        <v>1551765351242559</v>
      </c>
      <c r="C646" t="s">
        <v>40</v>
      </c>
      <c r="D646">
        <v>4.0191160000000004</v>
      </c>
      <c r="E646">
        <v>0.59110529999999994</v>
      </c>
      <c r="F646" t="s">
        <v>42</v>
      </c>
      <c r="G646">
        <v>-257.98349999999999</v>
      </c>
      <c r="H646" s="1">
        <v>-1.8748349999999999E-6</v>
      </c>
      <c r="I646">
        <v>365.09679999999997</v>
      </c>
      <c r="J646">
        <v>-271.84100000000001</v>
      </c>
      <c r="K646">
        <v>1.104087</v>
      </c>
      <c r="L646">
        <v>367.74849999999998</v>
      </c>
      <c r="M646">
        <v>0.99991399999999997</v>
      </c>
      <c r="N646">
        <v>-1.207545E-2</v>
      </c>
      <c r="O646">
        <v>5.1318559999999997E-3</v>
      </c>
      <c r="P646">
        <v>0.99826459999999995</v>
      </c>
      <c r="Q646">
        <v>-3.4476939999999998E-2</v>
      </c>
      <c r="R646">
        <v>4.7740860000000003E-2</v>
      </c>
      <c r="S646">
        <v>3.023682</v>
      </c>
      <c r="T646">
        <v>-0.2334146</v>
      </c>
      <c r="U646">
        <v>-0.56069950000000002</v>
      </c>
      <c r="V646">
        <v>-4.2579190000000003E-2</v>
      </c>
      <c r="W646">
        <v>-2.2488999999999999E-2</v>
      </c>
      <c r="X646">
        <v>0.99883999999999995</v>
      </c>
      <c r="Y646">
        <v>0.18673719999999999</v>
      </c>
      <c r="Z646">
        <v>-8.6062069999999994E-3</v>
      </c>
      <c r="AA646">
        <v>0.98237220000000003</v>
      </c>
      <c r="AB646">
        <v>42</v>
      </c>
      <c r="AC646">
        <v>13.8575</v>
      </c>
      <c r="AD646">
        <v>-1.104088874835</v>
      </c>
      <c r="AE646">
        <v>-2.6516999999999999</v>
      </c>
      <c r="AF646">
        <v>2.7062126805268898</v>
      </c>
      <c r="AG646">
        <v>-1.104088874835</v>
      </c>
      <c r="AH646">
        <v>13.759448427525699</v>
      </c>
      <c r="AI646">
        <v>94.501830099266598</v>
      </c>
      <c r="AJ646">
        <v>78.873072019466306</v>
      </c>
      <c r="AK646">
        <v>14.066450168593301</v>
      </c>
      <c r="AL646">
        <v>91.288633366396795</v>
      </c>
      <c r="AM646">
        <v>92.440963256066595</v>
      </c>
      <c r="AN646">
        <v>1.0000000440710199</v>
      </c>
    </row>
    <row r="647" spans="1:40" x14ac:dyDescent="0.25">
      <c r="A647" t="str">
        <f>"20190305135551270"</f>
        <v>20190305135551270</v>
      </c>
      <c r="B647" t="str">
        <f>"1551765351262082"</f>
        <v>1551765351262082</v>
      </c>
      <c r="C647" t="s">
        <v>40</v>
      </c>
      <c r="D647">
        <v>3.9754520000000002</v>
      </c>
      <c r="E647">
        <v>0.59253459999999902</v>
      </c>
      <c r="F647" t="s">
        <v>42</v>
      </c>
      <c r="G647">
        <v>-258.57929999999999</v>
      </c>
      <c r="H647" s="1">
        <v>-1.6515969999999999E-6</v>
      </c>
      <c r="I647">
        <v>365.17380000000003</v>
      </c>
      <c r="J647">
        <v>-271.42439999999999</v>
      </c>
      <c r="K647">
        <v>1.105084</v>
      </c>
      <c r="L647">
        <v>367.75130000000001</v>
      </c>
      <c r="M647">
        <v>0.99990639999999997</v>
      </c>
      <c r="N647">
        <v>-1.2406789999999999E-2</v>
      </c>
      <c r="O647">
        <v>5.7744060000000002E-3</v>
      </c>
      <c r="P647">
        <v>0.99822789999999995</v>
      </c>
      <c r="Q647">
        <v>-3.4969519999999997E-2</v>
      </c>
      <c r="R647">
        <v>4.8149289999999997E-2</v>
      </c>
      <c r="S647">
        <v>3.024597</v>
      </c>
      <c r="T647">
        <v>-0.25180829999999998</v>
      </c>
      <c r="U647">
        <v>-0.58721919999999905</v>
      </c>
      <c r="V647">
        <v>-4.2345170000000001E-2</v>
      </c>
      <c r="W647">
        <v>-2.2650790000000001E-2</v>
      </c>
      <c r="X647">
        <v>0.99884620000000002</v>
      </c>
      <c r="Y647">
        <v>0.19548869999999999</v>
      </c>
      <c r="Z647">
        <v>-9.679722E-3</v>
      </c>
      <c r="AA647">
        <v>0.98065820000000004</v>
      </c>
      <c r="AB647">
        <v>42</v>
      </c>
      <c r="AC647">
        <v>12.8451</v>
      </c>
      <c r="AD647">
        <v>-1.105085651597</v>
      </c>
      <c r="AE647">
        <v>-2.5774999999999801</v>
      </c>
      <c r="AF647">
        <v>2.6329025255468599</v>
      </c>
      <c r="AG647">
        <v>-1.105085651597</v>
      </c>
      <c r="AH647">
        <v>12.7393609558649</v>
      </c>
      <c r="AI647">
        <v>94.8556434688808</v>
      </c>
      <c r="AJ647">
        <v>78.322825397888707</v>
      </c>
      <c r="AK647">
        <v>13.055447428955199</v>
      </c>
      <c r="AL647">
        <v>91.297905732300293</v>
      </c>
      <c r="AM647">
        <v>92.427548492118703</v>
      </c>
      <c r="AN647">
        <v>0.999999951482195</v>
      </c>
    </row>
    <row r="648" spans="1:40" x14ac:dyDescent="0.25">
      <c r="A648" t="str">
        <f>"20190305135551285"</f>
        <v>20190305135551285</v>
      </c>
      <c r="B648" t="str">
        <f>"1551765351282575"</f>
        <v>1551765351282575</v>
      </c>
      <c r="C648" t="s">
        <v>40</v>
      </c>
      <c r="D648">
        <v>3.9805480000000002</v>
      </c>
      <c r="E648">
        <v>0.59357660000000001</v>
      </c>
      <c r="F648" t="s">
        <v>42</v>
      </c>
      <c r="G648">
        <v>-258.49250000000001</v>
      </c>
      <c r="H648" s="1">
        <v>-1.6748620000000001E-6</v>
      </c>
      <c r="I648">
        <v>365.19729999999998</v>
      </c>
      <c r="J648">
        <v>-271.14319999999998</v>
      </c>
      <c r="K648">
        <v>1.105672</v>
      </c>
      <c r="L648">
        <v>367.75330000000002</v>
      </c>
      <c r="M648">
        <v>0.99990120000000005</v>
      </c>
      <c r="N648">
        <v>-1.2613350000000001E-2</v>
      </c>
      <c r="O648">
        <v>6.2197939999999998E-3</v>
      </c>
      <c r="P648">
        <v>0.99819029999999997</v>
      </c>
      <c r="Q648">
        <v>-3.5248309999999998E-2</v>
      </c>
      <c r="R648">
        <v>4.8721430000000003E-2</v>
      </c>
      <c r="S648">
        <v>3.0250849999999998</v>
      </c>
      <c r="T648">
        <v>-0.25850499999999998</v>
      </c>
      <c r="U648">
        <v>-0.5974121</v>
      </c>
      <c r="V648">
        <v>-4.2472280000000001E-2</v>
      </c>
      <c r="W648">
        <v>-2.2724319999999999E-2</v>
      </c>
      <c r="X648">
        <v>0.99883920000000004</v>
      </c>
      <c r="Y648">
        <v>0.1990219</v>
      </c>
      <c r="Z648">
        <v>-1.012512E-2</v>
      </c>
      <c r="AA648">
        <v>0.97994270000000006</v>
      </c>
      <c r="AB648">
        <v>42</v>
      </c>
      <c r="AC648">
        <v>12.650699999999899</v>
      </c>
      <c r="AD648">
        <v>-1.105673674862</v>
      </c>
      <c r="AE648">
        <v>-2.55600000000004</v>
      </c>
      <c r="AF648">
        <v>2.6154462812150601</v>
      </c>
      <c r="AG648">
        <v>-1.105673674862</v>
      </c>
      <c r="AH648">
        <v>12.5425043153225</v>
      </c>
      <c r="AI648">
        <v>94.932282381196899</v>
      </c>
      <c r="AJ648">
        <v>78.221096543145705</v>
      </c>
      <c r="AK648">
        <v>12.8599178856278</v>
      </c>
      <c r="AL648">
        <v>91.302119688736198</v>
      </c>
      <c r="AM648">
        <v>92.4348436943515</v>
      </c>
      <c r="AN648">
        <v>1.0000000183722499</v>
      </c>
    </row>
    <row r="649" spans="1:40" x14ac:dyDescent="0.25">
      <c r="A649" t="str">
        <f>"20190305135551304"</f>
        <v>20190305135551304</v>
      </c>
      <c r="B649" t="str">
        <f>"1551765351292336"</f>
        <v>1551765351292336</v>
      </c>
      <c r="C649" t="s">
        <v>40</v>
      </c>
      <c r="D649">
        <v>4.0108829999999998</v>
      </c>
      <c r="E649">
        <v>0.59410169999999995</v>
      </c>
      <c r="F649" t="s">
        <v>42</v>
      </c>
      <c r="G649">
        <v>-258.43759999999997</v>
      </c>
      <c r="H649" s="1">
        <v>-1.6886739999999999E-6</v>
      </c>
      <c r="I649">
        <v>365.21559999999999</v>
      </c>
      <c r="J649">
        <v>-270.81259999999997</v>
      </c>
      <c r="K649">
        <v>1.1062909999999999</v>
      </c>
      <c r="L649">
        <v>367.75569999999999</v>
      </c>
      <c r="M649">
        <v>0.99989490000000003</v>
      </c>
      <c r="N649">
        <v>-1.284125E-2</v>
      </c>
      <c r="O649">
        <v>6.7536559999999898E-3</v>
      </c>
      <c r="P649">
        <v>0.99817270000000002</v>
      </c>
      <c r="Q649">
        <v>-3.5712559999999997E-2</v>
      </c>
      <c r="R649">
        <v>4.8744410000000002E-2</v>
      </c>
      <c r="S649">
        <v>3.025604</v>
      </c>
      <c r="T649">
        <v>-0.263293099999999</v>
      </c>
      <c r="U649">
        <v>-0.6042786</v>
      </c>
      <c r="V649">
        <v>-4.1961459999999999E-2</v>
      </c>
      <c r="W649">
        <v>-2.2960970000000001E-2</v>
      </c>
      <c r="X649">
        <v>0.99885539999999995</v>
      </c>
      <c r="Y649">
        <v>0.20160980000000001</v>
      </c>
      <c r="Z649">
        <v>-1.0475669999999999E-2</v>
      </c>
      <c r="AA649">
        <v>0.97940990000000006</v>
      </c>
      <c r="AB649">
        <v>42</v>
      </c>
      <c r="AC649">
        <v>12.375</v>
      </c>
      <c r="AD649">
        <v>-1.1062926886740001</v>
      </c>
      <c r="AE649">
        <v>-2.54009999999999</v>
      </c>
      <c r="AF649">
        <v>2.6036585154580201</v>
      </c>
      <c r="AG649">
        <v>-1.1062926886740001</v>
      </c>
      <c r="AH649">
        <v>12.263515004702001</v>
      </c>
      <c r="AI649">
        <v>95.042901074929006</v>
      </c>
      <c r="AJ649">
        <v>78.013554303627302</v>
      </c>
      <c r="AK649">
        <v>12.5855759283666</v>
      </c>
      <c r="AL649">
        <v>91.315682244879696</v>
      </c>
      <c r="AM649">
        <v>92.405555133599293</v>
      </c>
      <c r="AN649">
        <v>1.00000004018891</v>
      </c>
    </row>
    <row r="650" spans="1:40" x14ac:dyDescent="0.25">
      <c r="A650" t="str">
        <f>"20190305135551326"</f>
        <v>20190305135551326</v>
      </c>
      <c r="B650" t="str">
        <f>"1551765351322591"</f>
        <v>1551765351322591</v>
      </c>
      <c r="C650" t="s">
        <v>40</v>
      </c>
      <c r="D650">
        <v>3.999854</v>
      </c>
      <c r="E650">
        <v>0.59537739999999995</v>
      </c>
      <c r="F650" t="s">
        <v>42</v>
      </c>
      <c r="G650">
        <v>-258.14449999999999</v>
      </c>
      <c r="H650" s="1">
        <v>-1.790205E-6</v>
      </c>
      <c r="I650">
        <v>365.20890000000003</v>
      </c>
      <c r="J650">
        <v>-270.3956</v>
      </c>
      <c r="K650">
        <v>1.1069739999999999</v>
      </c>
      <c r="L650">
        <v>367.75920000000002</v>
      </c>
      <c r="M650">
        <v>0.99988630000000001</v>
      </c>
      <c r="N650">
        <v>-1.3106400000000001E-2</v>
      </c>
      <c r="O650">
        <v>7.4511759999999899E-3</v>
      </c>
      <c r="P650">
        <v>0.99814840000000005</v>
      </c>
      <c r="Q650">
        <v>-3.6244909999999998E-2</v>
      </c>
      <c r="R650">
        <v>4.8844869999999999E-2</v>
      </c>
      <c r="S650">
        <v>3.025757</v>
      </c>
      <c r="T650">
        <v>-0.264235099999999</v>
      </c>
      <c r="U650">
        <v>-0.60830689999999998</v>
      </c>
      <c r="V650">
        <v>-4.1364400000000003E-2</v>
      </c>
      <c r="W650">
        <v>-2.3229079999999999E-2</v>
      </c>
      <c r="X650">
        <v>0.99887409999999999</v>
      </c>
      <c r="Y650">
        <v>0.20351910000000001</v>
      </c>
      <c r="Z650">
        <v>-1.0678709999999999E-2</v>
      </c>
      <c r="AA650">
        <v>0.97901269999999996</v>
      </c>
      <c r="AB650">
        <v>42</v>
      </c>
      <c r="AC650">
        <v>12.251099999999999</v>
      </c>
      <c r="AD650">
        <v>-1.1069757902049999</v>
      </c>
      <c r="AE650">
        <v>-2.5502999999999898</v>
      </c>
      <c r="AF650">
        <v>2.6210118599738701</v>
      </c>
      <c r="AG650">
        <v>-1.1069757902049999</v>
      </c>
      <c r="AH650">
        <v>12.136781181604301</v>
      </c>
      <c r="AI650">
        <v>95.094628221009899</v>
      </c>
      <c r="AJ650">
        <v>77.8137703008519</v>
      </c>
      <c r="AK650">
        <v>12.465815497606499</v>
      </c>
      <c r="AL650">
        <v>91.331047920150496</v>
      </c>
      <c r="AM650">
        <v>92.371322053012705</v>
      </c>
      <c r="AN650">
        <v>1.0000000356979</v>
      </c>
    </row>
    <row r="651" spans="1:40" x14ac:dyDescent="0.25">
      <c r="A651" t="str">
        <f>"20190305135551348"</f>
        <v>20190305135551348</v>
      </c>
      <c r="B651" t="str">
        <f>"1551765351342111"</f>
        <v>1551765351342111</v>
      </c>
      <c r="C651" t="s">
        <v>40</v>
      </c>
      <c r="D651">
        <v>3.9850240000000001</v>
      </c>
      <c r="E651">
        <v>0.59594169999999902</v>
      </c>
      <c r="F651" t="s">
        <v>42</v>
      </c>
      <c r="G651">
        <v>-257.96679999999998</v>
      </c>
      <c r="H651" s="1">
        <v>-1.8476709999999999E-6</v>
      </c>
      <c r="I651">
        <v>365.22019999999998</v>
      </c>
      <c r="J651">
        <v>-269.97500000000002</v>
      </c>
      <c r="K651">
        <v>1.107567</v>
      </c>
      <c r="L651">
        <v>367.76299999999998</v>
      </c>
      <c r="M651">
        <v>0.99987740000000003</v>
      </c>
      <c r="N651">
        <v>-1.3348189999999999E-2</v>
      </c>
      <c r="O651">
        <v>8.1893209999999994E-3</v>
      </c>
      <c r="P651">
        <v>0.99812040000000002</v>
      </c>
      <c r="Q651">
        <v>-3.6740469999999997E-2</v>
      </c>
      <c r="R651">
        <v>4.9048899999999999E-2</v>
      </c>
      <c r="S651">
        <v>3.0260009999999999</v>
      </c>
      <c r="T651">
        <v>-0.26951059999999999</v>
      </c>
      <c r="U651">
        <v>-0.6181335</v>
      </c>
      <c r="V651">
        <v>-4.0829270000000001E-2</v>
      </c>
      <c r="W651">
        <v>-2.3484580000000001E-2</v>
      </c>
      <c r="X651">
        <v>0.9988901</v>
      </c>
      <c r="Y651">
        <v>0.20722599999999999</v>
      </c>
      <c r="Z651">
        <v>-1.1129440000000001E-2</v>
      </c>
      <c r="AA651">
        <v>0.97822980000000004</v>
      </c>
      <c r="AB651">
        <v>42</v>
      </c>
      <c r="AC651">
        <v>12.0082</v>
      </c>
      <c r="AD651">
        <v>-1.1075688476709999</v>
      </c>
      <c r="AE651">
        <v>-2.5428000000000499</v>
      </c>
      <c r="AF651">
        <v>2.6197323924742002</v>
      </c>
      <c r="AG651">
        <v>-1.1075688476709999</v>
      </c>
      <c r="AH651">
        <v>11.8901608761646</v>
      </c>
      <c r="AI651">
        <v>95.197787883613103</v>
      </c>
      <c r="AJ651">
        <v>77.574670944907794</v>
      </c>
      <c r="AK651">
        <v>12.225613776886</v>
      </c>
      <c r="AL651">
        <v>91.345691043099706</v>
      </c>
      <c r="AM651">
        <v>92.3406412245632</v>
      </c>
      <c r="AN651">
        <v>0.99999999333225897</v>
      </c>
    </row>
    <row r="652" spans="1:40" x14ac:dyDescent="0.25">
      <c r="A652" t="str">
        <f>"20190305135551370"</f>
        <v>20190305135551370</v>
      </c>
      <c r="B652" t="str">
        <f>"1551765351362608"</f>
        <v>1551765351362608</v>
      </c>
      <c r="C652" t="s">
        <v>40</v>
      </c>
      <c r="D652">
        <v>4.00108</v>
      </c>
      <c r="E652">
        <v>0.59636009999999995</v>
      </c>
      <c r="F652" t="s">
        <v>42</v>
      </c>
      <c r="G652">
        <v>-257.70569999999998</v>
      </c>
      <c r="H652" s="1">
        <v>-1.9312619999999998E-6</v>
      </c>
      <c r="I652">
        <v>365.24009999999998</v>
      </c>
      <c r="J652">
        <v>-269.57040000000001</v>
      </c>
      <c r="K652">
        <v>1.1080460000000001</v>
      </c>
      <c r="L652">
        <v>367.76690000000002</v>
      </c>
      <c r="M652">
        <v>0.99986819999999998</v>
      </c>
      <c r="N652">
        <v>-1.3556820000000001E-2</v>
      </c>
      <c r="O652">
        <v>8.94088E-3</v>
      </c>
      <c r="P652">
        <v>0.99810639999999995</v>
      </c>
      <c r="Q652">
        <v>-3.725121E-2</v>
      </c>
      <c r="R652">
        <v>4.8950050000000002E-2</v>
      </c>
      <c r="S652">
        <v>3.0261840000000002</v>
      </c>
      <c r="T652">
        <v>-0.27317520000000001</v>
      </c>
      <c r="U652">
        <v>-0.62225339999999996</v>
      </c>
      <c r="V652">
        <v>-3.9977810000000003E-2</v>
      </c>
      <c r="W652">
        <v>-2.3787989999999998E-2</v>
      </c>
      <c r="X652">
        <v>0.99891730000000001</v>
      </c>
      <c r="Y652">
        <v>0.20919080000000001</v>
      </c>
      <c r="Z652">
        <v>-1.143929E-2</v>
      </c>
      <c r="AA652">
        <v>0.97780789999999995</v>
      </c>
      <c r="AB652">
        <v>42</v>
      </c>
      <c r="AC652">
        <v>11.864699999999999</v>
      </c>
      <c r="AD652">
        <v>-1.108047931262</v>
      </c>
      <c r="AE652">
        <v>-2.5268000000000299</v>
      </c>
      <c r="AF652">
        <v>2.6110050968195102</v>
      </c>
      <c r="AG652">
        <v>-1.108047931262</v>
      </c>
      <c r="AH652">
        <v>11.743650583773301</v>
      </c>
      <c r="AI652">
        <v>95.262320734857099</v>
      </c>
      <c r="AJ652">
        <v>77.4651252775964</v>
      </c>
      <c r="AK652">
        <v>12.081326370368</v>
      </c>
      <c r="AL652">
        <v>91.363080096059093</v>
      </c>
      <c r="AM652">
        <v>92.2918193903879</v>
      </c>
      <c r="AN652">
        <v>0.99999993299996004</v>
      </c>
    </row>
    <row r="653" spans="1:40" x14ac:dyDescent="0.25">
      <c r="A653" t="str">
        <f>"20190305135551393"</f>
        <v>20190305135551393</v>
      </c>
      <c r="B653" t="str">
        <f>"1551765351382130"</f>
        <v>1551765351382130</v>
      </c>
      <c r="C653" t="s">
        <v>40</v>
      </c>
      <c r="D653">
        <v>4.0123620000000004</v>
      </c>
      <c r="E653">
        <v>0.59687639999999997</v>
      </c>
      <c r="F653" t="s">
        <v>42</v>
      </c>
      <c r="G653">
        <v>-257.46039999999999</v>
      </c>
      <c r="H653" s="1">
        <v>-2.0090179999999998E-6</v>
      </c>
      <c r="I653">
        <v>365.26150000000001</v>
      </c>
      <c r="J653">
        <v>-269.14449999999999</v>
      </c>
      <c r="K653">
        <v>1.108473</v>
      </c>
      <c r="L653">
        <v>367.7715</v>
      </c>
      <c r="M653">
        <v>0.99985769999999996</v>
      </c>
      <c r="N653">
        <v>-1.375289E-2</v>
      </c>
      <c r="O653">
        <v>9.7722469999999995E-3</v>
      </c>
      <c r="P653">
        <v>0.9980755</v>
      </c>
      <c r="Q653">
        <v>-3.7748039999999997E-2</v>
      </c>
      <c r="R653">
        <v>4.919627E-2</v>
      </c>
      <c r="S653">
        <v>3.026062</v>
      </c>
      <c r="T653">
        <v>-0.27687850000000003</v>
      </c>
      <c r="U653">
        <v>-0.62603759999999997</v>
      </c>
      <c r="V653">
        <v>-3.9391639999999999E-2</v>
      </c>
      <c r="W653">
        <v>-2.409097E-2</v>
      </c>
      <c r="X653">
        <v>0.99893339999999997</v>
      </c>
      <c r="Y653">
        <v>0.21114620000000001</v>
      </c>
      <c r="Z653">
        <v>-1.176025E-2</v>
      </c>
      <c r="AA653">
        <v>0.97738369999999997</v>
      </c>
      <c r="AB653">
        <v>41</v>
      </c>
      <c r="AC653">
        <v>11.684100000000001</v>
      </c>
      <c r="AD653">
        <v>-1.108475009018</v>
      </c>
      <c r="AE653">
        <v>-2.50999999999999</v>
      </c>
      <c r="AF653">
        <v>2.6016875847451799</v>
      </c>
      <c r="AG653">
        <v>-1.108475009018</v>
      </c>
      <c r="AH653">
        <v>11.5595602938075</v>
      </c>
      <c r="AI653">
        <v>95.344595268970707</v>
      </c>
      <c r="AJ653">
        <v>77.315905975363194</v>
      </c>
      <c r="AK653">
        <v>11.900459206282999</v>
      </c>
      <c r="AL653">
        <v>91.380444447036098</v>
      </c>
      <c r="AM653">
        <v>92.258214544238797</v>
      </c>
      <c r="AN653">
        <v>1.00000000688649</v>
      </c>
    </row>
    <row r="654" spans="1:40" x14ac:dyDescent="0.25">
      <c r="A654" t="str">
        <f>"20190305135551416"</f>
        <v>20190305135551416</v>
      </c>
      <c r="B654" t="str">
        <f>"1551765351412383"</f>
        <v>1551765351412383</v>
      </c>
      <c r="C654" t="s">
        <v>40</v>
      </c>
      <c r="D654">
        <v>4.0442359999999997</v>
      </c>
      <c r="E654">
        <v>0.59718539999999998</v>
      </c>
      <c r="F654" t="s">
        <v>42</v>
      </c>
      <c r="G654">
        <v>-256.90710000000001</v>
      </c>
      <c r="H654" s="1">
        <v>-2.2063380000000002E-6</v>
      </c>
      <c r="I654">
        <v>365.2276</v>
      </c>
      <c r="J654">
        <v>-268.73390000000001</v>
      </c>
      <c r="K654">
        <v>1.1088199999999999</v>
      </c>
      <c r="L654">
        <v>367.77629999999999</v>
      </c>
      <c r="M654">
        <v>0.99984689999999998</v>
      </c>
      <c r="N654">
        <v>-1.3922260000000001E-2</v>
      </c>
      <c r="O654">
        <v>1.060437E-2</v>
      </c>
      <c r="P654">
        <v>0.99804579999999998</v>
      </c>
      <c r="Q654">
        <v>-3.802784E-2</v>
      </c>
      <c r="R654">
        <v>4.9579909999999998E-2</v>
      </c>
      <c r="S654">
        <v>3.0264280000000001</v>
      </c>
      <c r="T654">
        <v>-0.2741344</v>
      </c>
      <c r="U654">
        <v>-0.62911989999999995</v>
      </c>
      <c r="V654">
        <v>-3.8942350000000001E-2</v>
      </c>
      <c r="W654">
        <v>-2.4203430000000001E-2</v>
      </c>
      <c r="X654">
        <v>0.99894830000000001</v>
      </c>
      <c r="Y654">
        <v>0.21289730000000001</v>
      </c>
      <c r="Z654">
        <v>-1.182535E-2</v>
      </c>
      <c r="AA654">
        <v>0.97700299999999995</v>
      </c>
      <c r="AB654">
        <v>41</v>
      </c>
      <c r="AC654">
        <v>11.826799999999899</v>
      </c>
      <c r="AD654">
        <v>-1.108822206338</v>
      </c>
      <c r="AE654">
        <v>-2.54869999999999</v>
      </c>
      <c r="AF654">
        <v>2.6517104538486298</v>
      </c>
      <c r="AG654">
        <v>-1.108822206338</v>
      </c>
      <c r="AH654">
        <v>11.700819097697799</v>
      </c>
      <c r="AI654">
        <v>95.280325746993995</v>
      </c>
      <c r="AJ654">
        <v>77.230970710159497</v>
      </c>
      <c r="AK654">
        <v>12.048660613253499</v>
      </c>
      <c r="AL654">
        <v>91.3868898063063</v>
      </c>
      <c r="AM654">
        <v>92.232450928437004</v>
      </c>
      <c r="AN654">
        <v>1.00000000936008</v>
      </c>
    </row>
    <row r="655" spans="1:40" x14ac:dyDescent="0.25">
      <c r="A655" t="str">
        <f>"20190305135551438"</f>
        <v>20190305135551438</v>
      </c>
      <c r="B655" t="str">
        <f>"1551765351431903"</f>
        <v>1551765351431903</v>
      </c>
      <c r="C655" t="s">
        <v>40</v>
      </c>
      <c r="D655">
        <v>4.0596079999999999</v>
      </c>
      <c r="E655">
        <v>0.59749140000000001</v>
      </c>
      <c r="F655" t="s">
        <v>42</v>
      </c>
      <c r="G655">
        <v>-256.28120000000001</v>
      </c>
      <c r="H655" s="1">
        <v>-2.431189E-6</v>
      </c>
      <c r="I655">
        <v>365.18299999999999</v>
      </c>
      <c r="J655">
        <v>-268.31779999999998</v>
      </c>
      <c r="K655">
        <v>1.1091120000000001</v>
      </c>
      <c r="L655">
        <v>367.78149999999999</v>
      </c>
      <c r="M655">
        <v>0.99983520000000004</v>
      </c>
      <c r="N655">
        <v>-1.407541E-2</v>
      </c>
      <c r="O655">
        <v>1.147253E-2</v>
      </c>
      <c r="P655">
        <v>0.99802729999999995</v>
      </c>
      <c r="Q655">
        <v>-3.7164000000000003E-2</v>
      </c>
      <c r="R655">
        <v>5.0601680000000003E-2</v>
      </c>
      <c r="S655">
        <v>3.0269170000000001</v>
      </c>
      <c r="T655">
        <v>-0.26952310000000002</v>
      </c>
      <c r="U655">
        <v>-0.63034060000000003</v>
      </c>
      <c r="V655">
        <v>-3.909762E-2</v>
      </c>
      <c r="W655">
        <v>-2.3189109999999999E-2</v>
      </c>
      <c r="X655">
        <v>0.99896629999999997</v>
      </c>
      <c r="Y655">
        <v>0.2141142</v>
      </c>
      <c r="Z655">
        <v>-1.178923E-2</v>
      </c>
      <c r="AA655">
        <v>0.97673750000000004</v>
      </c>
      <c r="AB655">
        <v>41</v>
      </c>
      <c r="AC655">
        <v>12.0365999999999</v>
      </c>
      <c r="AD655">
        <v>-1.109114431189</v>
      </c>
      <c r="AE655">
        <v>-2.5984999999999401</v>
      </c>
      <c r="AF655">
        <v>2.71441184246454</v>
      </c>
      <c r="AG655">
        <v>-1.109114431189</v>
      </c>
      <c r="AH655">
        <v>11.909376928878901</v>
      </c>
      <c r="AI655">
        <v>95.188279744595405</v>
      </c>
      <c r="AJ655">
        <v>77.160352494319994</v>
      </c>
      <c r="AK655">
        <v>12.265048932071</v>
      </c>
      <c r="AL655">
        <v>91.328757220213504</v>
      </c>
      <c r="AM655">
        <v>92.241302698182096</v>
      </c>
      <c r="AN655">
        <v>1.00000001362397</v>
      </c>
    </row>
    <row r="656" spans="1:40" x14ac:dyDescent="0.25">
      <c r="A656" t="str">
        <f>"20190305135551460"</f>
        <v>20190305135551460</v>
      </c>
      <c r="B656" t="str">
        <f>"1551765351452399"</f>
        <v>1551765351452399</v>
      </c>
      <c r="C656" t="s">
        <v>40</v>
      </c>
      <c r="D656">
        <v>4.0384890000000002</v>
      </c>
      <c r="E656">
        <v>0.59771719999999995</v>
      </c>
      <c r="F656" t="s">
        <v>42</v>
      </c>
      <c r="G656">
        <v>-255.52690000000001</v>
      </c>
      <c r="H656" s="1">
        <v>-2.704503E-6</v>
      </c>
      <c r="I656">
        <v>365.12060000000002</v>
      </c>
      <c r="J656">
        <v>-267.90949999999998</v>
      </c>
      <c r="K656">
        <v>1.109351</v>
      </c>
      <c r="L656">
        <v>367.7869</v>
      </c>
      <c r="M656">
        <v>0.99982300000000002</v>
      </c>
      <c r="N656">
        <v>-1.4209319999999999E-2</v>
      </c>
      <c r="O656">
        <v>1.2343389999999999E-2</v>
      </c>
      <c r="P656">
        <v>0.99795959999999995</v>
      </c>
      <c r="Q656">
        <v>-3.6987230000000003E-2</v>
      </c>
      <c r="R656">
        <v>5.2046599999999998E-2</v>
      </c>
      <c r="S656">
        <v>3.028076</v>
      </c>
      <c r="T656">
        <v>-0.2625654</v>
      </c>
      <c r="U656">
        <v>-0.62991330000000001</v>
      </c>
      <c r="V656">
        <v>-3.9673319999999998E-2</v>
      </c>
      <c r="W656">
        <v>-2.2882019999999999E-2</v>
      </c>
      <c r="X656">
        <v>0.99895069999999997</v>
      </c>
      <c r="Y656">
        <v>0.21479909999999999</v>
      </c>
      <c r="Z656">
        <v>-1.162696E-2</v>
      </c>
      <c r="AA656">
        <v>0.97658900000000004</v>
      </c>
      <c r="AB656">
        <v>41</v>
      </c>
      <c r="AC656">
        <v>12.382599999999901</v>
      </c>
      <c r="AD656">
        <v>-1.109353704503</v>
      </c>
      <c r="AE656">
        <v>-2.6662999999999699</v>
      </c>
      <c r="AF656">
        <v>2.7974968437200398</v>
      </c>
      <c r="AG656">
        <v>-1.109353704503</v>
      </c>
      <c r="AH656">
        <v>12.254739970867099</v>
      </c>
      <c r="AI656">
        <v>95.043522859968604</v>
      </c>
      <c r="AJ656">
        <v>77.140935551713795</v>
      </c>
      <c r="AK656">
        <v>12.6188472526569</v>
      </c>
      <c r="AL656">
        <v>91.311157567724194</v>
      </c>
      <c r="AM656">
        <v>92.274306241743304</v>
      </c>
      <c r="AN656">
        <v>1.00000003009479</v>
      </c>
    </row>
    <row r="657" spans="1:40" x14ac:dyDescent="0.25">
      <c r="A657" t="str">
        <f>"20190305135551482"</f>
        <v>20190305135551482</v>
      </c>
      <c r="B657" t="str">
        <f>"1551765351471920"</f>
        <v>1551765351471920</v>
      </c>
      <c r="C657" t="s">
        <v>40</v>
      </c>
      <c r="D657">
        <v>3.9933920000000001</v>
      </c>
      <c r="E657">
        <v>0.59814460000000003</v>
      </c>
      <c r="F657" t="s">
        <v>42</v>
      </c>
      <c r="G657">
        <v>-254.96629999999999</v>
      </c>
      <c r="H657" s="1">
        <v>-2.9416139999999999E-6</v>
      </c>
      <c r="I657">
        <v>365.1071</v>
      </c>
      <c r="J657">
        <v>-267.50850000000003</v>
      </c>
      <c r="K657">
        <v>1.109542</v>
      </c>
      <c r="L657">
        <v>367.79259999999999</v>
      </c>
      <c r="M657">
        <v>0.99981019999999998</v>
      </c>
      <c r="N657">
        <v>-1.4326190000000001E-2</v>
      </c>
      <c r="O657">
        <v>1.321189E-2</v>
      </c>
      <c r="P657">
        <v>0.99788829999999995</v>
      </c>
      <c r="Q657">
        <v>-3.6737119999999998E-2</v>
      </c>
      <c r="R657">
        <v>5.3568200000000003E-2</v>
      </c>
      <c r="S657">
        <v>3.029236</v>
      </c>
      <c r="T657">
        <v>-0.25963140000000001</v>
      </c>
      <c r="U657">
        <v>-0.62716669999999997</v>
      </c>
      <c r="V657">
        <v>-4.0328610000000001E-2</v>
      </c>
      <c r="W657">
        <v>-2.2518380000000001E-2</v>
      </c>
      <c r="X657">
        <v>0.99893270000000001</v>
      </c>
      <c r="Y657">
        <v>0.21474090000000001</v>
      </c>
      <c r="Z657">
        <v>-1.157935E-2</v>
      </c>
      <c r="AA657">
        <v>0.97660239999999998</v>
      </c>
      <c r="AB657">
        <v>41</v>
      </c>
      <c r="AC657">
        <v>12.542199999999999</v>
      </c>
      <c r="AD657">
        <v>-1.109544941614</v>
      </c>
      <c r="AE657">
        <v>-2.68549999999999</v>
      </c>
      <c r="AF657">
        <v>2.82981327984997</v>
      </c>
      <c r="AG657">
        <v>-1.109544941614</v>
      </c>
      <c r="AH657">
        <v>12.412736661022899</v>
      </c>
      <c r="AI657">
        <v>94.980829578449601</v>
      </c>
      <c r="AJ657">
        <v>77.1573925977589</v>
      </c>
      <c r="AK657">
        <v>12.779474347256199</v>
      </c>
      <c r="AL657">
        <v>91.290317190984197</v>
      </c>
      <c r="AM657">
        <v>92.311872473207998</v>
      </c>
      <c r="AN657">
        <v>1.0000000066758199</v>
      </c>
    </row>
    <row r="658" spans="1:40" x14ac:dyDescent="0.25">
      <c r="A658" t="str">
        <f>"20190305135551504"</f>
        <v>20190305135551504</v>
      </c>
      <c r="B658" t="str">
        <f>"1551765351492415"</f>
        <v>1551765351492415</v>
      </c>
      <c r="C658" t="s">
        <v>40</v>
      </c>
      <c r="D658">
        <v>3.9848819999999998</v>
      </c>
      <c r="E658">
        <v>0.59854960000000001</v>
      </c>
      <c r="F658" t="s">
        <v>42</v>
      </c>
      <c r="G658">
        <v>-254.40389999999999</v>
      </c>
      <c r="H658" s="1">
        <v>-3.1866760000000001E-6</v>
      </c>
      <c r="I658">
        <v>365.08580000000001</v>
      </c>
      <c r="J658">
        <v>-267.10169999999999</v>
      </c>
      <c r="K658">
        <v>1.109704</v>
      </c>
      <c r="L658">
        <v>367.79880000000003</v>
      </c>
      <c r="M658">
        <v>0.99979649999999998</v>
      </c>
      <c r="N658">
        <v>-1.443117E-2</v>
      </c>
      <c r="O658">
        <v>1.410075E-2</v>
      </c>
      <c r="P658">
        <v>0.9977454</v>
      </c>
      <c r="Q658">
        <v>-3.7922150000000002E-2</v>
      </c>
      <c r="R658">
        <v>5.537446E-2</v>
      </c>
      <c r="S658">
        <v>3.0305179999999998</v>
      </c>
      <c r="T658">
        <v>-0.25658769999999997</v>
      </c>
      <c r="U658">
        <v>-0.62597659999999999</v>
      </c>
      <c r="V658">
        <v>-4.1245919999999998E-2</v>
      </c>
      <c r="W658">
        <v>-2.3602890000000001E-2</v>
      </c>
      <c r="X658">
        <v>0.99887020000000004</v>
      </c>
      <c r="Y658">
        <v>0.21517500000000001</v>
      </c>
      <c r="Z658">
        <v>-1.154926E-2</v>
      </c>
      <c r="AA658">
        <v>0.97650720000000002</v>
      </c>
      <c r="AB658">
        <v>41</v>
      </c>
      <c r="AC658">
        <v>12.697800000000001</v>
      </c>
      <c r="AD658">
        <v>-1.109707186676</v>
      </c>
      <c r="AE658">
        <v>-2.7130000000000201</v>
      </c>
      <c r="AF658">
        <v>2.8708282148387698</v>
      </c>
      <c r="AG658">
        <v>-1.109707186676</v>
      </c>
      <c r="AH658">
        <v>12.5664896856361</v>
      </c>
      <c r="AI658">
        <v>94.9204012664744</v>
      </c>
      <c r="AJ658">
        <v>77.131551388729093</v>
      </c>
      <c r="AK658">
        <v>12.937919759314999</v>
      </c>
      <c r="AL658">
        <v>91.352471578141206</v>
      </c>
      <c r="AM658">
        <v>92.364546820209895</v>
      </c>
      <c r="AN658">
        <v>0.99999999939051898</v>
      </c>
    </row>
    <row r="659" spans="1:40" x14ac:dyDescent="0.25">
      <c r="A659" t="str">
        <f>"20190305135551527"</f>
        <v>20190305135551527</v>
      </c>
      <c r="B659" t="str">
        <f>"1551765351522671"</f>
        <v>1551765351522671</v>
      </c>
      <c r="C659" t="s">
        <v>40</v>
      </c>
      <c r="D659">
        <v>4.0088489999999997</v>
      </c>
      <c r="E659">
        <v>0.59926080000000004</v>
      </c>
      <c r="F659" t="s">
        <v>42</v>
      </c>
      <c r="G659">
        <v>-254.27379999999999</v>
      </c>
      <c r="H659" s="1">
        <v>-3.2293199999999999E-6</v>
      </c>
      <c r="I659">
        <v>365.16</v>
      </c>
      <c r="J659">
        <v>-266.67989999999998</v>
      </c>
      <c r="K659">
        <v>1.1098440000000001</v>
      </c>
      <c r="L659">
        <v>367.80560000000003</v>
      </c>
      <c r="M659">
        <v>0.9997817</v>
      </c>
      <c r="N659">
        <v>-1.45275E-2</v>
      </c>
      <c r="O659">
        <v>1.502303E-2</v>
      </c>
      <c r="P659">
        <v>0.99763449999999998</v>
      </c>
      <c r="Q659">
        <v>-3.8301250000000002E-2</v>
      </c>
      <c r="R659">
        <v>5.7084030000000001E-2</v>
      </c>
      <c r="S659">
        <v>3.0314329999999998</v>
      </c>
      <c r="T659">
        <v>-0.26224049999999999</v>
      </c>
      <c r="U659">
        <v>-0.62359619999999905</v>
      </c>
      <c r="V659">
        <v>-4.2034370000000001E-2</v>
      </c>
      <c r="W659">
        <v>-2.3889110000000002E-2</v>
      </c>
      <c r="X659">
        <v>0.99883060000000001</v>
      </c>
      <c r="Y659">
        <v>0.21524109999999999</v>
      </c>
      <c r="Z659">
        <v>-1.1848529999999999E-2</v>
      </c>
      <c r="AA659">
        <v>0.9764891</v>
      </c>
      <c r="AB659">
        <v>41</v>
      </c>
      <c r="AC659">
        <v>12.406099999999901</v>
      </c>
      <c r="AD659">
        <v>-1.1098472293199999</v>
      </c>
      <c r="AE659">
        <v>-2.6456</v>
      </c>
      <c r="AF659">
        <v>2.81018642339453</v>
      </c>
      <c r="AG659">
        <v>-1.1098472293199999</v>
      </c>
      <c r="AH659">
        <v>12.2710165956795</v>
      </c>
      <c r="AI659">
        <v>95.038300124910606</v>
      </c>
      <c r="AJ659">
        <v>77.101116017109405</v>
      </c>
      <c r="AK659">
        <v>12.637513873310001</v>
      </c>
      <c r="AL659">
        <v>91.368875301378694</v>
      </c>
      <c r="AM659">
        <v>92.409789736015099</v>
      </c>
      <c r="AN659">
        <v>1.0000000726671201</v>
      </c>
    </row>
    <row r="660" spans="1:40" x14ac:dyDescent="0.25">
      <c r="A660" t="str">
        <f>"20190305135551549"</f>
        <v>20190305135551549</v>
      </c>
      <c r="B660" t="str">
        <f>"1551765351542191"</f>
        <v>1551765351542191</v>
      </c>
      <c r="C660" t="s">
        <v>40</v>
      </c>
      <c r="D660">
        <v>4.0184540000000002</v>
      </c>
      <c r="E660">
        <v>0.59970649999999903</v>
      </c>
      <c r="F660" t="s">
        <v>42</v>
      </c>
      <c r="G660">
        <v>-253.9597</v>
      </c>
      <c r="H660" s="1">
        <v>-3.3593819999999999E-6</v>
      </c>
      <c r="I660">
        <v>365.18650000000002</v>
      </c>
      <c r="J660">
        <v>-266.2713</v>
      </c>
      <c r="K660">
        <v>1.1099600000000001</v>
      </c>
      <c r="L660">
        <v>367.8125</v>
      </c>
      <c r="M660">
        <v>0.99976670000000001</v>
      </c>
      <c r="N660">
        <v>-1.460935E-2</v>
      </c>
      <c r="O660">
        <v>1.5907890000000001E-2</v>
      </c>
      <c r="P660">
        <v>0.99756109999999998</v>
      </c>
      <c r="Q660">
        <v>-3.7963419999999998E-2</v>
      </c>
      <c r="R660">
        <v>5.8573E-2</v>
      </c>
      <c r="S660">
        <v>3.0326840000000002</v>
      </c>
      <c r="T660">
        <v>-0.26460230000000001</v>
      </c>
      <c r="U660">
        <v>-0.62442019999999998</v>
      </c>
      <c r="V660">
        <v>-4.2641079999999998E-2</v>
      </c>
      <c r="W660">
        <v>-2.347144E-2</v>
      </c>
      <c r="X660">
        <v>0.99881470000000006</v>
      </c>
      <c r="Y660">
        <v>0.2162577</v>
      </c>
      <c r="Z660">
        <v>-1.2060710000000001E-2</v>
      </c>
      <c r="AA660">
        <v>0.97626179999999996</v>
      </c>
      <c r="AB660">
        <v>41</v>
      </c>
      <c r="AC660">
        <v>12.3116</v>
      </c>
      <c r="AD660">
        <v>-1.109963359382</v>
      </c>
      <c r="AE660">
        <v>-2.6259999999999701</v>
      </c>
      <c r="AF660">
        <v>2.7997735872820302</v>
      </c>
      <c r="AG660">
        <v>-1.109963359382</v>
      </c>
      <c r="AH660">
        <v>12.1736206898864</v>
      </c>
      <c r="AI660">
        <v>95.077852164859294</v>
      </c>
      <c r="AJ660">
        <v>77.0479469982415</v>
      </c>
      <c r="AK660">
        <v>12.5406455774989</v>
      </c>
      <c r="AL660">
        <v>91.344937976724097</v>
      </c>
      <c r="AM660">
        <v>92.444568805354095</v>
      </c>
      <c r="AN660">
        <v>0.99999998756766495</v>
      </c>
    </row>
    <row r="661" spans="1:40" x14ac:dyDescent="0.25">
      <c r="A661" t="str">
        <f>"20190305135551571"</f>
        <v>20190305135551571</v>
      </c>
      <c r="B661" t="str">
        <f>"1551765351562692"</f>
        <v>1551765351562692</v>
      </c>
      <c r="C661" t="s">
        <v>40</v>
      </c>
      <c r="D661">
        <v>4.0292149999999998</v>
      </c>
      <c r="E661">
        <v>0.60010090000000005</v>
      </c>
      <c r="F661" t="s">
        <v>42</v>
      </c>
      <c r="G661">
        <v>-253.45859999999999</v>
      </c>
      <c r="H661" s="1">
        <v>-3.5753910000000001E-6</v>
      </c>
      <c r="I661">
        <v>365.18049999999999</v>
      </c>
      <c r="J661">
        <v>-265.87279999999998</v>
      </c>
      <c r="K661">
        <v>1.1100380000000001</v>
      </c>
      <c r="L661">
        <v>367.81959999999998</v>
      </c>
      <c r="M661">
        <v>0.99975190000000003</v>
      </c>
      <c r="N661">
        <v>-1.467881E-2</v>
      </c>
      <c r="O661">
        <v>1.6753259999999999E-2</v>
      </c>
      <c r="P661">
        <v>0.99751869999999998</v>
      </c>
      <c r="Q661">
        <v>-3.7565269999999998E-2</v>
      </c>
      <c r="R661">
        <v>5.9541120000000003E-2</v>
      </c>
      <c r="S661">
        <v>3.0339360000000002</v>
      </c>
      <c r="T661">
        <v>-0.26282850000000002</v>
      </c>
      <c r="U661">
        <v>-0.62322999999999995</v>
      </c>
      <c r="V661">
        <v>-4.2767289999999999E-2</v>
      </c>
      <c r="W661">
        <v>-2.3003679999999999E-2</v>
      </c>
      <c r="X661">
        <v>0.99882020000000005</v>
      </c>
      <c r="Y661">
        <v>0.21664449999999999</v>
      </c>
      <c r="Z661">
        <v>-1.2071399999999999E-2</v>
      </c>
      <c r="AA661">
        <v>0.97617589999999999</v>
      </c>
      <c r="AB661">
        <v>41</v>
      </c>
      <c r="AC661">
        <v>12.4141999999999</v>
      </c>
      <c r="AD661">
        <v>-1.11004157539099</v>
      </c>
      <c r="AE661">
        <v>-2.63909999999998</v>
      </c>
      <c r="AF661">
        <v>2.8251189521412798</v>
      </c>
      <c r="AG661">
        <v>-1.11004157539099</v>
      </c>
      <c r="AH661">
        <v>12.2743440058138</v>
      </c>
      <c r="AI661">
        <v>95.036557066890595</v>
      </c>
      <c r="AJ661">
        <v>77.038281084526403</v>
      </c>
      <c r="AK661">
        <v>12.6440899303153</v>
      </c>
      <c r="AL661">
        <v>91.318130045502002</v>
      </c>
      <c r="AM661">
        <v>92.451781992582099</v>
      </c>
      <c r="AN661">
        <v>1.0000000011577601</v>
      </c>
    </row>
    <row r="662" spans="1:40" x14ac:dyDescent="0.25">
      <c r="A662" t="str">
        <f>"20190305135551585"</f>
        <v>20190305135551585</v>
      </c>
      <c r="B662" t="str">
        <f>"1551765351582208"</f>
        <v>1551765351582208</v>
      </c>
      <c r="C662" t="s">
        <v>40</v>
      </c>
      <c r="D662">
        <v>3.9960960000000001</v>
      </c>
      <c r="E662">
        <v>0.60052680000000003</v>
      </c>
      <c r="F662" t="s">
        <v>42</v>
      </c>
      <c r="G662">
        <v>-253.05250000000001</v>
      </c>
      <c r="H662" s="1">
        <v>-3.7486980000000002E-6</v>
      </c>
      <c r="I662">
        <v>365.18560000000002</v>
      </c>
      <c r="J662">
        <v>-265.61259999999999</v>
      </c>
      <c r="K662">
        <v>1.1100810000000001</v>
      </c>
      <c r="L662">
        <v>367.82440000000003</v>
      </c>
      <c r="M662">
        <v>0.99974209999999997</v>
      </c>
      <c r="N662">
        <v>-1.471941E-2</v>
      </c>
      <c r="O662">
        <v>1.7297070000000001E-2</v>
      </c>
      <c r="P662">
        <v>0.99747940000000002</v>
      </c>
      <c r="Q662">
        <v>-3.7664540000000003E-2</v>
      </c>
      <c r="R662">
        <v>6.0135859999999999E-2</v>
      </c>
      <c r="S662">
        <v>3.0347900000000001</v>
      </c>
      <c r="T662">
        <v>-0.2627642</v>
      </c>
      <c r="U662">
        <v>-0.62350459999999996</v>
      </c>
      <c r="V662">
        <v>-4.2819620000000003E-2</v>
      </c>
      <c r="W662">
        <v>-2.3061990000000001E-2</v>
      </c>
      <c r="X662">
        <v>0.99881660000000005</v>
      </c>
      <c r="Y662">
        <v>0.2172029</v>
      </c>
      <c r="Z662">
        <v>-1.213622E-2</v>
      </c>
      <c r="AA662">
        <v>0.976051</v>
      </c>
      <c r="AB662">
        <v>41</v>
      </c>
      <c r="AC662">
        <v>12.560099999999901</v>
      </c>
      <c r="AD662">
        <v>-1.1100847486979999</v>
      </c>
      <c r="AE662">
        <v>-2.6387999999999998</v>
      </c>
      <c r="AF662">
        <v>2.8344764851753101</v>
      </c>
      <c r="AG662">
        <v>-1.1100847486979999</v>
      </c>
      <c r="AH662">
        <v>12.4196589179806</v>
      </c>
      <c r="AI662">
        <v>94.980210227589097</v>
      </c>
      <c r="AJ662">
        <v>77.143863990511093</v>
      </c>
      <c r="AK662">
        <v>12.7872777686761</v>
      </c>
      <c r="AL662">
        <v>91.321471866557502</v>
      </c>
      <c r="AM662">
        <v>92.454787159042795</v>
      </c>
      <c r="AN662">
        <v>0.999999987837632</v>
      </c>
    </row>
    <row r="663" spans="1:40" x14ac:dyDescent="0.25">
      <c r="A663" t="str">
        <f>"20190305135551600"</f>
        <v>20190305135551600</v>
      </c>
      <c r="B663" t="str">
        <f>"1551765351591967"</f>
        <v>1551765351591967</v>
      </c>
      <c r="C663" t="s">
        <v>40</v>
      </c>
      <c r="D663">
        <v>4.026249</v>
      </c>
      <c r="E663">
        <v>0.60052680000000003</v>
      </c>
      <c r="F663" t="s">
        <v>42</v>
      </c>
      <c r="G663">
        <v>-252.815</v>
      </c>
      <c r="H663" s="1">
        <v>-3.8502010000000002E-6</v>
      </c>
      <c r="I663">
        <v>365.18779999999998</v>
      </c>
      <c r="J663">
        <v>-265.34589999999997</v>
      </c>
      <c r="K663">
        <v>1.1101129999999999</v>
      </c>
      <c r="L663">
        <v>367.8295</v>
      </c>
      <c r="M663">
        <v>0.99973190000000001</v>
      </c>
      <c r="N663">
        <v>-1.475754E-2</v>
      </c>
      <c r="O663">
        <v>1.7843899999999999E-2</v>
      </c>
      <c r="P663">
        <v>0.99744699999999997</v>
      </c>
      <c r="Q663">
        <v>-3.760053E-2</v>
      </c>
      <c r="R663">
        <v>6.0713120000000002E-2</v>
      </c>
      <c r="S663">
        <v>3.0353089999999998</v>
      </c>
      <c r="T663">
        <v>-0.26328649999999998</v>
      </c>
      <c r="U663">
        <v>-0.62533570000000005</v>
      </c>
      <c r="V663">
        <v>-4.2852099999999997E-2</v>
      </c>
      <c r="W663">
        <v>-2.2959070000000002E-2</v>
      </c>
      <c r="X663">
        <v>0.99881759999999997</v>
      </c>
      <c r="Y663">
        <v>0.21825929999999999</v>
      </c>
      <c r="Z663">
        <v>-1.2250840000000001E-2</v>
      </c>
      <c r="AA663">
        <v>0.97581390000000001</v>
      </c>
      <c r="AB663">
        <v>41</v>
      </c>
      <c r="AC663">
        <v>12.5308999999999</v>
      </c>
      <c r="AD663">
        <v>-1.1101168502009999</v>
      </c>
      <c r="AE663">
        <v>-2.6417000000000099</v>
      </c>
      <c r="AF663">
        <v>2.84353661316857</v>
      </c>
      <c r="AG663">
        <v>-1.1101168502009999</v>
      </c>
      <c r="AH663">
        <v>12.3886689991668</v>
      </c>
      <c r="AI663">
        <v>94.991342186233993</v>
      </c>
      <c r="AJ663">
        <v>77.072966088015505</v>
      </c>
      <c r="AK663">
        <v>12.759199797105101</v>
      </c>
      <c r="AL663">
        <v>91.315573394289103</v>
      </c>
      <c r="AM663">
        <v>92.456644453728103</v>
      </c>
      <c r="AN663">
        <v>1.0000000097197099</v>
      </c>
    </row>
    <row r="664" spans="1:40" x14ac:dyDescent="0.25">
      <c r="A664" t="str">
        <f>"20190305135551617"</f>
        <v>20190305135551617</v>
      </c>
      <c r="B664" t="str">
        <f>"1551765351612463"</f>
        <v>1551765351612463</v>
      </c>
      <c r="C664" t="s">
        <v>40</v>
      </c>
      <c r="D664">
        <v>3.99953</v>
      </c>
      <c r="E664">
        <v>0.61028490000000002</v>
      </c>
      <c r="F664" t="s">
        <v>42</v>
      </c>
      <c r="G664">
        <v>-252.5067</v>
      </c>
      <c r="H664" s="1">
        <v>-3.9816799999999998E-6</v>
      </c>
      <c r="I664">
        <v>365.19220000000001</v>
      </c>
      <c r="J664">
        <v>-265.02999999999997</v>
      </c>
      <c r="K664">
        <v>1.1101289999999999</v>
      </c>
      <c r="L664">
        <v>367.83569999999997</v>
      </c>
      <c r="M664">
        <v>0.99971989999999999</v>
      </c>
      <c r="N664">
        <v>-1.4798800000000001E-2</v>
      </c>
      <c r="O664">
        <v>1.847364E-2</v>
      </c>
      <c r="P664">
        <v>0.99736800000000003</v>
      </c>
      <c r="Q664">
        <v>-3.8628280000000001E-2</v>
      </c>
      <c r="R664">
        <v>6.1359749999999998E-2</v>
      </c>
      <c r="S664">
        <v>3.035736</v>
      </c>
      <c r="T664">
        <v>-0.26247680000000001</v>
      </c>
      <c r="U664">
        <v>-0.623565699999999</v>
      </c>
      <c r="V664">
        <v>-4.2869699999999997E-2</v>
      </c>
      <c r="W664">
        <v>-2.394458E-2</v>
      </c>
      <c r="X664">
        <v>0.99879370000000001</v>
      </c>
      <c r="Y664">
        <v>0.21830450000000001</v>
      </c>
      <c r="Z664">
        <v>-1.226723E-2</v>
      </c>
      <c r="AA664">
        <v>0.97580359999999999</v>
      </c>
      <c r="AB664">
        <v>41</v>
      </c>
      <c r="AC664">
        <v>12.5232999999999</v>
      </c>
      <c r="AD664">
        <v>-1.1101329816800001</v>
      </c>
      <c r="AE664">
        <v>-2.64349999999996</v>
      </c>
      <c r="AF664">
        <v>2.8529627411254301</v>
      </c>
      <c r="AG664">
        <v>-1.1101329816800001</v>
      </c>
      <c r="AH664">
        <v>12.379195656838901</v>
      </c>
      <c r="AI664">
        <v>94.994197531664895</v>
      </c>
      <c r="AJ664">
        <v>77.021971835009495</v>
      </c>
      <c r="AK664">
        <v>12.7521087177597</v>
      </c>
      <c r="AL664">
        <v>91.372054500792501</v>
      </c>
      <c r="AM664">
        <v>92.457710934247103</v>
      </c>
      <c r="AN664">
        <v>1.0000000046245701</v>
      </c>
    </row>
    <row r="665" spans="1:40" x14ac:dyDescent="0.25">
      <c r="A665" t="str">
        <f>"20190305135551640"</f>
        <v>20190305135551640</v>
      </c>
      <c r="B665" t="str">
        <f>"1551765351632490"</f>
        <v>1551765351632490</v>
      </c>
      <c r="C665" t="s">
        <v>40</v>
      </c>
      <c r="D665">
        <v>3.9953240000000001</v>
      </c>
      <c r="E665">
        <v>0.61071350000000002</v>
      </c>
      <c r="F665" t="s">
        <v>42</v>
      </c>
      <c r="G665">
        <v>-252.28710000000001</v>
      </c>
      <c r="H665" s="1">
        <v>-4.1270499999999997E-6</v>
      </c>
      <c r="I665">
        <v>364.90390000000002</v>
      </c>
      <c r="J665">
        <v>-264.61439999999999</v>
      </c>
      <c r="K665">
        <v>1.110141</v>
      </c>
      <c r="L665">
        <v>367.84410000000003</v>
      </c>
      <c r="M665">
        <v>0.99970440000000005</v>
      </c>
      <c r="N665">
        <v>-1.484647E-2</v>
      </c>
      <c r="O665">
        <v>1.9259180000000001E-2</v>
      </c>
      <c r="P665">
        <v>0.99731919999999996</v>
      </c>
      <c r="Q665">
        <v>-3.8440750000000003E-2</v>
      </c>
      <c r="R665">
        <v>6.226607E-2</v>
      </c>
      <c r="S665">
        <v>3.04068</v>
      </c>
      <c r="T665">
        <v>-0.26489449999999998</v>
      </c>
      <c r="U665">
        <v>-0.69958500000000001</v>
      </c>
      <c r="V665">
        <v>-4.2994249999999998E-2</v>
      </c>
      <c r="W665">
        <v>-2.370651E-2</v>
      </c>
      <c r="X665">
        <v>0.99879399999999996</v>
      </c>
      <c r="Y665">
        <v>0.2418727</v>
      </c>
      <c r="Z665">
        <v>-1.357565E-2</v>
      </c>
      <c r="AA665">
        <v>0.97021299999999999</v>
      </c>
      <c r="AB665">
        <v>41</v>
      </c>
      <c r="AC665">
        <v>12.3272999999999</v>
      </c>
      <c r="AD665">
        <v>-1.11014512705</v>
      </c>
      <c r="AE665">
        <v>-2.9401999999999999</v>
      </c>
      <c r="AF665">
        <v>3.1529005253813498</v>
      </c>
      <c r="AG665">
        <v>-1.11014512705</v>
      </c>
      <c r="AH665">
        <v>12.1749562111552</v>
      </c>
      <c r="AI665">
        <v>95.044471643908807</v>
      </c>
      <c r="AJ665">
        <v>75.481286707117704</v>
      </c>
      <c r="AK665">
        <v>12.6254806906355</v>
      </c>
      <c r="AL665">
        <v>91.358410255829895</v>
      </c>
      <c r="AM665">
        <v>92.464841826456606</v>
      </c>
      <c r="AN665">
        <v>0.999999979292721</v>
      </c>
    </row>
    <row r="666" spans="1:40" x14ac:dyDescent="0.25">
      <c r="A666" t="str">
        <f>"20190305135551661"</f>
        <v>20190305135551661</v>
      </c>
      <c r="B666" t="str">
        <f>"1551765351652010"</f>
        <v>1551765351652010</v>
      </c>
      <c r="C666" t="s">
        <v>40</v>
      </c>
      <c r="D666">
        <v>4.0154569999999996</v>
      </c>
      <c r="E666">
        <v>0.60688260000000005</v>
      </c>
      <c r="F666" t="s">
        <v>42</v>
      </c>
      <c r="G666">
        <v>-251.7936</v>
      </c>
      <c r="H666" s="1">
        <v>-4.3406100000000003E-6</v>
      </c>
      <c r="I666">
        <v>364.89350000000002</v>
      </c>
      <c r="J666">
        <v>-264.23180000000002</v>
      </c>
      <c r="K666">
        <v>1.110147</v>
      </c>
      <c r="L666">
        <v>367.85210000000001</v>
      </c>
      <c r="M666">
        <v>0.99969050000000004</v>
      </c>
      <c r="N666">
        <v>-1.488452E-2</v>
      </c>
      <c r="O666">
        <v>1.993296E-2</v>
      </c>
      <c r="P666">
        <v>0.99729159999999994</v>
      </c>
      <c r="Q666">
        <v>-3.8159940000000003E-2</v>
      </c>
      <c r="R666">
        <v>6.2873940000000003E-2</v>
      </c>
      <c r="S666">
        <v>3.0416259999999999</v>
      </c>
      <c r="T666">
        <v>-0.26337059999999901</v>
      </c>
      <c r="U666">
        <v>-0.70001219999999997</v>
      </c>
      <c r="V666">
        <v>-4.293218E-2</v>
      </c>
      <c r="W666">
        <v>-2.3383379999999999E-2</v>
      </c>
      <c r="X666">
        <v>0.99880429999999998</v>
      </c>
      <c r="Y666">
        <v>0.24259700000000001</v>
      </c>
      <c r="Z666">
        <v>-1.359083E-2</v>
      </c>
      <c r="AA666">
        <v>0.97003189999999995</v>
      </c>
      <c r="AB666">
        <v>41</v>
      </c>
      <c r="AC666">
        <v>12.4382</v>
      </c>
      <c r="AD666">
        <v>-1.1101513406100001</v>
      </c>
      <c r="AE666">
        <v>-2.9585999999999899</v>
      </c>
      <c r="AF666">
        <v>3.1819788799282098</v>
      </c>
      <c r="AG666">
        <v>-1.1101513406100001</v>
      </c>
      <c r="AH666">
        <v>12.2841308258864</v>
      </c>
      <c r="AI666">
        <v>94.999816050325293</v>
      </c>
      <c r="AJ666">
        <v>75.477764404902203</v>
      </c>
      <c r="AK666">
        <v>12.738025582438601</v>
      </c>
      <c r="AL666">
        <v>91.339891119060098</v>
      </c>
      <c r="AM666">
        <v>92.461262408971805</v>
      </c>
      <c r="AN666">
        <v>0.99999999211913304</v>
      </c>
    </row>
    <row r="667" spans="1:40" x14ac:dyDescent="0.25">
      <c r="A667" t="str">
        <f>"20190305135551677"</f>
        <v>20190305135551677</v>
      </c>
      <c r="B667" t="str">
        <f>"1551765351672507"</f>
        <v>1551765351672507</v>
      </c>
      <c r="C667" t="s">
        <v>40</v>
      </c>
      <c r="D667">
        <v>4.0122790000000004</v>
      </c>
      <c r="E667">
        <v>0.59930240000000001</v>
      </c>
      <c r="F667" t="s">
        <v>42</v>
      </c>
      <c r="G667">
        <v>-251.5949</v>
      </c>
      <c r="H667" s="1">
        <v>-4.3937279999999999E-6</v>
      </c>
      <c r="I667">
        <v>365.07440000000003</v>
      </c>
      <c r="J667">
        <v>-263.95089999999999</v>
      </c>
      <c r="K667">
        <v>1.110139</v>
      </c>
      <c r="L667">
        <v>367.85809999999998</v>
      </c>
      <c r="M667">
        <v>0.99968089999999998</v>
      </c>
      <c r="N667">
        <v>-1.490929E-2</v>
      </c>
      <c r="O667">
        <v>2.0393339999999999E-2</v>
      </c>
      <c r="P667">
        <v>0.99725090000000005</v>
      </c>
      <c r="Q667">
        <v>-3.8319350000000002E-2</v>
      </c>
      <c r="R667">
        <v>6.3421950000000005E-2</v>
      </c>
      <c r="S667">
        <v>3.0400390000000002</v>
      </c>
      <c r="T667">
        <v>-0.26706659999999999</v>
      </c>
      <c r="U667">
        <v>-0.6682129</v>
      </c>
      <c r="V667">
        <v>-4.3023489999999998E-2</v>
      </c>
      <c r="W667">
        <v>-2.351483E-2</v>
      </c>
      <c r="X667">
        <v>0.9987973</v>
      </c>
      <c r="Y667">
        <v>0.23349239999999999</v>
      </c>
      <c r="Z667">
        <v>-1.334949E-2</v>
      </c>
      <c r="AA667">
        <v>0.97226699999999999</v>
      </c>
      <c r="AB667">
        <v>41</v>
      </c>
      <c r="AC667">
        <v>12.3559999999999</v>
      </c>
      <c r="AD667">
        <v>-1.1101433937279901</v>
      </c>
      <c r="AE667">
        <v>-2.7836999999999499</v>
      </c>
      <c r="AF667">
        <v>3.0119895726208799</v>
      </c>
      <c r="AG667">
        <v>-1.1101433937279901</v>
      </c>
      <c r="AH667">
        <v>12.202906196204401</v>
      </c>
      <c r="AI667">
        <v>95.047438398038906</v>
      </c>
      <c r="AJ667">
        <v>76.135065204725905</v>
      </c>
      <c r="AK667">
        <v>12.618059247506199</v>
      </c>
      <c r="AL667">
        <v>91.347424700511695</v>
      </c>
      <c r="AM667">
        <v>92.466507934252107</v>
      </c>
      <c r="AN667">
        <v>1.0000000072044899</v>
      </c>
    </row>
    <row r="668" spans="1:40" x14ac:dyDescent="0.25">
      <c r="A668" t="str">
        <f>"20190305135551694"</f>
        <v>20190305135551694</v>
      </c>
      <c r="B668" t="str">
        <f>"1551765351682266"</f>
        <v>1551765351682266</v>
      </c>
      <c r="C668" t="s">
        <v>40</v>
      </c>
      <c r="D668">
        <v>3.9757370000000001</v>
      </c>
      <c r="E668">
        <v>0.59679099999999996</v>
      </c>
      <c r="F668" t="s">
        <v>42</v>
      </c>
      <c r="G668">
        <v>-251.03039999999999</v>
      </c>
      <c r="H668" s="1">
        <v>-4.5993810000000001E-6</v>
      </c>
      <c r="I668">
        <v>365.28030000000001</v>
      </c>
      <c r="J668">
        <v>-263.6318</v>
      </c>
      <c r="K668">
        <v>1.1101160000000001</v>
      </c>
      <c r="L668">
        <v>367.86500000000001</v>
      </c>
      <c r="M668">
        <v>0.99967039999999996</v>
      </c>
      <c r="N668">
        <v>-1.493452E-2</v>
      </c>
      <c r="O668">
        <v>2.087727E-2</v>
      </c>
      <c r="P668">
        <v>0.99720940000000002</v>
      </c>
      <c r="Q668">
        <v>-3.7824400000000001E-2</v>
      </c>
      <c r="R668">
        <v>6.4366149999999997E-2</v>
      </c>
      <c r="S668">
        <v>3.036743</v>
      </c>
      <c r="T668">
        <v>-0.26091979999999998</v>
      </c>
      <c r="U668">
        <v>-0.60586549999999995</v>
      </c>
      <c r="V668">
        <v>-4.3488859999999997E-2</v>
      </c>
      <c r="W668">
        <v>-2.2990980000000001E-2</v>
      </c>
      <c r="X668">
        <v>0.99878929999999999</v>
      </c>
      <c r="Y668">
        <v>0.2151381</v>
      </c>
      <c r="Z668">
        <v>-1.222728E-2</v>
      </c>
      <c r="AA668">
        <v>0.97650709999999996</v>
      </c>
      <c r="AB668">
        <v>41</v>
      </c>
      <c r="AC668">
        <v>12.6014</v>
      </c>
      <c r="AD668">
        <v>-1.1101205993809999</v>
      </c>
      <c r="AE668">
        <v>-2.58469999999999</v>
      </c>
      <c r="AF668">
        <v>2.8262008436292101</v>
      </c>
      <c r="AG668">
        <v>-1.1101205993809999</v>
      </c>
      <c r="AH668">
        <v>12.451950542771201</v>
      </c>
      <c r="AI668">
        <v>94.968863384296995</v>
      </c>
      <c r="AJ668">
        <v>77.212308483512203</v>
      </c>
      <c r="AK668">
        <v>12.816819077810299</v>
      </c>
      <c r="AL668">
        <v>91.317402242997204</v>
      </c>
      <c r="AM668">
        <v>92.493173744851802</v>
      </c>
      <c r="AN668">
        <v>0.99999996594997398</v>
      </c>
    </row>
    <row r="669" spans="1:40" x14ac:dyDescent="0.25">
      <c r="A669" t="str">
        <f>"20190305135551709"</f>
        <v>20190305135551709</v>
      </c>
      <c r="B669" t="str">
        <f>"1551765351702762"</f>
        <v>1551765351702762</v>
      </c>
      <c r="C669" t="s">
        <v>40</v>
      </c>
      <c r="D669">
        <v>3.9027229999999999</v>
      </c>
      <c r="E669">
        <v>0.59378839999999999</v>
      </c>
      <c r="F669" t="s">
        <v>42</v>
      </c>
      <c r="G669">
        <v>-250.50630000000001</v>
      </c>
      <c r="H669" s="1">
        <v>-4.8128260000000002E-6</v>
      </c>
      <c r="I669">
        <v>365.34469999999999</v>
      </c>
      <c r="J669">
        <v>-263.35129999999998</v>
      </c>
      <c r="K669">
        <v>1.11009</v>
      </c>
      <c r="L669">
        <v>367.87119999999999</v>
      </c>
      <c r="M669">
        <v>0.99966200000000005</v>
      </c>
      <c r="N669">
        <v>-1.4954500000000001E-2</v>
      </c>
      <c r="O669">
        <v>2.126743E-2</v>
      </c>
      <c r="P669">
        <v>0.99718519999999999</v>
      </c>
      <c r="Q669">
        <v>-3.7825009999999999E-2</v>
      </c>
      <c r="R669">
        <v>6.4737639999999999E-2</v>
      </c>
      <c r="S669">
        <v>3.0362849999999999</v>
      </c>
      <c r="T669">
        <v>-0.2567989</v>
      </c>
      <c r="U669">
        <v>-0.58300779999999996</v>
      </c>
      <c r="V669">
        <v>-4.3473159999999997E-2</v>
      </c>
      <c r="W669">
        <v>-2.2967020000000001E-2</v>
      </c>
      <c r="X669">
        <v>0.99879059999999997</v>
      </c>
      <c r="Y669">
        <v>0.2085148</v>
      </c>
      <c r="Z669">
        <v>-1.176483E-2</v>
      </c>
      <c r="AA669">
        <v>0.97794840000000005</v>
      </c>
      <c r="AB669">
        <v>41</v>
      </c>
      <c r="AC669">
        <v>12.844999999999899</v>
      </c>
      <c r="AD669">
        <v>-1.110094812826</v>
      </c>
      <c r="AE669">
        <v>-2.5264999999999902</v>
      </c>
      <c r="AF669">
        <v>2.7791552363875498</v>
      </c>
      <c r="AG669">
        <v>-1.110094812826</v>
      </c>
      <c r="AH669">
        <v>12.697056080488</v>
      </c>
      <c r="AI669">
        <v>94.881633556617203</v>
      </c>
      <c r="AJ669">
        <v>77.653702973731399</v>
      </c>
      <c r="AK669">
        <v>13.0449701966874</v>
      </c>
      <c r="AL669">
        <v>91.316028987667195</v>
      </c>
      <c r="AM669">
        <v>92.492271574564697</v>
      </c>
      <c r="AN669">
        <v>1.00000003114821</v>
      </c>
    </row>
    <row r="670" spans="1:40" x14ac:dyDescent="0.25">
      <c r="A670" t="str">
        <f>"20190305135551723"</f>
        <v>20190305135551723</v>
      </c>
      <c r="B670" t="str">
        <f>"1551765351712522"</f>
        <v>1551765351712522</v>
      </c>
      <c r="C670" t="s">
        <v>40</v>
      </c>
      <c r="D670">
        <v>4.0028030000000001</v>
      </c>
      <c r="E670">
        <v>0.59245170000000003</v>
      </c>
      <c r="F670" t="s">
        <v>42</v>
      </c>
      <c r="G670">
        <v>-249.5795</v>
      </c>
      <c r="H670" s="1">
        <v>-1.2831160000000001E-6</v>
      </c>
      <c r="I670">
        <v>365.34160000000003</v>
      </c>
      <c r="J670">
        <v>-263.09100000000001</v>
      </c>
      <c r="K670">
        <v>1.110058</v>
      </c>
      <c r="L670">
        <v>367.87700000000001</v>
      </c>
      <c r="M670">
        <v>0.99965499999999996</v>
      </c>
      <c r="N670">
        <v>-1.497063E-2</v>
      </c>
      <c r="O670">
        <v>2.158506E-2</v>
      </c>
      <c r="P670">
        <v>0.99713549999999995</v>
      </c>
      <c r="Q670">
        <v>-3.7908400000000002E-2</v>
      </c>
      <c r="R670">
        <v>6.5451209999999996E-2</v>
      </c>
      <c r="S670">
        <v>3.0353699999999999</v>
      </c>
      <c r="T670">
        <v>-0.24466930000000001</v>
      </c>
      <c r="U670">
        <v>-0.55752559999999995</v>
      </c>
      <c r="V670">
        <v>-4.3872670000000002E-2</v>
      </c>
      <c r="W670">
        <v>-2.3030620000000002E-2</v>
      </c>
      <c r="X670">
        <v>0.99877159999999998</v>
      </c>
      <c r="Y670">
        <v>0.20104739999999999</v>
      </c>
      <c r="Z670">
        <v>-1.094675E-2</v>
      </c>
      <c r="AA670">
        <v>0.97952039999999996</v>
      </c>
      <c r="AB670">
        <v>41</v>
      </c>
      <c r="AC670">
        <v>13.5115</v>
      </c>
      <c r="AD670">
        <v>-1.1100592831160001</v>
      </c>
      <c r="AE670">
        <v>-2.5353999999999202</v>
      </c>
      <c r="AF670">
        <v>2.8081786790078902</v>
      </c>
      <c r="AG670">
        <v>-1.1100592831160001</v>
      </c>
      <c r="AH670">
        <v>13.366467363133699</v>
      </c>
      <c r="AI670">
        <v>94.646432472245095</v>
      </c>
      <c r="AJ670">
        <v>78.135210098833994</v>
      </c>
      <c r="AK670">
        <v>13.7033043049837</v>
      </c>
      <c r="AL670">
        <v>91.319674050831296</v>
      </c>
      <c r="AM670">
        <v>92.515193578952093</v>
      </c>
      <c r="AN670">
        <v>0.99999996479853603</v>
      </c>
    </row>
    <row r="671" spans="1:40" x14ac:dyDescent="0.25">
      <c r="A671" t="str">
        <f>"20190305135551739"</f>
        <v>20190305135551739</v>
      </c>
      <c r="B671" t="str">
        <f>"1551765351732046"</f>
        <v>1551765351732046</v>
      </c>
      <c r="C671" t="s">
        <v>40</v>
      </c>
      <c r="D671">
        <v>3.9725429999999999</v>
      </c>
      <c r="E671">
        <v>0.5908002</v>
      </c>
      <c r="F671" t="s">
        <v>42</v>
      </c>
      <c r="G671">
        <v>-249.28129999999999</v>
      </c>
      <c r="H671" s="1">
        <v>-1.382589E-6</v>
      </c>
      <c r="I671">
        <v>365.3981</v>
      </c>
      <c r="J671">
        <v>-262.80470000000003</v>
      </c>
      <c r="K671">
        <v>1.1100239999999999</v>
      </c>
      <c r="L671">
        <v>367.88350000000003</v>
      </c>
      <c r="M671">
        <v>0.99964790000000003</v>
      </c>
      <c r="N671">
        <v>-1.4986849999999999E-2</v>
      </c>
      <c r="O671">
        <v>2.1902109999999999E-2</v>
      </c>
      <c r="P671">
        <v>0.99708129999999995</v>
      </c>
      <c r="Q671">
        <v>-3.8043010000000002E-2</v>
      </c>
      <c r="R671">
        <v>6.6192650000000006E-2</v>
      </c>
      <c r="S671">
        <v>3.0350950000000001</v>
      </c>
      <c r="T671">
        <v>-0.24396799999999999</v>
      </c>
      <c r="U671">
        <v>-0.54479979999999995</v>
      </c>
      <c r="V671">
        <v>-4.430071E-2</v>
      </c>
      <c r="W671">
        <v>-2.3144709999999999E-2</v>
      </c>
      <c r="X671">
        <v>0.99875009999999997</v>
      </c>
      <c r="Y671">
        <v>0.1974128</v>
      </c>
      <c r="Z671">
        <v>-1.077231E-2</v>
      </c>
      <c r="AA671">
        <v>0.9802613</v>
      </c>
      <c r="AB671">
        <v>41</v>
      </c>
      <c r="AC671">
        <v>13.523400000000001</v>
      </c>
      <c r="AD671">
        <v>-1.1100253825890001</v>
      </c>
      <c r="AE671">
        <v>-2.4854000000000198</v>
      </c>
      <c r="AF671">
        <v>2.76302048603652</v>
      </c>
      <c r="AG671">
        <v>-1.1100253825890001</v>
      </c>
      <c r="AH671">
        <v>13.3785219336838</v>
      </c>
      <c r="AI671">
        <v>94.645413434027006</v>
      </c>
      <c r="AJ671">
        <v>78.330959550556798</v>
      </c>
      <c r="AK671">
        <v>13.705885147859201</v>
      </c>
      <c r="AL671">
        <v>91.326212627565994</v>
      </c>
      <c r="AM671">
        <v>92.539755477266894</v>
      </c>
      <c r="AN671">
        <v>0.99999999637874903</v>
      </c>
    </row>
    <row r="672" spans="1:40" x14ac:dyDescent="0.25">
      <c r="A672" t="str">
        <f>"20190305135551756"</f>
        <v>20190305135551756</v>
      </c>
      <c r="B672" t="str">
        <f>"1551765351752538"</f>
        <v>1551765351752538</v>
      </c>
      <c r="C672" t="s">
        <v>40</v>
      </c>
      <c r="D672">
        <v>4.0176629999999998</v>
      </c>
      <c r="E672">
        <v>0.58955150000000001</v>
      </c>
      <c r="F672" t="s">
        <v>42</v>
      </c>
      <c r="G672">
        <v>-249.0538</v>
      </c>
      <c r="H672" s="1">
        <v>-1.4471239999999999E-6</v>
      </c>
      <c r="I672">
        <v>365.48390000000001</v>
      </c>
      <c r="J672">
        <v>-262.517</v>
      </c>
      <c r="K672">
        <v>1.109985</v>
      </c>
      <c r="L672">
        <v>367.89</v>
      </c>
      <c r="M672">
        <v>0.99964140000000001</v>
      </c>
      <c r="N672">
        <v>-1.5001499999999999E-2</v>
      </c>
      <c r="O672">
        <v>2.2181030000000001E-2</v>
      </c>
      <c r="P672">
        <v>0.99704329999999997</v>
      </c>
      <c r="Q672">
        <v>-3.8326010000000001E-2</v>
      </c>
      <c r="R672">
        <v>6.6602889999999998E-2</v>
      </c>
      <c r="S672">
        <v>3.0345759999999999</v>
      </c>
      <c r="T672">
        <v>-0.24496280000000001</v>
      </c>
      <c r="U672">
        <v>-0.52954100000000004</v>
      </c>
      <c r="V672">
        <v>-4.4436160000000002E-2</v>
      </c>
      <c r="W672">
        <v>-2.3407790000000001E-2</v>
      </c>
      <c r="X672">
        <v>0.99873789999999996</v>
      </c>
      <c r="Y672">
        <v>0.19294330000000001</v>
      </c>
      <c r="Z672">
        <v>-1.062309E-2</v>
      </c>
      <c r="AA672">
        <v>0.98115240000000004</v>
      </c>
      <c r="AB672">
        <v>41</v>
      </c>
      <c r="AC672">
        <v>13.463200000000001</v>
      </c>
      <c r="AD672">
        <v>-1.109986447124</v>
      </c>
      <c r="AE672">
        <v>-2.4060999999999799</v>
      </c>
      <c r="AF672">
        <v>2.6864734814674098</v>
      </c>
      <c r="AG672">
        <v>-1.109986447124</v>
      </c>
      <c r="AH672">
        <v>13.318780970101001</v>
      </c>
      <c r="AI672">
        <v>94.670385923551294</v>
      </c>
      <c r="AJ672">
        <v>78.596130140113502</v>
      </c>
      <c r="AK672">
        <v>13.632282868579001</v>
      </c>
      <c r="AL672">
        <v>91.341290155284</v>
      </c>
      <c r="AM672">
        <v>92.547541676112004</v>
      </c>
      <c r="AN672">
        <v>0.99999994492231803</v>
      </c>
    </row>
    <row r="673" spans="1:40" x14ac:dyDescent="0.25">
      <c r="A673" t="str">
        <f>"20190305135551773"</f>
        <v>20190305135551773</v>
      </c>
      <c r="B673" t="str">
        <f>"1551765351762298"</f>
        <v>1551765351762298</v>
      </c>
      <c r="C673" t="s">
        <v>40</v>
      </c>
      <c r="D673">
        <v>4.0017009999999997</v>
      </c>
      <c r="E673">
        <v>0.58905940000000001</v>
      </c>
      <c r="F673" t="s">
        <v>42</v>
      </c>
      <c r="G673">
        <v>-248.7002</v>
      </c>
      <c r="H673" s="1">
        <v>-1.570713E-6</v>
      </c>
      <c r="I673">
        <v>365.52969999999999</v>
      </c>
      <c r="J673">
        <v>-262.21530000000001</v>
      </c>
      <c r="K673">
        <v>1.1099349999999999</v>
      </c>
      <c r="L673">
        <v>367.89690000000002</v>
      </c>
      <c r="M673">
        <v>0.99963579999999996</v>
      </c>
      <c r="N673">
        <v>-1.501517E-2</v>
      </c>
      <c r="O673">
        <v>2.2428210000000001E-2</v>
      </c>
      <c r="P673">
        <v>0.99700679999999997</v>
      </c>
      <c r="Q673">
        <v>-3.8666039999999999E-2</v>
      </c>
      <c r="R673">
        <v>6.6951360000000001E-2</v>
      </c>
      <c r="S673">
        <v>3.0341490000000002</v>
      </c>
      <c r="T673">
        <v>-0.24375089999999999</v>
      </c>
      <c r="U673">
        <v>-0.51831050000000001</v>
      </c>
      <c r="V673">
        <v>-4.4541070000000002E-2</v>
      </c>
      <c r="W673">
        <v>-2.3728269999999999E-2</v>
      </c>
      <c r="X673">
        <v>0.99872570000000005</v>
      </c>
      <c r="Y673">
        <v>0.1896997</v>
      </c>
      <c r="Z673">
        <v>-1.0443259999999999E-2</v>
      </c>
      <c r="AA673">
        <v>0.98178659999999995</v>
      </c>
      <c r="AB673">
        <v>41</v>
      </c>
      <c r="AC673">
        <v>13.5151</v>
      </c>
      <c r="AD673">
        <v>-1.109936570713</v>
      </c>
      <c r="AE673">
        <v>-2.36720000000002</v>
      </c>
      <c r="AF673">
        <v>2.6524010877116599</v>
      </c>
      <c r="AG673">
        <v>-1.109936570713</v>
      </c>
      <c r="AH673">
        <v>13.371102795647801</v>
      </c>
      <c r="AI673">
        <v>94.654956808896898</v>
      </c>
      <c r="AJ673">
        <v>78.779997039450095</v>
      </c>
      <c r="AK673">
        <v>13.6767532950215</v>
      </c>
      <c r="AL673">
        <v>91.359657360806395</v>
      </c>
      <c r="AM673">
        <v>92.553579405521603</v>
      </c>
      <c r="AN673">
        <v>0.99999998077721297</v>
      </c>
    </row>
    <row r="674" spans="1:40" x14ac:dyDescent="0.25">
      <c r="A674" t="str">
        <f>"20190305135551788"</f>
        <v>20190305135551788</v>
      </c>
      <c r="B674" t="str">
        <f>"1551765351782794"</f>
        <v>1551765351782794</v>
      </c>
      <c r="C674" t="s">
        <v>40</v>
      </c>
      <c r="D674">
        <v>4.0022830000000003</v>
      </c>
      <c r="E674">
        <v>0.58818990000000004</v>
      </c>
      <c r="F674" t="s">
        <v>42</v>
      </c>
      <c r="G674">
        <v>-248.4924</v>
      </c>
      <c r="H674" s="1">
        <v>-1.638382E-6</v>
      </c>
      <c r="I674">
        <v>365.57530000000003</v>
      </c>
      <c r="J674">
        <v>-261.92610000000002</v>
      </c>
      <c r="K674">
        <v>1.109888</v>
      </c>
      <c r="L674">
        <v>367.90359999999998</v>
      </c>
      <c r="M674">
        <v>0.99963120000000005</v>
      </c>
      <c r="N674">
        <v>-1.5026690000000001E-2</v>
      </c>
      <c r="O674">
        <v>2.2621169999999999E-2</v>
      </c>
      <c r="P674">
        <v>0.9969922</v>
      </c>
      <c r="Q674">
        <v>-3.8824249999999998E-2</v>
      </c>
      <c r="R674">
        <v>6.7078150000000003E-2</v>
      </c>
      <c r="S674">
        <v>3.0339659999999999</v>
      </c>
      <c r="T674">
        <v>-0.2453938</v>
      </c>
      <c r="U674">
        <v>-0.51327509999999998</v>
      </c>
      <c r="V674">
        <v>-4.4479009999999999E-2</v>
      </c>
      <c r="W674">
        <v>-2.3868790000000001E-2</v>
      </c>
      <c r="X674">
        <v>0.99872510000000003</v>
      </c>
      <c r="Y674">
        <v>0.18831010000000001</v>
      </c>
      <c r="Z674">
        <v>-1.045487E-2</v>
      </c>
      <c r="AA674">
        <v>0.98205399999999998</v>
      </c>
      <c r="AB674">
        <v>41</v>
      </c>
      <c r="AC674">
        <v>13.4337</v>
      </c>
      <c r="AD674">
        <v>-1.1098896383820001</v>
      </c>
      <c r="AE674">
        <v>-2.3282999999999499</v>
      </c>
      <c r="AF674">
        <v>2.6142995229068999</v>
      </c>
      <c r="AG674">
        <v>-1.1098896383820001</v>
      </c>
      <c r="AH674">
        <v>13.2895176859153</v>
      </c>
      <c r="AI674">
        <v>94.684672133766895</v>
      </c>
      <c r="AJ674">
        <v>78.8709428077469</v>
      </c>
      <c r="AK674">
        <v>13.589617262054</v>
      </c>
      <c r="AL674">
        <v>91.367710868600597</v>
      </c>
      <c r="AM674">
        <v>92.550027679970796</v>
      </c>
      <c r="AN674">
        <v>0.99999996341832598</v>
      </c>
    </row>
    <row r="675" spans="1:40" x14ac:dyDescent="0.25">
      <c r="A675" t="str">
        <f>"20190305135551808"</f>
        <v>20190305135551808</v>
      </c>
      <c r="B675" t="str">
        <f>"1551765351802315"</f>
        <v>1551765351802315</v>
      </c>
      <c r="C675" t="s">
        <v>40</v>
      </c>
      <c r="D675">
        <v>4.0203139999999999</v>
      </c>
      <c r="E675">
        <v>0.58767460000000005</v>
      </c>
      <c r="F675" t="s">
        <v>42</v>
      </c>
      <c r="G675">
        <v>-248.26900000000001</v>
      </c>
      <c r="H675" s="1">
        <v>-1.710401E-6</v>
      </c>
      <c r="I675">
        <v>365.62709999999998</v>
      </c>
      <c r="J675">
        <v>-261.58319999999998</v>
      </c>
      <c r="K675">
        <v>1.1098319999999999</v>
      </c>
      <c r="L675">
        <v>367.91149999999999</v>
      </c>
      <c r="M675">
        <v>0.99962700000000004</v>
      </c>
      <c r="N675">
        <v>-1.503847E-2</v>
      </c>
      <c r="O675">
        <v>2.2799070000000001E-2</v>
      </c>
      <c r="P675">
        <v>0.99695880000000003</v>
      </c>
      <c r="Q675">
        <v>-3.951383E-2</v>
      </c>
      <c r="R675">
        <v>6.7172159999999995E-2</v>
      </c>
      <c r="S675">
        <v>3.0334780000000001</v>
      </c>
      <c r="T675">
        <v>-0.2465243</v>
      </c>
      <c r="U675">
        <v>-0.50564579999999903</v>
      </c>
      <c r="V675">
        <v>-4.439924E-2</v>
      </c>
      <c r="W675">
        <v>-2.4539720000000001E-2</v>
      </c>
      <c r="X675">
        <v>0.99871239999999994</v>
      </c>
      <c r="Y675">
        <v>0.186109</v>
      </c>
      <c r="Z675">
        <v>-1.040813E-2</v>
      </c>
      <c r="AA675">
        <v>0.98247399999999996</v>
      </c>
      <c r="AB675">
        <v>41</v>
      </c>
      <c r="AC675">
        <v>13.3141999999999</v>
      </c>
      <c r="AD675">
        <v>-1.1098337104010001</v>
      </c>
      <c r="AE675">
        <v>-2.2844000000000002</v>
      </c>
      <c r="AF675">
        <v>2.5700447060295</v>
      </c>
      <c r="AG675">
        <v>-1.1098337104010001</v>
      </c>
      <c r="AH675">
        <v>13.169758250775001</v>
      </c>
      <c r="AI675">
        <v>94.728238431655001</v>
      </c>
      <c r="AJ675">
        <v>78.957652578205895</v>
      </c>
      <c r="AK675">
        <v>13.4640036036682</v>
      </c>
      <c r="AL675">
        <v>91.406163578333704</v>
      </c>
      <c r="AM675">
        <v>92.545492730405002</v>
      </c>
      <c r="AN675">
        <v>0.99999997414200703</v>
      </c>
    </row>
    <row r="676" spans="1:40" x14ac:dyDescent="0.25">
      <c r="A676" t="str">
        <f>"20190305135551831"</f>
        <v>20190305135551831</v>
      </c>
      <c r="B676" t="str">
        <f>"1551765351822810"</f>
        <v>1551765351822810</v>
      </c>
      <c r="C676" t="s">
        <v>40</v>
      </c>
      <c r="D676">
        <v>4.023218</v>
      </c>
      <c r="E676">
        <v>0.5872906</v>
      </c>
      <c r="F676" t="s">
        <v>42</v>
      </c>
      <c r="G676">
        <v>-248.03299999999999</v>
      </c>
      <c r="H676" s="1">
        <v>-1.7890449999999999E-6</v>
      </c>
      <c r="I676">
        <v>365.6721</v>
      </c>
      <c r="J676">
        <v>-261.1712</v>
      </c>
      <c r="K676">
        <v>1.1097649999999999</v>
      </c>
      <c r="L676">
        <v>367.92110000000002</v>
      </c>
      <c r="M676">
        <v>0.99962340000000005</v>
      </c>
      <c r="N676">
        <v>-1.5050539999999999E-2</v>
      </c>
      <c r="O676">
        <v>2.2955050000000001E-2</v>
      </c>
      <c r="P676">
        <v>0.99696340000000006</v>
      </c>
      <c r="Q676">
        <v>-3.9970230000000002E-2</v>
      </c>
      <c r="R676">
        <v>6.6832450000000002E-2</v>
      </c>
      <c r="S676">
        <v>3.0330810000000001</v>
      </c>
      <c r="T676">
        <v>-0.24842600000000001</v>
      </c>
      <c r="U676">
        <v>-0.50128170000000005</v>
      </c>
      <c r="V676">
        <v>-4.3907759999999997E-2</v>
      </c>
      <c r="W676">
        <v>-2.4975580000000001E-2</v>
      </c>
      <c r="X676">
        <v>0.99872329999999998</v>
      </c>
      <c r="Y676">
        <v>0.18490019999999999</v>
      </c>
      <c r="Z676">
        <v>-1.0435E-2</v>
      </c>
      <c r="AA676">
        <v>0.98270190000000002</v>
      </c>
      <c r="AB676">
        <v>40</v>
      </c>
      <c r="AC676">
        <v>13.138199999999999</v>
      </c>
      <c r="AD676">
        <v>-1.10976678904499</v>
      </c>
      <c r="AE676">
        <v>-2.2490000000000201</v>
      </c>
      <c r="AF676">
        <v>2.5324746794550701</v>
      </c>
      <c r="AG676">
        <v>-1.10976678904499</v>
      </c>
      <c r="AH676">
        <v>12.993039840908301</v>
      </c>
      <c r="AI676">
        <v>94.792174799438897</v>
      </c>
      <c r="AJ676">
        <v>78.970753348104296</v>
      </c>
      <c r="AK676">
        <v>13.283978870638901</v>
      </c>
      <c r="AL676">
        <v>91.431144208508599</v>
      </c>
      <c r="AM676">
        <v>92.517324260553494</v>
      </c>
      <c r="AN676">
        <v>0.99999995047372003</v>
      </c>
    </row>
    <row r="677" spans="1:40" x14ac:dyDescent="0.25">
      <c r="A677" t="str">
        <f>"20190305135551852"</f>
        <v>20190305135551852</v>
      </c>
      <c r="B677" t="str">
        <f>"1551765351842331"</f>
        <v>1551765351842331</v>
      </c>
      <c r="C677" t="s">
        <v>40</v>
      </c>
      <c r="D677">
        <v>4.0291489999999897</v>
      </c>
      <c r="E677">
        <v>0.58715640000000002</v>
      </c>
      <c r="F677" t="s">
        <v>42</v>
      </c>
      <c r="G677">
        <v>-247.62100000000001</v>
      </c>
      <c r="H677" s="1">
        <v>-1.9424039999999999E-6</v>
      </c>
      <c r="I677">
        <v>365.69040000000001</v>
      </c>
      <c r="J677">
        <v>-260.7826</v>
      </c>
      <c r="K677">
        <v>1.1097030000000001</v>
      </c>
      <c r="L677">
        <v>367.93020000000001</v>
      </c>
      <c r="M677">
        <v>0.99962090000000003</v>
      </c>
      <c r="N677">
        <v>-1.506002E-2</v>
      </c>
      <c r="O677">
        <v>2.3048849999999999E-2</v>
      </c>
      <c r="P677">
        <v>0.99698730000000002</v>
      </c>
      <c r="Q677">
        <v>-4.0272860000000001E-2</v>
      </c>
      <c r="R677">
        <v>6.6292760000000006E-2</v>
      </c>
      <c r="S677">
        <v>3.0326840000000002</v>
      </c>
      <c r="T677">
        <v>-0.2483776</v>
      </c>
      <c r="U677">
        <v>-0.49926759999999898</v>
      </c>
      <c r="V677">
        <v>-4.3277879999999998E-2</v>
      </c>
      <c r="W677">
        <v>-2.5261459999999999E-2</v>
      </c>
      <c r="X677">
        <v>0.99874370000000001</v>
      </c>
      <c r="Y677">
        <v>0.1843794</v>
      </c>
      <c r="Z677">
        <v>-1.041658E-2</v>
      </c>
      <c r="AA677">
        <v>0.98279989999999995</v>
      </c>
      <c r="AB677">
        <v>40</v>
      </c>
      <c r="AC677">
        <v>13.1616</v>
      </c>
      <c r="AD677">
        <v>-1.109704942404</v>
      </c>
      <c r="AE677">
        <v>-2.2397999999999998</v>
      </c>
      <c r="AF677">
        <v>2.52515335359347</v>
      </c>
      <c r="AG677">
        <v>-1.109704942404</v>
      </c>
      <c r="AH677">
        <v>13.0165440552022</v>
      </c>
      <c r="AI677">
        <v>94.784112123951502</v>
      </c>
      <c r="AJ677">
        <v>79.021236645040901</v>
      </c>
      <c r="AK677">
        <v>13.3055726543197</v>
      </c>
      <c r="AL677">
        <v>91.447528956428798</v>
      </c>
      <c r="AM677">
        <v>92.481206758306797</v>
      </c>
      <c r="AN677">
        <v>1.0000000472741499</v>
      </c>
    </row>
    <row r="678" spans="1:40" x14ac:dyDescent="0.25">
      <c r="A678" t="str">
        <f>"20190305135551873"</f>
        <v>20190305135551873</v>
      </c>
      <c r="B678" t="str">
        <f>"1551765351862827"</f>
        <v>1551765351862827</v>
      </c>
      <c r="C678" t="s">
        <v>40</v>
      </c>
      <c r="D678">
        <v>4.018383</v>
      </c>
      <c r="E678">
        <v>0.58694239999999998</v>
      </c>
      <c r="F678" t="s">
        <v>42</v>
      </c>
      <c r="G678">
        <v>-247.27359999999999</v>
      </c>
      <c r="H678" s="1">
        <v>-2.0724350000000002E-6</v>
      </c>
      <c r="I678">
        <v>365.70299999999997</v>
      </c>
      <c r="J678">
        <v>-260.38940000000002</v>
      </c>
      <c r="K678">
        <v>1.1096520000000001</v>
      </c>
      <c r="L678">
        <v>367.9393</v>
      </c>
      <c r="M678">
        <v>0.99961949999999999</v>
      </c>
      <c r="N678">
        <v>-1.506771E-2</v>
      </c>
      <c r="O678">
        <v>2.3108170000000001E-2</v>
      </c>
      <c r="P678">
        <v>0.99702089999999999</v>
      </c>
      <c r="Q678">
        <v>-4.0464279999999998E-2</v>
      </c>
      <c r="R678">
        <v>6.5667699999999996E-2</v>
      </c>
      <c r="S678">
        <v>3.032257</v>
      </c>
      <c r="T678">
        <v>-0.24908669999999999</v>
      </c>
      <c r="U678">
        <v>-0.49990839999999998</v>
      </c>
      <c r="V678">
        <v>-4.25957E-2</v>
      </c>
      <c r="W678">
        <v>-2.54389E-2</v>
      </c>
      <c r="X678">
        <v>0.9987684</v>
      </c>
      <c r="Y678">
        <v>0.1846566</v>
      </c>
      <c r="Z678">
        <v>-1.0462300000000001E-2</v>
      </c>
      <c r="AA678">
        <v>0.98274740000000005</v>
      </c>
      <c r="AB678">
        <v>40</v>
      </c>
      <c r="AC678">
        <v>13.1158</v>
      </c>
      <c r="AD678">
        <v>-1.1096540724349999</v>
      </c>
      <c r="AE678">
        <v>-2.2362999999999702</v>
      </c>
      <c r="AF678">
        <v>2.52128198074023</v>
      </c>
      <c r="AG678">
        <v>-1.1096540724349999</v>
      </c>
      <c r="AH678">
        <v>12.970396224651299</v>
      </c>
      <c r="AI678">
        <v>94.800484914832893</v>
      </c>
      <c r="AJ678">
        <v>78.9996068912114</v>
      </c>
      <c r="AK678">
        <v>13.259689785637001</v>
      </c>
      <c r="AL678">
        <v>91.457698966971094</v>
      </c>
      <c r="AM678">
        <v>92.442083433765802</v>
      </c>
      <c r="AN678">
        <v>0.99999992406512705</v>
      </c>
    </row>
    <row r="679" spans="1:40" x14ac:dyDescent="0.25">
      <c r="A679" t="str">
        <f>"20190305135551896"</f>
        <v>20190305135551896</v>
      </c>
      <c r="B679" t="str">
        <f>"1551765351892108"</f>
        <v>1551765351892108</v>
      </c>
      <c r="C679" t="s">
        <v>40</v>
      </c>
      <c r="D679">
        <v>4.0298129999999999</v>
      </c>
      <c r="E679">
        <v>0.58681629999999996</v>
      </c>
      <c r="F679" t="s">
        <v>42</v>
      </c>
      <c r="G679">
        <v>-246.8681</v>
      </c>
      <c r="H679" s="1">
        <v>-2.226448E-6</v>
      </c>
      <c r="I679">
        <v>365.70949999999999</v>
      </c>
      <c r="J679">
        <v>-259.98719999999997</v>
      </c>
      <c r="K679">
        <v>1.109615</v>
      </c>
      <c r="L679">
        <v>367.94869999999997</v>
      </c>
      <c r="M679">
        <v>0.99961860000000002</v>
      </c>
      <c r="N679">
        <v>-1.507376E-2</v>
      </c>
      <c r="O679">
        <v>2.3142679999999999E-2</v>
      </c>
      <c r="P679">
        <v>0.99702139999999995</v>
      </c>
      <c r="Q679">
        <v>-4.0718600000000001E-2</v>
      </c>
      <c r="R679">
        <v>6.5501680000000007E-2</v>
      </c>
      <c r="S679">
        <v>3.0317989999999999</v>
      </c>
      <c r="T679">
        <v>-0.24881010000000001</v>
      </c>
      <c r="U679">
        <v>-0.49996950000000001</v>
      </c>
      <c r="V679">
        <v>-4.2397789999999998E-2</v>
      </c>
      <c r="W679">
        <v>-2.568254E-2</v>
      </c>
      <c r="X679">
        <v>0.99877070000000001</v>
      </c>
      <c r="Y679">
        <v>0.1847346</v>
      </c>
      <c r="Z679">
        <v>-1.045975E-2</v>
      </c>
      <c r="AA679">
        <v>0.98273279999999996</v>
      </c>
      <c r="AB679">
        <v>40</v>
      </c>
      <c r="AC679">
        <v>13.1190999999999</v>
      </c>
      <c r="AD679">
        <v>-1.109617226448</v>
      </c>
      <c r="AE679">
        <v>-2.2391999999999799</v>
      </c>
      <c r="AF679">
        <v>2.5246957965194299</v>
      </c>
      <c r="AG679">
        <v>-1.109617226448</v>
      </c>
      <c r="AH679">
        <v>12.9735751551889</v>
      </c>
      <c r="AI679">
        <v>94.798962610775106</v>
      </c>
      <c r="AJ679">
        <v>78.987709420410297</v>
      </c>
      <c r="AK679">
        <v>13.263445689621101</v>
      </c>
      <c r="AL679">
        <v>91.471662906081093</v>
      </c>
      <c r="AM679">
        <v>92.430744969724003</v>
      </c>
      <c r="AN679">
        <v>1.00000003831811</v>
      </c>
    </row>
    <row r="680" spans="1:40" x14ac:dyDescent="0.25">
      <c r="A680" t="str">
        <f>"20190305135551918"</f>
        <v>20190305135551918</v>
      </c>
      <c r="B680" t="str">
        <f>"1551765351912606"</f>
        <v>1551765351912606</v>
      </c>
      <c r="C680" t="s">
        <v>40</v>
      </c>
      <c r="D680">
        <v>4.037541</v>
      </c>
      <c r="E680">
        <v>0.58675379999999999</v>
      </c>
      <c r="F680" t="s">
        <v>42</v>
      </c>
      <c r="G680">
        <v>-246.47669999999999</v>
      </c>
      <c r="H680" s="1">
        <v>-2.3734590000000002E-6</v>
      </c>
      <c r="I680">
        <v>365.72190000000001</v>
      </c>
      <c r="J680">
        <v>-259.58229999999998</v>
      </c>
      <c r="K680">
        <v>1.109586</v>
      </c>
      <c r="L680">
        <v>367.9581</v>
      </c>
      <c r="M680">
        <v>0.99961809999999995</v>
      </c>
      <c r="N680">
        <v>-1.5078340000000001E-2</v>
      </c>
      <c r="O680">
        <v>2.316095E-2</v>
      </c>
      <c r="P680">
        <v>0.99704150000000002</v>
      </c>
      <c r="Q680">
        <v>-4.096851E-2</v>
      </c>
      <c r="R680">
        <v>6.5038879999999993E-2</v>
      </c>
      <c r="S680">
        <v>3.0316160000000001</v>
      </c>
      <c r="T680">
        <v>-0.24898519999999999</v>
      </c>
      <c r="U680">
        <v>-0.49966430000000001</v>
      </c>
      <c r="V680">
        <v>-4.1918900000000002E-2</v>
      </c>
      <c r="W680">
        <v>-2.5923849999999998E-2</v>
      </c>
      <c r="X680">
        <v>0.99878469999999997</v>
      </c>
      <c r="Y680">
        <v>0.18466489999999999</v>
      </c>
      <c r="Z680">
        <v>-1.046514E-2</v>
      </c>
      <c r="AA680">
        <v>0.9827458</v>
      </c>
      <c r="AB680">
        <v>40</v>
      </c>
      <c r="AC680">
        <v>13.1055999999999</v>
      </c>
      <c r="AD680">
        <v>-1.109588373459</v>
      </c>
      <c r="AE680">
        <v>-2.23619999999999</v>
      </c>
      <c r="AF680">
        <v>2.52160861547216</v>
      </c>
      <c r="AG680">
        <v>-1.109588373459</v>
      </c>
      <c r="AH680">
        <v>12.9600134774516</v>
      </c>
      <c r="AI680">
        <v>94.803867533373904</v>
      </c>
      <c r="AJ680">
        <v>78.989617921877297</v>
      </c>
      <c r="AK680">
        <v>13.249590397588401</v>
      </c>
      <c r="AL680">
        <v>91.485493525078894</v>
      </c>
      <c r="AM680">
        <v>92.403288035115295</v>
      </c>
      <c r="AN680">
        <v>1.0000000585650499</v>
      </c>
    </row>
    <row r="681" spans="1:40" x14ac:dyDescent="0.25">
      <c r="A681" t="str">
        <f>"20190305135551940"</f>
        <v>20190305135551940</v>
      </c>
      <c r="B681" t="str">
        <f>"1551765351932122"</f>
        <v>1551765351932122</v>
      </c>
      <c r="C681" t="s">
        <v>40</v>
      </c>
      <c r="D681">
        <v>4.0232760000000001</v>
      </c>
      <c r="E681">
        <v>0.58667429999999998</v>
      </c>
      <c r="F681" t="s">
        <v>42</v>
      </c>
      <c r="G681">
        <v>-246.0718</v>
      </c>
      <c r="H681" s="1">
        <v>-2.5275689999999999E-6</v>
      </c>
      <c r="I681">
        <v>365.72699999999998</v>
      </c>
      <c r="J681">
        <v>-259.1848</v>
      </c>
      <c r="K681">
        <v>1.1095649999999999</v>
      </c>
      <c r="L681">
        <v>367.96730000000002</v>
      </c>
      <c r="M681">
        <v>0.9996178</v>
      </c>
      <c r="N681">
        <v>-1.508164E-2</v>
      </c>
      <c r="O681">
        <v>2.3170070000000001E-2</v>
      </c>
      <c r="P681">
        <v>0.99704190000000004</v>
      </c>
      <c r="Q681">
        <v>-4.123868E-2</v>
      </c>
      <c r="R681">
        <v>6.4859620000000007E-2</v>
      </c>
      <c r="S681">
        <v>3.0313110000000001</v>
      </c>
      <c r="T681">
        <v>-0.24895510000000001</v>
      </c>
      <c r="U681">
        <v>-0.50057980000000002</v>
      </c>
      <c r="V681">
        <v>-4.1731909999999997E-2</v>
      </c>
      <c r="W681">
        <v>-2.6187809999999999E-2</v>
      </c>
      <c r="X681">
        <v>0.99878560000000005</v>
      </c>
      <c r="Y681">
        <v>0.18497749999999999</v>
      </c>
      <c r="Z681">
        <v>-1.0480710000000001E-2</v>
      </c>
      <c r="AA681">
        <v>0.98268690000000003</v>
      </c>
      <c r="AB681">
        <v>40</v>
      </c>
      <c r="AC681">
        <v>13.113</v>
      </c>
      <c r="AD681">
        <v>-1.109567527569</v>
      </c>
      <c r="AE681">
        <v>-2.2403000000000399</v>
      </c>
      <c r="AF681">
        <v>2.5259893442890502</v>
      </c>
      <c r="AG681">
        <v>-1.109567527569</v>
      </c>
      <c r="AH681">
        <v>12.967353962011099</v>
      </c>
      <c r="AI681">
        <v>94.800867043991104</v>
      </c>
      <c r="AJ681">
        <v>78.977048781474807</v>
      </c>
      <c r="AK681">
        <v>13.2576027637647</v>
      </c>
      <c r="AL681">
        <v>91.5006225211676</v>
      </c>
      <c r="AM681">
        <v>92.392577885454003</v>
      </c>
      <c r="AN681">
        <v>1.0000000142361001</v>
      </c>
    </row>
    <row r="682" spans="1:40" x14ac:dyDescent="0.25">
      <c r="A682" t="str">
        <f>"20190305135551956"</f>
        <v>20190305135551956</v>
      </c>
      <c r="B682" t="str">
        <f>"1551765351952618"</f>
        <v>1551765351952618</v>
      </c>
      <c r="C682" t="s">
        <v>40</v>
      </c>
      <c r="D682">
        <v>4.211214</v>
      </c>
      <c r="E682">
        <v>0.58666490000000004</v>
      </c>
      <c r="F682" t="s">
        <v>42</v>
      </c>
      <c r="G682">
        <v>-245.738</v>
      </c>
      <c r="H682" s="1">
        <v>-2.6816240000000001E-6</v>
      </c>
      <c r="I682">
        <v>365.74650000000003</v>
      </c>
      <c r="J682">
        <v>-258.9006</v>
      </c>
      <c r="K682">
        <v>1.109553</v>
      </c>
      <c r="L682">
        <v>367.97390000000001</v>
      </c>
      <c r="M682">
        <v>0.9996178</v>
      </c>
      <c r="N682">
        <v>-1.5083360000000001E-2</v>
      </c>
      <c r="O682">
        <v>2.3173800000000001E-2</v>
      </c>
      <c r="P682">
        <v>0.99703790000000003</v>
      </c>
      <c r="Q682">
        <v>-4.1512939999999998E-2</v>
      </c>
      <c r="R682">
        <v>6.4747929999999995E-2</v>
      </c>
      <c r="S682">
        <v>3.0311279999999998</v>
      </c>
      <c r="T682">
        <v>-0.25011339999999999</v>
      </c>
      <c r="U682">
        <v>-0.50061040000000001</v>
      </c>
      <c r="V682">
        <v>-4.1617790000000002E-2</v>
      </c>
      <c r="W682">
        <v>-2.6458639999999999E-2</v>
      </c>
      <c r="X682">
        <v>0.99878319999999998</v>
      </c>
      <c r="Y682">
        <v>0.1849934</v>
      </c>
      <c r="Z682">
        <v>-1.052612E-2</v>
      </c>
      <c r="AA682">
        <v>0.98268339999999998</v>
      </c>
      <c r="AB682">
        <v>40</v>
      </c>
      <c r="AC682">
        <v>13.1625999999999</v>
      </c>
      <c r="AD682">
        <v>-1.109555681624</v>
      </c>
      <c r="AE682">
        <v>-2.2273999999999798</v>
      </c>
      <c r="AF682">
        <v>2.51449366732172</v>
      </c>
      <c r="AG682">
        <v>-1.109555681624</v>
      </c>
      <c r="AH682">
        <v>13.017516051761399</v>
      </c>
      <c r="AI682">
        <v>94.783856457529595</v>
      </c>
      <c r="AJ682">
        <v>79.0672599093581</v>
      </c>
      <c r="AK682">
        <v>13.3044923379846</v>
      </c>
      <c r="AL682">
        <v>91.516145352098704</v>
      </c>
      <c r="AM682">
        <v>92.386048445681993</v>
      </c>
      <c r="AN682">
        <v>0.99999999033868603</v>
      </c>
    </row>
    <row r="683" spans="1:40" x14ac:dyDescent="0.25">
      <c r="A683" t="str">
        <f>"20190305135551973"</f>
        <v>20190305135551973</v>
      </c>
      <c r="B683" t="str">
        <f>"1551765351962378"</f>
        <v>1551765351962378</v>
      </c>
      <c r="C683" t="s">
        <v>40</v>
      </c>
      <c r="D683">
        <v>4.1759709999999997</v>
      </c>
      <c r="E683">
        <v>0.58486559999999999</v>
      </c>
      <c r="F683" t="s">
        <v>42</v>
      </c>
      <c r="G683">
        <v>-245.45599999999999</v>
      </c>
      <c r="H683" s="1">
        <v>-2.813876E-6</v>
      </c>
      <c r="I683">
        <v>365.75220000000002</v>
      </c>
      <c r="J683">
        <v>-258.59699999999998</v>
      </c>
      <c r="K683">
        <v>1.10954</v>
      </c>
      <c r="L683">
        <v>367.98099999999999</v>
      </c>
      <c r="M683">
        <v>0.99961770000000005</v>
      </c>
      <c r="N683">
        <v>-1.5084709999999999E-2</v>
      </c>
      <c r="O683">
        <v>2.3176660000000002E-2</v>
      </c>
      <c r="P683">
        <v>0.99705310000000003</v>
      </c>
      <c r="Q683">
        <v>-4.1192399999999997E-2</v>
      </c>
      <c r="R683">
        <v>6.4717810000000001E-2</v>
      </c>
      <c r="S683">
        <v>3.031021</v>
      </c>
      <c r="T683">
        <v>-0.25014540000000002</v>
      </c>
      <c r="U683">
        <v>-0.50088500000000002</v>
      </c>
      <c r="V683">
        <v>-4.1585759999999999E-2</v>
      </c>
      <c r="W683">
        <v>-2.6134959999999999E-2</v>
      </c>
      <c r="X683">
        <v>0.99879309999999999</v>
      </c>
      <c r="Y683">
        <v>0.1850878</v>
      </c>
      <c r="Z683">
        <v>-1.053247E-2</v>
      </c>
      <c r="AA683">
        <v>0.98266549999999997</v>
      </c>
      <c r="AB683">
        <v>40</v>
      </c>
      <c r="AC683">
        <v>13.140999999999901</v>
      </c>
      <c r="AD683">
        <v>-1.109542813876</v>
      </c>
      <c r="AE683">
        <v>-2.2287999999999699</v>
      </c>
      <c r="AF683">
        <v>2.5153695230840398</v>
      </c>
      <c r="AG683">
        <v>-1.109542813876</v>
      </c>
      <c r="AH683">
        <v>12.9957506444147</v>
      </c>
      <c r="AI683">
        <v>94.791428422394006</v>
      </c>
      <c r="AJ683">
        <v>79.045669857466606</v>
      </c>
      <c r="AK683">
        <v>13.283361920285399</v>
      </c>
      <c r="AL683">
        <v>91.497593372756697</v>
      </c>
      <c r="AM683">
        <v>92.3841906033892</v>
      </c>
      <c r="AN683">
        <v>1.00000003408829</v>
      </c>
    </row>
    <row r="684" spans="1:40" x14ac:dyDescent="0.25">
      <c r="A684" t="str">
        <f>"20190305135551996"</f>
        <v>20190305135551996</v>
      </c>
      <c r="B684" t="str">
        <f>"1551765351992635"</f>
        <v>1551765351992635</v>
      </c>
      <c r="C684" t="s">
        <v>40</v>
      </c>
      <c r="D684">
        <v>4.0975039999999998</v>
      </c>
      <c r="E684">
        <v>0.49677539999999998</v>
      </c>
      <c r="F684" t="s">
        <v>42</v>
      </c>
      <c r="G684">
        <v>-244.8426</v>
      </c>
      <c r="H684" s="1">
        <v>-3.1001749999999999E-6</v>
      </c>
      <c r="I684">
        <v>365.77300000000002</v>
      </c>
      <c r="J684">
        <v>-258.19279999999998</v>
      </c>
      <c r="K684">
        <v>1.109532</v>
      </c>
      <c r="L684">
        <v>367.99040000000002</v>
      </c>
      <c r="M684">
        <v>0.99961750000000005</v>
      </c>
      <c r="N684">
        <v>-1.508582E-2</v>
      </c>
      <c r="O684">
        <v>2.3179689999999999E-2</v>
      </c>
      <c r="P684">
        <v>0.99707250000000003</v>
      </c>
      <c r="Q684">
        <v>-4.0688179999999997E-2</v>
      </c>
      <c r="R684">
        <v>6.4737980000000001E-2</v>
      </c>
      <c r="S684">
        <v>3.030319</v>
      </c>
      <c r="T684">
        <v>-0.24445030000000001</v>
      </c>
      <c r="U684">
        <v>-0.4864502</v>
      </c>
      <c r="V684">
        <v>-4.1603920000000003E-2</v>
      </c>
      <c r="W684">
        <v>-2.5627690000000002E-2</v>
      </c>
      <c r="X684">
        <v>0.99880550000000001</v>
      </c>
      <c r="Y684">
        <v>0.18061459999999999</v>
      </c>
      <c r="Z684">
        <v>-1.01096E-2</v>
      </c>
      <c r="AA684">
        <v>0.98350199999999999</v>
      </c>
      <c r="AB684">
        <v>40</v>
      </c>
      <c r="AC684">
        <v>13.3501999999999</v>
      </c>
      <c r="AD684">
        <v>-1.109535100175</v>
      </c>
      <c r="AE684">
        <v>-2.2173999999999898</v>
      </c>
      <c r="AF684">
        <v>2.50942485915014</v>
      </c>
      <c r="AG684">
        <v>-1.109535100175</v>
      </c>
      <c r="AH684">
        <v>13.206436228751199</v>
      </c>
      <c r="AI684">
        <v>94.718377378839605</v>
      </c>
      <c r="AJ684">
        <v>79.2411871787655</v>
      </c>
      <c r="AK684">
        <v>13.4884483587369</v>
      </c>
      <c r="AL684">
        <v>91.468519187049196</v>
      </c>
      <c r="AM684">
        <v>92.385200970409997</v>
      </c>
      <c r="AN684">
        <v>1.0000000457421701</v>
      </c>
    </row>
    <row r="685" spans="1:40" x14ac:dyDescent="0.25">
      <c r="A685" t="str">
        <f>"20190305135552019"</f>
        <v>20190305135552019</v>
      </c>
      <c r="B685" t="str">
        <f>"1551765352012154"</f>
        <v>1551765352012154</v>
      </c>
      <c r="C685" t="s">
        <v>40</v>
      </c>
      <c r="D685">
        <v>3.9910019999999999</v>
      </c>
      <c r="E685">
        <v>0.49588789999999999</v>
      </c>
      <c r="F685" t="s">
        <v>42</v>
      </c>
      <c r="G685">
        <v>-227.9058</v>
      </c>
      <c r="H685" s="1">
        <v>-1.042415E-6</v>
      </c>
      <c r="I685">
        <v>370.22410000000002</v>
      </c>
      <c r="J685">
        <v>-257.7706</v>
      </c>
      <c r="K685">
        <v>1.109513</v>
      </c>
      <c r="L685">
        <v>368.00020000000001</v>
      </c>
      <c r="M685">
        <v>0.9996176</v>
      </c>
      <c r="N685">
        <v>-1.5086199999999999E-2</v>
      </c>
      <c r="O685">
        <v>2.3182040000000001E-2</v>
      </c>
      <c r="P685">
        <v>0.99703710000000001</v>
      </c>
      <c r="Q685">
        <v>-4.0193859999999998E-2</v>
      </c>
      <c r="R685">
        <v>6.5588359999999998E-2</v>
      </c>
      <c r="S685">
        <v>2.9899900000000001</v>
      </c>
      <c r="T685">
        <v>-0.10953499999999999</v>
      </c>
      <c r="U685">
        <v>0.22051999999999999</v>
      </c>
      <c r="V685">
        <v>-4.245268E-2</v>
      </c>
      <c r="W685">
        <v>-2.513189E-2</v>
      </c>
      <c r="X685">
        <v>0.99878230000000001</v>
      </c>
      <c r="Y685">
        <v>-5.036918E-2</v>
      </c>
      <c r="Z685">
        <v>8.0343479999999995E-4</v>
      </c>
      <c r="AA685">
        <v>0.99873040000000002</v>
      </c>
      <c r="AB685">
        <v>40</v>
      </c>
      <c r="AC685">
        <v>29.864799999999999</v>
      </c>
      <c r="AD685">
        <v>-1.1095140424150001</v>
      </c>
      <c r="AE685">
        <v>2.2239000000000102</v>
      </c>
      <c r="AF685">
        <v>-1.52879811571151</v>
      </c>
      <c r="AG685">
        <v>-1.1095140424150001</v>
      </c>
      <c r="AH685">
        <v>29.8673367342837</v>
      </c>
      <c r="AI685">
        <v>92.1246706368064</v>
      </c>
      <c r="AJ685">
        <v>92.930201009732002</v>
      </c>
      <c r="AK685">
        <v>29.9270120240563</v>
      </c>
      <c r="AL685">
        <v>91.440102907218701</v>
      </c>
      <c r="AM685">
        <v>92.433859901075095</v>
      </c>
      <c r="AN685">
        <v>0.99999996236372102</v>
      </c>
    </row>
    <row r="686" spans="1:40" x14ac:dyDescent="0.25">
      <c r="A686" t="str">
        <f>"20190305135552042"</f>
        <v>20190305135552042</v>
      </c>
      <c r="B686" t="str">
        <f>"1551765352032651"</f>
        <v>1551765352032651</v>
      </c>
      <c r="C686" t="s">
        <v>40</v>
      </c>
      <c r="D686">
        <v>3.9764339999999998</v>
      </c>
      <c r="E686">
        <v>0.49662610000000001</v>
      </c>
      <c r="F686" t="s">
        <v>42</v>
      </c>
      <c r="G686">
        <v>-231.85730000000001</v>
      </c>
      <c r="H686" s="1">
        <v>-3.573839E-6</v>
      </c>
      <c r="I686">
        <v>369.98599999999999</v>
      </c>
      <c r="J686">
        <v>-257.37029999999999</v>
      </c>
      <c r="K686">
        <v>1.1094999999999999</v>
      </c>
      <c r="L686">
        <v>368.00959999999998</v>
      </c>
      <c r="M686">
        <v>0.99961770000000005</v>
      </c>
      <c r="N686">
        <v>-1.508585E-2</v>
      </c>
      <c r="O686">
        <v>2.3175279999999999E-2</v>
      </c>
      <c r="P686">
        <v>0.99697210000000003</v>
      </c>
      <c r="Q686">
        <v>-4.0415630000000001E-2</v>
      </c>
      <c r="R686">
        <v>6.6432980000000003E-2</v>
      </c>
      <c r="S686">
        <v>2.988693</v>
      </c>
      <c r="T686">
        <v>-0.1279652</v>
      </c>
      <c r="U686">
        <v>0.2290344</v>
      </c>
      <c r="V686">
        <v>-4.330635E-2</v>
      </c>
      <c r="W686">
        <v>-2.535316E-2</v>
      </c>
      <c r="X686">
        <v>0.99874010000000002</v>
      </c>
      <c r="Y686">
        <v>-5.3222129999999999E-2</v>
      </c>
      <c r="Z686">
        <v>8.9854539999999997E-4</v>
      </c>
      <c r="AA686">
        <v>0.99858230000000003</v>
      </c>
      <c r="AB686">
        <v>40</v>
      </c>
      <c r="AC686">
        <v>25.512999999999899</v>
      </c>
      <c r="AD686">
        <v>-1.109503573839</v>
      </c>
      <c r="AE686">
        <v>1.9764000000000099</v>
      </c>
      <c r="AF686">
        <v>-1.3819330033498001</v>
      </c>
      <c r="AG686">
        <v>-1.109503573839</v>
      </c>
      <c r="AH686">
        <v>25.5040098002635</v>
      </c>
      <c r="AI686">
        <v>92.487329464225198</v>
      </c>
      <c r="AJ686">
        <v>93.101534838909004</v>
      </c>
      <c r="AK686">
        <v>25.565509048287101</v>
      </c>
      <c r="AL686">
        <v>91.452784723881294</v>
      </c>
      <c r="AM686">
        <v>92.482845896283095</v>
      </c>
      <c r="AN686">
        <v>1.0000000050101501</v>
      </c>
    </row>
    <row r="687" spans="1:40" x14ac:dyDescent="0.25">
      <c r="A687" t="str">
        <f>"20190305135552062"</f>
        <v>20190305135552062</v>
      </c>
      <c r="B687" t="str">
        <f>"1551765352052170"</f>
        <v>1551765352052170</v>
      </c>
      <c r="C687" t="s">
        <v>40</v>
      </c>
      <c r="D687">
        <v>3.959635</v>
      </c>
      <c r="E687">
        <v>0.49801719999999999</v>
      </c>
      <c r="F687" t="s">
        <v>42</v>
      </c>
      <c r="G687">
        <v>-233.40270000000001</v>
      </c>
      <c r="H687" s="1">
        <v>-2.865601E-6</v>
      </c>
      <c r="I687">
        <v>369.81580000000002</v>
      </c>
      <c r="J687">
        <v>-256.99919999999997</v>
      </c>
      <c r="K687">
        <v>1.109486</v>
      </c>
      <c r="L687">
        <v>368.0181</v>
      </c>
      <c r="M687">
        <v>0.99961849999999997</v>
      </c>
      <c r="N687">
        <v>-1.5085019999999999E-2</v>
      </c>
      <c r="O687">
        <v>2.313921E-2</v>
      </c>
      <c r="P687">
        <v>0.99689749999999999</v>
      </c>
      <c r="Q687">
        <v>-4.0776510000000002E-2</v>
      </c>
      <c r="R687">
        <v>6.7324389999999998E-2</v>
      </c>
      <c r="S687">
        <v>2.9884949999999999</v>
      </c>
      <c r="T687">
        <v>-0.138342299999999</v>
      </c>
      <c r="U687">
        <v>0.22521969999999999</v>
      </c>
      <c r="V687">
        <v>-4.423697E-2</v>
      </c>
      <c r="W687">
        <v>-2.571319E-2</v>
      </c>
      <c r="X687">
        <v>0.99869010000000003</v>
      </c>
      <c r="Y687">
        <v>-5.199032E-2</v>
      </c>
      <c r="Z687">
        <v>8.7380070000000001E-4</v>
      </c>
      <c r="AA687">
        <v>0.99864719999999996</v>
      </c>
      <c r="AB687">
        <v>40</v>
      </c>
      <c r="AC687">
        <v>23.596499999999899</v>
      </c>
      <c r="AD687">
        <v>-1.109488865601</v>
      </c>
      <c r="AE687">
        <v>1.7977000000000201</v>
      </c>
      <c r="AF687">
        <v>-1.24840803090704</v>
      </c>
      <c r="AG687">
        <v>-1.109488865601</v>
      </c>
      <c r="AH687">
        <v>23.579952868586702</v>
      </c>
      <c r="AI687">
        <v>92.690144042237407</v>
      </c>
      <c r="AJ687">
        <v>93.030616377568506</v>
      </c>
      <c r="AK687">
        <v>23.6390284368732</v>
      </c>
      <c r="AL687">
        <v>91.473419663061406</v>
      </c>
      <c r="AM687">
        <v>92.536258210702101</v>
      </c>
      <c r="AN687">
        <v>0.99999999674638296</v>
      </c>
    </row>
    <row r="688" spans="1:40" x14ac:dyDescent="0.25">
      <c r="A688" t="str">
        <f>"20190305135552085"</f>
        <v>20190305135552085</v>
      </c>
      <c r="B688" t="str">
        <f>"1551765352082427"</f>
        <v>1551765352082427</v>
      </c>
      <c r="C688" t="s">
        <v>40</v>
      </c>
      <c r="D688">
        <v>3.9510290000000001</v>
      </c>
      <c r="E688">
        <v>0.49832579999999999</v>
      </c>
      <c r="F688" t="s">
        <v>42</v>
      </c>
      <c r="G688">
        <v>-234.73679999999999</v>
      </c>
      <c r="H688" s="1">
        <v>-2.2442980000000002E-6</v>
      </c>
      <c r="I688">
        <v>369.63170000000002</v>
      </c>
      <c r="J688">
        <v>-256.59780000000001</v>
      </c>
      <c r="K688">
        <v>1.1094409999999999</v>
      </c>
      <c r="L688">
        <v>368.0274</v>
      </c>
      <c r="M688">
        <v>0.99962059999999997</v>
      </c>
      <c r="N688">
        <v>-1.508372E-2</v>
      </c>
      <c r="O688">
        <v>2.3046009999999999E-2</v>
      </c>
      <c r="P688">
        <v>0.99686900000000001</v>
      </c>
      <c r="Q688">
        <v>-4.0308919999999998E-2</v>
      </c>
      <c r="R688">
        <v>6.8025119999999994E-2</v>
      </c>
      <c r="S688">
        <v>2.9885860000000002</v>
      </c>
      <c r="T688">
        <v>-0.14894099999999999</v>
      </c>
      <c r="U688">
        <v>0.2166138</v>
      </c>
      <c r="V688">
        <v>-4.5033719999999999E-2</v>
      </c>
      <c r="W688">
        <v>-2.52426E-2</v>
      </c>
      <c r="X688">
        <v>0.99866650000000001</v>
      </c>
      <c r="Y688">
        <v>-4.9217749999999998E-2</v>
      </c>
      <c r="Z688">
        <v>7.971826E-4</v>
      </c>
      <c r="AA688">
        <v>0.9987878</v>
      </c>
      <c r="AB688">
        <v>40</v>
      </c>
      <c r="AC688">
        <v>21.861000000000001</v>
      </c>
      <c r="AD688">
        <v>-1.109443244298</v>
      </c>
      <c r="AE688">
        <v>1.60430000000002</v>
      </c>
      <c r="AF688">
        <v>-1.0971969085919699</v>
      </c>
      <c r="AG688">
        <v>-1.109443244298</v>
      </c>
      <c r="AH688">
        <v>21.836230377924501</v>
      </c>
      <c r="AI688">
        <v>92.904893199094502</v>
      </c>
      <c r="AJ688">
        <v>92.876500462631498</v>
      </c>
      <c r="AK688">
        <v>21.891908607664501</v>
      </c>
      <c r="AL688">
        <v>91.446448079597403</v>
      </c>
      <c r="AM688">
        <v>92.581938301369505</v>
      </c>
      <c r="AN688">
        <v>1.0000000015070201</v>
      </c>
    </row>
    <row r="689" spans="1:40" x14ac:dyDescent="0.25">
      <c r="A689" t="str">
        <f>"20190305135552108"</f>
        <v>20190305135552108</v>
      </c>
      <c r="B689" t="str">
        <f>"1551765352101955"</f>
        <v>1551765352101955</v>
      </c>
      <c r="C689" t="s">
        <v>40</v>
      </c>
      <c r="D689">
        <v>3.936763</v>
      </c>
      <c r="E689">
        <v>0.49864219999999998</v>
      </c>
      <c r="F689" t="s">
        <v>42</v>
      </c>
      <c r="G689">
        <v>-234.11850000000001</v>
      </c>
      <c r="H689" s="1">
        <v>-2.5154839999999999E-6</v>
      </c>
      <c r="I689">
        <v>369.65410000000003</v>
      </c>
      <c r="J689">
        <v>-256.19490000000002</v>
      </c>
      <c r="K689">
        <v>1.109383</v>
      </c>
      <c r="L689">
        <v>368.03660000000002</v>
      </c>
      <c r="M689">
        <v>0.99962450000000003</v>
      </c>
      <c r="N689">
        <v>-1.5082089999999999E-2</v>
      </c>
      <c r="O689">
        <v>2.2879750000000001E-2</v>
      </c>
      <c r="P689">
        <v>0.99684200000000001</v>
      </c>
      <c r="Q689">
        <v>-4.0287730000000001E-2</v>
      </c>
      <c r="R689">
        <v>6.8433649999999999E-2</v>
      </c>
      <c r="S689">
        <v>2.988693</v>
      </c>
      <c r="T689">
        <v>-0.14750339999999901</v>
      </c>
      <c r="U689">
        <v>0.2162781</v>
      </c>
      <c r="V689">
        <v>-4.561233E-2</v>
      </c>
      <c r="W689">
        <v>-2.521667E-2</v>
      </c>
      <c r="X689">
        <v>0.99864090000000005</v>
      </c>
      <c r="Y689">
        <v>-4.9270510000000003E-2</v>
      </c>
      <c r="Z689">
        <v>8.0372549999999999E-4</v>
      </c>
      <c r="AA689">
        <v>0.99878509999999998</v>
      </c>
      <c r="AB689">
        <v>40</v>
      </c>
      <c r="AC689">
        <v>22.0764</v>
      </c>
      <c r="AD689">
        <v>-1.109385515484</v>
      </c>
      <c r="AE689">
        <v>1.6174999999999999</v>
      </c>
      <c r="AF689">
        <v>-1.10913063149721</v>
      </c>
      <c r="AG689">
        <v>-1.109385515484</v>
      </c>
      <c r="AH689">
        <v>22.052241226205201</v>
      </c>
      <c r="AI689">
        <v>92.876330114500604</v>
      </c>
      <c r="AJ689">
        <v>92.879299185557002</v>
      </c>
      <c r="AK689">
        <v>22.107968022376799</v>
      </c>
      <c r="AL689">
        <v>91.444961920295995</v>
      </c>
      <c r="AM689">
        <v>92.615133189777097</v>
      </c>
      <c r="AN689">
        <v>1.00000000612336</v>
      </c>
    </row>
    <row r="690" spans="1:40" x14ac:dyDescent="0.25">
      <c r="A690" t="str">
        <f>"20190305135552132"</f>
        <v>20190305135552132</v>
      </c>
      <c r="B690" t="str">
        <f>"1551765352122442"</f>
        <v>1551765352122442</v>
      </c>
      <c r="C690" t="s">
        <v>40</v>
      </c>
      <c r="D690">
        <v>3.9330470000000002</v>
      </c>
      <c r="E690">
        <v>0.49947380000000002</v>
      </c>
      <c r="F690" t="s">
        <v>42</v>
      </c>
      <c r="G690">
        <v>-233.86619999999999</v>
      </c>
      <c r="H690" s="1">
        <v>-2.620954E-6</v>
      </c>
      <c r="I690">
        <v>369.64359999999999</v>
      </c>
      <c r="J690">
        <v>-255.7816</v>
      </c>
      <c r="K690">
        <v>1.1093059999999999</v>
      </c>
      <c r="L690">
        <v>368.04579999999999</v>
      </c>
      <c r="M690">
        <v>0.99963060000000004</v>
      </c>
      <c r="N690">
        <v>-1.5080100000000001E-2</v>
      </c>
      <c r="O690">
        <v>2.261415E-2</v>
      </c>
      <c r="P690">
        <v>0.99685880000000004</v>
      </c>
      <c r="Q690">
        <v>-3.9996650000000002E-2</v>
      </c>
      <c r="R690">
        <v>6.8358810000000006E-2</v>
      </c>
      <c r="S690">
        <v>2.9887389999999998</v>
      </c>
      <c r="T690">
        <v>-0.14849270000000001</v>
      </c>
      <c r="U690">
        <v>0.21511839999999999</v>
      </c>
      <c r="V690">
        <v>-4.5806949999999999E-2</v>
      </c>
      <c r="W690">
        <v>-2.4918849999999999E-2</v>
      </c>
      <c r="X690">
        <v>0.99863950000000001</v>
      </c>
      <c r="Y690">
        <v>-4.9148619999999997E-2</v>
      </c>
      <c r="Z690">
        <v>8.0943009999999904E-4</v>
      </c>
      <c r="AA690">
        <v>0.99879119999999999</v>
      </c>
      <c r="AB690">
        <v>40</v>
      </c>
      <c r="AC690">
        <v>21.915400000000002</v>
      </c>
      <c r="AD690">
        <v>-1.109308620954</v>
      </c>
      <c r="AE690">
        <v>1.5978000000000001</v>
      </c>
      <c r="AF690">
        <v>-1.0989360685621099</v>
      </c>
      <c r="AG690">
        <v>-1.109308620954</v>
      </c>
      <c r="AH690">
        <v>21.8901417791987</v>
      </c>
      <c r="AI690">
        <v>92.897406584888699</v>
      </c>
      <c r="AJ690">
        <v>92.873968717156799</v>
      </c>
      <c r="AK690">
        <v>21.945763445656802</v>
      </c>
      <c r="AL690">
        <v>91.427892681327094</v>
      </c>
      <c r="AM690">
        <v>92.626279602088005</v>
      </c>
      <c r="AN690">
        <v>1.0000000383569301</v>
      </c>
    </row>
    <row r="691" spans="1:40" x14ac:dyDescent="0.25">
      <c r="A691" t="str">
        <f>"20190305135552151"</f>
        <v>20190305135552151</v>
      </c>
      <c r="B691" t="str">
        <f>"1551765352141962"</f>
        <v>1551765352141962</v>
      </c>
      <c r="C691" t="s">
        <v>40</v>
      </c>
      <c r="D691">
        <v>3.9424269999999999</v>
      </c>
      <c r="E691">
        <v>0.49951719999999999</v>
      </c>
      <c r="F691" t="s">
        <v>42</v>
      </c>
      <c r="G691">
        <v>-234.44569999999999</v>
      </c>
      <c r="H691" s="1">
        <v>-2.3805980000000001E-6</v>
      </c>
      <c r="I691">
        <v>369.52910000000003</v>
      </c>
      <c r="J691">
        <v>-255.41200000000001</v>
      </c>
      <c r="K691">
        <v>1.1092249999999999</v>
      </c>
      <c r="L691">
        <v>368.05380000000002</v>
      </c>
      <c r="M691">
        <v>0.99963789999999997</v>
      </c>
      <c r="N691">
        <v>-1.5078050000000001E-2</v>
      </c>
      <c r="O691">
        <v>2.229076E-2</v>
      </c>
      <c r="P691">
        <v>0.99689919999999999</v>
      </c>
      <c r="Q691">
        <v>-4.0139620000000001E-2</v>
      </c>
      <c r="R691">
        <v>6.7682899999999893E-2</v>
      </c>
      <c r="S691">
        <v>2.9889679999999998</v>
      </c>
      <c r="T691">
        <v>-0.15540370000000001</v>
      </c>
      <c r="U691">
        <v>0.20779420000000001</v>
      </c>
      <c r="V691">
        <v>-4.5457749999999998E-2</v>
      </c>
      <c r="W691">
        <v>-2.505543E-2</v>
      </c>
      <c r="X691">
        <v>0.99865199999999998</v>
      </c>
      <c r="Y691">
        <v>-4.7029609999999999E-2</v>
      </c>
      <c r="Z691">
        <v>7.5477080000000004E-4</v>
      </c>
      <c r="AA691">
        <v>0.99889320000000004</v>
      </c>
      <c r="AB691">
        <v>40</v>
      </c>
      <c r="AC691">
        <v>20.9663</v>
      </c>
      <c r="AD691">
        <v>-1.109227380598</v>
      </c>
      <c r="AE691">
        <v>1.4753000000000001</v>
      </c>
      <c r="AF691">
        <v>-1.0047271478636299</v>
      </c>
      <c r="AG691">
        <v>-1.109227380598</v>
      </c>
      <c r="AH691">
        <v>20.935669104361899</v>
      </c>
      <c r="AI691">
        <v>93.029366837641007</v>
      </c>
      <c r="AJ691">
        <v>92.747583128399498</v>
      </c>
      <c r="AK691">
        <v>20.989094855921099</v>
      </c>
      <c r="AL691">
        <v>91.43572063869</v>
      </c>
      <c r="AM691">
        <v>92.606253826545498</v>
      </c>
      <c r="AN691">
        <v>0.99999999935577299</v>
      </c>
    </row>
    <row r="692" spans="1:40" x14ac:dyDescent="0.25">
      <c r="A692" t="str">
        <f>"20190305135552175"</f>
        <v>20190305135552175</v>
      </c>
      <c r="B692" t="str">
        <f>"1551765352172219"</f>
        <v>1551765352172219</v>
      </c>
      <c r="C692" t="s">
        <v>40</v>
      </c>
      <c r="D692">
        <v>4.2041490000000001</v>
      </c>
      <c r="E692">
        <v>0.5001679</v>
      </c>
      <c r="F692" t="s">
        <v>42</v>
      </c>
      <c r="G692">
        <v>-234.06389999999999</v>
      </c>
      <c r="H692" s="1">
        <v>-2.5458210000000002E-6</v>
      </c>
      <c r="I692">
        <v>369.52080000000001</v>
      </c>
      <c r="J692">
        <v>-255.01339999999999</v>
      </c>
      <c r="K692">
        <v>1.109154</v>
      </c>
      <c r="L692">
        <v>368.06229999999999</v>
      </c>
      <c r="M692">
        <v>0.99964739999999996</v>
      </c>
      <c r="N692">
        <v>-1.507584E-2</v>
      </c>
      <c r="O692">
        <v>2.1860669999999999E-2</v>
      </c>
      <c r="P692">
        <v>0.99695129999999998</v>
      </c>
      <c r="Q692">
        <v>-4.0954360000000002E-2</v>
      </c>
      <c r="R692">
        <v>6.6417840000000006E-2</v>
      </c>
      <c r="S692">
        <v>2.9891510000000001</v>
      </c>
      <c r="T692">
        <v>-0.15531310000000001</v>
      </c>
      <c r="U692">
        <v>0.20541380000000001</v>
      </c>
      <c r="V692">
        <v>-4.4627279999999998E-2</v>
      </c>
      <c r="W692">
        <v>-2.586422E-2</v>
      </c>
      <c r="X692">
        <v>0.99866880000000002</v>
      </c>
      <c r="Y692">
        <v>-4.6663870000000003E-2</v>
      </c>
      <c r="Z692">
        <v>7.5819489999999999E-4</v>
      </c>
      <c r="AA692">
        <v>0.99891039999999998</v>
      </c>
      <c r="AB692">
        <v>40</v>
      </c>
      <c r="AC692">
        <v>20.9495</v>
      </c>
      <c r="AD692">
        <v>-1.109156545821</v>
      </c>
      <c r="AE692">
        <v>1.4585000000000099</v>
      </c>
      <c r="AF692">
        <v>-0.99734706411696905</v>
      </c>
      <c r="AG692">
        <v>-1.109156545821</v>
      </c>
      <c r="AH692">
        <v>20.9180274437884</v>
      </c>
      <c r="AI692">
        <v>93.031768805996904</v>
      </c>
      <c r="AJ692">
        <v>92.729728484637306</v>
      </c>
      <c r="AK692">
        <v>20.971142113593299</v>
      </c>
      <c r="AL692">
        <v>91.482075975052794</v>
      </c>
      <c r="AM692">
        <v>92.558660920468697</v>
      </c>
      <c r="AN692">
        <v>0.99999996204492203</v>
      </c>
    </row>
    <row r="693" spans="1:40" x14ac:dyDescent="0.25">
      <c r="A693" t="str">
        <f>"20190305135552197"</f>
        <v>20190305135552197</v>
      </c>
      <c r="B693" t="str">
        <f>"1551765352192714"</f>
        <v>1551765352192714</v>
      </c>
      <c r="C693" t="s">
        <v>40</v>
      </c>
      <c r="D693">
        <v>3.9214500000000001</v>
      </c>
      <c r="E693">
        <v>0.50070150000000002</v>
      </c>
      <c r="F693" t="s">
        <v>42</v>
      </c>
      <c r="G693">
        <v>-234.3682</v>
      </c>
      <c r="H693" s="1">
        <v>-2.4332599999999998E-6</v>
      </c>
      <c r="I693">
        <v>369.4196</v>
      </c>
      <c r="J693">
        <v>-254.6131</v>
      </c>
      <c r="K693">
        <v>1.109078</v>
      </c>
      <c r="L693">
        <v>368.07060000000001</v>
      </c>
      <c r="M693">
        <v>0.99965850000000001</v>
      </c>
      <c r="N693">
        <v>-1.5073319999999999E-2</v>
      </c>
      <c r="O693">
        <v>2.1351200000000001E-2</v>
      </c>
      <c r="P693">
        <v>0.99700200000000005</v>
      </c>
      <c r="Q693">
        <v>-4.1356459999999998E-2</v>
      </c>
      <c r="R693">
        <v>6.5396659999999995E-2</v>
      </c>
      <c r="S693">
        <v>2.989487</v>
      </c>
      <c r="T693">
        <v>-0.16060829999999901</v>
      </c>
      <c r="U693">
        <v>0.19653319999999999</v>
      </c>
      <c r="V693">
        <v>-4.4118709999999998E-2</v>
      </c>
      <c r="W693">
        <v>-2.6261469999999999E-2</v>
      </c>
      <c r="X693">
        <v>0.99868109999999999</v>
      </c>
      <c r="Y693">
        <v>-4.4211750000000001E-2</v>
      </c>
      <c r="Z693">
        <v>6.9604409999999997E-4</v>
      </c>
      <c r="AA693">
        <v>0.99902190000000002</v>
      </c>
      <c r="AB693">
        <v>40</v>
      </c>
      <c r="AC693">
        <v>20.244900000000001</v>
      </c>
      <c r="AD693">
        <v>-1.1090804332599999</v>
      </c>
      <c r="AE693">
        <v>1.34899999999998</v>
      </c>
      <c r="AF693">
        <v>-0.91366047249098004</v>
      </c>
      <c r="AG693">
        <v>-1.1090804332599999</v>
      </c>
      <c r="AH693">
        <v>20.2087076523019</v>
      </c>
      <c r="AI693">
        <v>93.138117177686297</v>
      </c>
      <c r="AJ693">
        <v>92.588649683024698</v>
      </c>
      <c r="AK693">
        <v>20.259730991369</v>
      </c>
      <c r="AL693">
        <v>91.504844352833103</v>
      </c>
      <c r="AM693">
        <v>92.529509540778804</v>
      </c>
      <c r="AN693">
        <v>1.0000000324379099</v>
      </c>
    </row>
    <row r="694" spans="1:40" x14ac:dyDescent="0.25">
      <c r="A694" t="str">
        <f>"20190305135552220"</f>
        <v>20190305135552220</v>
      </c>
      <c r="B694" t="str">
        <f>"1551765352212242"</f>
        <v>1551765352212242</v>
      </c>
      <c r="C694" t="s">
        <v>40</v>
      </c>
      <c r="D694">
        <v>3.9374310000000001</v>
      </c>
      <c r="E694">
        <v>0.50057079999999998</v>
      </c>
      <c r="F694" t="s">
        <v>42</v>
      </c>
      <c r="G694">
        <v>-234.4273</v>
      </c>
      <c r="H694" s="1">
        <v>-2.4211949999999999E-6</v>
      </c>
      <c r="I694">
        <v>369.34469999999999</v>
      </c>
      <c r="J694">
        <v>-254.20480000000001</v>
      </c>
      <c r="K694">
        <v>1.1090120000000001</v>
      </c>
      <c r="L694">
        <v>368.0788</v>
      </c>
      <c r="M694">
        <v>0.99967070000000002</v>
      </c>
      <c r="N694">
        <v>-1.507038E-2</v>
      </c>
      <c r="O694">
        <v>2.0762240000000001E-2</v>
      </c>
      <c r="P694">
        <v>0.99704349999999997</v>
      </c>
      <c r="Q694">
        <v>-4.2181639999999999E-2</v>
      </c>
      <c r="R694">
        <v>6.4227480000000003E-2</v>
      </c>
      <c r="S694">
        <v>2.9898220000000002</v>
      </c>
      <c r="T694">
        <v>-0.16427039999999901</v>
      </c>
      <c r="U694">
        <v>0.18872069999999999</v>
      </c>
      <c r="V694">
        <v>-4.3542490000000003E-2</v>
      </c>
      <c r="W694">
        <v>-2.7083380000000001E-2</v>
      </c>
      <c r="X694">
        <v>0.99868440000000003</v>
      </c>
      <c r="Y694">
        <v>-4.2194290000000002E-2</v>
      </c>
      <c r="Z694">
        <v>6.4969669999999998E-4</v>
      </c>
      <c r="AA694">
        <v>0.99910920000000003</v>
      </c>
      <c r="AB694">
        <v>40</v>
      </c>
      <c r="AC694">
        <v>19.7775</v>
      </c>
      <c r="AD694">
        <v>-1.1090144211949999</v>
      </c>
      <c r="AE694">
        <v>1.26589999999998</v>
      </c>
      <c r="AF694">
        <v>-0.85228620431486801</v>
      </c>
      <c r="AG694">
        <v>-1.1090144211949999</v>
      </c>
      <c r="AH694">
        <v>19.737712576918799</v>
      </c>
      <c r="AI694">
        <v>93.212942407983803</v>
      </c>
      <c r="AJ694">
        <v>92.472529974517499</v>
      </c>
      <c r="AK694">
        <v>19.787208052920001</v>
      </c>
      <c r="AL694">
        <v>91.551953145878002</v>
      </c>
      <c r="AM694">
        <v>92.496506282723203</v>
      </c>
      <c r="AN694">
        <v>0.99999999435549203</v>
      </c>
    </row>
    <row r="695" spans="1:40" x14ac:dyDescent="0.25">
      <c r="A695" t="str">
        <f>"20190305135552242"</f>
        <v>20190305135552242</v>
      </c>
      <c r="B695" t="str">
        <f>"1551765352232261"</f>
        <v>1551765352232261</v>
      </c>
      <c r="C695" t="s">
        <v>40</v>
      </c>
      <c r="D695">
        <v>3.9706570000000001</v>
      </c>
      <c r="E695">
        <v>0.50033720000000004</v>
      </c>
      <c r="F695" t="s">
        <v>42</v>
      </c>
      <c r="G695">
        <v>-234.30090000000001</v>
      </c>
      <c r="H695" s="1">
        <v>-2.4797269999999998E-6</v>
      </c>
      <c r="I695">
        <v>369.32029999999997</v>
      </c>
      <c r="J695">
        <v>-253.81790000000001</v>
      </c>
      <c r="K695">
        <v>1.108965</v>
      </c>
      <c r="L695">
        <v>368.08629999999999</v>
      </c>
      <c r="M695">
        <v>0.99968330000000005</v>
      </c>
      <c r="N695">
        <v>-1.506737E-2</v>
      </c>
      <c r="O695">
        <v>2.0155260000000001E-2</v>
      </c>
      <c r="P695">
        <v>0.99710010000000004</v>
      </c>
      <c r="Q695">
        <v>-4.266122E-2</v>
      </c>
      <c r="R695">
        <v>6.3019720000000001E-2</v>
      </c>
      <c r="S695">
        <v>2.9898380000000002</v>
      </c>
      <c r="T695">
        <v>-0.1665885</v>
      </c>
      <c r="U695">
        <v>0.18649289999999999</v>
      </c>
      <c r="V695">
        <v>-4.294332E-2</v>
      </c>
      <c r="W695">
        <v>-2.7561080000000002E-2</v>
      </c>
      <c r="X695">
        <v>0.99869730000000001</v>
      </c>
      <c r="Y695">
        <v>-4.2057450000000003E-2</v>
      </c>
      <c r="Z695">
        <v>6.6960160000000002E-4</v>
      </c>
      <c r="AA695">
        <v>0.99911499999999998</v>
      </c>
      <c r="AB695">
        <v>40</v>
      </c>
      <c r="AC695">
        <v>19.516999999999999</v>
      </c>
      <c r="AD695">
        <v>-1.1089674797269999</v>
      </c>
      <c r="AE695">
        <v>1.23399999999998</v>
      </c>
      <c r="AF695">
        <v>-0.83764077178486296</v>
      </c>
      <c r="AG695">
        <v>-1.1089674797269999</v>
      </c>
      <c r="AH695">
        <v>19.475281736303799</v>
      </c>
      <c r="AI695">
        <v>93.256030750868305</v>
      </c>
      <c r="AJ695">
        <v>92.462799777562907</v>
      </c>
      <c r="AK695">
        <v>19.524806007795799</v>
      </c>
      <c r="AL695">
        <v>91.579333522238201</v>
      </c>
      <c r="AM695">
        <v>92.462163711594798</v>
      </c>
      <c r="AN695">
        <v>1.00000001944533</v>
      </c>
    </row>
    <row r="696" spans="1:40" x14ac:dyDescent="0.25">
      <c r="A696" t="str">
        <f>"20190305135552264"</f>
        <v>20190305135552264</v>
      </c>
      <c r="B696" t="str">
        <f>"1551765352262517"</f>
        <v>1551765352262517</v>
      </c>
      <c r="C696" t="s">
        <v>40</v>
      </c>
      <c r="D696">
        <v>3.8956439999999999</v>
      </c>
      <c r="E696">
        <v>0.44550679999999998</v>
      </c>
      <c r="F696" t="s">
        <v>42</v>
      </c>
      <c r="G696">
        <v>-234.14429999999999</v>
      </c>
      <c r="H696" s="1">
        <v>-2.550571E-6</v>
      </c>
      <c r="I696">
        <v>369.2998</v>
      </c>
      <c r="J696">
        <v>-253.42939999999999</v>
      </c>
      <c r="K696">
        <v>1.108919</v>
      </c>
      <c r="L696">
        <v>368.09359999999998</v>
      </c>
      <c r="M696">
        <v>0.99969600000000003</v>
      </c>
      <c r="N696">
        <v>-1.50641E-2</v>
      </c>
      <c r="O696">
        <v>1.9514879999999998E-2</v>
      </c>
      <c r="P696">
        <v>0.99716910000000003</v>
      </c>
      <c r="Q696">
        <v>-4.3297700000000001E-2</v>
      </c>
      <c r="R696">
        <v>6.1473319999999998E-2</v>
      </c>
      <c r="S696">
        <v>2.9898530000000001</v>
      </c>
      <c r="T696">
        <v>-0.168532399999999</v>
      </c>
      <c r="U696">
        <v>0.18441769999999999</v>
      </c>
      <c r="V696">
        <v>-4.2039170000000001E-2</v>
      </c>
      <c r="W696">
        <v>-2.819723E-2</v>
      </c>
      <c r="X696">
        <v>0.99871799999999999</v>
      </c>
      <c r="Y696">
        <v>-4.2004710000000001E-2</v>
      </c>
      <c r="Z696">
        <v>6.9453429999999903E-4</v>
      </c>
      <c r="AA696">
        <v>0.99911719999999904</v>
      </c>
      <c r="AB696">
        <v>40</v>
      </c>
      <c r="AC696">
        <v>19.2851</v>
      </c>
      <c r="AD696">
        <v>-1.1089215505709999</v>
      </c>
      <c r="AE696">
        <v>1.2062000000000199</v>
      </c>
      <c r="AF696">
        <v>-0.82685781287644899</v>
      </c>
      <c r="AG696">
        <v>-1.1089215505709999</v>
      </c>
      <c r="AH696">
        <v>19.241595300460599</v>
      </c>
      <c r="AI696">
        <v>93.295357328209107</v>
      </c>
      <c r="AJ696">
        <v>92.460624123845193</v>
      </c>
      <c r="AK696">
        <v>19.291251658581999</v>
      </c>
      <c r="AL696">
        <v>91.615796421354204</v>
      </c>
      <c r="AM696">
        <v>92.410335992076895</v>
      </c>
      <c r="AN696">
        <v>1.0000000095589801</v>
      </c>
    </row>
    <row r="697" spans="1:40" x14ac:dyDescent="0.25">
      <c r="A697" t="str">
        <f>"20190305135552286"</f>
        <v>20190305135552286</v>
      </c>
      <c r="B697" t="str">
        <f>"1551765352282037"</f>
        <v>1551765352282037</v>
      </c>
      <c r="C697" t="s">
        <v>40</v>
      </c>
      <c r="D697">
        <v>3.806044</v>
      </c>
      <c r="E697">
        <v>0.44440239999999998</v>
      </c>
      <c r="F697" t="s">
        <v>48</v>
      </c>
      <c r="G697">
        <v>-190.73689999999999</v>
      </c>
      <c r="H697">
        <v>7.9987939999999993E-2</v>
      </c>
      <c r="I697">
        <v>381.23579999999998</v>
      </c>
      <c r="J697">
        <v>-253.0352</v>
      </c>
      <c r="K697">
        <v>1.1088750000000001</v>
      </c>
      <c r="L697">
        <v>368.10070000000002</v>
      </c>
      <c r="M697">
        <v>0.99970910000000002</v>
      </c>
      <c r="N697">
        <v>-1.506067E-2</v>
      </c>
      <c r="O697">
        <v>1.8845219999999999E-2</v>
      </c>
      <c r="P697">
        <v>0.99718669999999998</v>
      </c>
      <c r="Q697">
        <v>-4.4409379999999998E-2</v>
      </c>
      <c r="R697">
        <v>6.038835E-2</v>
      </c>
      <c r="S697">
        <v>2.968048</v>
      </c>
      <c r="T697">
        <v>-4.8712610000000003E-2</v>
      </c>
      <c r="U697">
        <v>0.62219239999999998</v>
      </c>
      <c r="V697">
        <v>-4.1626860000000002E-2</v>
      </c>
      <c r="W697">
        <v>-2.930959E-2</v>
      </c>
      <c r="X697">
        <v>0.99870320000000001</v>
      </c>
      <c r="Y697">
        <v>-0.18664059999999999</v>
      </c>
      <c r="Z697">
        <v>2.9110260000000002E-3</v>
      </c>
      <c r="AA697">
        <v>0.98242399999999996</v>
      </c>
      <c r="AB697">
        <v>39</v>
      </c>
      <c r="AC697">
        <v>62.298299999999998</v>
      </c>
      <c r="AD697">
        <v>-1.02888706</v>
      </c>
      <c r="AE697">
        <v>13.1350999999999</v>
      </c>
      <c r="AF697">
        <v>-11.9554864557089</v>
      </c>
      <c r="AG697">
        <v>-1.02888706</v>
      </c>
      <c r="AH697">
        <v>62.518469194533303</v>
      </c>
      <c r="AI697">
        <v>90.926072502484701</v>
      </c>
      <c r="AJ697">
        <v>100.826040433708</v>
      </c>
      <c r="AK697">
        <v>63.659651706576902</v>
      </c>
      <c r="AL697">
        <v>91.679556395320006</v>
      </c>
      <c r="AM697">
        <v>92.386758801758504</v>
      </c>
      <c r="AN697">
        <v>0.99999996461483298</v>
      </c>
    </row>
    <row r="698" spans="1:40" x14ac:dyDescent="0.25">
      <c r="A698" t="str">
        <f>"20190305135552309"</f>
        <v>20190305135552309</v>
      </c>
      <c r="B698" t="str">
        <f>"1551765352302533"</f>
        <v>1551765352302533</v>
      </c>
      <c r="C698" t="s">
        <v>40</v>
      </c>
      <c r="D698">
        <v>3.8052830000000002</v>
      </c>
      <c r="E698">
        <v>0.44419819999999999</v>
      </c>
      <c r="F698" t="s">
        <v>48</v>
      </c>
      <c r="G698">
        <v>-183.07769999999999</v>
      </c>
      <c r="H698">
        <v>7.9989399999999905E-2</v>
      </c>
      <c r="I698">
        <v>382.90179999999998</v>
      </c>
      <c r="J698">
        <v>-252.6354</v>
      </c>
      <c r="K698">
        <v>1.1088359999999999</v>
      </c>
      <c r="L698">
        <v>368.10759999999999</v>
      </c>
      <c r="M698">
        <v>0.99972190000000005</v>
      </c>
      <c r="N698">
        <v>-1.5056999999999999E-2</v>
      </c>
      <c r="O698">
        <v>1.8155439999999998E-2</v>
      </c>
      <c r="P698">
        <v>0.99719849999999999</v>
      </c>
      <c r="Q698">
        <v>-4.5848260000000002E-2</v>
      </c>
      <c r="R698">
        <v>5.9107920000000001E-2</v>
      </c>
      <c r="S698">
        <v>2.9684910000000002</v>
      </c>
      <c r="T698">
        <v>-4.3658490000000001E-2</v>
      </c>
      <c r="U698">
        <v>0.62805180000000005</v>
      </c>
      <c r="V698">
        <v>-4.1039810000000003E-2</v>
      </c>
      <c r="W698">
        <v>-3.075056E-2</v>
      </c>
      <c r="X698">
        <v>0.99868420000000002</v>
      </c>
      <c r="Y698">
        <v>-0.18915180000000001</v>
      </c>
      <c r="Z698">
        <v>2.8220989999999998E-3</v>
      </c>
      <c r="AA698">
        <v>0.98194380000000003</v>
      </c>
      <c r="AB698">
        <v>39</v>
      </c>
      <c r="AC698">
        <v>69.557699999999997</v>
      </c>
      <c r="AD698">
        <v>-1.0288466000000001</v>
      </c>
      <c r="AE698">
        <v>14.794199999999901</v>
      </c>
      <c r="AF698">
        <v>-13.525936168092599</v>
      </c>
      <c r="AG698">
        <v>-1.0288466000000001</v>
      </c>
      <c r="AH698">
        <v>69.800248191233194</v>
      </c>
      <c r="AI698">
        <v>90.829051040151001</v>
      </c>
      <c r="AJ698">
        <v>100.966888227534</v>
      </c>
      <c r="AK698">
        <v>71.106146865846995</v>
      </c>
      <c r="AL698">
        <v>91.762155099895296</v>
      </c>
      <c r="AM698">
        <v>92.353181948266396</v>
      </c>
      <c r="AN698">
        <v>0.99999999713739396</v>
      </c>
    </row>
    <row r="699" spans="1:40" x14ac:dyDescent="0.25">
      <c r="A699" t="str">
        <f>"20190305135552332"</f>
        <v>20190305135552332</v>
      </c>
      <c r="B699" t="str">
        <f>"1551765352322559"</f>
        <v>1551765352322559</v>
      </c>
      <c r="C699" t="s">
        <v>40</v>
      </c>
      <c r="D699">
        <v>3.7717809999999998</v>
      </c>
      <c r="E699">
        <v>0.44387759999999998</v>
      </c>
      <c r="F699" t="s">
        <v>48</v>
      </c>
      <c r="G699">
        <v>-195.2381</v>
      </c>
      <c r="H699">
        <v>7.9987890000000006E-2</v>
      </c>
      <c r="I699">
        <v>380.20960000000002</v>
      </c>
      <c r="J699">
        <v>-252.2509</v>
      </c>
      <c r="K699">
        <v>1.1088089999999999</v>
      </c>
      <c r="L699">
        <v>368.11399999999998</v>
      </c>
      <c r="M699">
        <v>0.99973369999999995</v>
      </c>
      <c r="N699">
        <v>-1.505331E-2</v>
      </c>
      <c r="O699">
        <v>1.7486120000000001E-2</v>
      </c>
      <c r="P699">
        <v>0.99722630000000001</v>
      </c>
      <c r="Q699">
        <v>-4.7123470000000001E-2</v>
      </c>
      <c r="R699">
        <v>5.7611280000000001E-2</v>
      </c>
      <c r="S699">
        <v>2.9688870000000001</v>
      </c>
      <c r="T699">
        <v>-5.321741E-2</v>
      </c>
      <c r="U699">
        <v>0.62597659999999999</v>
      </c>
      <c r="V699">
        <v>-4.0214809999999997E-2</v>
      </c>
      <c r="W699">
        <v>-3.2028880000000003E-2</v>
      </c>
      <c r="X699">
        <v>0.99867760000000005</v>
      </c>
      <c r="Y699">
        <v>-0.18911159999999999</v>
      </c>
      <c r="Z699">
        <v>3.066151E-3</v>
      </c>
      <c r="AA699">
        <v>0.98195080000000001</v>
      </c>
      <c r="AB699">
        <v>39</v>
      </c>
      <c r="AC699">
        <v>57.012799999999999</v>
      </c>
      <c r="AD699">
        <v>-1.02882111</v>
      </c>
      <c r="AE699">
        <v>12.0955999999999</v>
      </c>
      <c r="AF699">
        <v>-11.0932477294023</v>
      </c>
      <c r="AG699">
        <v>-1.02882111</v>
      </c>
      <c r="AH699">
        <v>57.1977866822631</v>
      </c>
      <c r="AI699">
        <v>91.011626180465498</v>
      </c>
      <c r="AJ699">
        <v>100.975986928578</v>
      </c>
      <c r="AK699">
        <v>58.272681587618202</v>
      </c>
      <c r="AL699">
        <v>91.835433524308399</v>
      </c>
      <c r="AM699">
        <v>92.305944077738303</v>
      </c>
      <c r="AN699">
        <v>1.00000001441957</v>
      </c>
    </row>
    <row r="700" spans="1:40" x14ac:dyDescent="0.25">
      <c r="A700" t="str">
        <f>"20190305135552352"</f>
        <v>20190305135552352</v>
      </c>
      <c r="B700" t="str">
        <f>"1551765352342079"</f>
        <v>1551765352342079</v>
      </c>
      <c r="C700" t="s">
        <v>40</v>
      </c>
      <c r="D700">
        <v>3.7487400000000002</v>
      </c>
      <c r="E700">
        <v>0.44338240000000001</v>
      </c>
      <c r="F700" t="s">
        <v>48</v>
      </c>
      <c r="G700">
        <v>-197.60079999999999</v>
      </c>
      <c r="H700">
        <v>2.8294590000000001E-2</v>
      </c>
      <c r="I700">
        <v>379.6</v>
      </c>
      <c r="J700">
        <v>-251.863</v>
      </c>
      <c r="K700">
        <v>1.108789</v>
      </c>
      <c r="L700">
        <v>368.12020000000001</v>
      </c>
      <c r="M700">
        <v>0.99974549999999995</v>
      </c>
      <c r="N700">
        <v>-1.504959E-2</v>
      </c>
      <c r="O700">
        <v>1.680862E-2</v>
      </c>
      <c r="P700">
        <v>0.99723329999999999</v>
      </c>
      <c r="Q700">
        <v>-4.7800830000000002E-2</v>
      </c>
      <c r="R700">
        <v>5.6931229999999999E-2</v>
      </c>
      <c r="S700">
        <v>2.9695130000000001</v>
      </c>
      <c r="T700">
        <v>-5.8711770000000003E-2</v>
      </c>
      <c r="U700">
        <v>0.62411499999999998</v>
      </c>
      <c r="V700">
        <v>-4.0213449999999998E-2</v>
      </c>
      <c r="W700">
        <v>-3.2708670000000002E-2</v>
      </c>
      <c r="X700">
        <v>0.99865559999999998</v>
      </c>
      <c r="Y700">
        <v>-0.1891371</v>
      </c>
      <c r="Z700">
        <v>3.2101059999999999E-3</v>
      </c>
      <c r="AA700">
        <v>0.98194550000000003</v>
      </c>
      <c r="AB700">
        <v>39</v>
      </c>
      <c r="AC700">
        <v>54.2622</v>
      </c>
      <c r="AD700">
        <v>-1.08049441</v>
      </c>
      <c r="AE700">
        <v>11.479799999999999</v>
      </c>
      <c r="AF700">
        <v>-10.5619933736688</v>
      </c>
      <c r="AG700">
        <v>-1.08049441</v>
      </c>
      <c r="AH700">
        <v>54.426857754916902</v>
      </c>
      <c r="AI700">
        <v>91.116476680712594</v>
      </c>
      <c r="AJ700">
        <v>100.98223091084699</v>
      </c>
      <c r="AK700">
        <v>55.452736787911803</v>
      </c>
      <c r="AL700">
        <v>91.874403082821303</v>
      </c>
      <c r="AM700">
        <v>92.305916921122105</v>
      </c>
      <c r="AN700">
        <v>0.99999999303271503</v>
      </c>
    </row>
    <row r="701" spans="1:40" x14ac:dyDescent="0.25">
      <c r="A701" t="str">
        <f>"20190305135552376"</f>
        <v>20190305135552376</v>
      </c>
      <c r="B701" t="str">
        <f>"1551765352372336"</f>
        <v>1551765352372336</v>
      </c>
      <c r="C701" t="s">
        <v>40</v>
      </c>
      <c r="D701">
        <v>3.7094100000000001</v>
      </c>
      <c r="E701">
        <v>0.44292150000000002</v>
      </c>
      <c r="F701" t="s">
        <v>48</v>
      </c>
      <c r="G701">
        <v>-198.6258</v>
      </c>
      <c r="H701" s="1">
        <v>-1.0793570000000001E-5</v>
      </c>
      <c r="I701">
        <v>379.34390000000002</v>
      </c>
      <c r="J701">
        <v>-251.47329999999999</v>
      </c>
      <c r="K701">
        <v>1.1087750000000001</v>
      </c>
      <c r="L701">
        <v>368.12610000000001</v>
      </c>
      <c r="M701">
        <v>0.99975689999999995</v>
      </c>
      <c r="N701">
        <v>-1.504578E-2</v>
      </c>
      <c r="O701">
        <v>1.6127309999999999E-2</v>
      </c>
      <c r="P701">
        <v>0.99728669999999997</v>
      </c>
      <c r="Q701">
        <v>-4.8021910000000001E-2</v>
      </c>
      <c r="R701">
        <v>5.5796539999999999E-2</v>
      </c>
      <c r="S701">
        <v>2.9696199999999999</v>
      </c>
      <c r="T701">
        <v>-6.1849830000000001E-2</v>
      </c>
      <c r="U701">
        <v>0.62606809999999902</v>
      </c>
      <c r="V701">
        <v>-3.975981E-2</v>
      </c>
      <c r="W701">
        <v>-3.2932870000000003E-2</v>
      </c>
      <c r="X701">
        <v>0.99866639999999995</v>
      </c>
      <c r="Y701">
        <v>-0.19041159999999999</v>
      </c>
      <c r="Z701">
        <v>3.3175739999999998E-3</v>
      </c>
      <c r="AA701">
        <v>0.98169879999999998</v>
      </c>
      <c r="AB701">
        <v>39</v>
      </c>
      <c r="AC701">
        <v>52.847499999999997</v>
      </c>
      <c r="AD701">
        <v>-1.1087857935700001</v>
      </c>
      <c r="AE701">
        <v>11.2178</v>
      </c>
      <c r="AF701">
        <v>-10.359592753790601</v>
      </c>
      <c r="AG701">
        <v>-1.1087857935700001</v>
      </c>
      <c r="AH701">
        <v>52.999234634689202</v>
      </c>
      <c r="AI701">
        <v>91.176244575956105</v>
      </c>
      <c r="AJ701">
        <v>101.05997470110201</v>
      </c>
      <c r="AK701">
        <v>54.013604210636203</v>
      </c>
      <c r="AL701">
        <v>91.887255712674005</v>
      </c>
      <c r="AM701">
        <v>92.279907303926095</v>
      </c>
      <c r="AN701">
        <v>0.99999999745331603</v>
      </c>
    </row>
    <row r="702" spans="1:40" x14ac:dyDescent="0.25">
      <c r="A702" t="str">
        <f>"20190305135552398"</f>
        <v>20190305135552398</v>
      </c>
      <c r="B702" t="str">
        <f>"1551765352392835"</f>
        <v>1551765352392835</v>
      </c>
      <c r="C702" t="s">
        <v>40</v>
      </c>
      <c r="D702">
        <v>3.721949</v>
      </c>
      <c r="E702">
        <v>0.44260389999999999</v>
      </c>
      <c r="F702" t="s">
        <v>48</v>
      </c>
      <c r="G702">
        <v>-193.9819</v>
      </c>
      <c r="H702">
        <v>7.9987899999999904E-2</v>
      </c>
      <c r="I702">
        <v>380.2636</v>
      </c>
      <c r="J702">
        <v>-251.0668</v>
      </c>
      <c r="K702">
        <v>1.1087629999999999</v>
      </c>
      <c r="L702">
        <v>368.13200000000001</v>
      </c>
      <c r="M702">
        <v>0.99976810000000005</v>
      </c>
      <c r="N702">
        <v>-1.5041840000000001E-2</v>
      </c>
      <c r="O702">
        <v>1.5416849999999999E-2</v>
      </c>
      <c r="P702">
        <v>0.9972782</v>
      </c>
      <c r="Q702">
        <v>-4.8941770000000002E-2</v>
      </c>
      <c r="R702">
        <v>5.5146630000000002E-2</v>
      </c>
      <c r="S702">
        <v>2.9705349999999999</v>
      </c>
      <c r="T702">
        <v>-5.315661E-2</v>
      </c>
      <c r="U702">
        <v>0.62713619999999903</v>
      </c>
      <c r="V702">
        <v>-3.9821910000000002E-2</v>
      </c>
      <c r="W702">
        <v>-3.38561E-2</v>
      </c>
      <c r="X702">
        <v>0.99863299999999999</v>
      </c>
      <c r="Y702">
        <v>-0.19140009999999999</v>
      </c>
      <c r="Z702">
        <v>3.1059529999999998E-3</v>
      </c>
      <c r="AA702">
        <v>0.98150720000000002</v>
      </c>
      <c r="AB702">
        <v>39</v>
      </c>
      <c r="AC702">
        <v>57.084899999999998</v>
      </c>
      <c r="AD702">
        <v>-1.0287751000000001</v>
      </c>
      <c r="AE702">
        <v>12.131600000000001</v>
      </c>
      <c r="AF702">
        <v>-11.246494168364601</v>
      </c>
      <c r="AG702">
        <v>-1.0287751000000001</v>
      </c>
      <c r="AH702">
        <v>57.247376580493899</v>
      </c>
      <c r="AI702">
        <v>91.010228257910299</v>
      </c>
      <c r="AJ702">
        <v>101.11446074583</v>
      </c>
      <c r="AK702">
        <v>58.350699521379497</v>
      </c>
      <c r="AL702">
        <v>91.940182520214705</v>
      </c>
      <c r="AM702">
        <v>92.283540767307102</v>
      </c>
      <c r="AN702">
        <v>0.99999994435612705</v>
      </c>
    </row>
    <row r="703" spans="1:40" x14ac:dyDescent="0.25">
      <c r="A703" t="str">
        <f>"20190305135552420"</f>
        <v>20190305135552420</v>
      </c>
      <c r="B703" t="str">
        <f>"1551765352412351"</f>
        <v>1551765352412351</v>
      </c>
      <c r="C703" t="s">
        <v>40</v>
      </c>
      <c r="D703">
        <v>3.6972860000000001</v>
      </c>
      <c r="E703">
        <v>0.44233640000000002</v>
      </c>
      <c r="F703" t="s">
        <v>48</v>
      </c>
      <c r="G703">
        <v>-191.33930000000001</v>
      </c>
      <c r="H703">
        <v>7.9987920000000004E-2</v>
      </c>
      <c r="I703">
        <v>380.75080000000003</v>
      </c>
      <c r="J703">
        <v>-250.67910000000001</v>
      </c>
      <c r="K703">
        <v>1.108754</v>
      </c>
      <c r="L703">
        <v>368.13729999999998</v>
      </c>
      <c r="M703">
        <v>0.99977830000000001</v>
      </c>
      <c r="N703">
        <v>-1.503812E-2</v>
      </c>
      <c r="O703">
        <v>1.473965E-2</v>
      </c>
      <c r="P703">
        <v>0.99729500000000004</v>
      </c>
      <c r="Q703">
        <v>-4.9608529999999998E-2</v>
      </c>
      <c r="R703">
        <v>5.4236970000000002E-2</v>
      </c>
      <c r="S703">
        <v>2.9709629999999998</v>
      </c>
      <c r="T703">
        <v>-5.1173330000000003E-2</v>
      </c>
      <c r="U703">
        <v>0.62768550000000001</v>
      </c>
      <c r="V703">
        <v>-3.9589579999999999E-2</v>
      </c>
      <c r="W703">
        <v>-3.4526479999999998E-2</v>
      </c>
      <c r="X703">
        <v>0.99861929999999999</v>
      </c>
      <c r="Y703">
        <v>-0.19221289999999999</v>
      </c>
      <c r="Z703">
        <v>3.066863E-3</v>
      </c>
      <c r="AA703">
        <v>0.98134849999999996</v>
      </c>
      <c r="AB703">
        <v>39</v>
      </c>
      <c r="AC703">
        <v>59.339799999999997</v>
      </c>
      <c r="AD703">
        <v>-1.02876608</v>
      </c>
      <c r="AE703">
        <v>12.6135</v>
      </c>
      <c r="AF703">
        <v>-11.7340082645149</v>
      </c>
      <c r="AG703">
        <v>-1.02876608</v>
      </c>
      <c r="AH703">
        <v>59.502180546276001</v>
      </c>
      <c r="AI703">
        <v>90.971807306055894</v>
      </c>
      <c r="AJ703">
        <v>101.155757098081</v>
      </c>
      <c r="AK703">
        <v>60.656861107056002</v>
      </c>
      <c r="AL703">
        <v>91.978614908942603</v>
      </c>
      <c r="AM703">
        <v>92.270263169016005</v>
      </c>
      <c r="AN703">
        <v>0.99999995949912701</v>
      </c>
    </row>
    <row r="704" spans="1:40" x14ac:dyDescent="0.25">
      <c r="A704" t="str">
        <f>"20190305135552444"</f>
        <v>20190305135552444</v>
      </c>
      <c r="B704" t="str">
        <f>"1551765352432379"</f>
        <v>1551765352432379</v>
      </c>
      <c r="C704" t="s">
        <v>40</v>
      </c>
      <c r="D704">
        <v>3.6818369999999998</v>
      </c>
      <c r="E704">
        <v>0.44211230000000001</v>
      </c>
      <c r="F704" t="s">
        <v>48</v>
      </c>
      <c r="G704">
        <v>-188.96870000000001</v>
      </c>
      <c r="H704">
        <v>7.9987840000000004E-2</v>
      </c>
      <c r="I704">
        <v>381.16750000000002</v>
      </c>
      <c r="J704">
        <v>-250.2851</v>
      </c>
      <c r="K704">
        <v>1.1087480000000001</v>
      </c>
      <c r="L704">
        <v>368.14249999999998</v>
      </c>
      <c r="M704">
        <v>0.99978829999999996</v>
      </c>
      <c r="N704">
        <v>-1.503412E-2</v>
      </c>
      <c r="O704">
        <v>1.405122E-2</v>
      </c>
      <c r="P704">
        <v>0.99730839999999998</v>
      </c>
      <c r="Q704">
        <v>-5.0158540000000001E-2</v>
      </c>
      <c r="R704">
        <v>5.3481899999999999E-2</v>
      </c>
      <c r="S704">
        <v>2.9715419999999999</v>
      </c>
      <c r="T704">
        <v>-4.9538140000000001E-2</v>
      </c>
      <c r="U704">
        <v>0.62744140000000004</v>
      </c>
      <c r="V704">
        <v>-3.9523580000000003E-2</v>
      </c>
      <c r="W704">
        <v>-3.5080310000000003E-2</v>
      </c>
      <c r="X704">
        <v>0.99860260000000001</v>
      </c>
      <c r="Y704">
        <v>-0.192775</v>
      </c>
      <c r="Z704">
        <v>3.0318609999999998E-3</v>
      </c>
      <c r="AA704">
        <v>0.98123830000000001</v>
      </c>
      <c r="AB704">
        <v>39</v>
      </c>
      <c r="AC704">
        <v>61.316399999999902</v>
      </c>
      <c r="AD704">
        <v>-1.02876016</v>
      </c>
      <c r="AE704">
        <v>13.025</v>
      </c>
      <c r="AF704">
        <v>-12.158771381348201</v>
      </c>
      <c r="AG704">
        <v>-1.02876016</v>
      </c>
      <c r="AH704">
        <v>61.476824677225103</v>
      </c>
      <c r="AI704">
        <v>90.940490208763904</v>
      </c>
      <c r="AJ704">
        <v>101.18747282354001</v>
      </c>
      <c r="AK704">
        <v>62.676104229323002</v>
      </c>
      <c r="AL704">
        <v>92.010366292749893</v>
      </c>
      <c r="AM704">
        <v>92.266520215198298</v>
      </c>
      <c r="AN704">
        <v>0.99999994712623397</v>
      </c>
    </row>
    <row r="705" spans="1:40" x14ac:dyDescent="0.25">
      <c r="A705" t="str">
        <f>"20190305135552464"</f>
        <v>20190305135552464</v>
      </c>
      <c r="B705" t="str">
        <f>"1551765352462635"</f>
        <v>1551765352462635</v>
      </c>
      <c r="C705" t="s">
        <v>40</v>
      </c>
      <c r="D705">
        <v>3.6856900000000001</v>
      </c>
      <c r="E705">
        <v>0.44170399999999999</v>
      </c>
      <c r="F705" t="s">
        <v>48</v>
      </c>
      <c r="G705">
        <v>-184.45679999999999</v>
      </c>
      <c r="H705">
        <v>7.998864E-2</v>
      </c>
      <c r="I705">
        <v>382.03309999999999</v>
      </c>
      <c r="J705">
        <v>-249.90989999999999</v>
      </c>
      <c r="K705">
        <v>1.108741</v>
      </c>
      <c r="L705">
        <v>368.14710000000002</v>
      </c>
      <c r="M705">
        <v>0.99979750000000001</v>
      </c>
      <c r="N705">
        <v>-1.503005E-2</v>
      </c>
      <c r="O705">
        <v>1.3394110000000001E-2</v>
      </c>
      <c r="P705">
        <v>0.9973746</v>
      </c>
      <c r="Q705">
        <v>-5.0051539999999999E-2</v>
      </c>
      <c r="R705">
        <v>5.2335630000000001E-2</v>
      </c>
      <c r="S705">
        <v>2.972153</v>
      </c>
      <c r="T705">
        <v>-4.6448589999999998E-2</v>
      </c>
      <c r="U705">
        <v>0.62716669999999997</v>
      </c>
      <c r="V705">
        <v>-3.9032299999999999E-2</v>
      </c>
      <c r="W705">
        <v>-3.4977429999999997E-2</v>
      </c>
      <c r="X705">
        <v>0.9986256</v>
      </c>
      <c r="Y705">
        <v>-0.19329689999999999</v>
      </c>
      <c r="Z705">
        <v>2.9548370000000001E-3</v>
      </c>
      <c r="AA705">
        <v>0.9811358</v>
      </c>
      <c r="AB705">
        <v>39</v>
      </c>
      <c r="AC705">
        <v>65.453100000000006</v>
      </c>
      <c r="AD705">
        <v>-1.0287523599999999</v>
      </c>
      <c r="AE705">
        <v>13.8859999999999</v>
      </c>
      <c r="AF705">
        <v>-13.0048948499778</v>
      </c>
      <c r="AG705">
        <v>-1.0287523599999999</v>
      </c>
      <c r="AH705">
        <v>65.617726972490701</v>
      </c>
      <c r="AI705">
        <v>90.881072767597601</v>
      </c>
      <c r="AJ705">
        <v>101.210279915545</v>
      </c>
      <c r="AK705">
        <v>66.901955984212606</v>
      </c>
      <c r="AL705">
        <v>92.004467946777893</v>
      </c>
      <c r="AM705">
        <v>92.238324595826299</v>
      </c>
      <c r="AN705">
        <v>1.00000001501402</v>
      </c>
    </row>
    <row r="706" spans="1:40" x14ac:dyDescent="0.25">
      <c r="A706" t="str">
        <f>"20190305135552488"</f>
        <v>20190305135552488</v>
      </c>
      <c r="B706" t="str">
        <f>"1551765352482155"</f>
        <v>1551765352482155</v>
      </c>
      <c r="C706" t="s">
        <v>40</v>
      </c>
      <c r="D706">
        <v>3.671853</v>
      </c>
      <c r="E706">
        <v>0.44149850000000002</v>
      </c>
      <c r="F706" t="s">
        <v>43</v>
      </c>
      <c r="G706">
        <v>-159.94669999999999</v>
      </c>
      <c r="H706">
        <v>-0.05</v>
      </c>
      <c r="I706">
        <v>387.13400000000001</v>
      </c>
      <c r="J706">
        <v>-249.50620000000001</v>
      </c>
      <c r="K706">
        <v>1.1087400000000001</v>
      </c>
      <c r="L706">
        <v>368.15190000000001</v>
      </c>
      <c r="M706">
        <v>0.99980670000000005</v>
      </c>
      <c r="N706">
        <v>-1.502568E-2</v>
      </c>
      <c r="O706">
        <v>1.2681919999999999E-2</v>
      </c>
      <c r="P706">
        <v>0.99748599999999998</v>
      </c>
      <c r="Q706">
        <v>-5.0064110000000002E-2</v>
      </c>
      <c r="R706">
        <v>5.0153490000000002E-2</v>
      </c>
      <c r="S706">
        <v>2.973068</v>
      </c>
      <c r="T706">
        <v>-3.8293599999999997E-2</v>
      </c>
      <c r="U706">
        <v>0.62747189999999997</v>
      </c>
      <c r="V706">
        <v>-3.7560370000000003E-2</v>
      </c>
      <c r="W706">
        <v>-3.4995619999999998E-2</v>
      </c>
      <c r="X706">
        <v>0.99868140000000005</v>
      </c>
      <c r="Y706">
        <v>-0.1940422</v>
      </c>
      <c r="Z706">
        <v>2.7369410000000001E-3</v>
      </c>
      <c r="AA706">
        <v>0.98098940000000001</v>
      </c>
      <c r="AB706">
        <v>39</v>
      </c>
      <c r="AC706">
        <v>89.5595</v>
      </c>
      <c r="AD706">
        <v>-1.1587399999999899</v>
      </c>
      <c r="AE706">
        <v>18.982099999999999</v>
      </c>
      <c r="AF706">
        <v>-17.841800240865599</v>
      </c>
      <c r="AG706">
        <v>-1.1587399999999899</v>
      </c>
      <c r="AH706">
        <v>89.778670146122593</v>
      </c>
      <c r="AI706">
        <v>90.725272607224397</v>
      </c>
      <c r="AJ706">
        <v>101.240000715487</v>
      </c>
      <c r="AK706">
        <v>91.541696114005006</v>
      </c>
      <c r="AL706">
        <v>92.005510812000693</v>
      </c>
      <c r="AM706">
        <v>92.153876941845496</v>
      </c>
      <c r="AN706">
        <v>1.00000000675984</v>
      </c>
    </row>
    <row r="707" spans="1:40" x14ac:dyDescent="0.25">
      <c r="A707" t="str">
        <f>"20190305135552510"</f>
        <v>20190305135552510</v>
      </c>
      <c r="B707" t="str">
        <f>"1551765352502655"</f>
        <v>1551765352502655</v>
      </c>
      <c r="C707" t="s">
        <v>40</v>
      </c>
      <c r="D707">
        <v>3.6637900000000001</v>
      </c>
      <c r="E707">
        <v>0.44121339999999998</v>
      </c>
      <c r="F707" t="s">
        <v>43</v>
      </c>
      <c r="G707">
        <v>-149.81639999999999</v>
      </c>
      <c r="H707">
        <v>-0.05</v>
      </c>
      <c r="I707">
        <v>389.0249</v>
      </c>
      <c r="J707">
        <v>-249.12</v>
      </c>
      <c r="K707">
        <v>1.108733</v>
      </c>
      <c r="L707">
        <v>368.15620000000001</v>
      </c>
      <c r="M707">
        <v>0.99981529999999996</v>
      </c>
      <c r="N707">
        <v>-1.502147E-2</v>
      </c>
      <c r="O707">
        <v>1.198923E-2</v>
      </c>
      <c r="P707">
        <v>0.997637</v>
      </c>
      <c r="Q707">
        <v>-4.9392690000000003E-2</v>
      </c>
      <c r="R707">
        <v>4.7761909999999998E-2</v>
      </c>
      <c r="S707">
        <v>2.9745180000000002</v>
      </c>
      <c r="T707">
        <v>-3.4574149999999998E-2</v>
      </c>
      <c r="U707">
        <v>0.62280269999999904</v>
      </c>
      <c r="V707">
        <v>-3.5857739999999999E-2</v>
      </c>
      <c r="W707">
        <v>-3.4329350000000002E-2</v>
      </c>
      <c r="X707">
        <v>0.99876710000000002</v>
      </c>
      <c r="Y707">
        <v>-0.1931553</v>
      </c>
      <c r="Z707">
        <v>2.6174050000000002E-3</v>
      </c>
      <c r="AA707">
        <v>0.9811647</v>
      </c>
      <c r="AB707">
        <v>39</v>
      </c>
      <c r="AC707">
        <v>99.303600000000003</v>
      </c>
      <c r="AD707">
        <v>-1.158733</v>
      </c>
      <c r="AE707">
        <v>20.868699999999901</v>
      </c>
      <c r="AF707">
        <v>-19.673926297426199</v>
      </c>
      <c r="AG707">
        <v>-1.158733</v>
      </c>
      <c r="AH707">
        <v>99.5337100559898</v>
      </c>
      <c r="AI707">
        <v>90.654326582218403</v>
      </c>
      <c r="AJ707">
        <v>101.181010764562</v>
      </c>
      <c r="AK707">
        <v>101.46608041918</v>
      </c>
      <c r="AL707">
        <v>91.967313410273803</v>
      </c>
      <c r="AM707">
        <v>92.056150157096297</v>
      </c>
      <c r="AN707">
        <v>1.00000000091587</v>
      </c>
    </row>
    <row r="708" spans="1:40" x14ac:dyDescent="0.25">
      <c r="A708" t="str">
        <f>"20190305135552532"</f>
        <v>20190305135552532</v>
      </c>
      <c r="B708" t="str">
        <f>"1551765352522677"</f>
        <v>1551765352522677</v>
      </c>
      <c r="C708" t="s">
        <v>40</v>
      </c>
      <c r="D708">
        <v>3.6451500000000001</v>
      </c>
      <c r="E708">
        <v>0.44100149999999999</v>
      </c>
      <c r="F708" t="s">
        <v>49</v>
      </c>
      <c r="G708">
        <v>-158.78319999999999</v>
      </c>
      <c r="H708">
        <v>0.25396729999999901</v>
      </c>
      <c r="I708">
        <v>386.92450000000002</v>
      </c>
      <c r="J708">
        <v>-248.73990000000001</v>
      </c>
      <c r="K708">
        <v>1.1087209999999901</v>
      </c>
      <c r="L708">
        <v>368.1601</v>
      </c>
      <c r="M708">
        <v>0.99982360000000003</v>
      </c>
      <c r="N708">
        <v>-1.501745E-2</v>
      </c>
      <c r="O708">
        <v>1.1285440000000001E-2</v>
      </c>
      <c r="P708">
        <v>0.99780829999999998</v>
      </c>
      <c r="Q708">
        <v>-4.9374029999999999E-2</v>
      </c>
      <c r="R708">
        <v>4.4055730000000001E-2</v>
      </c>
      <c r="S708">
        <v>2.9761199999999999</v>
      </c>
      <c r="T708">
        <v>-2.8157109999999999E-2</v>
      </c>
      <c r="U708">
        <v>0.61831669999999905</v>
      </c>
      <c r="V708">
        <v>-3.2853420000000001E-2</v>
      </c>
      <c r="W708">
        <v>-3.4317420000000001E-2</v>
      </c>
      <c r="X708">
        <v>0.99887079999999995</v>
      </c>
      <c r="Y708">
        <v>-0.19233</v>
      </c>
      <c r="Z708">
        <v>2.4219060000000001E-3</v>
      </c>
      <c r="AA708">
        <v>0.98132730000000001</v>
      </c>
      <c r="AB708">
        <v>39</v>
      </c>
      <c r="AC708">
        <v>89.956699999999998</v>
      </c>
      <c r="AD708">
        <v>-0.85475369999999895</v>
      </c>
      <c r="AE708">
        <v>18.764399999999998</v>
      </c>
      <c r="AF708">
        <v>-17.746353968791801</v>
      </c>
      <c r="AG708">
        <v>-0.85475369999999895</v>
      </c>
      <c r="AH708">
        <v>90.154958182582703</v>
      </c>
      <c r="AI708">
        <v>90.5329746702036</v>
      </c>
      <c r="AJ708">
        <v>101.135890308909</v>
      </c>
      <c r="AK708">
        <v>91.888955636553803</v>
      </c>
      <c r="AL708">
        <v>91.966629561314406</v>
      </c>
      <c r="AM708">
        <v>91.883811175475401</v>
      </c>
      <c r="AN708">
        <v>0.99999995380689499</v>
      </c>
    </row>
    <row r="709" spans="1:40" x14ac:dyDescent="0.25">
      <c r="A709" t="str">
        <f>"20190305135552554"</f>
        <v>20190305135552554</v>
      </c>
      <c r="B709" t="str">
        <f>"1551765352542196"</f>
        <v>1551765352542196</v>
      </c>
      <c r="C709" t="s">
        <v>40</v>
      </c>
      <c r="D709">
        <v>3.6636190000000002</v>
      </c>
      <c r="E709">
        <v>0.44076460000000001</v>
      </c>
      <c r="F709" t="s">
        <v>49</v>
      </c>
      <c r="G709">
        <v>-158.78319999999999</v>
      </c>
      <c r="H709">
        <v>0.36653140000000001</v>
      </c>
      <c r="I709">
        <v>386.55810000000002</v>
      </c>
      <c r="J709">
        <v>-248.3561</v>
      </c>
      <c r="K709">
        <v>1.1086959999999999</v>
      </c>
      <c r="L709">
        <v>368.16370000000001</v>
      </c>
      <c r="M709">
        <v>0.99983169999999999</v>
      </c>
      <c r="N709">
        <v>-1.5013490000000001E-2</v>
      </c>
      <c r="O709">
        <v>1.055319E-2</v>
      </c>
      <c r="P709">
        <v>0.99798509999999996</v>
      </c>
      <c r="Q709">
        <v>-5.0354830000000003E-2</v>
      </c>
      <c r="R709">
        <v>3.8605630000000002E-2</v>
      </c>
      <c r="S709">
        <v>2.978485</v>
      </c>
      <c r="T709">
        <v>-2.4571180000000001E-2</v>
      </c>
      <c r="U709">
        <v>0.60916139999999996</v>
      </c>
      <c r="V709">
        <v>-2.813674E-2</v>
      </c>
      <c r="W709">
        <v>-3.5307980000000003E-2</v>
      </c>
      <c r="X709">
        <v>0.99898030000000004</v>
      </c>
      <c r="Y709">
        <v>-0.19000349999999999</v>
      </c>
      <c r="Z709">
        <v>2.2874810000000001E-3</v>
      </c>
      <c r="AA709">
        <v>0.98178080000000001</v>
      </c>
      <c r="AB709">
        <v>39</v>
      </c>
      <c r="AC709">
        <v>89.572900000000004</v>
      </c>
      <c r="AD709">
        <v>-0.74216459999999995</v>
      </c>
      <c r="AE709">
        <v>18.394400000000001</v>
      </c>
      <c r="AF709">
        <v>-17.446839883029</v>
      </c>
      <c r="AG709">
        <v>-0.74216459999999995</v>
      </c>
      <c r="AH709">
        <v>89.756139824079597</v>
      </c>
      <c r="AI709">
        <v>90.465045802014004</v>
      </c>
      <c r="AJ709">
        <v>101.000008412846</v>
      </c>
      <c r="AK709">
        <v>91.439092659088004</v>
      </c>
      <c r="AL709">
        <v>92.023418833726197</v>
      </c>
      <c r="AM709">
        <v>91.613335478586393</v>
      </c>
      <c r="AN709">
        <v>0.99999998468879803</v>
      </c>
    </row>
    <row r="710" spans="1:40" x14ac:dyDescent="0.25">
      <c r="A710" t="str">
        <f>"20190305135552577"</f>
        <v>20190305135552577</v>
      </c>
      <c r="B710" t="str">
        <f>"1551765352572453"</f>
        <v>1551765352572453</v>
      </c>
      <c r="C710" t="s">
        <v>40</v>
      </c>
      <c r="D710">
        <v>3.6780810000000002</v>
      </c>
      <c r="E710">
        <v>0.440363</v>
      </c>
      <c r="F710" t="s">
        <v>49</v>
      </c>
      <c r="G710">
        <v>-169.2955</v>
      </c>
      <c r="H710">
        <v>0.44360729999999998</v>
      </c>
      <c r="I710">
        <v>383.94889999999998</v>
      </c>
      <c r="J710">
        <v>-247.97069999999999</v>
      </c>
      <c r="K710">
        <v>1.1086670000000001</v>
      </c>
      <c r="L710">
        <v>368.16699999999997</v>
      </c>
      <c r="M710">
        <v>0.99983949999999999</v>
      </c>
      <c r="N710">
        <v>-1.5009649999999999E-2</v>
      </c>
      <c r="O710">
        <v>9.7801829999999996E-3</v>
      </c>
      <c r="P710">
        <v>0.99815659999999895</v>
      </c>
      <c r="Q710">
        <v>-5.182809E-2</v>
      </c>
      <c r="R710">
        <v>3.1584710000000002E-2</v>
      </c>
      <c r="S710">
        <v>2.9817809999999998</v>
      </c>
      <c r="T710">
        <v>-2.5080559999999998E-2</v>
      </c>
      <c r="U710">
        <v>0.59533689999999995</v>
      </c>
      <c r="V710">
        <v>-2.1891529999999999E-2</v>
      </c>
      <c r="W710">
        <v>-3.6794010000000002E-2</v>
      </c>
      <c r="X710">
        <v>0.99908300000000005</v>
      </c>
      <c r="Y710">
        <v>-0.18617449999999999</v>
      </c>
      <c r="Z710">
        <v>2.2502989999999999E-3</v>
      </c>
      <c r="AA710">
        <v>0.98251409999999995</v>
      </c>
      <c r="AB710">
        <v>39</v>
      </c>
      <c r="AC710">
        <v>78.675199999999904</v>
      </c>
      <c r="AD710">
        <v>-0.66505969999999903</v>
      </c>
      <c r="AE710">
        <v>15.7819</v>
      </c>
      <c r="AF710">
        <v>-15.010569349352499</v>
      </c>
      <c r="AG710">
        <v>-0.66505969999999903</v>
      </c>
      <c r="AH710">
        <v>78.820389194614194</v>
      </c>
      <c r="AI710">
        <v>90.474896329518103</v>
      </c>
      <c r="AJ710">
        <v>100.782307013126</v>
      </c>
      <c r="AK710">
        <v>80.239723637278004</v>
      </c>
      <c r="AL710">
        <v>92.108617568550201</v>
      </c>
      <c r="AM710">
        <v>91.255242654795097</v>
      </c>
      <c r="AN710">
        <v>0.99999993957330802</v>
      </c>
    </row>
    <row r="711" spans="1:40" x14ac:dyDescent="0.25">
      <c r="A711" t="str">
        <f>"20190305135552599"</f>
        <v>20190305135552599</v>
      </c>
      <c r="B711" t="str">
        <f>"1551765352592949"</f>
        <v>1551765352592949</v>
      </c>
      <c r="C711" t="s">
        <v>40</v>
      </c>
      <c r="D711">
        <v>4.2590620000000001</v>
      </c>
      <c r="E711">
        <v>0.44188850000000002</v>
      </c>
      <c r="F711" t="s">
        <v>49</v>
      </c>
      <c r="G711">
        <v>-169.2955</v>
      </c>
      <c r="H711">
        <v>0.4390965</v>
      </c>
      <c r="I711">
        <v>383.39</v>
      </c>
      <c r="J711">
        <v>-247.565</v>
      </c>
      <c r="K711">
        <v>1.108625</v>
      </c>
      <c r="L711">
        <v>368.17009999999999</v>
      </c>
      <c r="M711">
        <v>0.99984779999999995</v>
      </c>
      <c r="N711">
        <v>-1.5005650000000001E-2</v>
      </c>
      <c r="O711">
        <v>8.9012929999999994E-3</v>
      </c>
      <c r="P711">
        <v>0.99831300000000001</v>
      </c>
      <c r="Q711">
        <v>-5.2864460000000002E-2</v>
      </c>
      <c r="R711">
        <v>2.4012680000000002E-2</v>
      </c>
      <c r="S711">
        <v>2.9859619999999998</v>
      </c>
      <c r="T711">
        <v>-2.5408859999999998E-2</v>
      </c>
      <c r="U711">
        <v>0.57775880000000002</v>
      </c>
      <c r="V711">
        <v>-1.520183E-2</v>
      </c>
      <c r="W711">
        <v>-3.7844620000000002E-2</v>
      </c>
      <c r="X711">
        <v>0.99916799999999995</v>
      </c>
      <c r="Y711">
        <v>-0.18120269999999999</v>
      </c>
      <c r="Z711">
        <v>2.193389E-3</v>
      </c>
      <c r="AA711">
        <v>0.98344330000000002</v>
      </c>
      <c r="AB711">
        <v>39</v>
      </c>
      <c r="AC711">
        <v>78.269499999999994</v>
      </c>
      <c r="AD711">
        <v>-0.66952849999999997</v>
      </c>
      <c r="AE711">
        <v>15.2198999999999</v>
      </c>
      <c r="AF711">
        <v>-14.5214948272254</v>
      </c>
      <c r="AG711">
        <v>-0.66952849999999997</v>
      </c>
      <c r="AH711">
        <v>78.396363003827403</v>
      </c>
      <c r="AI711">
        <v>90.481127353227293</v>
      </c>
      <c r="AJ711">
        <v>100.494056013277</v>
      </c>
      <c r="AK711">
        <v>79.732752446264698</v>
      </c>
      <c r="AL711">
        <v>92.168854921315599</v>
      </c>
      <c r="AM711">
        <v>90.871658722659902</v>
      </c>
      <c r="AN711">
        <v>1.0000000015611401</v>
      </c>
    </row>
    <row r="712" spans="1:40" x14ac:dyDescent="0.25">
      <c r="A712" t="str">
        <f>"20190305135552622"</f>
        <v>20190305135552622</v>
      </c>
      <c r="B712" t="str">
        <f>"1551765352612474"</f>
        <v>1551765352612474</v>
      </c>
      <c r="C712" t="s">
        <v>40</v>
      </c>
      <c r="D712">
        <v>3.7980309999999999</v>
      </c>
      <c r="E712">
        <v>0.54998469999999999</v>
      </c>
      <c r="F712" t="s">
        <v>50</v>
      </c>
      <c r="G712">
        <v>-180.2893</v>
      </c>
      <c r="H712">
        <v>0.30294729999999997</v>
      </c>
      <c r="I712">
        <v>380.3777</v>
      </c>
      <c r="J712">
        <v>-247.18549999999999</v>
      </c>
      <c r="K712">
        <v>1.1085739999999999</v>
      </c>
      <c r="L712">
        <v>368.17259999999999</v>
      </c>
      <c r="M712">
        <v>0.99985570000000001</v>
      </c>
      <c r="N712">
        <v>-1.5002120000000001E-2</v>
      </c>
      <c r="O712">
        <v>7.9919840000000006E-3</v>
      </c>
      <c r="P712">
        <v>0.99841829999999998</v>
      </c>
      <c r="Q712">
        <v>-5.3997160000000002E-2</v>
      </c>
      <c r="R712">
        <v>1.5670030000000001E-2</v>
      </c>
      <c r="S712">
        <v>2.9901279999999999</v>
      </c>
      <c r="T712">
        <v>-3.580332E-2</v>
      </c>
      <c r="U712">
        <v>0.54257200000000005</v>
      </c>
      <c r="V712">
        <v>-7.7748579999999999E-3</v>
      </c>
      <c r="W712">
        <v>-3.8994380000000002E-2</v>
      </c>
      <c r="X712">
        <v>0.99920920000000002</v>
      </c>
      <c r="Y712">
        <v>-0.17064170000000001</v>
      </c>
      <c r="Z712">
        <v>2.3279009999999998E-3</v>
      </c>
      <c r="AA712">
        <v>0.98533040000000005</v>
      </c>
      <c r="AB712">
        <v>39</v>
      </c>
      <c r="AC712">
        <v>66.896199999999993</v>
      </c>
      <c r="AD712">
        <v>-0.80562669999999903</v>
      </c>
      <c r="AE712">
        <v>12.2051</v>
      </c>
      <c r="AF712">
        <v>-11.6683789121983</v>
      </c>
      <c r="AG712">
        <v>-0.80562669999999903</v>
      </c>
      <c r="AH712">
        <v>66.982215389581697</v>
      </c>
      <c r="AI712">
        <v>90.6788676272039</v>
      </c>
      <c r="AJ712">
        <v>99.881828801848698</v>
      </c>
      <c r="AK712">
        <v>67.995715154079406</v>
      </c>
      <c r="AL712">
        <v>92.234779956752604</v>
      </c>
      <c r="AM712">
        <v>90.445810106543206</v>
      </c>
      <c r="AN712">
        <v>1.00000001772657</v>
      </c>
    </row>
    <row r="713" spans="1:40" x14ac:dyDescent="0.25">
      <c r="A713" t="str">
        <f>"20190305135552644"</f>
        <v>20190305135552644</v>
      </c>
      <c r="B713" t="str">
        <f>"1551765352632497"</f>
        <v>1551765352632497</v>
      </c>
      <c r="C713" t="s">
        <v>40</v>
      </c>
      <c r="D713">
        <v>3.7918129999999999</v>
      </c>
      <c r="E713">
        <v>0.56408519999999995</v>
      </c>
      <c r="F713" t="s">
        <v>42</v>
      </c>
      <c r="G713">
        <v>-218.49700000000001</v>
      </c>
      <c r="H713" s="1">
        <v>-1.7698570000000001E-6</v>
      </c>
      <c r="I713">
        <v>364.8347</v>
      </c>
      <c r="J713">
        <v>-246.80269999999999</v>
      </c>
      <c r="K713">
        <v>1.108482</v>
      </c>
      <c r="L713">
        <v>368.17469999999997</v>
      </c>
      <c r="M713">
        <v>0.99986339999999996</v>
      </c>
      <c r="N713">
        <v>-1.499895E-2</v>
      </c>
      <c r="O713">
        <v>6.9536210000000001E-3</v>
      </c>
      <c r="P713">
        <v>0.99847949999999996</v>
      </c>
      <c r="Q713">
        <v>-5.4669559999999999E-2</v>
      </c>
      <c r="R713">
        <v>7.0649629999999996E-3</v>
      </c>
      <c r="S713">
        <v>3.0039669999999998</v>
      </c>
      <c r="T713">
        <v>-0.1160785</v>
      </c>
      <c r="U713">
        <v>-0.34951779999999999</v>
      </c>
      <c r="V713">
        <v>-2.1661529999999999E-4</v>
      </c>
      <c r="W713">
        <v>-3.9686489999999998E-2</v>
      </c>
      <c r="X713">
        <v>0.99921210000000005</v>
      </c>
      <c r="Y713">
        <v>0.12235</v>
      </c>
      <c r="Z713">
        <v>-3.4400619999999998E-3</v>
      </c>
      <c r="AA713">
        <v>0.9924811</v>
      </c>
      <c r="AB713">
        <v>39</v>
      </c>
      <c r="AC713">
        <v>28.305699999999899</v>
      </c>
      <c r="AD713">
        <v>-1.108483769857</v>
      </c>
      <c r="AE713">
        <v>-3.3399999999999701</v>
      </c>
      <c r="AF713">
        <v>3.5314270607177898</v>
      </c>
      <c r="AG713">
        <v>-1.108483769857</v>
      </c>
      <c r="AH713">
        <v>28.239075182615998</v>
      </c>
      <c r="AI713">
        <v>92.230552290679796</v>
      </c>
      <c r="AJ713">
        <v>82.871901833773407</v>
      </c>
      <c r="AK713">
        <v>28.4806088509822</v>
      </c>
      <c r="AL713">
        <v>92.274465831844594</v>
      </c>
      <c r="AM713">
        <v>90.012420928723202</v>
      </c>
      <c r="AN713">
        <v>0.99999994259855696</v>
      </c>
    </row>
    <row r="714" spans="1:40" x14ac:dyDescent="0.25">
      <c r="A714" t="str">
        <f>"20190305135552666"</f>
        <v>20190305135552666</v>
      </c>
      <c r="B714" t="str">
        <f>"1551765352662752"</f>
        <v>1551765352662752</v>
      </c>
      <c r="C714" t="s">
        <v>40</v>
      </c>
      <c r="D714">
        <v>3.9597859999999998</v>
      </c>
      <c r="E714">
        <v>0.66038949999999996</v>
      </c>
      <c r="F714" t="s">
        <v>42</v>
      </c>
      <c r="G714">
        <v>-224.68299999999999</v>
      </c>
      <c r="H714" s="1">
        <v>-3.1599399999999999E-6</v>
      </c>
      <c r="I714">
        <v>364.5616</v>
      </c>
      <c r="J714">
        <v>-246.42449999999999</v>
      </c>
      <c r="K714">
        <v>1.108357</v>
      </c>
      <c r="L714">
        <v>368.17619999999999</v>
      </c>
      <c r="M714">
        <v>0.99987099999999995</v>
      </c>
      <c r="N714">
        <v>-1.4996489999999999E-2</v>
      </c>
      <c r="O714">
        <v>5.7692949999999998E-3</v>
      </c>
      <c r="P714">
        <v>0.99837969999999998</v>
      </c>
      <c r="Q714">
        <v>-5.6883110000000001E-2</v>
      </c>
      <c r="R714">
        <v>-1.6176039999999999E-3</v>
      </c>
      <c r="S714">
        <v>2.9998019999999999</v>
      </c>
      <c r="T714">
        <v>-0.1503282</v>
      </c>
      <c r="U714">
        <v>-0.48999019999999999</v>
      </c>
      <c r="V714">
        <v>7.26509099999999E-3</v>
      </c>
      <c r="W714">
        <v>-4.1924639999999999E-2</v>
      </c>
      <c r="X714">
        <v>0.99909440000000005</v>
      </c>
      <c r="Y714">
        <v>0.16662679999999999</v>
      </c>
      <c r="Z714">
        <v>-5.6048879999999997E-3</v>
      </c>
      <c r="AA714">
        <v>0.98600410000000005</v>
      </c>
      <c r="AB714">
        <v>39</v>
      </c>
      <c r="AC714">
        <v>21.741499999999998</v>
      </c>
      <c r="AD714">
        <v>-1.1083601599399999</v>
      </c>
      <c r="AE714">
        <v>-3.61459999999999</v>
      </c>
      <c r="AF714">
        <v>3.7305526393428199</v>
      </c>
      <c r="AG714">
        <v>-1.1083601599399999</v>
      </c>
      <c r="AH714">
        <v>21.66549091964</v>
      </c>
      <c r="AI714">
        <v>92.8861763345366</v>
      </c>
      <c r="AJ714">
        <v>80.230118210649906</v>
      </c>
      <c r="AK714">
        <v>22.012246183160201</v>
      </c>
      <c r="AL714">
        <v>92.402809080898393</v>
      </c>
      <c r="AM714">
        <v>89.583370985334497</v>
      </c>
      <c r="AN714">
        <v>1.0000000385488601</v>
      </c>
    </row>
    <row r="715" spans="1:40" x14ac:dyDescent="0.25">
      <c r="A715" t="str">
        <f>"20190305135552690"</f>
        <v>20190305135552690</v>
      </c>
      <c r="B715" t="str">
        <f>"1551765352682272"</f>
        <v>1551765352682272</v>
      </c>
      <c r="C715" t="s">
        <v>40</v>
      </c>
      <c r="D715">
        <v>3.8830360000000002</v>
      </c>
      <c r="E715">
        <v>0.66404580000000002</v>
      </c>
      <c r="F715" t="s">
        <v>42</v>
      </c>
      <c r="G715">
        <v>-229.21299999999999</v>
      </c>
      <c r="H715" s="1">
        <v>-2.6071680000000002E-6</v>
      </c>
      <c r="I715">
        <v>360.77190000000002</v>
      </c>
      <c r="J715">
        <v>-246.0197</v>
      </c>
      <c r="K715">
        <v>1.1081840000000001</v>
      </c>
      <c r="L715">
        <v>368.17720000000003</v>
      </c>
      <c r="M715">
        <v>0.9998785</v>
      </c>
      <c r="N715">
        <v>-1.499494E-2</v>
      </c>
      <c r="O715">
        <v>4.2964379999999996E-3</v>
      </c>
      <c r="P715">
        <v>0.99819729999999995</v>
      </c>
      <c r="Q715">
        <v>-5.9055280000000002E-2</v>
      </c>
      <c r="R715">
        <v>-1.071513E-2</v>
      </c>
      <c r="S715">
        <v>2.9918209999999998</v>
      </c>
      <c r="T715">
        <v>-0.19266159999999999</v>
      </c>
      <c r="U715">
        <v>-1.287048</v>
      </c>
      <c r="V715">
        <v>1.4867790000000001E-2</v>
      </c>
      <c r="W715">
        <v>-4.412783E-2</v>
      </c>
      <c r="X715">
        <v>0.99891529999999995</v>
      </c>
      <c r="Y715">
        <v>0.39823069999999999</v>
      </c>
      <c r="Z715">
        <v>-1.558612E-2</v>
      </c>
      <c r="AA715">
        <v>0.91715290000000005</v>
      </c>
      <c r="AB715">
        <v>39</v>
      </c>
      <c r="AC715">
        <v>16.806699999999999</v>
      </c>
      <c r="AD715">
        <v>-1.108186607168</v>
      </c>
      <c r="AE715">
        <v>-7.4053000000000102</v>
      </c>
      <c r="AF715">
        <v>7.45032305507993</v>
      </c>
      <c r="AG715">
        <v>-1.108186607168</v>
      </c>
      <c r="AH715">
        <v>16.713871879974299</v>
      </c>
      <c r="AI715">
        <v>93.465558900290205</v>
      </c>
      <c r="AJ715">
        <v>65.974749170032894</v>
      </c>
      <c r="AK715">
        <v>18.3327276857962</v>
      </c>
      <c r="AL715">
        <v>92.529159577728095</v>
      </c>
      <c r="AM715">
        <v>89.147276329317606</v>
      </c>
      <c r="AN715">
        <v>1.00000004656704</v>
      </c>
    </row>
    <row r="716" spans="1:40" x14ac:dyDescent="0.25">
      <c r="A716" t="str">
        <f>"20190305135552711"</f>
        <v>20190305135552711</v>
      </c>
      <c r="B716" t="str">
        <f>"1551765352702771"</f>
        <v>1551765352702771</v>
      </c>
      <c r="C716" t="s">
        <v>40</v>
      </c>
      <c r="D716">
        <v>3.9067280000000002</v>
      </c>
      <c r="E716">
        <v>0.66468359999999904</v>
      </c>
      <c r="F716" t="s">
        <v>42</v>
      </c>
      <c r="G716">
        <v>-230.45480000000001</v>
      </c>
      <c r="H716" s="1">
        <v>-5.578454E-6</v>
      </c>
      <c r="I716">
        <v>361.15280000000001</v>
      </c>
      <c r="J716">
        <v>-245.64949999999999</v>
      </c>
      <c r="K716">
        <v>1.1080030000000001</v>
      </c>
      <c r="L716">
        <v>368.1773</v>
      </c>
      <c r="M716">
        <v>0.99988390000000005</v>
      </c>
      <c r="N716">
        <v>-1.499469E-2</v>
      </c>
      <c r="O716">
        <v>2.714036E-3</v>
      </c>
      <c r="P716">
        <v>0.99798200000000004</v>
      </c>
      <c r="Q716">
        <v>-6.033517E-2</v>
      </c>
      <c r="R716">
        <v>-1.978707E-2</v>
      </c>
      <c r="S716">
        <v>2.9784389999999998</v>
      </c>
      <c r="T716">
        <v>-0.21205889999999999</v>
      </c>
      <c r="U716">
        <v>-1.344147</v>
      </c>
      <c r="V716">
        <v>2.2335529999999999E-2</v>
      </c>
      <c r="W716">
        <v>-4.5443980000000002E-2</v>
      </c>
      <c r="X716">
        <v>0.99871719999999997</v>
      </c>
      <c r="Y716">
        <v>0.41273199999999999</v>
      </c>
      <c r="Z716">
        <v>-1.738431E-2</v>
      </c>
      <c r="AA716">
        <v>0.91068660000000001</v>
      </c>
      <c r="AB716">
        <v>39</v>
      </c>
      <c r="AC716">
        <v>15.1946999999999</v>
      </c>
      <c r="AD716">
        <v>-1.1080085784539999</v>
      </c>
      <c r="AE716">
        <v>-7.0244999999999802</v>
      </c>
      <c r="AF716">
        <v>7.03489712990452</v>
      </c>
      <c r="AG716">
        <v>-1.1080085784539999</v>
      </c>
      <c r="AH716">
        <v>15.109381415430001</v>
      </c>
      <c r="AI716">
        <v>93.803419269403904</v>
      </c>
      <c r="AJ716">
        <v>65.033409281007494</v>
      </c>
      <c r="AK716">
        <v>16.703618392288799</v>
      </c>
      <c r="AL716">
        <v>92.604645182830396</v>
      </c>
      <c r="AM716">
        <v>88.718838215591305</v>
      </c>
      <c r="AN716">
        <v>1.0000000383972201</v>
      </c>
    </row>
    <row r="717" spans="1:40" x14ac:dyDescent="0.25">
      <c r="A717" t="str">
        <f>"20190305135552733"</f>
        <v>20190305135552733</v>
      </c>
      <c r="B717" t="str">
        <f>"1551765352722796"</f>
        <v>1551765352722796</v>
      </c>
      <c r="C717" t="s">
        <v>40</v>
      </c>
      <c r="D717">
        <v>3.9134709999999999</v>
      </c>
      <c r="E717">
        <v>0.66442019999999902</v>
      </c>
      <c r="F717" t="s">
        <v>42</v>
      </c>
      <c r="G717">
        <v>-230.5001</v>
      </c>
      <c r="H717" s="1">
        <v>-5.5601199999999899E-6</v>
      </c>
      <c r="I717">
        <v>361.14670000000001</v>
      </c>
      <c r="J717">
        <v>-245.26910000000001</v>
      </c>
      <c r="K717">
        <v>1.107801</v>
      </c>
      <c r="L717">
        <v>368.17649999999998</v>
      </c>
      <c r="M717">
        <v>0.99988730000000003</v>
      </c>
      <c r="N717">
        <v>-1.499549E-2</v>
      </c>
      <c r="O717">
        <v>8.5618659999999998E-4</v>
      </c>
      <c r="P717">
        <v>0.99770740000000002</v>
      </c>
      <c r="Q717">
        <v>-6.0904220000000002E-2</v>
      </c>
      <c r="R717">
        <v>-2.950827E-2</v>
      </c>
      <c r="S717">
        <v>2.965668</v>
      </c>
      <c r="T717">
        <v>-0.21690429999999999</v>
      </c>
      <c r="U717">
        <v>-1.376312</v>
      </c>
      <c r="V717">
        <v>3.0177929999999999E-2</v>
      </c>
      <c r="W717">
        <v>-4.6058170000000002E-2</v>
      </c>
      <c r="X717">
        <v>0.9984828</v>
      </c>
      <c r="Y717">
        <v>0.42058780000000001</v>
      </c>
      <c r="Z717">
        <v>-1.7973240000000001E-2</v>
      </c>
      <c r="AA717">
        <v>0.90707380000000004</v>
      </c>
      <c r="AB717">
        <v>38</v>
      </c>
      <c r="AC717">
        <v>14.769</v>
      </c>
      <c r="AD717">
        <v>-1.10780656012</v>
      </c>
      <c r="AE717">
        <v>-7.0297999999999599</v>
      </c>
      <c r="AF717">
        <v>7.0102870804247504</v>
      </c>
      <c r="AG717">
        <v>-1.10780656012</v>
      </c>
      <c r="AH717">
        <v>14.6955652813367</v>
      </c>
      <c r="AI717">
        <v>93.892331348234194</v>
      </c>
      <c r="AJ717">
        <v>64.497262139997403</v>
      </c>
      <c r="AK717">
        <v>16.3196507089657</v>
      </c>
      <c r="AL717">
        <v>92.639872712941298</v>
      </c>
      <c r="AM717">
        <v>88.268831647640695</v>
      </c>
      <c r="AN717">
        <v>0.99999998218933595</v>
      </c>
    </row>
    <row r="718" spans="1:40" x14ac:dyDescent="0.25">
      <c r="A718" t="str">
        <f>"20190305135552755"</f>
        <v>20190305135552755</v>
      </c>
      <c r="B718" t="str">
        <f>"1551765352752075"</f>
        <v>1551765352752075</v>
      </c>
      <c r="C718" t="s">
        <v>40</v>
      </c>
      <c r="D718">
        <v>3.9404949999999999</v>
      </c>
      <c r="E718">
        <v>0.6632633</v>
      </c>
      <c r="F718" t="s">
        <v>42</v>
      </c>
      <c r="G718">
        <v>-230.64869999999999</v>
      </c>
      <c r="H718" s="1">
        <v>-5.4822529999999998E-6</v>
      </c>
      <c r="I718">
        <v>361.22629999999998</v>
      </c>
      <c r="J718">
        <v>-244.8818</v>
      </c>
      <c r="K718">
        <v>1.1076090000000001</v>
      </c>
      <c r="L718">
        <v>368.17489999999998</v>
      </c>
      <c r="M718">
        <v>0.99988690000000002</v>
      </c>
      <c r="N718">
        <v>-1.4996819999999999E-2</v>
      </c>
      <c r="O718">
        <v>-1.2446130000000001E-3</v>
      </c>
      <c r="P718">
        <v>0.9973263</v>
      </c>
      <c r="Q718">
        <v>-6.1338230000000001E-2</v>
      </c>
      <c r="R718">
        <v>-3.9724099999999998E-2</v>
      </c>
      <c r="S718">
        <v>2.9517669999999998</v>
      </c>
      <c r="T718">
        <v>-0.2236583</v>
      </c>
      <c r="U718">
        <v>-1.4031979999999999</v>
      </c>
      <c r="V718">
        <v>3.8274290000000002E-2</v>
      </c>
      <c r="W718">
        <v>-4.6546070000000002E-2</v>
      </c>
      <c r="X718">
        <v>0.99818260000000003</v>
      </c>
      <c r="Y718">
        <v>0.42697960000000001</v>
      </c>
      <c r="Z718">
        <v>-1.8631999999999999E-2</v>
      </c>
      <c r="AA718">
        <v>0.90406929999999996</v>
      </c>
      <c r="AB718">
        <v>38</v>
      </c>
      <c r="AC718">
        <v>14.2331</v>
      </c>
      <c r="AD718">
        <v>-1.1076144822530001</v>
      </c>
      <c r="AE718">
        <v>-6.9485999999999901</v>
      </c>
      <c r="AF718">
        <v>6.8971485592892403</v>
      </c>
      <c r="AG718">
        <v>-1.1076144822530001</v>
      </c>
      <c r="AH718">
        <v>14.1724303323803</v>
      </c>
      <c r="AI718">
        <v>94.019733281836494</v>
      </c>
      <c r="AJ718">
        <v>64.049686925838103</v>
      </c>
      <c r="AK718">
        <v>15.8004825754271</v>
      </c>
      <c r="AL718">
        <v>92.667857343277802</v>
      </c>
      <c r="AM718">
        <v>87.804127732313205</v>
      </c>
      <c r="AN718">
        <v>0.99999998042510396</v>
      </c>
    </row>
    <row r="719" spans="1:40" x14ac:dyDescent="0.25">
      <c r="A719" t="str">
        <f>"20190305135552771"</f>
        <v>20190305135552771</v>
      </c>
      <c r="B719" t="str">
        <f>"1551765352762812"</f>
        <v>1551765352762812</v>
      </c>
      <c r="C719" t="s">
        <v>40</v>
      </c>
      <c r="D719">
        <v>3.940661</v>
      </c>
      <c r="E719">
        <v>0.66291129999999998</v>
      </c>
      <c r="F719" t="s">
        <v>42</v>
      </c>
      <c r="G719">
        <v>-229.98259999999999</v>
      </c>
      <c r="H719" s="1">
        <v>-5.8162379999999899E-6</v>
      </c>
      <c r="I719">
        <v>360.95429999999999</v>
      </c>
      <c r="J719">
        <v>-244.61080000000001</v>
      </c>
      <c r="K719">
        <v>1.1074790000000001</v>
      </c>
      <c r="L719">
        <v>368.17309999999998</v>
      </c>
      <c r="M719">
        <v>0.99988359999999998</v>
      </c>
      <c r="N719">
        <v>-1.499757E-2</v>
      </c>
      <c r="O719">
        <v>-2.8227410000000001E-3</v>
      </c>
      <c r="P719">
        <v>0.99705960000000005</v>
      </c>
      <c r="Q719">
        <v>-6.167943E-2</v>
      </c>
      <c r="R719">
        <v>-4.5471070000000002E-2</v>
      </c>
      <c r="S719">
        <v>2.937897</v>
      </c>
      <c r="T719">
        <v>-0.2184044</v>
      </c>
      <c r="U719">
        <v>-1.423767</v>
      </c>
      <c r="V719">
        <v>4.2431339999999998E-2</v>
      </c>
      <c r="W719">
        <v>-4.6921409999999997E-2</v>
      </c>
      <c r="X719">
        <v>0.99799700000000002</v>
      </c>
      <c r="Y719">
        <v>0.43237239999999999</v>
      </c>
      <c r="Z719">
        <v>-1.8466050000000001E-2</v>
      </c>
      <c r="AA719">
        <v>0.90150600000000003</v>
      </c>
      <c r="AB719">
        <v>38</v>
      </c>
      <c r="AC719">
        <v>14.6282</v>
      </c>
      <c r="AD719">
        <v>-1.107484816238</v>
      </c>
      <c r="AE719">
        <v>-7.2187999999999803</v>
      </c>
      <c r="AF719">
        <v>7.1445433728577399</v>
      </c>
      <c r="AG719">
        <v>-1.107484816238</v>
      </c>
      <c r="AH719">
        <v>14.5813106462753</v>
      </c>
      <c r="AI719">
        <v>93.901817321022705</v>
      </c>
      <c r="AJ719">
        <v>63.896092919327998</v>
      </c>
      <c r="AK719">
        <v>16.275307763235201</v>
      </c>
      <c r="AL719">
        <v>92.6893861455208</v>
      </c>
      <c r="AM719">
        <v>87.565450192602697</v>
      </c>
      <c r="AN719">
        <v>1.00000002466979</v>
      </c>
    </row>
    <row r="720" spans="1:40" x14ac:dyDescent="0.25">
      <c r="A720" t="str">
        <f>"20190305135552791"</f>
        <v>20190305135552791</v>
      </c>
      <c r="B720" t="str">
        <f>"1551765352782331"</f>
        <v>1551765352782331</v>
      </c>
      <c r="C720" t="s">
        <v>40</v>
      </c>
      <c r="D720">
        <v>3.8883649999999998</v>
      </c>
      <c r="E720">
        <v>0.66168970000000005</v>
      </c>
      <c r="F720" t="s">
        <v>42</v>
      </c>
      <c r="G720">
        <v>-230.15600000000001</v>
      </c>
      <c r="H720" s="1">
        <v>-5.7197919999999996E-6</v>
      </c>
      <c r="I720">
        <v>361.07859999999999</v>
      </c>
      <c r="J720">
        <v>-244.2841</v>
      </c>
      <c r="K720">
        <v>1.1073249999999999</v>
      </c>
      <c r="L720">
        <v>368.17039999999997</v>
      </c>
      <c r="M720">
        <v>0.99987570000000003</v>
      </c>
      <c r="N720">
        <v>-1.49982E-2</v>
      </c>
      <c r="O720">
        <v>-4.8728959999999998E-3</v>
      </c>
      <c r="P720">
        <v>0.99647459999999999</v>
      </c>
      <c r="Q720">
        <v>-6.2284600000000002E-2</v>
      </c>
      <c r="R720">
        <v>-5.6206390000000002E-2</v>
      </c>
      <c r="S720">
        <v>2.9293979999999999</v>
      </c>
      <c r="T720">
        <v>-0.22444059999999999</v>
      </c>
      <c r="U720">
        <v>-1.4377439999999999</v>
      </c>
      <c r="V720">
        <v>5.110435E-2</v>
      </c>
      <c r="W720">
        <v>-4.759306E-2</v>
      </c>
      <c r="X720">
        <v>0.99755870000000002</v>
      </c>
      <c r="Y720">
        <v>0.43495420000000001</v>
      </c>
      <c r="Z720">
        <v>-1.890358E-2</v>
      </c>
      <c r="AA720">
        <v>0.90025409999999995</v>
      </c>
      <c r="AB720">
        <v>38</v>
      </c>
      <c r="AC720">
        <v>14.1281</v>
      </c>
      <c r="AD720">
        <v>-1.1073307197919999</v>
      </c>
      <c r="AE720">
        <v>-7.0917999999999699</v>
      </c>
      <c r="AF720">
        <v>6.9885721032752901</v>
      </c>
      <c r="AG720">
        <v>-1.1073307197919999</v>
      </c>
      <c r="AH720">
        <v>14.0933412110166</v>
      </c>
      <c r="AI720">
        <v>94.026517468698799</v>
      </c>
      <c r="AJ720">
        <v>63.624217495500297</v>
      </c>
      <c r="AK720">
        <v>15.769863279553499</v>
      </c>
      <c r="AL720">
        <v>92.727911810283501</v>
      </c>
      <c r="AM720">
        <v>87.067334409563799</v>
      </c>
      <c r="AN720">
        <v>1.0000000569473799</v>
      </c>
    </row>
    <row r="721" spans="1:40" x14ac:dyDescent="0.25">
      <c r="A721" t="str">
        <f>"20190305135552812"</f>
        <v>20190305135552812</v>
      </c>
      <c r="B721" t="str">
        <f>"1551765352802838"</f>
        <v>1551765352802838</v>
      </c>
      <c r="C721" t="s">
        <v>40</v>
      </c>
      <c r="D721">
        <v>3.9330980000000002</v>
      </c>
      <c r="E721">
        <v>0.66029349999999998</v>
      </c>
      <c r="F721" t="s">
        <v>42</v>
      </c>
      <c r="G721">
        <v>-230.5333</v>
      </c>
      <c r="H721" s="1">
        <v>-5.5222170000000001E-6</v>
      </c>
      <c r="I721">
        <v>361.2801</v>
      </c>
      <c r="J721">
        <v>-243.90989999999999</v>
      </c>
      <c r="K721">
        <v>1.1071489999999999</v>
      </c>
      <c r="L721">
        <v>368.1662</v>
      </c>
      <c r="M721">
        <v>0.99986010000000003</v>
      </c>
      <c r="N721">
        <v>-1.499901E-2</v>
      </c>
      <c r="O721">
        <v>-7.4070919999999997E-3</v>
      </c>
      <c r="P721">
        <v>0.99569339999999995</v>
      </c>
      <c r="Q721">
        <v>-6.3125650000000005E-2</v>
      </c>
      <c r="R721">
        <v>-6.7898230000000004E-2</v>
      </c>
      <c r="S721">
        <v>2.913605</v>
      </c>
      <c r="T721">
        <v>-0.23462649999999999</v>
      </c>
      <c r="U721">
        <v>-1.4599299999999999</v>
      </c>
      <c r="V721">
        <v>6.0250379999999999E-2</v>
      </c>
      <c r="W721">
        <v>-4.8514000000000002E-2</v>
      </c>
      <c r="X721">
        <v>0.99700370000000005</v>
      </c>
      <c r="Y721">
        <v>0.439967</v>
      </c>
      <c r="Z721">
        <v>-1.9733290000000001E-2</v>
      </c>
      <c r="AA721">
        <v>0.89779709999999902</v>
      </c>
      <c r="AB721">
        <v>38</v>
      </c>
      <c r="AC721">
        <v>13.3765999999999</v>
      </c>
      <c r="AD721">
        <v>-1.1071545222169901</v>
      </c>
      <c r="AE721">
        <v>-6.8860999999999901</v>
      </c>
      <c r="AF721">
        <v>6.7502626614566097</v>
      </c>
      <c r="AG721">
        <v>-1.1071545222169901</v>
      </c>
      <c r="AH721">
        <v>13.354922096774001</v>
      </c>
      <c r="AI721">
        <v>94.231495019662205</v>
      </c>
      <c r="AJ721">
        <v>63.185625121698401</v>
      </c>
      <c r="AK721">
        <v>15.004858591323799</v>
      </c>
      <c r="AL721">
        <v>92.780738839372503</v>
      </c>
      <c r="AM721">
        <v>86.541738640903105</v>
      </c>
      <c r="AN721">
        <v>1.00000004714991</v>
      </c>
    </row>
    <row r="722" spans="1:40" x14ac:dyDescent="0.25">
      <c r="A722" t="str">
        <f>"20190305135552835"</f>
        <v>20190305135552835</v>
      </c>
      <c r="B722" t="str">
        <f>"1551765352832614"</f>
        <v>1551765352832614</v>
      </c>
      <c r="C722" t="s">
        <v>40</v>
      </c>
      <c r="D722">
        <v>3.9093439999999999</v>
      </c>
      <c r="E722">
        <v>0.65838680000000005</v>
      </c>
      <c r="F722" t="s">
        <v>42</v>
      </c>
      <c r="G722">
        <v>-230.83189999999999</v>
      </c>
      <c r="H722" s="1">
        <v>-5.3606549999999996E-6</v>
      </c>
      <c r="I722">
        <v>361.46879999999999</v>
      </c>
      <c r="J722">
        <v>-243.51900000000001</v>
      </c>
      <c r="K722">
        <v>1.1069709999999999</v>
      </c>
      <c r="L722">
        <v>368.16059999999999</v>
      </c>
      <c r="M722">
        <v>0.99983520000000004</v>
      </c>
      <c r="N722">
        <v>-1.500027E-2</v>
      </c>
      <c r="O722">
        <v>-1.023139E-2</v>
      </c>
      <c r="P722">
        <v>0.99465859999999995</v>
      </c>
      <c r="Q722">
        <v>-6.4587339999999993E-2</v>
      </c>
      <c r="R722">
        <v>-8.0515970000000006E-2</v>
      </c>
      <c r="S722">
        <v>2.8962859999999999</v>
      </c>
      <c r="T722">
        <v>-0.2451912</v>
      </c>
      <c r="U722">
        <v>-1.483215</v>
      </c>
      <c r="V722">
        <v>7.0034440000000003E-2</v>
      </c>
      <c r="W722">
        <v>-5.006973E-2</v>
      </c>
      <c r="X722">
        <v>0.99628720000000004</v>
      </c>
      <c r="Y722">
        <v>0.4451736</v>
      </c>
      <c r="Z722">
        <v>-2.0590509999999999E-2</v>
      </c>
      <c r="AA722">
        <v>0.89520750000000004</v>
      </c>
      <c r="AB722">
        <v>38</v>
      </c>
      <c r="AC722">
        <v>12.687099999999999</v>
      </c>
      <c r="AD722">
        <v>-1.1069763606549901</v>
      </c>
      <c r="AE722">
        <v>-6.6917999999999997</v>
      </c>
      <c r="AF722">
        <v>6.5227789368837499</v>
      </c>
      <c r="AG722">
        <v>-1.1069763606549901</v>
      </c>
      <c r="AH722">
        <v>12.6793918599765</v>
      </c>
      <c r="AI722">
        <v>94.439228438976002</v>
      </c>
      <c r="AJ722">
        <v>62.776924465345203</v>
      </c>
      <c r="AK722">
        <v>14.301713871467999</v>
      </c>
      <c r="AL722">
        <v>92.869984248503698</v>
      </c>
      <c r="AM722">
        <v>85.978982887226607</v>
      </c>
      <c r="AN722">
        <v>0.99999999276611296</v>
      </c>
    </row>
    <row r="723" spans="1:40" x14ac:dyDescent="0.25">
      <c r="A723" t="str">
        <f>"20190305135552858"</f>
        <v>20190305135552858</v>
      </c>
      <c r="B723" t="str">
        <f>"1551765352852134"</f>
        <v>1551765352852134</v>
      </c>
      <c r="C723" t="s">
        <v>40</v>
      </c>
      <c r="D723">
        <v>3.953128</v>
      </c>
      <c r="E723">
        <v>0.65691330000000003</v>
      </c>
      <c r="F723" t="s">
        <v>42</v>
      </c>
      <c r="G723">
        <v>-231.1026</v>
      </c>
      <c r="H723" s="1">
        <v>-5.2093189999999997E-6</v>
      </c>
      <c r="I723">
        <v>361.66730000000001</v>
      </c>
      <c r="J723">
        <v>-243.1284</v>
      </c>
      <c r="K723">
        <v>1.106797</v>
      </c>
      <c r="L723">
        <v>368.15379999999999</v>
      </c>
      <c r="M723">
        <v>0.99980029999999998</v>
      </c>
      <c r="N723">
        <v>-1.5001540000000001E-2</v>
      </c>
      <c r="O723">
        <v>-1.321288E-2</v>
      </c>
      <c r="P723">
        <v>0.9932782</v>
      </c>
      <c r="Q723">
        <v>-6.7301070000000005E-2</v>
      </c>
      <c r="R723">
        <v>-9.4177869999999997E-2</v>
      </c>
      <c r="S723">
        <v>2.8776250000000001</v>
      </c>
      <c r="T723">
        <v>-0.2565501</v>
      </c>
      <c r="U723">
        <v>-1.5048520000000001</v>
      </c>
      <c r="V723">
        <v>8.0706239999999999E-2</v>
      </c>
      <c r="W723">
        <v>-5.2894179999999999E-2</v>
      </c>
      <c r="X723">
        <v>0.99533349999999998</v>
      </c>
      <c r="Y723">
        <v>0.45000099999999998</v>
      </c>
      <c r="Z723">
        <v>-2.1485339999999999E-2</v>
      </c>
      <c r="AA723">
        <v>0.89276959999999905</v>
      </c>
      <c r="AB723">
        <v>38</v>
      </c>
      <c r="AC723">
        <v>12.0258</v>
      </c>
      <c r="AD723">
        <v>-1.106802209319</v>
      </c>
      <c r="AE723">
        <v>-6.4864999999999702</v>
      </c>
      <c r="AF723">
        <v>6.2857757097236702</v>
      </c>
      <c r="AG723">
        <v>-1.106802209319</v>
      </c>
      <c r="AH723">
        <v>12.031519194543399</v>
      </c>
      <c r="AI723">
        <v>94.661305318006896</v>
      </c>
      <c r="AJ723">
        <v>62.415525062158999</v>
      </c>
      <c r="AK723">
        <v>13.6195977008196</v>
      </c>
      <c r="AL723">
        <v>93.032028126355598</v>
      </c>
      <c r="AM723">
        <v>85.364335053461204</v>
      </c>
      <c r="AN723">
        <v>1.0000000338375199</v>
      </c>
    </row>
    <row r="724" spans="1:40" x14ac:dyDescent="0.25">
      <c r="A724" t="str">
        <f>"20190305135552881"</f>
        <v>20190305135552881</v>
      </c>
      <c r="B724" t="str">
        <f>"1551765352872630"</f>
        <v>1551765352872630</v>
      </c>
      <c r="C724" t="s">
        <v>40</v>
      </c>
      <c r="D724">
        <v>3.9365519999999998</v>
      </c>
      <c r="E724">
        <v>0.65540719999999997</v>
      </c>
      <c r="F724" t="s">
        <v>42</v>
      </c>
      <c r="G724">
        <v>-231.54849999999999</v>
      </c>
      <c r="H724" s="1">
        <v>-4.9692520000000004E-6</v>
      </c>
      <c r="I724">
        <v>361.94209999999998</v>
      </c>
      <c r="J724">
        <v>-242.72040000000001</v>
      </c>
      <c r="K724">
        <v>1.106614</v>
      </c>
      <c r="L724">
        <v>368.1454</v>
      </c>
      <c r="M724">
        <v>0.99975159999999996</v>
      </c>
      <c r="N724">
        <v>-1.500281E-2</v>
      </c>
      <c r="O724">
        <v>-1.6490169999999998E-2</v>
      </c>
      <c r="P724">
        <v>0.99172400000000005</v>
      </c>
      <c r="Q724">
        <v>-6.8894540000000004E-2</v>
      </c>
      <c r="R724">
        <v>-0.1083389</v>
      </c>
      <c r="S724">
        <v>2.8565369999999999</v>
      </c>
      <c r="T724">
        <v>-0.27302419999999999</v>
      </c>
      <c r="U724">
        <v>-1.5322880000000001</v>
      </c>
      <c r="V724">
        <v>9.1597680000000001E-2</v>
      </c>
      <c r="W724">
        <v>-5.4610359999999997E-2</v>
      </c>
      <c r="X724">
        <v>0.99429749999999995</v>
      </c>
      <c r="Y724">
        <v>0.45622269999999998</v>
      </c>
      <c r="Z724">
        <v>-2.2792960000000001E-2</v>
      </c>
      <c r="AA724">
        <v>0.88957369999999902</v>
      </c>
      <c r="AB724">
        <v>38</v>
      </c>
      <c r="AC724">
        <v>11.171900000000001</v>
      </c>
      <c r="AD724">
        <v>-1.1066189692520001</v>
      </c>
      <c r="AE724">
        <v>-6.2033000000000103</v>
      </c>
      <c r="AF724">
        <v>5.9734116716175096</v>
      </c>
      <c r="AG724">
        <v>-1.1066189692520001</v>
      </c>
      <c r="AH724">
        <v>11.1887756771988</v>
      </c>
      <c r="AI724">
        <v>94.986368335733403</v>
      </c>
      <c r="AJ724">
        <v>61.9033399680402</v>
      </c>
      <c r="AK724">
        <v>12.731651648407601</v>
      </c>
      <c r="AL724">
        <v>93.130500559614902</v>
      </c>
      <c r="AM724">
        <v>84.7365962527048</v>
      </c>
      <c r="AN724">
        <v>0.99999997245348005</v>
      </c>
    </row>
    <row r="725" spans="1:40" x14ac:dyDescent="0.25">
      <c r="A725" t="str">
        <f>"20190305135552904"</f>
        <v>20190305135552904</v>
      </c>
      <c r="B725" t="str">
        <f>"1551765352892153"</f>
        <v>1551765352892153</v>
      </c>
      <c r="C725" t="s">
        <v>40</v>
      </c>
      <c r="D725">
        <v>3.9103840000000001</v>
      </c>
      <c r="E725">
        <v>0.65390159999999997</v>
      </c>
      <c r="F725" t="s">
        <v>42</v>
      </c>
      <c r="G725">
        <v>-231.6103</v>
      </c>
      <c r="H725" s="1">
        <v>-4.9275730000000004E-6</v>
      </c>
      <c r="I725">
        <v>362.02769999999998</v>
      </c>
      <c r="J725">
        <v>-242.3322</v>
      </c>
      <c r="K725">
        <v>1.106447</v>
      </c>
      <c r="L725">
        <v>368.13600000000002</v>
      </c>
      <c r="M725">
        <v>0.99969209999999997</v>
      </c>
      <c r="N725">
        <v>-1.5004089999999999E-2</v>
      </c>
      <c r="O725">
        <v>-1.9763679999999999E-2</v>
      </c>
      <c r="P725">
        <v>0.98987780000000003</v>
      </c>
      <c r="Q725">
        <v>-7.0569729999999997E-2</v>
      </c>
      <c r="R725">
        <v>-0.1231319</v>
      </c>
      <c r="S725">
        <v>2.8348849999999999</v>
      </c>
      <c r="T725">
        <v>-0.28236640000000002</v>
      </c>
      <c r="U725">
        <v>-1.5609740000000001</v>
      </c>
      <c r="V725">
        <v>0.1031374</v>
      </c>
      <c r="W725">
        <v>-5.6422350000000003E-2</v>
      </c>
      <c r="X725">
        <v>0.99306550000000005</v>
      </c>
      <c r="Y725">
        <v>0.46290690000000001</v>
      </c>
      <c r="Z725">
        <v>-2.3641189999999999E-2</v>
      </c>
      <c r="AA725">
        <v>0.88609159999999998</v>
      </c>
      <c r="AB725">
        <v>38</v>
      </c>
      <c r="AC725">
        <v>10.7219</v>
      </c>
      <c r="AD725">
        <v>-1.106451927573</v>
      </c>
      <c r="AE725">
        <v>-6.1082999999999803</v>
      </c>
      <c r="AF725">
        <v>5.8481601107313503</v>
      </c>
      <c r="AG725">
        <v>-1.106451927573</v>
      </c>
      <c r="AH725">
        <v>10.7540799148726</v>
      </c>
      <c r="AI725">
        <v>95.164717093248598</v>
      </c>
      <c r="AJ725">
        <v>61.462276348205997</v>
      </c>
      <c r="AK725">
        <v>12.2912752537825</v>
      </c>
      <c r="AL725">
        <v>93.234480401670893</v>
      </c>
      <c r="AM725">
        <v>84.070655605032101</v>
      </c>
      <c r="AN725">
        <v>0.99999994607426401</v>
      </c>
    </row>
    <row r="726" spans="1:40" x14ac:dyDescent="0.25">
      <c r="A726" t="str">
        <f>"20190305135552924"</f>
        <v>20190305135552924</v>
      </c>
      <c r="B726" t="str">
        <f>"1551765352912646"</f>
        <v>1551765352912646</v>
      </c>
      <c r="C726" t="s">
        <v>40</v>
      </c>
      <c r="D726">
        <v>3.917252</v>
      </c>
      <c r="E726">
        <v>0.65315570000000001</v>
      </c>
      <c r="F726" t="s">
        <v>42</v>
      </c>
      <c r="G726">
        <v>-231.61689999999999</v>
      </c>
      <c r="H726" s="1">
        <v>-4.916506E-6</v>
      </c>
      <c r="I726">
        <v>362.07420000000002</v>
      </c>
      <c r="J726">
        <v>-242.00620000000001</v>
      </c>
      <c r="K726">
        <v>1.1063019999999999</v>
      </c>
      <c r="L726">
        <v>368.12700000000001</v>
      </c>
      <c r="M726">
        <v>0.99963100000000005</v>
      </c>
      <c r="N726">
        <v>-1.5005559999999999E-2</v>
      </c>
      <c r="O726">
        <v>-2.2641430000000001E-2</v>
      </c>
      <c r="P726">
        <v>0.98804340000000002</v>
      </c>
      <c r="Q726">
        <v>-7.2504360000000004E-2</v>
      </c>
      <c r="R726">
        <v>-0.13606299999999999</v>
      </c>
      <c r="S726">
        <v>2.812103</v>
      </c>
      <c r="T726">
        <v>-0.2903713</v>
      </c>
      <c r="U726">
        <v>-1.5908199999999999</v>
      </c>
      <c r="V726">
        <v>0.11321639999999999</v>
      </c>
      <c r="W726">
        <v>-5.8484330000000001E-2</v>
      </c>
      <c r="X726">
        <v>0.99184760000000005</v>
      </c>
      <c r="Y726">
        <v>0.47037659999999998</v>
      </c>
      <c r="Z726">
        <v>-2.4484160000000001E-2</v>
      </c>
      <c r="AA726">
        <v>0.88212599999999997</v>
      </c>
      <c r="AB726">
        <v>38</v>
      </c>
      <c r="AC726">
        <v>10.3893</v>
      </c>
      <c r="AD726">
        <v>-1.106306916506</v>
      </c>
      <c r="AE726">
        <v>-6.0527999999999302</v>
      </c>
      <c r="AF726">
        <v>5.7671699654539701</v>
      </c>
      <c r="AG726">
        <v>-1.106306916506</v>
      </c>
      <c r="AH726">
        <v>10.435353349170301</v>
      </c>
      <c r="AI726">
        <v>95.301180878189697</v>
      </c>
      <c r="AJ726">
        <v>61.072463084063301</v>
      </c>
      <c r="AK726">
        <v>11.9741706988827</v>
      </c>
      <c r="AL726">
        <v>93.352818418476502</v>
      </c>
      <c r="AM726">
        <v>83.488045241810099</v>
      </c>
      <c r="AN726">
        <v>1.0000000158551301</v>
      </c>
    </row>
    <row r="727" spans="1:40" x14ac:dyDescent="0.25">
      <c r="A727" t="str">
        <f>"20190305135552945"</f>
        <v>20190305135552945</v>
      </c>
      <c r="B727" t="str">
        <f>"1551765352942903"</f>
        <v>1551765352942903</v>
      </c>
      <c r="C727" t="s">
        <v>40</v>
      </c>
      <c r="D727">
        <v>4.2265360000000003</v>
      </c>
      <c r="E727">
        <v>0.62573020000000001</v>
      </c>
      <c r="F727" t="s">
        <v>42</v>
      </c>
      <c r="G727">
        <v>-231.5718</v>
      </c>
      <c r="H727" s="1">
        <v>-4.9376629999999998E-6</v>
      </c>
      <c r="I727">
        <v>362.06389999999999</v>
      </c>
      <c r="J727">
        <v>-241.63480000000001</v>
      </c>
      <c r="K727">
        <v>1.106128</v>
      </c>
      <c r="L727">
        <v>368.11540000000002</v>
      </c>
      <c r="M727">
        <v>0.99954770000000004</v>
      </c>
      <c r="N727">
        <v>-1.500771E-2</v>
      </c>
      <c r="O727">
        <v>-2.6062869999999998E-2</v>
      </c>
      <c r="P727">
        <v>0.9853497</v>
      </c>
      <c r="Q727">
        <v>-7.6111940000000003E-2</v>
      </c>
      <c r="R727">
        <v>-0.1526207</v>
      </c>
      <c r="S727">
        <v>2.791245</v>
      </c>
      <c r="T727">
        <v>-0.2959386</v>
      </c>
      <c r="U727">
        <v>-1.6218570000000001</v>
      </c>
      <c r="V727">
        <v>0.1263946</v>
      </c>
      <c r="W727">
        <v>-6.2266219999999997E-2</v>
      </c>
      <c r="X727">
        <v>0.99002389999999996</v>
      </c>
      <c r="Y727">
        <v>0.47741899999999998</v>
      </c>
      <c r="Z727">
        <v>-2.5081200000000001E-2</v>
      </c>
      <c r="AA727">
        <v>0.87831769999999998</v>
      </c>
      <c r="AB727">
        <v>38</v>
      </c>
      <c r="AC727">
        <v>10.063000000000001</v>
      </c>
      <c r="AD727">
        <v>-1.106132937663</v>
      </c>
      <c r="AE727">
        <v>-6.0515000000000301</v>
      </c>
      <c r="AF727">
        <v>5.7362426872660697</v>
      </c>
      <c r="AG727">
        <v>-1.106132937663</v>
      </c>
      <c r="AH727">
        <v>10.127451360923899</v>
      </c>
      <c r="AI727">
        <v>95.428831952770295</v>
      </c>
      <c r="AJ727">
        <v>60.472551920715603</v>
      </c>
      <c r="AK727">
        <v>11.691590195986</v>
      </c>
      <c r="AL727">
        <v>93.569900951863104</v>
      </c>
      <c r="AM727">
        <v>82.724507011058805</v>
      </c>
      <c r="AN727">
        <v>0.99999999981672905</v>
      </c>
    </row>
    <row r="728" spans="1:40" x14ac:dyDescent="0.25">
      <c r="A728" t="str">
        <f>"20190305135552968"</f>
        <v>20190305135552968</v>
      </c>
      <c r="B728" t="str">
        <f>"1551765352962434"</f>
        <v>1551765352962434</v>
      </c>
      <c r="C728" t="s">
        <v>40</v>
      </c>
      <c r="D728">
        <v>4.2817280000000002</v>
      </c>
      <c r="E728">
        <v>0.62349900000000003</v>
      </c>
      <c r="F728" t="s">
        <v>42</v>
      </c>
      <c r="G728">
        <v>-231.1026</v>
      </c>
      <c r="H728" s="1">
        <v>-5.0352560000000004E-6</v>
      </c>
      <c r="I728">
        <v>362.64859999999999</v>
      </c>
      <c r="J728">
        <v>-241.24709999999999</v>
      </c>
      <c r="K728">
        <v>1.105947</v>
      </c>
      <c r="L728">
        <v>368.1019</v>
      </c>
      <c r="M728">
        <v>0.99944290000000002</v>
      </c>
      <c r="N728">
        <v>-1.5010920000000001E-2</v>
      </c>
      <c r="O728">
        <v>-2.9808689999999999E-2</v>
      </c>
      <c r="P728">
        <v>0.98257850000000002</v>
      </c>
      <c r="Q728">
        <v>-7.8504009999999999E-2</v>
      </c>
      <c r="R728">
        <v>-0.1684532</v>
      </c>
      <c r="S728">
        <v>2.7970280000000001</v>
      </c>
      <c r="T728">
        <v>-0.29375220000000002</v>
      </c>
      <c r="U728">
        <v>-1.4517819999999999</v>
      </c>
      <c r="V728">
        <v>0.13854859999999999</v>
      </c>
      <c r="W728">
        <v>-6.4837329999999999E-2</v>
      </c>
      <c r="X728">
        <v>0.98823090000000002</v>
      </c>
      <c r="Y728">
        <v>0.43192570000000002</v>
      </c>
      <c r="Z728">
        <v>-2.2213710000000001E-2</v>
      </c>
      <c r="AA728">
        <v>0.90163559999999998</v>
      </c>
      <c r="AB728">
        <v>38</v>
      </c>
      <c r="AC728">
        <v>10.144499999999899</v>
      </c>
      <c r="AD728">
        <v>-1.1059520352559999</v>
      </c>
      <c r="AE728">
        <v>-5.4533000000000103</v>
      </c>
      <c r="AF728">
        <v>5.1014088547390699</v>
      </c>
      <c r="AG728">
        <v>-1.1059520352559999</v>
      </c>
      <c r="AH728">
        <v>10.208435355712201</v>
      </c>
      <c r="AI728">
        <v>95.535265447706905</v>
      </c>
      <c r="AJ728">
        <v>63.447562032757503</v>
      </c>
      <c r="AK728">
        <v>11.465585664031799</v>
      </c>
      <c r="AL728">
        <v>93.717513311463506</v>
      </c>
      <c r="AM728">
        <v>82.019229063306398</v>
      </c>
      <c r="AN728">
        <v>0.999999952819148</v>
      </c>
    </row>
    <row r="729" spans="1:40" x14ac:dyDescent="0.25">
      <c r="A729" t="str">
        <f>"20190305135552991"</f>
        <v>20190305135552991</v>
      </c>
      <c r="B729" t="str">
        <f>"1551765352982922"</f>
        <v>1551765352982922</v>
      </c>
      <c r="C729" t="s">
        <v>40</v>
      </c>
      <c r="D729">
        <v>3.9493640000000001</v>
      </c>
      <c r="E729">
        <v>0.62225209999999997</v>
      </c>
      <c r="F729" t="s">
        <v>42</v>
      </c>
      <c r="G729">
        <v>-230.27279999999999</v>
      </c>
      <c r="H729" s="1">
        <v>-5.4602709999999999E-6</v>
      </c>
      <c r="I729">
        <v>362.25940000000003</v>
      </c>
      <c r="J729">
        <v>-240.85900000000001</v>
      </c>
      <c r="K729">
        <v>1.1057570000000001</v>
      </c>
      <c r="L729">
        <v>368.08659999999998</v>
      </c>
      <c r="M729">
        <v>0.99931689999999995</v>
      </c>
      <c r="N729">
        <v>-1.501565E-2</v>
      </c>
      <c r="O729">
        <v>-3.3767520000000002E-2</v>
      </c>
      <c r="P729">
        <v>0.97937169999999896</v>
      </c>
      <c r="Q729">
        <v>-7.9392160000000003E-2</v>
      </c>
      <c r="R729">
        <v>-0.18581700000000001</v>
      </c>
      <c r="S729">
        <v>2.7773439999999998</v>
      </c>
      <c r="T729">
        <v>-0.27988760000000001</v>
      </c>
      <c r="U729">
        <v>-1.478577</v>
      </c>
      <c r="V729">
        <v>0.15206159999999999</v>
      </c>
      <c r="W729">
        <v>-6.5933350000000002E-2</v>
      </c>
      <c r="X729">
        <v>0.98616939999999997</v>
      </c>
      <c r="Y729">
        <v>0.43790859999999898</v>
      </c>
      <c r="Z729">
        <v>-2.1446400000000001E-2</v>
      </c>
      <c r="AA729">
        <v>0.89876369999999906</v>
      </c>
      <c r="AB729">
        <v>38</v>
      </c>
      <c r="AC729">
        <v>10.5862</v>
      </c>
      <c r="AD729">
        <v>-1.1057624602709999</v>
      </c>
      <c r="AE729">
        <v>-5.82719999999994</v>
      </c>
      <c r="AF729">
        <v>5.4209742842372997</v>
      </c>
      <c r="AG729">
        <v>-1.1057624602709999</v>
      </c>
      <c r="AH729">
        <v>10.6874637815783</v>
      </c>
      <c r="AI729">
        <v>95.271884074028307</v>
      </c>
      <c r="AJ729">
        <v>63.104628601801899</v>
      </c>
      <c r="AK729">
        <v>12.0345982438739</v>
      </c>
      <c r="AL729">
        <v>93.7804450858644</v>
      </c>
      <c r="AM729">
        <v>81.234358354654006</v>
      </c>
      <c r="AN729">
        <v>1.0000000111665699</v>
      </c>
    </row>
    <row r="730" spans="1:40" x14ac:dyDescent="0.25">
      <c r="A730" t="str">
        <f>"20190305135553013"</f>
        <v>20190305135553013</v>
      </c>
      <c r="B730" t="str">
        <f>"1551765353002438"</f>
        <v>1551765353002438</v>
      </c>
      <c r="C730" t="s">
        <v>40</v>
      </c>
      <c r="D730">
        <v>4.2674560000000001</v>
      </c>
      <c r="E730">
        <v>0.6213436</v>
      </c>
      <c r="F730" t="s">
        <v>42</v>
      </c>
      <c r="G730">
        <v>-230.35159999999999</v>
      </c>
      <c r="H730" s="1">
        <v>-5.4208660000000004E-6</v>
      </c>
      <c r="I730">
        <v>362.29079999999999</v>
      </c>
      <c r="J730">
        <v>-240.49719999999999</v>
      </c>
      <c r="K730">
        <v>1.105577</v>
      </c>
      <c r="L730">
        <v>368.07080000000002</v>
      </c>
      <c r="M730">
        <v>0.99917809999999996</v>
      </c>
      <c r="N730">
        <v>-1.502127E-2</v>
      </c>
      <c r="O730">
        <v>-3.7654750000000001E-2</v>
      </c>
      <c r="P730">
        <v>0.97578659999999995</v>
      </c>
      <c r="Q730">
        <v>-7.9280959999999998E-2</v>
      </c>
      <c r="R730">
        <v>-0.20385110000000001</v>
      </c>
      <c r="S730">
        <v>2.7517239999999998</v>
      </c>
      <c r="T730">
        <v>-0.28958050000000002</v>
      </c>
      <c r="U730">
        <v>-1.517822</v>
      </c>
      <c r="V730">
        <v>0.1663557</v>
      </c>
      <c r="W730">
        <v>-6.6051139999999994E-2</v>
      </c>
      <c r="X730">
        <v>0.98385109999999998</v>
      </c>
      <c r="Y730">
        <v>0.44756489999999999</v>
      </c>
      <c r="Z730">
        <v>-2.2378550000000001E-2</v>
      </c>
      <c r="AA730">
        <v>0.89397139999999997</v>
      </c>
      <c r="AB730">
        <v>38</v>
      </c>
      <c r="AC730">
        <v>10.1456</v>
      </c>
      <c r="AD730">
        <v>-1.1055824208659999</v>
      </c>
      <c r="AE730">
        <v>-5.7800000000000296</v>
      </c>
      <c r="AF730">
        <v>5.3459004929276199</v>
      </c>
      <c r="AG730">
        <v>-1.1055824208659999</v>
      </c>
      <c r="AH730">
        <v>10.264054172747301</v>
      </c>
      <c r="AI730">
        <v>95.457072104190601</v>
      </c>
      <c r="AJ730">
        <v>62.487826369256197</v>
      </c>
      <c r="AK730">
        <v>11.6254794580999</v>
      </c>
      <c r="AL730">
        <v>93.787208819543693</v>
      </c>
      <c r="AM730">
        <v>80.402845446495803</v>
      </c>
      <c r="AN730">
        <v>0.99999997949449904</v>
      </c>
    </row>
    <row r="731" spans="1:40" x14ac:dyDescent="0.25">
      <c r="A731" t="str">
        <f>"20190305135553036"</f>
        <v>20190305135553036</v>
      </c>
      <c r="B731" t="str">
        <f>"1551765353032694"</f>
        <v>1551765353032694</v>
      </c>
      <c r="C731" t="s">
        <v>40</v>
      </c>
      <c r="D731">
        <v>4.1577120000000001</v>
      </c>
      <c r="E731">
        <v>0.6864557</v>
      </c>
      <c r="F731" t="s">
        <v>42</v>
      </c>
      <c r="G731">
        <v>-229.96619999999999</v>
      </c>
      <c r="H731" s="1">
        <v>-5.6309949999999996E-6</v>
      </c>
      <c r="I731">
        <v>362.03829999999999</v>
      </c>
      <c r="J731">
        <v>-240.10759999999999</v>
      </c>
      <c r="K731">
        <v>1.1053820000000001</v>
      </c>
      <c r="L731">
        <v>368.05189999999999</v>
      </c>
      <c r="M731">
        <v>0.99900330000000004</v>
      </c>
      <c r="N731">
        <v>-1.502797E-2</v>
      </c>
      <c r="O731">
        <v>-4.2030280000000003E-2</v>
      </c>
      <c r="P731">
        <v>0.97020949999999995</v>
      </c>
      <c r="Q731">
        <v>-8.0271899999999993E-2</v>
      </c>
      <c r="R731">
        <v>-0.22858239999999999</v>
      </c>
      <c r="S731">
        <v>2.725082</v>
      </c>
      <c r="T731">
        <v>-0.28608699999999998</v>
      </c>
      <c r="U731">
        <v>-1.561005</v>
      </c>
      <c r="V731">
        <v>0.18695210000000001</v>
      </c>
      <c r="W731">
        <v>-6.7369999999999999E-2</v>
      </c>
      <c r="X731">
        <v>0.98005620000000004</v>
      </c>
      <c r="Y731">
        <v>0.4580419</v>
      </c>
      <c r="Z731">
        <v>-2.2494380000000001E-2</v>
      </c>
      <c r="AA731">
        <v>0.88864589999999999</v>
      </c>
      <c r="AB731">
        <v>38</v>
      </c>
      <c r="AC731">
        <v>10.141400000000001</v>
      </c>
      <c r="AD731">
        <v>-1.1053876309949999</v>
      </c>
      <c r="AE731">
        <v>-6.0135999999999896</v>
      </c>
      <c r="AF731">
        <v>5.53335372262943</v>
      </c>
      <c r="AG731">
        <v>-1.1053876309949999</v>
      </c>
      <c r="AH731">
        <v>10.294729653715001</v>
      </c>
      <c r="AI731">
        <v>95.4028487455586</v>
      </c>
      <c r="AJ731">
        <v>61.742244435578698</v>
      </c>
      <c r="AK731">
        <v>11.739733552239199</v>
      </c>
      <c r="AL731">
        <v>93.862942644002899</v>
      </c>
      <c r="AM731">
        <v>79.200204138656105</v>
      </c>
      <c r="AN731">
        <v>0.99999997987642397</v>
      </c>
    </row>
    <row r="732" spans="1:40" x14ac:dyDescent="0.25">
      <c r="A732" t="str">
        <f>"20190305135553069"</f>
        <v>20190305135553069</v>
      </c>
      <c r="B732" t="str">
        <f>"1551765353062957"</f>
        <v>1551765353062957</v>
      </c>
      <c r="C732" t="s">
        <v>40</v>
      </c>
      <c r="D732">
        <v>4.1171170000000004</v>
      </c>
      <c r="E732">
        <v>0.68777200000000005</v>
      </c>
      <c r="F732" t="s">
        <v>51</v>
      </c>
      <c r="G732">
        <v>-157.8382</v>
      </c>
      <c r="H732">
        <v>2.748043</v>
      </c>
      <c r="I732">
        <v>300.62430000000001</v>
      </c>
      <c r="J732">
        <v>-239.53020000000001</v>
      </c>
      <c r="K732">
        <v>1.105105</v>
      </c>
      <c r="L732">
        <v>368.02080000000001</v>
      </c>
      <c r="M732">
        <v>0.99869209999999997</v>
      </c>
      <c r="N732">
        <v>-1.503756E-2</v>
      </c>
      <c r="O732">
        <v>-4.8870190000000001E-2</v>
      </c>
      <c r="P732">
        <v>0.96359430000000001</v>
      </c>
      <c r="Q732">
        <v>-8.1625820000000002E-2</v>
      </c>
      <c r="R732">
        <v>-0.25460529999999998</v>
      </c>
      <c r="S732">
        <v>2.5952760000000001</v>
      </c>
      <c r="T732">
        <v>5.1821829999999999E-2</v>
      </c>
      <c r="U732">
        <v>-2.127075</v>
      </c>
      <c r="V732">
        <v>0.20649770000000001</v>
      </c>
      <c r="W732">
        <v>-6.9105520000000004E-2</v>
      </c>
      <c r="X732">
        <v>0.97600359999999997</v>
      </c>
      <c r="Y732">
        <v>0.59534929999999997</v>
      </c>
      <c r="Z732">
        <v>-1.356271E-3</v>
      </c>
      <c r="AA732">
        <v>0.80346589999999996</v>
      </c>
      <c r="AB732">
        <v>38</v>
      </c>
      <c r="AC732">
        <v>81.691999999999993</v>
      </c>
      <c r="AD732">
        <v>1.642938</v>
      </c>
      <c r="AE732">
        <v>-67.396500000000003</v>
      </c>
      <c r="AF732">
        <v>63.307962071942598</v>
      </c>
      <c r="AG732">
        <v>1.642938</v>
      </c>
      <c r="AH732">
        <v>84.867994392492193</v>
      </c>
      <c r="AI732">
        <v>89.111009835379704</v>
      </c>
      <c r="AJ732">
        <v>53.278606276142497</v>
      </c>
      <c r="AK732">
        <v>105.89227440742999</v>
      </c>
      <c r="AL732">
        <v>93.962613070914202</v>
      </c>
      <c r="AM732">
        <v>78.053833698257705</v>
      </c>
      <c r="AN732">
        <v>0.999999950106358</v>
      </c>
    </row>
    <row r="733" spans="1:40" x14ac:dyDescent="0.25">
      <c r="A733" t="str">
        <f>"20190305135553091"</f>
        <v>20190305135553091</v>
      </c>
      <c r="B733" t="str">
        <f>"1551765353082474"</f>
        <v>1551765353082474</v>
      </c>
      <c r="C733" t="s">
        <v>40</v>
      </c>
      <c r="D733">
        <v>3.951832</v>
      </c>
      <c r="E733">
        <v>0.68777330000000003</v>
      </c>
      <c r="F733" t="s">
        <v>43</v>
      </c>
      <c r="G733">
        <v>-214.04419999999999</v>
      </c>
      <c r="H733">
        <v>-0.05</v>
      </c>
      <c r="I733">
        <v>345.6678</v>
      </c>
      <c r="J733">
        <v>-239.1635</v>
      </c>
      <c r="K733">
        <v>1.10493</v>
      </c>
      <c r="L733">
        <v>367.99849999999998</v>
      </c>
      <c r="M733">
        <v>0.99845530000000005</v>
      </c>
      <c r="N733">
        <v>-1.504459E-2</v>
      </c>
      <c r="O733">
        <v>-5.3487510000000002E-2</v>
      </c>
      <c r="P733">
        <v>0.95930130000000002</v>
      </c>
      <c r="Q733">
        <v>-8.1979140000000006E-2</v>
      </c>
      <c r="R733">
        <v>-0.27022380000000001</v>
      </c>
      <c r="S733">
        <v>2.5197449999999999</v>
      </c>
      <c r="T733">
        <v>-0.1142029</v>
      </c>
      <c r="U733">
        <v>-2.209991</v>
      </c>
      <c r="V733">
        <v>0.21777830000000001</v>
      </c>
      <c r="W733">
        <v>-6.9703189999999998E-2</v>
      </c>
      <c r="X733">
        <v>0.97350610000000004</v>
      </c>
      <c r="Y733">
        <v>0.61769319999999905</v>
      </c>
      <c r="Z733">
        <v>-1.594448E-2</v>
      </c>
      <c r="AA733">
        <v>0.78625749999999905</v>
      </c>
      <c r="AB733">
        <v>38</v>
      </c>
      <c r="AC733">
        <v>25.119299999999999</v>
      </c>
      <c r="AD733">
        <v>-1.15493</v>
      </c>
      <c r="AE733">
        <v>-22.330699999999901</v>
      </c>
      <c r="AF733">
        <v>20.930291844292199</v>
      </c>
      <c r="AG733">
        <v>-1.15493</v>
      </c>
      <c r="AH733">
        <v>26.246890659267301</v>
      </c>
      <c r="AI733">
        <v>91.970378383695007</v>
      </c>
      <c r="AJ733">
        <v>51.429779035790197</v>
      </c>
      <c r="AK733">
        <v>33.590329698764201</v>
      </c>
      <c r="AL733">
        <v>93.996939518252603</v>
      </c>
      <c r="AM733">
        <v>77.390252213072003</v>
      </c>
      <c r="AN733">
        <v>1.0000000246921299</v>
      </c>
    </row>
    <row r="734" spans="1:40" x14ac:dyDescent="0.25">
      <c r="A734" t="str">
        <f>"20190305135553112"</f>
        <v>20190305135553112</v>
      </c>
      <c r="B734" t="str">
        <f>"1551765353102966"</f>
        <v>1551765353102966</v>
      </c>
      <c r="C734" t="s">
        <v>40</v>
      </c>
      <c r="D734">
        <v>3.9590860000000001</v>
      </c>
      <c r="E734">
        <v>0.68678339999999904</v>
      </c>
      <c r="F734" t="s">
        <v>42</v>
      </c>
      <c r="G734">
        <v>-204.1687</v>
      </c>
      <c r="H734">
        <v>7.9986489999999993E-2</v>
      </c>
      <c r="I734">
        <v>336.3442</v>
      </c>
      <c r="J734">
        <v>-238.80369999999999</v>
      </c>
      <c r="K734">
        <v>1.1047640000000001</v>
      </c>
      <c r="L734">
        <v>367.97489999999999</v>
      </c>
      <c r="M734">
        <v>0.99819239999999998</v>
      </c>
      <c r="N734">
        <v>-1.5052609999999999E-2</v>
      </c>
      <c r="O734">
        <v>-5.8184899999999998E-2</v>
      </c>
      <c r="P734">
        <v>0.95500359999999995</v>
      </c>
      <c r="Q734">
        <v>-8.2057450000000004E-2</v>
      </c>
      <c r="R734">
        <v>-0.28501769999999998</v>
      </c>
      <c r="S734">
        <v>2.4872740000000002</v>
      </c>
      <c r="T734">
        <v>-7.2848319999999994E-2</v>
      </c>
      <c r="U734">
        <v>-2.2498469999999999</v>
      </c>
      <c r="V734">
        <v>0.22818820000000001</v>
      </c>
      <c r="W734">
        <v>-7.0018830000000004E-2</v>
      </c>
      <c r="X734">
        <v>0.97109599999999996</v>
      </c>
      <c r="Y734">
        <v>0.62626079999999995</v>
      </c>
      <c r="Z734">
        <v>-1.2532990000000001E-2</v>
      </c>
      <c r="AA734">
        <v>0.77951289999999995</v>
      </c>
      <c r="AB734">
        <v>38</v>
      </c>
      <c r="AC734">
        <v>34.634999999999899</v>
      </c>
      <c r="AD734">
        <v>-1.0247775099999901</v>
      </c>
      <c r="AE734">
        <v>-31.630699999999901</v>
      </c>
      <c r="AF734">
        <v>29.547533681120498</v>
      </c>
      <c r="AG734">
        <v>-1.0247775099999901</v>
      </c>
      <c r="AH734">
        <v>36.3995717810215</v>
      </c>
      <c r="AI734">
        <v>91.252191198879899</v>
      </c>
      <c r="AJ734">
        <v>50.931862813466999</v>
      </c>
      <c r="AK734">
        <v>46.8938774407032</v>
      </c>
      <c r="AL734">
        <v>94.015068887261904</v>
      </c>
      <c r="AM734">
        <v>76.776531294754093</v>
      </c>
      <c r="AN734">
        <v>0.99999996619490295</v>
      </c>
    </row>
    <row r="735" spans="1:40" x14ac:dyDescent="0.25">
      <c r="A735" t="str">
        <f>"20190305135553135"</f>
        <v>20190305135553135</v>
      </c>
      <c r="B735" t="str">
        <f>"1551765353132246"</f>
        <v>1551765353132246</v>
      </c>
      <c r="C735" t="s">
        <v>40</v>
      </c>
      <c r="D735">
        <v>4.015021</v>
      </c>
      <c r="E735">
        <v>0.68408619999999898</v>
      </c>
      <c r="F735" t="s">
        <v>42</v>
      </c>
      <c r="G735">
        <v>-189.01300000000001</v>
      </c>
      <c r="H735" s="1">
        <v>-1.0827090000000001E-6</v>
      </c>
      <c r="I735">
        <v>321.74849999999998</v>
      </c>
      <c r="J735">
        <v>-238.42429999999999</v>
      </c>
      <c r="K735">
        <v>1.1045879999999999</v>
      </c>
      <c r="L735">
        <v>367.94799999999998</v>
      </c>
      <c r="M735">
        <v>0.99787859999999995</v>
      </c>
      <c r="N735">
        <v>-1.50612E-2</v>
      </c>
      <c r="O735">
        <v>-6.3335279999999994E-2</v>
      </c>
      <c r="P735">
        <v>0.95073439999999998</v>
      </c>
      <c r="Q735">
        <v>-8.2245189999999996E-2</v>
      </c>
      <c r="R735">
        <v>-0.298898</v>
      </c>
      <c r="S735">
        <v>2.4561310000000001</v>
      </c>
      <c r="T735">
        <v>-5.4496999999999997E-2</v>
      </c>
      <c r="U735">
        <v>-2.2803040000000001</v>
      </c>
      <c r="V735">
        <v>0.23726829999999999</v>
      </c>
      <c r="W735">
        <v>-7.0439829999999995E-2</v>
      </c>
      <c r="X735">
        <v>0.96888700000000005</v>
      </c>
      <c r="Y735">
        <v>0.63241959999999997</v>
      </c>
      <c r="Z735">
        <v>-1.106533E-2</v>
      </c>
      <c r="AA735">
        <v>0.77454699999999999</v>
      </c>
      <c r="AB735">
        <v>38</v>
      </c>
      <c r="AC735">
        <v>49.411299999999898</v>
      </c>
      <c r="AD735">
        <v>-1.1045890827089999</v>
      </c>
      <c r="AE735">
        <v>-46.1995</v>
      </c>
      <c r="AF735">
        <v>42.965434398016797</v>
      </c>
      <c r="AG735">
        <v>-1.1045890827089999</v>
      </c>
      <c r="AH735">
        <v>52.224539792143297</v>
      </c>
      <c r="AI735">
        <v>90.935758308144798</v>
      </c>
      <c r="AJ735">
        <v>50.555668902997802</v>
      </c>
      <c r="AK735">
        <v>67.636168035697295</v>
      </c>
      <c r="AL735">
        <v>94.039249911206795</v>
      </c>
      <c r="AM735">
        <v>76.239781097911404</v>
      </c>
      <c r="AN735">
        <v>1.0000000173021499</v>
      </c>
    </row>
    <row r="736" spans="1:40" x14ac:dyDescent="0.25">
      <c r="A736" t="str">
        <f>"20190305135553159"</f>
        <v>20190305135553159</v>
      </c>
      <c r="B736" t="str">
        <f>"1551765353152746"</f>
        <v>1551765353152746</v>
      </c>
      <c r="C736" t="s">
        <v>40</v>
      </c>
      <c r="D736">
        <v>2.9352149999999999</v>
      </c>
      <c r="E736">
        <v>0.68246809999999902</v>
      </c>
      <c r="F736" t="s">
        <v>42</v>
      </c>
      <c r="G736">
        <v>-191.64250000000001</v>
      </c>
      <c r="H736" s="1">
        <v>-2.21155E-6</v>
      </c>
      <c r="I736">
        <v>323.72559999999999</v>
      </c>
      <c r="J736">
        <v>-238.0136</v>
      </c>
      <c r="K736">
        <v>1.104401</v>
      </c>
      <c r="L736">
        <v>367.91640000000001</v>
      </c>
      <c r="M736">
        <v>0.99749399999999999</v>
      </c>
      <c r="N736">
        <v>-1.507116E-2</v>
      </c>
      <c r="O736">
        <v>-6.9127369999999994E-2</v>
      </c>
      <c r="P736">
        <v>0.94676260000000001</v>
      </c>
      <c r="Q736">
        <v>-8.208559E-2</v>
      </c>
      <c r="R736">
        <v>-0.31129190000000001</v>
      </c>
      <c r="S736">
        <v>2.4287109999999998</v>
      </c>
      <c r="T736">
        <v>-5.7345630000000002E-2</v>
      </c>
      <c r="U736">
        <v>-2.2958370000000001</v>
      </c>
      <c r="V736">
        <v>0.24425230000000001</v>
      </c>
      <c r="W736">
        <v>-7.0495929999999998E-2</v>
      </c>
      <c r="X736">
        <v>0.9671459</v>
      </c>
      <c r="Y736">
        <v>0.63486640000000005</v>
      </c>
      <c r="Z736">
        <v>-1.137296E-2</v>
      </c>
      <c r="AA736">
        <v>0.77253819999999995</v>
      </c>
      <c r="AB736">
        <v>38</v>
      </c>
      <c r="AC736">
        <v>46.371099999999899</v>
      </c>
      <c r="AD736">
        <v>-1.10440321155</v>
      </c>
      <c r="AE736">
        <v>-44.190800000000003</v>
      </c>
      <c r="AF736">
        <v>40.867040000908602</v>
      </c>
      <c r="AG736">
        <v>-1.10440321155</v>
      </c>
      <c r="AH736">
        <v>49.3006332190674</v>
      </c>
      <c r="AI736">
        <v>90.988052377075903</v>
      </c>
      <c r="AJ736">
        <v>50.343462289268999</v>
      </c>
      <c r="AK736">
        <v>64.045976459810106</v>
      </c>
      <c r="AL736">
        <v>94.0424721754232</v>
      </c>
      <c r="AM736">
        <v>75.826351492722495</v>
      </c>
      <c r="AN736">
        <v>1.0000000270443301</v>
      </c>
    </row>
    <row r="737" spans="1:40" x14ac:dyDescent="0.25">
      <c r="A737" t="str">
        <f>"20190305135553181"</f>
        <v>20190305135553181</v>
      </c>
      <c r="B737" t="str">
        <f>"1551765353172262"</f>
        <v>1551765353172262</v>
      </c>
      <c r="C737" t="s">
        <v>40</v>
      </c>
      <c r="D737">
        <v>4.0460739999999999</v>
      </c>
      <c r="E737">
        <v>0.68076550000000002</v>
      </c>
      <c r="F737" t="s">
        <v>42</v>
      </c>
      <c r="G737">
        <v>-183.10579999999999</v>
      </c>
      <c r="H737" s="1">
        <v>-3.8984599999999998E-6</v>
      </c>
      <c r="I737">
        <v>315.01949999999999</v>
      </c>
      <c r="J737">
        <v>-237.66319999999999</v>
      </c>
      <c r="K737">
        <v>1.1042459999999901</v>
      </c>
      <c r="L737">
        <v>367.88749999999999</v>
      </c>
      <c r="M737">
        <v>0.99712719999999999</v>
      </c>
      <c r="N737">
        <v>-1.507987E-2</v>
      </c>
      <c r="O737">
        <v>-7.4228849999999999E-2</v>
      </c>
      <c r="P737">
        <v>0.94400289999999998</v>
      </c>
      <c r="Q737">
        <v>-8.1787239999999997E-2</v>
      </c>
      <c r="R737">
        <v>-0.31963950000000002</v>
      </c>
      <c r="S737">
        <v>2.4032290000000001</v>
      </c>
      <c r="T737">
        <v>-4.8338060000000002E-2</v>
      </c>
      <c r="U737">
        <v>-2.3152159999999999</v>
      </c>
      <c r="V737">
        <v>0.24781300000000001</v>
      </c>
      <c r="W737">
        <v>-7.0343199999999995E-2</v>
      </c>
      <c r="X737">
        <v>0.96625079999999997</v>
      </c>
      <c r="Y737">
        <v>0.6382601</v>
      </c>
      <c r="Z737">
        <v>-1.067851E-2</v>
      </c>
      <c r="AA737">
        <v>0.76974679999999995</v>
      </c>
      <c r="AB737">
        <v>37</v>
      </c>
      <c r="AC737">
        <v>54.557400000000001</v>
      </c>
      <c r="AD737">
        <v>-1.10424989845999</v>
      </c>
      <c r="AE737">
        <v>-52.868000000000002</v>
      </c>
      <c r="AF737">
        <v>48.6616417892767</v>
      </c>
      <c r="AG737">
        <v>-1.10424989845999</v>
      </c>
      <c r="AH737">
        <v>58.319310473421702</v>
      </c>
      <c r="AI737">
        <v>90.832924182928195</v>
      </c>
      <c r="AJ737">
        <v>50.158374372507403</v>
      </c>
      <c r="AK737">
        <v>75.962600821466694</v>
      </c>
      <c r="AL737">
        <v>94.033699606620104</v>
      </c>
      <c r="AM737">
        <v>75.615468271874306</v>
      </c>
      <c r="AN737">
        <v>1.00000002862793</v>
      </c>
    </row>
    <row r="738" spans="1:40" x14ac:dyDescent="0.25">
      <c r="A738" t="str">
        <f>"20190305135553202"</f>
        <v>20190305135553202</v>
      </c>
      <c r="B738" t="str">
        <f>"1551765353192758"</f>
        <v>1551765353192758</v>
      </c>
      <c r="C738" t="s">
        <v>40</v>
      </c>
      <c r="D738">
        <v>4.0981949999999996</v>
      </c>
      <c r="E738">
        <v>0.67916319999999997</v>
      </c>
      <c r="F738" t="s">
        <v>42</v>
      </c>
      <c r="G738">
        <v>-179.9563</v>
      </c>
      <c r="H738">
        <v>5.1456460000000002E-2</v>
      </c>
      <c r="I738">
        <v>311.7242</v>
      </c>
      <c r="J738">
        <v>-237.2972</v>
      </c>
      <c r="K738">
        <v>1.1040970000000001</v>
      </c>
      <c r="L738">
        <v>367.8553</v>
      </c>
      <c r="M738">
        <v>0.99670539999999996</v>
      </c>
      <c r="N738">
        <v>-1.508846E-2</v>
      </c>
      <c r="O738">
        <v>-7.9691780000000004E-2</v>
      </c>
      <c r="P738">
        <v>0.94193660000000001</v>
      </c>
      <c r="Q738">
        <v>-8.0723320000000001E-2</v>
      </c>
      <c r="R738">
        <v>-0.32594339999999999</v>
      </c>
      <c r="S738">
        <v>2.3874050000000002</v>
      </c>
      <c r="T738">
        <v>-4.3555139999999999E-2</v>
      </c>
      <c r="U738">
        <v>-2.323547</v>
      </c>
      <c r="V738">
        <v>0.24895690000000001</v>
      </c>
      <c r="W738">
        <v>-6.9380890000000001E-2</v>
      </c>
      <c r="X738">
        <v>0.9660263</v>
      </c>
      <c r="Y738">
        <v>0.6379842</v>
      </c>
      <c r="Z738">
        <v>-1.0280310000000001E-2</v>
      </c>
      <c r="AA738">
        <v>0.76998080000000002</v>
      </c>
      <c r="AB738">
        <v>37</v>
      </c>
      <c r="AC738">
        <v>57.340899999999998</v>
      </c>
      <c r="AD738">
        <v>-1.0526405399999901</v>
      </c>
      <c r="AE738">
        <v>-56.131100000000004</v>
      </c>
      <c r="AF738">
        <v>51.373577826691502</v>
      </c>
      <c r="AG738">
        <v>-1.0526405399999901</v>
      </c>
      <c r="AH738">
        <v>61.621580384026203</v>
      </c>
      <c r="AI738">
        <v>90.751716604624903</v>
      </c>
      <c r="AJ738">
        <v>50.1822157812257</v>
      </c>
      <c r="AK738">
        <v>80.234479619715799</v>
      </c>
      <c r="AL738">
        <v>93.978428255914594</v>
      </c>
      <c r="AM738">
        <v>75.548625713788994</v>
      </c>
      <c r="AN738">
        <v>1.00000002912324</v>
      </c>
    </row>
    <row r="739" spans="1:40" x14ac:dyDescent="0.25">
      <c r="A739" t="str">
        <f>"20190305135553224"</f>
        <v>20190305135553224</v>
      </c>
      <c r="B739" t="str">
        <f>"1551765353222038"</f>
        <v>1551765353222038</v>
      </c>
      <c r="C739" t="s">
        <v>40</v>
      </c>
      <c r="D739">
        <v>4.1416089999999999</v>
      </c>
      <c r="E739">
        <v>0.67654959999999997</v>
      </c>
      <c r="F739" t="s">
        <v>42</v>
      </c>
      <c r="G739">
        <v>-179.93119999999999</v>
      </c>
      <c r="H739">
        <v>7.6594800000000005E-2</v>
      </c>
      <c r="I739">
        <v>311.65789999999998</v>
      </c>
      <c r="J739">
        <v>-236.9255</v>
      </c>
      <c r="K739">
        <v>1.103969</v>
      </c>
      <c r="L739">
        <v>367.82049999999998</v>
      </c>
      <c r="M739">
        <v>0.99623669999999998</v>
      </c>
      <c r="N739">
        <v>-1.509572E-2</v>
      </c>
      <c r="O739">
        <v>-8.5350599999999999E-2</v>
      </c>
      <c r="P739">
        <v>0.94042369999999997</v>
      </c>
      <c r="Q739">
        <v>-8.0646910000000002E-2</v>
      </c>
      <c r="R739">
        <v>-0.33030219999999999</v>
      </c>
      <c r="S739">
        <v>2.3758849999999998</v>
      </c>
      <c r="T739">
        <v>-4.2555210000000003E-2</v>
      </c>
      <c r="U739">
        <v>-2.3274840000000001</v>
      </c>
      <c r="V739">
        <v>0.24792449999999999</v>
      </c>
      <c r="W739">
        <v>-6.935877E-2</v>
      </c>
      <c r="X739">
        <v>0.96629330000000002</v>
      </c>
      <c r="Y739">
        <v>0.6361272</v>
      </c>
      <c r="Z739">
        <v>-1.017595E-2</v>
      </c>
      <c r="AA739">
        <v>0.77151709999999996</v>
      </c>
      <c r="AB739">
        <v>37</v>
      </c>
      <c r="AC739">
        <v>56.994300000000003</v>
      </c>
      <c r="AD739">
        <v>-1.0273741999999999</v>
      </c>
      <c r="AE739">
        <v>-56.162599999999998</v>
      </c>
      <c r="AF739">
        <v>51.084141659405297</v>
      </c>
      <c r="AG739">
        <v>-1.0273741999999999</v>
      </c>
      <c r="AH739">
        <v>61.570186523797702</v>
      </c>
      <c r="AI739">
        <v>90.735734687674807</v>
      </c>
      <c r="AJ739">
        <v>50.317859722932702</v>
      </c>
      <c r="AK739">
        <v>80.009580022646404</v>
      </c>
      <c r="AL739">
        <v>93.977158051731195</v>
      </c>
      <c r="AM739">
        <v>75.6098715319051</v>
      </c>
      <c r="AN739">
        <v>0.99999996915052602</v>
      </c>
    </row>
    <row r="740" spans="1:40" x14ac:dyDescent="0.25">
      <c r="A740" t="str">
        <f>"20190305135553250"</f>
        <v>20190305135553250</v>
      </c>
      <c r="B740" t="str">
        <f>"1551765353242536"</f>
        <v>1551765353242536</v>
      </c>
      <c r="C740" t="s">
        <v>40</v>
      </c>
      <c r="D740">
        <v>4.6674899999999999</v>
      </c>
      <c r="E740">
        <v>0.67571599999999998</v>
      </c>
      <c r="F740" t="s">
        <v>42</v>
      </c>
      <c r="G740">
        <v>-179.95779999999999</v>
      </c>
      <c r="H740">
        <v>8.0910210000000003E-3</v>
      </c>
      <c r="I740">
        <v>312.13400000000001</v>
      </c>
      <c r="J740">
        <v>-236.51660000000001</v>
      </c>
      <c r="K740">
        <v>1.103866</v>
      </c>
      <c r="L740">
        <v>367.77969999999999</v>
      </c>
      <c r="M740">
        <v>0.99567680000000003</v>
      </c>
      <c r="N740">
        <v>-1.5101389999999999E-2</v>
      </c>
      <c r="O740">
        <v>-9.1651469999999999E-2</v>
      </c>
      <c r="P740">
        <v>0.93931659999999995</v>
      </c>
      <c r="Q740">
        <v>-8.0330600000000002E-2</v>
      </c>
      <c r="R740">
        <v>-0.33351399999999998</v>
      </c>
      <c r="S740">
        <v>2.371826</v>
      </c>
      <c r="T740">
        <v>-4.5626399999999998E-2</v>
      </c>
      <c r="U740">
        <v>-2.3184809999999998</v>
      </c>
      <c r="V740">
        <v>0.24509990000000001</v>
      </c>
      <c r="W740">
        <v>-6.9051790000000002E-2</v>
      </c>
      <c r="X740">
        <v>0.96703570000000005</v>
      </c>
      <c r="Y740">
        <v>0.63038240000000001</v>
      </c>
      <c r="Z740">
        <v>-1.032286E-2</v>
      </c>
      <c r="AA740">
        <v>0.77621609999999996</v>
      </c>
      <c r="AB740">
        <v>37</v>
      </c>
      <c r="AC740">
        <v>56.558799999999998</v>
      </c>
      <c r="AD740">
        <v>-1.095774979</v>
      </c>
      <c r="AE740">
        <v>-55.645699999999898</v>
      </c>
      <c r="AF740">
        <v>50.2175763910382</v>
      </c>
      <c r="AG740">
        <v>-1.095774979</v>
      </c>
      <c r="AH740">
        <v>61.409576196265597</v>
      </c>
      <c r="AI740">
        <v>90.791388183631597</v>
      </c>
      <c r="AJ740">
        <v>50.725475045812203</v>
      </c>
      <c r="AK740">
        <v>79.335627242742007</v>
      </c>
      <c r="AL740">
        <v>93.959526690318398</v>
      </c>
      <c r="AM740">
        <v>75.777603555095894</v>
      </c>
      <c r="AN740">
        <v>1.00000007787834</v>
      </c>
    </row>
    <row r="741" spans="1:40" x14ac:dyDescent="0.25">
      <c r="A741" t="str">
        <f>"20190305135553271"</f>
        <v>20190305135553271</v>
      </c>
      <c r="B741" t="str">
        <f>"1551765353262055"</f>
        <v>1551765353262055</v>
      </c>
      <c r="C741" t="s">
        <v>40</v>
      </c>
      <c r="D741">
        <v>3.983136</v>
      </c>
      <c r="E741">
        <v>0.61602990000000002</v>
      </c>
      <c r="F741" t="s">
        <v>42</v>
      </c>
      <c r="G741">
        <v>-179.9572</v>
      </c>
      <c r="H741">
        <v>5.0601849999999997E-2</v>
      </c>
      <c r="I741">
        <v>312.31079999999997</v>
      </c>
      <c r="J741">
        <v>-236.1454</v>
      </c>
      <c r="K741">
        <v>1.103826</v>
      </c>
      <c r="L741">
        <v>367.74020000000002</v>
      </c>
      <c r="M741">
        <v>0.99513289999999999</v>
      </c>
      <c r="N741">
        <v>-1.510339E-2</v>
      </c>
      <c r="O741">
        <v>-9.7378980000000004E-2</v>
      </c>
      <c r="P741">
        <v>0.93893910000000003</v>
      </c>
      <c r="Q741">
        <v>-8.0096260000000002E-2</v>
      </c>
      <c r="R741">
        <v>-0.33463130000000002</v>
      </c>
      <c r="S741">
        <v>2.3661500000000002</v>
      </c>
      <c r="T741">
        <v>-4.406297E-2</v>
      </c>
      <c r="U741">
        <v>-2.3205260000000001</v>
      </c>
      <c r="V741">
        <v>0.24068310000000001</v>
      </c>
      <c r="W741">
        <v>-6.8765030000000005E-2</v>
      </c>
      <c r="X741">
        <v>0.96816469999999999</v>
      </c>
      <c r="Y741">
        <v>0.62718949999999996</v>
      </c>
      <c r="Z741">
        <v>-1.014266E-2</v>
      </c>
      <c r="AA741">
        <v>0.77880070000000001</v>
      </c>
      <c r="AB741">
        <v>37</v>
      </c>
      <c r="AC741">
        <v>56.188200000000002</v>
      </c>
      <c r="AD741">
        <v>-1.0532241499999999</v>
      </c>
      <c r="AE741">
        <v>-55.429400000000001</v>
      </c>
      <c r="AF741">
        <v>49.684884240461301</v>
      </c>
      <c r="AG741">
        <v>-1.0532241499999999</v>
      </c>
      <c r="AH741">
        <v>61.308453836594303</v>
      </c>
      <c r="AI741">
        <v>90.764658050864099</v>
      </c>
      <c r="AJ741">
        <v>50.978401913454803</v>
      </c>
      <c r="AK741">
        <v>78.920361852515697</v>
      </c>
      <c r="AL741">
        <v>93.943057969838506</v>
      </c>
      <c r="AM741">
        <v>76.039424368510197</v>
      </c>
      <c r="AN741">
        <v>0.99999993515129804</v>
      </c>
    </row>
    <row r="742" spans="1:40" x14ac:dyDescent="0.25">
      <c r="A742" t="str">
        <f>"20190305135553292"</f>
        <v>20190305135553292</v>
      </c>
      <c r="B742" t="str">
        <f>"1551765353282554"</f>
        <v>1551765353282554</v>
      </c>
      <c r="C742" t="s">
        <v>40</v>
      </c>
      <c r="D742">
        <v>4.2980589999999896</v>
      </c>
      <c r="E742">
        <v>0.52171809999999996</v>
      </c>
      <c r="F742" t="s">
        <v>43</v>
      </c>
      <c r="G742">
        <v>-210.7003</v>
      </c>
      <c r="H742">
        <v>-0.05</v>
      </c>
      <c r="I742">
        <v>348.78160000000003</v>
      </c>
      <c r="J742">
        <v>-235.79949999999999</v>
      </c>
      <c r="K742">
        <v>1.1038330000000001</v>
      </c>
      <c r="L742">
        <v>367.70150000000001</v>
      </c>
      <c r="M742">
        <v>0.99460360000000003</v>
      </c>
      <c r="N742">
        <v>-1.5101740000000001E-2</v>
      </c>
      <c r="O742">
        <v>-0.1026436</v>
      </c>
      <c r="P742">
        <v>0.93923860000000003</v>
      </c>
      <c r="Q742">
        <v>-8.0099450000000003E-2</v>
      </c>
      <c r="R742">
        <v>-0.33378950000000002</v>
      </c>
      <c r="S742">
        <v>2.5169980000000001</v>
      </c>
      <c r="T742">
        <v>-0.114135</v>
      </c>
      <c r="U742">
        <v>-1.8753660000000001</v>
      </c>
      <c r="V742">
        <v>0.2346964</v>
      </c>
      <c r="W742">
        <v>-6.8660239999999997E-2</v>
      </c>
      <c r="X742">
        <v>0.96964090000000003</v>
      </c>
      <c r="Y742">
        <v>0.51153269999999995</v>
      </c>
      <c r="Z742">
        <v>-1.19034E-2</v>
      </c>
      <c r="AA742">
        <v>0.85918130000000004</v>
      </c>
      <c r="AB742">
        <v>37</v>
      </c>
      <c r="AC742">
        <v>25.0992</v>
      </c>
      <c r="AD742">
        <v>-1.1538329999999899</v>
      </c>
      <c r="AE742">
        <v>-18.919899999999899</v>
      </c>
      <c r="AF742">
        <v>16.221520013356699</v>
      </c>
      <c r="AG742">
        <v>-1.1538329999999899</v>
      </c>
      <c r="AH742">
        <v>26.872615364757401</v>
      </c>
      <c r="AI742">
        <v>92.105190122965993</v>
      </c>
      <c r="AJ742">
        <v>58.882929088019502</v>
      </c>
      <c r="AK742">
        <v>31.4102928779376</v>
      </c>
      <c r="AL742">
        <v>93.937039260402301</v>
      </c>
      <c r="AM742">
        <v>76.393548304642096</v>
      </c>
      <c r="AN742">
        <v>1.0000000518413099</v>
      </c>
    </row>
    <row r="743" spans="1:40" x14ac:dyDescent="0.25">
      <c r="A743" t="str">
        <f>"20190305135553314"</f>
        <v>20190305135553314</v>
      </c>
      <c r="B743" t="str">
        <f>"1551765353312807"</f>
        <v>1551765353312807</v>
      </c>
      <c r="C743" t="s">
        <v>40</v>
      </c>
      <c r="D743">
        <v>4.1504719999999997</v>
      </c>
      <c r="E743">
        <v>0.51447270000000001</v>
      </c>
      <c r="F743" t="s">
        <v>42</v>
      </c>
      <c r="G743">
        <v>-212.89019999999999</v>
      </c>
      <c r="H743">
        <v>7.9986059999999998E-2</v>
      </c>
      <c r="I743">
        <v>358.07240000000002</v>
      </c>
      <c r="J743">
        <v>-235.43340000000001</v>
      </c>
      <c r="K743">
        <v>1.1038829999999999</v>
      </c>
      <c r="L743">
        <v>367.65870000000001</v>
      </c>
      <c r="M743">
        <v>0.99402310000000005</v>
      </c>
      <c r="N743">
        <v>-1.5096099999999999E-2</v>
      </c>
      <c r="O743">
        <v>-0.10812190000000001</v>
      </c>
      <c r="P743">
        <v>0.93956910000000005</v>
      </c>
      <c r="Q743">
        <v>-8.1567000000000001E-2</v>
      </c>
      <c r="R743">
        <v>-0.33250079999999999</v>
      </c>
      <c r="S743">
        <v>2.7697910000000001</v>
      </c>
      <c r="T743">
        <v>-0.1237853</v>
      </c>
      <c r="U743">
        <v>-1.164185</v>
      </c>
      <c r="V743">
        <v>0.2280297</v>
      </c>
      <c r="W743">
        <v>-6.9991559999999994E-2</v>
      </c>
      <c r="X743">
        <v>0.97113530000000003</v>
      </c>
      <c r="Y743">
        <v>0.28522690000000001</v>
      </c>
      <c r="Z743">
        <v>-5.328943E-3</v>
      </c>
      <c r="AA743">
        <v>0.9584452</v>
      </c>
      <c r="AB743">
        <v>37</v>
      </c>
      <c r="AC743">
        <v>22.543199999999999</v>
      </c>
      <c r="AD743">
        <v>-1.02389694</v>
      </c>
      <c r="AE743">
        <v>-9.5862999999999907</v>
      </c>
      <c r="AF743">
        <v>7.0800288150540096</v>
      </c>
      <c r="AG743">
        <v>-1.02389694</v>
      </c>
      <c r="AH743">
        <v>23.406728898831101</v>
      </c>
      <c r="AI743">
        <v>92.397585192427897</v>
      </c>
      <c r="AJ743">
        <v>73.170570307199</v>
      </c>
      <c r="AK743">
        <v>24.475500622236801</v>
      </c>
      <c r="AL743">
        <v>94.013502184428404</v>
      </c>
      <c r="AM743">
        <v>76.785909966493705</v>
      </c>
      <c r="AN743">
        <v>1.0000000667297</v>
      </c>
    </row>
    <row r="744" spans="1:40" x14ac:dyDescent="0.25">
      <c r="A744" t="str">
        <f>"20190305135553338"</f>
        <v>20190305135553338</v>
      </c>
      <c r="B744" t="str">
        <f>"1551765353332327"</f>
        <v>1551765353332327</v>
      </c>
      <c r="C744" t="s">
        <v>40</v>
      </c>
      <c r="D744">
        <v>4.1391019999999896</v>
      </c>
      <c r="E744">
        <v>0.51496430000000004</v>
      </c>
      <c r="F744" t="s">
        <v>42</v>
      </c>
      <c r="G744">
        <v>-215.1601</v>
      </c>
      <c r="H744">
        <v>4.042246E-2</v>
      </c>
      <c r="I744">
        <v>359.61649999999997</v>
      </c>
      <c r="J744">
        <v>-235.048</v>
      </c>
      <c r="K744">
        <v>1.1039669999999999</v>
      </c>
      <c r="L744">
        <v>367.61160000000001</v>
      </c>
      <c r="M744">
        <v>0.99339909999999998</v>
      </c>
      <c r="N744">
        <v>-1.5087430000000001E-2</v>
      </c>
      <c r="O744">
        <v>-0.1137126</v>
      </c>
      <c r="P744">
        <v>0.940334</v>
      </c>
      <c r="Q744">
        <v>-8.5141869999999995E-2</v>
      </c>
      <c r="R744">
        <v>-0.32942830000000001</v>
      </c>
      <c r="S744">
        <v>2.7887420000000001</v>
      </c>
      <c r="T744">
        <v>-0.14628640000000001</v>
      </c>
      <c r="U744">
        <v>-1.1062620000000001</v>
      </c>
      <c r="V744">
        <v>0.21940029999999999</v>
      </c>
      <c r="W744">
        <v>-7.3378380000000007E-2</v>
      </c>
      <c r="X744">
        <v>0.97287159999999995</v>
      </c>
      <c r="Y744">
        <v>0.26029239999999998</v>
      </c>
      <c r="Z744">
        <v>-4.5720159999999999E-3</v>
      </c>
      <c r="AA744">
        <v>0.96551900000000002</v>
      </c>
      <c r="AB744">
        <v>37</v>
      </c>
      <c r="AC744">
        <v>19.887899999999998</v>
      </c>
      <c r="AD744">
        <v>-1.0635445400000001</v>
      </c>
      <c r="AE744">
        <v>-7.9951000000000301</v>
      </c>
      <c r="AF744">
        <v>5.66751418706788</v>
      </c>
      <c r="AG744">
        <v>-1.0635445400000001</v>
      </c>
      <c r="AH744">
        <v>20.617360312521601</v>
      </c>
      <c r="AI744">
        <v>92.847535889127997</v>
      </c>
      <c r="AJ744">
        <v>74.6295876353349</v>
      </c>
      <c r="AK744">
        <v>21.408582164765601</v>
      </c>
      <c r="AL744">
        <v>94.208053496619996</v>
      </c>
      <c r="AM744">
        <v>77.291356949852201</v>
      </c>
      <c r="AN744">
        <v>1.00000001418903</v>
      </c>
    </row>
    <row r="745" spans="1:40" x14ac:dyDescent="0.25">
      <c r="A745" t="str">
        <f>"20190305135553360"</f>
        <v>20190305135553360</v>
      </c>
      <c r="B745" t="str">
        <f>"1551765353352826"</f>
        <v>1551765353352826</v>
      </c>
      <c r="C745" t="s">
        <v>40</v>
      </c>
      <c r="D745">
        <v>4.1013409999999997</v>
      </c>
      <c r="E745">
        <v>0.51594589999999996</v>
      </c>
      <c r="F745" t="s">
        <v>42</v>
      </c>
      <c r="G745">
        <v>-216.51349999999999</v>
      </c>
      <c r="H745" s="1">
        <v>-3.6519850000000002E-6</v>
      </c>
      <c r="I745">
        <v>360.29790000000003</v>
      </c>
      <c r="J745">
        <v>-234.6782</v>
      </c>
      <c r="K745">
        <v>1.1041069999999999</v>
      </c>
      <c r="L745">
        <v>367.56450000000001</v>
      </c>
      <c r="M745">
        <v>0.99280040000000003</v>
      </c>
      <c r="N745">
        <v>-1.5076539999999999E-2</v>
      </c>
      <c r="O745">
        <v>-0.1188285</v>
      </c>
      <c r="P745">
        <v>0.9411235</v>
      </c>
      <c r="Q745">
        <v>-8.7946330000000003E-2</v>
      </c>
      <c r="R745">
        <v>-0.32642310000000002</v>
      </c>
      <c r="S745">
        <v>2.7896730000000001</v>
      </c>
      <c r="T745">
        <v>-0.16616049999999999</v>
      </c>
      <c r="U745">
        <v>-1.1008</v>
      </c>
      <c r="V745">
        <v>0.21130640000000001</v>
      </c>
      <c r="W745">
        <v>-7.5983350000000005E-2</v>
      </c>
      <c r="X745">
        <v>0.97446200000000005</v>
      </c>
      <c r="Y745">
        <v>0.25351109999999999</v>
      </c>
      <c r="Z745">
        <v>-4.226545E-3</v>
      </c>
      <c r="AA745">
        <v>0.96732320000000005</v>
      </c>
      <c r="AB745">
        <v>37</v>
      </c>
      <c r="AC745">
        <v>18.1647</v>
      </c>
      <c r="AD745">
        <v>-1.1041106519849999</v>
      </c>
      <c r="AE745">
        <v>-7.26659999999998</v>
      </c>
      <c r="AF745">
        <v>5.0403206204942501</v>
      </c>
      <c r="AG745">
        <v>-1.1041106519849999</v>
      </c>
      <c r="AH745">
        <v>18.839544782190298</v>
      </c>
      <c r="AI745">
        <v>93.240333456422803</v>
      </c>
      <c r="AJ745">
        <v>75.021908478959006</v>
      </c>
      <c r="AK745">
        <v>19.533364786676099</v>
      </c>
      <c r="AL745">
        <v>94.357725230028507</v>
      </c>
      <c r="AM745">
        <v>77.765163716862602</v>
      </c>
      <c r="AN745">
        <v>1.00000002680109</v>
      </c>
    </row>
    <row r="746" spans="1:40" x14ac:dyDescent="0.25">
      <c r="A746" t="str">
        <f>"20190305135553382"</f>
        <v>20190305135553382</v>
      </c>
      <c r="B746" t="str">
        <f>"1551765353372342"</f>
        <v>1551765353372342</v>
      </c>
      <c r="C746" t="s">
        <v>40</v>
      </c>
      <c r="D746">
        <v>4.1642219999999996</v>
      </c>
      <c r="E746">
        <v>0.51661820000000003</v>
      </c>
      <c r="F746" t="s">
        <v>42</v>
      </c>
      <c r="G746">
        <v>-217.6498</v>
      </c>
      <c r="H746" s="1">
        <v>-3.1176049999999999E-6</v>
      </c>
      <c r="I746">
        <v>360.85289999999998</v>
      </c>
      <c r="J746">
        <v>-234.3261</v>
      </c>
      <c r="K746">
        <v>1.104306</v>
      </c>
      <c r="L746">
        <v>367.5181</v>
      </c>
      <c r="M746">
        <v>0.9922453</v>
      </c>
      <c r="N746">
        <v>-1.506265E-2</v>
      </c>
      <c r="O746">
        <v>-0.12337910000000001</v>
      </c>
      <c r="P746">
        <v>0.94181760000000003</v>
      </c>
      <c r="Q746">
        <v>-9.0465950000000003E-2</v>
      </c>
      <c r="R746">
        <v>-0.32372139999999999</v>
      </c>
      <c r="S746">
        <v>2.789444</v>
      </c>
      <c r="T746">
        <v>-0.18086469999999999</v>
      </c>
      <c r="U746">
        <v>-1.099426</v>
      </c>
      <c r="V746">
        <v>0.2040844</v>
      </c>
      <c r="W746">
        <v>-7.8296550000000006E-2</v>
      </c>
      <c r="X746">
        <v>0.97581719999999905</v>
      </c>
      <c r="Y746">
        <v>0.24864849999999999</v>
      </c>
      <c r="Z746">
        <v>-3.8658939999999999E-3</v>
      </c>
      <c r="AA746">
        <v>0.96858610000000001</v>
      </c>
      <c r="AB746">
        <v>37</v>
      </c>
      <c r="AC746">
        <v>16.676299999999902</v>
      </c>
      <c r="AD746">
        <v>-1.1043091176049999</v>
      </c>
      <c r="AE746">
        <v>-6.66520000000002</v>
      </c>
      <c r="AF746">
        <v>4.5393595460407097</v>
      </c>
      <c r="AG746">
        <v>-1.1043091176049999</v>
      </c>
      <c r="AH746">
        <v>17.305861843764799</v>
      </c>
      <c r="AI746">
        <v>93.532000575109905</v>
      </c>
      <c r="AJ746">
        <v>75.302318000144396</v>
      </c>
      <c r="AK746">
        <v>17.925349030658499</v>
      </c>
      <c r="AL746">
        <v>94.490658077766895</v>
      </c>
      <c r="AM746">
        <v>78.187310193049299</v>
      </c>
      <c r="AN746">
        <v>0.999999999940551</v>
      </c>
    </row>
    <row r="747" spans="1:40" x14ac:dyDescent="0.25">
      <c r="A747" t="str">
        <f>"20190305135553403"</f>
        <v>20190305135553403</v>
      </c>
      <c r="B747" t="str">
        <f>"1551765353392838"</f>
        <v>1551765353392838</v>
      </c>
      <c r="C747" t="s">
        <v>40</v>
      </c>
      <c r="D747">
        <v>4.1335739999999896</v>
      </c>
      <c r="E747">
        <v>0.5180688</v>
      </c>
      <c r="F747" t="s">
        <v>42</v>
      </c>
      <c r="G747">
        <v>-218.16200000000001</v>
      </c>
      <c r="H747" s="1">
        <v>-2.860111E-6</v>
      </c>
      <c r="I747">
        <v>361.16559999999998</v>
      </c>
      <c r="J747">
        <v>-233.959</v>
      </c>
      <c r="K747">
        <v>1.104603</v>
      </c>
      <c r="L747">
        <v>367.46839999999997</v>
      </c>
      <c r="M747">
        <v>0.991699</v>
      </c>
      <c r="N747">
        <v>-1.5044149999999999E-2</v>
      </c>
      <c r="O747">
        <v>-0.12769829999999999</v>
      </c>
      <c r="P747">
        <v>0.94248310000000002</v>
      </c>
      <c r="Q747">
        <v>-9.2784450000000004E-2</v>
      </c>
      <c r="R747">
        <v>-0.32111790000000001</v>
      </c>
      <c r="S747">
        <v>2.790146</v>
      </c>
      <c r="T747">
        <v>-0.19061790000000001</v>
      </c>
      <c r="U747">
        <v>-1.096527</v>
      </c>
      <c r="V747">
        <v>0.1972044</v>
      </c>
      <c r="W747">
        <v>-8.0381320000000006E-2</v>
      </c>
      <c r="X747">
        <v>0.97706159999999997</v>
      </c>
      <c r="Y747">
        <v>0.24345510000000001</v>
      </c>
      <c r="Z747">
        <v>-3.440785E-3</v>
      </c>
      <c r="AA747">
        <v>0.96990600000000005</v>
      </c>
      <c r="AB747">
        <v>37</v>
      </c>
      <c r="AC747">
        <v>15.796999999999899</v>
      </c>
      <c r="AD747">
        <v>-1.104605860111</v>
      </c>
      <c r="AE747">
        <v>-6.3027999999999897</v>
      </c>
      <c r="AF747">
        <v>4.2159264111471302</v>
      </c>
      <c r="AG747">
        <v>-1.104605860111</v>
      </c>
      <c r="AH747">
        <v>16.403399242684799</v>
      </c>
      <c r="AI747">
        <v>93.731567218185802</v>
      </c>
      <c r="AJ747">
        <v>75.586076278166203</v>
      </c>
      <c r="AK747">
        <v>16.972498234653401</v>
      </c>
      <c r="AL747">
        <v>94.610484114457293</v>
      </c>
      <c r="AM747">
        <v>78.589055953267405</v>
      </c>
      <c r="AN747">
        <v>1.00000005108943</v>
      </c>
    </row>
    <row r="748" spans="1:40" x14ac:dyDescent="0.25">
      <c r="A748" t="str">
        <f>"20190305135553426"</f>
        <v>20190305135553426</v>
      </c>
      <c r="B748" t="str">
        <f>"1551765353422119"</f>
        <v>1551765353422119</v>
      </c>
      <c r="C748" t="s">
        <v>40</v>
      </c>
      <c r="D748">
        <v>4.1786110000000001</v>
      </c>
      <c r="E748">
        <v>0.51979409999999904</v>
      </c>
      <c r="F748" t="s">
        <v>42</v>
      </c>
      <c r="G748">
        <v>-218.20959999999999</v>
      </c>
      <c r="H748" s="1">
        <v>-2.8192550000000001E-6</v>
      </c>
      <c r="I748">
        <v>361.25819999999999</v>
      </c>
      <c r="J748">
        <v>-233.58090000000001</v>
      </c>
      <c r="K748">
        <v>1.1050009999999999</v>
      </c>
      <c r="L748">
        <v>367.41609999999997</v>
      </c>
      <c r="M748">
        <v>0.99118799999999996</v>
      </c>
      <c r="N748">
        <v>-1.502236E-2</v>
      </c>
      <c r="O748">
        <v>-0.1316071</v>
      </c>
      <c r="P748">
        <v>0.94352789999999997</v>
      </c>
      <c r="Q748">
        <v>-9.554145E-2</v>
      </c>
      <c r="R748">
        <v>-0.31721719999999998</v>
      </c>
      <c r="S748">
        <v>2.7891240000000002</v>
      </c>
      <c r="T748">
        <v>-0.19561909999999999</v>
      </c>
      <c r="U748">
        <v>-1.0997920000000001</v>
      </c>
      <c r="V748">
        <v>0.18940309999999999</v>
      </c>
      <c r="W748">
        <v>-8.2859630000000004E-2</v>
      </c>
      <c r="X748">
        <v>0.97839699999999996</v>
      </c>
      <c r="Y748">
        <v>0.24072879999999999</v>
      </c>
      <c r="Z748">
        <v>-3.1122509999999999E-3</v>
      </c>
      <c r="AA748">
        <v>0.97058739999999999</v>
      </c>
      <c r="AB748">
        <v>37</v>
      </c>
      <c r="AC748">
        <v>15.3713</v>
      </c>
      <c r="AD748">
        <v>-1.105003819255</v>
      </c>
      <c r="AE748">
        <v>-6.1578999999999802</v>
      </c>
      <c r="AF748">
        <v>4.06303218297254</v>
      </c>
      <c r="AG748">
        <v>-1.105003819255</v>
      </c>
      <c r="AH748">
        <v>15.976936960747</v>
      </c>
      <c r="AI748">
        <v>93.8347398860016</v>
      </c>
      <c r="AJ748">
        <v>75.731785663319499</v>
      </c>
      <c r="AK748">
        <v>16.5224628493491</v>
      </c>
      <c r="AL748">
        <v>94.752956589484995</v>
      </c>
      <c r="AM748">
        <v>79.043908762055693</v>
      </c>
      <c r="AN748">
        <v>0.999999971091173</v>
      </c>
    </row>
    <row r="749" spans="1:40" x14ac:dyDescent="0.25">
      <c r="A749" t="str">
        <f>"20190305135553450"</f>
        <v>20190305135553450</v>
      </c>
      <c r="B749" t="str">
        <f>"1551765353442618"</f>
        <v>1551765353442618</v>
      </c>
      <c r="C749" t="s">
        <v>40</v>
      </c>
      <c r="D749">
        <v>4.1942539999999999</v>
      </c>
      <c r="E749">
        <v>0.52096290000000001</v>
      </c>
      <c r="F749" t="s">
        <v>42</v>
      </c>
      <c r="G749">
        <v>-218.1917</v>
      </c>
      <c r="H749" s="1">
        <v>-2.8038959999999998E-6</v>
      </c>
      <c r="I749">
        <v>361.33879999999999</v>
      </c>
      <c r="J749">
        <v>-233.20580000000001</v>
      </c>
      <c r="K749">
        <v>1.105491</v>
      </c>
      <c r="L749">
        <v>367.36329999999998</v>
      </c>
      <c r="M749">
        <v>0.99075150000000001</v>
      </c>
      <c r="N749">
        <v>-1.5000090000000001E-2</v>
      </c>
      <c r="O749">
        <v>-0.13485829999999999</v>
      </c>
      <c r="P749">
        <v>0.94501290000000004</v>
      </c>
      <c r="Q749">
        <v>-9.6533030000000006E-2</v>
      </c>
      <c r="R749">
        <v>-0.3124615</v>
      </c>
      <c r="S749">
        <v>2.788986</v>
      </c>
      <c r="T749">
        <v>-0.20025960000000001</v>
      </c>
      <c r="U749">
        <v>-1.1013790000000001</v>
      </c>
      <c r="V749">
        <v>0.18137439999999999</v>
      </c>
      <c r="W749">
        <v>-8.3547430000000006E-2</v>
      </c>
      <c r="X749">
        <v>0.97985880000000003</v>
      </c>
      <c r="Y749">
        <v>0.23803360000000001</v>
      </c>
      <c r="Z749">
        <v>-2.803921E-3</v>
      </c>
      <c r="AA749">
        <v>0.97125289999999997</v>
      </c>
      <c r="AB749">
        <v>37</v>
      </c>
      <c r="AC749">
        <v>15.014099999999999</v>
      </c>
      <c r="AD749">
        <v>-1.105493803896</v>
      </c>
      <c r="AE749">
        <v>-6.0244999999999802</v>
      </c>
      <c r="AF749">
        <v>3.92611622270107</v>
      </c>
      <c r="AG749">
        <v>-1.105493803896</v>
      </c>
      <c r="AH749">
        <v>15.6165358439044</v>
      </c>
      <c r="AI749">
        <v>93.927395548669196</v>
      </c>
      <c r="AJ749">
        <v>75.887874789699893</v>
      </c>
      <c r="AK749">
        <v>16.140405723170598</v>
      </c>
      <c r="AL749">
        <v>94.792501335846595</v>
      </c>
      <c r="AM749">
        <v>79.513098599422193</v>
      </c>
      <c r="AN749">
        <v>1.0000000569862</v>
      </c>
    </row>
    <row r="750" spans="1:40" x14ac:dyDescent="0.25">
      <c r="A750" t="str">
        <f>"20190305135553472"</f>
        <v>20190305135553472</v>
      </c>
      <c r="B750" t="str">
        <f>"1551765353462134"</f>
        <v>1551765353462134</v>
      </c>
      <c r="C750" t="s">
        <v>40</v>
      </c>
      <c r="D750">
        <v>4.2797900000000002</v>
      </c>
      <c r="E750">
        <v>0.52094079999999998</v>
      </c>
      <c r="F750" t="s">
        <v>42</v>
      </c>
      <c r="G750">
        <v>-217.7619</v>
      </c>
      <c r="H750" s="1">
        <v>-2.9599330000000001E-6</v>
      </c>
      <c r="I750">
        <v>361.30220000000003</v>
      </c>
      <c r="J750">
        <v>-232.83629999999999</v>
      </c>
      <c r="K750">
        <v>1.1060490000000001</v>
      </c>
      <c r="L750">
        <v>367.31049999999999</v>
      </c>
      <c r="M750">
        <v>0.99041190000000001</v>
      </c>
      <c r="N750">
        <v>-1.4979869999999999E-2</v>
      </c>
      <c r="O750">
        <v>-0.13733199999999901</v>
      </c>
      <c r="P750">
        <v>0.94654660000000002</v>
      </c>
      <c r="Q750">
        <v>-9.6858280000000005E-2</v>
      </c>
      <c r="R750">
        <v>-0.30768250000000003</v>
      </c>
      <c r="S750">
        <v>2.7918850000000002</v>
      </c>
      <c r="T750">
        <v>-0.199846</v>
      </c>
      <c r="U750">
        <v>-1.0957030000000001</v>
      </c>
      <c r="V750">
        <v>0.17409530000000001</v>
      </c>
      <c r="W750">
        <v>-8.3570110000000003E-2</v>
      </c>
      <c r="X750">
        <v>0.9811763</v>
      </c>
      <c r="Y750">
        <v>0.2335689</v>
      </c>
      <c r="Z750">
        <v>-2.4818520000000001E-3</v>
      </c>
      <c r="AA750">
        <v>0.97233709999999995</v>
      </c>
      <c r="AB750">
        <v>37</v>
      </c>
      <c r="AC750">
        <v>15.074399999999899</v>
      </c>
      <c r="AD750">
        <v>-1.1060519599330001</v>
      </c>
      <c r="AE750">
        <v>-6.0082999999999602</v>
      </c>
      <c r="AF750">
        <v>3.8629836215429099</v>
      </c>
      <c r="AG750">
        <v>-1.1060519599330001</v>
      </c>
      <c r="AH750">
        <v>15.683902715776901</v>
      </c>
      <c r="AI750">
        <v>93.917216020299705</v>
      </c>
      <c r="AJ750">
        <v>76.163321506280894</v>
      </c>
      <c r="AK750">
        <v>16.190453909521398</v>
      </c>
      <c r="AL750">
        <v>94.793805473803801</v>
      </c>
      <c r="AM750">
        <v>79.938425127578896</v>
      </c>
      <c r="AN750">
        <v>1.0000000342245901</v>
      </c>
    </row>
    <row r="751" spans="1:40" x14ac:dyDescent="0.25">
      <c r="A751" t="str">
        <f>"20190305135553493"</f>
        <v>20190305135553493</v>
      </c>
      <c r="B751" t="str">
        <f>"1551765353482631"</f>
        <v>1551765353482631</v>
      </c>
      <c r="C751" t="s">
        <v>40</v>
      </c>
      <c r="D751">
        <v>4.3652769999999999</v>
      </c>
      <c r="E751">
        <v>0.48801689999999998</v>
      </c>
      <c r="F751" t="s">
        <v>42</v>
      </c>
      <c r="G751">
        <v>-217.61959999999999</v>
      </c>
      <c r="H751" s="1">
        <v>-2.9753760000000001E-6</v>
      </c>
      <c r="I751">
        <v>361.42610000000002</v>
      </c>
      <c r="J751">
        <v>-232.50110000000001</v>
      </c>
      <c r="K751">
        <v>1.1065510000000001</v>
      </c>
      <c r="L751">
        <v>367.26249999999999</v>
      </c>
      <c r="M751">
        <v>0.99016780000000004</v>
      </c>
      <c r="N751">
        <v>-1.496433E-2</v>
      </c>
      <c r="O751">
        <v>-0.13908199999999901</v>
      </c>
      <c r="P751">
        <v>0.94785949999999997</v>
      </c>
      <c r="Q751">
        <v>-9.6548679999999998E-2</v>
      </c>
      <c r="R751">
        <v>-0.30371179999999998</v>
      </c>
      <c r="S751">
        <v>2.7969970000000002</v>
      </c>
      <c r="T751">
        <v>-0.20330429999999999</v>
      </c>
      <c r="U751">
        <v>-1.0816349999999999</v>
      </c>
      <c r="V751">
        <v>0.1683509</v>
      </c>
      <c r="W751">
        <v>-8.3012210000000003E-2</v>
      </c>
      <c r="X751">
        <v>0.98222549999999997</v>
      </c>
      <c r="Y751">
        <v>0.22700339999999999</v>
      </c>
      <c r="Z751">
        <v>-2.0799289999999999E-3</v>
      </c>
      <c r="AA751">
        <v>0.97389170000000003</v>
      </c>
      <c r="AB751">
        <v>37</v>
      </c>
      <c r="AC751">
        <v>14.881500000000001</v>
      </c>
      <c r="AD751">
        <v>-1.1065539753759901</v>
      </c>
      <c r="AE751">
        <v>-5.8363999999999603</v>
      </c>
      <c r="AF751">
        <v>3.6919899558386802</v>
      </c>
      <c r="AG751">
        <v>-1.1065539753759901</v>
      </c>
      <c r="AH751">
        <v>15.474507585008</v>
      </c>
      <c r="AI751">
        <v>93.978852339915804</v>
      </c>
      <c r="AJ751">
        <v>76.580933334925504</v>
      </c>
      <c r="AK751">
        <v>15.9472767748259</v>
      </c>
      <c r="AL751">
        <v>94.761728898670896</v>
      </c>
      <c r="AM751">
        <v>80.274156286152703</v>
      </c>
      <c r="AN751">
        <v>0.999999992695071</v>
      </c>
    </row>
    <row r="752" spans="1:40" x14ac:dyDescent="0.25">
      <c r="A752" t="str">
        <f>"20190305135553515"</f>
        <v>20190305135553515</v>
      </c>
      <c r="B752" t="str">
        <f>"1551765353512887"</f>
        <v>1551765353512887</v>
      </c>
      <c r="C752" t="s">
        <v>40</v>
      </c>
      <c r="D752">
        <v>4.3168839999999999</v>
      </c>
      <c r="E752">
        <v>0.49092140000000001</v>
      </c>
      <c r="F752" t="s">
        <v>41</v>
      </c>
      <c r="G752">
        <v>-231.53210000000001</v>
      </c>
      <c r="H752">
        <v>1.0296730000000001</v>
      </c>
      <c r="I752">
        <v>366.98649999999998</v>
      </c>
      <c r="J752">
        <v>-232.1395</v>
      </c>
      <c r="K752">
        <v>1.1070869999999999</v>
      </c>
      <c r="L752">
        <v>367.21039999999999</v>
      </c>
      <c r="M752">
        <v>0.98998569999999997</v>
      </c>
      <c r="N752">
        <v>-1.4948950000000001E-2</v>
      </c>
      <c r="O752">
        <v>-0.14037369999999999</v>
      </c>
      <c r="P752">
        <v>0.94915179999999999</v>
      </c>
      <c r="Q752">
        <v>-9.6727510000000003E-2</v>
      </c>
      <c r="R752">
        <v>-0.29959089999999999</v>
      </c>
      <c r="S752">
        <v>2.8791199999999999</v>
      </c>
      <c r="T752">
        <v>-0.22847880000000001</v>
      </c>
      <c r="U752">
        <v>-0.81964110000000001</v>
      </c>
      <c r="V752">
        <v>0.16291439999999999</v>
      </c>
      <c r="W752">
        <v>-8.2946889999999995E-2</v>
      </c>
      <c r="X752">
        <v>0.98314729999999995</v>
      </c>
      <c r="Y752">
        <v>0.13586199999999901</v>
      </c>
      <c r="Z752">
        <v>2.4405020000000002E-3</v>
      </c>
      <c r="AA752">
        <v>0.99072470000000001</v>
      </c>
      <c r="AB752">
        <v>37</v>
      </c>
      <c r="AC752">
        <v>0.60739999999998395</v>
      </c>
      <c r="AD752">
        <v>-7.7414000000000094E-2</v>
      </c>
      <c r="AE752">
        <v>-0.223900000000014</v>
      </c>
      <c r="AF752">
        <v>0.13448680762946</v>
      </c>
      <c r="AG752">
        <v>-7.7414000000000094E-2</v>
      </c>
      <c r="AH752">
        <v>0.62389558923641197</v>
      </c>
      <c r="AI752">
        <v>96.915940465381595</v>
      </c>
      <c r="AJ752">
        <v>77.835466374488206</v>
      </c>
      <c r="AK752">
        <v>0.64290383035957499</v>
      </c>
      <c r="AL752">
        <v>94.757973585856305</v>
      </c>
      <c r="AM752">
        <v>80.591184288438996</v>
      </c>
      <c r="AN752">
        <v>0.99999995089265903</v>
      </c>
    </row>
    <row r="753" spans="1:40" x14ac:dyDescent="0.25">
      <c r="A753" t="str">
        <f>"20190305135553539"</f>
        <v>20190305135553539</v>
      </c>
      <c r="B753" t="str">
        <f>"1551765353532406"</f>
        <v>1551765353532406</v>
      </c>
      <c r="C753" t="s">
        <v>40</v>
      </c>
      <c r="D753">
        <v>4.2852739999999896</v>
      </c>
      <c r="E753">
        <v>0.49265969999999998</v>
      </c>
      <c r="F753" t="s">
        <v>41</v>
      </c>
      <c r="G753">
        <v>-231.20259999999999</v>
      </c>
      <c r="H753">
        <v>1.035547</v>
      </c>
      <c r="I753">
        <v>366.94009999999997</v>
      </c>
      <c r="J753">
        <v>-231.76130000000001</v>
      </c>
      <c r="K753">
        <v>1.107653</v>
      </c>
      <c r="L753">
        <v>367.15589999999997</v>
      </c>
      <c r="M753">
        <v>0.98989020000000005</v>
      </c>
      <c r="N753">
        <v>-1.493387E-2</v>
      </c>
      <c r="O753">
        <v>-0.14104839999999999</v>
      </c>
      <c r="P753">
        <v>0.95056309999999999</v>
      </c>
      <c r="Q753">
        <v>-9.7260579999999999E-2</v>
      </c>
      <c r="R753">
        <v>-0.29490719999999998</v>
      </c>
      <c r="S753">
        <v>2.8765719999999999</v>
      </c>
      <c r="T753">
        <v>-0.2197963</v>
      </c>
      <c r="U753">
        <v>-0.82916259999999997</v>
      </c>
      <c r="V753">
        <v>0.15751950000000001</v>
      </c>
      <c r="W753">
        <v>-8.323738E-2</v>
      </c>
      <c r="X753">
        <v>0.98400160000000003</v>
      </c>
      <c r="Y753">
        <v>0.13844899999999999</v>
      </c>
      <c r="Z753">
        <v>2.1582939999999998E-3</v>
      </c>
      <c r="AA753">
        <v>0.9903672</v>
      </c>
      <c r="AB753">
        <v>37</v>
      </c>
      <c r="AC753">
        <v>0.55870000000001596</v>
      </c>
      <c r="AD753">
        <v>-7.2105999999999906E-2</v>
      </c>
      <c r="AE753">
        <v>-0.21580000000000099</v>
      </c>
      <c r="AF753">
        <v>0.13290326061397301</v>
      </c>
      <c r="AG753">
        <v>-7.2105999999999906E-2</v>
      </c>
      <c r="AH753">
        <v>0.57521760132339195</v>
      </c>
      <c r="AI753">
        <v>96.963425620013197</v>
      </c>
      <c r="AJ753">
        <v>76.990183086801494</v>
      </c>
      <c r="AK753">
        <v>0.59475864078637997</v>
      </c>
      <c r="AL753">
        <v>94.774674951612994</v>
      </c>
      <c r="AM753">
        <v>80.905224143875003</v>
      </c>
      <c r="AN753">
        <v>1.00000000155603</v>
      </c>
    </row>
    <row r="754" spans="1:40" x14ac:dyDescent="0.25">
      <c r="A754" t="str">
        <f>"20190305135553560"</f>
        <v>20190305135553560</v>
      </c>
      <c r="B754" t="str">
        <f>"1551765353552906"</f>
        <v>1551765353552906</v>
      </c>
      <c r="C754" t="s">
        <v>40</v>
      </c>
      <c r="D754">
        <v>4.3261339999999997</v>
      </c>
      <c r="E754">
        <v>0.49435630000000003</v>
      </c>
      <c r="F754" t="s">
        <v>41</v>
      </c>
      <c r="G754">
        <v>-230.87389999999999</v>
      </c>
      <c r="H754">
        <v>1.041067</v>
      </c>
      <c r="I754">
        <v>366.90030000000002</v>
      </c>
      <c r="J754">
        <v>-231.39789999999999</v>
      </c>
      <c r="K754">
        <v>1.108212</v>
      </c>
      <c r="L754">
        <v>367.10390000000001</v>
      </c>
      <c r="M754">
        <v>0.98989119999999997</v>
      </c>
      <c r="N754">
        <v>-1.4921179999999999E-2</v>
      </c>
      <c r="O754">
        <v>-0.14104220000000001</v>
      </c>
      <c r="P754">
        <v>0.95105580000000001</v>
      </c>
      <c r="Q754">
        <v>-9.800768E-2</v>
      </c>
      <c r="R754">
        <v>-0.29306549999999998</v>
      </c>
      <c r="S754">
        <v>2.8769680000000002</v>
      </c>
      <c r="T754">
        <v>-0.2160907</v>
      </c>
      <c r="U754">
        <v>-0.82806399999999902</v>
      </c>
      <c r="V754">
        <v>0.15574569999999999</v>
      </c>
      <c r="W754">
        <v>-8.3770709999999998E-2</v>
      </c>
      <c r="X754">
        <v>0.98423870000000002</v>
      </c>
      <c r="Y754">
        <v>0.13807449999999999</v>
      </c>
      <c r="Z754">
        <v>2.0877999999999999E-3</v>
      </c>
      <c r="AA754">
        <v>0.99041959999999996</v>
      </c>
      <c r="AB754">
        <v>37</v>
      </c>
      <c r="AC754">
        <v>0.52400000000000002</v>
      </c>
      <c r="AD754">
        <v>-6.7144999999999996E-2</v>
      </c>
      <c r="AE754">
        <v>-0.20359999999999401</v>
      </c>
      <c r="AF754">
        <v>0.12585450485196001</v>
      </c>
      <c r="AG754">
        <v>-6.7144999999999996E-2</v>
      </c>
      <c r="AH754">
        <v>0.53977962876383401</v>
      </c>
      <c r="AI754">
        <v>96.907383233359297</v>
      </c>
      <c r="AJ754">
        <v>76.875448224002696</v>
      </c>
      <c r="AK754">
        <v>0.55830981994315099</v>
      </c>
      <c r="AL754">
        <v>94.805339438715507</v>
      </c>
      <c r="AM754">
        <v>81.008086646566795</v>
      </c>
      <c r="AN754">
        <v>1.0000000367500399</v>
      </c>
    </row>
    <row r="755" spans="1:40" x14ac:dyDescent="0.25">
      <c r="A755" t="str">
        <f>"20190305135553582"</f>
        <v>20190305135553582</v>
      </c>
      <c r="B755" t="str">
        <f>"1551765353572423"</f>
        <v>1551765353572423</v>
      </c>
      <c r="C755" t="s">
        <v>40</v>
      </c>
      <c r="D755">
        <v>4.288678</v>
      </c>
      <c r="E755">
        <v>0.49586019999999997</v>
      </c>
      <c r="F755" t="s">
        <v>41</v>
      </c>
      <c r="G755">
        <v>-230.54859999999999</v>
      </c>
      <c r="H755">
        <v>1.0431360000000001</v>
      </c>
      <c r="I755">
        <v>366.8569</v>
      </c>
      <c r="J755">
        <v>-231.05719999999999</v>
      </c>
      <c r="K755">
        <v>1.1087720000000001</v>
      </c>
      <c r="L755">
        <v>367.0557</v>
      </c>
      <c r="M755">
        <v>0.98997480000000004</v>
      </c>
      <c r="N755">
        <v>-1.4912480000000001E-2</v>
      </c>
      <c r="O755">
        <v>-0.14045550000000001</v>
      </c>
      <c r="P755">
        <v>0.95223329999999995</v>
      </c>
      <c r="Q755">
        <v>-9.9607710000000002E-2</v>
      </c>
      <c r="R755">
        <v>-0.28866999999999998</v>
      </c>
      <c r="S755">
        <v>2.8742369999999999</v>
      </c>
      <c r="T755">
        <v>-0.22043670000000001</v>
      </c>
      <c r="U755">
        <v>-0.83535769999999998</v>
      </c>
      <c r="V755">
        <v>0.15192329999999901</v>
      </c>
      <c r="W755">
        <v>-8.5153069999999997E-2</v>
      </c>
      <c r="X755">
        <v>0.98471739999999996</v>
      </c>
      <c r="Y755">
        <v>0.1412148</v>
      </c>
      <c r="Z755">
        <v>2.0208409999999998E-3</v>
      </c>
      <c r="AA755">
        <v>0.98997690000000005</v>
      </c>
      <c r="AB755">
        <v>37</v>
      </c>
      <c r="AC755">
        <v>0.50860000000000105</v>
      </c>
      <c r="AD755">
        <v>-6.5635999999999806E-2</v>
      </c>
      <c r="AE755">
        <v>-0.198800000000005</v>
      </c>
      <c r="AF755">
        <v>0.123599584524112</v>
      </c>
      <c r="AG755">
        <v>-6.5635999999999806E-2</v>
      </c>
      <c r="AH755">
        <v>0.52391369509063501</v>
      </c>
      <c r="AI755">
        <v>96.951925996969393</v>
      </c>
      <c r="AJ755">
        <v>76.725726730541794</v>
      </c>
      <c r="AK755">
        <v>0.54228267692602505</v>
      </c>
      <c r="AL755">
        <v>94.884826821675503</v>
      </c>
      <c r="AM755">
        <v>81.229494020991794</v>
      </c>
      <c r="AN755">
        <v>1.0000000461380301</v>
      </c>
    </row>
    <row r="756" spans="1:40" x14ac:dyDescent="0.25">
      <c r="A756" t="str">
        <f>"20190305135553597"</f>
        <v>20190305135553597</v>
      </c>
      <c r="B756" t="str">
        <f>"1551765353592920"</f>
        <v>1551765353592920</v>
      </c>
      <c r="C756" t="s">
        <v>40</v>
      </c>
      <c r="D756">
        <v>4.2989879999999996</v>
      </c>
      <c r="E756">
        <v>0.49717600000000001</v>
      </c>
      <c r="F756" t="s">
        <v>41</v>
      </c>
      <c r="G756">
        <v>-230.2252</v>
      </c>
      <c r="H756">
        <v>1.0433410000000001</v>
      </c>
      <c r="I756">
        <v>366.81439999999998</v>
      </c>
      <c r="J756">
        <v>-230.81270000000001</v>
      </c>
      <c r="K756">
        <v>1.1091819999999999</v>
      </c>
      <c r="L756">
        <v>367.0215</v>
      </c>
      <c r="M756">
        <v>0.99008110000000005</v>
      </c>
      <c r="N756">
        <v>-1.4908660000000001E-2</v>
      </c>
      <c r="O756">
        <v>-0.1397032</v>
      </c>
      <c r="P756">
        <v>0.95290090000000005</v>
      </c>
      <c r="Q756">
        <v>-0.100663</v>
      </c>
      <c r="R756">
        <v>-0.28608860000000003</v>
      </c>
      <c r="S756">
        <v>2.8741300000000001</v>
      </c>
      <c r="T756">
        <v>-0.226046</v>
      </c>
      <c r="U756">
        <v>-0.83352660000000001</v>
      </c>
      <c r="V756">
        <v>0.1501062</v>
      </c>
      <c r="W756">
        <v>-8.6055549999999995E-2</v>
      </c>
      <c r="X756">
        <v>0.9849175</v>
      </c>
      <c r="Y756">
        <v>0.14138729999999999</v>
      </c>
      <c r="Z756">
        <v>2.099723E-3</v>
      </c>
      <c r="AA756">
        <v>0.9899521</v>
      </c>
      <c r="AB756">
        <v>37</v>
      </c>
      <c r="AC756">
        <v>0.58750000000000502</v>
      </c>
      <c r="AD756">
        <v>-6.5840999999999802E-2</v>
      </c>
      <c r="AE756">
        <v>-0.20710000000002499</v>
      </c>
      <c r="AF756">
        <v>0.12162511744461101</v>
      </c>
      <c r="AG756">
        <v>-6.5840999999999802E-2</v>
      </c>
      <c r="AH756">
        <v>0.60392637608740596</v>
      </c>
      <c r="AI756">
        <v>96.100373551338294</v>
      </c>
      <c r="AJ756">
        <v>78.613474960582295</v>
      </c>
      <c r="AK756">
        <v>0.61956014575542395</v>
      </c>
      <c r="AL756">
        <v>94.936726074725101</v>
      </c>
      <c r="AM756">
        <v>81.334526629848597</v>
      </c>
      <c r="AN756">
        <v>0.999999955385245</v>
      </c>
    </row>
    <row r="757" spans="1:40" x14ac:dyDescent="0.25">
      <c r="A757" t="str">
        <f>"20190305135553616"</f>
        <v>20190305135553616</v>
      </c>
      <c r="B757" t="str">
        <f>"1551765353612440"</f>
        <v>1551765353612440</v>
      </c>
      <c r="C757" t="s">
        <v>40</v>
      </c>
      <c r="D757">
        <v>4.2810980000000001</v>
      </c>
      <c r="E757">
        <v>0.4985425</v>
      </c>
      <c r="F757" t="s">
        <v>41</v>
      </c>
      <c r="G757">
        <v>-229.90729999999999</v>
      </c>
      <c r="H757">
        <v>1.0380240000000001</v>
      </c>
      <c r="I757">
        <v>366.75819999999999</v>
      </c>
      <c r="J757">
        <v>-230.51150000000001</v>
      </c>
      <c r="K757">
        <v>1.1096809999999999</v>
      </c>
      <c r="L757">
        <v>366.98</v>
      </c>
      <c r="M757">
        <v>0.9902609</v>
      </c>
      <c r="N757">
        <v>-1.49062E-2</v>
      </c>
      <c r="O757">
        <v>-0.13842470000000001</v>
      </c>
      <c r="P757">
        <v>0.9539202</v>
      </c>
      <c r="Q757">
        <v>-0.1039495</v>
      </c>
      <c r="R757">
        <v>-0.28148030000000002</v>
      </c>
      <c r="S757">
        <v>2.8735200000000001</v>
      </c>
      <c r="T757">
        <v>-0.22581909999999999</v>
      </c>
      <c r="U757">
        <v>-0.83578490000000005</v>
      </c>
      <c r="V757">
        <v>0.14677899999999999</v>
      </c>
      <c r="W757">
        <v>-8.9159660000000002E-2</v>
      </c>
      <c r="X757">
        <v>0.98514290000000004</v>
      </c>
      <c r="Y757">
        <v>0.1434299</v>
      </c>
      <c r="Z757">
        <v>1.9237449999999999E-3</v>
      </c>
      <c r="AA757">
        <v>0.98965860000000005</v>
      </c>
      <c r="AB757">
        <v>37</v>
      </c>
      <c r="AC757">
        <v>0.60420000000002005</v>
      </c>
      <c r="AD757">
        <v>-7.1656999999999804E-2</v>
      </c>
      <c r="AE757">
        <v>-0.22180000000003</v>
      </c>
      <c r="AF757">
        <v>0.13435342895890601</v>
      </c>
      <c r="AG757">
        <v>-7.1656999999999804E-2</v>
      </c>
      <c r="AH757">
        <v>0.62138588209191903</v>
      </c>
      <c r="AI757">
        <v>96.430865811053096</v>
      </c>
      <c r="AJ757">
        <v>77.799555521336202</v>
      </c>
      <c r="AK757">
        <v>0.63977025875322502</v>
      </c>
      <c r="AL757">
        <v>95.115264664367203</v>
      </c>
      <c r="AM757">
        <v>81.525692482759695</v>
      </c>
      <c r="AN757">
        <v>1.00000002661636</v>
      </c>
    </row>
    <row r="758" spans="1:40" x14ac:dyDescent="0.25">
      <c r="A758" t="str">
        <f>"20190305135553631"</f>
        <v>20190305135553631</v>
      </c>
      <c r="B758" t="str">
        <f>"1551765353622199"</f>
        <v>1551765353622199</v>
      </c>
      <c r="C758" t="s">
        <v>40</v>
      </c>
      <c r="D758">
        <v>4.296951</v>
      </c>
      <c r="E758">
        <v>0.4992105</v>
      </c>
      <c r="F758" t="s">
        <v>41</v>
      </c>
      <c r="G758">
        <v>-229.58799999999999</v>
      </c>
      <c r="H758">
        <v>1.0345599999999999</v>
      </c>
      <c r="I758">
        <v>366.71230000000003</v>
      </c>
      <c r="J758">
        <v>-230.2551</v>
      </c>
      <c r="K758">
        <v>1.1100909999999999</v>
      </c>
      <c r="L758">
        <v>366.9452</v>
      </c>
      <c r="M758">
        <v>0.99044980000000005</v>
      </c>
      <c r="N758">
        <v>-1.4905089999999999E-2</v>
      </c>
      <c r="O758">
        <v>-0.137066299999999</v>
      </c>
      <c r="P758">
        <v>0.95475790000000005</v>
      </c>
      <c r="Q758">
        <v>-0.1051974</v>
      </c>
      <c r="R758">
        <v>-0.27815630000000002</v>
      </c>
      <c r="S758">
        <v>2.8738250000000001</v>
      </c>
      <c r="T758">
        <v>-0.2341627</v>
      </c>
      <c r="U758">
        <v>-0.8322754</v>
      </c>
      <c r="V758">
        <v>0.144813</v>
      </c>
      <c r="W758">
        <v>-9.0261300000000003E-2</v>
      </c>
      <c r="X758">
        <v>0.98533349999999997</v>
      </c>
      <c r="Y758">
        <v>0.14363119999999999</v>
      </c>
      <c r="Z758">
        <v>2.014694E-3</v>
      </c>
      <c r="AA758">
        <v>0.98962919999999999</v>
      </c>
      <c r="AB758">
        <v>37</v>
      </c>
      <c r="AC758">
        <v>0.66710000000000402</v>
      </c>
      <c r="AD758">
        <v>-7.5530999999999696E-2</v>
      </c>
      <c r="AE758">
        <v>-0.23289999999997199</v>
      </c>
      <c r="AF758">
        <v>0.137681054067708</v>
      </c>
      <c r="AG758">
        <v>-7.5530999999999696E-2</v>
      </c>
      <c r="AH758">
        <v>0.68490255577862802</v>
      </c>
      <c r="AI758">
        <v>96.170680998913596</v>
      </c>
      <c r="AJ758">
        <v>78.633728453528505</v>
      </c>
      <c r="AK758">
        <v>0.70267525609081405</v>
      </c>
      <c r="AL758">
        <v>95.178639626415404</v>
      </c>
      <c r="AM758">
        <v>81.639178779816703</v>
      </c>
      <c r="AN758">
        <v>1.0000000067344601</v>
      </c>
    </row>
    <row r="759" spans="1:40" x14ac:dyDescent="0.25">
      <c r="A759" t="str">
        <f>"20190305135553646"</f>
        <v>20190305135553646</v>
      </c>
      <c r="B759" t="str">
        <f>"1551765353642694"</f>
        <v>1551765353642694</v>
      </c>
      <c r="C759" t="s">
        <v>40</v>
      </c>
      <c r="D759">
        <v>4.2766890000000002</v>
      </c>
      <c r="E759">
        <v>0.51320580000000005</v>
      </c>
      <c r="F759" t="s">
        <v>41</v>
      </c>
      <c r="G759">
        <v>-229.27</v>
      </c>
      <c r="H759">
        <v>1.028816</v>
      </c>
      <c r="I759">
        <v>366.66149999999999</v>
      </c>
      <c r="J759">
        <v>-230.02260000000001</v>
      </c>
      <c r="K759">
        <v>1.110439</v>
      </c>
      <c r="L759">
        <v>366.91419999999999</v>
      </c>
      <c r="M759">
        <v>0.99065230000000004</v>
      </c>
      <c r="N759">
        <v>-1.4904570000000001E-2</v>
      </c>
      <c r="O759">
        <v>-0.13559470000000001</v>
      </c>
      <c r="P759">
        <v>0.95562420000000003</v>
      </c>
      <c r="Q759">
        <v>-0.1064435</v>
      </c>
      <c r="R759">
        <v>-0.27468540000000002</v>
      </c>
      <c r="S759">
        <v>2.874924</v>
      </c>
      <c r="T759">
        <v>-0.23727490000000001</v>
      </c>
      <c r="U759">
        <v>-0.8276367</v>
      </c>
      <c r="V759">
        <v>0.1427986</v>
      </c>
      <c r="W759">
        <v>-9.1387280000000001E-2</v>
      </c>
      <c r="X759">
        <v>0.9855237</v>
      </c>
      <c r="Y759">
        <v>0.14352019999999999</v>
      </c>
      <c r="Z759">
        <v>1.9923660000000002E-3</v>
      </c>
      <c r="AA759">
        <v>0.98964540000000001</v>
      </c>
      <c r="AB759">
        <v>36</v>
      </c>
      <c r="AC759">
        <v>0.75260000000000105</v>
      </c>
      <c r="AD759">
        <v>-8.1623000000000001E-2</v>
      </c>
      <c r="AE759">
        <v>-0.25270000000000398</v>
      </c>
      <c r="AF759">
        <v>0.14675444212089001</v>
      </c>
      <c r="AG759">
        <v>-8.1623000000000001E-2</v>
      </c>
      <c r="AH759">
        <v>0.77175831187507704</v>
      </c>
      <c r="AI759">
        <v>95.931780690550994</v>
      </c>
      <c r="AJ759">
        <v>79.233408693436203</v>
      </c>
      <c r="AK759">
        <v>0.78981648017718797</v>
      </c>
      <c r="AL759">
        <v>95.243421212754797</v>
      </c>
      <c r="AM759">
        <v>81.755439920405195</v>
      </c>
      <c r="AN759">
        <v>1.00000001918472</v>
      </c>
    </row>
    <row r="760" spans="1:40" x14ac:dyDescent="0.25">
      <c r="A760" t="str">
        <f>"20190305135553662"</f>
        <v>20190305135553662</v>
      </c>
      <c r="B760" t="str">
        <f>"1551765353652455"</f>
        <v>1551765353652455</v>
      </c>
      <c r="C760" t="s">
        <v>40</v>
      </c>
      <c r="D760">
        <v>4.3073030000000001</v>
      </c>
      <c r="E760">
        <v>0.51335039999999998</v>
      </c>
      <c r="F760" t="s">
        <v>42</v>
      </c>
      <c r="G760">
        <v>-217.0017</v>
      </c>
      <c r="H760" s="1">
        <v>-2.8503690000000001E-6</v>
      </c>
      <c r="I760">
        <v>362.68619999999999</v>
      </c>
      <c r="J760">
        <v>-229.77449999999999</v>
      </c>
      <c r="K760">
        <v>1.1107720000000001</v>
      </c>
      <c r="L760">
        <v>366.8818</v>
      </c>
      <c r="M760">
        <v>0.99089329999999998</v>
      </c>
      <c r="N760">
        <v>-1.4903639999999999E-2</v>
      </c>
      <c r="O760">
        <v>-0.1338222</v>
      </c>
      <c r="P760">
        <v>0.95712730000000001</v>
      </c>
      <c r="Q760">
        <v>-0.1081683</v>
      </c>
      <c r="R760">
        <v>-0.26871329999999999</v>
      </c>
      <c r="S760">
        <v>2.8465579999999999</v>
      </c>
      <c r="T760">
        <v>-0.24275820000000001</v>
      </c>
      <c r="U760">
        <v>-0.92431640000000004</v>
      </c>
      <c r="V760">
        <v>0.13852110000000001</v>
      </c>
      <c r="W760">
        <v>-9.3002630000000003E-2</v>
      </c>
      <c r="X760">
        <v>0.98598300000000005</v>
      </c>
      <c r="Y760">
        <v>0.17836949999999999</v>
      </c>
      <c r="Z760">
        <v>2.9950819999999999E-4</v>
      </c>
      <c r="AA760">
        <v>0.98396349999999999</v>
      </c>
      <c r="AB760">
        <v>36</v>
      </c>
      <c r="AC760">
        <v>12.772799999999901</v>
      </c>
      <c r="AD760">
        <v>-1.11077485036899</v>
      </c>
      <c r="AE760">
        <v>-4.1956000000000104</v>
      </c>
      <c r="AF760">
        <v>2.4317797784042199</v>
      </c>
      <c r="AG760">
        <v>-1.11077485036899</v>
      </c>
      <c r="AH760">
        <v>13.1297876494093</v>
      </c>
      <c r="AI760">
        <v>94.755194858038905</v>
      </c>
      <c r="AJ760">
        <v>79.507098532774805</v>
      </c>
      <c r="AK760">
        <v>13.399205102447301</v>
      </c>
      <c r="AL760">
        <v>95.336369769702102</v>
      </c>
      <c r="AM760">
        <v>82.002836369266504</v>
      </c>
      <c r="AN760">
        <v>1.0000000303105601</v>
      </c>
    </row>
    <row r="761" spans="1:40" x14ac:dyDescent="0.25">
      <c r="A761" t="str">
        <f>"20190305135553683"</f>
        <v>20190305135553683</v>
      </c>
      <c r="B761" t="str">
        <f>"1551765353672951"</f>
        <v>1551765353672951</v>
      </c>
      <c r="C761" t="s">
        <v>40</v>
      </c>
      <c r="D761">
        <v>4.3540919999999996</v>
      </c>
      <c r="E761">
        <v>0.51384160000000001</v>
      </c>
      <c r="F761" t="s">
        <v>42</v>
      </c>
      <c r="G761">
        <v>-216.56630000000001</v>
      </c>
      <c r="H761" s="1">
        <v>-3.000074E-6</v>
      </c>
      <c r="I761">
        <v>362.68049999999999</v>
      </c>
      <c r="J761">
        <v>-229.42529999999999</v>
      </c>
      <c r="K761">
        <v>1.1112089999999999</v>
      </c>
      <c r="L761">
        <v>366.8372</v>
      </c>
      <c r="M761">
        <v>0.99126519999999996</v>
      </c>
      <c r="N761">
        <v>-1.4901299999999999E-2</v>
      </c>
      <c r="O761">
        <v>-0.1310402</v>
      </c>
      <c r="P761">
        <v>0.95895249999999999</v>
      </c>
      <c r="Q761">
        <v>-0.1093399</v>
      </c>
      <c r="R761">
        <v>-0.26163930000000002</v>
      </c>
      <c r="S761">
        <v>2.8525390000000002</v>
      </c>
      <c r="T761">
        <v>-0.2398893</v>
      </c>
      <c r="U761">
        <v>-0.90734859999999995</v>
      </c>
      <c r="V761">
        <v>0.13413559999999999</v>
      </c>
      <c r="W761">
        <v>-9.4042420000000002E-2</v>
      </c>
      <c r="X761">
        <v>0.9864906</v>
      </c>
      <c r="Y761">
        <v>0.1752312</v>
      </c>
      <c r="Z761">
        <v>2.2363799999999999E-4</v>
      </c>
      <c r="AA761">
        <v>0.98452729999999999</v>
      </c>
      <c r="AB761">
        <v>36</v>
      </c>
      <c r="AC761">
        <v>12.858999999999901</v>
      </c>
      <c r="AD761">
        <v>-1.111212000074</v>
      </c>
      <c r="AE761">
        <v>-4.1566999999999998</v>
      </c>
      <c r="AF761">
        <v>2.4192593757102601</v>
      </c>
      <c r="AG761">
        <v>-1.111212000074</v>
      </c>
      <c r="AH761">
        <v>13.2035774503706</v>
      </c>
      <c r="AI761">
        <v>94.732257669308893</v>
      </c>
      <c r="AJ761">
        <v>79.617005184356302</v>
      </c>
      <c r="AK761">
        <v>13.469300855055801</v>
      </c>
      <c r="AL761">
        <v>95.396207664921306</v>
      </c>
      <c r="AM761">
        <v>82.256836086512294</v>
      </c>
      <c r="AN761">
        <v>1.00000001991758</v>
      </c>
    </row>
    <row r="762" spans="1:40" x14ac:dyDescent="0.25">
      <c r="A762" t="str">
        <f>"20190305135553705"</f>
        <v>20190305135553705</v>
      </c>
      <c r="B762" t="str">
        <f>"1551765353702231"</f>
        <v>1551765353702231</v>
      </c>
      <c r="C762" t="s">
        <v>40</v>
      </c>
      <c r="D762">
        <v>4.1200159999999997</v>
      </c>
      <c r="E762">
        <v>0.51417679999999999</v>
      </c>
      <c r="F762" t="s">
        <v>42</v>
      </c>
      <c r="G762">
        <v>-215.61429999999999</v>
      </c>
      <c r="H762" s="1">
        <v>-3.3613049999999998E-6</v>
      </c>
      <c r="I762">
        <v>362.5403</v>
      </c>
      <c r="J762">
        <v>-229.07599999999999</v>
      </c>
      <c r="K762">
        <v>1.1115889999999999</v>
      </c>
      <c r="L762">
        <v>366.79379999999998</v>
      </c>
      <c r="M762">
        <v>0.99166980000000005</v>
      </c>
      <c r="N762">
        <v>-1.4898420000000001E-2</v>
      </c>
      <c r="O762">
        <v>-0.1279421</v>
      </c>
      <c r="P762">
        <v>0.96101769999999997</v>
      </c>
      <c r="Q762">
        <v>-0.1094009</v>
      </c>
      <c r="R762">
        <v>-0.2539226</v>
      </c>
      <c r="S762">
        <v>2.859467</v>
      </c>
      <c r="T762">
        <v>-0.2300673</v>
      </c>
      <c r="U762">
        <v>-0.88961789999999996</v>
      </c>
      <c r="V762">
        <v>0.12938279999999999</v>
      </c>
      <c r="W762">
        <v>-9.3998739999999997E-2</v>
      </c>
      <c r="X762">
        <v>0.98712929999999999</v>
      </c>
      <c r="Y762">
        <v>0.17208870000000001</v>
      </c>
      <c r="Z762" s="1">
        <v>3.1969979999999999E-5</v>
      </c>
      <c r="AA762">
        <v>0.9850814</v>
      </c>
      <c r="AB762">
        <v>36</v>
      </c>
      <c r="AC762">
        <v>13.4617</v>
      </c>
      <c r="AD762">
        <v>-1.1115923613049901</v>
      </c>
      <c r="AE762">
        <v>-4.2534999999999696</v>
      </c>
      <c r="AF762">
        <v>2.4806471943680499</v>
      </c>
      <c r="AG762">
        <v>-1.1115923613049901</v>
      </c>
      <c r="AH762">
        <v>13.809689942504001</v>
      </c>
      <c r="AI762">
        <v>94.529830982587001</v>
      </c>
      <c r="AJ762">
        <v>79.816511132127005</v>
      </c>
      <c r="AK762">
        <v>14.07468594281</v>
      </c>
      <c r="AL762">
        <v>95.393694155025898</v>
      </c>
      <c r="AM762">
        <v>82.532822059861104</v>
      </c>
      <c r="AN762">
        <v>0.99999996348795805</v>
      </c>
    </row>
    <row r="763" spans="1:40" x14ac:dyDescent="0.25">
      <c r="A763" t="str">
        <f>"20190305135553728"</f>
        <v>20190305135553728</v>
      </c>
      <c r="B763" t="str">
        <f>"1551765353722727"</f>
        <v>1551765353722727</v>
      </c>
      <c r="C763" t="s">
        <v>40</v>
      </c>
      <c r="D763">
        <v>4.3996550000000001</v>
      </c>
      <c r="E763">
        <v>0.50925889999999996</v>
      </c>
      <c r="F763" t="s">
        <v>42</v>
      </c>
      <c r="G763">
        <v>-215.19309999999999</v>
      </c>
      <c r="H763" s="1">
        <v>-3.4931620000000001E-6</v>
      </c>
      <c r="I763">
        <v>362.58350000000002</v>
      </c>
      <c r="J763">
        <v>-228.70249999999999</v>
      </c>
      <c r="K763">
        <v>1.111939</v>
      </c>
      <c r="L763">
        <v>366.74880000000002</v>
      </c>
      <c r="M763">
        <v>0.99212599999999995</v>
      </c>
      <c r="N763">
        <v>-1.4895129999999999E-2</v>
      </c>
      <c r="O763">
        <v>-0.1243553</v>
      </c>
      <c r="P763">
        <v>0.96300140000000001</v>
      </c>
      <c r="Q763">
        <v>-0.11000269999999999</v>
      </c>
      <c r="R763">
        <v>-0.24602379999999999</v>
      </c>
      <c r="S763">
        <v>2.865891</v>
      </c>
      <c r="T763">
        <v>-0.22946929999999999</v>
      </c>
      <c r="U763">
        <v>-0.86914059999999904</v>
      </c>
      <c r="V763">
        <v>0.124946</v>
      </c>
      <c r="W763">
        <v>-9.4514119999999993E-2</v>
      </c>
      <c r="X763">
        <v>0.98765150000000002</v>
      </c>
      <c r="Y763">
        <v>0.1685972</v>
      </c>
      <c r="Z763" s="1">
        <v>-3.8577710000000002E-5</v>
      </c>
      <c r="AA763">
        <v>0.98568509999999998</v>
      </c>
      <c r="AB763">
        <v>36</v>
      </c>
      <c r="AC763">
        <v>13.509399999999999</v>
      </c>
      <c r="AD763">
        <v>-1.1119424931619999</v>
      </c>
      <c r="AE763">
        <v>-4.1653000000000002</v>
      </c>
      <c r="AF763">
        <v>2.4377276526487499</v>
      </c>
      <c r="AG763">
        <v>-1.1119424931619999</v>
      </c>
      <c r="AH763">
        <v>13.836944169704401</v>
      </c>
      <c r="AI763">
        <v>94.525048347306907</v>
      </c>
      <c r="AJ763">
        <v>80.008429379752101</v>
      </c>
      <c r="AK763">
        <v>14.093968787112599</v>
      </c>
      <c r="AL763">
        <v>95.423355361822402</v>
      </c>
      <c r="AM763">
        <v>82.789916218475696</v>
      </c>
      <c r="AN763">
        <v>0.999999953623811</v>
      </c>
    </row>
    <row r="764" spans="1:40" x14ac:dyDescent="0.25">
      <c r="A764" t="str">
        <f>"20190305135553743"</f>
        <v>20190305135553743</v>
      </c>
      <c r="B764" t="str">
        <f>"1551765353732487"</f>
        <v>1551765353732487</v>
      </c>
      <c r="C764" t="s">
        <v>40</v>
      </c>
      <c r="D764">
        <v>4.3618949999999996</v>
      </c>
      <c r="E764">
        <v>0.50625949999999997</v>
      </c>
      <c r="F764" t="s">
        <v>42</v>
      </c>
      <c r="G764">
        <v>-215.32910000000001</v>
      </c>
      <c r="H764" s="1">
        <v>-3.3358599999999999E-6</v>
      </c>
      <c r="I764">
        <v>363.00080000000003</v>
      </c>
      <c r="J764">
        <v>-228.46729999999999</v>
      </c>
      <c r="K764">
        <v>1.1121259999999999</v>
      </c>
      <c r="L764">
        <v>366.72149999999999</v>
      </c>
      <c r="M764">
        <v>0.99242379999999997</v>
      </c>
      <c r="N764">
        <v>-1.4893429999999999E-2</v>
      </c>
      <c r="O764">
        <v>-0.1219558</v>
      </c>
      <c r="P764">
        <v>0.9640649</v>
      </c>
      <c r="Q764">
        <v>-0.11041330000000001</v>
      </c>
      <c r="R764">
        <v>-0.2416364</v>
      </c>
      <c r="S764">
        <v>2.8815770000000001</v>
      </c>
      <c r="T764">
        <v>-0.2395891</v>
      </c>
      <c r="U764">
        <v>-0.80758669999999899</v>
      </c>
      <c r="V764">
        <v>0.1228921</v>
      </c>
      <c r="W764">
        <v>-9.4879829999999998E-2</v>
      </c>
      <c r="X764">
        <v>0.98787420000000004</v>
      </c>
      <c r="Y764">
        <v>0.15009259999999999</v>
      </c>
      <c r="Z764">
        <v>8.2858509999999999E-4</v>
      </c>
      <c r="AA764">
        <v>0.98867159999999998</v>
      </c>
      <c r="AB764">
        <v>36</v>
      </c>
      <c r="AC764">
        <v>13.1381999999999</v>
      </c>
      <c r="AD764">
        <v>-1.11212933586</v>
      </c>
      <c r="AE764">
        <v>-3.7206999999999599</v>
      </c>
      <c r="AF764">
        <v>2.0766879232184499</v>
      </c>
      <c r="AG764">
        <v>-1.11212933586</v>
      </c>
      <c r="AH764">
        <v>13.4049993987013</v>
      </c>
      <c r="AI764">
        <v>94.6869566980846</v>
      </c>
      <c r="AJ764">
        <v>81.193804064246095</v>
      </c>
      <c r="AK764">
        <v>13.610417821261199</v>
      </c>
      <c r="AL764">
        <v>95.444403103699102</v>
      </c>
      <c r="AM764">
        <v>82.908803344585905</v>
      </c>
      <c r="AN764">
        <v>1.00000004270443</v>
      </c>
    </row>
    <row r="765" spans="1:40" x14ac:dyDescent="0.25">
      <c r="A765" t="str">
        <f>"20190305135553761"</f>
        <v>20190305135553761</v>
      </c>
      <c r="B765" t="str">
        <f>"1551765353752983"</f>
        <v>1551765353752983</v>
      </c>
      <c r="C765" t="s">
        <v>40</v>
      </c>
      <c r="D765">
        <v>4.312913</v>
      </c>
      <c r="E765">
        <v>0.50458510000000001</v>
      </c>
      <c r="F765" t="s">
        <v>41</v>
      </c>
      <c r="G765">
        <v>-227.65049999999999</v>
      </c>
      <c r="H765">
        <v>1.045077</v>
      </c>
      <c r="I765">
        <v>366.50319999999999</v>
      </c>
      <c r="J765">
        <v>-228.1799</v>
      </c>
      <c r="K765">
        <v>1.1123339999999999</v>
      </c>
      <c r="L765">
        <v>366.68900000000002</v>
      </c>
      <c r="M765">
        <v>0.99279050000000002</v>
      </c>
      <c r="N765">
        <v>-1.489122E-2</v>
      </c>
      <c r="O765">
        <v>-0.1189342</v>
      </c>
      <c r="P765">
        <v>0.96562700000000001</v>
      </c>
      <c r="Q765">
        <v>-0.11147799999999999</v>
      </c>
      <c r="R765">
        <v>-0.23481379999999999</v>
      </c>
      <c r="S765">
        <v>2.891251</v>
      </c>
      <c r="T765">
        <v>-0.2380244</v>
      </c>
      <c r="U765">
        <v>-0.77124019999999904</v>
      </c>
      <c r="V765">
        <v>0.1189902</v>
      </c>
      <c r="W765">
        <v>-9.5907489999999998E-2</v>
      </c>
      <c r="X765">
        <v>0.98825249999999998</v>
      </c>
      <c r="Y765">
        <v>0.1407011</v>
      </c>
      <c r="Z765">
        <v>1.054152E-3</v>
      </c>
      <c r="AA765">
        <v>0.99005160000000003</v>
      </c>
      <c r="AB765">
        <v>36</v>
      </c>
      <c r="AC765">
        <v>0.52940000000000897</v>
      </c>
      <c r="AD765">
        <v>-6.72569999999999E-2</v>
      </c>
      <c r="AE765">
        <v>-0.185800000000028</v>
      </c>
      <c r="AF765">
        <v>0.119788802095927</v>
      </c>
      <c r="AG765">
        <v>-6.72569999999999E-2</v>
      </c>
      <c r="AH765">
        <v>0.53998238293939105</v>
      </c>
      <c r="AI765">
        <v>96.933011910395194</v>
      </c>
      <c r="AJ765">
        <v>77.492153103175795</v>
      </c>
      <c r="AK765">
        <v>0.55718384312673697</v>
      </c>
      <c r="AL765">
        <v>95.503553894069</v>
      </c>
      <c r="AM765">
        <v>83.134371859079195</v>
      </c>
      <c r="AN765">
        <v>0.99999995904519401</v>
      </c>
    </row>
    <row r="766" spans="1:40" x14ac:dyDescent="0.25">
      <c r="A766" t="str">
        <f>"20190305135553783"</f>
        <v>20190305135553783</v>
      </c>
      <c r="B766" t="str">
        <f>"1551765353772503"</f>
        <v>1551765353772503</v>
      </c>
      <c r="C766" t="s">
        <v>40</v>
      </c>
      <c r="D766">
        <v>4.3014429999999999</v>
      </c>
      <c r="E766">
        <v>0.50374229999999998</v>
      </c>
      <c r="F766" t="s">
        <v>41</v>
      </c>
      <c r="G766">
        <v>-227.32679999999999</v>
      </c>
      <c r="H766">
        <v>1.0486489999999999</v>
      </c>
      <c r="I766">
        <v>366.47219999999999</v>
      </c>
      <c r="J766">
        <v>-227.8237</v>
      </c>
      <c r="K766">
        <v>1.1125499999999999</v>
      </c>
      <c r="L766">
        <v>366.6499</v>
      </c>
      <c r="M766">
        <v>0.99324730000000006</v>
      </c>
      <c r="N766">
        <v>-1.488862E-2</v>
      </c>
      <c r="O766">
        <v>-0.11505799999999999</v>
      </c>
      <c r="P766">
        <v>0.96730640000000001</v>
      </c>
      <c r="Q766">
        <v>-0.11239109999999999</v>
      </c>
      <c r="R766">
        <v>-0.2273472</v>
      </c>
      <c r="S766">
        <v>2.9024809999999999</v>
      </c>
      <c r="T766">
        <v>-0.21686649999999999</v>
      </c>
      <c r="U766">
        <v>-0.73727419999999899</v>
      </c>
      <c r="V766">
        <v>0.1152907</v>
      </c>
      <c r="W766">
        <v>-9.6781939999999997E-2</v>
      </c>
      <c r="X766">
        <v>0.98860570000000003</v>
      </c>
      <c r="Y766">
        <v>0.13280420000000001</v>
      </c>
      <c r="Z766">
        <v>8.3023609999999996E-4</v>
      </c>
      <c r="AA766">
        <v>0.99114190000000002</v>
      </c>
      <c r="AB766">
        <v>36</v>
      </c>
      <c r="AC766">
        <v>0.49690000000001</v>
      </c>
      <c r="AD766">
        <v>-6.3900999999999902E-2</v>
      </c>
      <c r="AE766">
        <v>-0.17770000000001501</v>
      </c>
      <c r="AF766">
        <v>0.11761638007288</v>
      </c>
      <c r="AG766">
        <v>-6.3900999999999902E-2</v>
      </c>
      <c r="AH766">
        <v>0.50661896935894402</v>
      </c>
      <c r="AI766">
        <v>97.0045200534922</v>
      </c>
      <c r="AJ766">
        <v>76.929780150246103</v>
      </c>
      <c r="AK766">
        <v>0.52400355988940195</v>
      </c>
      <c r="AL766">
        <v>95.553890352131205</v>
      </c>
      <c r="AM766">
        <v>83.348241268988502</v>
      </c>
      <c r="AN766">
        <v>0.99999995974457101</v>
      </c>
    </row>
    <row r="767" spans="1:40" x14ac:dyDescent="0.25">
      <c r="A767" t="str">
        <f>"20190305135553806"</f>
        <v>20190305135553806</v>
      </c>
      <c r="B767" t="str">
        <f>"1551765353802759"</f>
        <v>1551765353802759</v>
      </c>
      <c r="C767" t="s">
        <v>40</v>
      </c>
      <c r="D767">
        <v>4.5193349999999999</v>
      </c>
      <c r="E767">
        <v>0.50225089999999994</v>
      </c>
      <c r="F767" t="s">
        <v>42</v>
      </c>
      <c r="G767">
        <v>-212.05420000000001</v>
      </c>
      <c r="H767" s="1">
        <v>-4.5974659999999999E-6</v>
      </c>
      <c r="I767">
        <v>362.81529999999998</v>
      </c>
      <c r="J767">
        <v>-227.4616</v>
      </c>
      <c r="K767">
        <v>1.1127370000000001</v>
      </c>
      <c r="L767">
        <v>366.61169999999998</v>
      </c>
      <c r="M767">
        <v>0.99370959999999997</v>
      </c>
      <c r="N767">
        <v>-1.4886369999999999E-2</v>
      </c>
      <c r="O767">
        <v>-0.11099340000000001</v>
      </c>
      <c r="P767">
        <v>0.96884020000000004</v>
      </c>
      <c r="Q767">
        <v>-0.11410919999999999</v>
      </c>
      <c r="R767">
        <v>-0.21983649999999999</v>
      </c>
      <c r="S767">
        <v>2.9111630000000002</v>
      </c>
      <c r="T767">
        <v>-0.2053846</v>
      </c>
      <c r="U767">
        <v>-0.70788569999999995</v>
      </c>
      <c r="V767">
        <v>0.1117541</v>
      </c>
      <c r="W767">
        <v>-9.8473430000000001E-2</v>
      </c>
      <c r="X767">
        <v>0.98884479999999997</v>
      </c>
      <c r="Y767">
        <v>0.12675310000000001</v>
      </c>
      <c r="Z767">
        <v>6.7616460000000003E-4</v>
      </c>
      <c r="AA767">
        <v>0.99193410000000004</v>
      </c>
      <c r="AB767">
        <v>36</v>
      </c>
      <c r="AC767">
        <v>15.4073999999999</v>
      </c>
      <c r="AD767">
        <v>-1.112741597466</v>
      </c>
      <c r="AE767">
        <v>-3.7964000000000002</v>
      </c>
      <c r="AF767">
        <v>2.0525350154381701</v>
      </c>
      <c r="AG767">
        <v>-1.112741597466</v>
      </c>
      <c r="AH767">
        <v>15.6566116035545</v>
      </c>
      <c r="AI767">
        <v>94.0308957219397</v>
      </c>
      <c r="AJ767">
        <v>82.531286928513097</v>
      </c>
      <c r="AK767">
        <v>15.829737229559001</v>
      </c>
      <c r="AL767">
        <v>95.6512704678006</v>
      </c>
      <c r="AM767">
        <v>83.552087557856694</v>
      </c>
      <c r="AN767">
        <v>1.0000000168848999</v>
      </c>
    </row>
    <row r="768" spans="1:40" x14ac:dyDescent="0.25">
      <c r="A768" t="str">
        <f>"20190305135553830"</f>
        <v>20190305135553830</v>
      </c>
      <c r="B768" t="str">
        <f>"1551765353822286"</f>
        <v>1551765353822286</v>
      </c>
      <c r="C768" t="s">
        <v>40</v>
      </c>
      <c r="D768">
        <v>4.4235740000000003</v>
      </c>
      <c r="E768">
        <v>0.50173279999999998</v>
      </c>
      <c r="F768" t="s">
        <v>41</v>
      </c>
      <c r="G768">
        <v>-226.67660000000001</v>
      </c>
      <c r="H768">
        <v>1.054068</v>
      </c>
      <c r="I768">
        <v>366.43029999999999</v>
      </c>
      <c r="J768">
        <v>-227.0907</v>
      </c>
      <c r="K768">
        <v>1.1129039999999999</v>
      </c>
      <c r="L768">
        <v>366.57429999999999</v>
      </c>
      <c r="M768">
        <v>0.99417860000000002</v>
      </c>
      <c r="N768">
        <v>-1.488449E-2</v>
      </c>
      <c r="O768">
        <v>-0.1067135</v>
      </c>
      <c r="P768">
        <v>0.97030369999999999</v>
      </c>
      <c r="Q768">
        <v>-0.1161007</v>
      </c>
      <c r="R768">
        <v>-0.21220729999999999</v>
      </c>
      <c r="S768">
        <v>2.9178769999999998</v>
      </c>
      <c r="T768">
        <v>-0.21842980000000001</v>
      </c>
      <c r="U768">
        <v>-0.67373660000000002</v>
      </c>
      <c r="V768">
        <v>0.1083221</v>
      </c>
      <c r="W768">
        <v>-0.1004472</v>
      </c>
      <c r="X768">
        <v>0.98902820000000002</v>
      </c>
      <c r="Y768">
        <v>0.119504</v>
      </c>
      <c r="Z768">
        <v>9.5441259999999996E-4</v>
      </c>
      <c r="AA768">
        <v>0.99283330000000003</v>
      </c>
      <c r="AB768">
        <v>36</v>
      </c>
      <c r="AC768">
        <v>0.41409999999998998</v>
      </c>
      <c r="AD768">
        <v>-5.8836000000000097E-2</v>
      </c>
      <c r="AE768">
        <v>-0.14400000000000501</v>
      </c>
      <c r="AF768">
        <v>9.7231521059928702E-2</v>
      </c>
      <c r="AG768">
        <v>-5.8836000000000097E-2</v>
      </c>
      <c r="AH768">
        <v>0.419547527229293</v>
      </c>
      <c r="AI768">
        <v>97.779359920052599</v>
      </c>
      <c r="AJ768">
        <v>76.9518629496947</v>
      </c>
      <c r="AK768">
        <v>0.43466742595672098</v>
      </c>
      <c r="AL768">
        <v>95.764922532013102</v>
      </c>
      <c r="AM768">
        <v>83.749662493933002</v>
      </c>
      <c r="AN768">
        <v>1.0000000488657399</v>
      </c>
    </row>
    <row r="769" spans="1:40" x14ac:dyDescent="0.25">
      <c r="A769" t="str">
        <f>"20190305135553852"</f>
        <v>20190305135553852</v>
      </c>
      <c r="B769" t="str">
        <f>"1551765353842775"</f>
        <v>1551765353842775</v>
      </c>
      <c r="C769" t="s">
        <v>40</v>
      </c>
      <c r="D769">
        <v>4.4146340000000004</v>
      </c>
      <c r="E769">
        <v>0.50168959999999996</v>
      </c>
      <c r="F769" t="s">
        <v>42</v>
      </c>
      <c r="G769">
        <v>-212.77350000000001</v>
      </c>
      <c r="H769" s="1">
        <v>-4.1840429999999901E-6</v>
      </c>
      <c r="I769">
        <v>363.40620000000001</v>
      </c>
      <c r="J769">
        <v>-226.73859999999999</v>
      </c>
      <c r="K769">
        <v>1.11304</v>
      </c>
      <c r="L769">
        <v>366.54039999999998</v>
      </c>
      <c r="M769">
        <v>0.99461840000000001</v>
      </c>
      <c r="N769">
        <v>-1.4883759999999999E-2</v>
      </c>
      <c r="O769">
        <v>-0.1025329</v>
      </c>
      <c r="P769">
        <v>0.97176419999999997</v>
      </c>
      <c r="Q769">
        <v>-0.1178136</v>
      </c>
      <c r="R769">
        <v>-0.2044367</v>
      </c>
      <c r="S769">
        <v>2.9231569999999998</v>
      </c>
      <c r="T769">
        <v>-0.22722239999999999</v>
      </c>
      <c r="U769">
        <v>-0.64682010000000001</v>
      </c>
      <c r="V769">
        <v>0.1046451</v>
      </c>
      <c r="W769">
        <v>-0.1021524</v>
      </c>
      <c r="X769">
        <v>0.9892493</v>
      </c>
      <c r="Y769">
        <v>0.1145844</v>
      </c>
      <c r="Z769">
        <v>1.06036E-3</v>
      </c>
      <c r="AA769">
        <v>0.99341299999999999</v>
      </c>
      <c r="AB769">
        <v>36</v>
      </c>
      <c r="AC769">
        <v>13.9650999999999</v>
      </c>
      <c r="AD769">
        <v>-1.1130441840430001</v>
      </c>
      <c r="AE769">
        <v>-3.1341999999999599</v>
      </c>
      <c r="AF769">
        <v>1.67550421401649</v>
      </c>
      <c r="AG769">
        <v>-1.1130441840430001</v>
      </c>
      <c r="AH769">
        <v>14.1274369864307</v>
      </c>
      <c r="AI769">
        <v>94.473575877040801</v>
      </c>
      <c r="AJ769">
        <v>83.236354285121394</v>
      </c>
      <c r="AK769">
        <v>14.269921426987199</v>
      </c>
      <c r="AL769">
        <v>95.863129098547702</v>
      </c>
      <c r="AM769">
        <v>83.961575017789997</v>
      </c>
      <c r="AN769">
        <v>0.99999994366512801</v>
      </c>
    </row>
    <row r="770" spans="1:40" x14ac:dyDescent="0.25">
      <c r="A770" t="str">
        <f>"20190305135553873"</f>
        <v>20190305135553873</v>
      </c>
      <c r="B770" t="str">
        <f>"1551765353862295"</f>
        <v>1551765353862295</v>
      </c>
      <c r="C770" t="s">
        <v>40</v>
      </c>
      <c r="D770">
        <v>4.4244830000000004</v>
      </c>
      <c r="E770">
        <v>0.49881589999999998</v>
      </c>
      <c r="F770" t="s">
        <v>41</v>
      </c>
      <c r="G770">
        <v>-225.7397</v>
      </c>
      <c r="H770">
        <v>1.0327759999999999</v>
      </c>
      <c r="I770">
        <v>366.32760000000002</v>
      </c>
      <c r="J770">
        <v>-226.39429999999999</v>
      </c>
      <c r="K770">
        <v>1.11317</v>
      </c>
      <c r="L770">
        <v>366.50900000000001</v>
      </c>
      <c r="M770">
        <v>0.99504130000000002</v>
      </c>
      <c r="N770">
        <v>-1.4884319999999999E-2</v>
      </c>
      <c r="O770">
        <v>-9.8344169999999995E-2</v>
      </c>
      <c r="P770">
        <v>0.97335590000000005</v>
      </c>
      <c r="Q770">
        <v>-0.118217</v>
      </c>
      <c r="R770">
        <v>-0.19647680000000001</v>
      </c>
      <c r="S770">
        <v>2.9274749999999998</v>
      </c>
      <c r="T770">
        <v>-0.23539460000000001</v>
      </c>
      <c r="U770">
        <v>-0.62347410000000003</v>
      </c>
      <c r="V770">
        <v>0.1007624</v>
      </c>
      <c r="W770">
        <v>-0.10255209999999999</v>
      </c>
      <c r="X770">
        <v>0.98961100000000002</v>
      </c>
      <c r="Y770">
        <v>0.11088720000000001</v>
      </c>
      <c r="Z770">
        <v>1.089067E-3</v>
      </c>
      <c r="AA770">
        <v>0.99383239999999995</v>
      </c>
      <c r="AB770">
        <v>36</v>
      </c>
      <c r="AC770">
        <v>0.65459999999998697</v>
      </c>
      <c r="AD770">
        <v>-8.0393999999999993E-2</v>
      </c>
      <c r="AE770">
        <v>-0.18139999999999601</v>
      </c>
      <c r="AF770">
        <v>0.114532917164949</v>
      </c>
      <c r="AG770">
        <v>-8.0393999999999993E-2</v>
      </c>
      <c r="AH770">
        <v>0.66002239070045898</v>
      </c>
      <c r="AI770">
        <v>96.843420264903202</v>
      </c>
      <c r="AJ770">
        <v>80.155561644165303</v>
      </c>
      <c r="AK770">
        <v>0.67469292317043195</v>
      </c>
      <c r="AL770">
        <v>95.8861510161871</v>
      </c>
      <c r="AM770">
        <v>84.186167797507593</v>
      </c>
      <c r="AN770">
        <v>0.99999996289458404</v>
      </c>
    </row>
    <row r="771" spans="1:40" x14ac:dyDescent="0.25">
      <c r="A771" t="str">
        <f>"20190305135553895"</f>
        <v>20190305135553895</v>
      </c>
      <c r="B771" t="str">
        <f>"1551765353892551"</f>
        <v>1551765353892551</v>
      </c>
      <c r="C771" t="s">
        <v>40</v>
      </c>
      <c r="D771">
        <v>4.4219540000000004</v>
      </c>
      <c r="E771">
        <v>0.49966450000000001</v>
      </c>
      <c r="F771" t="s">
        <v>41</v>
      </c>
      <c r="G771">
        <v>-225.4118</v>
      </c>
      <c r="H771">
        <v>1.046187</v>
      </c>
      <c r="I771">
        <v>366.31659999999999</v>
      </c>
      <c r="J771">
        <v>-226.03880000000001</v>
      </c>
      <c r="K771">
        <v>1.113299</v>
      </c>
      <c r="L771">
        <v>366.47809999999998</v>
      </c>
      <c r="M771">
        <v>0.99546769999999996</v>
      </c>
      <c r="N771">
        <v>-1.488574E-2</v>
      </c>
      <c r="O771">
        <v>-9.3928949999999997E-2</v>
      </c>
      <c r="P771">
        <v>0.97496689999999997</v>
      </c>
      <c r="Q771">
        <v>-0.118516899999999</v>
      </c>
      <c r="R771">
        <v>-0.1881313</v>
      </c>
      <c r="S771">
        <v>2.941513</v>
      </c>
      <c r="T771">
        <v>-0.200933</v>
      </c>
      <c r="U771">
        <v>-0.57559199999999999</v>
      </c>
      <c r="V771">
        <v>9.6718910000000005E-2</v>
      </c>
      <c r="W771">
        <v>-0.1028538</v>
      </c>
      <c r="X771">
        <v>0.9899831</v>
      </c>
      <c r="Y771">
        <v>9.8853590000000005E-2</v>
      </c>
      <c r="Z771">
        <v>8.5414200000000001E-4</v>
      </c>
      <c r="AA771">
        <v>0.99510160000000003</v>
      </c>
      <c r="AB771">
        <v>36</v>
      </c>
      <c r="AC771">
        <v>0.62700000000000899</v>
      </c>
      <c r="AD771">
        <v>-6.7112000000000005E-2</v>
      </c>
      <c r="AE771">
        <v>-0.16149999999998901</v>
      </c>
      <c r="AF771">
        <v>0.10080283261949401</v>
      </c>
      <c r="AG771">
        <v>-6.7112000000000005E-2</v>
      </c>
      <c r="AH771">
        <v>0.63260186517125805</v>
      </c>
      <c r="AI771">
        <v>95.980893705644903</v>
      </c>
      <c r="AJ771">
        <v>80.946240321993002</v>
      </c>
      <c r="AK771">
        <v>0.64408877604431802</v>
      </c>
      <c r="AL771">
        <v>95.903528857135697</v>
      </c>
      <c r="AM771">
        <v>84.420051709630499</v>
      </c>
      <c r="AN771">
        <v>0.99999999500581904</v>
      </c>
    </row>
    <row r="772" spans="1:40" x14ac:dyDescent="0.25">
      <c r="A772" t="str">
        <f>"20190305135553917"</f>
        <v>20190305135553917</v>
      </c>
      <c r="B772" t="str">
        <f>"1551765353912071"</f>
        <v>1551765353912071</v>
      </c>
      <c r="C772" t="s">
        <v>40</v>
      </c>
      <c r="D772">
        <v>4.3771979999999999</v>
      </c>
      <c r="E772">
        <v>0.50066849999999996</v>
      </c>
      <c r="F772" t="s">
        <v>41</v>
      </c>
      <c r="G772">
        <v>-225.0925</v>
      </c>
      <c r="H772">
        <v>1.047086</v>
      </c>
      <c r="I772">
        <v>366.29860000000002</v>
      </c>
      <c r="J772">
        <v>-225.68459999999999</v>
      </c>
      <c r="K772">
        <v>1.113399</v>
      </c>
      <c r="L772">
        <v>366.44900000000001</v>
      </c>
      <c r="M772">
        <v>0.99588140000000003</v>
      </c>
      <c r="N772">
        <v>-1.48874E-2</v>
      </c>
      <c r="O772">
        <v>-8.9435849999999997E-2</v>
      </c>
      <c r="P772">
        <v>0.97646980000000005</v>
      </c>
      <c r="Q772">
        <v>-0.11902890000000001</v>
      </c>
      <c r="R772">
        <v>-0.1798302</v>
      </c>
      <c r="S772">
        <v>2.9443510000000002</v>
      </c>
      <c r="T772">
        <v>-0.20648540000000001</v>
      </c>
      <c r="U772">
        <v>-0.55770869999999995</v>
      </c>
      <c r="V772">
        <v>9.2809409999999995E-2</v>
      </c>
      <c r="W772">
        <v>-0.10337200000000001</v>
      </c>
      <c r="X772">
        <v>0.9903033</v>
      </c>
      <c r="Y772">
        <v>9.7328300000000006E-2</v>
      </c>
      <c r="Z772">
        <v>7.5682739999999998E-4</v>
      </c>
      <c r="AA772">
        <v>0.99525209999999997</v>
      </c>
      <c r="AB772">
        <v>36</v>
      </c>
      <c r="AC772">
        <v>0.59209999999998697</v>
      </c>
      <c r="AD772">
        <v>-6.6312999999999997E-2</v>
      </c>
      <c r="AE772">
        <v>-0.15039999999998999</v>
      </c>
      <c r="AF772">
        <v>9.5708593169468406E-2</v>
      </c>
      <c r="AG772">
        <v>-6.6312999999999997E-2</v>
      </c>
      <c r="AH772">
        <v>0.596154882295306</v>
      </c>
      <c r="AI772">
        <v>96.267570261576907</v>
      </c>
      <c r="AJ772">
        <v>80.879381259908996</v>
      </c>
      <c r="AK772">
        <v>0.60741928884421303</v>
      </c>
      <c r="AL772">
        <v>95.933378661104896</v>
      </c>
      <c r="AM772">
        <v>84.645982971236094</v>
      </c>
      <c r="AN772">
        <v>0.99999999147971896</v>
      </c>
    </row>
    <row r="773" spans="1:40" x14ac:dyDescent="0.25">
      <c r="A773" t="str">
        <f>"20190305135553941"</f>
        <v>20190305135553941</v>
      </c>
      <c r="B773" t="str">
        <f>"1551765353932570"</f>
        <v>1551765353932570</v>
      </c>
      <c r="C773" t="s">
        <v>40</v>
      </c>
      <c r="D773">
        <v>4.3998869999999997</v>
      </c>
      <c r="E773">
        <v>0.50180859999999905</v>
      </c>
      <c r="F773" t="s">
        <v>41</v>
      </c>
      <c r="G773">
        <v>-224.774</v>
      </c>
      <c r="H773">
        <v>1.0474079999999999</v>
      </c>
      <c r="I773">
        <v>366.28190000000001</v>
      </c>
      <c r="J773">
        <v>-225.30670000000001</v>
      </c>
      <c r="K773">
        <v>1.1135029999999999</v>
      </c>
      <c r="L773">
        <v>366.41980000000001</v>
      </c>
      <c r="M773">
        <v>0.99630960000000002</v>
      </c>
      <c r="N773">
        <v>-1.4889589999999999E-2</v>
      </c>
      <c r="O773">
        <v>-8.4532479999999993E-2</v>
      </c>
      <c r="P773">
        <v>0.97784150000000003</v>
      </c>
      <c r="Q773">
        <v>-0.1206026</v>
      </c>
      <c r="R773">
        <v>-0.17111779999999999</v>
      </c>
      <c r="S773">
        <v>2.9466860000000001</v>
      </c>
      <c r="T773">
        <v>-0.21360190000000001</v>
      </c>
      <c r="U773">
        <v>-0.54043580000000002</v>
      </c>
      <c r="V773">
        <v>8.892332E-2</v>
      </c>
      <c r="W773">
        <v>-0.1049551</v>
      </c>
      <c r="X773">
        <v>0.99049339999999997</v>
      </c>
      <c r="Y773">
        <v>9.6433770000000002E-2</v>
      </c>
      <c r="Z773">
        <v>6.1468709999999997E-4</v>
      </c>
      <c r="AA773">
        <v>0.99533919999999998</v>
      </c>
      <c r="AB773">
        <v>36</v>
      </c>
      <c r="AC773">
        <v>0.53270000000000495</v>
      </c>
      <c r="AD773">
        <v>-6.6095000000000195E-2</v>
      </c>
      <c r="AE773">
        <v>-0.13790000000000099</v>
      </c>
      <c r="AF773">
        <v>9.1057110604692806E-2</v>
      </c>
      <c r="AG773">
        <v>-6.6095000000000195E-2</v>
      </c>
      <c r="AH773">
        <v>0.53473611994389403</v>
      </c>
      <c r="AI773">
        <v>96.947188448608301</v>
      </c>
      <c r="AJ773">
        <v>80.336129527279994</v>
      </c>
      <c r="AK773">
        <v>0.54644548162586704</v>
      </c>
      <c r="AL773">
        <v>96.024579367729601</v>
      </c>
      <c r="AM773">
        <v>84.869921810588394</v>
      </c>
      <c r="AN773">
        <v>1.0000000526496899</v>
      </c>
    </row>
    <row r="774" spans="1:40" x14ac:dyDescent="0.25">
      <c r="A774" t="str">
        <f>"20190305135553961"</f>
        <v>20190305135553961</v>
      </c>
      <c r="B774" t="str">
        <f>"1551765353952087"</f>
        <v>1551765353952087</v>
      </c>
      <c r="C774" t="s">
        <v>40</v>
      </c>
      <c r="D774">
        <v>4.4163750000000004</v>
      </c>
      <c r="E774">
        <v>0.50310189999999999</v>
      </c>
      <c r="F774" t="s">
        <v>41</v>
      </c>
      <c r="G774">
        <v>-224.45400000000001</v>
      </c>
      <c r="H774">
        <v>1.049447</v>
      </c>
      <c r="I774">
        <v>366.26830000000001</v>
      </c>
      <c r="J774">
        <v>-224.98689999999999</v>
      </c>
      <c r="K774">
        <v>1.1135980000000001</v>
      </c>
      <c r="L774">
        <v>366.39659999999998</v>
      </c>
      <c r="M774">
        <v>0.99666080000000001</v>
      </c>
      <c r="N774">
        <v>-1.489213E-2</v>
      </c>
      <c r="O774">
        <v>-8.0282820000000005E-2</v>
      </c>
      <c r="P774">
        <v>0.97908090000000003</v>
      </c>
      <c r="Q774">
        <v>-0.1218885</v>
      </c>
      <c r="R774">
        <v>-0.16292209999999999</v>
      </c>
      <c r="S774">
        <v>2.94902</v>
      </c>
      <c r="T774">
        <v>-0.22185930000000001</v>
      </c>
      <c r="U774">
        <v>-0.52337650000000002</v>
      </c>
      <c r="V774">
        <v>8.4909330000000005E-2</v>
      </c>
      <c r="W774">
        <v>-0.106257199999999</v>
      </c>
      <c r="X774">
        <v>0.99070670000000005</v>
      </c>
      <c r="Y774">
        <v>9.4951789999999994E-2</v>
      </c>
      <c r="Z774">
        <v>5.2836820000000005E-4</v>
      </c>
      <c r="AA774">
        <v>0.99548170000000002</v>
      </c>
      <c r="AB774">
        <v>36</v>
      </c>
      <c r="AC774">
        <v>0.53289999999998305</v>
      </c>
      <c r="AD774">
        <v>-6.4150999999999805E-2</v>
      </c>
      <c r="AE774">
        <v>-0.128299999999967</v>
      </c>
      <c r="AF774">
        <v>8.3948417366916994E-2</v>
      </c>
      <c r="AG774">
        <v>-6.4150999999999805E-2</v>
      </c>
      <c r="AH774">
        <v>0.53416414735737805</v>
      </c>
      <c r="AI774">
        <v>96.765936457991899</v>
      </c>
      <c r="AJ774">
        <v>81.068537197412795</v>
      </c>
      <c r="AK774">
        <v>0.54451264806379296</v>
      </c>
      <c r="AL774">
        <v>96.099604205778107</v>
      </c>
      <c r="AM774">
        <v>85.101389064531602</v>
      </c>
      <c r="AN774">
        <v>0.99999997614888902</v>
      </c>
    </row>
    <row r="775" spans="1:40" x14ac:dyDescent="0.25">
      <c r="A775" t="str">
        <f>"20190305135554075"</f>
        <v>20190305135554075</v>
      </c>
      <c r="B775" t="str">
        <f>"1551765354062376"</f>
        <v>1551765354062376</v>
      </c>
      <c r="C775" t="s">
        <v>40</v>
      </c>
      <c r="D775">
        <v>4.1807119999999998</v>
      </c>
      <c r="E775">
        <v>0.3680871</v>
      </c>
      <c r="F775" t="s">
        <v>49</v>
      </c>
      <c r="G775">
        <v>-158.19499999999999</v>
      </c>
      <c r="H775">
        <v>1.8410010000000001</v>
      </c>
      <c r="I775">
        <v>381.15170000000001</v>
      </c>
      <c r="J775">
        <v>-223.2079</v>
      </c>
      <c r="K775">
        <v>1.1140699999999999</v>
      </c>
      <c r="L775">
        <v>366.2953</v>
      </c>
      <c r="M775">
        <v>0.99837480000000001</v>
      </c>
      <c r="N775">
        <v>-1.4913269999999999E-2</v>
      </c>
      <c r="O775">
        <v>-5.5003580000000003E-2</v>
      </c>
      <c r="P775">
        <v>0.98822030000000005</v>
      </c>
      <c r="Q775">
        <v>-0.120534</v>
      </c>
      <c r="R775">
        <v>-9.4297759999999994E-2</v>
      </c>
      <c r="S775">
        <v>3.1215670000000002</v>
      </c>
      <c r="T775">
        <v>3.4720059999999997E-2</v>
      </c>
      <c r="U775">
        <v>0.70864869999999902</v>
      </c>
      <c r="V775">
        <v>4.103221E-2</v>
      </c>
      <c r="W775">
        <v>-0.10525329999999999</v>
      </c>
      <c r="X775">
        <v>0.9935986</v>
      </c>
      <c r="Y775">
        <v>-0.27468169999999997</v>
      </c>
      <c r="Z775">
        <v>-8.4811779999999996E-4</v>
      </c>
      <c r="AA775">
        <v>0.96153480000000002</v>
      </c>
      <c r="AB775">
        <v>36</v>
      </c>
      <c r="AC775">
        <v>65.012900000000002</v>
      </c>
      <c r="AD775">
        <v>0.72693099999999899</v>
      </c>
      <c r="AE775">
        <v>14.856400000000001</v>
      </c>
      <c r="AF775">
        <v>-18.408057431653699</v>
      </c>
      <c r="AG775">
        <v>0.72693099999999899</v>
      </c>
      <c r="AH775">
        <v>64.089597751395104</v>
      </c>
      <c r="AI775">
        <v>89.375406270457205</v>
      </c>
      <c r="AJ775">
        <v>106.025325009605</v>
      </c>
      <c r="AK775">
        <v>66.684792471908096</v>
      </c>
      <c r="AL775">
        <v>96.041760213663196</v>
      </c>
      <c r="AM775">
        <v>87.635224759276596</v>
      </c>
      <c r="AN775">
        <v>1.00000003867016</v>
      </c>
    </row>
    <row r="776" spans="1:40" x14ac:dyDescent="0.25">
      <c r="A776" t="str">
        <f>"20190305135554096"</f>
        <v>20190305135554096</v>
      </c>
      <c r="B776" t="str">
        <f>"1551765354092632"</f>
        <v>1551765354092632</v>
      </c>
      <c r="C776" t="s">
        <v>40</v>
      </c>
      <c r="D776">
        <v>4.2318449999999999</v>
      </c>
      <c r="E776">
        <v>0.36912729999999999</v>
      </c>
      <c r="F776" t="s">
        <v>49</v>
      </c>
      <c r="G776">
        <v>-158.19499999999999</v>
      </c>
      <c r="H776">
        <v>1.8042020000000001</v>
      </c>
      <c r="I776">
        <v>382.58300000000003</v>
      </c>
      <c r="J776">
        <v>-222.8586</v>
      </c>
      <c r="K776">
        <v>1.114114</v>
      </c>
      <c r="L776">
        <v>366.28109999999998</v>
      </c>
      <c r="M776">
        <v>0.99864770000000003</v>
      </c>
      <c r="N776">
        <v>-1.491554E-2</v>
      </c>
      <c r="O776">
        <v>-4.9803590000000002E-2</v>
      </c>
      <c r="P776">
        <v>0.98923070000000002</v>
      </c>
      <c r="Q776">
        <v>-0.1216156</v>
      </c>
      <c r="R776">
        <v>-8.1440719999999994E-2</v>
      </c>
      <c r="S776">
        <v>3.1142430000000001</v>
      </c>
      <c r="T776">
        <v>3.306282E-2</v>
      </c>
      <c r="U776">
        <v>0.78021240000000003</v>
      </c>
      <c r="V776">
        <v>3.3332569999999999E-2</v>
      </c>
      <c r="W776">
        <v>-0.1064167</v>
      </c>
      <c r="X776">
        <v>0.9937627</v>
      </c>
      <c r="Y776">
        <v>-0.2910256</v>
      </c>
      <c r="Z776">
        <v>-5.6971820000000005E-4</v>
      </c>
      <c r="AA776">
        <v>0.95671510000000004</v>
      </c>
      <c r="AB776">
        <v>36</v>
      </c>
      <c r="AC776">
        <v>64.663600000000002</v>
      </c>
      <c r="AD776">
        <v>0.69008800000000003</v>
      </c>
      <c r="AE776">
        <v>16.3019</v>
      </c>
      <c r="AF776">
        <v>-19.500414702678601</v>
      </c>
      <c r="AG776">
        <v>0.69008800000000003</v>
      </c>
      <c r="AH776">
        <v>63.764524973254602</v>
      </c>
      <c r="AI776">
        <v>89.4070500418092</v>
      </c>
      <c r="AJ776">
        <v>107.00463700672201</v>
      </c>
      <c r="AK776">
        <v>66.683259069192104</v>
      </c>
      <c r="AL776">
        <v>96.108795220468394</v>
      </c>
      <c r="AM776">
        <v>88.078917782804098</v>
      </c>
      <c r="AN776">
        <v>0.99999993908648999</v>
      </c>
    </row>
    <row r="777" spans="1:40" x14ac:dyDescent="0.25">
      <c r="A777" t="str">
        <f>"20190305135554118"</f>
        <v>20190305135554118</v>
      </c>
      <c r="B777" t="str">
        <f>"1551765354112151"</f>
        <v>1551765354112151</v>
      </c>
      <c r="C777" t="s">
        <v>40</v>
      </c>
      <c r="D777">
        <v>4.1948470000000002</v>
      </c>
      <c r="E777">
        <v>0.3700272</v>
      </c>
      <c r="F777" t="s">
        <v>49</v>
      </c>
      <c r="G777">
        <v>-158.19499999999999</v>
      </c>
      <c r="H777">
        <v>1.5465869999999999</v>
      </c>
      <c r="I777">
        <v>383.22590000000002</v>
      </c>
      <c r="J777">
        <v>-222.5052</v>
      </c>
      <c r="K777">
        <v>1.114134</v>
      </c>
      <c r="L777">
        <v>366.26859999999999</v>
      </c>
      <c r="M777">
        <v>0.99889740000000005</v>
      </c>
      <c r="N777">
        <v>-1.491668E-2</v>
      </c>
      <c r="O777">
        <v>-4.451223E-2</v>
      </c>
      <c r="P777">
        <v>0.98976149999999996</v>
      </c>
      <c r="Q777">
        <v>-0.12501180000000001</v>
      </c>
      <c r="R777">
        <v>-6.8877640000000004E-2</v>
      </c>
      <c r="S777">
        <v>3.1021420000000002</v>
      </c>
      <c r="T777">
        <v>2.0751479999999999E-2</v>
      </c>
      <c r="U777">
        <v>0.81289669999999903</v>
      </c>
      <c r="V777">
        <v>2.6063920000000001E-2</v>
      </c>
      <c r="W777">
        <v>-0.1098991</v>
      </c>
      <c r="X777">
        <v>0.99360099999999996</v>
      </c>
      <c r="Y777">
        <v>-0.29629519999999998</v>
      </c>
      <c r="Z777">
        <v>3.2677200000000002E-4</v>
      </c>
      <c r="AA777">
        <v>0.95509639999999996</v>
      </c>
      <c r="AB777">
        <v>35</v>
      </c>
      <c r="AC777">
        <v>64.310199999999995</v>
      </c>
      <c r="AD777">
        <v>0.43245299999999998</v>
      </c>
      <c r="AE777">
        <v>16.9573</v>
      </c>
      <c r="AF777">
        <v>-19.802560752114299</v>
      </c>
      <c r="AG777">
        <v>0.43245299999999998</v>
      </c>
      <c r="AH777">
        <v>63.4888685323156</v>
      </c>
      <c r="AI777">
        <v>89.627438439528305</v>
      </c>
      <c r="AJ777">
        <v>107.323015028228</v>
      </c>
      <c r="AK777">
        <v>66.506878256703899</v>
      </c>
      <c r="AL777">
        <v>96.309498884752102</v>
      </c>
      <c r="AM777">
        <v>88.497374472699704</v>
      </c>
      <c r="AN777">
        <v>1.0000000436537799</v>
      </c>
    </row>
    <row r="778" spans="1:40" x14ac:dyDescent="0.25">
      <c r="A778" t="str">
        <f>"20190305135554140"</f>
        <v>20190305135554140</v>
      </c>
      <c r="B778" t="str">
        <f>"1551765354132651"</f>
        <v>1551765354132651</v>
      </c>
      <c r="C778" t="s">
        <v>40</v>
      </c>
      <c r="D778">
        <v>4.2279549999999997</v>
      </c>
      <c r="E778">
        <v>0.3707337</v>
      </c>
      <c r="F778" t="s">
        <v>49</v>
      </c>
      <c r="G778">
        <v>-167.2439</v>
      </c>
      <c r="H778">
        <v>1.3880840000000001</v>
      </c>
      <c r="I778">
        <v>381.38529999999997</v>
      </c>
      <c r="J778">
        <v>-222.16380000000001</v>
      </c>
      <c r="K778">
        <v>1.1141350000000001</v>
      </c>
      <c r="L778">
        <v>366.25830000000002</v>
      </c>
      <c r="M778">
        <v>0.99911229999999995</v>
      </c>
      <c r="N778">
        <v>-1.4916530000000001E-2</v>
      </c>
      <c r="O778">
        <v>-3.9398790000000003E-2</v>
      </c>
      <c r="P778">
        <v>0.98999519999999996</v>
      </c>
      <c r="Q778">
        <v>-0.12848899999999999</v>
      </c>
      <c r="R778">
        <v>-5.8313740000000003E-2</v>
      </c>
      <c r="S778">
        <v>3.0918269999999999</v>
      </c>
      <c r="T778">
        <v>1.5332220000000001E-2</v>
      </c>
      <c r="U778">
        <v>0.84576419999999997</v>
      </c>
      <c r="V778">
        <v>2.06217E-2</v>
      </c>
      <c r="W778">
        <v>-0.1134454</v>
      </c>
      <c r="X778">
        <v>0.99333020000000005</v>
      </c>
      <c r="Y778">
        <v>-0.30165619999999999</v>
      </c>
      <c r="Z778">
        <v>7.8756009999999903E-4</v>
      </c>
      <c r="AA778">
        <v>0.9534165</v>
      </c>
      <c r="AB778">
        <v>35</v>
      </c>
      <c r="AC778">
        <v>54.919899999999998</v>
      </c>
      <c r="AD778">
        <v>0.273949</v>
      </c>
      <c r="AE778">
        <v>15.126999999999899</v>
      </c>
      <c r="AF778">
        <v>-17.278870864891299</v>
      </c>
      <c r="AG778">
        <v>0.273949</v>
      </c>
      <c r="AH778">
        <v>54.279941744091602</v>
      </c>
      <c r="AI778">
        <v>89.724456446237696</v>
      </c>
      <c r="AJ778">
        <v>107.657773185765</v>
      </c>
      <c r="AK778">
        <v>56.9644319041467</v>
      </c>
      <c r="AL778">
        <v>96.513966220210406</v>
      </c>
      <c r="AM778">
        <v>88.8107009341131</v>
      </c>
      <c r="AN778">
        <v>0.99999999976204501</v>
      </c>
    </row>
    <row r="779" spans="1:40" x14ac:dyDescent="0.25">
      <c r="A779" t="str">
        <f>"20190305135554162"</f>
        <v>20190305135554162</v>
      </c>
      <c r="B779" t="str">
        <f>"1551765354152167"</f>
        <v>1551765354152167</v>
      </c>
      <c r="C779" t="s">
        <v>40</v>
      </c>
      <c r="D779">
        <v>4.2583650000000004</v>
      </c>
      <c r="E779">
        <v>0.3715328</v>
      </c>
      <c r="F779" t="s">
        <v>49</v>
      </c>
      <c r="G779">
        <v>-168.81540000000001</v>
      </c>
      <c r="H779">
        <v>1.1566540000000001</v>
      </c>
      <c r="I779">
        <v>381.38529999999997</v>
      </c>
      <c r="J779">
        <v>-221.81819999999999</v>
      </c>
      <c r="K779">
        <v>1.1141259999999999</v>
      </c>
      <c r="L779">
        <v>366.24950000000001</v>
      </c>
      <c r="M779">
        <v>0.99930240000000004</v>
      </c>
      <c r="N779">
        <v>-1.491514E-2</v>
      </c>
      <c r="O779">
        <v>-3.4239260000000001E-2</v>
      </c>
      <c r="P779">
        <v>0.99036150000000001</v>
      </c>
      <c r="Q779">
        <v>-0.12977139999999901</v>
      </c>
      <c r="R779">
        <v>-4.841111E-2</v>
      </c>
      <c r="S779">
        <v>3.0821079999999998</v>
      </c>
      <c r="T779">
        <v>2.461553E-3</v>
      </c>
      <c r="U779">
        <v>0.87393189999999998</v>
      </c>
      <c r="V779">
        <v>1.584723E-2</v>
      </c>
      <c r="W779">
        <v>-0.1147878</v>
      </c>
      <c r="X779">
        <v>0.99326360000000002</v>
      </c>
      <c r="Y779">
        <v>-0.30557719999999999</v>
      </c>
      <c r="Z779">
        <v>1.676234E-3</v>
      </c>
      <c r="AA779">
        <v>0.95216579999999995</v>
      </c>
      <c r="AB779">
        <v>35</v>
      </c>
      <c r="AC779">
        <v>53.002799999999901</v>
      </c>
      <c r="AD779">
        <v>4.25280000000001E-2</v>
      </c>
      <c r="AE779">
        <v>15.1357999999999</v>
      </c>
      <c r="AF779">
        <v>-16.941891760292801</v>
      </c>
      <c r="AG779">
        <v>4.25280000000001E-2</v>
      </c>
      <c r="AH779">
        <v>52.453388220439798</v>
      </c>
      <c r="AI779">
        <v>89.955794525296</v>
      </c>
      <c r="AJ779">
        <v>107.899909978571</v>
      </c>
      <c r="AK779">
        <v>55.121569651565899</v>
      </c>
      <c r="AL779">
        <v>96.591385989589895</v>
      </c>
      <c r="AM779">
        <v>89.0859401624367</v>
      </c>
      <c r="AN779">
        <v>0.99999997640623595</v>
      </c>
    </row>
    <row r="780" spans="1:40" x14ac:dyDescent="0.25">
      <c r="A780" t="str">
        <f>"20190305135554185"</f>
        <v>20190305135554185</v>
      </c>
      <c r="B780" t="str">
        <f>"1551765354182425"</f>
        <v>1551765354182425</v>
      </c>
      <c r="C780" t="s">
        <v>40</v>
      </c>
      <c r="D780">
        <v>4.2887199999999996</v>
      </c>
      <c r="E780">
        <v>0.373195</v>
      </c>
      <c r="F780" t="s">
        <v>49</v>
      </c>
      <c r="G780">
        <v>-169.2955</v>
      </c>
      <c r="H780">
        <v>0.99869160000000001</v>
      </c>
      <c r="I780">
        <v>381.61079999999998</v>
      </c>
      <c r="J780">
        <v>-221.46809999999999</v>
      </c>
      <c r="K780">
        <v>1.114098</v>
      </c>
      <c r="L780">
        <v>366.24250000000001</v>
      </c>
      <c r="M780">
        <v>0.99946670000000004</v>
      </c>
      <c r="N780">
        <v>-1.4912450000000001E-2</v>
      </c>
      <c r="O780">
        <v>-2.9054630000000001E-2</v>
      </c>
      <c r="P780">
        <v>0.99078390000000005</v>
      </c>
      <c r="Q780">
        <v>-0.1296988</v>
      </c>
      <c r="R780">
        <v>-3.9062300000000001E-2</v>
      </c>
      <c r="S780">
        <v>3.072235</v>
      </c>
      <c r="T780">
        <v>-6.7470069999999898E-3</v>
      </c>
      <c r="U780">
        <v>0.89852909999999997</v>
      </c>
      <c r="V780">
        <v>1.162756E-2</v>
      </c>
      <c r="W780">
        <v>-0.114768</v>
      </c>
      <c r="X780">
        <v>0.99332430000000005</v>
      </c>
      <c r="Y780">
        <v>-0.30847089999999999</v>
      </c>
      <c r="Z780">
        <v>2.3176989999999999E-3</v>
      </c>
      <c r="AA780">
        <v>0.95123089999999999</v>
      </c>
      <c r="AB780">
        <v>35</v>
      </c>
      <c r="AC780">
        <v>52.172599999999903</v>
      </c>
      <c r="AD780">
        <v>-0.11540640000000001</v>
      </c>
      <c r="AE780">
        <v>15.3682999999999</v>
      </c>
      <c r="AF780">
        <v>-16.877758445004702</v>
      </c>
      <c r="AG780">
        <v>-0.11540640000000001</v>
      </c>
      <c r="AH780">
        <v>51.703766482023703</v>
      </c>
      <c r="AI780">
        <v>90.121574542702206</v>
      </c>
      <c r="AJ780">
        <v>108.078334085584</v>
      </c>
      <c r="AK780">
        <v>54.388891487074098</v>
      </c>
      <c r="AL780">
        <v>96.590243634556003</v>
      </c>
      <c r="AM780">
        <v>89.329343208736006</v>
      </c>
      <c r="AN780">
        <v>1.00000002947302</v>
      </c>
    </row>
    <row r="781" spans="1:40" x14ac:dyDescent="0.25">
      <c r="A781" t="str">
        <f>"20190305135554219"</f>
        <v>20190305135554219</v>
      </c>
      <c r="B781" t="str">
        <f>"1551765354212679"</f>
        <v>1551765354212679</v>
      </c>
      <c r="C781" t="s">
        <v>40</v>
      </c>
      <c r="D781">
        <v>4.3112300000000001</v>
      </c>
      <c r="E781">
        <v>0.3748245</v>
      </c>
      <c r="F781" t="s">
        <v>49</v>
      </c>
      <c r="G781">
        <v>-169.2955</v>
      </c>
      <c r="H781">
        <v>0.84265419999999902</v>
      </c>
      <c r="I781">
        <v>381.82350000000002</v>
      </c>
      <c r="J781">
        <v>-220.9314</v>
      </c>
      <c r="K781">
        <v>1.114036</v>
      </c>
      <c r="L781">
        <v>366.23520000000002</v>
      </c>
      <c r="M781">
        <v>0.99966350000000004</v>
      </c>
      <c r="N781">
        <v>-1.490611E-2</v>
      </c>
      <c r="O781">
        <v>-2.1228520000000001E-2</v>
      </c>
      <c r="P781">
        <v>0.99117429999999995</v>
      </c>
      <c r="Q781">
        <v>-0.12992819999999999</v>
      </c>
      <c r="R781">
        <v>-2.6310460000000001E-2</v>
      </c>
      <c r="S781">
        <v>3.0618590000000001</v>
      </c>
      <c r="T781">
        <v>-1.592505E-2</v>
      </c>
      <c r="U781">
        <v>0.91439820000000005</v>
      </c>
      <c r="V781">
        <v>6.6187470000000003E-3</v>
      </c>
      <c r="W781">
        <v>-0.1150641</v>
      </c>
      <c r="X781">
        <v>0.993336</v>
      </c>
      <c r="Y781">
        <v>-0.30641499999999999</v>
      </c>
      <c r="Z781">
        <v>2.9111789999999999E-3</v>
      </c>
      <c r="AA781">
        <v>0.95189360000000001</v>
      </c>
      <c r="AB781">
        <v>35</v>
      </c>
      <c r="AC781">
        <v>51.6358999999999</v>
      </c>
      <c r="AD781">
        <v>-0.27138180000000001</v>
      </c>
      <c r="AE781">
        <v>15.5883</v>
      </c>
      <c r="AF781">
        <v>-16.6806396768926</v>
      </c>
      <c r="AG781">
        <v>-0.27138180000000001</v>
      </c>
      <c r="AH781">
        <v>51.292009466387199</v>
      </c>
      <c r="AI781">
        <v>90.288283189204904</v>
      </c>
      <c r="AJ781">
        <v>108.015008493213</v>
      </c>
      <c r="AK781">
        <v>53.936885553502698</v>
      </c>
      <c r="AL781">
        <v>96.607322371110996</v>
      </c>
      <c r="AM781">
        <v>89.618235263120795</v>
      </c>
      <c r="AN781">
        <v>0.99999998190832895</v>
      </c>
    </row>
    <row r="782" spans="1:40" x14ac:dyDescent="0.25">
      <c r="A782" t="str">
        <f>"20190305135554240"</f>
        <v>20190305135554240</v>
      </c>
      <c r="B782" t="str">
        <f>"1551765354232822"</f>
        <v>1551765354232822</v>
      </c>
      <c r="C782" t="s">
        <v>40</v>
      </c>
      <c r="D782">
        <v>4.335572</v>
      </c>
      <c r="E782">
        <v>0.37602219999999997</v>
      </c>
      <c r="F782" t="s">
        <v>49</v>
      </c>
      <c r="G782">
        <v>-169.2955</v>
      </c>
      <c r="H782">
        <v>0.71326829999999997</v>
      </c>
      <c r="I782">
        <v>382.15179999999998</v>
      </c>
      <c r="J782">
        <v>-220.59209999999999</v>
      </c>
      <c r="K782">
        <v>1.1139810000000001</v>
      </c>
      <c r="L782">
        <v>366.23270000000002</v>
      </c>
      <c r="M782">
        <v>0.99975499999999995</v>
      </c>
      <c r="N782">
        <v>-1.490096E-2</v>
      </c>
      <c r="O782">
        <v>-1.6369350000000001E-2</v>
      </c>
      <c r="P782">
        <v>0.99131309999999995</v>
      </c>
      <c r="Q782">
        <v>-0.13001679999999999</v>
      </c>
      <c r="R782">
        <v>-1.984959E-2</v>
      </c>
      <c r="S782">
        <v>3.0485380000000002</v>
      </c>
      <c r="T782">
        <v>-2.365577E-2</v>
      </c>
      <c r="U782">
        <v>0.93969729999999996</v>
      </c>
      <c r="V782">
        <v>4.9620649999999999E-3</v>
      </c>
      <c r="W782">
        <v>-0.1151779</v>
      </c>
      <c r="X782">
        <v>0.99333249999999995</v>
      </c>
      <c r="Y782">
        <v>-0.31014659999999999</v>
      </c>
      <c r="Z782">
        <v>3.4253590000000002E-3</v>
      </c>
      <c r="AA782">
        <v>0.95068260000000004</v>
      </c>
      <c r="AB782">
        <v>35</v>
      </c>
      <c r="AC782">
        <v>51.296599999999899</v>
      </c>
      <c r="AD782">
        <v>-0.40071269999999898</v>
      </c>
      <c r="AE782">
        <v>15.919099999999901</v>
      </c>
      <c r="AF782">
        <v>-16.755819133453301</v>
      </c>
      <c r="AG782">
        <v>-0.40071269999999898</v>
      </c>
      <c r="AH782">
        <v>51.026270949502504</v>
      </c>
      <c r="AI782">
        <v>90.427481270576493</v>
      </c>
      <c r="AJ782">
        <v>108.178955542897</v>
      </c>
      <c r="AK782">
        <v>53.708457178669597</v>
      </c>
      <c r="AL782">
        <v>96.613886063657802</v>
      </c>
      <c r="AM782">
        <v>89.713788668570004</v>
      </c>
      <c r="AN782">
        <v>1.00000001314686</v>
      </c>
    </row>
    <row r="783" spans="1:40" x14ac:dyDescent="0.25">
      <c r="A783" t="str">
        <f>"20190305135554263"</f>
        <v>20190305135554263</v>
      </c>
      <c r="B783" t="str">
        <f>"1551765354252343"</f>
        <v>1551765354252343</v>
      </c>
      <c r="C783" t="s">
        <v>40</v>
      </c>
      <c r="D783">
        <v>4.3634029999999999</v>
      </c>
      <c r="E783">
        <v>0.3765598</v>
      </c>
      <c r="F783" t="s">
        <v>49</v>
      </c>
      <c r="G783">
        <v>-169.2955</v>
      </c>
      <c r="H783">
        <v>0.70535950000000003</v>
      </c>
      <c r="I783">
        <v>382.23399999999998</v>
      </c>
      <c r="J783">
        <v>-220.25</v>
      </c>
      <c r="K783">
        <v>1.11392</v>
      </c>
      <c r="L783">
        <v>366.23169999999999</v>
      </c>
      <c r="M783">
        <v>0.9998224</v>
      </c>
      <c r="N783">
        <v>-1.4894900000000001E-2</v>
      </c>
      <c r="O783">
        <v>-1.155375E-2</v>
      </c>
      <c r="P783">
        <v>0.99158599999999997</v>
      </c>
      <c r="Q783">
        <v>-0.1285771</v>
      </c>
      <c r="R783">
        <v>-1.5014970000000001E-2</v>
      </c>
      <c r="S783">
        <v>3.0420989999999999</v>
      </c>
      <c r="T783">
        <v>-2.4227740000000001E-2</v>
      </c>
      <c r="U783">
        <v>0.94894409999999896</v>
      </c>
      <c r="V783">
        <v>4.8656419999999999E-3</v>
      </c>
      <c r="W783">
        <v>-0.1137431</v>
      </c>
      <c r="X783">
        <v>0.99349829999999995</v>
      </c>
      <c r="Y783">
        <v>-0.30876870000000001</v>
      </c>
      <c r="Z783">
        <v>3.4760120000000001E-3</v>
      </c>
      <c r="AA783">
        <v>0.95113080000000005</v>
      </c>
      <c r="AB783">
        <v>35</v>
      </c>
      <c r="AC783">
        <v>50.954500000000003</v>
      </c>
      <c r="AD783">
        <v>-0.40856049999999999</v>
      </c>
      <c r="AE783">
        <v>16.002300000000002</v>
      </c>
      <c r="AF783">
        <v>-16.589041704684501</v>
      </c>
      <c r="AG783">
        <v>-0.40856049999999999</v>
      </c>
      <c r="AH783">
        <v>50.7632205124725</v>
      </c>
      <c r="AI783">
        <v>90.438316779582607</v>
      </c>
      <c r="AJ783">
        <v>108.09700567557501</v>
      </c>
      <c r="AK783">
        <v>53.406626771963701</v>
      </c>
      <c r="AL783">
        <v>96.531134168262298</v>
      </c>
      <c r="AM783">
        <v>89.719397081636501</v>
      </c>
      <c r="AN783">
        <v>1.0000000196862799</v>
      </c>
    </row>
    <row r="784" spans="1:40" x14ac:dyDescent="0.25">
      <c r="A784" t="str">
        <f>"20190305135554287"</f>
        <v>20190305135554287</v>
      </c>
      <c r="B784" t="str">
        <f>"1551765354282598"</f>
        <v>1551765354282598</v>
      </c>
      <c r="C784" t="s">
        <v>40</v>
      </c>
      <c r="D784">
        <v>4.34368</v>
      </c>
      <c r="E784">
        <v>0.39012940000000002</v>
      </c>
      <c r="F784" t="s">
        <v>49</v>
      </c>
      <c r="G784">
        <v>-169.2955</v>
      </c>
      <c r="H784">
        <v>0.81554599999999999</v>
      </c>
      <c r="I784">
        <v>382.31270000000001</v>
      </c>
      <c r="J784">
        <v>-219.87309999999999</v>
      </c>
      <c r="K784">
        <v>1.1138330000000001</v>
      </c>
      <c r="L784">
        <v>366.23230000000001</v>
      </c>
      <c r="M784">
        <v>0.99986889999999995</v>
      </c>
      <c r="N784">
        <v>-1.4887009999999999E-2</v>
      </c>
      <c r="O784">
        <v>-6.3804400000000002E-3</v>
      </c>
      <c r="P784">
        <v>0.99190719999999999</v>
      </c>
      <c r="Q784">
        <v>-0.1265279</v>
      </c>
      <c r="R784">
        <v>-1.0531789999999999E-2</v>
      </c>
      <c r="S784">
        <v>3.0376889999999999</v>
      </c>
      <c r="T784">
        <v>-1.7782570000000001E-2</v>
      </c>
      <c r="U784">
        <v>0.95867919999999995</v>
      </c>
      <c r="V784">
        <v>5.4624979999999997E-3</v>
      </c>
      <c r="W784">
        <v>-0.1116921</v>
      </c>
      <c r="X784">
        <v>0.9937279</v>
      </c>
      <c r="Y784">
        <v>-0.30702299999999999</v>
      </c>
      <c r="Z784">
        <v>3.1608399999999998E-3</v>
      </c>
      <c r="AA784">
        <v>0.95169689999999996</v>
      </c>
      <c r="AB784">
        <v>35</v>
      </c>
      <c r="AC784">
        <v>50.577599999999897</v>
      </c>
      <c r="AD784">
        <v>-0.29828700000000002</v>
      </c>
      <c r="AE784">
        <v>16.080399999999901</v>
      </c>
      <c r="AF784">
        <v>-16.402297563193098</v>
      </c>
      <c r="AG784">
        <v>-0.29828700000000002</v>
      </c>
      <c r="AH784">
        <v>50.472364505055701</v>
      </c>
      <c r="AI784">
        <v>90.322031160825006</v>
      </c>
      <c r="AJ784">
        <v>108.002908047283</v>
      </c>
      <c r="AK784">
        <v>53.0714981813883</v>
      </c>
      <c r="AL784">
        <v>96.412866588853902</v>
      </c>
      <c r="AM784">
        <v>89.685049671380497</v>
      </c>
      <c r="AN784">
        <v>1.0000000516626</v>
      </c>
    </row>
    <row r="785" spans="1:40" x14ac:dyDescent="0.25">
      <c r="A785" t="str">
        <f>"20190305135554308"</f>
        <v>20190305135554308</v>
      </c>
      <c r="B785" t="str">
        <f>"1551765354302118"</f>
        <v>1551765354302118</v>
      </c>
      <c r="C785" t="s">
        <v>40</v>
      </c>
      <c r="D785">
        <v>4.2956479999999999</v>
      </c>
      <c r="E785">
        <v>0.3907273</v>
      </c>
      <c r="F785" t="s">
        <v>43</v>
      </c>
      <c r="G785">
        <v>-162.2013</v>
      </c>
      <c r="H785">
        <v>-0.05</v>
      </c>
      <c r="I785">
        <v>382.66079999999999</v>
      </c>
      <c r="J785">
        <v>-219.53729999999999</v>
      </c>
      <c r="K785">
        <v>1.113718</v>
      </c>
      <c r="L785">
        <v>366.23450000000003</v>
      </c>
      <c r="M785">
        <v>0.99988750000000004</v>
      </c>
      <c r="N785">
        <v>-1.487808E-2</v>
      </c>
      <c r="O785">
        <v>-1.930005E-3</v>
      </c>
      <c r="P785">
        <v>0.99194939999999998</v>
      </c>
      <c r="Q785">
        <v>-0.12642819999999999</v>
      </c>
      <c r="R785">
        <v>-7.2544150000000002E-3</v>
      </c>
      <c r="S785">
        <v>3.0258180000000001</v>
      </c>
      <c r="T785">
        <v>-6.1061860000000003E-2</v>
      </c>
      <c r="U785">
        <v>0.86193850000000005</v>
      </c>
      <c r="V785">
        <v>6.5682279999999997E-3</v>
      </c>
      <c r="W785">
        <v>-0.1115902</v>
      </c>
      <c r="X785">
        <v>0.99373259999999997</v>
      </c>
      <c r="Y785">
        <v>-0.27572529999999901</v>
      </c>
      <c r="Z785">
        <v>4.8292200000000004E-3</v>
      </c>
      <c r="AA785">
        <v>0.96122430000000003</v>
      </c>
      <c r="AB785">
        <v>35</v>
      </c>
      <c r="AC785">
        <v>57.335999999999899</v>
      </c>
      <c r="AD785">
        <v>-1.163718</v>
      </c>
      <c r="AE785">
        <v>16.426299999999902</v>
      </c>
      <c r="AF785">
        <v>-16.530647201746199</v>
      </c>
      <c r="AG785">
        <v>-1.163718</v>
      </c>
      <c r="AH785">
        <v>57.282379467901201</v>
      </c>
      <c r="AI785">
        <v>91.118211479225593</v>
      </c>
      <c r="AJ785">
        <v>106.097172718615</v>
      </c>
      <c r="AK785">
        <v>59.631263058875099</v>
      </c>
      <c r="AL785">
        <v>96.406991770696393</v>
      </c>
      <c r="AM785">
        <v>89.621300274248696</v>
      </c>
      <c r="AN785">
        <v>0.99999999732892897</v>
      </c>
    </row>
    <row r="786" spans="1:40" x14ac:dyDescent="0.25">
      <c r="A786" t="str">
        <f>"20190305135554331"</f>
        <v>20190305135554331</v>
      </c>
      <c r="B786" t="str">
        <f>"1551765354322614"</f>
        <v>1551765354322614</v>
      </c>
      <c r="C786" t="s">
        <v>40</v>
      </c>
      <c r="D786">
        <v>4.2924290000000003</v>
      </c>
      <c r="E786">
        <v>0.39153749999999998</v>
      </c>
      <c r="F786" t="s">
        <v>43</v>
      </c>
      <c r="G786">
        <v>-164.32310000000001</v>
      </c>
      <c r="H786">
        <v>-0.05</v>
      </c>
      <c r="I786">
        <v>382.08909999999997</v>
      </c>
      <c r="J786">
        <v>-219.1918</v>
      </c>
      <c r="K786">
        <v>1.1135459999999999</v>
      </c>
      <c r="L786">
        <v>366.23809999999997</v>
      </c>
      <c r="M786">
        <v>0.99988659999999996</v>
      </c>
      <c r="N786">
        <v>-1.486665E-2</v>
      </c>
      <c r="O786">
        <v>2.43545E-3</v>
      </c>
      <c r="P786">
        <v>0.99167930000000004</v>
      </c>
      <c r="Q786">
        <v>-0.12858459999999999</v>
      </c>
      <c r="R786">
        <v>-6.1967419999999999E-3</v>
      </c>
      <c r="S786">
        <v>3.0225680000000001</v>
      </c>
      <c r="T786">
        <v>-6.3704849999999993E-2</v>
      </c>
      <c r="U786">
        <v>0.86791989999999997</v>
      </c>
      <c r="V786">
        <v>9.8200490000000008E-3</v>
      </c>
      <c r="W786">
        <v>-0.11372989999999999</v>
      </c>
      <c r="X786">
        <v>0.99346319999999999</v>
      </c>
      <c r="Y786">
        <v>-0.27355299999999999</v>
      </c>
      <c r="Z786">
        <v>4.8847220000000002E-3</v>
      </c>
      <c r="AA786">
        <v>0.96184449999999999</v>
      </c>
      <c r="AB786">
        <v>35</v>
      </c>
      <c r="AC786">
        <v>54.868699999999897</v>
      </c>
      <c r="AD786">
        <v>-1.163546</v>
      </c>
      <c r="AE786">
        <v>15.851000000000001</v>
      </c>
      <c r="AF786">
        <v>-15.710787399652901</v>
      </c>
      <c r="AG786">
        <v>-1.163546</v>
      </c>
      <c r="AH786">
        <v>54.884365772111302</v>
      </c>
      <c r="AI786">
        <v>91.167604410199999</v>
      </c>
      <c r="AJ786">
        <v>105.973902370831</v>
      </c>
      <c r="AK786">
        <v>57.100580436788199</v>
      </c>
      <c r="AL786">
        <v>96.530372878660302</v>
      </c>
      <c r="AM786">
        <v>89.433668968708901</v>
      </c>
      <c r="AN786">
        <v>1.0000000266353</v>
      </c>
    </row>
    <row r="787" spans="1:40" x14ac:dyDescent="0.25">
      <c r="A787" t="str">
        <f>"20190305135554352"</f>
        <v>20190305135554352</v>
      </c>
      <c r="B787" t="str">
        <f>"1551765354342134"</f>
        <v>1551765354342134</v>
      </c>
      <c r="C787" t="s">
        <v>40</v>
      </c>
      <c r="D787">
        <v>4.3063200000000004</v>
      </c>
      <c r="E787">
        <v>0.39192680000000002</v>
      </c>
      <c r="F787" t="s">
        <v>43</v>
      </c>
      <c r="G787">
        <v>-167.5848</v>
      </c>
      <c r="H787">
        <v>-0.05</v>
      </c>
      <c r="I787">
        <v>381.0145</v>
      </c>
      <c r="J787">
        <v>-218.85310000000001</v>
      </c>
      <c r="K787">
        <v>1.1133360000000001</v>
      </c>
      <c r="L787">
        <v>366.24290000000002</v>
      </c>
      <c r="M787">
        <v>0.99986900000000001</v>
      </c>
      <c r="N787">
        <v>-1.485304E-2</v>
      </c>
      <c r="O787">
        <v>6.452663E-3</v>
      </c>
      <c r="P787">
        <v>0.99147390000000002</v>
      </c>
      <c r="Q787">
        <v>-0.13014300000000001</v>
      </c>
      <c r="R787">
        <v>-6.4999089999999999E-3</v>
      </c>
      <c r="S787">
        <v>3.021744</v>
      </c>
      <c r="T787">
        <v>-6.8129060000000005E-2</v>
      </c>
      <c r="U787">
        <v>0.86520390000000003</v>
      </c>
      <c r="V787">
        <v>1.406524E-2</v>
      </c>
      <c r="W787">
        <v>-0.1152668</v>
      </c>
      <c r="X787">
        <v>0.99323499999999998</v>
      </c>
      <c r="Y787">
        <v>-0.2689473</v>
      </c>
      <c r="Z787">
        <v>4.9604159999999996E-3</v>
      </c>
      <c r="AA787">
        <v>0.9631421</v>
      </c>
      <c r="AB787">
        <v>35</v>
      </c>
      <c r="AC787">
        <v>51.268300000000004</v>
      </c>
      <c r="AD787">
        <v>-1.1633359999999999</v>
      </c>
      <c r="AE787">
        <v>14.7715999999999</v>
      </c>
      <c r="AF787">
        <v>-14.4335768723888</v>
      </c>
      <c r="AG787">
        <v>-1.1633359999999999</v>
      </c>
      <c r="AH787">
        <v>51.3381518739277</v>
      </c>
      <c r="AI787">
        <v>91.249681007835207</v>
      </c>
      <c r="AJ787">
        <v>105.70317862586199</v>
      </c>
      <c r="AK787">
        <v>53.341234798329502</v>
      </c>
      <c r="AL787">
        <v>96.619013793673105</v>
      </c>
      <c r="AM787">
        <v>89.188686436407593</v>
      </c>
      <c r="AN787">
        <v>1.0000000156917399</v>
      </c>
    </row>
    <row r="788" spans="1:40" x14ac:dyDescent="0.25">
      <c r="A788" t="str">
        <f>"20190305135554375"</f>
        <v>20190305135554375</v>
      </c>
      <c r="B788" t="str">
        <f>"1551765354372391"</f>
        <v>1551765354372391</v>
      </c>
      <c r="C788" t="s">
        <v>40</v>
      </c>
      <c r="D788">
        <v>4.2663799999999998</v>
      </c>
      <c r="E788">
        <v>0.39284170000000002</v>
      </c>
      <c r="F788" t="s">
        <v>48</v>
      </c>
      <c r="G788">
        <v>-178.4573</v>
      </c>
      <c r="H788">
        <v>7.9988899999999905E-2</v>
      </c>
      <c r="I788">
        <v>377.76569999999998</v>
      </c>
      <c r="J788">
        <v>-218.50049999999999</v>
      </c>
      <c r="K788">
        <v>1.11311</v>
      </c>
      <c r="L788">
        <v>366.2491</v>
      </c>
      <c r="M788">
        <v>0.99983599999999995</v>
      </c>
      <c r="N788">
        <v>-1.483785E-2</v>
      </c>
      <c r="O788">
        <v>1.038465E-2</v>
      </c>
      <c r="P788">
        <v>0.9914792</v>
      </c>
      <c r="Q788">
        <v>-0.13010379999999999</v>
      </c>
      <c r="R788">
        <v>-6.5066960000000002E-3</v>
      </c>
      <c r="S788">
        <v>3.0213009999999998</v>
      </c>
      <c r="T788">
        <v>-7.7286599999999997E-2</v>
      </c>
      <c r="U788">
        <v>0.86181640000000004</v>
      </c>
      <c r="V788">
        <v>1.7905810000000001E-2</v>
      </c>
      <c r="W788">
        <v>-0.115214</v>
      </c>
      <c r="X788">
        <v>0.99317929999999999</v>
      </c>
      <c r="Y788">
        <v>-0.26417420000000003</v>
      </c>
      <c r="Z788">
        <v>5.2019070000000004E-3</v>
      </c>
      <c r="AA788">
        <v>0.96446100000000001</v>
      </c>
      <c r="AB788">
        <v>35</v>
      </c>
      <c r="AC788">
        <v>40.043199999999899</v>
      </c>
      <c r="AD788">
        <v>-1.0331211</v>
      </c>
      <c r="AE788">
        <v>11.516599999999899</v>
      </c>
      <c r="AF788">
        <v>-11.093278381475301</v>
      </c>
      <c r="AG788">
        <v>-1.0331211</v>
      </c>
      <c r="AH788">
        <v>40.135973952405003</v>
      </c>
      <c r="AI788">
        <v>91.421233995037099</v>
      </c>
      <c r="AJ788">
        <v>105.450394667404</v>
      </c>
      <c r="AK788">
        <v>41.6536261274371</v>
      </c>
      <c r="AL788">
        <v>96.6159683713569</v>
      </c>
      <c r="AM788">
        <v>88.967138955978001</v>
      </c>
      <c r="AN788">
        <v>1.00000000288812</v>
      </c>
    </row>
    <row r="789" spans="1:40" x14ac:dyDescent="0.25">
      <c r="A789" t="str">
        <f>"20190305135554398"</f>
        <v>20190305135554398</v>
      </c>
      <c r="B789" t="str">
        <f>"1551765354392886"</f>
        <v>1551765354392886</v>
      </c>
      <c r="C789" t="s">
        <v>40</v>
      </c>
      <c r="D789">
        <v>4.2422069999999996</v>
      </c>
      <c r="E789">
        <v>0.3930766</v>
      </c>
      <c r="F789" t="s">
        <v>48</v>
      </c>
      <c r="G789">
        <v>-177.78890000000001</v>
      </c>
      <c r="H789">
        <v>7.998893E-2</v>
      </c>
      <c r="I789">
        <v>377.76479999999998</v>
      </c>
      <c r="J789">
        <v>-218.14840000000001</v>
      </c>
      <c r="K789">
        <v>1.1128640000000001</v>
      </c>
      <c r="L789">
        <v>366.25639999999999</v>
      </c>
      <c r="M789">
        <v>0.99979209999999996</v>
      </c>
      <c r="N789">
        <v>-1.4822750000000001E-2</v>
      </c>
      <c r="O789">
        <v>1.400268E-2</v>
      </c>
      <c r="P789">
        <v>0.99150510000000003</v>
      </c>
      <c r="Q789">
        <v>-0.12988369999999999</v>
      </c>
      <c r="R789">
        <v>-6.9138059999999998E-3</v>
      </c>
      <c r="S789">
        <v>3.0213320000000001</v>
      </c>
      <c r="T789">
        <v>-7.6671119999999995E-2</v>
      </c>
      <c r="U789">
        <v>0.85461430000000005</v>
      </c>
      <c r="V789">
        <v>2.182835E-2</v>
      </c>
      <c r="W789">
        <v>-0.1149848</v>
      </c>
      <c r="X789">
        <v>0.99312739999999999</v>
      </c>
      <c r="Y789">
        <v>-0.25855430000000001</v>
      </c>
      <c r="Z789">
        <v>5.0260900000000004E-3</v>
      </c>
      <c r="AA789">
        <v>0.96598360000000005</v>
      </c>
      <c r="AB789">
        <v>35</v>
      </c>
      <c r="AC789">
        <v>40.359499999999997</v>
      </c>
      <c r="AD789">
        <v>-1.03287506999999</v>
      </c>
      <c r="AE789">
        <v>11.5083999999999</v>
      </c>
      <c r="AF789">
        <v>-10.9354446444699</v>
      </c>
      <c r="AG789">
        <v>-1.03287506999999</v>
      </c>
      <c r="AH789">
        <v>40.492182410639202</v>
      </c>
      <c r="AI789">
        <v>91.410668458158597</v>
      </c>
      <c r="AJ789">
        <v>105.11294522481801</v>
      </c>
      <c r="AK789">
        <v>41.955543338860203</v>
      </c>
      <c r="AL789">
        <v>96.602748291591197</v>
      </c>
      <c r="AM789">
        <v>88.740875551773001</v>
      </c>
      <c r="AN789">
        <v>1.0000000068627599</v>
      </c>
    </row>
    <row r="790" spans="1:40" x14ac:dyDescent="0.25">
      <c r="A790" t="str">
        <f>"20190305135554420"</f>
        <v>20190305135554420</v>
      </c>
      <c r="B790" t="str">
        <f>"1551765354412406"</f>
        <v>1551765354412406</v>
      </c>
      <c r="C790" t="s">
        <v>40</v>
      </c>
      <c r="D790">
        <v>4.2575250000000002</v>
      </c>
      <c r="E790">
        <v>0.3930902</v>
      </c>
      <c r="F790" t="s">
        <v>48</v>
      </c>
      <c r="G790">
        <v>-175.58070000000001</v>
      </c>
      <c r="H790">
        <v>7.9989019999999994E-2</v>
      </c>
      <c r="I790">
        <v>378.25650000000002</v>
      </c>
      <c r="J790">
        <v>-217.80250000000001</v>
      </c>
      <c r="K790">
        <v>1.1125849999999999</v>
      </c>
      <c r="L790">
        <v>366.26440000000002</v>
      </c>
      <c r="M790">
        <v>0.99974269999999998</v>
      </c>
      <c r="N790">
        <v>-1.480718E-2</v>
      </c>
      <c r="O790">
        <v>1.7178160000000001E-2</v>
      </c>
      <c r="P790">
        <v>0.99133490000000002</v>
      </c>
      <c r="Q790">
        <v>-0.131129</v>
      </c>
      <c r="R790">
        <v>-7.792088E-3</v>
      </c>
      <c r="S790">
        <v>3.0220180000000001</v>
      </c>
      <c r="T790">
        <v>-7.3327180000000006E-2</v>
      </c>
      <c r="U790">
        <v>0.85192869999999998</v>
      </c>
      <c r="V790">
        <v>2.5781869999999998E-2</v>
      </c>
      <c r="W790">
        <v>-0.1162311</v>
      </c>
      <c r="X790">
        <v>0.99288750000000003</v>
      </c>
      <c r="Y790">
        <v>-0.25464199999999998</v>
      </c>
      <c r="Z790">
        <v>4.7928449999999996E-3</v>
      </c>
      <c r="AA790">
        <v>0.96702350000000004</v>
      </c>
      <c r="AB790">
        <v>35</v>
      </c>
      <c r="AC790">
        <v>42.221800000000002</v>
      </c>
      <c r="AD790">
        <v>-1.03259598</v>
      </c>
      <c r="AE790">
        <v>11.992099999999899</v>
      </c>
      <c r="AF790">
        <v>-11.2587263170531</v>
      </c>
      <c r="AG790">
        <v>-1.03259598</v>
      </c>
      <c r="AH790">
        <v>42.398127312006501</v>
      </c>
      <c r="AI790">
        <v>91.348434005174198</v>
      </c>
      <c r="AJ790">
        <v>104.87154627624599</v>
      </c>
      <c r="AK790">
        <v>43.879680631305</v>
      </c>
      <c r="AL790">
        <v>96.674638228916393</v>
      </c>
      <c r="AM790">
        <v>88.512560115547601</v>
      </c>
      <c r="AN790">
        <v>0.99999998054207795</v>
      </c>
    </row>
    <row r="791" spans="1:40" x14ac:dyDescent="0.25">
      <c r="A791" t="str">
        <f>"20190305135554442"</f>
        <v>20190305135554442</v>
      </c>
      <c r="B791" t="str">
        <f>"1551765354432434"</f>
        <v>1551765354432434</v>
      </c>
      <c r="C791" t="s">
        <v>40</v>
      </c>
      <c r="D791">
        <v>4.2275450000000001</v>
      </c>
      <c r="E791">
        <v>0.39321810000000001</v>
      </c>
      <c r="F791" t="s">
        <v>48</v>
      </c>
      <c r="G791">
        <v>-176.2543</v>
      </c>
      <c r="H791">
        <v>7.9989000000000005E-2</v>
      </c>
      <c r="I791">
        <v>377.93369999999999</v>
      </c>
      <c r="J791">
        <v>-217.46639999999999</v>
      </c>
      <c r="K791">
        <v>1.1122559999999999</v>
      </c>
      <c r="L791">
        <v>366.27289999999999</v>
      </c>
      <c r="M791">
        <v>0.99969379999999997</v>
      </c>
      <c r="N791">
        <v>-1.479072E-2</v>
      </c>
      <c r="O791">
        <v>1.9837469999999999E-2</v>
      </c>
      <c r="P791">
        <v>0.99128780000000005</v>
      </c>
      <c r="Q791">
        <v>-0.13130849999999999</v>
      </c>
      <c r="R791">
        <v>-1.032055E-2</v>
      </c>
      <c r="S791">
        <v>3.0229490000000001</v>
      </c>
      <c r="T791">
        <v>-7.5129269999999998E-2</v>
      </c>
      <c r="U791">
        <v>0.84902949999999999</v>
      </c>
      <c r="V791">
        <v>3.0852210000000001E-2</v>
      </c>
      <c r="W791">
        <v>-0.116411899999999</v>
      </c>
      <c r="X791">
        <v>0.99272169999999904</v>
      </c>
      <c r="Y791">
        <v>-0.25112830000000003</v>
      </c>
      <c r="Z791">
        <v>4.7587649999999999E-3</v>
      </c>
      <c r="AA791">
        <v>0.96794210000000003</v>
      </c>
      <c r="AB791">
        <v>35</v>
      </c>
      <c r="AC791">
        <v>41.2120999999999</v>
      </c>
      <c r="AD791">
        <v>-1.0322669999999901</v>
      </c>
      <c r="AE791">
        <v>11.660799999999901</v>
      </c>
      <c r="AF791">
        <v>-10.8345780161183</v>
      </c>
      <c r="AG791">
        <v>-1.0322669999999901</v>
      </c>
      <c r="AH791">
        <v>41.4112794709932</v>
      </c>
      <c r="AI791">
        <v>91.381447336468497</v>
      </c>
      <c r="AJ791">
        <v>104.66184771217399</v>
      </c>
      <c r="AK791">
        <v>42.817609967995097</v>
      </c>
      <c r="AL791">
        <v>96.685068101778697</v>
      </c>
      <c r="AM791">
        <v>88.219911351296801</v>
      </c>
      <c r="AN791">
        <v>0.99999998148719105</v>
      </c>
    </row>
    <row r="792" spans="1:40" x14ac:dyDescent="0.25">
      <c r="A792" t="str">
        <f>"20190305135554465"</f>
        <v>20190305135554465</v>
      </c>
      <c r="B792" t="str">
        <f>"1551765354452929"</f>
        <v>1551765354452929</v>
      </c>
      <c r="C792" t="s">
        <v>40</v>
      </c>
      <c r="D792">
        <v>4.2254969999999998</v>
      </c>
      <c r="E792">
        <v>0.39318189999999997</v>
      </c>
      <c r="F792" t="s">
        <v>43</v>
      </c>
      <c r="G792">
        <v>-168.9914</v>
      </c>
      <c r="H792">
        <v>-0.05</v>
      </c>
      <c r="I792">
        <v>379.72949999999997</v>
      </c>
      <c r="J792">
        <v>-217.12039999999999</v>
      </c>
      <c r="K792">
        <v>1.1118619999999999</v>
      </c>
      <c r="L792">
        <v>366.28210000000001</v>
      </c>
      <c r="M792">
        <v>0.9996469</v>
      </c>
      <c r="N792">
        <v>-1.4773349999999999E-2</v>
      </c>
      <c r="O792">
        <v>2.2091E-2</v>
      </c>
      <c r="P792">
        <v>0.99135130000000005</v>
      </c>
      <c r="Q792">
        <v>-0.13037879999999999</v>
      </c>
      <c r="R792">
        <v>-1.497826E-2</v>
      </c>
      <c r="S792">
        <v>3.0254970000000001</v>
      </c>
      <c r="T792">
        <v>-7.2540519999999997E-2</v>
      </c>
      <c r="U792">
        <v>0.83987429999999996</v>
      </c>
      <c r="V792">
        <v>3.7623459999999997E-2</v>
      </c>
      <c r="W792">
        <v>-0.1154869</v>
      </c>
      <c r="X792">
        <v>0.99259620000000004</v>
      </c>
      <c r="Y792">
        <v>-0.24602199999999999</v>
      </c>
      <c r="Z792">
        <v>4.5469839999999996E-3</v>
      </c>
      <c r="AA792">
        <v>0.96925349999999999</v>
      </c>
      <c r="AB792">
        <v>35</v>
      </c>
      <c r="AC792">
        <v>48.128999999999898</v>
      </c>
      <c r="AD792">
        <v>-1.161862</v>
      </c>
      <c r="AE792">
        <v>13.447399999999901</v>
      </c>
      <c r="AF792">
        <v>-12.3740949188267</v>
      </c>
      <c r="AG792">
        <v>-1.161862</v>
      </c>
      <c r="AH792">
        <v>48.388194052715903</v>
      </c>
      <c r="AI792">
        <v>91.332612891263693</v>
      </c>
      <c r="AJ792">
        <v>104.34457499270999</v>
      </c>
      <c r="AK792">
        <v>49.958837777218797</v>
      </c>
      <c r="AL792">
        <v>96.631709599203404</v>
      </c>
      <c r="AM792">
        <v>87.829294536016604</v>
      </c>
      <c r="AN792">
        <v>0.99999998253420996</v>
      </c>
    </row>
    <row r="793" spans="1:40" x14ac:dyDescent="0.25">
      <c r="A793" t="str">
        <f>"20190305135554488"</f>
        <v>20190305135554488</v>
      </c>
      <c r="B793" t="str">
        <f>"1551765354482210"</f>
        <v>1551765354482210</v>
      </c>
      <c r="C793" t="s">
        <v>40</v>
      </c>
      <c r="D793">
        <v>4.9132160000000002</v>
      </c>
      <c r="E793">
        <v>0.44057649999999998</v>
      </c>
      <c r="F793" t="s">
        <v>43</v>
      </c>
      <c r="G793">
        <v>-167.38040000000001</v>
      </c>
      <c r="H793">
        <v>-0.05</v>
      </c>
      <c r="I793">
        <v>379.83530000000002</v>
      </c>
      <c r="J793">
        <v>-216.7611</v>
      </c>
      <c r="K793">
        <v>1.111405</v>
      </c>
      <c r="L793">
        <v>366.2919</v>
      </c>
      <c r="M793">
        <v>0.99960599999999999</v>
      </c>
      <c r="N793">
        <v>-1.475657E-2</v>
      </c>
      <c r="O793">
        <v>2.3875509999999999E-2</v>
      </c>
      <c r="P793">
        <v>0.9913921</v>
      </c>
      <c r="Q793">
        <v>-0.12895219999999999</v>
      </c>
      <c r="R793">
        <v>-2.2646300000000001E-2</v>
      </c>
      <c r="S793">
        <v>3.0293580000000002</v>
      </c>
      <c r="T793">
        <v>-7.0761920000000006E-2</v>
      </c>
      <c r="U793">
        <v>0.82543949999999999</v>
      </c>
      <c r="V793">
        <v>4.6919000000000002E-2</v>
      </c>
      <c r="W793">
        <v>-0.1140732</v>
      </c>
      <c r="X793">
        <v>0.99236380000000002</v>
      </c>
      <c r="Y793">
        <v>-0.23968120000000001</v>
      </c>
      <c r="Z793">
        <v>4.3485820000000001E-3</v>
      </c>
      <c r="AA793">
        <v>0.97084190000000004</v>
      </c>
      <c r="AB793">
        <v>35</v>
      </c>
      <c r="AC793">
        <v>49.380699999999898</v>
      </c>
      <c r="AD793">
        <v>-1.161405</v>
      </c>
      <c r="AE793">
        <v>13.5434</v>
      </c>
      <c r="AF793">
        <v>-12.354064934142601</v>
      </c>
      <c r="AG793">
        <v>-1.161405</v>
      </c>
      <c r="AH793">
        <v>49.664460662532001</v>
      </c>
      <c r="AI793">
        <v>91.300016858222193</v>
      </c>
      <c r="AJ793">
        <v>103.96884983534299</v>
      </c>
      <c r="AK793">
        <v>51.191116757414299</v>
      </c>
      <c r="AL793">
        <v>96.550171545365302</v>
      </c>
      <c r="AM793">
        <v>87.293069087395907</v>
      </c>
      <c r="AN793">
        <v>0.99999999953483998</v>
      </c>
    </row>
    <row r="794" spans="1:40" x14ac:dyDescent="0.25">
      <c r="A794" t="str">
        <f>"20190305135554510"</f>
        <v>20190305135554510</v>
      </c>
      <c r="B794" t="str">
        <f>"1551765354502706"</f>
        <v>1551765354502706</v>
      </c>
      <c r="C794" t="s">
        <v>40</v>
      </c>
      <c r="D794">
        <v>4.2758669999999999</v>
      </c>
      <c r="E794">
        <v>0.52743830000000003</v>
      </c>
      <c r="F794" t="s">
        <v>48</v>
      </c>
      <c r="G794">
        <v>-195.5214</v>
      </c>
      <c r="H794" s="1">
        <v>-7.3469860000000002E-6</v>
      </c>
      <c r="I794">
        <v>369.24099999999999</v>
      </c>
      <c r="J794">
        <v>-216.41130000000001</v>
      </c>
      <c r="K794">
        <v>1.110932</v>
      </c>
      <c r="L794">
        <v>366.30160000000001</v>
      </c>
      <c r="M794">
        <v>0.99957779999999996</v>
      </c>
      <c r="N794">
        <v>-1.474261E-2</v>
      </c>
      <c r="O794">
        <v>2.5034730000000002E-2</v>
      </c>
      <c r="P794">
        <v>0.99114250000000004</v>
      </c>
      <c r="Q794">
        <v>-0.12846150000000001</v>
      </c>
      <c r="R794">
        <v>-3.367858E-2</v>
      </c>
      <c r="S794">
        <v>3.015091</v>
      </c>
      <c r="T794">
        <v>-0.15777089999999999</v>
      </c>
      <c r="U794">
        <v>0.41864010000000001</v>
      </c>
      <c r="V794">
        <v>5.8953039999999998E-2</v>
      </c>
      <c r="W794">
        <v>-0.113610199999999</v>
      </c>
      <c r="X794">
        <v>0.99177479999999996</v>
      </c>
      <c r="Y794">
        <v>-0.1125094</v>
      </c>
      <c r="Z794">
        <v>2.8268289999999999E-3</v>
      </c>
      <c r="AA794">
        <v>0.99364660000000005</v>
      </c>
      <c r="AB794">
        <v>35</v>
      </c>
      <c r="AC794">
        <v>20.889900000000001</v>
      </c>
      <c r="AD794">
        <v>-1.1109393469859901</v>
      </c>
      <c r="AE794">
        <v>2.9393999999999698</v>
      </c>
      <c r="AF794">
        <v>-2.4087684701516099</v>
      </c>
      <c r="AG794">
        <v>-1.1109393469859901</v>
      </c>
      <c r="AH794">
        <v>20.8989876967238</v>
      </c>
      <c r="AI794">
        <v>93.022865694384393</v>
      </c>
      <c r="AJ794">
        <v>96.574766254929401</v>
      </c>
      <c r="AK794">
        <v>21.066657032459901</v>
      </c>
      <c r="AL794">
        <v>96.523470031777805</v>
      </c>
      <c r="AM794">
        <v>86.598229227178095</v>
      </c>
      <c r="AN794">
        <v>0.99999999619215996</v>
      </c>
    </row>
    <row r="795" spans="1:40" x14ac:dyDescent="0.25">
      <c r="A795" t="str">
        <f>"20190305135554531"</f>
        <v>20190305135554531</v>
      </c>
      <c r="B795" t="str">
        <f>"1551765354522226"</f>
        <v>1551765354522226</v>
      </c>
      <c r="C795" t="s">
        <v>40</v>
      </c>
      <c r="D795">
        <v>4.3957480000000002</v>
      </c>
      <c r="E795">
        <v>0.54184969999999999</v>
      </c>
      <c r="F795" t="s">
        <v>41</v>
      </c>
      <c r="G795">
        <v>-215.3853</v>
      </c>
      <c r="H795">
        <v>1.0255529999999999</v>
      </c>
      <c r="I795">
        <v>366.19400000000002</v>
      </c>
      <c r="J795">
        <v>-216.0814</v>
      </c>
      <c r="K795">
        <v>1.1104639999999999</v>
      </c>
      <c r="L795">
        <v>366.31049999999999</v>
      </c>
      <c r="M795">
        <v>0.99956489999999998</v>
      </c>
      <c r="N795">
        <v>-1.4731670000000001E-2</v>
      </c>
      <c r="O795">
        <v>2.5557949999999999E-2</v>
      </c>
      <c r="P795">
        <v>0.99062950000000005</v>
      </c>
      <c r="Q795">
        <v>-0.1283561</v>
      </c>
      <c r="R795">
        <v>-4.6670209999999997E-2</v>
      </c>
      <c r="S795">
        <v>2.983994</v>
      </c>
      <c r="T795">
        <v>-0.2482316</v>
      </c>
      <c r="U795">
        <v>-0.31289670000000003</v>
      </c>
      <c r="V795">
        <v>7.2314829999999997E-2</v>
      </c>
      <c r="W795">
        <v>-0.1135559</v>
      </c>
      <c r="X795">
        <v>0.99089640000000001</v>
      </c>
      <c r="Y795">
        <v>0.1290943</v>
      </c>
      <c r="Z795">
        <v>-8.0434689999999993E-3</v>
      </c>
      <c r="AA795">
        <v>0.99159969999999997</v>
      </c>
      <c r="AB795">
        <v>35</v>
      </c>
      <c r="AC795">
        <v>0.69610000000000105</v>
      </c>
      <c r="AD795">
        <v>-8.4910999999999695E-2</v>
      </c>
      <c r="AE795">
        <v>-0.116499999999973</v>
      </c>
      <c r="AF795">
        <v>0.13233928026337899</v>
      </c>
      <c r="AG795">
        <v>-8.4910999999999695E-2</v>
      </c>
      <c r="AH795">
        <v>0.68300889543781995</v>
      </c>
      <c r="AI795">
        <v>96.958483951276193</v>
      </c>
      <c r="AJ795">
        <v>79.034293399355903</v>
      </c>
      <c r="AK795">
        <v>0.70087424996843795</v>
      </c>
      <c r="AL795">
        <v>96.520338408780802</v>
      </c>
      <c r="AM795">
        <v>85.825999346036895</v>
      </c>
      <c r="AN795">
        <v>1.0000000262978399</v>
      </c>
    </row>
    <row r="796" spans="1:40" x14ac:dyDescent="0.25">
      <c r="A796" t="str">
        <f>"20190305135554552"</f>
        <v>20190305135554552</v>
      </c>
      <c r="B796" t="str">
        <f>"1551765354542209"</f>
        <v>1551765354542209</v>
      </c>
      <c r="C796" t="s">
        <v>40</v>
      </c>
      <c r="D796">
        <v>4.4910740000000002</v>
      </c>
      <c r="E796">
        <v>0.6345963</v>
      </c>
      <c r="F796" t="s">
        <v>48</v>
      </c>
      <c r="G796">
        <v>-202.96350000000001</v>
      </c>
      <c r="H796" s="1">
        <v>-3.119626E-6</v>
      </c>
      <c r="I796">
        <v>364.25150000000002</v>
      </c>
      <c r="J796">
        <v>-215.74340000000001</v>
      </c>
      <c r="K796">
        <v>1.1100179999999999</v>
      </c>
      <c r="L796">
        <v>366.3193</v>
      </c>
      <c r="M796">
        <v>0.99956319999999999</v>
      </c>
      <c r="N796">
        <v>-1.4722320000000001E-2</v>
      </c>
      <c r="O796">
        <v>2.5626960000000001E-2</v>
      </c>
      <c r="P796">
        <v>0.98971430000000005</v>
      </c>
      <c r="Q796">
        <v>-0.12927730000000001</v>
      </c>
      <c r="R796">
        <v>-6.126289E-2</v>
      </c>
      <c r="S796">
        <v>2.97377</v>
      </c>
      <c r="T796">
        <v>-0.25173889999999999</v>
      </c>
      <c r="U796">
        <v>-0.46676640000000003</v>
      </c>
      <c r="V796">
        <v>8.682521E-2</v>
      </c>
      <c r="W796">
        <v>-0.11455659999999999</v>
      </c>
      <c r="X796">
        <v>0.98961509999999997</v>
      </c>
      <c r="Y796">
        <v>0.17953150000000001</v>
      </c>
      <c r="Z796">
        <v>-1.065087E-2</v>
      </c>
      <c r="AA796">
        <v>0.98369459999999997</v>
      </c>
      <c r="AB796">
        <v>35</v>
      </c>
      <c r="AC796">
        <v>12.7798999999999</v>
      </c>
      <c r="AD796">
        <v>-1.1100211196259999</v>
      </c>
      <c r="AE796">
        <v>-2.0677999999999699</v>
      </c>
      <c r="AF796">
        <v>2.37718996478648</v>
      </c>
      <c r="AG796">
        <v>-1.1100211196259999</v>
      </c>
      <c r="AH796">
        <v>12.6298545479506</v>
      </c>
      <c r="AI796">
        <v>94.936502369602394</v>
      </c>
      <c r="AJ796">
        <v>79.340503522302299</v>
      </c>
      <c r="AK796">
        <v>12.899473048039001</v>
      </c>
      <c r="AL796">
        <v>96.578051488488398</v>
      </c>
      <c r="AM796">
        <v>84.9859171025671</v>
      </c>
      <c r="AN796">
        <v>0.99999993892155503</v>
      </c>
    </row>
    <row r="797" spans="1:40" x14ac:dyDescent="0.25">
      <c r="A797" t="str">
        <f>"20190305135554576"</f>
        <v>20190305135554576</v>
      </c>
      <c r="B797" t="str">
        <f>"1551765354572465"</f>
        <v>1551765354572465</v>
      </c>
      <c r="C797" t="s">
        <v>40</v>
      </c>
      <c r="D797">
        <v>4.4245330000000003</v>
      </c>
      <c r="E797">
        <v>0.63702510000000001</v>
      </c>
      <c r="F797" t="s">
        <v>48</v>
      </c>
      <c r="G797">
        <v>-193.0359</v>
      </c>
      <c r="H797" s="1">
        <v>-4.6081809999999999E-6</v>
      </c>
      <c r="I797">
        <v>356.69740000000002</v>
      </c>
      <c r="J797">
        <v>-215.398</v>
      </c>
      <c r="K797">
        <v>1.1095820000000001</v>
      </c>
      <c r="L797">
        <v>366.3279</v>
      </c>
      <c r="M797">
        <v>0.99957410000000002</v>
      </c>
      <c r="N797">
        <v>-1.471305E-2</v>
      </c>
      <c r="O797">
        <v>2.5210550000000002E-2</v>
      </c>
      <c r="P797">
        <v>0.98857510000000004</v>
      </c>
      <c r="Q797">
        <v>-0.1296658</v>
      </c>
      <c r="R797">
        <v>-7.6852840000000006E-2</v>
      </c>
      <c r="S797">
        <v>2.935425</v>
      </c>
      <c r="T797">
        <v>-0.14349419999999999</v>
      </c>
      <c r="U797">
        <v>-1.243835</v>
      </c>
      <c r="V797">
        <v>0.10184940000000001</v>
      </c>
      <c r="W797">
        <v>-0.1150552</v>
      </c>
      <c r="X797">
        <v>0.988124</v>
      </c>
      <c r="Y797">
        <v>0.41266760000000002</v>
      </c>
      <c r="Z797">
        <v>-1.365569E-2</v>
      </c>
      <c r="AA797">
        <v>0.91077929999999996</v>
      </c>
      <c r="AB797">
        <v>35</v>
      </c>
      <c r="AC797">
        <v>22.362100000000002</v>
      </c>
      <c r="AD797">
        <v>-1.109586608181</v>
      </c>
      <c r="AE797">
        <v>-9.6304999999999801</v>
      </c>
      <c r="AF797">
        <v>10.1701382285642</v>
      </c>
      <c r="AG797">
        <v>-1.109586608181</v>
      </c>
      <c r="AH797">
        <v>22.066345868245101</v>
      </c>
      <c r="AI797">
        <v>92.614721634890998</v>
      </c>
      <c r="AJ797">
        <v>65.2555391305185</v>
      </c>
      <c r="AK797">
        <v>24.322551552133199</v>
      </c>
      <c r="AL797">
        <v>96.606808780864498</v>
      </c>
      <c r="AM797">
        <v>84.115105362613505</v>
      </c>
      <c r="AN797">
        <v>1.00000001935169</v>
      </c>
    </row>
    <row r="798" spans="1:40" x14ac:dyDescent="0.25">
      <c r="A798" t="str">
        <f>"20190305135554599"</f>
        <v>20190305135554599</v>
      </c>
      <c r="B798" t="str">
        <f>"1551765354592961"</f>
        <v>1551765354592961</v>
      </c>
      <c r="C798" t="s">
        <v>40</v>
      </c>
      <c r="D798">
        <v>4.386844</v>
      </c>
      <c r="E798">
        <v>0.63566820000000002</v>
      </c>
      <c r="F798" t="s">
        <v>48</v>
      </c>
      <c r="G798">
        <v>-202.62569999999999</v>
      </c>
      <c r="H798" s="1">
        <v>-3.7733630000000002E-6</v>
      </c>
      <c r="I798">
        <v>360.53660000000002</v>
      </c>
      <c r="J798">
        <v>-215.03440000000001</v>
      </c>
      <c r="K798">
        <v>1.1091279999999999</v>
      </c>
      <c r="L798">
        <v>366.33629999999999</v>
      </c>
      <c r="M798">
        <v>0.99959849999999995</v>
      </c>
      <c r="N798">
        <v>-1.47043E-2</v>
      </c>
      <c r="O798">
        <v>2.422701E-2</v>
      </c>
      <c r="P798">
        <v>0.9872031</v>
      </c>
      <c r="Q798">
        <v>-0.1298183</v>
      </c>
      <c r="R798">
        <v>-9.2615279999999994E-2</v>
      </c>
      <c r="S798">
        <v>2.899429</v>
      </c>
      <c r="T798">
        <v>-0.251886</v>
      </c>
      <c r="U798">
        <v>-1.314697</v>
      </c>
      <c r="V798">
        <v>0.116475</v>
      </c>
      <c r="W798">
        <v>-0.1153584</v>
      </c>
      <c r="X798">
        <v>0.98647149999999995</v>
      </c>
      <c r="Y798">
        <v>0.43323250000000002</v>
      </c>
      <c r="Z798">
        <v>-2.2917099999999999E-2</v>
      </c>
      <c r="AA798">
        <v>0.90099079999999998</v>
      </c>
      <c r="AB798">
        <v>35</v>
      </c>
      <c r="AC798">
        <v>12.4087</v>
      </c>
      <c r="AD798">
        <v>-1.109131773363</v>
      </c>
      <c r="AE798">
        <v>-5.7996999999999703</v>
      </c>
      <c r="AF798">
        <v>6.0589271215037197</v>
      </c>
      <c r="AG798">
        <v>-1.109131773363</v>
      </c>
      <c r="AH798">
        <v>12.184637877868999</v>
      </c>
      <c r="AI798">
        <v>94.659662675943807</v>
      </c>
      <c r="AJ798">
        <v>63.560701049875902</v>
      </c>
      <c r="AK798">
        <v>13.65306454131</v>
      </c>
      <c r="AL798">
        <v>96.624297415305193</v>
      </c>
      <c r="AM798">
        <v>83.2661301213342</v>
      </c>
      <c r="AN798">
        <v>1.0000000031939</v>
      </c>
    </row>
    <row r="799" spans="1:40" x14ac:dyDescent="0.25">
      <c r="A799" t="str">
        <f>"20190305135554621"</f>
        <v>20190305135554621</v>
      </c>
      <c r="B799" t="str">
        <f>"1551765354612481"</f>
        <v>1551765354612481</v>
      </c>
      <c r="C799" t="s">
        <v>40</v>
      </c>
      <c r="D799">
        <v>4.3628070000000001</v>
      </c>
      <c r="E799">
        <v>0.63371099999999903</v>
      </c>
      <c r="F799" t="s">
        <v>48</v>
      </c>
      <c r="G799">
        <v>-203.66589999999999</v>
      </c>
      <c r="H799" s="1">
        <v>-4.1954910000000003E-6</v>
      </c>
      <c r="I799">
        <v>360.99360000000001</v>
      </c>
      <c r="J799">
        <v>-214.6986</v>
      </c>
      <c r="K799">
        <v>1.108687</v>
      </c>
      <c r="L799">
        <v>366.3433</v>
      </c>
      <c r="M799">
        <v>0.9996313</v>
      </c>
      <c r="N799">
        <v>-1.469883E-2</v>
      </c>
      <c r="O799">
        <v>2.2830650000000001E-2</v>
      </c>
      <c r="P799">
        <v>0.98554989999999998</v>
      </c>
      <c r="Q799">
        <v>-0.13066169999999999</v>
      </c>
      <c r="R799">
        <v>-0.1077917</v>
      </c>
      <c r="S799">
        <v>2.875229</v>
      </c>
      <c r="T799">
        <v>-0.28051389999999998</v>
      </c>
      <c r="U799">
        <v>-1.3512569999999999</v>
      </c>
      <c r="V799">
        <v>0.13010859999999999</v>
      </c>
      <c r="W799">
        <v>-0.1163782</v>
      </c>
      <c r="X799">
        <v>0.98464609999999997</v>
      </c>
      <c r="Y799">
        <v>0.44378820000000002</v>
      </c>
      <c r="Z799">
        <v>-2.5755980000000001E-2</v>
      </c>
      <c r="AA799">
        <v>0.89576149999999999</v>
      </c>
      <c r="AB799">
        <v>34</v>
      </c>
      <c r="AC799">
        <v>11.0327</v>
      </c>
      <c r="AD799">
        <v>-1.1086911954909999</v>
      </c>
      <c r="AE799">
        <v>-5.3496999999999799</v>
      </c>
      <c r="AF799">
        <v>5.5547994886744396</v>
      </c>
      <c r="AG799">
        <v>-1.1086911954909999</v>
      </c>
      <c r="AH799">
        <v>10.819214135212301</v>
      </c>
      <c r="AI799">
        <v>95.208755529048602</v>
      </c>
      <c r="AJ799">
        <v>62.823134967452297</v>
      </c>
      <c r="AK799">
        <v>12.212304779603</v>
      </c>
      <c r="AL799">
        <v>96.683123642402506</v>
      </c>
      <c r="AM799">
        <v>82.472690796039302</v>
      </c>
      <c r="AN799">
        <v>1.0000000377372</v>
      </c>
    </row>
    <row r="800" spans="1:40" x14ac:dyDescent="0.25">
      <c r="A800" t="str">
        <f>"20190305135554643"</f>
        <v>20190305135554643</v>
      </c>
      <c r="B800" t="str">
        <f>"1551765354632507"</f>
        <v>1551765354632507</v>
      </c>
      <c r="C800" t="s">
        <v>40</v>
      </c>
      <c r="D800">
        <v>4.324897</v>
      </c>
      <c r="E800">
        <v>0.63220959999999904</v>
      </c>
      <c r="F800" t="s">
        <v>48</v>
      </c>
      <c r="G800">
        <v>-204.23990000000001</v>
      </c>
      <c r="H800" s="1">
        <v>-4.4208119999999996E-6</v>
      </c>
      <c r="I800">
        <v>361.28</v>
      </c>
      <c r="J800">
        <v>-214.36</v>
      </c>
      <c r="K800">
        <v>1.108222</v>
      </c>
      <c r="L800">
        <v>366.3494</v>
      </c>
      <c r="M800">
        <v>0.99967249999999996</v>
      </c>
      <c r="N800">
        <v>-1.4696900000000001E-2</v>
      </c>
      <c r="O800">
        <v>2.0953340000000001E-2</v>
      </c>
      <c r="P800">
        <v>0.98379130000000004</v>
      </c>
      <c r="Q800">
        <v>-0.131208399999999</v>
      </c>
      <c r="R800">
        <v>-0.12222570000000001</v>
      </c>
      <c r="S800">
        <v>2.8528289999999998</v>
      </c>
      <c r="T800">
        <v>-0.30241790000000002</v>
      </c>
      <c r="U800">
        <v>-1.3811340000000001</v>
      </c>
      <c r="V800">
        <v>0.14252279999999901</v>
      </c>
      <c r="W800">
        <v>-0.1171326</v>
      </c>
      <c r="X800">
        <v>0.9828363</v>
      </c>
      <c r="Y800">
        <v>0.45204800000000001</v>
      </c>
      <c r="Z800">
        <v>-2.79622E-2</v>
      </c>
      <c r="AA800">
        <v>0.89155519999999999</v>
      </c>
      <c r="AB800">
        <v>34</v>
      </c>
      <c r="AC800">
        <v>10.120100000000001</v>
      </c>
      <c r="AD800">
        <v>-1.1082264208120001</v>
      </c>
      <c r="AE800">
        <v>-5.0694000000000301</v>
      </c>
      <c r="AF800">
        <v>5.2302205200478999</v>
      </c>
      <c r="AG800">
        <v>-1.1082264208120001</v>
      </c>
      <c r="AH800">
        <v>9.9165809167957395</v>
      </c>
      <c r="AI800">
        <v>95.645282439860495</v>
      </c>
      <c r="AJ800">
        <v>62.191860407725798</v>
      </c>
      <c r="AK800">
        <v>11.2659642093996</v>
      </c>
      <c r="AL800">
        <v>96.726645533716606</v>
      </c>
      <c r="AM800">
        <v>81.748954085122193</v>
      </c>
      <c r="AN800">
        <v>0.99999999355014502</v>
      </c>
    </row>
    <row r="801" spans="1:40" x14ac:dyDescent="0.25">
      <c r="A801" t="str">
        <f>"20190305135554665"</f>
        <v>20190305135554665</v>
      </c>
      <c r="B801" t="str">
        <f>"1551765354662764"</f>
        <v>1551765354662764</v>
      </c>
      <c r="C801" t="s">
        <v>40</v>
      </c>
      <c r="D801">
        <v>4.2520910000000001</v>
      </c>
      <c r="E801">
        <v>0.62983089999999997</v>
      </c>
      <c r="F801" t="s">
        <v>48</v>
      </c>
      <c r="G801">
        <v>-204.4325</v>
      </c>
      <c r="H801" s="1">
        <v>-4.4907680000000002E-6</v>
      </c>
      <c r="I801">
        <v>361.40159999999997</v>
      </c>
      <c r="J801">
        <v>-214.0198</v>
      </c>
      <c r="K801">
        <v>1.10775</v>
      </c>
      <c r="L801">
        <v>366.35449999999997</v>
      </c>
      <c r="M801">
        <v>0.99971889999999997</v>
      </c>
      <c r="N801">
        <v>-1.4698360000000001E-2</v>
      </c>
      <c r="O801">
        <v>1.860587E-2</v>
      </c>
      <c r="P801">
        <v>0.98199530000000002</v>
      </c>
      <c r="Q801">
        <v>-0.13127069999999999</v>
      </c>
      <c r="R801">
        <v>-0.13584280000000001</v>
      </c>
      <c r="S801">
        <v>2.831909</v>
      </c>
      <c r="T801">
        <v>-0.31613019999999997</v>
      </c>
      <c r="U801">
        <v>-1.4114070000000001</v>
      </c>
      <c r="V801">
        <v>0.1536641</v>
      </c>
      <c r="W801">
        <v>-0.1174246</v>
      </c>
      <c r="X801">
        <v>0.98112120000000003</v>
      </c>
      <c r="Y801">
        <v>0.45991510000000002</v>
      </c>
      <c r="Z801">
        <v>-2.946321E-2</v>
      </c>
      <c r="AA801">
        <v>0.88747389999999904</v>
      </c>
      <c r="AB801">
        <v>34</v>
      </c>
      <c r="AC801">
        <v>9.5873000000000008</v>
      </c>
      <c r="AD801">
        <v>-1.1077544907679999</v>
      </c>
      <c r="AE801">
        <v>-4.9528999999999996</v>
      </c>
      <c r="AF801">
        <v>5.0769411432654499</v>
      </c>
      <c r="AG801">
        <v>-1.1077544907679999</v>
      </c>
      <c r="AH801">
        <v>9.3944783971621302</v>
      </c>
      <c r="AI801">
        <v>95.922471726921998</v>
      </c>
      <c r="AJ801">
        <v>61.612433610542602</v>
      </c>
      <c r="AK801">
        <v>10.735859338625099</v>
      </c>
      <c r="AL801">
        <v>96.743492110717895</v>
      </c>
      <c r="AM801">
        <v>81.098596643025004</v>
      </c>
      <c r="AN801">
        <v>1.0000000007017</v>
      </c>
    </row>
    <row r="802" spans="1:40" x14ac:dyDescent="0.25">
      <c r="A802" t="str">
        <f>"20190305135554689"</f>
        <v>20190305135554689</v>
      </c>
      <c r="B802" t="str">
        <f>"1551765354682283"</f>
        <v>1551765354682283</v>
      </c>
      <c r="C802" t="s">
        <v>40</v>
      </c>
      <c r="D802">
        <v>4.2334930000000002</v>
      </c>
      <c r="E802">
        <v>0.62817590000000001</v>
      </c>
      <c r="F802" t="s">
        <v>48</v>
      </c>
      <c r="G802">
        <v>-204.49340000000001</v>
      </c>
      <c r="H802" s="1">
        <v>-4.4984519999999997E-6</v>
      </c>
      <c r="I802">
        <v>361.50510000000003</v>
      </c>
      <c r="J802">
        <v>-213.6533</v>
      </c>
      <c r="K802">
        <v>1.1072709999999999</v>
      </c>
      <c r="L802">
        <v>366.35849999999999</v>
      </c>
      <c r="M802">
        <v>0.9997703</v>
      </c>
      <c r="N802">
        <v>-1.470262E-2</v>
      </c>
      <c r="O802">
        <v>1.5592959999999999E-2</v>
      </c>
      <c r="P802">
        <v>0.9800721</v>
      </c>
      <c r="Q802">
        <v>-0.131684299999999</v>
      </c>
      <c r="R802">
        <v>-0.1487221</v>
      </c>
      <c r="S802">
        <v>2.8131710000000001</v>
      </c>
      <c r="T802">
        <v>-0.32712239999999998</v>
      </c>
      <c r="U802">
        <v>-1.432037</v>
      </c>
      <c r="V802">
        <v>0.1634166</v>
      </c>
      <c r="W802">
        <v>-0.1180908</v>
      </c>
      <c r="X802">
        <v>0.97946390000000005</v>
      </c>
      <c r="Y802">
        <v>0.46455980000000002</v>
      </c>
      <c r="Z802">
        <v>-3.0496619999999999E-2</v>
      </c>
      <c r="AA802">
        <v>0.88501649999999998</v>
      </c>
      <c r="AB802">
        <v>34</v>
      </c>
      <c r="AC802">
        <v>9.1598999999999897</v>
      </c>
      <c r="AD802">
        <v>-1.1072754984519999</v>
      </c>
      <c r="AE802">
        <v>-4.8533999999999597</v>
      </c>
      <c r="AF802">
        <v>4.93930014012457</v>
      </c>
      <c r="AG802">
        <v>-1.1072754984519999</v>
      </c>
      <c r="AH802">
        <v>8.9806343010768597</v>
      </c>
      <c r="AI802">
        <v>96.165982974751998</v>
      </c>
      <c r="AJ802">
        <v>61.189444925415003</v>
      </c>
      <c r="AK802">
        <v>10.308954231801801</v>
      </c>
      <c r="AL802">
        <v>96.781930159661698</v>
      </c>
      <c r="AM802">
        <v>80.527853408963793</v>
      </c>
      <c r="AN802">
        <v>0.99999997680170405</v>
      </c>
    </row>
    <row r="803" spans="1:40" x14ac:dyDescent="0.25">
      <c r="A803" t="str">
        <f>"20190305135554711"</f>
        <v>20190305135554711</v>
      </c>
      <c r="B803" t="str">
        <f>"1551765354702780"</f>
        <v>1551765354702780</v>
      </c>
      <c r="C803" t="s">
        <v>40</v>
      </c>
      <c r="D803">
        <v>4.2041399999999998</v>
      </c>
      <c r="E803">
        <v>0.62654540000000003</v>
      </c>
      <c r="F803" t="s">
        <v>48</v>
      </c>
      <c r="G803">
        <v>-204.5513</v>
      </c>
      <c r="H803" s="1">
        <v>-4.5036000000000004E-6</v>
      </c>
      <c r="I803">
        <v>361.61340000000001</v>
      </c>
      <c r="J803">
        <v>-213.31049999999999</v>
      </c>
      <c r="K803">
        <v>1.106862</v>
      </c>
      <c r="L803">
        <v>366.36070000000001</v>
      </c>
      <c r="M803">
        <v>0.99981629999999999</v>
      </c>
      <c r="N803">
        <v>-1.470816E-2</v>
      </c>
      <c r="O803">
        <v>1.229675E-2</v>
      </c>
      <c r="P803">
        <v>0.97790480000000002</v>
      </c>
      <c r="Q803">
        <v>-0.1322865</v>
      </c>
      <c r="R803">
        <v>-0.1618735</v>
      </c>
      <c r="S803">
        <v>2.7942659999999999</v>
      </c>
      <c r="T803">
        <v>-0.33993040000000002</v>
      </c>
      <c r="U803">
        <v>-1.456726</v>
      </c>
      <c r="V803">
        <v>0.17319129999999899</v>
      </c>
      <c r="W803">
        <v>-0.1189394</v>
      </c>
      <c r="X803">
        <v>0.97767999999999999</v>
      </c>
      <c r="Y803">
        <v>0.46996329999999997</v>
      </c>
      <c r="Z803">
        <v>-3.1696479999999999E-2</v>
      </c>
      <c r="AA803">
        <v>0.88211669999999998</v>
      </c>
      <c r="AB803">
        <v>34</v>
      </c>
      <c r="AC803">
        <v>8.7591999999999892</v>
      </c>
      <c r="AD803">
        <v>-1.1068665036000001</v>
      </c>
      <c r="AE803">
        <v>-4.7472999999999903</v>
      </c>
      <c r="AF803">
        <v>4.7954726834926102</v>
      </c>
      <c r="AG803">
        <v>-1.1068665036000001</v>
      </c>
      <c r="AH803">
        <v>8.5940797679805492</v>
      </c>
      <c r="AI803">
        <v>96.417060807385695</v>
      </c>
      <c r="AJ803">
        <v>60.838603916065502</v>
      </c>
      <c r="AK803">
        <v>9.90353062161814</v>
      </c>
      <c r="AL803">
        <v>96.8308963393375</v>
      </c>
      <c r="AM803">
        <v>79.954540566159196</v>
      </c>
      <c r="AN803">
        <v>0.99999999483402402</v>
      </c>
    </row>
    <row r="804" spans="1:40" x14ac:dyDescent="0.25">
      <c r="A804" t="str">
        <f>"20190305135554733"</f>
        <v>20190305135554733</v>
      </c>
      <c r="B804" t="str">
        <f>"1551765354722299"</f>
        <v>1551765354722299</v>
      </c>
      <c r="C804" t="s">
        <v>40</v>
      </c>
      <c r="D804">
        <v>4.180212</v>
      </c>
      <c r="E804">
        <v>0.6247433</v>
      </c>
      <c r="F804" t="s">
        <v>48</v>
      </c>
      <c r="G804">
        <v>-204.5403</v>
      </c>
      <c r="H804" s="1">
        <v>-4.4833690000000003E-6</v>
      </c>
      <c r="I804">
        <v>361.67970000000003</v>
      </c>
      <c r="J804">
        <v>-212.97720000000001</v>
      </c>
      <c r="K804">
        <v>1.1064959999999999</v>
      </c>
      <c r="L804">
        <v>366.3612</v>
      </c>
      <c r="M804">
        <v>0.99985380000000001</v>
      </c>
      <c r="N804">
        <v>-1.4714140000000001E-2</v>
      </c>
      <c r="O804">
        <v>8.7085800000000005E-3</v>
      </c>
      <c r="P804">
        <v>0.97566679999999995</v>
      </c>
      <c r="Q804">
        <v>-0.13208979999999901</v>
      </c>
      <c r="R804">
        <v>-0.17500479999999999</v>
      </c>
      <c r="S804">
        <v>2.7751920000000001</v>
      </c>
      <c r="T804">
        <v>-0.35025020000000001</v>
      </c>
      <c r="U804">
        <v>-1.4812320000000001</v>
      </c>
      <c r="V804">
        <v>0.18269379999999999</v>
      </c>
      <c r="W804">
        <v>-0.11898309999999999</v>
      </c>
      <c r="X804">
        <v>0.97594360000000002</v>
      </c>
      <c r="Y804">
        <v>0.47513369999999999</v>
      </c>
      <c r="Z804">
        <v>-3.2648999999999997E-2</v>
      </c>
      <c r="AA804">
        <v>0.87930769999999903</v>
      </c>
      <c r="AB804">
        <v>34</v>
      </c>
      <c r="AC804">
        <v>8.4368999999999996</v>
      </c>
      <c r="AD804">
        <v>-1.106500483369</v>
      </c>
      <c r="AE804">
        <v>-4.6814999999999696</v>
      </c>
      <c r="AF804">
        <v>4.6930842965608504</v>
      </c>
      <c r="AG804">
        <v>-1.106500483369</v>
      </c>
      <c r="AH804">
        <v>8.2868249838313996</v>
      </c>
      <c r="AI804">
        <v>96.6272913558997</v>
      </c>
      <c r="AJ804">
        <v>60.475785783045303</v>
      </c>
      <c r="AK804">
        <v>9.5875362761751308</v>
      </c>
      <c r="AL804">
        <v>96.833418335112896</v>
      </c>
      <c r="AM804">
        <v>79.3971117861511</v>
      </c>
      <c r="AN804">
        <v>0.99999995651250395</v>
      </c>
    </row>
    <row r="805" spans="1:40" x14ac:dyDescent="0.25">
      <c r="A805" t="str">
        <f>"20190305135554755"</f>
        <v>20190305135554755</v>
      </c>
      <c r="B805" t="str">
        <f>"1551765354742325"</f>
        <v>1551765354742325</v>
      </c>
      <c r="C805" t="s">
        <v>40</v>
      </c>
      <c r="D805">
        <v>4.1262869999999996</v>
      </c>
      <c r="E805">
        <v>0.623228</v>
      </c>
      <c r="F805" t="s">
        <v>48</v>
      </c>
      <c r="G805">
        <v>-204.38030000000001</v>
      </c>
      <c r="H805" s="1">
        <v>-4.404826E-6</v>
      </c>
      <c r="I805">
        <v>361.67070000000001</v>
      </c>
      <c r="J805">
        <v>-212.64850000000001</v>
      </c>
      <c r="K805">
        <v>1.106176</v>
      </c>
      <c r="L805">
        <v>366.36040000000003</v>
      </c>
      <c r="M805">
        <v>0.99987979999999999</v>
      </c>
      <c r="N805">
        <v>-1.472011E-2</v>
      </c>
      <c r="O805">
        <v>4.8778880000000004E-3</v>
      </c>
      <c r="P805">
        <v>0.97339549999999997</v>
      </c>
      <c r="Q805">
        <v>-0.13153049999999999</v>
      </c>
      <c r="R805">
        <v>-0.18761920000000001</v>
      </c>
      <c r="S805">
        <v>2.7569729999999999</v>
      </c>
      <c r="T805">
        <v>-0.35484759999999999</v>
      </c>
      <c r="U805">
        <v>-1.5042420000000001</v>
      </c>
      <c r="V805">
        <v>0.19147639999999999</v>
      </c>
      <c r="W805">
        <v>-0.1186485</v>
      </c>
      <c r="X805">
        <v>0.97429940000000004</v>
      </c>
      <c r="Y805">
        <v>0.47972799999999999</v>
      </c>
      <c r="Z805">
        <v>-3.30586E-2</v>
      </c>
      <c r="AA805">
        <v>0.87679430000000003</v>
      </c>
      <c r="AB805">
        <v>34</v>
      </c>
      <c r="AC805">
        <v>8.2682000000000002</v>
      </c>
      <c r="AD805">
        <v>-1.106180404826</v>
      </c>
      <c r="AE805">
        <v>-4.68970000000001</v>
      </c>
      <c r="AF805">
        <v>4.6667808985854702</v>
      </c>
      <c r="AG805">
        <v>-1.106180404826</v>
      </c>
      <c r="AH805">
        <v>8.1350558127144801</v>
      </c>
      <c r="AI805">
        <v>96.7268091571989</v>
      </c>
      <c r="AJ805">
        <v>60.158699713318001</v>
      </c>
      <c r="AK805">
        <v>9.4436016497628099</v>
      </c>
      <c r="AL805">
        <v>96.814110100130605</v>
      </c>
      <c r="AM805">
        <v>78.8815147125256</v>
      </c>
      <c r="AN805">
        <v>0.99999999957478403</v>
      </c>
    </row>
    <row r="806" spans="1:40" x14ac:dyDescent="0.25">
      <c r="A806" t="str">
        <f>"20190305135554777"</f>
        <v>20190305135554777</v>
      </c>
      <c r="B806" t="str">
        <f>"1551765354772580"</f>
        <v>1551765354772580</v>
      </c>
      <c r="C806" t="s">
        <v>40</v>
      </c>
      <c r="D806">
        <v>4.1464740000000004</v>
      </c>
      <c r="E806">
        <v>0.62093790000000004</v>
      </c>
      <c r="F806" t="s">
        <v>48</v>
      </c>
      <c r="G806">
        <v>-204.15870000000001</v>
      </c>
      <c r="H806" s="1">
        <v>-4.3036529999999997E-6</v>
      </c>
      <c r="I806">
        <v>361.62419999999997</v>
      </c>
      <c r="J806">
        <v>-212.29939999999999</v>
      </c>
      <c r="K806">
        <v>1.1058680000000001</v>
      </c>
      <c r="L806">
        <v>366.35789999999997</v>
      </c>
      <c r="M806">
        <v>0.99989159999999999</v>
      </c>
      <c r="N806">
        <v>-1.4725490000000001E-2</v>
      </c>
      <c r="O806">
        <v>5.1272739999999996E-4</v>
      </c>
      <c r="P806">
        <v>0.97090359999999998</v>
      </c>
      <c r="Q806">
        <v>-0.13223180000000001</v>
      </c>
      <c r="R806">
        <v>-0.199653</v>
      </c>
      <c r="S806">
        <v>2.7392120000000002</v>
      </c>
      <c r="T806">
        <v>-0.35690670000000002</v>
      </c>
      <c r="U806">
        <v>-1.5281370000000001</v>
      </c>
      <c r="V806">
        <v>0.19917000000000001</v>
      </c>
      <c r="W806">
        <v>-0.1195706</v>
      </c>
      <c r="X806">
        <v>0.97264289999999998</v>
      </c>
      <c r="Y806">
        <v>0.48407299999999998</v>
      </c>
      <c r="Z806">
        <v>-3.3175839999999998E-2</v>
      </c>
      <c r="AA806">
        <v>0.87439849999999997</v>
      </c>
      <c r="AB806">
        <v>34</v>
      </c>
      <c r="AC806">
        <v>8.1406999999999794</v>
      </c>
      <c r="AD806">
        <v>-1.105872303653</v>
      </c>
      <c r="AE806">
        <v>-4.73369999999999</v>
      </c>
      <c r="AF806">
        <v>4.6734235188822497</v>
      </c>
      <c r="AG806">
        <v>-1.105872303653</v>
      </c>
      <c r="AH806">
        <v>8.0275649888624798</v>
      </c>
      <c r="AI806">
        <v>96.789322043812405</v>
      </c>
      <c r="AJ806">
        <v>59.7932342253456</v>
      </c>
      <c r="AK806">
        <v>9.3544449642530605</v>
      </c>
      <c r="AL806">
        <v>96.867321244733503</v>
      </c>
      <c r="AM806">
        <v>78.427412729513804</v>
      </c>
      <c r="AN806">
        <v>1.0000000141023799</v>
      </c>
    </row>
    <row r="807" spans="1:40" x14ac:dyDescent="0.25">
      <c r="A807" t="str">
        <f>"20190305135554800"</f>
        <v>20190305135554800</v>
      </c>
      <c r="B807" t="str">
        <f>"1551765354792100"</f>
        <v>1551765354792100</v>
      </c>
      <c r="C807" t="s">
        <v>40</v>
      </c>
      <c r="D807">
        <v>4.1089140000000004</v>
      </c>
      <c r="E807">
        <v>0.61943000000000004</v>
      </c>
      <c r="F807" t="s">
        <v>48</v>
      </c>
      <c r="G807">
        <v>-203.8597</v>
      </c>
      <c r="H807" s="1">
        <v>-4.1643140000000001E-6</v>
      </c>
      <c r="I807">
        <v>361.57380000000001</v>
      </c>
      <c r="J807">
        <v>-211.94569999999999</v>
      </c>
      <c r="K807">
        <v>1.1055699999999999</v>
      </c>
      <c r="L807">
        <v>366.3535</v>
      </c>
      <c r="M807">
        <v>0.99988279999999996</v>
      </c>
      <c r="N807">
        <v>-1.473143E-2</v>
      </c>
      <c r="O807">
        <v>-4.2115099999999999E-3</v>
      </c>
      <c r="P807">
        <v>0.96808799999999995</v>
      </c>
      <c r="Q807">
        <v>-0.13416610000000001</v>
      </c>
      <c r="R807">
        <v>-0.21167340000000001</v>
      </c>
      <c r="S807">
        <v>2.7238009999999999</v>
      </c>
      <c r="T807">
        <v>-0.35690329999999998</v>
      </c>
      <c r="U807">
        <v>-1.543976</v>
      </c>
      <c r="V807">
        <v>0.2065129</v>
      </c>
      <c r="W807">
        <v>-0.12173</v>
      </c>
      <c r="X807">
        <v>0.97084199999999998</v>
      </c>
      <c r="Y807">
        <v>0.48589729999999998</v>
      </c>
      <c r="Z807">
        <v>-3.2905139999999999E-2</v>
      </c>
      <c r="AA807">
        <v>0.87339630000000001</v>
      </c>
      <c r="AB807">
        <v>34</v>
      </c>
      <c r="AC807">
        <v>8.0859999999999808</v>
      </c>
      <c r="AD807">
        <v>-1.105574164314</v>
      </c>
      <c r="AE807">
        <v>-4.7796999999999903</v>
      </c>
      <c r="AF807">
        <v>4.6807540329398103</v>
      </c>
      <c r="AG807">
        <v>-1.105574164314</v>
      </c>
      <c r="AH807">
        <v>7.9952960366652404</v>
      </c>
      <c r="AI807">
        <v>96.805051609865103</v>
      </c>
      <c r="AJ807">
        <v>59.6536515945931</v>
      </c>
      <c r="AK807">
        <v>9.3304078830239696</v>
      </c>
      <c r="AL807">
        <v>96.991956464904902</v>
      </c>
      <c r="AM807">
        <v>77.991301067884507</v>
      </c>
      <c r="AN807">
        <v>0.99999997986520395</v>
      </c>
    </row>
    <row r="808" spans="1:40" x14ac:dyDescent="0.25">
      <c r="A808" t="str">
        <f>"20190305135554822"</f>
        <v>20190305135554822</v>
      </c>
      <c r="B808" t="str">
        <f>"1551765354812597"</f>
        <v>1551765354812597</v>
      </c>
      <c r="C808" t="s">
        <v>40</v>
      </c>
      <c r="D808">
        <v>5.2500669999999996</v>
      </c>
      <c r="E808">
        <v>0.61805269999999901</v>
      </c>
      <c r="F808" t="s">
        <v>48</v>
      </c>
      <c r="G808">
        <v>-203.67830000000001</v>
      </c>
      <c r="H808" s="1">
        <v>-4.074034E-6</v>
      </c>
      <c r="I808">
        <v>361.56950000000001</v>
      </c>
      <c r="J808">
        <v>-211.61429999999999</v>
      </c>
      <c r="K808">
        <v>1.1052740000000001</v>
      </c>
      <c r="L808">
        <v>366.3476</v>
      </c>
      <c r="M808">
        <v>0.99985159999999995</v>
      </c>
      <c r="N808">
        <v>-1.4739439999999999E-2</v>
      </c>
      <c r="O808">
        <v>-8.9276169999999901E-3</v>
      </c>
      <c r="P808">
        <v>0.96503190000000005</v>
      </c>
      <c r="Q808">
        <v>-0.13692679999999999</v>
      </c>
      <c r="R808">
        <v>-0.22352839999999999</v>
      </c>
      <c r="S808">
        <v>2.7063290000000002</v>
      </c>
      <c r="T808">
        <v>-0.36191060000000003</v>
      </c>
      <c r="U808">
        <v>-1.5660400000000001</v>
      </c>
      <c r="V808">
        <v>0.21371399999999999</v>
      </c>
      <c r="W808">
        <v>-0.1247192</v>
      </c>
      <c r="X808">
        <v>0.96890220000000005</v>
      </c>
      <c r="Y808">
        <v>0.48943170000000003</v>
      </c>
      <c r="Z808">
        <v>-3.315767E-2</v>
      </c>
      <c r="AA808">
        <v>0.87141100000000005</v>
      </c>
      <c r="AB808">
        <v>34</v>
      </c>
      <c r="AC808">
        <v>7.9359999999999697</v>
      </c>
      <c r="AD808">
        <v>-1.10527807403399</v>
      </c>
      <c r="AE808">
        <v>-4.7780999999999896</v>
      </c>
      <c r="AF808">
        <v>4.6409809154693598</v>
      </c>
      <c r="AG808">
        <v>-1.10527807403399</v>
      </c>
      <c r="AH808">
        <v>7.8663558965226699</v>
      </c>
      <c r="AI808">
        <v>96.900124329459402</v>
      </c>
      <c r="AJ808">
        <v>59.4603085919873</v>
      </c>
      <c r="AK808">
        <v>9.1999944874683592</v>
      </c>
      <c r="AL808">
        <v>97.164540137486199</v>
      </c>
      <c r="AM808">
        <v>77.561251504061104</v>
      </c>
      <c r="AN808">
        <v>1.0000000129047399</v>
      </c>
    </row>
    <row r="809" spans="1:40" x14ac:dyDescent="0.25">
      <c r="A809" t="str">
        <f>"20190305135554845"</f>
        <v>20190305135554845</v>
      </c>
      <c r="B809" t="str">
        <f>"1551765354842385"</f>
        <v>1551765354842385</v>
      </c>
      <c r="C809" t="s">
        <v>40</v>
      </c>
      <c r="D809">
        <v>4.1066370000000001</v>
      </c>
      <c r="E809">
        <v>0.59750709999999996</v>
      </c>
      <c r="F809" t="s">
        <v>48</v>
      </c>
      <c r="G809">
        <v>-203.56049999999999</v>
      </c>
      <c r="H809" s="1">
        <v>-4.0102890000000003E-6</v>
      </c>
      <c r="I809">
        <v>361.58949999999999</v>
      </c>
      <c r="J809">
        <v>-211.2687</v>
      </c>
      <c r="K809">
        <v>1.1049530000000001</v>
      </c>
      <c r="L809">
        <v>366.33949999999999</v>
      </c>
      <c r="M809">
        <v>0.99979070000000003</v>
      </c>
      <c r="N809">
        <v>-1.475159E-2</v>
      </c>
      <c r="O809">
        <v>-1.416887E-2</v>
      </c>
      <c r="P809">
        <v>0.96190509999999996</v>
      </c>
      <c r="Q809">
        <v>-0.13899510000000001</v>
      </c>
      <c r="R809">
        <v>-0.23541280000000001</v>
      </c>
      <c r="S809">
        <v>2.6884610000000002</v>
      </c>
      <c r="T809">
        <v>-0.3689576</v>
      </c>
      <c r="U809">
        <v>-1.5883179999999999</v>
      </c>
      <c r="V809">
        <v>0.22045439999999999</v>
      </c>
      <c r="W809">
        <v>-0.12703329999999999</v>
      </c>
      <c r="X809">
        <v>0.96708970000000005</v>
      </c>
      <c r="Y809">
        <v>0.49259419999999998</v>
      </c>
      <c r="Z809">
        <v>-3.3481039999999997E-2</v>
      </c>
      <c r="AA809">
        <v>0.86961480000000002</v>
      </c>
      <c r="AB809">
        <v>34</v>
      </c>
      <c r="AC809">
        <v>7.7081999999999997</v>
      </c>
      <c r="AD809">
        <v>-1.1049570102890001</v>
      </c>
      <c r="AE809">
        <v>-4.75</v>
      </c>
      <c r="AF809">
        <v>4.57219986180018</v>
      </c>
      <c r="AG809">
        <v>-1.1049570102890001</v>
      </c>
      <c r="AH809">
        <v>7.6606437730731498</v>
      </c>
      <c r="AI809">
        <v>97.060433663941595</v>
      </c>
      <c r="AJ809">
        <v>59.169440420892698</v>
      </c>
      <c r="AK809">
        <v>8.9895163712380501</v>
      </c>
      <c r="AL809">
        <v>97.298191165092106</v>
      </c>
      <c r="AM809">
        <v>77.1584854348081</v>
      </c>
      <c r="AN809">
        <v>1.00000004481716</v>
      </c>
    </row>
    <row r="810" spans="1:40" x14ac:dyDescent="0.25">
      <c r="A810" t="str">
        <f>"20190305135554866"</f>
        <v>20190305135554866</v>
      </c>
      <c r="B810" t="str">
        <f>"1551765354862881"</f>
        <v>1551765354862881</v>
      </c>
      <c r="C810" t="s">
        <v>40</v>
      </c>
      <c r="D810">
        <v>4.0989309999999897</v>
      </c>
      <c r="E810">
        <v>0.59761450000000005</v>
      </c>
      <c r="F810" t="s">
        <v>48</v>
      </c>
      <c r="G810">
        <v>-203.24250000000001</v>
      </c>
      <c r="H810" s="1">
        <v>-3.7578860000000001E-6</v>
      </c>
      <c r="I810">
        <v>362.0061</v>
      </c>
      <c r="J810">
        <v>-210.93369999999999</v>
      </c>
      <c r="K810">
        <v>1.1046229999999999</v>
      </c>
      <c r="L810">
        <v>366.32960000000003</v>
      </c>
      <c r="M810">
        <v>0.99969889999999995</v>
      </c>
      <c r="N810">
        <v>-1.4767890000000001E-2</v>
      </c>
      <c r="O810">
        <v>-1.9603079999999998E-2</v>
      </c>
      <c r="P810">
        <v>0.95913709999999996</v>
      </c>
      <c r="Q810">
        <v>-0.13891619999999999</v>
      </c>
      <c r="R810">
        <v>-0.24649190000000001</v>
      </c>
      <c r="S810">
        <v>2.7072449999999999</v>
      </c>
      <c r="T810">
        <v>-0.37270449999999999</v>
      </c>
      <c r="U810">
        <v>-1.46167</v>
      </c>
      <c r="V810">
        <v>0.2262363</v>
      </c>
      <c r="W810">
        <v>-0.12719810000000001</v>
      </c>
      <c r="X810">
        <v>0.96573169999999997</v>
      </c>
      <c r="Y810">
        <v>0.45411109999999999</v>
      </c>
      <c r="Z810">
        <v>-3.048735E-2</v>
      </c>
      <c r="AA810">
        <v>0.89042330000000003</v>
      </c>
      <c r="AB810">
        <v>34</v>
      </c>
      <c r="AC810">
        <v>7.6911999999999798</v>
      </c>
      <c r="AD810">
        <v>-1.1046267578859901</v>
      </c>
      <c r="AE810">
        <v>-4.3235000000000197</v>
      </c>
      <c r="AF810">
        <v>4.10749922532663</v>
      </c>
      <c r="AG810">
        <v>-1.1046267578859901</v>
      </c>
      <c r="AH810">
        <v>7.6545058970009796</v>
      </c>
      <c r="AI810">
        <v>97.246805277845795</v>
      </c>
      <c r="AJ810">
        <v>61.7814621526107</v>
      </c>
      <c r="AK810">
        <v>8.7568950369134502</v>
      </c>
      <c r="AL810">
        <v>97.307711295567003</v>
      </c>
      <c r="AM810">
        <v>76.815410846392297</v>
      </c>
      <c r="AN810">
        <v>0.99999996823309401</v>
      </c>
    </row>
    <row r="811" spans="1:40" x14ac:dyDescent="0.25">
      <c r="A811" t="str">
        <f>"20190305135554891"</f>
        <v>20190305135554891</v>
      </c>
      <c r="B811" t="str">
        <f>"1551765354882401"</f>
        <v>1551765354882401</v>
      </c>
      <c r="C811" t="s">
        <v>40</v>
      </c>
      <c r="D811">
        <v>4.1068379999999998</v>
      </c>
      <c r="E811">
        <v>0.59661589999999998</v>
      </c>
      <c r="F811" t="s">
        <v>48</v>
      </c>
      <c r="G811">
        <v>-203.19710000000001</v>
      </c>
      <c r="H811" s="1">
        <v>-3.7298310000000001E-6</v>
      </c>
      <c r="I811">
        <v>362.02969999999999</v>
      </c>
      <c r="J811">
        <v>-210.57130000000001</v>
      </c>
      <c r="K811">
        <v>1.104258</v>
      </c>
      <c r="L811">
        <v>366.31639999999999</v>
      </c>
      <c r="M811">
        <v>0.99955459999999996</v>
      </c>
      <c r="N811">
        <v>-1.479078E-2</v>
      </c>
      <c r="O811">
        <v>-2.5917519999999999E-2</v>
      </c>
      <c r="P811">
        <v>0.95649510000000004</v>
      </c>
      <c r="Q811">
        <v>-0.13783960000000001</v>
      </c>
      <c r="R811">
        <v>-0.25713350000000001</v>
      </c>
      <c r="S811">
        <v>2.6882480000000002</v>
      </c>
      <c r="T811">
        <v>-0.38382880000000003</v>
      </c>
      <c r="U811">
        <v>-1.49411</v>
      </c>
      <c r="V811">
        <v>0.2307457</v>
      </c>
      <c r="W811">
        <v>-0.12637770000000001</v>
      </c>
      <c r="X811">
        <v>0.96477199999999996</v>
      </c>
      <c r="Y811">
        <v>0.45913700000000002</v>
      </c>
      <c r="Z811">
        <v>-3.1013389999999998E-2</v>
      </c>
      <c r="AA811">
        <v>0.88782399999999995</v>
      </c>
      <c r="AB811">
        <v>34</v>
      </c>
      <c r="AC811">
        <v>7.3742000000000001</v>
      </c>
      <c r="AD811">
        <v>-1.104261729831</v>
      </c>
      <c r="AE811">
        <v>-4.28669999999999</v>
      </c>
      <c r="AF811">
        <v>4.0266300346208697</v>
      </c>
      <c r="AG811">
        <v>-1.104261729831</v>
      </c>
      <c r="AH811">
        <v>7.3594874549470202</v>
      </c>
      <c r="AI811">
        <v>97.498826006083107</v>
      </c>
      <c r="AJ811">
        <v>61.315406204334501</v>
      </c>
      <c r="AK811">
        <v>8.4613946251905094</v>
      </c>
      <c r="AL811">
        <v>97.260323493039294</v>
      </c>
      <c r="AM811">
        <v>76.549174337232202</v>
      </c>
      <c r="AN811">
        <v>0.99999995655488905</v>
      </c>
    </row>
    <row r="812" spans="1:40" x14ac:dyDescent="0.25">
      <c r="A812" t="str">
        <f>"20190305135554912"</f>
        <v>20190305135554912</v>
      </c>
      <c r="B812" t="str">
        <f>"1551765354902897"</f>
        <v>1551765354902897</v>
      </c>
      <c r="C812" t="s">
        <v>40</v>
      </c>
      <c r="D812">
        <v>4.0953290000000004</v>
      </c>
      <c r="E812">
        <v>0.59650740000000002</v>
      </c>
      <c r="F812" t="s">
        <v>48</v>
      </c>
      <c r="G812">
        <v>-202.76089999999999</v>
      </c>
      <c r="H812" s="1">
        <v>-3.5416320000000001E-6</v>
      </c>
      <c r="I812">
        <v>361.88839999999999</v>
      </c>
      <c r="J812">
        <v>-210.2456</v>
      </c>
      <c r="K812">
        <v>1.103925</v>
      </c>
      <c r="L812">
        <v>366.3021</v>
      </c>
      <c r="M812">
        <v>0.99937699999999996</v>
      </c>
      <c r="N812">
        <v>-1.4816960000000001E-2</v>
      </c>
      <c r="O812">
        <v>-3.2039489999999997E-2</v>
      </c>
      <c r="P812">
        <v>0.95439490000000005</v>
      </c>
      <c r="Q812">
        <v>-0.13531860000000001</v>
      </c>
      <c r="R812">
        <v>-0.26611980000000002</v>
      </c>
      <c r="S812">
        <v>2.6743619999999999</v>
      </c>
      <c r="T812">
        <v>-0.37811149999999999</v>
      </c>
      <c r="U812">
        <v>-1.5161739999999999</v>
      </c>
      <c r="V812">
        <v>0.23381460000000001</v>
      </c>
      <c r="W812">
        <v>-0.1240811</v>
      </c>
      <c r="X812">
        <v>0.96433120000000006</v>
      </c>
      <c r="Y812">
        <v>0.46133439999999998</v>
      </c>
      <c r="Z812">
        <v>-3.01453E-2</v>
      </c>
      <c r="AA812">
        <v>0.886713999999999</v>
      </c>
      <c r="AB812">
        <v>34</v>
      </c>
      <c r="AC812">
        <v>7.4847000000000001</v>
      </c>
      <c r="AD812">
        <v>-1.1039285416319999</v>
      </c>
      <c r="AE812">
        <v>-4.4137000000000004</v>
      </c>
      <c r="AF812">
        <v>4.1053376362791001</v>
      </c>
      <c r="AG812">
        <v>-1.1039285416319999</v>
      </c>
      <c r="AH812">
        <v>7.5012088312061804</v>
      </c>
      <c r="AI812">
        <v>97.356044538108094</v>
      </c>
      <c r="AJ812">
        <v>61.308546869097498</v>
      </c>
      <c r="AK812">
        <v>8.6220988896118005</v>
      </c>
      <c r="AL812">
        <v>97.127693394310398</v>
      </c>
      <c r="AM812">
        <v>76.370909781306395</v>
      </c>
      <c r="AN812">
        <v>1.0000000249219001</v>
      </c>
    </row>
    <row r="813" spans="1:40" x14ac:dyDescent="0.25">
      <c r="A813" t="str">
        <f>"20190305135554932"</f>
        <v>20190305135554932</v>
      </c>
      <c r="B813" t="str">
        <f>"1551765354922417"</f>
        <v>1551765354922417</v>
      </c>
      <c r="C813" t="s">
        <v>40</v>
      </c>
      <c r="D813">
        <v>4.1004849999999999</v>
      </c>
      <c r="E813">
        <v>0.59638619999999898</v>
      </c>
      <c r="F813" t="s">
        <v>48</v>
      </c>
      <c r="G813">
        <v>-201.91550000000001</v>
      </c>
      <c r="H813" s="1">
        <v>-3.2053999999999998E-6</v>
      </c>
      <c r="I813">
        <v>361.4862</v>
      </c>
      <c r="J813">
        <v>-209.92250000000001</v>
      </c>
      <c r="K813">
        <v>1.1036049999999999</v>
      </c>
      <c r="L813">
        <v>366.28550000000001</v>
      </c>
      <c r="M813">
        <v>0.99914939999999997</v>
      </c>
      <c r="N813">
        <v>-1.4846669999999999E-2</v>
      </c>
      <c r="O813">
        <v>-3.8470949999999997E-2</v>
      </c>
      <c r="P813">
        <v>0.95264599999999999</v>
      </c>
      <c r="Q813">
        <v>-0.13028619999999999</v>
      </c>
      <c r="R813">
        <v>-0.27475690000000003</v>
      </c>
      <c r="S813">
        <v>2.6638950000000001</v>
      </c>
      <c r="T813">
        <v>-0.35302620000000001</v>
      </c>
      <c r="U813">
        <v>-1.5400700000000001</v>
      </c>
      <c r="V813">
        <v>0.23627919999999999</v>
      </c>
      <c r="W813">
        <v>-0.11924940000000001</v>
      </c>
      <c r="X813">
        <v>0.96433999999999997</v>
      </c>
      <c r="Y813">
        <v>0.46356969999999997</v>
      </c>
      <c r="Z813">
        <v>-2.7936610000000001E-2</v>
      </c>
      <c r="AA813">
        <v>0.88561990000000002</v>
      </c>
      <c r="AB813">
        <v>34</v>
      </c>
      <c r="AC813">
        <v>8.0069999999999997</v>
      </c>
      <c r="AD813">
        <v>-1.1036082054</v>
      </c>
      <c r="AE813">
        <v>-4.7993000000000103</v>
      </c>
      <c r="AF813">
        <v>4.4258198660858401</v>
      </c>
      <c r="AG813">
        <v>-1.1036082054</v>
      </c>
      <c r="AH813">
        <v>8.0728976942635704</v>
      </c>
      <c r="AI813">
        <v>96.835587612290396</v>
      </c>
      <c r="AJ813">
        <v>61.267042374470698</v>
      </c>
      <c r="AK813">
        <v>9.2724058226607209</v>
      </c>
      <c r="AL813">
        <v>96.848785604086501</v>
      </c>
      <c r="AM813">
        <v>76.232808121439703</v>
      </c>
      <c r="AN813">
        <v>0.99999995767649896</v>
      </c>
    </row>
    <row r="814" spans="1:40" x14ac:dyDescent="0.25">
      <c r="A814" t="str">
        <f>"20190305135554957"</f>
        <v>20190305135554957</v>
      </c>
      <c r="B814" t="str">
        <f>"1551765354952203"</f>
        <v>1551765354952203</v>
      </c>
      <c r="C814" t="s">
        <v>40</v>
      </c>
      <c r="D814">
        <v>4.0915879999999998</v>
      </c>
      <c r="E814">
        <v>0.59624699999999997</v>
      </c>
      <c r="F814" t="s">
        <v>48</v>
      </c>
      <c r="G814">
        <v>-200.96090000000001</v>
      </c>
      <c r="H814" s="1">
        <v>-2.830998E-6</v>
      </c>
      <c r="I814">
        <v>361.00819999999999</v>
      </c>
      <c r="J814">
        <v>-209.57579999999999</v>
      </c>
      <c r="K814">
        <v>1.1032630000000001</v>
      </c>
      <c r="L814">
        <v>366.26490000000001</v>
      </c>
      <c r="M814">
        <v>0.99883940000000004</v>
      </c>
      <c r="N814">
        <v>-1.4878870000000001E-2</v>
      </c>
      <c r="O814">
        <v>-4.5809679999999998E-2</v>
      </c>
      <c r="P814">
        <v>0.95009710000000003</v>
      </c>
      <c r="Q814">
        <v>-0.12731969999999901</v>
      </c>
      <c r="R814">
        <v>-0.28479070000000001</v>
      </c>
      <c r="S814">
        <v>2.6537320000000002</v>
      </c>
      <c r="T814">
        <v>-0.32680389999999998</v>
      </c>
      <c r="U814">
        <v>-1.5627139999999999</v>
      </c>
      <c r="V814">
        <v>0.2392804</v>
      </c>
      <c r="W814">
        <v>-0.11651069999999999</v>
      </c>
      <c r="X814">
        <v>0.96393470000000003</v>
      </c>
      <c r="Y814">
        <v>0.46462490000000001</v>
      </c>
      <c r="Z814">
        <v>-2.5571429999999999E-2</v>
      </c>
      <c r="AA814">
        <v>0.88513829999999905</v>
      </c>
      <c r="AB814">
        <v>34</v>
      </c>
      <c r="AC814">
        <v>8.6148999999999702</v>
      </c>
      <c r="AD814">
        <v>-1.1032658309979999</v>
      </c>
      <c r="AE814">
        <v>-5.2567000000000199</v>
      </c>
      <c r="AF814">
        <v>4.7991365581409404</v>
      </c>
      <c r="AG814">
        <v>-1.1032658309979999</v>
      </c>
      <c r="AH814">
        <v>8.7422107580663493</v>
      </c>
      <c r="AI814">
        <v>96.312780328500196</v>
      </c>
      <c r="AJ814">
        <v>61.234911836166503</v>
      </c>
      <c r="AK814">
        <v>10.0337010188655</v>
      </c>
      <c r="AL814">
        <v>96.690767723103804</v>
      </c>
      <c r="AM814">
        <v>76.059082462466606</v>
      </c>
      <c r="AN814">
        <v>0.99999997945136998</v>
      </c>
    </row>
    <row r="815" spans="1:40" x14ac:dyDescent="0.25">
      <c r="A815" t="str">
        <f>"20190305135554979"</f>
        <v>20190305135554979</v>
      </c>
      <c r="B815" t="str">
        <f>"1551765354972700"</f>
        <v>1551765354972700</v>
      </c>
      <c r="C815" t="s">
        <v>40</v>
      </c>
      <c r="D815">
        <v>4.1274829999999998</v>
      </c>
      <c r="E815">
        <v>0.59608229999999995</v>
      </c>
      <c r="F815" t="s">
        <v>48</v>
      </c>
      <c r="G815">
        <v>-200.47049999999999</v>
      </c>
      <c r="H815" s="1">
        <v>-2.6244869999999999E-6</v>
      </c>
      <c r="I815">
        <v>360.779</v>
      </c>
      <c r="J815">
        <v>-209.226</v>
      </c>
      <c r="K815">
        <v>1.1029059999999999</v>
      </c>
      <c r="L815">
        <v>366.24119999999999</v>
      </c>
      <c r="M815">
        <v>0.9984459</v>
      </c>
      <c r="N815">
        <v>-1.49138E-2</v>
      </c>
      <c r="O815">
        <v>-5.3698080000000002E-2</v>
      </c>
      <c r="P815">
        <v>0.94679429999999998</v>
      </c>
      <c r="Q815">
        <v>-0.12588189999999999</v>
      </c>
      <c r="R815">
        <v>-0.29620000000000002</v>
      </c>
      <c r="S815">
        <v>2.63829</v>
      </c>
      <c r="T815">
        <v>-0.31967570000000001</v>
      </c>
      <c r="U815">
        <v>-1.589569</v>
      </c>
      <c r="V815">
        <v>0.24315909999999999</v>
      </c>
      <c r="W815">
        <v>-0.11533160000000001</v>
      </c>
      <c r="X815">
        <v>0.96310560000000001</v>
      </c>
      <c r="Y815">
        <v>0.46666350000000001</v>
      </c>
      <c r="Z815">
        <v>-2.4550800000000001E-2</v>
      </c>
      <c r="AA815">
        <v>0.88409409999999899</v>
      </c>
      <c r="AB815">
        <v>34</v>
      </c>
      <c r="AC815">
        <v>8.7555000000000103</v>
      </c>
      <c r="AD815">
        <v>-1.1029086244870001</v>
      </c>
      <c r="AE815">
        <v>-5.4621999999999904</v>
      </c>
      <c r="AF815">
        <v>4.9278247492733804</v>
      </c>
      <c r="AG815">
        <v>-1.1029086244870001</v>
      </c>
      <c r="AH815">
        <v>8.9341588289300606</v>
      </c>
      <c r="AI815">
        <v>96.169475484048206</v>
      </c>
      <c r="AJ815">
        <v>61.120136258349802</v>
      </c>
      <c r="AK815">
        <v>10.262507401900701</v>
      </c>
      <c r="AL815">
        <v>96.622751184044304</v>
      </c>
      <c r="AM815">
        <v>75.830424151883804</v>
      </c>
      <c r="AN815">
        <v>1.00000006131136</v>
      </c>
    </row>
    <row r="816" spans="1:40" x14ac:dyDescent="0.25">
      <c r="A816" t="str">
        <f>"20190305135555001"</f>
        <v>20190305135555001</v>
      </c>
      <c r="B816" t="str">
        <f>"1551765354992219"</f>
        <v>1551765354992219</v>
      </c>
      <c r="C816" t="s">
        <v>40</v>
      </c>
      <c r="D816">
        <v>4.1436580000000003</v>
      </c>
      <c r="E816">
        <v>0.59582440000000003</v>
      </c>
      <c r="F816" t="s">
        <v>48</v>
      </c>
      <c r="G816">
        <v>-200.23330000000001</v>
      </c>
      <c r="H816" s="1">
        <v>-2.5109700000000002E-6</v>
      </c>
      <c r="I816">
        <v>360.67790000000002</v>
      </c>
      <c r="J816">
        <v>-208.89169999999999</v>
      </c>
      <c r="K816">
        <v>1.1025510000000001</v>
      </c>
      <c r="L816">
        <v>366.21550000000002</v>
      </c>
      <c r="M816">
        <v>0.99798209999999998</v>
      </c>
      <c r="N816">
        <v>-1.495295E-2</v>
      </c>
      <c r="O816">
        <v>-6.1708859999999997E-2</v>
      </c>
      <c r="P816">
        <v>0.9433262</v>
      </c>
      <c r="Q816">
        <v>-0.1239401</v>
      </c>
      <c r="R816">
        <v>-0.30785489999999999</v>
      </c>
      <c r="S816">
        <v>2.6189879999999999</v>
      </c>
      <c r="T816">
        <v>-0.32120599999999999</v>
      </c>
      <c r="U816">
        <v>-1.620209</v>
      </c>
      <c r="V816">
        <v>0.2472095</v>
      </c>
      <c r="W816">
        <v>-0.1136551</v>
      </c>
      <c r="X816">
        <v>0.96227339999999995</v>
      </c>
      <c r="Y816">
        <v>0.469945</v>
      </c>
      <c r="Z816">
        <v>-2.4168160000000001E-2</v>
      </c>
      <c r="AA816">
        <v>0.882364699999999</v>
      </c>
      <c r="AB816">
        <v>34</v>
      </c>
      <c r="AC816">
        <v>8.6583999999999701</v>
      </c>
      <c r="AD816">
        <v>-1.10255351097</v>
      </c>
      <c r="AE816">
        <v>-5.5375999999999896</v>
      </c>
      <c r="AF816">
        <v>4.93588209042582</v>
      </c>
      <c r="AG816">
        <v>-1.10255351097</v>
      </c>
      <c r="AH816">
        <v>8.8814445466267404</v>
      </c>
      <c r="AI816">
        <v>96.192929547952502</v>
      </c>
      <c r="AJ816">
        <v>60.936788269419601</v>
      </c>
      <c r="AK816">
        <v>10.2204996692893</v>
      </c>
      <c r="AL816">
        <v>96.526058982135496</v>
      </c>
      <c r="AM816">
        <v>75.592197569969002</v>
      </c>
      <c r="AN816">
        <v>1.0000000574968999</v>
      </c>
    </row>
    <row r="817" spans="1:40" x14ac:dyDescent="0.25">
      <c r="A817" t="str">
        <f>"20190305135555022"</f>
        <v>20190305135555022</v>
      </c>
      <c r="B817" t="str">
        <f>"1551765355012716"</f>
        <v>1551765355012716</v>
      </c>
      <c r="C817" t="s">
        <v>40</v>
      </c>
      <c r="D817">
        <v>4.1747310000000004</v>
      </c>
      <c r="E817">
        <v>0.59551889999999996</v>
      </c>
      <c r="F817" t="s">
        <v>48</v>
      </c>
      <c r="G817">
        <v>-199.8939</v>
      </c>
      <c r="H817" s="1">
        <v>-1.019161E-5</v>
      </c>
      <c r="I817">
        <v>360.50299999999999</v>
      </c>
      <c r="J817">
        <v>-208.56809999999999</v>
      </c>
      <c r="K817">
        <v>1.1021920000000001</v>
      </c>
      <c r="L817">
        <v>366.18770000000001</v>
      </c>
      <c r="M817">
        <v>0.99743999999999999</v>
      </c>
      <c r="N817">
        <v>-1.499691E-2</v>
      </c>
      <c r="O817">
        <v>-6.9917370000000006E-2</v>
      </c>
      <c r="P817">
        <v>0.93948900000000002</v>
      </c>
      <c r="Q817">
        <v>-0.123165899999999</v>
      </c>
      <c r="R817">
        <v>-0.31967259999999997</v>
      </c>
      <c r="S817">
        <v>2.5997309999999998</v>
      </c>
      <c r="T817">
        <v>-0.31856129999999999</v>
      </c>
      <c r="U817">
        <v>-1.6505129999999999</v>
      </c>
      <c r="V817">
        <v>0.25126330000000002</v>
      </c>
      <c r="W817">
        <v>-0.1131556</v>
      </c>
      <c r="X817">
        <v>0.96128170000000002</v>
      </c>
      <c r="Y817">
        <v>0.47302119999999998</v>
      </c>
      <c r="Z817">
        <v>-2.350139E-2</v>
      </c>
      <c r="AA817">
        <v>0.88073749999999995</v>
      </c>
      <c r="AB817">
        <v>34</v>
      </c>
      <c r="AC817">
        <v>8.6741999999999795</v>
      </c>
      <c r="AD817">
        <v>-1.10220219161</v>
      </c>
      <c r="AE817">
        <v>-5.6846999999999603</v>
      </c>
      <c r="AF817">
        <v>5.0076785700669904</v>
      </c>
      <c r="AG817">
        <v>-1.10220219161</v>
      </c>
      <c r="AH817">
        <v>8.9493893182381594</v>
      </c>
      <c r="AI817">
        <v>96.134473661872207</v>
      </c>
      <c r="AJ817">
        <v>60.7705723023576</v>
      </c>
      <c r="AK817">
        <v>10.3142262677184</v>
      </c>
      <c r="AL817">
        <v>96.497254477299805</v>
      </c>
      <c r="AM817">
        <v>75.351552442885605</v>
      </c>
      <c r="AN817">
        <v>0.99999997124656903</v>
      </c>
    </row>
    <row r="818" spans="1:40" x14ac:dyDescent="0.25">
      <c r="A818" t="str">
        <f>"20190305135555046"</f>
        <v>20190305135555046</v>
      </c>
      <c r="B818" t="str">
        <f>"1551765355042501"</f>
        <v>1551765355042501</v>
      </c>
      <c r="C818" t="s">
        <v>40</v>
      </c>
      <c r="D818">
        <v>4.1015739999999896</v>
      </c>
      <c r="E818">
        <v>0.59537169999999995</v>
      </c>
      <c r="F818" t="s">
        <v>48</v>
      </c>
      <c r="G818">
        <v>-199.7508</v>
      </c>
      <c r="H818" s="1">
        <v>-1.014839E-5</v>
      </c>
      <c r="I818">
        <v>360.4418</v>
      </c>
      <c r="J818">
        <v>-208.22909999999999</v>
      </c>
      <c r="K818">
        <v>1.101793</v>
      </c>
      <c r="L818">
        <v>366.15530000000001</v>
      </c>
      <c r="M818">
        <v>0.99676070000000005</v>
      </c>
      <c r="N818">
        <v>-1.504846E-2</v>
      </c>
      <c r="O818">
        <v>-7.9004699999999997E-2</v>
      </c>
      <c r="P818">
        <v>0.93530380000000002</v>
      </c>
      <c r="Q818">
        <v>-0.1213716</v>
      </c>
      <c r="R818">
        <v>-0.3323796</v>
      </c>
      <c r="S818">
        <v>2.5791019999999998</v>
      </c>
      <c r="T818">
        <v>-0.32239770000000001</v>
      </c>
      <c r="U818">
        <v>-1.6806950000000001</v>
      </c>
      <c r="V818">
        <v>0.25542409999999999</v>
      </c>
      <c r="W818">
        <v>-0.1116579</v>
      </c>
      <c r="X818">
        <v>0.96035979999999999</v>
      </c>
      <c r="Y818">
        <v>0.47540850000000001</v>
      </c>
      <c r="Z818">
        <v>-2.308671E-2</v>
      </c>
      <c r="AA818">
        <v>0.87946219999999997</v>
      </c>
      <c r="AB818">
        <v>34</v>
      </c>
      <c r="AC818">
        <v>8.4782999999999902</v>
      </c>
      <c r="AD818">
        <v>-1.1018031483899999</v>
      </c>
      <c r="AE818">
        <v>-5.7135000000000096</v>
      </c>
      <c r="AF818">
        <v>4.9680363537348899</v>
      </c>
      <c r="AG818">
        <v>-1.1018031483899999</v>
      </c>
      <c r="AH818">
        <v>8.8010214990142508</v>
      </c>
      <c r="AI818">
        <v>96.221831867444706</v>
      </c>
      <c r="AJ818">
        <v>60.555964640456899</v>
      </c>
      <c r="AK818">
        <v>10.1662842187273</v>
      </c>
      <c r="AL818">
        <v>96.410895383937003</v>
      </c>
      <c r="AM818">
        <v>75.106011103398998</v>
      </c>
      <c r="AN818">
        <v>0.99999995147462795</v>
      </c>
    </row>
    <row r="819" spans="1:40" x14ac:dyDescent="0.25">
      <c r="A819" t="str">
        <f>"20190305135555068"</f>
        <v>20190305135555068</v>
      </c>
      <c r="B819" t="str">
        <f>"1551765355063000"</f>
        <v>1551765355063000</v>
      </c>
      <c r="C819" t="s">
        <v>40</v>
      </c>
      <c r="D819">
        <v>4.1953009999999997</v>
      </c>
      <c r="E819">
        <v>0.59525519999999998</v>
      </c>
      <c r="F819" t="s">
        <v>48</v>
      </c>
      <c r="G819">
        <v>-199.4331</v>
      </c>
      <c r="H819" s="1">
        <v>-1.0059280000000001E-5</v>
      </c>
      <c r="I819">
        <v>360.25799999999998</v>
      </c>
      <c r="J819">
        <v>-207.88409999999999</v>
      </c>
      <c r="K819">
        <v>1.1013740000000001</v>
      </c>
      <c r="L819">
        <v>366.11869999999999</v>
      </c>
      <c r="M819">
        <v>0.99593849999999995</v>
      </c>
      <c r="N819">
        <v>-1.5105789999999999E-2</v>
      </c>
      <c r="O819">
        <v>-8.8760779999999997E-2</v>
      </c>
      <c r="P819">
        <v>0.9305293</v>
      </c>
      <c r="Q819">
        <v>-0.11961380000000001</v>
      </c>
      <c r="R819">
        <v>-0.34613290000000002</v>
      </c>
      <c r="S819">
        <v>2.5567630000000001</v>
      </c>
      <c r="T819">
        <v>-0.32026369999999998</v>
      </c>
      <c r="U819">
        <v>-1.7142029999999999</v>
      </c>
      <c r="V819">
        <v>0.26006580000000001</v>
      </c>
      <c r="W819">
        <v>-0.1102195</v>
      </c>
      <c r="X819">
        <v>0.95927969999999896</v>
      </c>
      <c r="Y819">
        <v>0.47835040000000001</v>
      </c>
      <c r="Z819">
        <v>-2.2307810000000001E-2</v>
      </c>
      <c r="AA819">
        <v>0.87788559999999904</v>
      </c>
      <c r="AB819">
        <v>34</v>
      </c>
      <c r="AC819">
        <v>8.4509999999999899</v>
      </c>
      <c r="AD819">
        <v>-1.1013840592799999</v>
      </c>
      <c r="AE819">
        <v>-5.8606999999999498</v>
      </c>
      <c r="AF819">
        <v>5.0296740159914402</v>
      </c>
      <c r="AG819">
        <v>-1.1013840592799999</v>
      </c>
      <c r="AH819">
        <v>8.8365490585925492</v>
      </c>
      <c r="AI819">
        <v>96.182276899005402</v>
      </c>
      <c r="AJ819">
        <v>60.351907345895398</v>
      </c>
      <c r="AK819">
        <v>10.227182741013699</v>
      </c>
      <c r="AL819">
        <v>96.327968610631999</v>
      </c>
      <c r="AM819">
        <v>74.8314158883951</v>
      </c>
      <c r="AN819">
        <v>1.0000000506709801</v>
      </c>
    </row>
    <row r="820" spans="1:40" x14ac:dyDescent="0.25">
      <c r="A820" t="str">
        <f>"20190305135555092"</f>
        <v>20190305135555092</v>
      </c>
      <c r="B820" t="str">
        <f>"1551765355082517"</f>
        <v>1551765355082517</v>
      </c>
      <c r="C820" t="s">
        <v>40</v>
      </c>
      <c r="D820">
        <v>4.223293</v>
      </c>
      <c r="E820">
        <v>0.59512509999999996</v>
      </c>
      <c r="F820" t="s">
        <v>48</v>
      </c>
      <c r="G820">
        <v>-199.19130000000001</v>
      </c>
      <c r="H820" s="1">
        <v>-9.9970049999999997E-6</v>
      </c>
      <c r="I820">
        <v>360.10599999999999</v>
      </c>
      <c r="J820">
        <v>-207.53649999999999</v>
      </c>
      <c r="K820">
        <v>1.100935</v>
      </c>
      <c r="L820">
        <v>366.07769999999999</v>
      </c>
      <c r="M820">
        <v>0.99495630000000002</v>
      </c>
      <c r="N820">
        <v>-1.516808E-2</v>
      </c>
      <c r="O820">
        <v>-9.9155999999999994E-2</v>
      </c>
      <c r="P820">
        <v>0.92499909999999996</v>
      </c>
      <c r="Q820">
        <v>-0.11951349999999999</v>
      </c>
      <c r="R820">
        <v>-0.36068460000000002</v>
      </c>
      <c r="S820">
        <v>2.5314329999999998</v>
      </c>
      <c r="T820">
        <v>-0.32073449999999998</v>
      </c>
      <c r="U820">
        <v>-1.750977</v>
      </c>
      <c r="V820">
        <v>0.26496570000000003</v>
      </c>
      <c r="W820">
        <v>-0.1104571</v>
      </c>
      <c r="X820">
        <v>0.95791040000000005</v>
      </c>
      <c r="Y820">
        <v>0.48192400000000002</v>
      </c>
      <c r="Z820">
        <v>-2.1659629999999999E-2</v>
      </c>
      <c r="AA820">
        <v>0.87594530000000004</v>
      </c>
      <c r="AB820">
        <v>33</v>
      </c>
      <c r="AC820">
        <v>8.34519999999997</v>
      </c>
      <c r="AD820">
        <v>-1.100944997005</v>
      </c>
      <c r="AE820">
        <v>-5.9716999999999896</v>
      </c>
      <c r="AF820">
        <v>5.0564903079903898</v>
      </c>
      <c r="AG820">
        <v>-1.100944997005</v>
      </c>
      <c r="AH820">
        <v>8.7950287692226503</v>
      </c>
      <c r="AI820">
        <v>96.193566606043404</v>
      </c>
      <c r="AJ820">
        <v>60.104286620556103</v>
      </c>
      <c r="AK820">
        <v>10.204543359341701</v>
      </c>
      <c r="AL820">
        <v>96.341666273860099</v>
      </c>
      <c r="AM820">
        <v>74.538128870516502</v>
      </c>
      <c r="AN820">
        <v>0.99999996377252898</v>
      </c>
    </row>
    <row r="821" spans="1:40" x14ac:dyDescent="0.25">
      <c r="A821" t="str">
        <f>"20190305135555112"</f>
        <v>20190305135555112</v>
      </c>
      <c r="B821" t="str">
        <f>"1551765355103013"</f>
        <v>1551765355103013</v>
      </c>
      <c r="C821" t="s">
        <v>40</v>
      </c>
      <c r="D821">
        <v>4.2731180000000002</v>
      </c>
      <c r="E821">
        <v>0.59495149999999997</v>
      </c>
      <c r="F821" t="s">
        <v>48</v>
      </c>
      <c r="G821">
        <v>-199.0171</v>
      </c>
      <c r="H821" s="1">
        <v>-9.954117E-6</v>
      </c>
      <c r="I821">
        <v>359.98910000000001</v>
      </c>
      <c r="J821">
        <v>-207.21690000000001</v>
      </c>
      <c r="K821">
        <v>1.1005199999999999</v>
      </c>
      <c r="L821">
        <v>366.03629999999998</v>
      </c>
      <c r="M821">
        <v>0.99390230000000002</v>
      </c>
      <c r="N821">
        <v>-1.5229940000000001E-2</v>
      </c>
      <c r="O821">
        <v>-0.1092065</v>
      </c>
      <c r="P821">
        <v>0.9194658</v>
      </c>
      <c r="Q821">
        <v>-0.1215031</v>
      </c>
      <c r="R821">
        <v>-0.37392439999999999</v>
      </c>
      <c r="S821">
        <v>2.5037229999999999</v>
      </c>
      <c r="T821">
        <v>-0.3235519</v>
      </c>
      <c r="U821">
        <v>-1.7893680000000001</v>
      </c>
      <c r="V821">
        <v>0.26890350000000002</v>
      </c>
      <c r="W821">
        <v>-0.11275159999999999</v>
      </c>
      <c r="X821">
        <v>0.95654479999999997</v>
      </c>
      <c r="Y821">
        <v>0.48650559999999998</v>
      </c>
      <c r="Z821">
        <v>-2.1226729999999999E-2</v>
      </c>
      <c r="AA821">
        <v>0.87341959999999996</v>
      </c>
      <c r="AB821">
        <v>33</v>
      </c>
      <c r="AC821">
        <v>8.1998000000000104</v>
      </c>
      <c r="AD821">
        <v>-1.1005299541169999</v>
      </c>
      <c r="AE821">
        <v>-6.0471999999999699</v>
      </c>
      <c r="AF821">
        <v>5.0564513732203196</v>
      </c>
      <c r="AG821">
        <v>-1.1005299541169999</v>
      </c>
      <c r="AH821">
        <v>8.7095958252919203</v>
      </c>
      <c r="AI821">
        <v>96.236381488992095</v>
      </c>
      <c r="AJ821">
        <v>59.862222245605203</v>
      </c>
      <c r="AK821">
        <v>10.130939053690501</v>
      </c>
      <c r="AL821">
        <v>96.473957800029794</v>
      </c>
      <c r="AM821">
        <v>74.298285632234396</v>
      </c>
      <c r="AN821">
        <v>0.99999998501092402</v>
      </c>
    </row>
    <row r="822" spans="1:40" x14ac:dyDescent="0.25">
      <c r="A822" t="str">
        <f>"20190305135555135"</f>
        <v>20190305135555135</v>
      </c>
      <c r="B822" t="str">
        <f>"1551765355122533"</f>
        <v>1551765355122533</v>
      </c>
      <c r="C822" t="s">
        <v>40</v>
      </c>
      <c r="D822">
        <v>4.2929399999999998</v>
      </c>
      <c r="E822">
        <v>0.59487519999999905</v>
      </c>
      <c r="F822" t="s">
        <v>48</v>
      </c>
      <c r="G822">
        <v>-198.9776</v>
      </c>
      <c r="H822" s="1">
        <v>-9.9433640000000002E-6</v>
      </c>
      <c r="I822">
        <v>359.96910000000003</v>
      </c>
      <c r="J822">
        <v>-206.8886</v>
      </c>
      <c r="K822">
        <v>1.100109</v>
      </c>
      <c r="L822">
        <v>365.9898</v>
      </c>
      <c r="M822">
        <v>0.99265990000000004</v>
      </c>
      <c r="N822">
        <v>-1.5296870000000001E-2</v>
      </c>
      <c r="O822">
        <v>-0.1199674</v>
      </c>
      <c r="P822">
        <v>0.91379480000000002</v>
      </c>
      <c r="Q822">
        <v>-0.1249121</v>
      </c>
      <c r="R822">
        <v>-0.386492</v>
      </c>
      <c r="S822">
        <v>2.4772189999999998</v>
      </c>
      <c r="T822">
        <v>-0.33088329999999999</v>
      </c>
      <c r="U822">
        <v>-1.8241270000000001</v>
      </c>
      <c r="V822">
        <v>0.27151900000000001</v>
      </c>
      <c r="W822">
        <v>-0.1164287</v>
      </c>
      <c r="X822">
        <v>0.95536469999999996</v>
      </c>
      <c r="Y822">
        <v>0.48936350000000001</v>
      </c>
      <c r="Z822">
        <v>-2.0792229999999998E-2</v>
      </c>
      <c r="AA822">
        <v>0.87183199999999905</v>
      </c>
      <c r="AB822">
        <v>33</v>
      </c>
      <c r="AC822">
        <v>7.9109999999999996</v>
      </c>
      <c r="AD822">
        <v>-1.100118943364</v>
      </c>
      <c r="AE822">
        <v>-6.0206999999999704</v>
      </c>
      <c r="AF822">
        <v>4.9672078320412201</v>
      </c>
      <c r="AG822">
        <v>-1.100118943364</v>
      </c>
      <c r="AH822">
        <v>8.4724741636907606</v>
      </c>
      <c r="AI822">
        <v>96.391328028951705</v>
      </c>
      <c r="AJ822">
        <v>59.617929518313403</v>
      </c>
      <c r="AK822">
        <v>9.8826228194061692</v>
      </c>
      <c r="AL822">
        <v>96.686037406968794</v>
      </c>
      <c r="AM822">
        <v>74.134608726680398</v>
      </c>
      <c r="AN822">
        <v>0.99999995977538902</v>
      </c>
    </row>
    <row r="823" spans="1:40" x14ac:dyDescent="0.25">
      <c r="A823" t="str">
        <f>"20190305135555158"</f>
        <v>20190305135555158</v>
      </c>
      <c r="B823" t="str">
        <f>"1551765355152789"</f>
        <v>1551765355152789</v>
      </c>
      <c r="C823" t="s">
        <v>40</v>
      </c>
      <c r="D823">
        <v>4.3316019999999904</v>
      </c>
      <c r="E823">
        <v>0.59448809999999996</v>
      </c>
      <c r="F823" t="s">
        <v>48</v>
      </c>
      <c r="G823">
        <v>-199.01589999999999</v>
      </c>
      <c r="H823" s="1">
        <v>-9.9482659999999996E-6</v>
      </c>
      <c r="I823">
        <v>360.02390000000003</v>
      </c>
      <c r="J823">
        <v>-206.5369</v>
      </c>
      <c r="K823">
        <v>1.0996809999999999</v>
      </c>
      <c r="L823">
        <v>365.93560000000002</v>
      </c>
      <c r="M823">
        <v>0.99113289999999998</v>
      </c>
      <c r="N823">
        <v>-1.536787E-2</v>
      </c>
      <c r="O823">
        <v>-0.1319825</v>
      </c>
      <c r="P823">
        <v>0.90761380000000003</v>
      </c>
      <c r="Q823">
        <v>-0.1282886</v>
      </c>
      <c r="R823">
        <v>-0.39972449999999998</v>
      </c>
      <c r="S823">
        <v>2.4507140000000001</v>
      </c>
      <c r="T823">
        <v>-0.3424623</v>
      </c>
      <c r="U823">
        <v>-1.857178</v>
      </c>
      <c r="V823">
        <v>0.27368969999999998</v>
      </c>
      <c r="W823">
        <v>-0.12007130000000001</v>
      </c>
      <c r="X823">
        <v>0.95429390000000003</v>
      </c>
      <c r="Y823">
        <v>0.49068030000000001</v>
      </c>
      <c r="Z823">
        <v>-2.0248459999999999E-2</v>
      </c>
      <c r="AA823">
        <v>0.8711044</v>
      </c>
      <c r="AB823">
        <v>33</v>
      </c>
      <c r="AC823">
        <v>7.5210000000000097</v>
      </c>
      <c r="AD823">
        <v>-1.099690948266</v>
      </c>
      <c r="AE823">
        <v>-5.91169999999999</v>
      </c>
      <c r="AF823">
        <v>4.8037351684050797</v>
      </c>
      <c r="AG823">
        <v>-1.099690948266</v>
      </c>
      <c r="AH823">
        <v>8.1281139991600302</v>
      </c>
      <c r="AI823">
        <v>96.643537207626494</v>
      </c>
      <c r="AJ823">
        <v>59.4168092011965</v>
      </c>
      <c r="AK823">
        <v>9.5053368658460098</v>
      </c>
      <c r="AL823">
        <v>96.896217463843499</v>
      </c>
      <c r="AM823">
        <v>73.997207949970502</v>
      </c>
      <c r="AN823">
        <v>1.0000000082734899</v>
      </c>
    </row>
    <row r="824" spans="1:40" x14ac:dyDescent="0.25">
      <c r="A824" t="str">
        <f>"20190305135555180"</f>
        <v>20190305135555180</v>
      </c>
      <c r="B824" t="str">
        <f>"1551765355172308"</f>
        <v>1551765355172308</v>
      </c>
      <c r="C824" t="s">
        <v>40</v>
      </c>
      <c r="D824">
        <v>4.3029840000000004</v>
      </c>
      <c r="E824">
        <v>0.59424730000000003</v>
      </c>
      <c r="F824" t="s">
        <v>48</v>
      </c>
      <c r="G824">
        <v>-199.09020000000001</v>
      </c>
      <c r="H824" s="1">
        <v>-9.9583840000000006E-6</v>
      </c>
      <c r="I824">
        <v>360.12599999999998</v>
      </c>
      <c r="J824">
        <v>-206.21350000000001</v>
      </c>
      <c r="K824">
        <v>1.0993029999999999</v>
      </c>
      <c r="L824">
        <v>365.88170000000002</v>
      </c>
      <c r="M824">
        <v>0.98953219999999997</v>
      </c>
      <c r="N824">
        <v>-1.543424E-2</v>
      </c>
      <c r="O824">
        <v>-0.1434851</v>
      </c>
      <c r="P824">
        <v>0.90184039999999999</v>
      </c>
      <c r="Q824">
        <v>-0.12917020000000001</v>
      </c>
      <c r="R824">
        <v>-0.41230909999999898</v>
      </c>
      <c r="S824">
        <v>2.4224700000000001</v>
      </c>
      <c r="T824">
        <v>-0.35773749999999999</v>
      </c>
      <c r="U824">
        <v>-1.889923</v>
      </c>
      <c r="V824">
        <v>0.27576519999999999</v>
      </c>
      <c r="W824">
        <v>-0.121195899999999</v>
      </c>
      <c r="X824">
        <v>0.95355389999999995</v>
      </c>
      <c r="Y824">
        <v>0.49261189999999999</v>
      </c>
      <c r="Z824">
        <v>-1.9858020000000001E-2</v>
      </c>
      <c r="AA824">
        <v>0.87002250000000003</v>
      </c>
      <c r="AB824">
        <v>33</v>
      </c>
      <c r="AC824">
        <v>7.1233000000000004</v>
      </c>
      <c r="AD824">
        <v>-1.099312958384</v>
      </c>
      <c r="AE824">
        <v>-5.75570000000004</v>
      </c>
      <c r="AF824">
        <v>4.6075287923587398</v>
      </c>
      <c r="AG824">
        <v>-1.099312958384</v>
      </c>
      <c r="AH824">
        <v>7.7636615015679</v>
      </c>
      <c r="AI824">
        <v>96.942603053147593</v>
      </c>
      <c r="AJ824">
        <v>59.311984070980301</v>
      </c>
      <c r="AK824">
        <v>9.0946275604784006</v>
      </c>
      <c r="AL824">
        <v>96.961126619411303</v>
      </c>
      <c r="AM824">
        <v>73.870274329810499</v>
      </c>
      <c r="AN824">
        <v>0.99999996595652896</v>
      </c>
    </row>
    <row r="825" spans="1:40" x14ac:dyDescent="0.25">
      <c r="A825" t="str">
        <f>"20190305135555201"</f>
        <v>20190305135555201</v>
      </c>
      <c r="B825" t="str">
        <f>"1551765355192808"</f>
        <v>1551765355192808</v>
      </c>
      <c r="C825" t="s">
        <v>40</v>
      </c>
      <c r="D825">
        <v>4.255401</v>
      </c>
      <c r="E825">
        <v>0.59403930000000005</v>
      </c>
      <c r="F825" t="s">
        <v>48</v>
      </c>
      <c r="G825">
        <v>-198.98349999999999</v>
      </c>
      <c r="H825" s="1">
        <v>-9.9277089999999994E-6</v>
      </c>
      <c r="I825">
        <v>360.08260000000001</v>
      </c>
      <c r="J825">
        <v>-205.89400000000001</v>
      </c>
      <c r="K825">
        <v>1.0989409999999999</v>
      </c>
      <c r="L825">
        <v>365.82409999999999</v>
      </c>
      <c r="M825">
        <v>0.9877475</v>
      </c>
      <c r="N825">
        <v>-1.550404E-2</v>
      </c>
      <c r="O825">
        <v>-0.15528889999999901</v>
      </c>
      <c r="P825">
        <v>0.89584109999999995</v>
      </c>
      <c r="Q825">
        <v>-0.12778870000000001</v>
      </c>
      <c r="R825">
        <v>-0.4256045</v>
      </c>
      <c r="S825">
        <v>2.395813</v>
      </c>
      <c r="T825">
        <v>-0.36428080000000002</v>
      </c>
      <c r="U825">
        <v>-1.9216310000000001</v>
      </c>
      <c r="V825">
        <v>0.27837709999999999</v>
      </c>
      <c r="W825">
        <v>-0.1200681</v>
      </c>
      <c r="X825">
        <v>0.95293749999999999</v>
      </c>
      <c r="Y825">
        <v>0.49390590000000001</v>
      </c>
      <c r="Z825">
        <v>-1.8967950000000001E-2</v>
      </c>
      <c r="AA825">
        <v>0.86930849999999904</v>
      </c>
      <c r="AB825">
        <v>33</v>
      </c>
      <c r="AC825">
        <v>6.9105000000000096</v>
      </c>
      <c r="AD825">
        <v>-1.0989509277089999</v>
      </c>
      <c r="AE825">
        <v>-5.7414999999999701</v>
      </c>
      <c r="AF825">
        <v>4.5307930785296797</v>
      </c>
      <c r="AG825">
        <v>-1.0989509277089999</v>
      </c>
      <c r="AH825">
        <v>7.6045713659363603</v>
      </c>
      <c r="AI825">
        <v>97.076914602405495</v>
      </c>
      <c r="AJ825">
        <v>59.2135728392728</v>
      </c>
      <c r="AK825">
        <v>8.9199374841746604</v>
      </c>
      <c r="AL825">
        <v>96.8960327091864</v>
      </c>
      <c r="AM825">
        <v>73.715583639815705</v>
      </c>
      <c r="AN825">
        <v>1.00000001867413</v>
      </c>
    </row>
    <row r="826" spans="1:40" x14ac:dyDescent="0.25">
      <c r="A826" t="str">
        <f>"20190305135555224"</f>
        <v>20190305135555224</v>
      </c>
      <c r="B826" t="str">
        <f>"1551765355212325"</f>
        <v>1551765355212325</v>
      </c>
      <c r="C826" t="s">
        <v>40</v>
      </c>
      <c r="D826">
        <v>4.3250970000000004</v>
      </c>
      <c r="E826">
        <v>0.59389639999999999</v>
      </c>
      <c r="F826" t="s">
        <v>48</v>
      </c>
      <c r="G826">
        <v>-198.7116</v>
      </c>
      <c r="H826" s="1">
        <v>-9.8618600000000001E-6</v>
      </c>
      <c r="I826">
        <v>359.89319999999998</v>
      </c>
      <c r="J826">
        <v>-205.56610000000001</v>
      </c>
      <c r="K826">
        <v>1.0985739999999999</v>
      </c>
      <c r="L826">
        <v>365.76060000000001</v>
      </c>
      <c r="M826">
        <v>0.98568739999999999</v>
      </c>
      <c r="N826">
        <v>-1.5581360000000001E-2</v>
      </c>
      <c r="O826">
        <v>-0.1678626</v>
      </c>
      <c r="P826">
        <v>0.88936859999999995</v>
      </c>
      <c r="Q826">
        <v>-0.12510750000000001</v>
      </c>
      <c r="R826">
        <v>-0.43974099999999999</v>
      </c>
      <c r="S826">
        <v>2.3680880000000002</v>
      </c>
      <c r="T826">
        <v>-0.36233579999999999</v>
      </c>
      <c r="U826">
        <v>-1.9554750000000001</v>
      </c>
      <c r="V826">
        <v>0.28121780000000002</v>
      </c>
      <c r="W826">
        <v>-0.11765340000000001</v>
      </c>
      <c r="X826">
        <v>0.95240440000000004</v>
      </c>
      <c r="Y826">
        <v>0.49529659999999898</v>
      </c>
      <c r="Z826">
        <v>-1.7689860000000002E-2</v>
      </c>
      <c r="AA826">
        <v>0.86854379999999998</v>
      </c>
      <c r="AB826">
        <v>33</v>
      </c>
      <c r="AC826">
        <v>6.8544999999999998</v>
      </c>
      <c r="AD826">
        <v>-1.0985838618599999</v>
      </c>
      <c r="AE826">
        <v>-5.8674000000000301</v>
      </c>
      <c r="AF826">
        <v>4.5656850012071999</v>
      </c>
      <c r="AG826">
        <v>-1.0985838618599999</v>
      </c>
      <c r="AH826">
        <v>7.6291502805868099</v>
      </c>
      <c r="AI826">
        <v>97.043861565658204</v>
      </c>
      <c r="AJ826">
        <v>59.101477779923101</v>
      </c>
      <c r="AK826">
        <v>8.9585880603790198</v>
      </c>
      <c r="AL826">
        <v>96.756693183613805</v>
      </c>
      <c r="AM826">
        <v>73.549635585807394</v>
      </c>
      <c r="AN826">
        <v>0.99999995735387903</v>
      </c>
    </row>
    <row r="827" spans="1:40" x14ac:dyDescent="0.25">
      <c r="A827" t="str">
        <f>"20190305135555246"</f>
        <v>20190305135555246</v>
      </c>
      <c r="B827" t="str">
        <f>"1551765355242582"</f>
        <v>1551765355242582</v>
      </c>
      <c r="C827" t="s">
        <v>40</v>
      </c>
      <c r="D827">
        <v>4.3563000000000001</v>
      </c>
      <c r="E827">
        <v>0.59350249999999904</v>
      </c>
      <c r="F827" t="s">
        <v>48</v>
      </c>
      <c r="G827">
        <v>-198.2979</v>
      </c>
      <c r="H827" s="1">
        <v>-6.5735459999999998E-6</v>
      </c>
      <c r="I827">
        <v>359.57119999999998</v>
      </c>
      <c r="J827">
        <v>-205.24260000000001</v>
      </c>
      <c r="K827">
        <v>1.098212</v>
      </c>
      <c r="L827">
        <v>365.6934</v>
      </c>
      <c r="M827">
        <v>0.98340830000000001</v>
      </c>
      <c r="N827">
        <v>-1.5663340000000001E-2</v>
      </c>
      <c r="O827">
        <v>-0.18072859999999999</v>
      </c>
      <c r="P827">
        <v>0.88219930000000002</v>
      </c>
      <c r="Q827">
        <v>-0.1229758</v>
      </c>
      <c r="R827">
        <v>-0.45453470000000001</v>
      </c>
      <c r="S827">
        <v>2.33873</v>
      </c>
      <c r="T827">
        <v>-0.35349950000000002</v>
      </c>
      <c r="U827">
        <v>-1.991608</v>
      </c>
      <c r="V827">
        <v>0.28456749999999997</v>
      </c>
      <c r="W827">
        <v>-0.115806199999999</v>
      </c>
      <c r="X827">
        <v>0.95163549999999997</v>
      </c>
      <c r="Y827">
        <v>0.4972837</v>
      </c>
      <c r="Z827">
        <v>-1.625799E-2</v>
      </c>
      <c r="AA827">
        <v>0.86743559999999997</v>
      </c>
      <c r="AB827">
        <v>33</v>
      </c>
      <c r="AC827">
        <v>6.9447000000000099</v>
      </c>
      <c r="AD827">
        <v>-1.0982185735459999</v>
      </c>
      <c r="AE827">
        <v>-6.1222000000000198</v>
      </c>
      <c r="AF827">
        <v>4.6999646863531099</v>
      </c>
      <c r="AG827">
        <v>-1.0982185735459999</v>
      </c>
      <c r="AH827">
        <v>7.8267701412146202</v>
      </c>
      <c r="AI827">
        <v>96.859335329223399</v>
      </c>
      <c r="AJ827">
        <v>59.015241508251499</v>
      </c>
      <c r="AK827">
        <v>9.1953294085452093</v>
      </c>
      <c r="AL827">
        <v>96.650128061037094</v>
      </c>
      <c r="AM827">
        <v>73.351760868808896</v>
      </c>
      <c r="AN827">
        <v>0.99999993143746702</v>
      </c>
    </row>
    <row r="828" spans="1:40" x14ac:dyDescent="0.25">
      <c r="A828" t="str">
        <f>"20190305135555281"</f>
        <v>20190305135555281</v>
      </c>
      <c r="B828" t="str">
        <f>"1551765355272846"</f>
        <v>1551765355272846</v>
      </c>
      <c r="C828" t="s">
        <v>40</v>
      </c>
      <c r="D828">
        <v>4.3501440000000002</v>
      </c>
      <c r="E828">
        <v>0.59316969999999902</v>
      </c>
      <c r="F828" t="s">
        <v>48</v>
      </c>
      <c r="G828">
        <v>-198.00049999999999</v>
      </c>
      <c r="H828" s="1">
        <v>-6.4457290000000001E-6</v>
      </c>
      <c r="I828">
        <v>359.32819999999998</v>
      </c>
      <c r="J828">
        <v>-204.73320000000001</v>
      </c>
      <c r="K828">
        <v>1.0976109999999999</v>
      </c>
      <c r="L828">
        <v>365.57740000000001</v>
      </c>
      <c r="M828">
        <v>0.97926599999999997</v>
      </c>
      <c r="N828">
        <v>-1.5803439999999998E-2</v>
      </c>
      <c r="O828">
        <v>-0.20196169999999999</v>
      </c>
      <c r="P828">
        <v>0.86947260000000004</v>
      </c>
      <c r="Q828">
        <v>-0.1198388</v>
      </c>
      <c r="R828">
        <v>-0.47922500000000001</v>
      </c>
      <c r="S828">
        <v>2.3070680000000001</v>
      </c>
      <c r="T828">
        <v>-0.34985349999999998</v>
      </c>
      <c r="U828">
        <v>-2.0277400000000001</v>
      </c>
      <c r="V828">
        <v>0.29062569999999999</v>
      </c>
      <c r="W828">
        <v>-0.1131453</v>
      </c>
      <c r="X828">
        <v>0.95012359999999896</v>
      </c>
      <c r="Y828">
        <v>0.49227310000000002</v>
      </c>
      <c r="Z828">
        <v>-1.3612910000000001E-2</v>
      </c>
      <c r="AA828">
        <v>0.87033430000000001</v>
      </c>
      <c r="AB828">
        <v>33</v>
      </c>
      <c r="AC828">
        <v>6.7327000000000199</v>
      </c>
      <c r="AD828">
        <v>-1.097617445729</v>
      </c>
      <c r="AE828">
        <v>-6.2492000000000196</v>
      </c>
      <c r="AF828">
        <v>4.6934644889827997</v>
      </c>
      <c r="AG828">
        <v>-1.097617445729</v>
      </c>
      <c r="AH828">
        <v>7.7455955870710502</v>
      </c>
      <c r="AI828">
        <v>96.910242135767405</v>
      </c>
      <c r="AJ828">
        <v>58.786119530298897</v>
      </c>
      <c r="AK828">
        <v>9.1229175138749206</v>
      </c>
      <c r="AL828">
        <v>96.496660290515095</v>
      </c>
      <c r="AM828">
        <v>72.992071923307293</v>
      </c>
      <c r="AN828">
        <v>1.00000000584476</v>
      </c>
    </row>
    <row r="829" spans="1:40" x14ac:dyDescent="0.25">
      <c r="A829" t="str">
        <f>"20190305135555303"</f>
        <v>20190305135555303</v>
      </c>
      <c r="B829" t="str">
        <f>"1551765355292357"</f>
        <v>1551765355292357</v>
      </c>
      <c r="C829" t="s">
        <v>40</v>
      </c>
      <c r="D829">
        <v>4.6725260000000004</v>
      </c>
      <c r="E829">
        <v>0.59398399999999996</v>
      </c>
      <c r="F829" t="s">
        <v>48</v>
      </c>
      <c r="G829">
        <v>-197.54069999999999</v>
      </c>
      <c r="H829" s="1">
        <v>-6.2310769999999999E-6</v>
      </c>
      <c r="I829">
        <v>358.9015</v>
      </c>
      <c r="J829">
        <v>-204.41120000000001</v>
      </c>
      <c r="K829">
        <v>1.097248</v>
      </c>
      <c r="L829">
        <v>365.49759999999998</v>
      </c>
      <c r="M829">
        <v>0.97627830000000004</v>
      </c>
      <c r="N829">
        <v>-1.5896489999999999E-2</v>
      </c>
      <c r="O829">
        <v>-0.21593490000000001</v>
      </c>
      <c r="P829">
        <v>0.85980270000000003</v>
      </c>
      <c r="Q829">
        <v>-0.1188601</v>
      </c>
      <c r="R829">
        <v>-0.49659969999999998</v>
      </c>
      <c r="S829">
        <v>2.2512970000000001</v>
      </c>
      <c r="T829">
        <v>-0.34356160000000002</v>
      </c>
      <c r="U829">
        <v>-2.0895999999999999</v>
      </c>
      <c r="V829">
        <v>0.29602610000000001</v>
      </c>
      <c r="W829">
        <v>-0.1125176</v>
      </c>
      <c r="X829">
        <v>0.94852950000000003</v>
      </c>
      <c r="Y829">
        <v>0.50344709999999904</v>
      </c>
      <c r="Z829">
        <v>-1.296363E-2</v>
      </c>
      <c r="AA829">
        <v>0.8639289</v>
      </c>
      <c r="AB829">
        <v>33</v>
      </c>
      <c r="AC829">
        <v>6.8705000000000203</v>
      </c>
      <c r="AD829">
        <v>-1.0972542310769999</v>
      </c>
      <c r="AE829">
        <v>-6.5960999999999697</v>
      </c>
      <c r="AF829">
        <v>4.89175003429827</v>
      </c>
      <c r="AG829">
        <v>-1.0972542310769999</v>
      </c>
      <c r="AH829">
        <v>8.0263476962498999</v>
      </c>
      <c r="AI829">
        <v>96.658276600084406</v>
      </c>
      <c r="AJ829">
        <v>58.6393001986984</v>
      </c>
      <c r="AK829">
        <v>9.4633737423167208</v>
      </c>
      <c r="AL829">
        <v>96.460465033550605</v>
      </c>
      <c r="AM829">
        <v>72.667405121706594</v>
      </c>
      <c r="AN829">
        <v>0.99999993728060799</v>
      </c>
    </row>
    <row r="830" spans="1:40" x14ac:dyDescent="0.25">
      <c r="A830" t="str">
        <f>"20190305135555336"</f>
        <v>20190305135555336</v>
      </c>
      <c r="B830" t="str">
        <f>"1551765355332373"</f>
        <v>1551765355332373</v>
      </c>
      <c r="C830" t="s">
        <v>40</v>
      </c>
      <c r="D830">
        <v>4.5135360000000002</v>
      </c>
      <c r="E830">
        <v>0.68637179999999998</v>
      </c>
      <c r="F830" t="s">
        <v>48</v>
      </c>
      <c r="G830">
        <v>-197.1729</v>
      </c>
      <c r="H830" s="1">
        <v>-6.03131E-6</v>
      </c>
      <c r="I830">
        <v>358.47629999999998</v>
      </c>
      <c r="J830">
        <v>-203.93190000000001</v>
      </c>
      <c r="K830">
        <v>1.0967199999999999</v>
      </c>
      <c r="L830">
        <v>365.36919999999998</v>
      </c>
      <c r="M830">
        <v>0.97125229999999996</v>
      </c>
      <c r="N830">
        <v>-1.603512E-2</v>
      </c>
      <c r="O830">
        <v>-0.23751149999999999</v>
      </c>
      <c r="P830">
        <v>0.84443809999999997</v>
      </c>
      <c r="Q830">
        <v>-0.1169854</v>
      </c>
      <c r="R830">
        <v>-0.52272220000000003</v>
      </c>
      <c r="S830">
        <v>2.2066349999999999</v>
      </c>
      <c r="T830">
        <v>-0.33450679999999999</v>
      </c>
      <c r="U830">
        <v>-2.1405029999999998</v>
      </c>
      <c r="V830">
        <v>0.30391990000000002</v>
      </c>
      <c r="W830">
        <v>-0.11115419999999999</v>
      </c>
      <c r="X830">
        <v>0.946191</v>
      </c>
      <c r="Y830">
        <v>0.50353899999999996</v>
      </c>
      <c r="Z830">
        <v>-1.072597E-2</v>
      </c>
      <c r="AA830">
        <v>0.8639059</v>
      </c>
      <c r="AB830">
        <v>33</v>
      </c>
      <c r="AC830">
        <v>6.7590000000000101</v>
      </c>
      <c r="AD830">
        <v>-1.09672603131</v>
      </c>
      <c r="AE830">
        <v>-6.8928999999999903</v>
      </c>
      <c r="AF830">
        <v>5.0252032508848599</v>
      </c>
      <c r="AG830">
        <v>-1.09672603131</v>
      </c>
      <c r="AH830">
        <v>8.0983732984522891</v>
      </c>
      <c r="AI830">
        <v>96.564248788459693</v>
      </c>
      <c r="AJ830">
        <v>58.179567762255303</v>
      </c>
      <c r="AK830">
        <v>9.5937024021772697</v>
      </c>
      <c r="AL830">
        <v>96.381854503339298</v>
      </c>
      <c r="AM830">
        <v>72.192797777855702</v>
      </c>
      <c r="AN830">
        <v>0.99999998513732402</v>
      </c>
    </row>
    <row r="831" spans="1:40" x14ac:dyDescent="0.25">
      <c r="A831" t="str">
        <f>"20190305135555359"</f>
        <v>20190305135555359</v>
      </c>
      <c r="B831" t="str">
        <f>"1551765355352872"</f>
        <v>1551765355352872</v>
      </c>
      <c r="C831" t="s">
        <v>40</v>
      </c>
      <c r="D831">
        <v>4.3330769999999896</v>
      </c>
      <c r="E831">
        <v>0.68417349999999999</v>
      </c>
      <c r="F831" t="s">
        <v>51</v>
      </c>
      <c r="G831">
        <v>-157.25</v>
      </c>
      <c r="H831">
        <v>4.0899739999999998</v>
      </c>
      <c r="I831">
        <v>292.10079999999999</v>
      </c>
      <c r="J831">
        <v>-203.5993</v>
      </c>
      <c r="K831">
        <v>1.096373</v>
      </c>
      <c r="L831">
        <v>365.27280000000002</v>
      </c>
      <c r="M831">
        <v>0.96732620000000002</v>
      </c>
      <c r="N831">
        <v>-1.613181E-2</v>
      </c>
      <c r="O831">
        <v>-0.25302219999999997</v>
      </c>
      <c r="P831">
        <v>0.83158860000000001</v>
      </c>
      <c r="Q831">
        <v>-0.11643539999999999</v>
      </c>
      <c r="R831">
        <v>-0.54305009999999998</v>
      </c>
      <c r="S831">
        <v>1.8101039999999999</v>
      </c>
      <c r="T831">
        <v>0.1160674</v>
      </c>
      <c r="U831">
        <v>-2.8410030000000002</v>
      </c>
      <c r="V831">
        <v>0.311612</v>
      </c>
      <c r="W831">
        <v>-0.1110404</v>
      </c>
      <c r="X831">
        <v>0.94369910000000001</v>
      </c>
      <c r="Y831">
        <v>0.67998919999999996</v>
      </c>
      <c r="Z831">
        <v>-5.8458969999999897E-3</v>
      </c>
      <c r="AA831">
        <v>0.73319889999999999</v>
      </c>
      <c r="AB831">
        <v>33</v>
      </c>
      <c r="AC831">
        <v>46.349299999999999</v>
      </c>
      <c r="AD831">
        <v>2.993601</v>
      </c>
      <c r="AE831">
        <v>-73.171999999999997</v>
      </c>
      <c r="AF831">
        <v>58.9909981205927</v>
      </c>
      <c r="AG831">
        <v>2.993601</v>
      </c>
      <c r="AH831">
        <v>63.281672737326097</v>
      </c>
      <c r="AI831">
        <v>88.018191555766606</v>
      </c>
      <c r="AJ831">
        <v>47.009743575761298</v>
      </c>
      <c r="AK831">
        <v>86.564828947124994</v>
      </c>
      <c r="AL831">
        <v>96.375293532496002</v>
      </c>
      <c r="AM831">
        <v>71.726636875470007</v>
      </c>
      <c r="AN831">
        <v>1.0000000001584799</v>
      </c>
    </row>
    <row r="832" spans="1:40" x14ac:dyDescent="0.25">
      <c r="A832" t="str">
        <f>"20190305135555381"</f>
        <v>20190305135555381</v>
      </c>
      <c r="B832" t="str">
        <f>"1551765355372389"</f>
        <v>1551765355372389</v>
      </c>
      <c r="C832" t="s">
        <v>40</v>
      </c>
      <c r="D832">
        <v>4.3665929999999999</v>
      </c>
      <c r="E832">
        <v>0.68123480000000003</v>
      </c>
      <c r="F832" t="s">
        <v>51</v>
      </c>
      <c r="G832">
        <v>-157.25</v>
      </c>
      <c r="H832">
        <v>2.128247</v>
      </c>
      <c r="I832">
        <v>288.87079999999997</v>
      </c>
      <c r="J832">
        <v>-203.28649999999999</v>
      </c>
      <c r="K832">
        <v>1.0960799999999999</v>
      </c>
      <c r="L832">
        <v>365.17660000000001</v>
      </c>
      <c r="M832">
        <v>0.96328809999999998</v>
      </c>
      <c r="N832">
        <v>-1.622322E-2</v>
      </c>
      <c r="O832">
        <v>-0.26797919999999997</v>
      </c>
      <c r="P832">
        <v>0.81882819999999901</v>
      </c>
      <c r="Q832">
        <v>-0.11579680000000001</v>
      </c>
      <c r="R832">
        <v>-0.56223829999999997</v>
      </c>
      <c r="S832">
        <v>1.739975</v>
      </c>
      <c r="T832">
        <v>3.8739919999999997E-2</v>
      </c>
      <c r="U832">
        <v>-2.8681640000000002</v>
      </c>
      <c r="V832">
        <v>0.31882440000000001</v>
      </c>
      <c r="W832">
        <v>-0.1108097</v>
      </c>
      <c r="X832">
        <v>0.94131410000000004</v>
      </c>
      <c r="Y832">
        <v>0.68473919999999999</v>
      </c>
      <c r="Z832">
        <v>-9.2265100000000003E-3</v>
      </c>
      <c r="AA832">
        <v>0.72872969999999904</v>
      </c>
      <c r="AB832">
        <v>33</v>
      </c>
      <c r="AC832">
        <v>46.036499999999897</v>
      </c>
      <c r="AD832">
        <v>1.0321670000000001</v>
      </c>
      <c r="AE832">
        <v>-76.305800000000005</v>
      </c>
      <c r="AF832">
        <v>61.167490148520102</v>
      </c>
      <c r="AG832">
        <v>1.0321670000000001</v>
      </c>
      <c r="AH832">
        <v>64.794616181076805</v>
      </c>
      <c r="AI832">
        <v>89.336335963468102</v>
      </c>
      <c r="AJ832">
        <v>46.649397653743897</v>
      </c>
      <c r="AK832">
        <v>89.111556522362804</v>
      </c>
      <c r="AL832">
        <v>96.361993246627506</v>
      </c>
      <c r="AM832">
        <v>71.288687769197793</v>
      </c>
      <c r="AN832">
        <v>1.0000000112541301</v>
      </c>
    </row>
    <row r="833" spans="1:40" x14ac:dyDescent="0.25">
      <c r="A833" t="str">
        <f>"20190305135555394"</f>
        <v>20190305135555394</v>
      </c>
      <c r="B833" t="str">
        <f>"1551765355392886"</f>
        <v>1551765355392886</v>
      </c>
      <c r="C833" t="s">
        <v>40</v>
      </c>
      <c r="D833">
        <v>4.332001</v>
      </c>
      <c r="E833">
        <v>0.67952919999999895</v>
      </c>
      <c r="F833" t="s">
        <v>51</v>
      </c>
      <c r="G833">
        <v>-165.56139999999999</v>
      </c>
      <c r="H833">
        <v>0.65058990000000005</v>
      </c>
      <c r="I833">
        <v>300.31029999999998</v>
      </c>
      <c r="J833">
        <v>-203.10050000000001</v>
      </c>
      <c r="K833">
        <v>1.0959080000000001</v>
      </c>
      <c r="L833">
        <v>365.11689999999999</v>
      </c>
      <c r="M833">
        <v>0.96072199999999996</v>
      </c>
      <c r="N833">
        <v>-1.627696E-2</v>
      </c>
      <c r="O833">
        <v>-0.27703440000000001</v>
      </c>
      <c r="P833">
        <v>0.81144879999999997</v>
      </c>
      <c r="Q833">
        <v>-0.11528389999999999</v>
      </c>
      <c r="R833">
        <v>-0.57294009999999995</v>
      </c>
      <c r="S833">
        <v>1.6788639999999999</v>
      </c>
      <c r="T833">
        <v>-1.9821999999999999E-2</v>
      </c>
      <c r="U833">
        <v>-2.8867189999999998</v>
      </c>
      <c r="V833">
        <v>0.32226379999999999</v>
      </c>
      <c r="W833">
        <v>-0.1105095</v>
      </c>
      <c r="X833">
        <v>0.9401775</v>
      </c>
      <c r="Y833">
        <v>0.69121299999999997</v>
      </c>
      <c r="Z833">
        <v>-1.143048E-2</v>
      </c>
      <c r="AA833">
        <v>0.72256069999999994</v>
      </c>
      <c r="AB833">
        <v>33</v>
      </c>
      <c r="AC833">
        <v>37.539099999999998</v>
      </c>
      <c r="AD833">
        <v>-0.445318099999999</v>
      </c>
      <c r="AE833">
        <v>-64.806600000000003</v>
      </c>
      <c r="AF833">
        <v>51.866548268689002</v>
      </c>
      <c r="AG833">
        <v>-0.445318099999999</v>
      </c>
      <c r="AH833">
        <v>54.023550491187201</v>
      </c>
      <c r="AI833">
        <v>90.3406884578785</v>
      </c>
      <c r="AJ833">
        <v>46.166964952346497</v>
      </c>
      <c r="AK833">
        <v>74.892463874493401</v>
      </c>
      <c r="AL833">
        <v>96.344686714685807</v>
      </c>
      <c r="AM833">
        <v>71.079869334968706</v>
      </c>
      <c r="AN833">
        <v>1.0000000189434699</v>
      </c>
    </row>
    <row r="834" spans="1:40" x14ac:dyDescent="0.25">
      <c r="A834" t="str">
        <f>"20190305135555408"</f>
        <v>20190305135555408</v>
      </c>
      <c r="B834" t="str">
        <f>"1551765355402645"</f>
        <v>1551765355402645</v>
      </c>
      <c r="C834" t="s">
        <v>40</v>
      </c>
      <c r="D834">
        <v>4.3631960000000003</v>
      </c>
      <c r="E834">
        <v>0.6782435</v>
      </c>
      <c r="F834" t="s">
        <v>51</v>
      </c>
      <c r="G834">
        <v>-166.23060000000001</v>
      </c>
      <c r="H834">
        <v>0.48130509999999899</v>
      </c>
      <c r="I834">
        <v>300.31029999999998</v>
      </c>
      <c r="J834">
        <v>-202.90219999999999</v>
      </c>
      <c r="K834">
        <v>1.0957250000000001</v>
      </c>
      <c r="L834">
        <v>365.05119999999999</v>
      </c>
      <c r="M834">
        <v>0.95784469999999999</v>
      </c>
      <c r="N834">
        <v>-1.6333670000000002E-2</v>
      </c>
      <c r="O834">
        <v>-0.28682180000000002</v>
      </c>
      <c r="P834">
        <v>0.80361329999999997</v>
      </c>
      <c r="Q834">
        <v>-0.1143769</v>
      </c>
      <c r="R834">
        <v>-0.58405790000000002</v>
      </c>
      <c r="S834">
        <v>1.64798</v>
      </c>
      <c r="T834">
        <v>-2.7467490000000001E-2</v>
      </c>
      <c r="U834">
        <v>-2.8966669999999999</v>
      </c>
      <c r="V834">
        <v>0.325551599999999</v>
      </c>
      <c r="W834">
        <v>-0.109816</v>
      </c>
      <c r="X834">
        <v>0.9391254</v>
      </c>
      <c r="Y834">
        <v>0.69068499999999999</v>
      </c>
      <c r="Z834">
        <v>-1.175941E-2</v>
      </c>
      <c r="AA834">
        <v>0.72306019999999904</v>
      </c>
      <c r="AB834">
        <v>33</v>
      </c>
      <c r="AC834">
        <v>36.671599999999899</v>
      </c>
      <c r="AD834">
        <v>-0.61441990000000002</v>
      </c>
      <c r="AE834">
        <v>-64.740899999999996</v>
      </c>
      <c r="AF834">
        <v>51.496872296925602</v>
      </c>
      <c r="AG834">
        <v>-0.61441990000000002</v>
      </c>
      <c r="AH834">
        <v>53.698301431213501</v>
      </c>
      <c r="AI834">
        <v>90.473153588772206</v>
      </c>
      <c r="AJ834">
        <v>46.198859089136803</v>
      </c>
      <c r="AK834">
        <v>74.403043921447505</v>
      </c>
      <c r="AL834">
        <v>96.304709157038801</v>
      </c>
      <c r="AM834">
        <v>70.880920273015903</v>
      </c>
      <c r="AN834">
        <v>0.999999957521859</v>
      </c>
    </row>
    <row r="835" spans="1:40" x14ac:dyDescent="0.25">
      <c r="A835" t="str">
        <f>"20190305135555426"</f>
        <v>20190305135555426</v>
      </c>
      <c r="B835" t="str">
        <f>"1551765355422164"</f>
        <v>1551765355422164</v>
      </c>
      <c r="C835" t="s">
        <v>40</v>
      </c>
      <c r="D835">
        <v>4.3501329999999996</v>
      </c>
      <c r="E835">
        <v>0.67626119999999901</v>
      </c>
      <c r="F835" t="s">
        <v>51</v>
      </c>
      <c r="G835">
        <v>-167.0341</v>
      </c>
      <c r="H835">
        <v>0.1656675</v>
      </c>
      <c r="I835">
        <v>300.31029999999998</v>
      </c>
      <c r="J835">
        <v>-202.6628</v>
      </c>
      <c r="K835">
        <v>1.0955159999999999</v>
      </c>
      <c r="L835">
        <v>364.96809999999999</v>
      </c>
      <c r="M835">
        <v>0.95414949999999998</v>
      </c>
      <c r="N835">
        <v>-1.6404519999999999E-2</v>
      </c>
      <c r="O835">
        <v>-0.29888029999999999</v>
      </c>
      <c r="P835">
        <v>0.79217280000000001</v>
      </c>
      <c r="Q835">
        <v>-0.1124568</v>
      </c>
      <c r="R835">
        <v>-0.5998464</v>
      </c>
      <c r="S835">
        <v>1.6122129999999999</v>
      </c>
      <c r="T835">
        <v>-4.1801100000000001E-2</v>
      </c>
      <c r="U835">
        <v>-2.9100039999999998</v>
      </c>
      <c r="V835">
        <v>0.33219270000000001</v>
      </c>
      <c r="W835">
        <v>-0.10825609999999999</v>
      </c>
      <c r="X835">
        <v>0.93697850000000005</v>
      </c>
      <c r="Y835">
        <v>0.68969639999999999</v>
      </c>
      <c r="Z835">
        <v>-1.220894E-2</v>
      </c>
      <c r="AA835">
        <v>0.72399569999999902</v>
      </c>
      <c r="AB835">
        <v>33</v>
      </c>
      <c r="AC835">
        <v>35.628700000000002</v>
      </c>
      <c r="AD835">
        <v>-0.92984849999999997</v>
      </c>
      <c r="AE835">
        <v>-64.657799999999995</v>
      </c>
      <c r="AF835">
        <v>51.043267738049103</v>
      </c>
      <c r="AG835">
        <v>-0.92984849999999997</v>
      </c>
      <c r="AH835">
        <v>53.3187711608185</v>
      </c>
      <c r="AI835">
        <v>90.721740519995194</v>
      </c>
      <c r="AJ835">
        <v>46.249075705902001</v>
      </c>
      <c r="AK835">
        <v>73.818501459396003</v>
      </c>
      <c r="AL835">
        <v>96.214796862239794</v>
      </c>
      <c r="AM835">
        <v>70.478746023673395</v>
      </c>
      <c r="AN835">
        <v>1.0000000412913701</v>
      </c>
    </row>
    <row r="836" spans="1:40" x14ac:dyDescent="0.25">
      <c r="A836" t="str">
        <f>"20190305135555440"</f>
        <v>20190305135555440</v>
      </c>
      <c r="B836" t="str">
        <f>"1551765355432901"</f>
        <v>1551765355432901</v>
      </c>
      <c r="C836" t="s">
        <v>40</v>
      </c>
      <c r="D836">
        <v>4.3690249999999997</v>
      </c>
      <c r="E836">
        <v>0.67548059999999999</v>
      </c>
      <c r="F836" t="s">
        <v>42</v>
      </c>
      <c r="G836">
        <v>-175.32419999999999</v>
      </c>
      <c r="H836">
        <v>7.9986589999999996E-2</v>
      </c>
      <c r="I836">
        <v>313.72910000000002</v>
      </c>
      <c r="J836">
        <v>-202.46119999999999</v>
      </c>
      <c r="K836">
        <v>1.095337</v>
      </c>
      <c r="L836">
        <v>364.8954</v>
      </c>
      <c r="M836">
        <v>0.95085240000000004</v>
      </c>
      <c r="N836">
        <v>-1.646543E-2</v>
      </c>
      <c r="O836">
        <v>-0.3092065</v>
      </c>
      <c r="P836">
        <v>0.78365530000000005</v>
      </c>
      <c r="Q836">
        <v>-0.11086020000000001</v>
      </c>
      <c r="R836">
        <v>-0.61122390000000004</v>
      </c>
      <c r="S836">
        <v>1.562012</v>
      </c>
      <c r="T836">
        <v>-5.8023100000000001E-2</v>
      </c>
      <c r="U836">
        <v>-2.9275820000000001</v>
      </c>
      <c r="V836">
        <v>0.33549410000000002</v>
      </c>
      <c r="W836">
        <v>-0.1068755</v>
      </c>
      <c r="X836">
        <v>0.93596009999999996</v>
      </c>
      <c r="Y836">
        <v>0.69320389999999998</v>
      </c>
      <c r="Z836">
        <v>-1.2694469999999999E-2</v>
      </c>
      <c r="AA836">
        <v>0.72062979999999999</v>
      </c>
      <c r="AB836">
        <v>33</v>
      </c>
      <c r="AC836">
        <v>27.136999999999901</v>
      </c>
      <c r="AD836">
        <v>-1.0153504099999999</v>
      </c>
      <c r="AE836">
        <v>-51.1662999999999</v>
      </c>
      <c r="AF836">
        <v>40.253748372278203</v>
      </c>
      <c r="AG836">
        <v>-1.0153504099999999</v>
      </c>
      <c r="AH836">
        <v>41.617085961289199</v>
      </c>
      <c r="AI836">
        <v>91.004661229761297</v>
      </c>
      <c r="AJ836">
        <v>45.9540182590436</v>
      </c>
      <c r="AK836">
        <v>57.908350333808698</v>
      </c>
      <c r="AL836">
        <v>96.1352330109669</v>
      </c>
      <c r="AM836">
        <v>70.279825117547006</v>
      </c>
      <c r="AN836">
        <v>0.99999998621353403</v>
      </c>
    </row>
    <row r="837" spans="1:40" x14ac:dyDescent="0.25">
      <c r="A837" t="str">
        <f>"20190305135555453"</f>
        <v>20190305135555453</v>
      </c>
      <c r="B837" t="str">
        <f>"1551765355442661"</f>
        <v>1551765355442661</v>
      </c>
      <c r="C837" t="s">
        <v>40</v>
      </c>
      <c r="D837">
        <v>4.3731179999999998</v>
      </c>
      <c r="E837">
        <v>0.67449019999999904</v>
      </c>
      <c r="F837" t="s">
        <v>42</v>
      </c>
      <c r="G837">
        <v>-177.26580000000001</v>
      </c>
      <c r="H837">
        <v>7.9985650000000005E-2</v>
      </c>
      <c r="I837">
        <v>316.1721</v>
      </c>
      <c r="J837">
        <v>-202.27330000000001</v>
      </c>
      <c r="K837">
        <v>1.095173</v>
      </c>
      <c r="L837">
        <v>364.82569999999998</v>
      </c>
      <c r="M837">
        <v>0.94763489999999995</v>
      </c>
      <c r="N837">
        <v>-1.6522249999999999E-2</v>
      </c>
      <c r="O837">
        <v>-0.31892789999999999</v>
      </c>
      <c r="P837">
        <v>0.77557719999999997</v>
      </c>
      <c r="Q837">
        <v>-0.1087796</v>
      </c>
      <c r="R837">
        <v>-0.62180970000000002</v>
      </c>
      <c r="S837">
        <v>1.522751</v>
      </c>
      <c r="T837">
        <v>-6.1365599999999902E-2</v>
      </c>
      <c r="U837">
        <v>-2.9447329999999998</v>
      </c>
      <c r="V837">
        <v>0.338545599999999</v>
      </c>
      <c r="W837">
        <v>-0.1049952</v>
      </c>
      <c r="X837">
        <v>0.93507370000000001</v>
      </c>
      <c r="Y837">
        <v>0.69508789999999998</v>
      </c>
      <c r="Z837">
        <v>-1.279547E-2</v>
      </c>
      <c r="AA837">
        <v>0.71881099999999998</v>
      </c>
      <c r="AB837">
        <v>32</v>
      </c>
      <c r="AC837">
        <v>25.0075</v>
      </c>
      <c r="AD837">
        <v>-1.0151873499999999</v>
      </c>
      <c r="AE837">
        <v>-48.653599999999898</v>
      </c>
      <c r="AF837">
        <v>38.122338516472603</v>
      </c>
      <c r="AG837">
        <v>-1.0151873499999999</v>
      </c>
      <c r="AH837">
        <v>39.206823498441203</v>
      </c>
      <c r="AI837">
        <v>91.063525572303902</v>
      </c>
      <c r="AJ837">
        <v>45.803478760250798</v>
      </c>
      <c r="AK837">
        <v>54.694774047966</v>
      </c>
      <c r="AL837">
        <v>96.026890194042196</v>
      </c>
      <c r="AM837">
        <v>70.097093782090298</v>
      </c>
      <c r="AN837">
        <v>0.99999996986704398</v>
      </c>
    </row>
    <row r="838" spans="1:40" x14ac:dyDescent="0.25">
      <c r="A838" t="str">
        <f>"20190305135555468"</f>
        <v>20190305135555468</v>
      </c>
      <c r="B838" t="str">
        <f>"1551765355462181"</f>
        <v>1551765355462181</v>
      </c>
      <c r="C838" t="s">
        <v>40</v>
      </c>
      <c r="D838">
        <v>4.33805</v>
      </c>
      <c r="E838">
        <v>0.67242409999999997</v>
      </c>
      <c r="F838" t="s">
        <v>42</v>
      </c>
      <c r="G838">
        <v>-179.18379999999999</v>
      </c>
      <c r="H838">
        <v>7.998624E-2</v>
      </c>
      <c r="I838">
        <v>318.89170000000001</v>
      </c>
      <c r="J838">
        <v>-202.07769999999999</v>
      </c>
      <c r="K838">
        <v>1.0950029999999999</v>
      </c>
      <c r="L838">
        <v>364.75069999999999</v>
      </c>
      <c r="M838">
        <v>0.94411590000000001</v>
      </c>
      <c r="N838">
        <v>-1.6582550000000001E-2</v>
      </c>
      <c r="O838">
        <v>-0.32919619999999999</v>
      </c>
      <c r="P838">
        <v>0.76702119999999996</v>
      </c>
      <c r="Q838">
        <v>-0.1065205</v>
      </c>
      <c r="R838">
        <v>-0.63271750000000004</v>
      </c>
      <c r="S838">
        <v>1.4870760000000001</v>
      </c>
      <c r="T838">
        <v>-6.5382960000000004E-2</v>
      </c>
      <c r="U838">
        <v>-2.9583740000000001</v>
      </c>
      <c r="V838">
        <v>0.34154420000000002</v>
      </c>
      <c r="W838">
        <v>-0.1029375</v>
      </c>
      <c r="X838">
        <v>0.93421169999999998</v>
      </c>
      <c r="Y838">
        <v>0.69550339999999999</v>
      </c>
      <c r="Z838">
        <v>-1.284484E-2</v>
      </c>
      <c r="AA838">
        <v>0.71840789999999999</v>
      </c>
      <c r="AB838">
        <v>32</v>
      </c>
      <c r="AC838">
        <v>22.893899999999999</v>
      </c>
      <c r="AD838">
        <v>-1.01501676</v>
      </c>
      <c r="AE838">
        <v>-45.858999999999902</v>
      </c>
      <c r="AF838">
        <v>35.750524943988601</v>
      </c>
      <c r="AG838">
        <v>-1.01501676</v>
      </c>
      <c r="AH838">
        <v>36.701760146085</v>
      </c>
      <c r="AI838">
        <v>91.134918104357993</v>
      </c>
      <c r="AJ838">
        <v>45.752200308092199</v>
      </c>
      <c r="AK838">
        <v>51.2459704817324</v>
      </c>
      <c r="AL838">
        <v>95.908349867559195</v>
      </c>
      <c r="AM838">
        <v>69.917782382897997</v>
      </c>
      <c r="AN838">
        <v>1.00000003493838</v>
      </c>
    </row>
    <row r="839" spans="1:40" x14ac:dyDescent="0.25">
      <c r="A839" t="str">
        <f>"20190305135555483"</f>
        <v>20190305135555483</v>
      </c>
      <c r="B839" t="str">
        <f>"1551765355472918"</f>
        <v>1551765355472918</v>
      </c>
      <c r="C839" t="s">
        <v>40</v>
      </c>
      <c r="D839">
        <v>4.379175</v>
      </c>
      <c r="E839">
        <v>0.67137429999999998</v>
      </c>
      <c r="F839" t="s">
        <v>42</v>
      </c>
      <c r="G839">
        <v>-181.07740000000001</v>
      </c>
      <c r="H839" s="1">
        <v>-3.1496380000000001E-6</v>
      </c>
      <c r="I839">
        <v>321.9271</v>
      </c>
      <c r="J839">
        <v>-201.876</v>
      </c>
      <c r="K839">
        <v>1.0948310000000001</v>
      </c>
      <c r="L839">
        <v>364.67020000000002</v>
      </c>
      <c r="M839">
        <v>0.94029119999999999</v>
      </c>
      <c r="N839">
        <v>-1.6646879999999999E-2</v>
      </c>
      <c r="O839">
        <v>-0.33996379999999998</v>
      </c>
      <c r="P839">
        <v>0.7562451</v>
      </c>
      <c r="Q839">
        <v>-0.1033829</v>
      </c>
      <c r="R839">
        <v>-0.646069</v>
      </c>
      <c r="S839">
        <v>1.4543299999999999</v>
      </c>
      <c r="T839">
        <v>-7.5832609999999995E-2</v>
      </c>
      <c r="U839">
        <v>-2.965668</v>
      </c>
      <c r="V839">
        <v>0.34714929999999999</v>
      </c>
      <c r="W839">
        <v>-0.1001055</v>
      </c>
      <c r="X839">
        <v>0.93245169999999999</v>
      </c>
      <c r="Y839">
        <v>0.69431540000000003</v>
      </c>
      <c r="Z839">
        <v>-1.289594E-2</v>
      </c>
      <c r="AA839">
        <v>0.71955530000000001</v>
      </c>
      <c r="AB839">
        <v>32</v>
      </c>
      <c r="AC839">
        <v>20.798599999999901</v>
      </c>
      <c r="AD839">
        <v>-1.0948341496380001</v>
      </c>
      <c r="AE839">
        <v>-42.743099999999998</v>
      </c>
      <c r="AF839">
        <v>33.107216111069803</v>
      </c>
      <c r="AG839">
        <v>-1.0948341496380001</v>
      </c>
      <c r="AH839">
        <v>34.0744946196684</v>
      </c>
      <c r="AI839">
        <v>91.320118864780994</v>
      </c>
      <c r="AJ839">
        <v>45.824884428006001</v>
      </c>
      <c r="AK839">
        <v>47.5221801270323</v>
      </c>
      <c r="AL839">
        <v>95.745245895768704</v>
      </c>
      <c r="AM839">
        <v>69.579834382801295</v>
      </c>
      <c r="AN839">
        <v>0.99999996022681403</v>
      </c>
    </row>
    <row r="840" spans="1:40" x14ac:dyDescent="0.25">
      <c r="A840" t="str">
        <f>"20190305135555506"</f>
        <v>20190305135555506</v>
      </c>
      <c r="B840" t="str">
        <f>"1551765355502197"</f>
        <v>1551765355502197</v>
      </c>
      <c r="C840" t="s">
        <v>40</v>
      </c>
      <c r="D840">
        <v>4.360627</v>
      </c>
      <c r="E840">
        <v>0.66809969999999996</v>
      </c>
      <c r="F840" t="s">
        <v>42</v>
      </c>
      <c r="G840">
        <v>-180.75540000000001</v>
      </c>
      <c r="H840" s="1">
        <v>-2.5486390000000001E-6</v>
      </c>
      <c r="I840">
        <v>319.90929999999997</v>
      </c>
      <c r="J840">
        <v>-201.56720000000001</v>
      </c>
      <c r="K840">
        <v>1.0945670000000001</v>
      </c>
      <c r="L840">
        <v>364.5421</v>
      </c>
      <c r="M840">
        <v>0.93407720000000005</v>
      </c>
      <c r="N840">
        <v>-1.6744499999999999E-2</v>
      </c>
      <c r="O840">
        <v>-0.3566782</v>
      </c>
      <c r="P840">
        <v>0.74085330000000005</v>
      </c>
      <c r="Q840">
        <v>-0.10235619999999999</v>
      </c>
      <c r="R840">
        <v>-0.66382189999999996</v>
      </c>
      <c r="S840">
        <v>1.407913</v>
      </c>
      <c r="T840">
        <v>-7.2982430000000001E-2</v>
      </c>
      <c r="U840">
        <v>-2.9837950000000002</v>
      </c>
      <c r="V840">
        <v>0.35254190000000002</v>
      </c>
      <c r="W840">
        <v>-9.9427929999999998E-2</v>
      </c>
      <c r="X840">
        <v>0.93049899999999997</v>
      </c>
      <c r="Y840">
        <v>0.69232559999999999</v>
      </c>
      <c r="Z840">
        <v>-1.2687189999999999E-2</v>
      </c>
      <c r="AA840">
        <v>0.72147380000000005</v>
      </c>
      <c r="AB840">
        <v>32</v>
      </c>
      <c r="AC840">
        <v>20.811800000000002</v>
      </c>
      <c r="AD840">
        <v>-1.0945695486389999</v>
      </c>
      <c r="AE840">
        <v>-44.632800000000003</v>
      </c>
      <c r="AF840">
        <v>34.2552491301158</v>
      </c>
      <c r="AG840">
        <v>-1.0945695486389999</v>
      </c>
      <c r="AH840">
        <v>35.346872160721396</v>
      </c>
      <c r="AI840">
        <v>91.273894721151606</v>
      </c>
      <c r="AJ840">
        <v>45.898539638694899</v>
      </c>
      <c r="AK840">
        <v>49.234353321735497</v>
      </c>
      <c r="AL840">
        <v>95.706228837422501</v>
      </c>
      <c r="AM840">
        <v>69.249603438139502</v>
      </c>
      <c r="AN840">
        <v>1.00000004676034</v>
      </c>
    </row>
    <row r="841" spans="1:40" x14ac:dyDescent="0.25">
      <c r="A841" t="str">
        <f>"20190305135555527"</f>
        <v>20190305135555527</v>
      </c>
      <c r="B841" t="str">
        <f>"1551765355522693"</f>
        <v>1551765355522693</v>
      </c>
      <c r="C841" t="s">
        <v>40</v>
      </c>
      <c r="D841">
        <v>4.3159169999999998</v>
      </c>
      <c r="E841">
        <v>0.66641810000000001</v>
      </c>
      <c r="F841" t="s">
        <v>42</v>
      </c>
      <c r="G841">
        <v>-186.7499</v>
      </c>
      <c r="H841" s="1">
        <v>-1.5593480000000001E-6</v>
      </c>
      <c r="I841">
        <v>331.6891</v>
      </c>
      <c r="J841">
        <v>-201.27379999999999</v>
      </c>
      <c r="K841">
        <v>1.09432</v>
      </c>
      <c r="L841">
        <v>364.41419999999999</v>
      </c>
      <c r="M841">
        <v>0.92773030000000001</v>
      </c>
      <c r="N841">
        <v>-1.6837599999999901E-2</v>
      </c>
      <c r="O841">
        <v>-0.37287169999999997</v>
      </c>
      <c r="P841">
        <v>0.72490810000000006</v>
      </c>
      <c r="Q841">
        <v>-0.1024997</v>
      </c>
      <c r="R841">
        <v>-0.68117709999999998</v>
      </c>
      <c r="S841">
        <v>1.3512120000000001</v>
      </c>
      <c r="T841">
        <v>-9.9815130000000002E-2</v>
      </c>
      <c r="U841">
        <v>-2.995911</v>
      </c>
      <c r="V841">
        <v>0.35831639999999998</v>
      </c>
      <c r="W841">
        <v>-9.9932160000000006E-2</v>
      </c>
      <c r="X841">
        <v>0.92823650000000002</v>
      </c>
      <c r="Y841">
        <v>0.69202439999999998</v>
      </c>
      <c r="Z841">
        <v>-1.2562729999999999E-2</v>
      </c>
      <c r="AA841">
        <v>0.72176479999999998</v>
      </c>
      <c r="AB841">
        <v>32</v>
      </c>
      <c r="AC841">
        <v>14.5238999999999</v>
      </c>
      <c r="AD841">
        <v>-1.094321559348</v>
      </c>
      <c r="AE841">
        <v>-32.725099999999998</v>
      </c>
      <c r="AF841">
        <v>24.924763340601299</v>
      </c>
      <c r="AG841">
        <v>-1.094321559348</v>
      </c>
      <c r="AH841">
        <v>25.656193918136999</v>
      </c>
      <c r="AI841">
        <v>91.752325174837694</v>
      </c>
      <c r="AJ841">
        <v>45.828473137634496</v>
      </c>
      <c r="AK841">
        <v>35.786612771053001</v>
      </c>
      <c r="AL841">
        <v>95.735263735824304</v>
      </c>
      <c r="AM841">
        <v>68.892492494644699</v>
      </c>
      <c r="AN841">
        <v>1.0000000395217301</v>
      </c>
    </row>
    <row r="842" spans="1:40" x14ac:dyDescent="0.25">
      <c r="A842" t="str">
        <f>"20190305135555551"</f>
        <v>20190305135555551</v>
      </c>
      <c r="B842" t="str">
        <f>"1551765355542213"</f>
        <v>1551765355542213</v>
      </c>
      <c r="C842" t="s">
        <v>40</v>
      </c>
      <c r="D842">
        <v>4.3165500000000003</v>
      </c>
      <c r="E842">
        <v>0.66453450000000003</v>
      </c>
      <c r="F842" t="s">
        <v>42</v>
      </c>
      <c r="G842">
        <v>-187.89</v>
      </c>
      <c r="H842" s="1">
        <v>-1.8530530000000001E-6</v>
      </c>
      <c r="I842">
        <v>333.07979999999998</v>
      </c>
      <c r="J842">
        <v>-200.9564</v>
      </c>
      <c r="K842">
        <v>1.094071</v>
      </c>
      <c r="L842">
        <v>364.26870000000002</v>
      </c>
      <c r="M842">
        <v>0.92035500000000003</v>
      </c>
      <c r="N842">
        <v>-1.6938140000000001E-2</v>
      </c>
      <c r="O842">
        <v>-0.39071709999999998</v>
      </c>
      <c r="P842">
        <v>0.70710379999999995</v>
      </c>
      <c r="Q842">
        <v>-0.10275239999999999</v>
      </c>
      <c r="R842">
        <v>-0.69960429999999996</v>
      </c>
      <c r="S842">
        <v>1.2886200000000001</v>
      </c>
      <c r="T842">
        <v>-0.1053635</v>
      </c>
      <c r="U842">
        <v>-3.016937</v>
      </c>
      <c r="V842">
        <v>0.36420419999999998</v>
      </c>
      <c r="W842">
        <v>-0.1005593</v>
      </c>
      <c r="X842">
        <v>0.92587419999999998</v>
      </c>
      <c r="Y842">
        <v>0.69251099999999999</v>
      </c>
      <c r="Z842">
        <v>-1.223932E-2</v>
      </c>
      <c r="AA842">
        <v>0.72130349999999999</v>
      </c>
      <c r="AB842">
        <v>32</v>
      </c>
      <c r="AC842">
        <v>13.0664</v>
      </c>
      <c r="AD842">
        <v>-1.0940728530529999</v>
      </c>
      <c r="AE842">
        <v>-31.1889</v>
      </c>
      <c r="AF842">
        <v>23.5782975007406</v>
      </c>
      <c r="AG842">
        <v>-1.0940728530529999</v>
      </c>
      <c r="AH842">
        <v>24.189914057989299</v>
      </c>
      <c r="AI842">
        <v>91.855058058114693</v>
      </c>
      <c r="AJ842">
        <v>45.733565932015601</v>
      </c>
      <c r="AK842">
        <v>33.797707771003097</v>
      </c>
      <c r="AL842">
        <v>95.771378628911293</v>
      </c>
      <c r="AM842">
        <v>68.527183929324593</v>
      </c>
      <c r="AN842">
        <v>0.99999995316988299</v>
      </c>
    </row>
    <row r="843" spans="1:40" x14ac:dyDescent="0.25">
      <c r="A843" t="str">
        <f>"20190305135555572"</f>
        <v>20190305135555572</v>
      </c>
      <c r="B843" t="str">
        <f>"1551765355562712"</f>
        <v>1551765355562712</v>
      </c>
      <c r="C843" t="s">
        <v>40</v>
      </c>
      <c r="D843">
        <v>4.3156160000000003</v>
      </c>
      <c r="E843">
        <v>0.6625683</v>
      </c>
      <c r="F843" t="s">
        <v>42</v>
      </c>
      <c r="G843">
        <v>-189.2107</v>
      </c>
      <c r="H843" s="1">
        <v>-2.4508630000000002E-6</v>
      </c>
      <c r="I843">
        <v>335.01949999999999</v>
      </c>
      <c r="J843">
        <v>-200.67609999999999</v>
      </c>
      <c r="K843">
        <v>1.0938600000000001</v>
      </c>
      <c r="L843">
        <v>364.13350000000003</v>
      </c>
      <c r="M843">
        <v>0.91337120000000005</v>
      </c>
      <c r="N843">
        <v>-1.702762E-2</v>
      </c>
      <c r="O843">
        <v>-0.40677170000000001</v>
      </c>
      <c r="P843">
        <v>0.69006690000000004</v>
      </c>
      <c r="Q843">
        <v>-0.1028332</v>
      </c>
      <c r="R843">
        <v>-0.71640280000000001</v>
      </c>
      <c r="S843">
        <v>1.2200930000000001</v>
      </c>
      <c r="T843">
        <v>-0.11364829999999999</v>
      </c>
      <c r="U843">
        <v>-3.0383</v>
      </c>
      <c r="V843">
        <v>0.3701856</v>
      </c>
      <c r="W843">
        <v>-0.1010032</v>
      </c>
      <c r="X843">
        <v>0.92345060000000001</v>
      </c>
      <c r="Y843">
        <v>0.69555800000000001</v>
      </c>
      <c r="Z843">
        <v>-1.1941770000000001E-2</v>
      </c>
      <c r="AA843">
        <v>0.71837069999999903</v>
      </c>
      <c r="AB843">
        <v>32</v>
      </c>
      <c r="AC843">
        <v>11.465399999999899</v>
      </c>
      <c r="AD843">
        <v>-1.0938624508629999</v>
      </c>
      <c r="AE843">
        <v>-29.114000000000001</v>
      </c>
      <c r="AF843">
        <v>21.9044978161537</v>
      </c>
      <c r="AG843">
        <v>-1.0938624508629999</v>
      </c>
      <c r="AH843">
        <v>22.290910214295799</v>
      </c>
      <c r="AI843">
        <v>92.004607458705493</v>
      </c>
      <c r="AJ843">
        <v>45.500939722478797</v>
      </c>
      <c r="AK843">
        <v>31.271204610969001</v>
      </c>
      <c r="AL843">
        <v>95.7969420062838</v>
      </c>
      <c r="AM843">
        <v>68.155526910661806</v>
      </c>
      <c r="AN843">
        <v>1.0000000177489701</v>
      </c>
    </row>
    <row r="844" spans="1:40" x14ac:dyDescent="0.25">
      <c r="A844" t="str">
        <f>"20190305135555586"</f>
        <v>20190305135555586</v>
      </c>
      <c r="B844" t="str">
        <f>"1551765355582231"</f>
        <v>1551765355582231</v>
      </c>
      <c r="C844" t="s">
        <v>40</v>
      </c>
      <c r="D844">
        <v>4.3621270000000001</v>
      </c>
      <c r="E844">
        <v>0.63406770000000001</v>
      </c>
      <c r="F844" t="s">
        <v>42</v>
      </c>
      <c r="G844">
        <v>-190.59800000000001</v>
      </c>
      <c r="H844" s="1">
        <v>-3.5539139999999999E-6</v>
      </c>
      <c r="I844">
        <v>337.5025</v>
      </c>
      <c r="J844">
        <v>-200.4923</v>
      </c>
      <c r="K844">
        <v>1.0937330000000001</v>
      </c>
      <c r="L844">
        <v>364.04140000000001</v>
      </c>
      <c r="M844">
        <v>0.90854780000000002</v>
      </c>
      <c r="N844">
        <v>-1.708641E-2</v>
      </c>
      <c r="O844">
        <v>-0.41743180000000002</v>
      </c>
      <c r="P844">
        <v>0.67970750000000002</v>
      </c>
      <c r="Q844">
        <v>-0.10270360000000001</v>
      </c>
      <c r="R844">
        <v>-0.72625740000000005</v>
      </c>
      <c r="S844">
        <v>1.1563870000000001</v>
      </c>
      <c r="T844">
        <v>-0.12551219999999999</v>
      </c>
      <c r="U844">
        <v>-3.0556950000000001</v>
      </c>
      <c r="V844">
        <v>0.37262590000000001</v>
      </c>
      <c r="W844">
        <v>-0.1010421</v>
      </c>
      <c r="X844">
        <v>0.92246430000000001</v>
      </c>
      <c r="Y844">
        <v>0.70147349999999997</v>
      </c>
      <c r="Z844">
        <v>-1.175795E-2</v>
      </c>
      <c r="AA844">
        <v>0.71259859999999997</v>
      </c>
      <c r="AB844">
        <v>32</v>
      </c>
      <c r="AC844">
        <v>9.8943000000000101</v>
      </c>
      <c r="AD844">
        <v>-1.093736553914</v>
      </c>
      <c r="AE844">
        <v>-26.538900000000002</v>
      </c>
      <c r="AF844">
        <v>19.9548208727538</v>
      </c>
      <c r="AG844">
        <v>-1.093736553914</v>
      </c>
      <c r="AH844">
        <v>20.040666938000101</v>
      </c>
      <c r="AI844">
        <v>92.214736079611498</v>
      </c>
      <c r="AJ844">
        <v>45.122979114452797</v>
      </c>
      <c r="AK844">
        <v>28.302287310973799</v>
      </c>
      <c r="AL844">
        <v>95.7991825156451</v>
      </c>
      <c r="AM844">
        <v>68.003944414914201</v>
      </c>
      <c r="AN844">
        <v>0.99999997604885404</v>
      </c>
    </row>
    <row r="845" spans="1:40" x14ac:dyDescent="0.25">
      <c r="A845" t="str">
        <f>"20190305135555605"</f>
        <v>20190305135555605</v>
      </c>
      <c r="B845" t="str">
        <f>"1551765355602725"</f>
        <v>1551765355602725</v>
      </c>
      <c r="C845" t="s">
        <v>40</v>
      </c>
      <c r="D845">
        <v>4.3580259999999997</v>
      </c>
      <c r="E845">
        <v>0.63244800000000001</v>
      </c>
      <c r="F845" t="s">
        <v>48</v>
      </c>
      <c r="G845">
        <v>-195.63249999999999</v>
      </c>
      <c r="H845" s="1">
        <v>-3.3045220000000001E-6</v>
      </c>
      <c r="I845">
        <v>352.80680000000001</v>
      </c>
      <c r="J845">
        <v>-200.24449999999999</v>
      </c>
      <c r="K845">
        <v>1.0935729999999999</v>
      </c>
      <c r="L845">
        <v>363.91289999999998</v>
      </c>
      <c r="M845">
        <v>0.90172620000000003</v>
      </c>
      <c r="N845">
        <v>-1.7164479999999999E-2</v>
      </c>
      <c r="O845">
        <v>-0.43196709999999999</v>
      </c>
      <c r="P845">
        <v>0.66443629999999998</v>
      </c>
      <c r="Q845">
        <v>-0.10274320000000001</v>
      </c>
      <c r="R845">
        <v>-0.74024919999999905</v>
      </c>
      <c r="S845">
        <v>1.259598</v>
      </c>
      <c r="T845">
        <v>-0.28348020000000002</v>
      </c>
      <c r="U845">
        <v>-2.911835</v>
      </c>
      <c r="V845">
        <v>0.37696380000000002</v>
      </c>
      <c r="W845">
        <v>-0.101353</v>
      </c>
      <c r="X845">
        <v>0.92066599999999998</v>
      </c>
      <c r="Y845">
        <v>0.65446009999999999</v>
      </c>
      <c r="Z845">
        <v>-4.6338480000000003E-3</v>
      </c>
      <c r="AA845">
        <v>0.75608240000000004</v>
      </c>
      <c r="AB845">
        <v>32</v>
      </c>
      <c r="AC845">
        <v>4.6119999999999903</v>
      </c>
      <c r="AD845">
        <v>-1.0935763045219999</v>
      </c>
      <c r="AE845">
        <v>-11.1060999999999</v>
      </c>
      <c r="AF845">
        <v>7.9578023466484096</v>
      </c>
      <c r="AG845">
        <v>-1.0935763045219999</v>
      </c>
      <c r="AH845">
        <v>8.8840818242193098</v>
      </c>
      <c r="AI845">
        <v>95.238748991937797</v>
      </c>
      <c r="AJ845">
        <v>48.148014183283301</v>
      </c>
      <c r="AK845">
        <v>11.9770379135059</v>
      </c>
      <c r="AL845">
        <v>95.817087492751597</v>
      </c>
      <c r="AM845">
        <v>67.733507998346198</v>
      </c>
      <c r="AN845">
        <v>1.00000001033772</v>
      </c>
    </row>
    <row r="846" spans="1:40" x14ac:dyDescent="0.25">
      <c r="A846" t="str">
        <f>"20190305135555629"</f>
        <v>20190305135555629</v>
      </c>
      <c r="B846" t="str">
        <f>"1551765355622247"</f>
        <v>1551765355622247</v>
      </c>
      <c r="C846" t="s">
        <v>40</v>
      </c>
      <c r="D846">
        <v>4.4202079999999997</v>
      </c>
      <c r="E846">
        <v>0.63052750000000002</v>
      </c>
      <c r="F846" t="s">
        <v>48</v>
      </c>
      <c r="G846">
        <v>-195.44720000000001</v>
      </c>
      <c r="H846" s="1">
        <v>-3.0036029999999998E-6</v>
      </c>
      <c r="I846">
        <v>352.29050000000001</v>
      </c>
      <c r="J846">
        <v>-199.93989999999999</v>
      </c>
      <c r="K846">
        <v>1.0933850000000001</v>
      </c>
      <c r="L846">
        <v>363.74829999999997</v>
      </c>
      <c r="M846">
        <v>0.89283179999999995</v>
      </c>
      <c r="N846">
        <v>-1.725724E-2</v>
      </c>
      <c r="O846">
        <v>-0.45005990000000001</v>
      </c>
      <c r="P846">
        <v>0.64666480000000004</v>
      </c>
      <c r="Q846">
        <v>-0.1018896</v>
      </c>
      <c r="R846">
        <v>-0.75593859999999902</v>
      </c>
      <c r="S846">
        <v>1.2090609999999999</v>
      </c>
      <c r="T846">
        <v>-0.275616799999999</v>
      </c>
      <c r="U846">
        <v>-2.92923</v>
      </c>
      <c r="V846">
        <v>0.38035150000000001</v>
      </c>
      <c r="W846">
        <v>-0.1007429</v>
      </c>
      <c r="X846">
        <v>0.91933860000000001</v>
      </c>
      <c r="Y846">
        <v>0.65205389999999996</v>
      </c>
      <c r="Z846">
        <v>-3.1589399999999998E-3</v>
      </c>
      <c r="AA846">
        <v>0.75816600000000001</v>
      </c>
      <c r="AB846">
        <v>32</v>
      </c>
      <c r="AC846">
        <v>4.4926999999999797</v>
      </c>
      <c r="AD846">
        <v>-1.0933880036029999</v>
      </c>
      <c r="AE846">
        <v>-11.457799999999899</v>
      </c>
      <c r="AF846">
        <v>8.1448390013957805</v>
      </c>
      <c r="AG846">
        <v>-1.0933880036029999</v>
      </c>
      <c r="AH846">
        <v>9.0974804110391894</v>
      </c>
      <c r="AI846">
        <v>95.116791184506496</v>
      </c>
      <c r="AJ846">
        <v>48.162387456030302</v>
      </c>
      <c r="AK846">
        <v>12.259610496028101</v>
      </c>
      <c r="AL846">
        <v>95.781951970939204</v>
      </c>
      <c r="AM846">
        <v>67.523996372809293</v>
      </c>
      <c r="AN846">
        <v>0.99999992845130703</v>
      </c>
    </row>
    <row r="847" spans="1:40" x14ac:dyDescent="0.25">
      <c r="A847" t="str">
        <f>"20190305135555652"</f>
        <v>20190305135555652</v>
      </c>
      <c r="B847" t="str">
        <f>"1551765355642745"</f>
        <v>1551765355642745</v>
      </c>
      <c r="C847" t="s">
        <v>40</v>
      </c>
      <c r="D847">
        <v>4.3841080000000003</v>
      </c>
      <c r="E847">
        <v>0.62806329999999999</v>
      </c>
      <c r="F847" t="s">
        <v>48</v>
      </c>
      <c r="G847">
        <v>-195.42449999999999</v>
      </c>
      <c r="H847" s="1">
        <v>-2.9432390000000001E-6</v>
      </c>
      <c r="I847">
        <v>352.18049999999999</v>
      </c>
      <c r="J847">
        <v>-199.65020000000001</v>
      </c>
      <c r="K847">
        <v>1.093207</v>
      </c>
      <c r="L847">
        <v>363.58350000000002</v>
      </c>
      <c r="M847">
        <v>0.88378500000000004</v>
      </c>
      <c r="N847">
        <v>-1.734457E-2</v>
      </c>
      <c r="O847">
        <v>-0.46757209999999899</v>
      </c>
      <c r="P847">
        <v>0.62932189999999999</v>
      </c>
      <c r="Q847">
        <v>-0.10210379999999999</v>
      </c>
      <c r="R847">
        <v>-0.77040839999999999</v>
      </c>
      <c r="S847">
        <v>1.1503139999999901</v>
      </c>
      <c r="T847">
        <v>-0.27854380000000001</v>
      </c>
      <c r="U847">
        <v>-2.94693</v>
      </c>
      <c r="V847">
        <v>0.38303569999999998</v>
      </c>
      <c r="W847">
        <v>-0.1011638</v>
      </c>
      <c r="X847">
        <v>0.91817729999999997</v>
      </c>
      <c r="Y847">
        <v>0.65176000000000001</v>
      </c>
      <c r="Z847">
        <v>-1.4896079999999999E-3</v>
      </c>
      <c r="AA847">
        <v>0.75842390000000004</v>
      </c>
      <c r="AB847">
        <v>32</v>
      </c>
      <c r="AC847">
        <v>4.2257000000000096</v>
      </c>
      <c r="AD847">
        <v>-1.0932099432389999</v>
      </c>
      <c r="AE847">
        <v>-11.403</v>
      </c>
      <c r="AF847">
        <v>8.0382384379639102</v>
      </c>
      <c r="AG847">
        <v>-1.0932099432389999</v>
      </c>
      <c r="AH847">
        <v>8.9950053627133997</v>
      </c>
      <c r="AI847">
        <v>95.178155910145506</v>
      </c>
      <c r="AJ847">
        <v>48.214957930431197</v>
      </c>
      <c r="AK847">
        <v>12.1127414997926</v>
      </c>
      <c r="AL847">
        <v>95.806191138984303</v>
      </c>
      <c r="AM847">
        <v>67.355583907913697</v>
      </c>
      <c r="AN847">
        <v>1.0000000080701099</v>
      </c>
    </row>
    <row r="848" spans="1:40" x14ac:dyDescent="0.25">
      <c r="A848" t="str">
        <f>"20190305135555673"</f>
        <v>20190305135555673</v>
      </c>
      <c r="B848" t="str">
        <f>"1551765355662261"</f>
        <v>1551765355662261</v>
      </c>
      <c r="C848" t="s">
        <v>40</v>
      </c>
      <c r="D848">
        <v>4.3883679999999998</v>
      </c>
      <c r="E848">
        <v>0.62602000000000002</v>
      </c>
      <c r="F848" t="s">
        <v>48</v>
      </c>
      <c r="G848">
        <v>-195.2842</v>
      </c>
      <c r="H848" s="1">
        <v>-2.7193960000000001E-6</v>
      </c>
      <c r="I848">
        <v>351.82159999999999</v>
      </c>
      <c r="J848">
        <v>-199.37700000000001</v>
      </c>
      <c r="K848">
        <v>1.0930550000000001</v>
      </c>
      <c r="L848">
        <v>363.42090000000002</v>
      </c>
      <c r="M848">
        <v>0.87472430000000001</v>
      </c>
      <c r="N848">
        <v>-1.7427519999999998E-2</v>
      </c>
      <c r="O848">
        <v>-0.4843076</v>
      </c>
      <c r="P848">
        <v>0.61380639999999997</v>
      </c>
      <c r="Q848">
        <v>-0.1009505</v>
      </c>
      <c r="R848">
        <v>-0.7829758</v>
      </c>
      <c r="S848">
        <v>1.0987549999999999</v>
      </c>
      <c r="T848">
        <v>-0.27512189999999997</v>
      </c>
      <c r="U848">
        <v>-2.9600520000000001</v>
      </c>
      <c r="V848">
        <v>0.3840401</v>
      </c>
      <c r="W848">
        <v>-0.1001256</v>
      </c>
      <c r="X848">
        <v>0.91787149999999995</v>
      </c>
      <c r="Y848">
        <v>0.65008089999999996</v>
      </c>
      <c r="Z848" s="1">
        <v>-5.2412969999999999E-5</v>
      </c>
      <c r="AA848">
        <v>0.75986500000000001</v>
      </c>
      <c r="AB848">
        <v>32</v>
      </c>
      <c r="AC848">
        <v>4.0928000000000102</v>
      </c>
      <c r="AD848">
        <v>-1.0930577193959901</v>
      </c>
      <c r="AE848">
        <v>-11.599299999999999</v>
      </c>
      <c r="AF848">
        <v>8.1012789740218203</v>
      </c>
      <c r="AG848">
        <v>-1.0930577193959901</v>
      </c>
      <c r="AH848">
        <v>9.1270209413316898</v>
      </c>
      <c r="AI848">
        <v>95.118145201586699</v>
      </c>
      <c r="AJ848">
        <v>48.407265361111001</v>
      </c>
      <c r="AK848">
        <v>12.2526734819943</v>
      </c>
      <c r="AL848">
        <v>95.746403055759899</v>
      </c>
      <c r="AM848">
        <v>67.295424156785899</v>
      </c>
      <c r="AN848">
        <v>1.0000000123477999</v>
      </c>
    </row>
    <row r="849" spans="1:40" x14ac:dyDescent="0.25">
      <c r="A849" t="str">
        <f>"20190305135555697"</f>
        <v>20190305135555697</v>
      </c>
      <c r="B849" t="str">
        <f>"1551765355692517"</f>
        <v>1551765355692517</v>
      </c>
      <c r="C849" t="s">
        <v>40</v>
      </c>
      <c r="D849">
        <v>4.4454310000000001</v>
      </c>
      <c r="E849">
        <v>0.62561679999999997</v>
      </c>
      <c r="F849" t="s">
        <v>48</v>
      </c>
      <c r="G849">
        <v>-195.0788</v>
      </c>
      <c r="H849" s="1">
        <v>-2.3447819999999999E-6</v>
      </c>
      <c r="I849">
        <v>351.28100000000001</v>
      </c>
      <c r="J849">
        <v>-199.09460000000001</v>
      </c>
      <c r="K849">
        <v>1.0929180000000001</v>
      </c>
      <c r="L849">
        <v>363.24520000000001</v>
      </c>
      <c r="M849">
        <v>0.86478960000000005</v>
      </c>
      <c r="N849">
        <v>-1.7512670000000001E-2</v>
      </c>
      <c r="O849">
        <v>-0.50182899999999997</v>
      </c>
      <c r="P849">
        <v>0.5982364</v>
      </c>
      <c r="Q849">
        <v>-9.8635490000000006E-2</v>
      </c>
      <c r="R849">
        <v>-0.79522619999999999</v>
      </c>
      <c r="S849">
        <v>1.0522609999999999</v>
      </c>
      <c r="T849">
        <v>-0.26759820000000001</v>
      </c>
      <c r="U849">
        <v>-2.9720460000000002</v>
      </c>
      <c r="V849">
        <v>0.38397300000000001</v>
      </c>
      <c r="W849">
        <v>-9.7865279999999999E-2</v>
      </c>
      <c r="X849">
        <v>0.9181433</v>
      </c>
      <c r="Y849">
        <v>0.64639040000000003</v>
      </c>
      <c r="Z849">
        <v>1.31341799999999E-3</v>
      </c>
      <c r="AA849">
        <v>0.76300570000000001</v>
      </c>
      <c r="AB849">
        <v>32</v>
      </c>
      <c r="AC849">
        <v>4.0158000000000103</v>
      </c>
      <c r="AD849">
        <v>-1.092920344782</v>
      </c>
      <c r="AE849">
        <v>-11.9642</v>
      </c>
      <c r="AF849">
        <v>8.2705215192064596</v>
      </c>
      <c r="AG849">
        <v>-1.092920344782</v>
      </c>
      <c r="AH849">
        <v>9.4077023682608392</v>
      </c>
      <c r="AI849">
        <v>94.986460702621201</v>
      </c>
      <c r="AJ849">
        <v>48.680574275492397</v>
      </c>
      <c r="AK849">
        <v>12.573816641317601</v>
      </c>
      <c r="AL849">
        <v>95.616257017690103</v>
      </c>
      <c r="AM849">
        <v>67.3050277389558</v>
      </c>
      <c r="AN849">
        <v>0.99999999854668398</v>
      </c>
    </row>
    <row r="850" spans="1:40" x14ac:dyDescent="0.25">
      <c r="A850" t="str">
        <f>"20190305135555719"</f>
        <v>20190305135555719</v>
      </c>
      <c r="B850" t="str">
        <f>"1551765355713013"</f>
        <v>1551765355713013</v>
      </c>
      <c r="C850" t="s">
        <v>40</v>
      </c>
      <c r="D850">
        <v>4.5328400000000002</v>
      </c>
      <c r="E850">
        <v>0.62971899999999903</v>
      </c>
      <c r="F850" t="s">
        <v>42</v>
      </c>
      <c r="G850">
        <v>-194.53729999999999</v>
      </c>
      <c r="H850" s="1">
        <v>-5.0959340000000003E-6</v>
      </c>
      <c r="I850">
        <v>349.59640000000002</v>
      </c>
      <c r="J850">
        <v>-198.81030000000001</v>
      </c>
      <c r="K850">
        <v>1.092792</v>
      </c>
      <c r="L850">
        <v>363.06009999999998</v>
      </c>
      <c r="M850">
        <v>0.85417710000000002</v>
      </c>
      <c r="N850">
        <v>-1.7595840000000001E-2</v>
      </c>
      <c r="O850">
        <v>-0.51968440000000005</v>
      </c>
      <c r="P850">
        <v>0.58296429999999999</v>
      </c>
      <c r="Q850">
        <v>-9.5921220000000001E-2</v>
      </c>
      <c r="R850">
        <v>-0.80681590000000003</v>
      </c>
      <c r="S850">
        <v>0.99882510000000002</v>
      </c>
      <c r="T850">
        <v>-0.2395349</v>
      </c>
      <c r="U850">
        <v>-2.9913940000000001</v>
      </c>
      <c r="V850">
        <v>0.3827681</v>
      </c>
      <c r="W850">
        <v>-9.5143690000000003E-2</v>
      </c>
      <c r="X850">
        <v>0.91893210000000003</v>
      </c>
      <c r="Y850">
        <v>0.64452390000000004</v>
      </c>
      <c r="Z850">
        <v>1.118207E-3</v>
      </c>
      <c r="AA850">
        <v>0.76458329999999997</v>
      </c>
      <c r="AB850">
        <v>32</v>
      </c>
      <c r="AC850">
        <v>4.2730000000000201</v>
      </c>
      <c r="AD850">
        <v>-1.0927970959340001</v>
      </c>
      <c r="AE850">
        <v>-13.4636999999999</v>
      </c>
      <c r="AF850">
        <v>9.2259911714339307</v>
      </c>
      <c r="AG850">
        <v>-1.0927970959340001</v>
      </c>
      <c r="AH850">
        <v>10.585069441686301</v>
      </c>
      <c r="AI850">
        <v>94.450157131548295</v>
      </c>
      <c r="AJ850">
        <v>48.924455986651601</v>
      </c>
      <c r="AK850">
        <v>14.0839203943213</v>
      </c>
      <c r="AL850">
        <v>95.459590255852206</v>
      </c>
      <c r="AM850">
        <v>67.386525194452503</v>
      </c>
      <c r="AN850">
        <v>0.99999997226741699</v>
      </c>
    </row>
    <row r="851" spans="1:40" x14ac:dyDescent="0.25">
      <c r="A851" t="str">
        <f>"20190305135555742"</f>
        <v>20190305135555742</v>
      </c>
      <c r="B851" t="str">
        <f>"1551765355732537"</f>
        <v>1551765355732537</v>
      </c>
      <c r="C851" t="s">
        <v>40</v>
      </c>
      <c r="D851">
        <v>4.3581190000000003</v>
      </c>
      <c r="E851">
        <v>0.68753260000000005</v>
      </c>
      <c r="F851" t="s">
        <v>42</v>
      </c>
      <c r="G851">
        <v>-194.2415</v>
      </c>
      <c r="H851" s="1">
        <v>-4.4824209999999996E-6</v>
      </c>
      <c r="I851">
        <v>347.9477</v>
      </c>
      <c r="J851">
        <v>-198.548</v>
      </c>
      <c r="K851">
        <v>1.092668</v>
      </c>
      <c r="L851">
        <v>362.88170000000002</v>
      </c>
      <c r="M851">
        <v>0.84381679999999903</v>
      </c>
      <c r="N851">
        <v>-1.7669890000000001E-2</v>
      </c>
      <c r="O851">
        <v>-0.53634059999999995</v>
      </c>
      <c r="P851">
        <v>0.56930909999999901</v>
      </c>
      <c r="Q851">
        <v>-9.4238950000000002E-2</v>
      </c>
      <c r="R851">
        <v>-0.816704599999999</v>
      </c>
      <c r="S851">
        <v>0.91613770000000005</v>
      </c>
      <c r="T851">
        <v>-0.21912980000000001</v>
      </c>
      <c r="U851">
        <v>-3.0303650000000002</v>
      </c>
      <c r="V851">
        <v>0.38041249999999999</v>
      </c>
      <c r="W851">
        <v>-9.3391580000000002E-2</v>
      </c>
      <c r="X851">
        <v>0.9200893</v>
      </c>
      <c r="Y851">
        <v>0.65155669999999899</v>
      </c>
      <c r="Z851">
        <v>4.6449149999999999E-4</v>
      </c>
      <c r="AA851">
        <v>0.75859989999999999</v>
      </c>
      <c r="AB851">
        <v>32</v>
      </c>
      <c r="AC851">
        <v>4.3064999999999998</v>
      </c>
      <c r="AD851">
        <v>-1.0926724824209999</v>
      </c>
      <c r="AE851">
        <v>-14.933999999999999</v>
      </c>
      <c r="AF851">
        <v>10.2427912283616</v>
      </c>
      <c r="AG851">
        <v>-1.0926724824209999</v>
      </c>
      <c r="AH851">
        <v>11.5881511243772</v>
      </c>
      <c r="AI851">
        <v>94.041206276051</v>
      </c>
      <c r="AJ851">
        <v>48.526466334029202</v>
      </c>
      <c r="AK851">
        <v>15.504642910529901</v>
      </c>
      <c r="AL851">
        <v>95.358752602699298</v>
      </c>
      <c r="AM851">
        <v>67.537268132932496</v>
      </c>
      <c r="AN851">
        <v>0.99999998867281803</v>
      </c>
    </row>
    <row r="852" spans="1:40" x14ac:dyDescent="0.25">
      <c r="A852" t="str">
        <f>"20190305135555763"</f>
        <v>20190305135555763</v>
      </c>
      <c r="B852" t="str">
        <f>"1551765355753032"</f>
        <v>1551765355753032</v>
      </c>
      <c r="C852" t="s">
        <v>40</v>
      </c>
      <c r="D852">
        <v>4.4043939999999999</v>
      </c>
      <c r="E852">
        <v>0.68423299999999998</v>
      </c>
      <c r="F852" t="s">
        <v>42</v>
      </c>
      <c r="G852">
        <v>-196.5352</v>
      </c>
      <c r="H852" s="1">
        <v>-5.2471869999999998E-6</v>
      </c>
      <c r="I852">
        <v>348.99950000000001</v>
      </c>
      <c r="J852">
        <v>-198.29480000000001</v>
      </c>
      <c r="K852">
        <v>1.092551</v>
      </c>
      <c r="L852">
        <v>362.7022</v>
      </c>
      <c r="M852">
        <v>0.83326599999999995</v>
      </c>
      <c r="N852">
        <v>-1.7739120000000001E-2</v>
      </c>
      <c r="O852">
        <v>-0.55258750000000001</v>
      </c>
      <c r="P852">
        <v>0.55680390000000002</v>
      </c>
      <c r="Q852">
        <v>-9.3944150000000004E-2</v>
      </c>
      <c r="R852">
        <v>-0.8253142</v>
      </c>
      <c r="S852">
        <v>0.4797363</v>
      </c>
      <c r="T852">
        <v>-0.26043129999999998</v>
      </c>
      <c r="U852">
        <v>-3.3087460000000002</v>
      </c>
      <c r="V852">
        <v>0.37662390000000001</v>
      </c>
      <c r="W852">
        <v>-9.2954499999999995E-2</v>
      </c>
      <c r="X852">
        <v>0.92169080000000003</v>
      </c>
      <c r="Y852">
        <v>0.74404979999999998</v>
      </c>
      <c r="Z852">
        <v>-2.3238120000000002E-3</v>
      </c>
      <c r="AA852">
        <v>0.66812009999999999</v>
      </c>
      <c r="AB852">
        <v>31</v>
      </c>
      <c r="AC852">
        <v>1.7596000000000001</v>
      </c>
      <c r="AD852">
        <v>-1.0925562471870001</v>
      </c>
      <c r="AE852">
        <v>-13.702699999999901</v>
      </c>
      <c r="AF852">
        <v>10.3823722257395</v>
      </c>
      <c r="AG852">
        <v>-1.0925562471870001</v>
      </c>
      <c r="AH852">
        <v>8.9833946449205104</v>
      </c>
      <c r="AI852">
        <v>94.549904055956603</v>
      </c>
      <c r="AJ852">
        <v>40.868146408132397</v>
      </c>
      <c r="AK852">
        <v>13.772752503891899</v>
      </c>
      <c r="AL852">
        <v>95.333600202874294</v>
      </c>
      <c r="AM852">
        <v>67.773954389701203</v>
      </c>
      <c r="AN852">
        <v>1.00000001596305</v>
      </c>
    </row>
    <row r="853" spans="1:40" x14ac:dyDescent="0.25">
      <c r="A853" t="str">
        <f>"20190305135555785"</f>
        <v>20190305135555785</v>
      </c>
      <c r="B853" t="str">
        <f>"1551765355782310"</f>
        <v>1551765355782310</v>
      </c>
      <c r="C853" t="s">
        <v>40</v>
      </c>
      <c r="D853">
        <v>4.4047429999999999</v>
      </c>
      <c r="E853">
        <v>0.6810195</v>
      </c>
      <c r="F853" t="s">
        <v>42</v>
      </c>
      <c r="G853">
        <v>-195.51429999999999</v>
      </c>
      <c r="H853" s="1">
        <v>-2.8242680000000002E-6</v>
      </c>
      <c r="I853">
        <v>342.7525</v>
      </c>
      <c r="J853">
        <v>-198.04570000000001</v>
      </c>
      <c r="K853">
        <v>1.0924400000000001</v>
      </c>
      <c r="L853">
        <v>362.51819999999998</v>
      </c>
      <c r="M853">
        <v>0.82233880000000004</v>
      </c>
      <c r="N853">
        <v>-1.7805040000000001E-2</v>
      </c>
      <c r="O853">
        <v>-0.56871959999999999</v>
      </c>
      <c r="P853">
        <v>0.54402169999999905</v>
      </c>
      <c r="Q853">
        <v>-9.5315220000000006E-2</v>
      </c>
      <c r="R853">
        <v>-0.8336401</v>
      </c>
      <c r="S853">
        <v>0.4604645</v>
      </c>
      <c r="T853">
        <v>-0.1809307</v>
      </c>
      <c r="U853">
        <v>-3.303741</v>
      </c>
      <c r="V853">
        <v>0.37266660000000001</v>
      </c>
      <c r="W853">
        <v>-9.4172539999999999E-2</v>
      </c>
      <c r="X853">
        <v>0.92317450000000001</v>
      </c>
      <c r="Y853">
        <v>0.73520949999999996</v>
      </c>
      <c r="Z853">
        <v>-5.2506059999999997E-3</v>
      </c>
      <c r="AA853">
        <v>0.67781959999999997</v>
      </c>
      <c r="AB853">
        <v>31</v>
      </c>
      <c r="AC853">
        <v>2.5314000000000099</v>
      </c>
      <c r="AD853">
        <v>-1.09244282426799</v>
      </c>
      <c r="AE853">
        <v>-19.765699999999899</v>
      </c>
      <c r="AF853">
        <v>14.7723957453835</v>
      </c>
      <c r="AG853">
        <v>-1.09244282426799</v>
      </c>
      <c r="AH853">
        <v>13.284993832532701</v>
      </c>
      <c r="AI853">
        <v>93.147331944548995</v>
      </c>
      <c r="AJ853">
        <v>41.965428610926701</v>
      </c>
      <c r="AK853">
        <v>19.897441255421601</v>
      </c>
      <c r="AL853">
        <v>95.403696280631607</v>
      </c>
      <c r="AM853">
        <v>68.017081293822898</v>
      </c>
      <c r="AN853">
        <v>1.00000000974793</v>
      </c>
    </row>
    <row r="854" spans="1:40" x14ac:dyDescent="0.25">
      <c r="A854" t="str">
        <f>"20190305135555808"</f>
        <v>20190305135555808</v>
      </c>
      <c r="B854" t="str">
        <f>"1551765355802806"</f>
        <v>1551765355802806</v>
      </c>
      <c r="C854" t="s">
        <v>40</v>
      </c>
      <c r="D854">
        <v>4.47098</v>
      </c>
      <c r="E854">
        <v>0.67997059999999998</v>
      </c>
      <c r="F854" t="s">
        <v>42</v>
      </c>
      <c r="G854">
        <v>-195.67500000000001</v>
      </c>
      <c r="H854" s="1">
        <v>-3.5062110000000001E-6</v>
      </c>
      <c r="I854">
        <v>344.33179999999999</v>
      </c>
      <c r="J854">
        <v>-197.77529999999999</v>
      </c>
      <c r="K854">
        <v>1.0923229999999999</v>
      </c>
      <c r="L854">
        <v>362.3098</v>
      </c>
      <c r="M854">
        <v>0.80982659999999995</v>
      </c>
      <c r="N854">
        <v>-1.787391E-2</v>
      </c>
      <c r="O854">
        <v>-0.58639719999999995</v>
      </c>
      <c r="P854">
        <v>0.53057619999999905</v>
      </c>
      <c r="Q854">
        <v>-9.8009200000000005E-2</v>
      </c>
      <c r="R854">
        <v>-0.84195219999999904</v>
      </c>
      <c r="S854">
        <v>0.42961120000000003</v>
      </c>
      <c r="T854">
        <v>-0.19797029999999999</v>
      </c>
      <c r="U854">
        <v>-3.2956850000000002</v>
      </c>
      <c r="V854">
        <v>0.36710900000000002</v>
      </c>
      <c r="W854">
        <v>-9.6635860000000004E-2</v>
      </c>
      <c r="X854">
        <v>0.92514459999999998</v>
      </c>
      <c r="Y854">
        <v>0.726414</v>
      </c>
      <c r="Z854">
        <v>-2.5653579999999998E-3</v>
      </c>
      <c r="AA854">
        <v>0.68725259999999999</v>
      </c>
      <c r="AB854">
        <v>31</v>
      </c>
      <c r="AC854">
        <v>2.1002999999999701</v>
      </c>
      <c r="AD854">
        <v>-1.0923265062109999</v>
      </c>
      <c r="AE854">
        <v>-17.978000000000002</v>
      </c>
      <c r="AF854">
        <v>13.2812105533179</v>
      </c>
      <c r="AG854">
        <v>-1.0923265062109999</v>
      </c>
      <c r="AH854">
        <v>12.200647909867699</v>
      </c>
      <c r="AI854">
        <v>93.466080522892895</v>
      </c>
      <c r="AJ854">
        <v>42.571817251461098</v>
      </c>
      <c r="AK854">
        <v>18.0676379302413</v>
      </c>
      <c r="AL854">
        <v>95.545480837754695</v>
      </c>
      <c r="AM854">
        <v>68.356200140600194</v>
      </c>
      <c r="AN854">
        <v>1.0000000191140399</v>
      </c>
    </row>
    <row r="855" spans="1:40" x14ac:dyDescent="0.25">
      <c r="A855" t="str">
        <f>"20190305135555843"</f>
        <v>20190305135555843</v>
      </c>
      <c r="B855" t="str">
        <f>"1551765355833061"</f>
        <v>1551765355833061</v>
      </c>
      <c r="C855" t="s">
        <v>40</v>
      </c>
      <c r="D855">
        <v>4.4626799999999998</v>
      </c>
      <c r="E855">
        <v>0.67834539999999999</v>
      </c>
      <c r="F855" t="s">
        <v>42</v>
      </c>
      <c r="G855">
        <v>-195.78100000000001</v>
      </c>
      <c r="H855" s="1">
        <v>-3.8111429999999999E-6</v>
      </c>
      <c r="I855">
        <v>345.17270000000002</v>
      </c>
      <c r="J855">
        <v>-197.39109999999999</v>
      </c>
      <c r="K855">
        <v>1.0921689999999999</v>
      </c>
      <c r="L855">
        <v>361.99579999999997</v>
      </c>
      <c r="M855">
        <v>0.79076950000000001</v>
      </c>
      <c r="N855">
        <v>-1.7966099999999999E-2</v>
      </c>
      <c r="O855">
        <v>-0.61185040000000002</v>
      </c>
      <c r="P855">
        <v>0.50863859999999905</v>
      </c>
      <c r="Q855">
        <v>-0.101787</v>
      </c>
      <c r="R855">
        <v>-0.85494210000000004</v>
      </c>
      <c r="S855">
        <v>0.38366699999999998</v>
      </c>
      <c r="T855">
        <v>-0.21014450000000001</v>
      </c>
      <c r="U855">
        <v>-3.296875</v>
      </c>
      <c r="V855">
        <v>0.36107719999999999</v>
      </c>
      <c r="W855">
        <v>-0.1001615</v>
      </c>
      <c r="X855">
        <v>0.92714129999999995</v>
      </c>
      <c r="Y855">
        <v>0.71390279999999995</v>
      </c>
      <c r="Z855">
        <v>7.4175749999999996E-4</v>
      </c>
      <c r="AA855">
        <v>0.70024449999999905</v>
      </c>
      <c r="AB855">
        <v>31</v>
      </c>
      <c r="AC855">
        <v>1.6101000000000101</v>
      </c>
      <c r="AD855">
        <v>-1.092172811143</v>
      </c>
      <c r="AE855">
        <v>-16.823099999999901</v>
      </c>
      <c r="AF855">
        <v>12.2688015247995</v>
      </c>
      <c r="AG855">
        <v>-1.092172811143</v>
      </c>
      <c r="AH855">
        <v>11.5201911753087</v>
      </c>
      <c r="AI855">
        <v>93.713038465333497</v>
      </c>
      <c r="AJ855">
        <v>43.197567085381003</v>
      </c>
      <c r="AK855">
        <v>16.865086333013</v>
      </c>
      <c r="AL855">
        <v>95.748470263024103</v>
      </c>
      <c r="AM855">
        <v>68.721465424199394</v>
      </c>
      <c r="AN855">
        <v>1.0000000303038801</v>
      </c>
    </row>
    <row r="856" spans="1:40" x14ac:dyDescent="0.25">
      <c r="A856" t="str">
        <f>"20190305135555864"</f>
        <v>20190305135555864</v>
      </c>
      <c r="B856" t="str">
        <f>"1551765355852584"</f>
        <v>1551765355852584</v>
      </c>
      <c r="C856" t="s">
        <v>40</v>
      </c>
      <c r="D856">
        <v>4.452947</v>
      </c>
      <c r="E856">
        <v>0.67712069999999902</v>
      </c>
      <c r="F856" t="s">
        <v>42</v>
      </c>
      <c r="G856">
        <v>-195.93360000000001</v>
      </c>
      <c r="H856" s="1">
        <v>-4.2590920000000002E-6</v>
      </c>
      <c r="I856">
        <v>346.40940000000001</v>
      </c>
      <c r="J856">
        <v>-197.17080000000001</v>
      </c>
      <c r="K856">
        <v>1.0921000000000001</v>
      </c>
      <c r="L856">
        <v>361.8064</v>
      </c>
      <c r="M856">
        <v>0.77914989999999995</v>
      </c>
      <c r="N856">
        <v>-1.8015110000000001E-2</v>
      </c>
      <c r="O856">
        <v>-0.62657879999999999</v>
      </c>
      <c r="P856">
        <v>0.49521340000000003</v>
      </c>
      <c r="Q856">
        <v>-0.10408829999999999</v>
      </c>
      <c r="R856">
        <v>-0.86251339999999999</v>
      </c>
      <c r="S856">
        <v>0.30839539999999999</v>
      </c>
      <c r="T856">
        <v>-0.23109730000000001</v>
      </c>
      <c r="U856">
        <v>-3.297974</v>
      </c>
      <c r="V856">
        <v>0.35785670000000003</v>
      </c>
      <c r="W856">
        <v>-0.1023244</v>
      </c>
      <c r="X856">
        <v>0.92815320000000001</v>
      </c>
      <c r="Y856">
        <v>0.71648540000000005</v>
      </c>
      <c r="Z856">
        <v>3.5380009999999998E-3</v>
      </c>
      <c r="AA856">
        <v>0.69759309999999997</v>
      </c>
      <c r="AB856">
        <v>31</v>
      </c>
      <c r="AC856">
        <v>1.2372000000000001</v>
      </c>
      <c r="AD856">
        <v>-1.092104259092</v>
      </c>
      <c r="AE856">
        <v>-15.396999999999901</v>
      </c>
      <c r="AF856">
        <v>11.1673656927558</v>
      </c>
      <c r="AG856">
        <v>-1.092104259092</v>
      </c>
      <c r="AH856">
        <v>10.560331448965799</v>
      </c>
      <c r="AI856">
        <v>94.064333188477505</v>
      </c>
      <c r="AJ856">
        <v>43.399671399697098</v>
      </c>
      <c r="AK856">
        <v>15.4085479049936</v>
      </c>
      <c r="AL856">
        <v>95.873035367118106</v>
      </c>
      <c r="AM856">
        <v>68.915466025741594</v>
      </c>
      <c r="AN856">
        <v>1.00000003162024</v>
      </c>
    </row>
    <row r="857" spans="1:40" x14ac:dyDescent="0.25">
      <c r="A857" t="str">
        <f>"20190305135555888"</f>
        <v>20190305135555888</v>
      </c>
      <c r="B857" t="str">
        <f>"1551765355882837"</f>
        <v>1551765355882837</v>
      </c>
      <c r="C857" t="s">
        <v>40</v>
      </c>
      <c r="D857">
        <v>4.4469180000000001</v>
      </c>
      <c r="E857">
        <v>0.67562119999999903</v>
      </c>
      <c r="F857" t="s">
        <v>42</v>
      </c>
      <c r="G857">
        <v>-195.9598</v>
      </c>
      <c r="H857" s="1">
        <v>-4.3834269999999999E-6</v>
      </c>
      <c r="I857">
        <v>346.7611</v>
      </c>
      <c r="J857">
        <v>-196.91499999999999</v>
      </c>
      <c r="K857">
        <v>1.0920589999999999</v>
      </c>
      <c r="L857">
        <v>361.57749999999999</v>
      </c>
      <c r="M857">
        <v>0.7649918</v>
      </c>
      <c r="N857">
        <v>-1.8067739999999999E-2</v>
      </c>
      <c r="O857">
        <v>-0.64378659999999999</v>
      </c>
      <c r="P857">
        <v>0.47781380000000001</v>
      </c>
      <c r="Q857">
        <v>-0.10585360000000001</v>
      </c>
      <c r="R857">
        <v>-0.87206030000000001</v>
      </c>
      <c r="S857">
        <v>0.26536559999999998</v>
      </c>
      <c r="T857">
        <v>-0.23932290000000001</v>
      </c>
      <c r="U857">
        <v>-3.2969970000000002</v>
      </c>
      <c r="V857">
        <v>0.35554330000000001</v>
      </c>
      <c r="W857">
        <v>-0.103990899999999</v>
      </c>
      <c r="X857">
        <v>0.92885669999999998</v>
      </c>
      <c r="Y857">
        <v>0.70992279999999996</v>
      </c>
      <c r="Z857">
        <v>6.1083789999999997E-3</v>
      </c>
      <c r="AA857">
        <v>0.70425300000000002</v>
      </c>
      <c r="AB857">
        <v>31</v>
      </c>
      <c r="AC857">
        <v>0.95519999999998995</v>
      </c>
      <c r="AD857">
        <v>-1.0920633834269999</v>
      </c>
      <c r="AE857">
        <v>-14.8163999999999</v>
      </c>
      <c r="AF857">
        <v>10.663537877141399</v>
      </c>
      <c r="AG857">
        <v>-1.0920633834269999</v>
      </c>
      <c r="AH857">
        <v>10.2157275240804</v>
      </c>
      <c r="AI857">
        <v>94.229417617492203</v>
      </c>
      <c r="AJ857">
        <v>43.771330807228502</v>
      </c>
      <c r="AK857">
        <v>14.8075903285074</v>
      </c>
      <c r="AL857">
        <v>95.969031371930996</v>
      </c>
      <c r="AM857">
        <v>69.054393902118207</v>
      </c>
      <c r="AN857">
        <v>0.99999995729629398</v>
      </c>
    </row>
    <row r="858" spans="1:40" x14ac:dyDescent="0.25">
      <c r="A858" t="str">
        <f>"20190305135555913"</f>
        <v>20190305135555913</v>
      </c>
      <c r="B858" t="str">
        <f>"1551765355902357"</f>
        <v>1551765355902357</v>
      </c>
      <c r="C858" t="s">
        <v>40</v>
      </c>
      <c r="D858">
        <v>4.469252</v>
      </c>
      <c r="E858">
        <v>0.67459789999999997</v>
      </c>
      <c r="F858" t="s">
        <v>42</v>
      </c>
      <c r="G858">
        <v>-195.96019999999999</v>
      </c>
      <c r="H858" s="1">
        <v>-4.3381019999999997E-6</v>
      </c>
      <c r="I858">
        <v>346.6277</v>
      </c>
      <c r="J858">
        <v>-196.66220000000001</v>
      </c>
      <c r="K858">
        <v>1.0920209999999999</v>
      </c>
      <c r="L858">
        <v>361.34030000000001</v>
      </c>
      <c r="M858">
        <v>0.75021369999999998</v>
      </c>
      <c r="N858">
        <v>-1.811451E-2</v>
      </c>
      <c r="O858">
        <v>-0.66094759999999997</v>
      </c>
      <c r="P858">
        <v>0.45989829999999998</v>
      </c>
      <c r="Q858">
        <v>-0.1065411</v>
      </c>
      <c r="R858">
        <v>-0.88155709999999998</v>
      </c>
      <c r="S858">
        <v>0.21047969999999999</v>
      </c>
      <c r="T858">
        <v>-0.2407416</v>
      </c>
      <c r="U858">
        <v>-3.2956240000000001</v>
      </c>
      <c r="V858">
        <v>0.35338340000000001</v>
      </c>
      <c r="W858">
        <v>-0.1045797</v>
      </c>
      <c r="X858">
        <v>0.92961459999999996</v>
      </c>
      <c r="Y858">
        <v>0.7056308</v>
      </c>
      <c r="Z858">
        <v>7.9815949999999993E-3</v>
      </c>
      <c r="AA858">
        <v>0.70853469999999996</v>
      </c>
      <c r="AB858">
        <v>31</v>
      </c>
      <c r="AC858">
        <v>0.70200000000002605</v>
      </c>
      <c r="AD858">
        <v>-1.092025338102</v>
      </c>
      <c r="AE858">
        <v>-14.7126</v>
      </c>
      <c r="AF858">
        <v>10.5175303432998</v>
      </c>
      <c r="AG858">
        <v>-1.092025338102</v>
      </c>
      <c r="AH858">
        <v>10.196540641208999</v>
      </c>
      <c r="AI858">
        <v>94.263342105961499</v>
      </c>
      <c r="AJ858">
        <v>44.112203327827501</v>
      </c>
      <c r="AK858">
        <v>14.6894657802494</v>
      </c>
      <c r="AL858">
        <v>96.002951689572896</v>
      </c>
      <c r="AM858">
        <v>69.186215877520496</v>
      </c>
      <c r="AN858">
        <v>1.0000000227904</v>
      </c>
    </row>
    <row r="859" spans="1:40" x14ac:dyDescent="0.25">
      <c r="A859" t="str">
        <f>"20190305135555932"</f>
        <v>20190305135555932</v>
      </c>
      <c r="B859" t="str">
        <f>"1551765355922853"</f>
        <v>1551765355922853</v>
      </c>
      <c r="C859" t="s">
        <v>40</v>
      </c>
      <c r="D859">
        <v>4.4430809999999896</v>
      </c>
      <c r="E859">
        <v>0.6739098</v>
      </c>
      <c r="F859" t="s">
        <v>42</v>
      </c>
      <c r="G859">
        <v>-195.98750000000001</v>
      </c>
      <c r="H859" s="1">
        <v>-4.3086980000000003E-6</v>
      </c>
      <c r="I859">
        <v>346.52719999999999</v>
      </c>
      <c r="J859">
        <v>-196.45650000000001</v>
      </c>
      <c r="K859">
        <v>1.0920099999999999</v>
      </c>
      <c r="L859">
        <v>361.13889999999998</v>
      </c>
      <c r="M859">
        <v>0.73759169999999996</v>
      </c>
      <c r="N859">
        <v>-1.8148959999999999E-2</v>
      </c>
      <c r="O859">
        <v>-0.67500309999999997</v>
      </c>
      <c r="P859">
        <v>0.44454579999999999</v>
      </c>
      <c r="Q859">
        <v>-0.1064063</v>
      </c>
      <c r="R859">
        <v>-0.88941380000000003</v>
      </c>
      <c r="S859">
        <v>0.150116</v>
      </c>
      <c r="T859">
        <v>-0.2429403</v>
      </c>
      <c r="U859">
        <v>-3.2954409999999998</v>
      </c>
      <c r="V859">
        <v>0.35194930000000002</v>
      </c>
      <c r="W859">
        <v>-0.10437589999999999</v>
      </c>
      <c r="X859">
        <v>0.93018140000000005</v>
      </c>
      <c r="Y859">
        <v>0.70518859999999906</v>
      </c>
      <c r="Z859">
        <v>9.4896330000000008E-3</v>
      </c>
      <c r="AA859">
        <v>0.70895629999999998</v>
      </c>
      <c r="AB859">
        <v>31</v>
      </c>
      <c r="AC859">
        <v>0.46899999999999398</v>
      </c>
      <c r="AD859">
        <v>-1.0920143086980001</v>
      </c>
      <c r="AE859">
        <v>-14.6116999999999</v>
      </c>
      <c r="AF859">
        <v>10.404561052360201</v>
      </c>
      <c r="AG859">
        <v>-1.0920143086980001</v>
      </c>
      <c r="AH859">
        <v>10.153899270140499</v>
      </c>
      <c r="AI859">
        <v>94.295644240857698</v>
      </c>
      <c r="AJ859">
        <v>44.301448145196197</v>
      </c>
      <c r="AK859">
        <v>14.579062258281599</v>
      </c>
      <c r="AL859">
        <v>95.991210464304501</v>
      </c>
      <c r="AM859">
        <v>69.275046217683993</v>
      </c>
      <c r="AN859">
        <v>1.00000003758862</v>
      </c>
    </row>
    <row r="860" spans="1:40" x14ac:dyDescent="0.25">
      <c r="A860" t="str">
        <f>"20190305135555954"</f>
        <v>20190305135555954</v>
      </c>
      <c r="B860" t="str">
        <f>"1551765355942373"</f>
        <v>1551765355942373</v>
      </c>
      <c r="C860" t="s">
        <v>40</v>
      </c>
      <c r="D860">
        <v>4.4244690000000002</v>
      </c>
      <c r="E860">
        <v>0.67300360000000004</v>
      </c>
      <c r="F860" t="s">
        <v>42</v>
      </c>
      <c r="G860">
        <v>-195.96960000000001</v>
      </c>
      <c r="H860" s="1">
        <v>-3.8277910000000004E-6</v>
      </c>
      <c r="I860">
        <v>345.12329999999997</v>
      </c>
      <c r="J860">
        <v>-196.24529999999999</v>
      </c>
      <c r="K860">
        <v>1.092012</v>
      </c>
      <c r="L860">
        <v>360.9237</v>
      </c>
      <c r="M860">
        <v>0.72402670000000002</v>
      </c>
      <c r="N860">
        <v>-1.818084E-2</v>
      </c>
      <c r="O860">
        <v>-0.68953240000000005</v>
      </c>
      <c r="P860">
        <v>0.42866179999999898</v>
      </c>
      <c r="Q860">
        <v>-0.1058534</v>
      </c>
      <c r="R860">
        <v>-0.89724280000000001</v>
      </c>
      <c r="S860">
        <v>0.10021969999999999</v>
      </c>
      <c r="T860">
        <v>-0.2247411</v>
      </c>
      <c r="U860">
        <v>-3.2960820000000002</v>
      </c>
      <c r="V860">
        <v>0.3500644</v>
      </c>
      <c r="W860">
        <v>-0.103728399999999</v>
      </c>
      <c r="X860">
        <v>0.93096480000000004</v>
      </c>
      <c r="Y860">
        <v>0.70192809999999894</v>
      </c>
      <c r="Z860">
        <v>8.8052019999999998E-3</v>
      </c>
      <c r="AA860">
        <v>0.71219339999999998</v>
      </c>
      <c r="AB860">
        <v>31</v>
      </c>
      <c r="AC860">
        <v>0.27569999999997202</v>
      </c>
      <c r="AD860">
        <v>-1.0920158277909999</v>
      </c>
      <c r="AE860">
        <v>-15.8004</v>
      </c>
      <c r="AF860">
        <v>11.198193000124</v>
      </c>
      <c r="AG860">
        <v>-1.0920158277909999</v>
      </c>
      <c r="AH860">
        <v>11.0436000516289</v>
      </c>
      <c r="AI860">
        <v>93.971822537774699</v>
      </c>
      <c r="AJ860">
        <v>44.601768578719103</v>
      </c>
      <c r="AK860">
        <v>15.765567770826101</v>
      </c>
      <c r="AL860">
        <v>95.953908823689204</v>
      </c>
      <c r="AM860">
        <v>69.392572796228606</v>
      </c>
      <c r="AN860">
        <v>1.00000006197647</v>
      </c>
    </row>
    <row r="861" spans="1:40" x14ac:dyDescent="0.25">
      <c r="A861" t="str">
        <f>"20190305135555977"</f>
        <v>20190305135555977</v>
      </c>
      <c r="B861" t="str">
        <f>"1551765355972630"</f>
        <v>1551765355972630</v>
      </c>
      <c r="C861" t="s">
        <v>40</v>
      </c>
      <c r="D861">
        <v>4.4394869999999997</v>
      </c>
      <c r="E861">
        <v>0.67131470000000004</v>
      </c>
      <c r="F861" t="s">
        <v>42</v>
      </c>
      <c r="G861">
        <v>-196.00819999999999</v>
      </c>
      <c r="H861" s="1">
        <v>-3.7094189999999999E-6</v>
      </c>
      <c r="I861">
        <v>344.75529999999998</v>
      </c>
      <c r="J861">
        <v>-196.02099999999999</v>
      </c>
      <c r="K861">
        <v>1.0920080000000001</v>
      </c>
      <c r="L861">
        <v>360.68540000000002</v>
      </c>
      <c r="M861">
        <v>0.70892010000000005</v>
      </c>
      <c r="N861">
        <v>-1.8210790000000001E-2</v>
      </c>
      <c r="O861">
        <v>-0.70505369999999901</v>
      </c>
      <c r="P861">
        <v>0.41124080000000002</v>
      </c>
      <c r="Q861">
        <v>-0.1047893</v>
      </c>
      <c r="R861">
        <v>-0.90548360000000006</v>
      </c>
      <c r="S861">
        <v>4.8294070000000001E-2</v>
      </c>
      <c r="T861">
        <v>-0.2224942</v>
      </c>
      <c r="U861">
        <v>-3.2942499999999999</v>
      </c>
      <c r="V861">
        <v>0.34802240000000001</v>
      </c>
      <c r="W861">
        <v>-0.10255839999999899</v>
      </c>
      <c r="X861">
        <v>0.93185949999999995</v>
      </c>
      <c r="Y861">
        <v>0.69773409999999902</v>
      </c>
      <c r="Z861">
        <v>1.003574E-2</v>
      </c>
      <c r="AA861">
        <v>0.7162866</v>
      </c>
      <c r="AB861">
        <v>31</v>
      </c>
      <c r="AC861">
        <v>1.27999999999985E-2</v>
      </c>
      <c r="AD861">
        <v>-1.0920117094190001</v>
      </c>
      <c r="AE861">
        <v>-15.930099999999999</v>
      </c>
      <c r="AF861">
        <v>11.2332282345153</v>
      </c>
      <c r="AG861">
        <v>-1.0920117094190001</v>
      </c>
      <c r="AH861">
        <v>11.1899312064387</v>
      </c>
      <c r="AI861">
        <v>93.939871354303094</v>
      </c>
      <c r="AJ861">
        <v>44.889367334798301</v>
      </c>
      <c r="AK861">
        <v>15.893157853210001</v>
      </c>
      <c r="AL861">
        <v>95.886513839004493</v>
      </c>
      <c r="AM861">
        <v>69.520803321744197</v>
      </c>
      <c r="AN861">
        <v>0.99999997202628399</v>
      </c>
    </row>
    <row r="862" spans="1:40" x14ac:dyDescent="0.25">
      <c r="A862" t="str">
        <f>"20190305135555999"</f>
        <v>20190305135555999</v>
      </c>
      <c r="B862" t="str">
        <f>"1551765355992149"</f>
        <v>1551765355992149</v>
      </c>
      <c r="C862" t="s">
        <v>40</v>
      </c>
      <c r="D862">
        <v>4.4361800000000002</v>
      </c>
      <c r="E862">
        <v>0.67051769999999999</v>
      </c>
      <c r="F862" t="s">
        <v>42</v>
      </c>
      <c r="G862">
        <v>-196.03620000000001</v>
      </c>
      <c r="H862" s="1">
        <v>-3.5349190000000001E-6</v>
      </c>
      <c r="I862">
        <v>344.22800000000001</v>
      </c>
      <c r="J862">
        <v>-195.81030000000001</v>
      </c>
      <c r="K862">
        <v>1.0920019999999999</v>
      </c>
      <c r="L862">
        <v>360.45179999999999</v>
      </c>
      <c r="M862">
        <v>0.69403019999999904</v>
      </c>
      <c r="N862">
        <v>-1.823549E-2</v>
      </c>
      <c r="O862">
        <v>-0.71971499999999999</v>
      </c>
      <c r="P862">
        <v>0.3946422</v>
      </c>
      <c r="Q862">
        <v>-0.1027082</v>
      </c>
      <c r="R862">
        <v>-0.91307660000000002</v>
      </c>
      <c r="S862">
        <v>-3.0364989999999998E-3</v>
      </c>
      <c r="T862">
        <v>-0.21825739999999999</v>
      </c>
      <c r="U862">
        <v>-3.289307</v>
      </c>
      <c r="V862">
        <v>0.34581210000000001</v>
      </c>
      <c r="W862">
        <v>-0.1003583</v>
      </c>
      <c r="X862">
        <v>0.93292129999999995</v>
      </c>
      <c r="Y862">
        <v>0.69395779999999996</v>
      </c>
      <c r="Z862">
        <v>1.091642E-2</v>
      </c>
      <c r="AA862">
        <v>0.71993289999999999</v>
      </c>
      <c r="AB862">
        <v>31</v>
      </c>
      <c r="AC862">
        <v>-0.22589999999999499</v>
      </c>
      <c r="AD862">
        <v>-1.0920055349189901</v>
      </c>
      <c r="AE862">
        <v>-16.223799999999901</v>
      </c>
      <c r="AF862">
        <v>11.3727754742459</v>
      </c>
      <c r="AG862">
        <v>-1.0920055349189901</v>
      </c>
      <c r="AH862">
        <v>11.469692677128901</v>
      </c>
      <c r="AI862">
        <v>93.867721177443997</v>
      </c>
      <c r="AJ862">
        <v>45.243096031916501</v>
      </c>
      <c r="AK862">
        <v>16.1890811408087</v>
      </c>
      <c r="AL862">
        <v>95.759803498313502</v>
      </c>
      <c r="AM862">
        <v>69.661435289444896</v>
      </c>
      <c r="AN862">
        <v>0.99999997443949395</v>
      </c>
    </row>
    <row r="863" spans="1:40" x14ac:dyDescent="0.25">
      <c r="A863" t="str">
        <f>"20190305135556022"</f>
        <v>20190305135556022</v>
      </c>
      <c r="B863" t="str">
        <f>"1551765356012646"</f>
        <v>1551765356012646</v>
      </c>
      <c r="C863" t="s">
        <v>40</v>
      </c>
      <c r="D863">
        <v>4.4582179999999996</v>
      </c>
      <c r="E863">
        <v>0.66952529999999999</v>
      </c>
      <c r="F863" t="s">
        <v>42</v>
      </c>
      <c r="G863">
        <v>-196.11060000000001</v>
      </c>
      <c r="H863" s="1">
        <v>-3.112467E-6</v>
      </c>
      <c r="I863">
        <v>343.05439999999999</v>
      </c>
      <c r="J863">
        <v>-195.60210000000001</v>
      </c>
      <c r="K863">
        <v>1.0919909999999999</v>
      </c>
      <c r="L863">
        <v>360.21100000000001</v>
      </c>
      <c r="M863">
        <v>0.67859209999999903</v>
      </c>
      <c r="N863">
        <v>-1.8256939999999999E-2</v>
      </c>
      <c r="O863">
        <v>-0.73428859999999996</v>
      </c>
      <c r="P863">
        <v>0.37794299999999997</v>
      </c>
      <c r="Q863">
        <v>-0.1006316</v>
      </c>
      <c r="R863">
        <v>-0.92034349999999998</v>
      </c>
      <c r="S863">
        <v>-5.673218E-2</v>
      </c>
      <c r="T863">
        <v>-0.2063104</v>
      </c>
      <c r="U863">
        <v>-3.2868650000000001</v>
      </c>
      <c r="V863">
        <v>0.34324549999999998</v>
      </c>
      <c r="W863">
        <v>-9.8143859999999999E-2</v>
      </c>
      <c r="X863">
        <v>0.93410400000000005</v>
      </c>
      <c r="Y863">
        <v>0.69049659999999902</v>
      </c>
      <c r="Z863">
        <v>1.062373E-2</v>
      </c>
      <c r="AA863">
        <v>0.723257699999999</v>
      </c>
      <c r="AB863">
        <v>31</v>
      </c>
      <c r="AC863">
        <v>-0.50849999999999795</v>
      </c>
      <c r="AD863">
        <v>-1.0919941124669901</v>
      </c>
      <c r="AE863">
        <v>-17.156600000000001</v>
      </c>
      <c r="AF863">
        <v>11.969273432024</v>
      </c>
      <c r="AG863">
        <v>-1.0919941124669901</v>
      </c>
      <c r="AH863">
        <v>12.205469632724</v>
      </c>
      <c r="AI863">
        <v>93.654985615018603</v>
      </c>
      <c r="AJ863">
        <v>45.559783192044698</v>
      </c>
      <c r="AK863">
        <v>17.129782444256801</v>
      </c>
      <c r="AL863">
        <v>95.632295753847302</v>
      </c>
      <c r="AM863">
        <v>69.823658315951704</v>
      </c>
      <c r="AN863">
        <v>0.99999998667097401</v>
      </c>
    </row>
    <row r="864" spans="1:40" x14ac:dyDescent="0.25">
      <c r="A864" t="str">
        <f>"20190305135556043"</f>
        <v>20190305135556043</v>
      </c>
      <c r="B864" t="str">
        <f>"1551765356032165"</f>
        <v>1551765356032165</v>
      </c>
      <c r="C864" t="s">
        <v>40</v>
      </c>
      <c r="D864">
        <v>4.4215669999999996</v>
      </c>
      <c r="E864">
        <v>0.66846209999999995</v>
      </c>
      <c r="F864" t="s">
        <v>42</v>
      </c>
      <c r="G864">
        <v>-196.20679999999999</v>
      </c>
      <c r="H864" s="1">
        <v>-2.6821460000000001E-6</v>
      </c>
      <c r="I864">
        <v>341.99160000000001</v>
      </c>
      <c r="J864">
        <v>-195.4083</v>
      </c>
      <c r="K864">
        <v>1.0919540000000001</v>
      </c>
      <c r="L864">
        <v>359.97699999999998</v>
      </c>
      <c r="M864">
        <v>0.66352330000000004</v>
      </c>
      <c r="N864">
        <v>-1.8274430000000001E-2</v>
      </c>
      <c r="O864">
        <v>-0.74793259999999995</v>
      </c>
      <c r="P864">
        <v>0.36245280000000002</v>
      </c>
      <c r="Q864">
        <v>-9.9304619999999996E-2</v>
      </c>
      <c r="R864">
        <v>-0.92669690000000005</v>
      </c>
      <c r="S864">
        <v>-0.108963</v>
      </c>
      <c r="T864">
        <v>-0.19676009999999999</v>
      </c>
      <c r="U864">
        <v>-3.2828369999999998</v>
      </c>
      <c r="V864">
        <v>0.34007890000000002</v>
      </c>
      <c r="W864">
        <v>-9.6650420000000001E-2</v>
      </c>
      <c r="X864">
        <v>0.9354171</v>
      </c>
      <c r="Y864">
        <v>0.687357</v>
      </c>
      <c r="Z864">
        <v>1.045811E-2</v>
      </c>
      <c r="AA864">
        <v>0.72624449999999996</v>
      </c>
      <c r="AB864">
        <v>31</v>
      </c>
      <c r="AC864">
        <v>-0.79849999999999</v>
      </c>
      <c r="AD864">
        <v>-1.0919566821460001</v>
      </c>
      <c r="AE864">
        <v>-17.985399999999899</v>
      </c>
      <c r="AF864">
        <v>12.487108626950899</v>
      </c>
      <c r="AG864">
        <v>-1.0919566821460001</v>
      </c>
      <c r="AH864">
        <v>12.876827646892499</v>
      </c>
      <c r="AI864">
        <v>93.483689900847594</v>
      </c>
      <c r="AJ864">
        <v>45.8802852143941</v>
      </c>
      <c r="AK864">
        <v>17.970335041526901</v>
      </c>
      <c r="AL864">
        <v>95.546318779905704</v>
      </c>
      <c r="AM864">
        <v>70.020830443813097</v>
      </c>
      <c r="AN864">
        <v>1.0000000564418901</v>
      </c>
    </row>
    <row r="865" spans="1:40" x14ac:dyDescent="0.25">
      <c r="A865" t="str">
        <f>"20190305135556065"</f>
        <v>20190305135556065</v>
      </c>
      <c r="B865" t="str">
        <f>"1551765356062423"</f>
        <v>1551765356062423</v>
      </c>
      <c r="C865" t="s">
        <v>40</v>
      </c>
      <c r="D865">
        <v>3.6809919999999998</v>
      </c>
      <c r="E865">
        <v>0.66675819999999997</v>
      </c>
      <c r="F865" t="s">
        <v>42</v>
      </c>
      <c r="G865">
        <v>-196.2988</v>
      </c>
      <c r="H865" s="1">
        <v>-2.3940610000000001E-6</v>
      </c>
      <c r="I865">
        <v>341.26310000000001</v>
      </c>
      <c r="J865">
        <v>-195.21979999999999</v>
      </c>
      <c r="K865">
        <v>1.091901</v>
      </c>
      <c r="L865">
        <v>359.73970000000003</v>
      </c>
      <c r="M865">
        <v>0.64817290000000005</v>
      </c>
      <c r="N865">
        <v>-1.8289219999999998E-2</v>
      </c>
      <c r="O865">
        <v>-0.76127349999999905</v>
      </c>
      <c r="P865">
        <v>0.34710859999999999</v>
      </c>
      <c r="Q865">
        <v>-0.1005294</v>
      </c>
      <c r="R865">
        <v>-0.93242130000000001</v>
      </c>
      <c r="S865">
        <v>-0.15597529999999901</v>
      </c>
      <c r="T865">
        <v>-0.1912594</v>
      </c>
      <c r="U865">
        <v>-3.2778019999999999</v>
      </c>
      <c r="V865">
        <v>0.33636120000000003</v>
      </c>
      <c r="W865">
        <v>-9.7688120000000003E-2</v>
      </c>
      <c r="X865">
        <v>0.9366527</v>
      </c>
      <c r="Y865">
        <v>0.68304799999999999</v>
      </c>
      <c r="Z865">
        <v>1.0832110000000001E-2</v>
      </c>
      <c r="AA865">
        <v>0.73029319999999998</v>
      </c>
      <c r="AB865">
        <v>30</v>
      </c>
      <c r="AC865">
        <v>-1.079</v>
      </c>
      <c r="AD865">
        <v>-1.0919033940609999</v>
      </c>
      <c r="AE865">
        <v>-18.476600000000001</v>
      </c>
      <c r="AF865">
        <v>12.7551918751243</v>
      </c>
      <c r="AG865">
        <v>-1.0919033940609999</v>
      </c>
      <c r="AH865">
        <v>13.3222353323451</v>
      </c>
      <c r="AI865">
        <v>93.3880347183689</v>
      </c>
      <c r="AJ865">
        <v>46.245678014635402</v>
      </c>
      <c r="AK865">
        <v>18.476177284373101</v>
      </c>
      <c r="AL865">
        <v>95.606057319290201</v>
      </c>
      <c r="AM865">
        <v>70.246287375119906</v>
      </c>
      <c r="AN865">
        <v>1.0000000530359301</v>
      </c>
    </row>
    <row r="866" spans="1:40" x14ac:dyDescent="0.25">
      <c r="A866" t="str">
        <f>"20190305135556090"</f>
        <v>20190305135556090</v>
      </c>
      <c r="B866" t="str">
        <f>"1551765356082918"</f>
        <v>1551765356082918</v>
      </c>
      <c r="C866" t="s">
        <v>40</v>
      </c>
      <c r="D866">
        <v>4.4656699999999896</v>
      </c>
      <c r="E866">
        <v>0.66574880000000003</v>
      </c>
      <c r="F866" t="s">
        <v>42</v>
      </c>
      <c r="G866">
        <v>-196.34469999999999</v>
      </c>
      <c r="H866" s="1">
        <v>-2.3128039999999998E-6</v>
      </c>
      <c r="I866">
        <v>341.04520000000002</v>
      </c>
      <c r="J866">
        <v>-195.01050000000001</v>
      </c>
      <c r="K866">
        <v>1.0918730000000001</v>
      </c>
      <c r="L866">
        <v>359.46420000000001</v>
      </c>
      <c r="M866">
        <v>0.63025739999999997</v>
      </c>
      <c r="N866">
        <v>-1.8303349999999999E-2</v>
      </c>
      <c r="O866">
        <v>-0.77617049999999999</v>
      </c>
      <c r="P866">
        <v>0.329208099999999</v>
      </c>
      <c r="Q866">
        <v>-0.1044201</v>
      </c>
      <c r="R866">
        <v>-0.93846609999999997</v>
      </c>
      <c r="S866">
        <v>-0.1967621</v>
      </c>
      <c r="T866">
        <v>-0.19099769999999999</v>
      </c>
      <c r="U866">
        <v>-3.2700809999999998</v>
      </c>
      <c r="V866">
        <v>0.33202910000000002</v>
      </c>
      <c r="W866">
        <v>-0.10136729999999999</v>
      </c>
      <c r="X866">
        <v>0.93780669999999999</v>
      </c>
      <c r="Y866">
        <v>0.67517819999999995</v>
      </c>
      <c r="Z866">
        <v>1.226143E-2</v>
      </c>
      <c r="AA866">
        <v>0.73755280000000001</v>
      </c>
      <c r="AB866">
        <v>30</v>
      </c>
      <c r="AC866">
        <v>-1.3341999999999801</v>
      </c>
      <c r="AD866">
        <v>-1.091875312804</v>
      </c>
      <c r="AE866">
        <v>-18.418999999999901</v>
      </c>
      <c r="AF866">
        <v>12.6023412362079</v>
      </c>
      <c r="AG866">
        <v>-1.091875312804</v>
      </c>
      <c r="AH866">
        <v>13.4107683382954</v>
      </c>
      <c r="AI866">
        <v>93.395470416651904</v>
      </c>
      <c r="AJ866">
        <v>46.780046994193398</v>
      </c>
      <c r="AK866">
        <v>18.435289630379199</v>
      </c>
      <c r="AL866">
        <v>95.817910951142196</v>
      </c>
      <c r="AM866">
        <v>70.503565155024205</v>
      </c>
      <c r="AN866">
        <v>1.0000000296604901</v>
      </c>
    </row>
    <row r="867" spans="1:40" x14ac:dyDescent="0.25">
      <c r="A867" t="str">
        <f>"20190305135556113"</f>
        <v>20190305135556113</v>
      </c>
      <c r="B867" t="str">
        <f>"1551765356102438"</f>
        <v>1551765356102438</v>
      </c>
      <c r="C867" t="s">
        <v>40</v>
      </c>
      <c r="D867">
        <v>4.4322860000000004</v>
      </c>
      <c r="E867">
        <v>0.66522009999999998</v>
      </c>
      <c r="F867" t="s">
        <v>42</v>
      </c>
      <c r="G867">
        <v>-196.4169</v>
      </c>
      <c r="H867" s="1">
        <v>-2.3778389999999999E-6</v>
      </c>
      <c r="I867">
        <v>341.15199999999999</v>
      </c>
      <c r="J867">
        <v>-194.82339999999999</v>
      </c>
      <c r="K867">
        <v>1.0918509999999999</v>
      </c>
      <c r="L867">
        <v>359.20490000000001</v>
      </c>
      <c r="M867">
        <v>0.61333490000000002</v>
      </c>
      <c r="N867">
        <v>-1.83141E-2</v>
      </c>
      <c r="O867">
        <v>-0.78961079999999995</v>
      </c>
      <c r="P867">
        <v>0.31286540000000002</v>
      </c>
      <c r="Q867">
        <v>-0.1087254</v>
      </c>
      <c r="R867">
        <v>-0.943554</v>
      </c>
      <c r="S867">
        <v>-0.25061040000000001</v>
      </c>
      <c r="T867">
        <v>-0.19455790000000001</v>
      </c>
      <c r="U867">
        <v>-3.2629999999999999</v>
      </c>
      <c r="V867">
        <v>0.32757180000000002</v>
      </c>
      <c r="W867">
        <v>-0.1054558</v>
      </c>
      <c r="X867">
        <v>0.9389227</v>
      </c>
      <c r="Y867">
        <v>0.67143819999999999</v>
      </c>
      <c r="Z867">
        <v>1.406026E-2</v>
      </c>
      <c r="AA867">
        <v>0.74092709999999995</v>
      </c>
      <c r="AB867">
        <v>30</v>
      </c>
      <c r="AC867">
        <v>-1.5934999999999999</v>
      </c>
      <c r="AD867">
        <v>-1.0918533778389901</v>
      </c>
      <c r="AE867">
        <v>-18.052900000000001</v>
      </c>
      <c r="AF867">
        <v>12.2881831288987</v>
      </c>
      <c r="AG867">
        <v>-1.0918533778389901</v>
      </c>
      <c r="AH867">
        <v>13.231614681839201</v>
      </c>
      <c r="AI867">
        <v>93.460188239334798</v>
      </c>
      <c r="AJ867">
        <v>47.117181402087297</v>
      </c>
      <c r="AK867">
        <v>18.090528336582999</v>
      </c>
      <c r="AL867">
        <v>96.053427634226196</v>
      </c>
      <c r="AM867">
        <v>70.767117510226399</v>
      </c>
      <c r="AN867">
        <v>1.00000002324208</v>
      </c>
    </row>
    <row r="868" spans="1:40" x14ac:dyDescent="0.25">
      <c r="A868" t="str">
        <f>"20190305135556136"</f>
        <v>20190305135556136</v>
      </c>
      <c r="B868" t="str">
        <f>"1551765356132694"</f>
        <v>1551765356132694</v>
      </c>
      <c r="C868" t="s">
        <v>40</v>
      </c>
      <c r="D868">
        <v>4.4535929999999997</v>
      </c>
      <c r="E868">
        <v>0.6420245</v>
      </c>
      <c r="F868" t="s">
        <v>42</v>
      </c>
      <c r="G868">
        <v>-196.44730000000001</v>
      </c>
      <c r="H868" s="1">
        <v>-2.6291049999999999E-6</v>
      </c>
      <c r="I868">
        <v>341.71879999999999</v>
      </c>
      <c r="J868">
        <v>-194.6439</v>
      </c>
      <c r="K868">
        <v>1.091853</v>
      </c>
      <c r="L868">
        <v>358.94439999999997</v>
      </c>
      <c r="M868">
        <v>0.59626800000000002</v>
      </c>
      <c r="N868">
        <v>-1.8322749999999999E-2</v>
      </c>
      <c r="O868">
        <v>-0.80257650000000003</v>
      </c>
      <c r="P868">
        <v>0.29716510000000002</v>
      </c>
      <c r="Q868">
        <v>-0.111781199999999</v>
      </c>
      <c r="R868">
        <v>-0.94826060000000001</v>
      </c>
      <c r="S868">
        <v>-0.30241390000000001</v>
      </c>
      <c r="T868">
        <v>-0.20332729999999999</v>
      </c>
      <c r="U868">
        <v>-3.2562869999999999</v>
      </c>
      <c r="V868">
        <v>0.3226966</v>
      </c>
      <c r="W868">
        <v>-0.1082704</v>
      </c>
      <c r="X868">
        <v>0.94028959999999995</v>
      </c>
      <c r="Y868">
        <v>0.66734340000000003</v>
      </c>
      <c r="Z868">
        <v>1.680158E-2</v>
      </c>
      <c r="AA868">
        <v>0.74456060000000002</v>
      </c>
      <c r="AB868">
        <v>30</v>
      </c>
      <c r="AC868">
        <v>-1.8034000000000101</v>
      </c>
      <c r="AD868">
        <v>-1.0918556291049999</v>
      </c>
      <c r="AE868">
        <v>-17.225599999999901</v>
      </c>
      <c r="AF868">
        <v>11.6740117780743</v>
      </c>
      <c r="AG868">
        <v>-1.0918556291049999</v>
      </c>
      <c r="AH868">
        <v>12.7012139967539</v>
      </c>
      <c r="AI868">
        <v>93.6215127220743</v>
      </c>
      <c r="AJ868">
        <v>47.413087368067501</v>
      </c>
      <c r="AK868">
        <v>17.2857032457683</v>
      </c>
      <c r="AL868">
        <v>96.215620959836798</v>
      </c>
      <c r="AM868">
        <v>71.058367712666296</v>
      </c>
      <c r="AN868">
        <v>1.0000000535179301</v>
      </c>
    </row>
    <row r="869" spans="1:40" x14ac:dyDescent="0.25">
      <c r="A869" t="str">
        <f>"20190305135556157"</f>
        <v>20190305135556157</v>
      </c>
      <c r="B869" t="str">
        <f>"1551765356152214"</f>
        <v>1551765356152214</v>
      </c>
      <c r="C869" t="s">
        <v>40</v>
      </c>
      <c r="D869">
        <v>4.4865170000000001</v>
      </c>
      <c r="E869">
        <v>0.64077289999999998</v>
      </c>
      <c r="F869" t="s">
        <v>42</v>
      </c>
      <c r="G869">
        <v>-195.6833</v>
      </c>
      <c r="H869" s="1">
        <v>-1.6854159999999901E-6</v>
      </c>
      <c r="I869">
        <v>339.99290000000002</v>
      </c>
      <c r="J869">
        <v>-194.4864</v>
      </c>
      <c r="K869">
        <v>1.0918540000000001</v>
      </c>
      <c r="L869">
        <v>358.7056</v>
      </c>
      <c r="M869">
        <v>0.58055069999999998</v>
      </c>
      <c r="N869">
        <v>-1.8329149999999999E-2</v>
      </c>
      <c r="O869">
        <v>-0.81401800000000002</v>
      </c>
      <c r="P869">
        <v>0.28314400000000001</v>
      </c>
      <c r="Q869">
        <v>-0.1088768</v>
      </c>
      <c r="R869">
        <v>-0.95287759999999999</v>
      </c>
      <c r="S869">
        <v>-0.17533869999999999</v>
      </c>
      <c r="T869">
        <v>-0.18418480000000001</v>
      </c>
      <c r="U869">
        <v>-3.19693</v>
      </c>
      <c r="V869">
        <v>0.3186156</v>
      </c>
      <c r="W869">
        <v>-0.10514560000000001</v>
      </c>
      <c r="X869">
        <v>0.94203419999999904</v>
      </c>
      <c r="Y869">
        <v>0.62377700000000003</v>
      </c>
      <c r="Z869">
        <v>1.645928E-2</v>
      </c>
      <c r="AA869">
        <v>0.78142909999999999</v>
      </c>
      <c r="AB869">
        <v>30</v>
      </c>
      <c r="AC869">
        <v>-1.1968999999999901</v>
      </c>
      <c r="AD869">
        <v>-1.091855685416</v>
      </c>
      <c r="AE869">
        <v>-18.712699999999899</v>
      </c>
      <c r="AF869">
        <v>11.799946398916299</v>
      </c>
      <c r="AG869">
        <v>-1.091855685416</v>
      </c>
      <c r="AH869">
        <v>14.4909195752257</v>
      </c>
      <c r="AI869">
        <v>93.343808938051197</v>
      </c>
      <c r="AJ869">
        <v>50.844096084141803</v>
      </c>
      <c r="AK869">
        <v>18.719445344099601</v>
      </c>
      <c r="AL869">
        <v>96.035555467797707</v>
      </c>
      <c r="AM869">
        <v>71.313391554670702</v>
      </c>
      <c r="AN869">
        <v>0.99999996586617901</v>
      </c>
    </row>
    <row r="870" spans="1:40" x14ac:dyDescent="0.25">
      <c r="A870" t="str">
        <f>"20190305135556178"</f>
        <v>20190305135556178</v>
      </c>
      <c r="B870" t="str">
        <f>"1551765356172710"</f>
        <v>1551765356172710</v>
      </c>
      <c r="C870" t="s">
        <v>40</v>
      </c>
      <c r="D870">
        <v>4.4369940000000003</v>
      </c>
      <c r="E870">
        <v>0.6387079</v>
      </c>
      <c r="F870" t="s">
        <v>42</v>
      </c>
      <c r="G870">
        <v>-195.77709999999999</v>
      </c>
      <c r="H870" s="1">
        <v>-5.2604870000000001E-6</v>
      </c>
      <c r="I870">
        <v>339.43369999999999</v>
      </c>
      <c r="J870">
        <v>-194.32509999999999</v>
      </c>
      <c r="K870">
        <v>1.091858</v>
      </c>
      <c r="L870">
        <v>358.44970000000001</v>
      </c>
      <c r="M870">
        <v>0.56364599999999998</v>
      </c>
      <c r="N870">
        <v>-1.8334610000000001E-2</v>
      </c>
      <c r="O870">
        <v>-0.82581289999999996</v>
      </c>
      <c r="P870">
        <v>0.26771470000000003</v>
      </c>
      <c r="Q870">
        <v>-0.1057385</v>
      </c>
      <c r="R870">
        <v>-0.95767840000000004</v>
      </c>
      <c r="S870">
        <v>-0.2137146</v>
      </c>
      <c r="T870">
        <v>-0.1807986</v>
      </c>
      <c r="U870">
        <v>-3.1911930000000002</v>
      </c>
      <c r="V870">
        <v>0.31475560000000002</v>
      </c>
      <c r="W870">
        <v>-0.1017956</v>
      </c>
      <c r="X870">
        <v>0.94369829999999999</v>
      </c>
      <c r="Y870">
        <v>0.61710730000000003</v>
      </c>
      <c r="Z870">
        <v>1.6939349999999999E-2</v>
      </c>
      <c r="AA870">
        <v>0.78669669999999903</v>
      </c>
      <c r="AB870">
        <v>30</v>
      </c>
      <c r="AC870">
        <v>-1.45199999999999</v>
      </c>
      <c r="AD870">
        <v>-1.091863260487</v>
      </c>
      <c r="AE870">
        <v>-19.015999999999998</v>
      </c>
      <c r="AF870">
        <v>11.8804358423028</v>
      </c>
      <c r="AG870">
        <v>-1.091863260487</v>
      </c>
      <c r="AH870">
        <v>14.8391086393399</v>
      </c>
      <c r="AI870">
        <v>93.287407838792703</v>
      </c>
      <c r="AJ870">
        <v>51.318658440584997</v>
      </c>
      <c r="AK870">
        <v>19.040379890979199</v>
      </c>
      <c r="AL870">
        <v>95.842578759715593</v>
      </c>
      <c r="AM870">
        <v>71.554697013617698</v>
      </c>
      <c r="AN870">
        <v>0.99999995666680397</v>
      </c>
    </row>
    <row r="871" spans="1:40" x14ac:dyDescent="0.25">
      <c r="A871" t="str">
        <f>"20190305135556201"</f>
        <v>20190305135556201</v>
      </c>
      <c r="B871" t="str">
        <f>"1551765356192230"</f>
        <v>1551765356192230</v>
      </c>
      <c r="C871" t="s">
        <v>40</v>
      </c>
      <c r="D871">
        <v>4.42462</v>
      </c>
      <c r="E871">
        <v>0.63727789999999995</v>
      </c>
      <c r="F871" t="s">
        <v>42</v>
      </c>
      <c r="G871">
        <v>-196.05889999999999</v>
      </c>
      <c r="H871" s="1">
        <v>-4.1951739999999998E-6</v>
      </c>
      <c r="I871">
        <v>336.15629999999999</v>
      </c>
      <c r="J871">
        <v>-194.15860000000001</v>
      </c>
      <c r="K871">
        <v>1.0918650000000001</v>
      </c>
      <c r="L871">
        <v>358.17270000000002</v>
      </c>
      <c r="M871">
        <v>0.54527119999999996</v>
      </c>
      <c r="N871">
        <v>-1.8339089999999999E-2</v>
      </c>
      <c r="O871">
        <v>-0.838059199999999</v>
      </c>
      <c r="P871">
        <v>0.25113980000000002</v>
      </c>
      <c r="Q871">
        <v>-0.1055141</v>
      </c>
      <c r="R871">
        <v>-0.96218289999999995</v>
      </c>
      <c r="S871">
        <v>-0.2476807</v>
      </c>
      <c r="T871">
        <v>-0.1559719</v>
      </c>
      <c r="U871">
        <v>-3.1846009999999998</v>
      </c>
      <c r="V871">
        <v>0.31024489999999999</v>
      </c>
      <c r="W871">
        <v>-0.1013356</v>
      </c>
      <c r="X871">
        <v>0.94524030000000003</v>
      </c>
      <c r="Y871">
        <v>0.6082417</v>
      </c>
      <c r="Z871">
        <v>1.3114550000000001E-2</v>
      </c>
      <c r="AA871">
        <v>0.79364349999999995</v>
      </c>
      <c r="AB871">
        <v>30</v>
      </c>
      <c r="AC871">
        <v>-1.9002999999999799</v>
      </c>
      <c r="AD871">
        <v>-1.0918691951739901</v>
      </c>
      <c r="AE871">
        <v>-22.016400000000001</v>
      </c>
      <c r="AF871">
        <v>13.5666378104707</v>
      </c>
      <c r="AG871">
        <v>-1.0918691951739901</v>
      </c>
      <c r="AH871">
        <v>17.375376083144001</v>
      </c>
      <c r="AI871">
        <v>92.835563631153207</v>
      </c>
      <c r="AJ871">
        <v>52.017396289700002</v>
      </c>
      <c r="AK871">
        <v>22.071464243465101</v>
      </c>
      <c r="AL871">
        <v>95.8160853696331</v>
      </c>
      <c r="AM871">
        <v>71.829231979545995</v>
      </c>
      <c r="AN871">
        <v>1.0000000132737299</v>
      </c>
    </row>
    <row r="872" spans="1:40" x14ac:dyDescent="0.25">
      <c r="A872" t="str">
        <f>"20190305135556224"</f>
        <v>20190305135556224</v>
      </c>
      <c r="B872" t="str">
        <f>"1551765356222486"</f>
        <v>1551765356222486</v>
      </c>
      <c r="C872" t="s">
        <v>40</v>
      </c>
      <c r="D872">
        <v>4.4341660000000003</v>
      </c>
      <c r="E872">
        <v>0.63492349999999997</v>
      </c>
      <c r="F872" t="s">
        <v>42</v>
      </c>
      <c r="G872">
        <v>-196.21379999999999</v>
      </c>
      <c r="H872" s="1">
        <v>-4.0975000000000002E-6</v>
      </c>
      <c r="I872">
        <v>335.78859999999997</v>
      </c>
      <c r="J872">
        <v>-194.00229999999999</v>
      </c>
      <c r="K872">
        <v>1.0918699999999999</v>
      </c>
      <c r="L872">
        <v>357.89909999999998</v>
      </c>
      <c r="M872">
        <v>0.52705570000000002</v>
      </c>
      <c r="N872">
        <v>-1.8342310000000001E-2</v>
      </c>
      <c r="O872">
        <v>-0.84963269999999902</v>
      </c>
      <c r="P872">
        <v>0.23526810000000001</v>
      </c>
      <c r="Q872">
        <v>-0.1074981</v>
      </c>
      <c r="R872">
        <v>-0.96596720000000003</v>
      </c>
      <c r="S872">
        <v>-0.29170230000000003</v>
      </c>
      <c r="T872">
        <v>-0.15497469999999999</v>
      </c>
      <c r="U872">
        <v>-3.1770939999999999</v>
      </c>
      <c r="V872">
        <v>0.30521769999999998</v>
      </c>
      <c r="W872">
        <v>-0.1030659</v>
      </c>
      <c r="X872">
        <v>0.94668869999999905</v>
      </c>
      <c r="Y872">
        <v>0.60216829999999999</v>
      </c>
      <c r="Z872">
        <v>1.385724E-2</v>
      </c>
      <c r="AA872">
        <v>0.79824890000000004</v>
      </c>
      <c r="AB872">
        <v>30</v>
      </c>
      <c r="AC872">
        <v>-2.2115</v>
      </c>
      <c r="AD872">
        <v>-1.0918740975000001</v>
      </c>
      <c r="AE872">
        <v>-22.110499999999998</v>
      </c>
      <c r="AF872">
        <v>13.502104954019901</v>
      </c>
      <c r="AG872">
        <v>-1.0918740975000001</v>
      </c>
      <c r="AH872">
        <v>17.580737586318399</v>
      </c>
      <c r="AI872">
        <v>92.819885993991306</v>
      </c>
      <c r="AJ872">
        <v>52.4755354943279</v>
      </c>
      <c r="AK872">
        <v>22.194174039895</v>
      </c>
      <c r="AL872">
        <v>95.915746432337102</v>
      </c>
      <c r="AM872">
        <v>72.130390046199096</v>
      </c>
      <c r="AN872">
        <v>0.99999995942189401</v>
      </c>
    </row>
    <row r="873" spans="1:40" x14ac:dyDescent="0.25">
      <c r="A873" t="str">
        <f>"20190305135556246"</f>
        <v>20190305135556246</v>
      </c>
      <c r="B873" t="str">
        <f>"1551765356242982"</f>
        <v>1551765356242982</v>
      </c>
      <c r="C873" t="s">
        <v>40</v>
      </c>
      <c r="D873">
        <v>4.3922290000000004</v>
      </c>
      <c r="E873">
        <v>0.63332489999999997</v>
      </c>
      <c r="F873" t="s">
        <v>42</v>
      </c>
      <c r="G873">
        <v>-196.06049999999999</v>
      </c>
      <c r="H873" s="1">
        <v>-4.810288E-6</v>
      </c>
      <c r="I873">
        <v>337.96300000000002</v>
      </c>
      <c r="J873">
        <v>-193.86089999999999</v>
      </c>
      <c r="K873">
        <v>1.0918779999999999</v>
      </c>
      <c r="L873">
        <v>357.63889999999998</v>
      </c>
      <c r="M873">
        <v>0.50966069999999997</v>
      </c>
      <c r="N873">
        <v>-1.8344309999999999E-2</v>
      </c>
      <c r="O873">
        <v>-0.8601799</v>
      </c>
      <c r="P873">
        <v>0.2212267</v>
      </c>
      <c r="Q873">
        <v>-0.1104793</v>
      </c>
      <c r="R873">
        <v>-0.96894429999999998</v>
      </c>
      <c r="S873">
        <v>-0.3268585</v>
      </c>
      <c r="T873">
        <v>-0.17339669999999999</v>
      </c>
      <c r="U873">
        <v>-3.165985</v>
      </c>
      <c r="V873">
        <v>0.29941400000000001</v>
      </c>
      <c r="W873">
        <v>-0.1057603</v>
      </c>
      <c r="X873">
        <v>0.94824370000000002</v>
      </c>
      <c r="Y873">
        <v>0.59488980000000002</v>
      </c>
      <c r="Z873">
        <v>1.881209E-2</v>
      </c>
      <c r="AA873">
        <v>0.8035871</v>
      </c>
      <c r="AB873">
        <v>30</v>
      </c>
      <c r="AC873">
        <v>-2.1996000000000002</v>
      </c>
      <c r="AD873">
        <v>-1.091882810288</v>
      </c>
      <c r="AE873">
        <v>-19.675899999999899</v>
      </c>
      <c r="AF873">
        <v>11.885939619391401</v>
      </c>
      <c r="AG873">
        <v>-1.091882810288</v>
      </c>
      <c r="AH873">
        <v>15.758494172154901</v>
      </c>
      <c r="AI873">
        <v>93.166238396274494</v>
      </c>
      <c r="AJ873">
        <v>52.974354428296898</v>
      </c>
      <c r="AK873">
        <v>19.768609138759899</v>
      </c>
      <c r="AL873">
        <v>96.070972151363193</v>
      </c>
      <c r="AM873">
        <v>72.476155723923597</v>
      </c>
      <c r="AN873">
        <v>1.0000000495208801</v>
      </c>
    </row>
    <row r="874" spans="1:40" x14ac:dyDescent="0.25">
      <c r="A874" t="str">
        <f>"20190305135556269"</f>
        <v>20190305135556269</v>
      </c>
      <c r="B874" t="str">
        <f>"1551765356262502"</f>
        <v>1551765356262502</v>
      </c>
      <c r="C874" t="s">
        <v>40</v>
      </c>
      <c r="D874">
        <v>4.4505350000000004</v>
      </c>
      <c r="E874">
        <v>0.6325231</v>
      </c>
      <c r="F874" t="s">
        <v>42</v>
      </c>
      <c r="G874">
        <v>-195.9622</v>
      </c>
      <c r="H874" s="1">
        <v>-5.2321950000000001E-6</v>
      </c>
      <c r="I874">
        <v>339.25400000000002</v>
      </c>
      <c r="J874">
        <v>-193.71870000000001</v>
      </c>
      <c r="K874">
        <v>1.091898</v>
      </c>
      <c r="L874">
        <v>357.36369999999999</v>
      </c>
      <c r="M874">
        <v>0.49120599999999998</v>
      </c>
      <c r="N874">
        <v>-1.8345199999999999E-2</v>
      </c>
      <c r="O874">
        <v>-0.87085049999999997</v>
      </c>
      <c r="P874">
        <v>0.2054426</v>
      </c>
      <c r="Q874">
        <v>-0.11209520000000001</v>
      </c>
      <c r="R874">
        <v>-0.97222850000000005</v>
      </c>
      <c r="S874">
        <v>-0.36085509999999998</v>
      </c>
      <c r="T874">
        <v>-0.1875037</v>
      </c>
      <c r="U874">
        <v>-3.1571349999999998</v>
      </c>
      <c r="V874">
        <v>0.29447380000000001</v>
      </c>
      <c r="W874">
        <v>-0.1071261</v>
      </c>
      <c r="X874">
        <v>0.94963629999999999</v>
      </c>
      <c r="Y874">
        <v>0.58646960000000004</v>
      </c>
      <c r="Z874">
        <v>2.305743E-2</v>
      </c>
      <c r="AA874">
        <v>0.809643</v>
      </c>
      <c r="AB874">
        <v>30</v>
      </c>
      <c r="AC874">
        <v>-2.2434999999999801</v>
      </c>
      <c r="AD874">
        <v>-1.091903232195</v>
      </c>
      <c r="AE874">
        <v>-18.109699999999901</v>
      </c>
      <c r="AF874">
        <v>10.812457045633501</v>
      </c>
      <c r="AG874">
        <v>-1.091903232195</v>
      </c>
      <c r="AH874">
        <v>14.6189445238373</v>
      </c>
      <c r="AI874">
        <v>93.436522458511206</v>
      </c>
      <c r="AJ874">
        <v>53.512646908314998</v>
      </c>
      <c r="AK874">
        <v>18.215790376022099</v>
      </c>
      <c r="AL874">
        <v>96.149674395820497</v>
      </c>
      <c r="AM874">
        <v>72.771799981985893</v>
      </c>
      <c r="AN874">
        <v>0.99999996123266899</v>
      </c>
    </row>
    <row r="875" spans="1:40" x14ac:dyDescent="0.25">
      <c r="A875" t="str">
        <f>"20190305135556292"</f>
        <v>20190305135556292</v>
      </c>
      <c r="B875" t="str">
        <f>"1551765356282998"</f>
        <v>1551765356282998</v>
      </c>
      <c r="C875" t="s">
        <v>40</v>
      </c>
      <c r="D875">
        <v>4.5124449999999996</v>
      </c>
      <c r="E875">
        <v>0.60917159999999904</v>
      </c>
      <c r="F875" t="s">
        <v>42</v>
      </c>
      <c r="G875">
        <v>-195.9915</v>
      </c>
      <c r="H875" s="1">
        <v>-1.6599049999999999E-6</v>
      </c>
      <c r="I875">
        <v>339.7423</v>
      </c>
      <c r="J875">
        <v>-193.58150000000001</v>
      </c>
      <c r="K875">
        <v>1.0919399999999999</v>
      </c>
      <c r="L875">
        <v>357.08249999999998</v>
      </c>
      <c r="M875">
        <v>0.472279</v>
      </c>
      <c r="N875">
        <v>-1.8344829999999999E-2</v>
      </c>
      <c r="O875">
        <v>-0.88125819999999999</v>
      </c>
      <c r="P875">
        <v>0.18931419999999999</v>
      </c>
      <c r="Q875">
        <v>-0.1118219</v>
      </c>
      <c r="R875">
        <v>-0.97552859999999997</v>
      </c>
      <c r="S875">
        <v>-0.40615839999999998</v>
      </c>
      <c r="T875">
        <v>-0.19512860000000001</v>
      </c>
      <c r="U875">
        <v>-3.1490480000000001</v>
      </c>
      <c r="V875">
        <v>0.28972940000000003</v>
      </c>
      <c r="W875">
        <v>-0.10660600000000001</v>
      </c>
      <c r="X875">
        <v>0.95115300000000003</v>
      </c>
      <c r="Y875">
        <v>0.58065409999999995</v>
      </c>
      <c r="Z875">
        <v>2.5879659999999999E-2</v>
      </c>
      <c r="AA875">
        <v>0.81373890000000004</v>
      </c>
      <c r="AB875">
        <v>30</v>
      </c>
      <c r="AC875">
        <v>-2.4099999999999899</v>
      </c>
      <c r="AD875">
        <v>-1.09194165990499</v>
      </c>
      <c r="AE875">
        <v>-17.3401999999999</v>
      </c>
      <c r="AF875">
        <v>10.2750076492408</v>
      </c>
      <c r="AG875">
        <v>-1.09194165990499</v>
      </c>
      <c r="AH875">
        <v>14.0905650857037</v>
      </c>
      <c r="AI875">
        <v>93.582886989506505</v>
      </c>
      <c r="AJ875">
        <v>53.900024260017197</v>
      </c>
      <c r="AK875">
        <v>17.473183545508999</v>
      </c>
      <c r="AL875">
        <v>96.119703007966507</v>
      </c>
      <c r="AM875">
        <v>73.058812432370601</v>
      </c>
      <c r="AN875">
        <v>0.99999999693468</v>
      </c>
    </row>
    <row r="876" spans="1:40" x14ac:dyDescent="0.25">
      <c r="A876" t="str">
        <f>"20190305135556316"</f>
        <v>20190305135556316</v>
      </c>
      <c r="B876" t="str">
        <f>"1551765356312277"</f>
        <v>1551765356312277</v>
      </c>
      <c r="C876" t="s">
        <v>40</v>
      </c>
      <c r="D876">
        <v>4.3900499999999996</v>
      </c>
      <c r="E876">
        <v>0.57158430000000005</v>
      </c>
      <c r="F876" t="s">
        <v>42</v>
      </c>
      <c r="G876">
        <v>-194.6814</v>
      </c>
      <c r="H876" s="1">
        <v>-3.5875369999999999E-6</v>
      </c>
      <c r="I876">
        <v>345.08879999999999</v>
      </c>
      <c r="J876">
        <v>-193.44390000000001</v>
      </c>
      <c r="K876">
        <v>1.091982</v>
      </c>
      <c r="L876">
        <v>356.78280000000001</v>
      </c>
      <c r="M876">
        <v>0.45205640000000002</v>
      </c>
      <c r="N876">
        <v>-1.8343020000000002E-2</v>
      </c>
      <c r="O876">
        <v>-0.89180079999999995</v>
      </c>
      <c r="P876">
        <v>0.17210110000000001</v>
      </c>
      <c r="Q876">
        <v>-0.11068740000000001</v>
      </c>
      <c r="R876">
        <v>-0.97884099999999996</v>
      </c>
      <c r="S876">
        <v>-0.28408810000000001</v>
      </c>
      <c r="T876">
        <v>-0.28205439999999998</v>
      </c>
      <c r="U876">
        <v>-3.0980219999999998</v>
      </c>
      <c r="V876">
        <v>0.28491450000000001</v>
      </c>
      <c r="W876">
        <v>-0.1052173</v>
      </c>
      <c r="X876">
        <v>0.95276079999999996</v>
      </c>
      <c r="Y876">
        <v>0.53086800000000001</v>
      </c>
      <c r="Z876">
        <v>5.0139799999999998E-2</v>
      </c>
      <c r="AA876">
        <v>0.84597</v>
      </c>
      <c r="AB876">
        <v>30</v>
      </c>
      <c r="AC876">
        <v>-1.2374999999999801</v>
      </c>
      <c r="AD876">
        <v>-1.0919855875369999</v>
      </c>
      <c r="AE876">
        <v>-11.694000000000001</v>
      </c>
      <c r="AF876">
        <v>6.3363856530057401</v>
      </c>
      <c r="AG876">
        <v>-1.0919855875369999</v>
      </c>
      <c r="AH876">
        <v>9.7865668704037496</v>
      </c>
      <c r="AI876">
        <v>95.350840788840401</v>
      </c>
      <c r="AJ876">
        <v>57.078660766901201</v>
      </c>
      <c r="AK876">
        <v>11.709786794638401</v>
      </c>
      <c r="AL876">
        <v>96.039685996415798</v>
      </c>
      <c r="AM876">
        <v>73.351181174985598</v>
      </c>
      <c r="AN876">
        <v>1.0000000472730799</v>
      </c>
    </row>
    <row r="877" spans="1:40" x14ac:dyDescent="0.25">
      <c r="A877" t="str">
        <f>"20190305135556338"</f>
        <v>20190305135556338</v>
      </c>
      <c r="B877" t="str">
        <f>"1551765356332774"</f>
        <v>1551765356332774</v>
      </c>
      <c r="C877" t="s">
        <v>40</v>
      </c>
      <c r="D877">
        <v>4.389894</v>
      </c>
      <c r="E877">
        <v>0.56782379999999999</v>
      </c>
      <c r="F877" t="s">
        <v>42</v>
      </c>
      <c r="G877">
        <v>-193.6327</v>
      </c>
      <c r="H877" s="1">
        <v>-1.2383859999999999E-6</v>
      </c>
      <c r="I877">
        <v>340.22269999999997</v>
      </c>
      <c r="J877">
        <v>-193.32300000000001</v>
      </c>
      <c r="K877">
        <v>1.0920339999999999</v>
      </c>
      <c r="L877">
        <v>356.50409999999999</v>
      </c>
      <c r="M877">
        <v>0.43317410000000001</v>
      </c>
      <c r="N877">
        <v>-1.8339870000000001E-2</v>
      </c>
      <c r="O877">
        <v>-0.90112369999999997</v>
      </c>
      <c r="P877">
        <v>0.155162299999999</v>
      </c>
      <c r="Q877">
        <v>-0.10961650000000001</v>
      </c>
      <c r="R877">
        <v>-0.98178869999999896</v>
      </c>
      <c r="S877">
        <v>-3.4759520000000002E-2</v>
      </c>
      <c r="T877">
        <v>-0.2009996</v>
      </c>
      <c r="U877">
        <v>-3.048187</v>
      </c>
      <c r="V877">
        <v>0.28142450000000002</v>
      </c>
      <c r="W877">
        <v>-0.10395739999999901</v>
      </c>
      <c r="X877">
        <v>0.95393559999999999</v>
      </c>
      <c r="Y877">
        <v>0.44308110000000001</v>
      </c>
      <c r="Z877">
        <v>3.4287419999999999E-2</v>
      </c>
      <c r="AA877">
        <v>0.895825599999999</v>
      </c>
      <c r="AB877">
        <v>30</v>
      </c>
      <c r="AC877">
        <v>-0.30970000000002001</v>
      </c>
      <c r="AD877">
        <v>-1.0920352383859999</v>
      </c>
      <c r="AE877">
        <v>-16.281400000000001</v>
      </c>
      <c r="AF877">
        <v>7.3001622895449199</v>
      </c>
      <c r="AG877">
        <v>-1.0920352383859999</v>
      </c>
      <c r="AH877">
        <v>14.474751869177</v>
      </c>
      <c r="AI877">
        <v>93.853736967762899</v>
      </c>
      <c r="AJ877">
        <v>63.236470924795498</v>
      </c>
      <c r="AK877">
        <v>16.248179962377701</v>
      </c>
      <c r="AL877">
        <v>95.967101190224199</v>
      </c>
      <c r="AM877">
        <v>73.563194959186504</v>
      </c>
      <c r="AN877">
        <v>1.0000000095811801</v>
      </c>
    </row>
    <row r="878" spans="1:40" x14ac:dyDescent="0.25">
      <c r="A878" t="str">
        <f>"20190305135556359"</f>
        <v>20190305135556359</v>
      </c>
      <c r="B878" t="str">
        <f>"1551765356352294"</f>
        <v>1551765356352294</v>
      </c>
      <c r="C878" t="s">
        <v>40</v>
      </c>
      <c r="D878">
        <v>4.3765390000000002</v>
      </c>
      <c r="E878">
        <v>0.56709080000000001</v>
      </c>
      <c r="F878" t="s">
        <v>42</v>
      </c>
      <c r="G878">
        <v>-193.6378</v>
      </c>
      <c r="H878" s="1">
        <v>-1.1363790000000001E-6</v>
      </c>
      <c r="I878">
        <v>339.98180000000002</v>
      </c>
      <c r="J878">
        <v>-193.21520000000001</v>
      </c>
      <c r="K878">
        <v>1.092085</v>
      </c>
      <c r="L878">
        <v>356.2405</v>
      </c>
      <c r="M878">
        <v>0.415271</v>
      </c>
      <c r="N878">
        <v>-1.8335529999999999E-2</v>
      </c>
      <c r="O878">
        <v>-0.90951320000000002</v>
      </c>
      <c r="P878">
        <v>0.14182149999999999</v>
      </c>
      <c r="Q878">
        <v>-0.1069131</v>
      </c>
      <c r="R878">
        <v>-0.98410220000000004</v>
      </c>
      <c r="S878">
        <v>-5.7952879999999998E-2</v>
      </c>
      <c r="T878">
        <v>-0.20108580000000001</v>
      </c>
      <c r="U878">
        <v>-3.042389</v>
      </c>
      <c r="V878">
        <v>0.27576669999999998</v>
      </c>
      <c r="W878">
        <v>-0.1009589</v>
      </c>
      <c r="X878">
        <v>0.95590790000000003</v>
      </c>
      <c r="Y878">
        <v>0.43218410000000002</v>
      </c>
      <c r="Z878">
        <v>3.5383310000000001E-2</v>
      </c>
      <c r="AA878">
        <v>0.90109099999999998</v>
      </c>
      <c r="AB878">
        <v>30</v>
      </c>
      <c r="AC878">
        <v>-0.42259999999998799</v>
      </c>
      <c r="AD878">
        <v>-1.092086136379</v>
      </c>
      <c r="AE878">
        <v>-16.258699999999902</v>
      </c>
      <c r="AF878">
        <v>7.10528967811047</v>
      </c>
      <c r="AG878">
        <v>-1.092086136379</v>
      </c>
      <c r="AH878">
        <v>14.5488661478092</v>
      </c>
      <c r="AI878">
        <v>93.858721581771604</v>
      </c>
      <c r="AJ878">
        <v>63.970314112390803</v>
      </c>
      <c r="AK878">
        <v>16.227978916858401</v>
      </c>
      <c r="AL878">
        <v>95.794391197997101</v>
      </c>
      <c r="AM878">
        <v>73.907853616626198</v>
      </c>
      <c r="AN878">
        <v>0.99999994280025295</v>
      </c>
    </row>
    <row r="879" spans="1:40" x14ac:dyDescent="0.25">
      <c r="A879" t="str">
        <f>"20190305135556382"</f>
        <v>20190305135556382</v>
      </c>
      <c r="B879" t="str">
        <f>"1551765356372790"</f>
        <v>1551765356372790</v>
      </c>
      <c r="C879" t="s">
        <v>40</v>
      </c>
      <c r="D879">
        <v>4.3693470000000003</v>
      </c>
      <c r="E879">
        <v>0.56599009999999905</v>
      </c>
      <c r="F879" t="s">
        <v>42</v>
      </c>
      <c r="G879">
        <v>-193.74850000000001</v>
      </c>
      <c r="H879" s="1">
        <v>-4.69936E-6</v>
      </c>
      <c r="I879">
        <v>338.84219999999999</v>
      </c>
      <c r="J879">
        <v>-193.10310000000001</v>
      </c>
      <c r="K879">
        <v>1.0921449999999999</v>
      </c>
      <c r="L879">
        <v>355.94940000000003</v>
      </c>
      <c r="M879">
        <v>0.39545429999999998</v>
      </c>
      <c r="N879">
        <v>-1.8328509999999999E-2</v>
      </c>
      <c r="O879">
        <v>-0.91830279999999997</v>
      </c>
      <c r="P879">
        <v>0.1268241</v>
      </c>
      <c r="Q879">
        <v>-0.1041971</v>
      </c>
      <c r="R879">
        <v>-0.98643749999999997</v>
      </c>
      <c r="S879">
        <v>-9.3215939999999997E-2</v>
      </c>
      <c r="T879">
        <v>-0.1908917</v>
      </c>
      <c r="U879">
        <v>-3.0411380000000001</v>
      </c>
      <c r="V879">
        <v>0.26984390000000003</v>
      </c>
      <c r="W879">
        <v>-9.7932420000000006E-2</v>
      </c>
      <c r="X879">
        <v>0.95791099999999996</v>
      </c>
      <c r="Y879">
        <v>0.42309340000000001</v>
      </c>
      <c r="Z879">
        <v>3.3600869999999998E-2</v>
      </c>
      <c r="AA879">
        <v>0.90546289999999996</v>
      </c>
      <c r="AB879">
        <v>29</v>
      </c>
      <c r="AC879">
        <v>-0.64539999999999498</v>
      </c>
      <c r="AD879">
        <v>-1.0921496993599999</v>
      </c>
      <c r="AE879">
        <v>-17.107199999999999</v>
      </c>
      <c r="AF879">
        <v>7.3291949114439996</v>
      </c>
      <c r="AG879">
        <v>-1.0921496993599999</v>
      </c>
      <c r="AH879">
        <v>15.394305381394201</v>
      </c>
      <c r="AI879">
        <v>93.6651187702995</v>
      </c>
      <c r="AJ879">
        <v>64.540983581045495</v>
      </c>
      <c r="AK879">
        <v>17.084921047267699</v>
      </c>
      <c r="AL879">
        <v>95.620122491743302</v>
      </c>
      <c r="AM879">
        <v>74.267451280652807</v>
      </c>
      <c r="AN879">
        <v>0.99999998658763301</v>
      </c>
    </row>
    <row r="880" spans="1:40" x14ac:dyDescent="0.25">
      <c r="A880" t="str">
        <f>"20190305135556404"</f>
        <v>20190305135556404</v>
      </c>
      <c r="B880" t="str">
        <f>"1551765356393286"</f>
        <v>1551765356393286</v>
      </c>
      <c r="C880" t="s">
        <v>40</v>
      </c>
      <c r="D880">
        <v>4.3738919999999997</v>
      </c>
      <c r="E880">
        <v>0.56491020000000003</v>
      </c>
      <c r="F880" t="s">
        <v>42</v>
      </c>
      <c r="G880">
        <v>-193.86340000000001</v>
      </c>
      <c r="H880" s="1">
        <v>-4.5618400000000004E-6</v>
      </c>
      <c r="I880">
        <v>338.37819999999999</v>
      </c>
      <c r="J880">
        <v>-193.00299999999999</v>
      </c>
      <c r="K880">
        <v>1.092211</v>
      </c>
      <c r="L880">
        <v>355.67200000000003</v>
      </c>
      <c r="M880">
        <v>0.37655440000000001</v>
      </c>
      <c r="N880">
        <v>-1.8318170000000002E-2</v>
      </c>
      <c r="O880">
        <v>-0.92621350000000002</v>
      </c>
      <c r="P880">
        <v>0.113303</v>
      </c>
      <c r="Q880">
        <v>-0.1051793</v>
      </c>
      <c r="R880">
        <v>-0.98797789999999996</v>
      </c>
      <c r="S880">
        <v>-0.13146969999999999</v>
      </c>
      <c r="T880">
        <v>-0.1888417</v>
      </c>
      <c r="U880">
        <v>-3.038208</v>
      </c>
      <c r="V880">
        <v>0.26327840000000002</v>
      </c>
      <c r="W880">
        <v>-9.8584599999999994E-2</v>
      </c>
      <c r="X880">
        <v>0.95966949999999995</v>
      </c>
      <c r="Y880">
        <v>0.41593869999999999</v>
      </c>
      <c r="Z880">
        <v>3.3886680000000002E-2</v>
      </c>
      <c r="AA880">
        <v>0.90876109999999999</v>
      </c>
      <c r="AB880">
        <v>29</v>
      </c>
      <c r="AC880">
        <v>-0.86040000000002603</v>
      </c>
      <c r="AD880">
        <v>-1.09221556184</v>
      </c>
      <c r="AE880">
        <v>-17.293799999999901</v>
      </c>
      <c r="AF880">
        <v>7.2812251564213701</v>
      </c>
      <c r="AG880">
        <v>-1.09221556184</v>
      </c>
      <c r="AH880">
        <v>15.634188871259299</v>
      </c>
      <c r="AI880">
        <v>93.623670680326299</v>
      </c>
      <c r="AJ880">
        <v>65.027449862270402</v>
      </c>
      <c r="AK880">
        <v>17.2811179115889</v>
      </c>
      <c r="AL880">
        <v>95.657671312743403</v>
      </c>
      <c r="AM880">
        <v>74.658762967963796</v>
      </c>
      <c r="AN880">
        <v>0.99999999424698405</v>
      </c>
    </row>
    <row r="881" spans="1:40" x14ac:dyDescent="0.25">
      <c r="A881" t="str">
        <f>"20190305135556426"</f>
        <v>20190305135556426</v>
      </c>
      <c r="B881" t="str">
        <f>"1551765356422567"</f>
        <v>1551765356422567</v>
      </c>
      <c r="C881" t="s">
        <v>40</v>
      </c>
      <c r="D881">
        <v>4.251322</v>
      </c>
      <c r="E881">
        <v>0.56436969999999997</v>
      </c>
      <c r="F881" t="s">
        <v>42</v>
      </c>
      <c r="G881">
        <v>-193.9273</v>
      </c>
      <c r="H881" s="1">
        <v>-4.6548690000000003E-6</v>
      </c>
      <c r="I881">
        <v>338.6182</v>
      </c>
      <c r="J881">
        <v>-192.9066</v>
      </c>
      <c r="K881">
        <v>1.092287</v>
      </c>
      <c r="L881">
        <v>355.38639999999998</v>
      </c>
      <c r="M881">
        <v>0.35710340000000002</v>
      </c>
      <c r="N881">
        <v>-1.830149E-2</v>
      </c>
      <c r="O881">
        <v>-0.93388559999999998</v>
      </c>
      <c r="P881">
        <v>9.9206680000000005E-2</v>
      </c>
      <c r="Q881">
        <v>-0.1081246</v>
      </c>
      <c r="R881">
        <v>-0.98917500000000003</v>
      </c>
      <c r="S881">
        <v>-0.1644745</v>
      </c>
      <c r="T881">
        <v>-0.19435469999999999</v>
      </c>
      <c r="U881">
        <v>-3.034637</v>
      </c>
      <c r="V881">
        <v>0.25668540000000001</v>
      </c>
      <c r="W881">
        <v>-0.101201</v>
      </c>
      <c r="X881">
        <v>0.96118210000000004</v>
      </c>
      <c r="Y881">
        <v>0.4068059</v>
      </c>
      <c r="Z881">
        <v>3.63126E-2</v>
      </c>
      <c r="AA881">
        <v>0.91279259999999995</v>
      </c>
      <c r="AB881">
        <v>29</v>
      </c>
      <c r="AC881">
        <v>-1.0206999999999999</v>
      </c>
      <c r="AD881">
        <v>-1.092291654869</v>
      </c>
      <c r="AE881">
        <v>-16.768199999999901</v>
      </c>
      <c r="AF881">
        <v>6.91313442624842</v>
      </c>
      <c r="AG881">
        <v>-1.092291654869</v>
      </c>
      <c r="AH881">
        <v>15.233245786016999</v>
      </c>
      <c r="AI881">
        <v>93.735836002105003</v>
      </c>
      <c r="AJ881">
        <v>65.590556309777895</v>
      </c>
      <c r="AK881">
        <v>16.7641374914393</v>
      </c>
      <c r="AL881">
        <v>95.808333390709294</v>
      </c>
      <c r="AM881">
        <v>75.047983832854698</v>
      </c>
      <c r="AN881">
        <v>1.00000003316728</v>
      </c>
    </row>
    <row r="882" spans="1:40" x14ac:dyDescent="0.25">
      <c r="A882" t="str">
        <f>"20190305135556448"</f>
        <v>20190305135556448</v>
      </c>
      <c r="B882" t="str">
        <f>"1551765356443062"</f>
        <v>1551765356443062</v>
      </c>
      <c r="C882" t="s">
        <v>40</v>
      </c>
      <c r="D882">
        <v>4.2845630000000003</v>
      </c>
      <c r="E882">
        <v>0.56499370000000004</v>
      </c>
      <c r="F882" t="s">
        <v>42</v>
      </c>
      <c r="G882">
        <v>-194.0367</v>
      </c>
      <c r="H882" s="1">
        <v>-4.6089239999999999E-6</v>
      </c>
      <c r="I882">
        <v>338.42619999999999</v>
      </c>
      <c r="J882">
        <v>-192.81800000000001</v>
      </c>
      <c r="K882">
        <v>1.0923769999999999</v>
      </c>
      <c r="L882">
        <v>355.10469999999998</v>
      </c>
      <c r="M882">
        <v>0.33798319999999998</v>
      </c>
      <c r="N882">
        <v>-1.827544E-2</v>
      </c>
      <c r="O882">
        <v>-0.9409748</v>
      </c>
      <c r="P882">
        <v>8.5983899999999905E-2</v>
      </c>
      <c r="Q882">
        <v>-0.1105184</v>
      </c>
      <c r="R882">
        <v>-0.99014780000000002</v>
      </c>
      <c r="S882">
        <v>-0.2020111</v>
      </c>
      <c r="T882">
        <v>-0.19525380000000001</v>
      </c>
      <c r="U882">
        <v>-3.0317379999999998</v>
      </c>
      <c r="V882">
        <v>0.24977160000000001</v>
      </c>
      <c r="W882">
        <v>-0.1032453</v>
      </c>
      <c r="X882">
        <v>0.9627848</v>
      </c>
      <c r="Y882">
        <v>0.39947630000000001</v>
      </c>
      <c r="Z882">
        <v>3.7379320000000001E-2</v>
      </c>
      <c r="AA882">
        <v>0.91598109999999999</v>
      </c>
      <c r="AB882">
        <v>29</v>
      </c>
      <c r="AC882">
        <v>-1.2187000000000101</v>
      </c>
      <c r="AD882">
        <v>-1.0923816089239999</v>
      </c>
      <c r="AE882">
        <v>-16.6784999999999</v>
      </c>
      <c r="AF882">
        <v>6.7561228893352201</v>
      </c>
      <c r="AG882">
        <v>-1.0923816089239999</v>
      </c>
      <c r="AH882">
        <v>15.219756542879599</v>
      </c>
      <c r="AI882">
        <v>93.753280828920495</v>
      </c>
      <c r="AJ882">
        <v>66.063335744468304</v>
      </c>
      <c r="AK882">
        <v>16.687704554546698</v>
      </c>
      <c r="AL882">
        <v>95.926080138402099</v>
      </c>
      <c r="AM882">
        <v>75.4565828220681</v>
      </c>
      <c r="AN882">
        <v>1.0000000076248401</v>
      </c>
    </row>
    <row r="883" spans="1:40" x14ac:dyDescent="0.25">
      <c r="A883" t="str">
        <f>"20190305135556472"</f>
        <v>20190305135556472</v>
      </c>
      <c r="B883" t="str">
        <f>"1551765356462582"</f>
        <v>1551765356462582</v>
      </c>
      <c r="C883" t="s">
        <v>40</v>
      </c>
      <c r="D883">
        <v>4.4113100000000003</v>
      </c>
      <c r="E883">
        <v>0.56382549999999998</v>
      </c>
      <c r="F883" t="s">
        <v>42</v>
      </c>
      <c r="G883">
        <v>-194.25470000000001</v>
      </c>
      <c r="H883" s="1">
        <v>-4.2858809999999996E-6</v>
      </c>
      <c r="I883">
        <v>337.36329999999998</v>
      </c>
      <c r="J883">
        <v>-192.72909999999999</v>
      </c>
      <c r="K883">
        <v>1.092525</v>
      </c>
      <c r="L883">
        <v>354.79849999999999</v>
      </c>
      <c r="M883">
        <v>0.31736399999999998</v>
      </c>
      <c r="N883">
        <v>-1.8228609999999999E-2</v>
      </c>
      <c r="O883">
        <v>-0.94812859999999999</v>
      </c>
      <c r="P883">
        <v>7.1193709999999993E-2</v>
      </c>
      <c r="Q883">
        <v>-0.1124424</v>
      </c>
      <c r="R883">
        <v>-0.99110469999999895</v>
      </c>
      <c r="S883">
        <v>-0.24539179999999999</v>
      </c>
      <c r="T883">
        <v>-0.1865849</v>
      </c>
      <c r="U883">
        <v>-3.0303339999999999</v>
      </c>
      <c r="V883">
        <v>0.24303340000000001</v>
      </c>
      <c r="W883">
        <v>-0.1048143</v>
      </c>
      <c r="X883">
        <v>0.96433849999999999</v>
      </c>
      <c r="Y883">
        <v>0.3925536</v>
      </c>
      <c r="Z883">
        <v>3.5670920000000002E-2</v>
      </c>
      <c r="AA883">
        <v>0.9190372</v>
      </c>
      <c r="AB883">
        <v>29</v>
      </c>
      <c r="AC883">
        <v>-1.5256000000000201</v>
      </c>
      <c r="AD883">
        <v>-1.0925292858810001</v>
      </c>
      <c r="AE883">
        <v>-17.435199999999998</v>
      </c>
      <c r="AF883">
        <v>6.9538324295889904</v>
      </c>
      <c r="AG883">
        <v>-1.0925292858810001</v>
      </c>
      <c r="AH883">
        <v>15.9870106631958</v>
      </c>
      <c r="AI883">
        <v>93.585865786456196</v>
      </c>
      <c r="AJ883">
        <v>66.492518475562505</v>
      </c>
      <c r="AK883">
        <v>17.468082769567101</v>
      </c>
      <c r="AL883">
        <v>96.016467656750905</v>
      </c>
      <c r="AM883">
        <v>75.854833703747303</v>
      </c>
      <c r="AN883">
        <v>1.0000000067911401</v>
      </c>
    </row>
    <row r="884" spans="1:40" x14ac:dyDescent="0.25">
      <c r="A884" t="str">
        <f>"20190305135556493"</f>
        <v>20190305135556493</v>
      </c>
      <c r="B884" t="str">
        <f>"1551765356483078"</f>
        <v>1551765356483078</v>
      </c>
      <c r="C884" t="s">
        <v>40</v>
      </c>
      <c r="D884">
        <v>4.3434080000000002</v>
      </c>
      <c r="E884">
        <v>0.56314069999999905</v>
      </c>
      <c r="F884" t="s">
        <v>42</v>
      </c>
      <c r="G884">
        <v>-194.28550000000001</v>
      </c>
      <c r="H884" s="1">
        <v>-4.5397979999999997E-6</v>
      </c>
      <c r="I884">
        <v>338.09339999999997</v>
      </c>
      <c r="J884">
        <v>-192.6541</v>
      </c>
      <c r="K884">
        <v>1.0927089999999999</v>
      </c>
      <c r="L884">
        <v>354.51900000000001</v>
      </c>
      <c r="M884">
        <v>0.29878259999999901</v>
      </c>
      <c r="N884">
        <v>-1.8163039999999998E-2</v>
      </c>
      <c r="O884">
        <v>-0.95414849999999996</v>
      </c>
      <c r="P884">
        <v>5.8096340000000003E-2</v>
      </c>
      <c r="Q884">
        <v>-0.1140892</v>
      </c>
      <c r="R884">
        <v>-0.99177040000000005</v>
      </c>
      <c r="S884">
        <v>-0.28181460000000003</v>
      </c>
      <c r="T884">
        <v>-0.19781940000000001</v>
      </c>
      <c r="U884">
        <v>-3.0247190000000002</v>
      </c>
      <c r="V884">
        <v>0.236874</v>
      </c>
      <c r="W884">
        <v>-0.106128</v>
      </c>
      <c r="X884">
        <v>0.96572639999999998</v>
      </c>
      <c r="Y884">
        <v>0.38567600000000002</v>
      </c>
      <c r="Z884">
        <v>3.972622E-2</v>
      </c>
      <c r="AA884">
        <v>0.9217786</v>
      </c>
      <c r="AB884">
        <v>29</v>
      </c>
      <c r="AC884">
        <v>-1.63140000000001</v>
      </c>
      <c r="AD884">
        <v>-1.0927135397979999</v>
      </c>
      <c r="AE884">
        <v>-16.425599999999999</v>
      </c>
      <c r="AF884">
        <v>6.4371371219798297</v>
      </c>
      <c r="AG884">
        <v>-1.0927135397979999</v>
      </c>
      <c r="AH884">
        <v>15.121264096795</v>
      </c>
      <c r="AI884">
        <v>93.803964516818894</v>
      </c>
      <c r="AJ884">
        <v>66.940497421216605</v>
      </c>
      <c r="AK884">
        <v>16.470682593391501</v>
      </c>
      <c r="AL884">
        <v>96.092159582136304</v>
      </c>
      <c r="AM884">
        <v>76.218530738587305</v>
      </c>
      <c r="AN884">
        <v>0.99999996195847896</v>
      </c>
    </row>
    <row r="885" spans="1:40" x14ac:dyDescent="0.25">
      <c r="A885" t="str">
        <f>"20190305135556520"</f>
        <v>20190305135556520</v>
      </c>
      <c r="B885" t="str">
        <f>"1551765356512358"</f>
        <v>1551765356512358</v>
      </c>
      <c r="C885" t="s">
        <v>40</v>
      </c>
      <c r="D885">
        <v>4.3580290000000002</v>
      </c>
      <c r="E885">
        <v>0.56193459999999995</v>
      </c>
      <c r="F885" t="s">
        <v>42</v>
      </c>
      <c r="G885">
        <v>-194.36060000000001</v>
      </c>
      <c r="H885" s="1">
        <v>-4.6005929999999996E-6</v>
      </c>
      <c r="I885">
        <v>338.23289999999997</v>
      </c>
      <c r="J885">
        <v>-192.57140000000001</v>
      </c>
      <c r="K885">
        <v>1.0930040000000001</v>
      </c>
      <c r="L885">
        <v>354.18259999999998</v>
      </c>
      <c r="M885">
        <v>0.27678589999999997</v>
      </c>
      <c r="N885">
        <v>-1.8054210000000001E-2</v>
      </c>
      <c r="O885">
        <v>-0.960762</v>
      </c>
      <c r="P885">
        <v>4.0704869999999997E-2</v>
      </c>
      <c r="Q885">
        <v>-0.1147958</v>
      </c>
      <c r="R885">
        <v>-0.99255479999999996</v>
      </c>
      <c r="S885">
        <v>-0.31645200000000001</v>
      </c>
      <c r="T885">
        <v>-0.20263229999999999</v>
      </c>
      <c r="U885">
        <v>-3.0200809999999998</v>
      </c>
      <c r="V885">
        <v>0.2316532</v>
      </c>
      <c r="W885">
        <v>-0.1065286</v>
      </c>
      <c r="X885">
        <v>0.96694800000000003</v>
      </c>
      <c r="Y885">
        <v>0.37505450000000001</v>
      </c>
      <c r="Z885">
        <v>4.2103519999999998E-2</v>
      </c>
      <c r="AA885">
        <v>0.92604609999999998</v>
      </c>
      <c r="AB885">
        <v>29</v>
      </c>
      <c r="AC885">
        <v>-1.7891999999999899</v>
      </c>
      <c r="AD885">
        <v>-1.093008600593</v>
      </c>
      <c r="AE885">
        <v>-15.9497</v>
      </c>
      <c r="AF885">
        <v>6.10632743179809</v>
      </c>
      <c r="AG885">
        <v>-1.093008600593</v>
      </c>
      <c r="AH885">
        <v>14.76259178087</v>
      </c>
      <c r="AI885">
        <v>93.913915542895694</v>
      </c>
      <c r="AJ885">
        <v>67.528291168478503</v>
      </c>
      <c r="AK885">
        <v>16.012995303624798</v>
      </c>
      <c r="AL885">
        <v>96.115242951816001</v>
      </c>
      <c r="AM885">
        <v>76.527482119460103</v>
      </c>
      <c r="AN885">
        <v>0.99999999119609995</v>
      </c>
    </row>
    <row r="886" spans="1:40" x14ac:dyDescent="0.25">
      <c r="A886" t="str">
        <f>"20190305135556540"</f>
        <v>20190305135556540</v>
      </c>
      <c r="B886" t="str">
        <f>"1551765356532854"</f>
        <v>1551765356532854</v>
      </c>
      <c r="C886" t="s">
        <v>40</v>
      </c>
      <c r="D886">
        <v>4.4481299999999999</v>
      </c>
      <c r="E886">
        <v>0.56096020000000002</v>
      </c>
      <c r="F886" t="s">
        <v>42</v>
      </c>
      <c r="G886">
        <v>-194.47210000000001</v>
      </c>
      <c r="H886" s="1">
        <v>-4.637245E-6</v>
      </c>
      <c r="I886">
        <v>338.28250000000003</v>
      </c>
      <c r="J886">
        <v>-192.50880000000001</v>
      </c>
      <c r="K886">
        <v>1.0933269999999999</v>
      </c>
      <c r="L886">
        <v>353.90469999999999</v>
      </c>
      <c r="M886">
        <v>0.25903920000000002</v>
      </c>
      <c r="N886">
        <v>-1.794281E-2</v>
      </c>
      <c r="O886">
        <v>-0.96570040000000001</v>
      </c>
      <c r="P886">
        <v>2.8786969999999999E-2</v>
      </c>
      <c r="Q886">
        <v>-0.1159907</v>
      </c>
      <c r="R886">
        <v>-0.99283330000000003</v>
      </c>
      <c r="S886">
        <v>-0.36021419999999998</v>
      </c>
      <c r="T886">
        <v>-0.20714340000000001</v>
      </c>
      <c r="U886">
        <v>-3.0133359999999998</v>
      </c>
      <c r="V886">
        <v>0.22546070000000001</v>
      </c>
      <c r="W886">
        <v>-0.10737480000000001</v>
      </c>
      <c r="X886">
        <v>0.96831719999999999</v>
      </c>
      <c r="Y886">
        <v>0.37146059999999997</v>
      </c>
      <c r="Z886">
        <v>4.4182930000000002E-2</v>
      </c>
      <c r="AA886">
        <v>0.92739680000000002</v>
      </c>
      <c r="AB886">
        <v>29</v>
      </c>
      <c r="AC886">
        <v>-1.9633</v>
      </c>
      <c r="AD886">
        <v>-1.0933316372449999</v>
      </c>
      <c r="AE886">
        <v>-15.6221999999999</v>
      </c>
      <c r="AF886">
        <v>5.9151551005730001</v>
      </c>
      <c r="AG886">
        <v>-1.0933316372449999</v>
      </c>
      <c r="AH886">
        <v>14.5101706734571</v>
      </c>
      <c r="AI886">
        <v>93.991308789050706</v>
      </c>
      <c r="AJ886">
        <v>67.8214497873319</v>
      </c>
      <c r="AK886">
        <v>15.7076251198484</v>
      </c>
      <c r="AL886">
        <v>96.164006052869496</v>
      </c>
      <c r="AM886">
        <v>76.892914867632498</v>
      </c>
      <c r="AN886">
        <v>1.0000000373676801</v>
      </c>
    </row>
    <row r="887" spans="1:40" x14ac:dyDescent="0.25">
      <c r="A887" t="str">
        <f>"20190305135556562"</f>
        <v>20190305135556562</v>
      </c>
      <c r="B887" t="str">
        <f>"1551765356552374"</f>
        <v>1551765356552374</v>
      </c>
      <c r="C887" t="s">
        <v>40</v>
      </c>
      <c r="D887">
        <v>4.4748159999999997</v>
      </c>
      <c r="E887">
        <v>0.5597955</v>
      </c>
      <c r="F887" t="s">
        <v>42</v>
      </c>
      <c r="G887">
        <v>-194.5145</v>
      </c>
      <c r="H887" s="1">
        <v>-4.6743450000000001E-6</v>
      </c>
      <c r="I887">
        <v>338.36939999999998</v>
      </c>
      <c r="J887">
        <v>-192.45179999999999</v>
      </c>
      <c r="K887">
        <v>1.0937619999999999</v>
      </c>
      <c r="L887">
        <v>353.63</v>
      </c>
      <c r="M887">
        <v>0.24206130000000001</v>
      </c>
      <c r="N887">
        <v>-1.780661E-2</v>
      </c>
      <c r="O887">
        <v>-0.97009769999999895</v>
      </c>
      <c r="P887">
        <v>1.8829970000000001E-2</v>
      </c>
      <c r="Q887">
        <v>-0.11743149999999999</v>
      </c>
      <c r="R887">
        <v>-0.99290259999999997</v>
      </c>
      <c r="S887">
        <v>-0.38836670000000001</v>
      </c>
      <c r="T887">
        <v>-0.2117076</v>
      </c>
      <c r="U887">
        <v>-3.0081790000000002</v>
      </c>
      <c r="V887">
        <v>0.2182161</v>
      </c>
      <c r="W887">
        <v>-0.10840130000000001</v>
      </c>
      <c r="X887">
        <v>0.96986130000000004</v>
      </c>
      <c r="Y887">
        <v>0.36389179999999999</v>
      </c>
      <c r="Z887">
        <v>4.6327849999999997E-2</v>
      </c>
      <c r="AA887">
        <v>0.93028840000000002</v>
      </c>
      <c r="AB887">
        <v>29</v>
      </c>
      <c r="AC887">
        <v>-2.0627</v>
      </c>
      <c r="AD887">
        <v>-1.0937666743449901</v>
      </c>
      <c r="AE887">
        <v>-15.2606</v>
      </c>
      <c r="AF887">
        <v>5.6673329245616104</v>
      </c>
      <c r="AG887">
        <v>-1.0937666743449901</v>
      </c>
      <c r="AH887">
        <v>14.235424641343201</v>
      </c>
      <c r="AI887">
        <v>94.0831343338876</v>
      </c>
      <c r="AJ887">
        <v>68.291767597756703</v>
      </c>
      <c r="AK887">
        <v>15.361064505270701</v>
      </c>
      <c r="AL887">
        <v>96.223165560899602</v>
      </c>
      <c r="AM887">
        <v>77.319767906564806</v>
      </c>
      <c r="AN887">
        <v>1.0000000246892899</v>
      </c>
    </row>
    <row r="888" spans="1:40" x14ac:dyDescent="0.25">
      <c r="A888" t="str">
        <f>"20190305135556583"</f>
        <v>20190305135556583</v>
      </c>
      <c r="B888" t="str">
        <f>"1551765356572870"</f>
        <v>1551765356572870</v>
      </c>
      <c r="C888" t="s">
        <v>40</v>
      </c>
      <c r="D888">
        <v>4.3679730000000001</v>
      </c>
      <c r="E888">
        <v>0.55931009999999903</v>
      </c>
      <c r="F888" t="s">
        <v>42</v>
      </c>
      <c r="G888">
        <v>-194.5172</v>
      </c>
      <c r="H888" s="1">
        <v>-4.7101019999999996E-6</v>
      </c>
      <c r="I888">
        <v>338.47309999999999</v>
      </c>
      <c r="J888">
        <v>-192.39760000000001</v>
      </c>
      <c r="K888">
        <v>1.09434599999999</v>
      </c>
      <c r="L888">
        <v>353.34699999999998</v>
      </c>
      <c r="M888">
        <v>0.2253262</v>
      </c>
      <c r="N888">
        <v>-1.7632100000000001E-2</v>
      </c>
      <c r="O888">
        <v>-0.97412390000000004</v>
      </c>
      <c r="P888">
        <v>9.1000999999999999E-3</v>
      </c>
      <c r="Q888">
        <v>-0.1188343</v>
      </c>
      <c r="R888">
        <v>-0.99287259999999999</v>
      </c>
      <c r="S888">
        <v>-0.4092865</v>
      </c>
      <c r="T888">
        <v>-0.21674379999999999</v>
      </c>
      <c r="U888">
        <v>-3.0035400000000001</v>
      </c>
      <c r="V888">
        <v>0.21110039999999999</v>
      </c>
      <c r="W888">
        <v>-0.10936899999999999</v>
      </c>
      <c r="X888">
        <v>0.97132640000000003</v>
      </c>
      <c r="Y888">
        <v>0.35438229999999998</v>
      </c>
      <c r="Z888">
        <v>4.8672609999999998E-2</v>
      </c>
      <c r="AA888">
        <v>0.93383309999999997</v>
      </c>
      <c r="AB888">
        <v>29</v>
      </c>
      <c r="AC888">
        <v>-2.1195999999999899</v>
      </c>
      <c r="AD888">
        <v>-1.09435071010199</v>
      </c>
      <c r="AE888">
        <v>-14.8738999999999</v>
      </c>
      <c r="AF888">
        <v>5.3884850803814999</v>
      </c>
      <c r="AG888">
        <v>-1.09435071010199</v>
      </c>
      <c r="AH888">
        <v>13.939639698096199</v>
      </c>
      <c r="AI888">
        <v>94.188055215821905</v>
      </c>
      <c r="AJ888">
        <v>68.865570851708895</v>
      </c>
      <c r="AK888">
        <v>14.9848900513462</v>
      </c>
      <c r="AL888">
        <v>96.278942686234402</v>
      </c>
      <c r="AM888">
        <v>77.738465750106201</v>
      </c>
      <c r="AN888">
        <v>0.99999996618905895</v>
      </c>
    </row>
    <row r="889" spans="1:40" x14ac:dyDescent="0.25">
      <c r="A889" t="str">
        <f>"20190305135556606"</f>
        <v>20190305135556606</v>
      </c>
      <c r="B889" t="str">
        <f>"1551765356603126"</f>
        <v>1551765356603126</v>
      </c>
      <c r="C889" t="s">
        <v>40</v>
      </c>
      <c r="D889">
        <v>4.3269799999999998</v>
      </c>
      <c r="E889">
        <v>0.55871040000000005</v>
      </c>
      <c r="F889" t="s">
        <v>42</v>
      </c>
      <c r="G889">
        <v>-194.61770000000001</v>
      </c>
      <c r="H889" s="1">
        <v>-4.5701620000000001E-6</v>
      </c>
      <c r="I889">
        <v>338.0095</v>
      </c>
      <c r="J889">
        <v>-192.34559999999999</v>
      </c>
      <c r="K889">
        <v>1.095108</v>
      </c>
      <c r="L889">
        <v>353.0521</v>
      </c>
      <c r="M889">
        <v>0.208846</v>
      </c>
      <c r="N889">
        <v>-1.7417350000000002E-2</v>
      </c>
      <c r="O889">
        <v>-0.97779349999999998</v>
      </c>
      <c r="P889">
        <v>-6.9974779999999997E-4</v>
      </c>
      <c r="Q889">
        <v>-0.11782620000000001</v>
      </c>
      <c r="R889">
        <v>-0.99303430000000004</v>
      </c>
      <c r="S889">
        <v>-0.43423460000000003</v>
      </c>
      <c r="T889">
        <v>-0.21404980000000001</v>
      </c>
      <c r="U889">
        <v>-2.9999389999999999</v>
      </c>
      <c r="V889">
        <v>0.20455480000000001</v>
      </c>
      <c r="W889">
        <v>-0.10791630000000001</v>
      </c>
      <c r="X889">
        <v>0.97288819999999998</v>
      </c>
      <c r="Y889">
        <v>0.34636319999999998</v>
      </c>
      <c r="Z889">
        <v>4.8608909999999998E-2</v>
      </c>
      <c r="AA889">
        <v>0.93684029999999996</v>
      </c>
      <c r="AB889">
        <v>29</v>
      </c>
      <c r="AC889">
        <v>-2.27210000000002</v>
      </c>
      <c r="AD889">
        <v>-1.0951125701619999</v>
      </c>
      <c r="AE889">
        <v>-15.042599999999901</v>
      </c>
      <c r="AF889">
        <v>5.33639300043306</v>
      </c>
      <c r="AG889">
        <v>-1.0951125701619999</v>
      </c>
      <c r="AH889">
        <v>14.162808152561301</v>
      </c>
      <c r="AI889">
        <v>94.138552286446895</v>
      </c>
      <c r="AJ889">
        <v>69.354133287906294</v>
      </c>
      <c r="AK889">
        <v>15.1743697253841</v>
      </c>
      <c r="AL889">
        <v>96.195213146566005</v>
      </c>
      <c r="AM889">
        <v>78.126217477596398</v>
      </c>
      <c r="AN889">
        <v>1.00000002185398</v>
      </c>
    </row>
    <row r="890" spans="1:40" x14ac:dyDescent="0.25">
      <c r="A890" t="str">
        <f>"20190305135556629"</f>
        <v>20190305135556629</v>
      </c>
      <c r="B890" t="str">
        <f>"1551765356622647"</f>
        <v>1551765356622647</v>
      </c>
      <c r="C890" t="s">
        <v>40</v>
      </c>
      <c r="D890">
        <v>4.3725350000000001</v>
      </c>
      <c r="E890">
        <v>0.54432040000000004</v>
      </c>
      <c r="F890" t="s">
        <v>42</v>
      </c>
      <c r="G890">
        <v>-194.785</v>
      </c>
      <c r="H890" s="1">
        <v>-4.29931999999999E-6</v>
      </c>
      <c r="I890">
        <v>337.12639999999999</v>
      </c>
      <c r="J890">
        <v>-192.2961</v>
      </c>
      <c r="K890">
        <v>1.0960319999999999</v>
      </c>
      <c r="L890">
        <v>352.7473</v>
      </c>
      <c r="M890">
        <v>0.19294430000000001</v>
      </c>
      <c r="N890">
        <v>-1.717633E-2</v>
      </c>
      <c r="O890">
        <v>-0.98105940000000003</v>
      </c>
      <c r="P890">
        <v>-8.4359299999999995E-3</v>
      </c>
      <c r="Q890">
        <v>-0.1157768</v>
      </c>
      <c r="R890">
        <v>-0.99323950000000005</v>
      </c>
      <c r="S890">
        <v>-0.45893859999999997</v>
      </c>
      <c r="T890">
        <v>-0.20603360000000001</v>
      </c>
      <c r="U890">
        <v>-2.9962460000000002</v>
      </c>
      <c r="V890">
        <v>0.1966968</v>
      </c>
      <c r="W890">
        <v>-0.1053523</v>
      </c>
      <c r="X890">
        <v>0.97478779999999998</v>
      </c>
      <c r="Y890">
        <v>0.3388776</v>
      </c>
      <c r="Z890">
        <v>4.6854809999999997E-2</v>
      </c>
      <c r="AA890">
        <v>0.93966309999999997</v>
      </c>
      <c r="AB890">
        <v>29</v>
      </c>
      <c r="AC890">
        <v>-2.4889000000000001</v>
      </c>
      <c r="AD890">
        <v>-1.0960362993199999</v>
      </c>
      <c r="AE890">
        <v>-15.620900000000001</v>
      </c>
      <c r="AF890">
        <v>5.4304543988889602</v>
      </c>
      <c r="AG890">
        <v>-1.0960362993199999</v>
      </c>
      <c r="AH890">
        <v>14.7760585675851</v>
      </c>
      <c r="AI890">
        <v>93.982700069086206</v>
      </c>
      <c r="AJ890">
        <v>69.820756050998099</v>
      </c>
      <c r="AK890">
        <v>15.7804637872448</v>
      </c>
      <c r="AL890">
        <v>96.047464463802399</v>
      </c>
      <c r="AM890">
        <v>78.591804686968104</v>
      </c>
      <c r="AN890">
        <v>0.99999999663718497</v>
      </c>
    </row>
    <row r="891" spans="1:40" x14ac:dyDescent="0.25">
      <c r="A891" t="str">
        <f>"20190305135556650"</f>
        <v>20190305135556650</v>
      </c>
      <c r="B891" t="str">
        <f>"1551765356642166"</f>
        <v>1551765356642166</v>
      </c>
      <c r="C891" t="s">
        <v>40</v>
      </c>
      <c r="D891">
        <v>4.5077850000000002</v>
      </c>
      <c r="E891">
        <v>0.54369460000000003</v>
      </c>
      <c r="F891" t="s">
        <v>42</v>
      </c>
      <c r="G891">
        <v>-195.41829999999999</v>
      </c>
      <c r="H891" s="1">
        <v>-4.2834039999999996E-6</v>
      </c>
      <c r="I891">
        <v>326.74950000000001</v>
      </c>
      <c r="J891">
        <v>-192.25479999999999</v>
      </c>
      <c r="K891">
        <v>1.0969469999999999</v>
      </c>
      <c r="L891">
        <v>352.47199999999998</v>
      </c>
      <c r="M891">
        <v>0.1797213</v>
      </c>
      <c r="N891">
        <v>-1.6954029999999998E-2</v>
      </c>
      <c r="O891">
        <v>-0.98357159999999999</v>
      </c>
      <c r="P891">
        <v>-1.205386E-2</v>
      </c>
      <c r="Q891">
        <v>-0.112470899999999</v>
      </c>
      <c r="R891">
        <v>-0.99358210000000002</v>
      </c>
      <c r="S891">
        <v>-0.36059570000000002</v>
      </c>
      <c r="T891">
        <v>-0.1265857</v>
      </c>
      <c r="U891">
        <v>-3.0025940000000002</v>
      </c>
      <c r="V891">
        <v>0.1875259</v>
      </c>
      <c r="W891">
        <v>-0.1015205</v>
      </c>
      <c r="X891">
        <v>0.97699930000000001</v>
      </c>
      <c r="Y891">
        <v>0.29557800000000001</v>
      </c>
      <c r="Z891">
        <v>2.2874800000000001E-2</v>
      </c>
      <c r="AA891">
        <v>0.95504469999999997</v>
      </c>
      <c r="AB891">
        <v>29</v>
      </c>
      <c r="AC891">
        <v>-3.1634999999999902</v>
      </c>
      <c r="AD891">
        <v>-1.0969512834039901</v>
      </c>
      <c r="AE891">
        <v>-25.722499999999901</v>
      </c>
      <c r="AF891">
        <v>7.7216868719468597</v>
      </c>
      <c r="AG891">
        <v>-1.0969512834039901</v>
      </c>
      <c r="AH891">
        <v>24.690689298272702</v>
      </c>
      <c r="AI891">
        <v>92.428030926991696</v>
      </c>
      <c r="AJ891">
        <v>72.633616252917093</v>
      </c>
      <c r="AK891">
        <v>25.893201584400401</v>
      </c>
      <c r="AL891">
        <v>95.8267343331528</v>
      </c>
      <c r="AM891">
        <v>79.1347532089179</v>
      </c>
      <c r="AN891">
        <v>1.0000000036457699</v>
      </c>
    </row>
    <row r="892" spans="1:40" x14ac:dyDescent="0.25">
      <c r="A892" t="str">
        <f>"20190305135556672"</f>
        <v>20190305135556672</v>
      </c>
      <c r="B892" t="str">
        <f>"1551765356662662"</f>
        <v>1551765356662662</v>
      </c>
      <c r="C892" t="s">
        <v>40</v>
      </c>
      <c r="D892">
        <v>4.4621089999999999</v>
      </c>
      <c r="E892">
        <v>0.53369560000000005</v>
      </c>
      <c r="F892" t="s">
        <v>42</v>
      </c>
      <c r="G892">
        <v>-195.71899999999999</v>
      </c>
      <c r="H892" s="1">
        <v>-3.4176760000000001E-6</v>
      </c>
      <c r="I892">
        <v>324.04880000000003</v>
      </c>
      <c r="J892">
        <v>-192.2149</v>
      </c>
      <c r="K892">
        <v>1.097879</v>
      </c>
      <c r="L892">
        <v>352.185</v>
      </c>
      <c r="M892">
        <v>0.1670596</v>
      </c>
      <c r="N892">
        <v>-1.6728929999999999E-2</v>
      </c>
      <c r="O892">
        <v>-0.98580489999999998</v>
      </c>
      <c r="P892">
        <v>-1.5170360000000001E-2</v>
      </c>
      <c r="Q892">
        <v>-0.1103635</v>
      </c>
      <c r="R892">
        <v>-0.99377570000000004</v>
      </c>
      <c r="S892">
        <v>-0.36586000000000002</v>
      </c>
      <c r="T892">
        <v>-0.115851</v>
      </c>
      <c r="U892">
        <v>-3.0018310000000001</v>
      </c>
      <c r="V892">
        <v>0.1783554</v>
      </c>
      <c r="W892">
        <v>-9.8925689999999997E-2</v>
      </c>
      <c r="X892">
        <v>0.97898070000000004</v>
      </c>
      <c r="Y892">
        <v>0.28498069999999998</v>
      </c>
      <c r="Z892">
        <v>1.9919989999999999E-2</v>
      </c>
      <c r="AA892">
        <v>0.95832629999999996</v>
      </c>
      <c r="AB892">
        <v>29</v>
      </c>
      <c r="AC892">
        <v>-3.5041000000000202</v>
      </c>
      <c r="AD892">
        <v>-1.097882417676</v>
      </c>
      <c r="AE892">
        <v>-28.136199999999899</v>
      </c>
      <c r="AF892">
        <v>8.1437122277778098</v>
      </c>
      <c r="AG892">
        <v>-1.097882417676</v>
      </c>
      <c r="AH892">
        <v>27.114555825240998</v>
      </c>
      <c r="AI892">
        <v>92.220771838706398</v>
      </c>
      <c r="AJ892">
        <v>73.282640110589995</v>
      </c>
      <c r="AK892">
        <v>28.332393690827001</v>
      </c>
      <c r="AL892">
        <v>95.677309865398499</v>
      </c>
      <c r="AM892">
        <v>79.674821522917796</v>
      </c>
      <c r="AN892">
        <v>1.0000000759118099</v>
      </c>
    </row>
    <row r="893" spans="1:40" x14ac:dyDescent="0.25">
      <c r="A893" t="str">
        <f>"20190305135556695"</f>
        <v>20190305135556695</v>
      </c>
      <c r="B893" t="str">
        <f>"1551765356692918"</f>
        <v>1551765356692918</v>
      </c>
      <c r="C893" t="s">
        <v>40</v>
      </c>
      <c r="D893">
        <v>4.4504739999999998</v>
      </c>
      <c r="E893">
        <v>0.53119939999999999</v>
      </c>
      <c r="F893" t="s">
        <v>42</v>
      </c>
      <c r="G893">
        <v>-193.93289999999999</v>
      </c>
      <c r="H893" s="1">
        <v>-3.4708470000000001E-6</v>
      </c>
      <c r="I893">
        <v>335.24040000000002</v>
      </c>
      <c r="J893">
        <v>-192.17699999999999</v>
      </c>
      <c r="K893">
        <v>1.098714</v>
      </c>
      <c r="L893">
        <v>351.89100000000002</v>
      </c>
      <c r="M893">
        <v>0.1550781</v>
      </c>
      <c r="N893">
        <v>-1.6512229999999999E-2</v>
      </c>
      <c r="O893">
        <v>-0.98776439999999999</v>
      </c>
      <c r="P893">
        <v>-1.7391810000000001E-2</v>
      </c>
      <c r="Q893">
        <v>-0.10930479999999999</v>
      </c>
      <c r="R893">
        <v>-0.99385610000000002</v>
      </c>
      <c r="S893">
        <v>-0.303421</v>
      </c>
      <c r="T893">
        <v>-0.1939032</v>
      </c>
      <c r="U893">
        <v>-2.9926759999999999</v>
      </c>
      <c r="V893">
        <v>0.16890289999999999</v>
      </c>
      <c r="W893">
        <v>-9.7451270000000006E-2</v>
      </c>
      <c r="X893">
        <v>0.98080330000000004</v>
      </c>
      <c r="Y893">
        <v>0.25367679999999998</v>
      </c>
      <c r="Z893">
        <v>4.564758E-2</v>
      </c>
      <c r="AA893">
        <v>0.96621140000000005</v>
      </c>
      <c r="AB893">
        <v>29</v>
      </c>
      <c r="AC893">
        <v>-1.75589999999996</v>
      </c>
      <c r="AD893">
        <v>-1.098717470847</v>
      </c>
      <c r="AE893">
        <v>-16.650599999999901</v>
      </c>
      <c r="AF893">
        <v>4.2986352604292897</v>
      </c>
      <c r="AG893">
        <v>-1.098717470847</v>
      </c>
      <c r="AH893">
        <v>16.107406571335499</v>
      </c>
      <c r="AI893">
        <v>93.770646612382393</v>
      </c>
      <c r="AJ893">
        <v>75.057535112297998</v>
      </c>
      <c r="AK893">
        <v>16.707303541782402</v>
      </c>
      <c r="AL893">
        <v>95.592421904196499</v>
      </c>
      <c r="AM893">
        <v>80.229002899414297</v>
      </c>
      <c r="AN893">
        <v>1.00000002647195</v>
      </c>
    </row>
    <row r="894" spans="1:40" x14ac:dyDescent="0.25">
      <c r="A894" t="str">
        <f>"20190305135556719"</f>
        <v>20190305135556719</v>
      </c>
      <c r="B894" t="str">
        <f>"1551765356712438"</f>
        <v>1551765356712438</v>
      </c>
      <c r="C894" t="s">
        <v>40</v>
      </c>
      <c r="D894">
        <v>4.4226429999999999</v>
      </c>
      <c r="E894">
        <v>0.53175859999999997</v>
      </c>
      <c r="F894" t="s">
        <v>42</v>
      </c>
      <c r="G894">
        <v>-193.7467</v>
      </c>
      <c r="H894" s="1">
        <v>-3.657282E-6</v>
      </c>
      <c r="I894">
        <v>335.79050000000001</v>
      </c>
      <c r="J894">
        <v>-192.13980000000001</v>
      </c>
      <c r="K894">
        <v>1.099491</v>
      </c>
      <c r="L894">
        <v>351.57819999999998</v>
      </c>
      <c r="M894">
        <v>0.1434539</v>
      </c>
      <c r="N894">
        <v>-1.6296140000000001E-2</v>
      </c>
      <c r="O894">
        <v>-0.98952289999999998</v>
      </c>
      <c r="P894">
        <v>-1.9439339999999999E-2</v>
      </c>
      <c r="Q894">
        <v>-0.10948620000000001</v>
      </c>
      <c r="R894">
        <v>-0.99379830000000002</v>
      </c>
      <c r="S894">
        <v>-0.2916107</v>
      </c>
      <c r="T894">
        <v>-0.20410980000000001</v>
      </c>
      <c r="U894">
        <v>-2.9909970000000001</v>
      </c>
      <c r="V894">
        <v>0.15956890000000001</v>
      </c>
      <c r="W894">
        <v>-9.7284410000000002E-2</v>
      </c>
      <c r="X894">
        <v>0.98238159999999997</v>
      </c>
      <c r="Y894">
        <v>0.23853930000000001</v>
      </c>
      <c r="Z894">
        <v>4.950475E-2</v>
      </c>
      <c r="AA894">
        <v>0.96987029999999996</v>
      </c>
      <c r="AB894">
        <v>29</v>
      </c>
      <c r="AC894">
        <v>-1.60689999999999</v>
      </c>
      <c r="AD894">
        <v>-1.0994946572819999</v>
      </c>
      <c r="AE894">
        <v>-15.7876999999999</v>
      </c>
      <c r="AF894">
        <v>3.8369643875337398</v>
      </c>
      <c r="AG894">
        <v>-1.0994946572819999</v>
      </c>
      <c r="AH894">
        <v>15.32027495426</v>
      </c>
      <c r="AI894">
        <v>93.982342017094794</v>
      </c>
      <c r="AJ894">
        <v>75.939487287334103</v>
      </c>
      <c r="AK894">
        <v>15.8316773870212</v>
      </c>
      <c r="AL894">
        <v>95.582815760334299</v>
      </c>
      <c r="AM894">
        <v>80.773984004065397</v>
      </c>
      <c r="AN894">
        <v>1.0000000491473999</v>
      </c>
    </row>
    <row r="895" spans="1:40" x14ac:dyDescent="0.25">
      <c r="A895" t="str">
        <f>"20190305135556742"</f>
        <v>20190305135556742</v>
      </c>
      <c r="B895" t="str">
        <f>"1551765356732934"</f>
        <v>1551765356732934</v>
      </c>
      <c r="C895" t="s">
        <v>40</v>
      </c>
      <c r="D895">
        <v>4.4461599999999999</v>
      </c>
      <c r="E895">
        <v>0.53057209999999999</v>
      </c>
      <c r="F895" t="s">
        <v>42</v>
      </c>
      <c r="G895">
        <v>-193.8383</v>
      </c>
      <c r="H895" s="1">
        <v>-3.2340910000000001E-6</v>
      </c>
      <c r="I895">
        <v>334.74720000000002</v>
      </c>
      <c r="J895">
        <v>-192.10740000000001</v>
      </c>
      <c r="K895">
        <v>1.1002259999999999</v>
      </c>
      <c r="L895">
        <v>351.28280000000001</v>
      </c>
      <c r="M895">
        <v>0.1335916</v>
      </c>
      <c r="N895">
        <v>-1.6095439999999999E-2</v>
      </c>
      <c r="O895">
        <v>-0.99090579999999995</v>
      </c>
      <c r="P895">
        <v>-1.544821E-2</v>
      </c>
      <c r="Q895">
        <v>-0.1107954</v>
      </c>
      <c r="R895">
        <v>-0.99372340000000003</v>
      </c>
      <c r="S895">
        <v>-0.30186459999999998</v>
      </c>
      <c r="T895">
        <v>-0.1954061</v>
      </c>
      <c r="U895">
        <v>-2.9912719999999999</v>
      </c>
      <c r="V895">
        <v>0.14596600000000001</v>
      </c>
      <c r="W895">
        <v>-9.8181500000000005E-2</v>
      </c>
      <c r="X895">
        <v>0.98440559999999999</v>
      </c>
      <c r="Y895">
        <v>0.23217090000000001</v>
      </c>
      <c r="Z895">
        <v>4.7079250000000003E-2</v>
      </c>
      <c r="AA895">
        <v>0.97153500000000004</v>
      </c>
      <c r="AB895">
        <v>29</v>
      </c>
      <c r="AC895">
        <v>-1.7308999999999899</v>
      </c>
      <c r="AD895">
        <v>-1.10022923409099</v>
      </c>
      <c r="AE895">
        <v>-16.535599999999899</v>
      </c>
      <c r="AF895">
        <v>3.9075723549256498</v>
      </c>
      <c r="AG895">
        <v>-1.10022923409099</v>
      </c>
      <c r="AH895">
        <v>16.085638391271001</v>
      </c>
      <c r="AI895">
        <v>93.802584335911206</v>
      </c>
      <c r="AJ895">
        <v>76.346014979677093</v>
      </c>
      <c r="AK895">
        <v>16.589978557287498</v>
      </c>
      <c r="AL895">
        <v>95.634462572968502</v>
      </c>
      <c r="AM895">
        <v>81.565733484637605</v>
      </c>
      <c r="AN895">
        <v>1.0000000327048</v>
      </c>
    </row>
    <row r="896" spans="1:40" x14ac:dyDescent="0.25">
      <c r="A896" t="str">
        <f>"20190305135556764"</f>
        <v>20190305135556764</v>
      </c>
      <c r="B896" t="str">
        <f>"1551765356752960"</f>
        <v>1551765356752960</v>
      </c>
      <c r="C896" t="s">
        <v>40</v>
      </c>
      <c r="D896">
        <v>4.4782219999999997</v>
      </c>
      <c r="E896">
        <v>0.52984339999999996</v>
      </c>
      <c r="F896" t="s">
        <v>42</v>
      </c>
      <c r="G896">
        <v>-193.60069999999999</v>
      </c>
      <c r="H896" s="1">
        <v>-3.4439219999999999E-6</v>
      </c>
      <c r="I896">
        <v>335.38380000000001</v>
      </c>
      <c r="J896">
        <v>-192.07769999999999</v>
      </c>
      <c r="K896">
        <v>1.101037</v>
      </c>
      <c r="L896">
        <v>350.99279999999999</v>
      </c>
      <c r="M896">
        <v>0.12503619999999999</v>
      </c>
      <c r="N896">
        <v>-1.5896270000000001E-2</v>
      </c>
      <c r="O896">
        <v>-0.99202480000000004</v>
      </c>
      <c r="P896">
        <v>-1.118368E-2</v>
      </c>
      <c r="Q896">
        <v>-0.1107041</v>
      </c>
      <c r="R896">
        <v>-0.99379059999999997</v>
      </c>
      <c r="S896">
        <v>-0.28097529999999998</v>
      </c>
      <c r="T896">
        <v>-0.20701620000000001</v>
      </c>
      <c r="U896">
        <v>-2.9915159999999998</v>
      </c>
      <c r="V896">
        <v>0.13344679999999901</v>
      </c>
      <c r="W896">
        <v>-9.7722719999999999E-2</v>
      </c>
      <c r="X896">
        <v>0.9862263</v>
      </c>
      <c r="Y896">
        <v>0.2170086</v>
      </c>
      <c r="Z896">
        <v>5.1291539999999997E-2</v>
      </c>
      <c r="AA896">
        <v>0.97482120000000005</v>
      </c>
      <c r="AB896">
        <v>29</v>
      </c>
      <c r="AC896">
        <v>-1.5229999999999899</v>
      </c>
      <c r="AD896">
        <v>-1.1010404439219901</v>
      </c>
      <c r="AE896">
        <v>-15.608999999999901</v>
      </c>
      <c r="AF896">
        <v>3.4459968345966101</v>
      </c>
      <c r="AG896">
        <v>-1.1010404439219901</v>
      </c>
      <c r="AH896">
        <v>15.220996814584399</v>
      </c>
      <c r="AI896">
        <v>94.035613583091106</v>
      </c>
      <c r="AJ896">
        <v>77.243422439638096</v>
      </c>
      <c r="AK896">
        <v>15.644996908685901</v>
      </c>
      <c r="AL896">
        <v>95.608049320030005</v>
      </c>
      <c r="AM896">
        <v>82.294079539292895</v>
      </c>
      <c r="AN896">
        <v>1.0000000466230601</v>
      </c>
    </row>
    <row r="897" spans="1:40" x14ac:dyDescent="0.25">
      <c r="A897" t="str">
        <f>"20190305135556786"</f>
        <v>20190305135556786</v>
      </c>
      <c r="B897" t="str">
        <f>"1551765356782241"</f>
        <v>1551765356782241</v>
      </c>
      <c r="C897" t="s">
        <v>40</v>
      </c>
      <c r="D897">
        <v>4.484674</v>
      </c>
      <c r="E897">
        <v>0.52875269999999996</v>
      </c>
      <c r="F897" t="s">
        <v>42</v>
      </c>
      <c r="G897">
        <v>-193.45339999999999</v>
      </c>
      <c r="H897" s="1">
        <v>-3.3739949999999999E-6</v>
      </c>
      <c r="I897">
        <v>335.31209999999999</v>
      </c>
      <c r="J897">
        <v>-192.0515</v>
      </c>
      <c r="K897">
        <v>1.1019330000000001</v>
      </c>
      <c r="L897">
        <v>350.7235</v>
      </c>
      <c r="M897">
        <v>0.1181396</v>
      </c>
      <c r="N897">
        <v>-1.5714240000000001E-2</v>
      </c>
      <c r="O897">
        <v>-0.99287270000000005</v>
      </c>
      <c r="P897">
        <v>-7.6665429999999996E-3</v>
      </c>
      <c r="Q897">
        <v>-0.1066831</v>
      </c>
      <c r="R897">
        <v>-0.99426349999999997</v>
      </c>
      <c r="S897">
        <v>-0.26252750000000002</v>
      </c>
      <c r="T897">
        <v>-0.21011160000000001</v>
      </c>
      <c r="U897">
        <v>-2.99234</v>
      </c>
      <c r="V897">
        <v>0.1234412</v>
      </c>
      <c r="W897">
        <v>-9.3388860000000004E-2</v>
      </c>
      <c r="X897">
        <v>0.98794780000000004</v>
      </c>
      <c r="Y897">
        <v>0.20422470000000001</v>
      </c>
      <c r="Z897">
        <v>5.2672450000000003E-2</v>
      </c>
      <c r="AA897">
        <v>0.97750599999999999</v>
      </c>
      <c r="AB897">
        <v>29</v>
      </c>
      <c r="AC897">
        <v>-1.4018999999999799</v>
      </c>
      <c r="AD897">
        <v>-1.1019363739949899</v>
      </c>
      <c r="AE897">
        <v>-15.4114</v>
      </c>
      <c r="AF897">
        <v>3.1967921318511698</v>
      </c>
      <c r="AG897">
        <v>-1.1019363739949899</v>
      </c>
      <c r="AH897">
        <v>15.0614379374433</v>
      </c>
      <c r="AI897">
        <v>94.093589641410105</v>
      </c>
      <c r="AJ897">
        <v>78.016799439421803</v>
      </c>
      <c r="AK897">
        <v>15.436342068315801</v>
      </c>
      <c r="AL897">
        <v>95.358595839740104</v>
      </c>
      <c r="AM897">
        <v>82.877968704607994</v>
      </c>
      <c r="AN897">
        <v>1.00000003227718</v>
      </c>
    </row>
    <row r="898" spans="1:40" x14ac:dyDescent="0.25">
      <c r="A898" t="str">
        <f>"20190305135556809"</f>
        <v>20190305135556809</v>
      </c>
      <c r="B898" t="str">
        <f>"1551765356802736"</f>
        <v>1551765356802736</v>
      </c>
      <c r="C898" t="s">
        <v>40</v>
      </c>
      <c r="D898">
        <v>4.3919009999999998</v>
      </c>
      <c r="E898">
        <v>0.52903710000000004</v>
      </c>
      <c r="F898" t="s">
        <v>42</v>
      </c>
      <c r="G898">
        <v>-193.3554</v>
      </c>
      <c r="H898" s="1">
        <v>-3.1042580000000002E-6</v>
      </c>
      <c r="I898">
        <v>334.7441</v>
      </c>
      <c r="J898">
        <v>-192.02289999999999</v>
      </c>
      <c r="K898">
        <v>1.1030850000000001</v>
      </c>
      <c r="L898">
        <v>350.41750000000002</v>
      </c>
      <c r="M898">
        <v>0.1114737</v>
      </c>
      <c r="N898">
        <v>-1.5522909999999999E-2</v>
      </c>
      <c r="O898">
        <v>-0.99364620000000003</v>
      </c>
      <c r="P898">
        <v>-6.3386190000000002E-3</v>
      </c>
      <c r="Q898">
        <v>-0.1015731</v>
      </c>
      <c r="R898">
        <v>-0.99480780000000002</v>
      </c>
      <c r="S898">
        <v>-0.2442474</v>
      </c>
      <c r="T898">
        <v>-0.2064164</v>
      </c>
      <c r="U898">
        <v>-2.9932859999999999</v>
      </c>
      <c r="V898">
        <v>0.115888</v>
      </c>
      <c r="W898">
        <v>-8.7991169999999994E-2</v>
      </c>
      <c r="X898">
        <v>0.98935709999999999</v>
      </c>
      <c r="Y898">
        <v>0.19170110000000001</v>
      </c>
      <c r="Z898">
        <v>5.1837910000000001E-2</v>
      </c>
      <c r="AA898">
        <v>0.98008340000000005</v>
      </c>
      <c r="AB898">
        <v>29</v>
      </c>
      <c r="AC898">
        <v>-1.33250000000001</v>
      </c>
      <c r="AD898">
        <v>-1.1030881042579901</v>
      </c>
      <c r="AE898">
        <v>-15.673400000000001</v>
      </c>
      <c r="AF898">
        <v>3.0565440450681902</v>
      </c>
      <c r="AG898">
        <v>-1.1030881042579901</v>
      </c>
      <c r="AH898">
        <v>15.3516380358784</v>
      </c>
      <c r="AI898">
        <v>94.031056451695207</v>
      </c>
      <c r="AJ898">
        <v>78.7395408310541</v>
      </c>
      <c r="AK898">
        <v>15.6917830487751</v>
      </c>
      <c r="AL898">
        <v>95.048051203174495</v>
      </c>
      <c r="AM898">
        <v>83.319122835927502</v>
      </c>
      <c r="AN898">
        <v>0.99999997293118903</v>
      </c>
    </row>
    <row r="899" spans="1:40" x14ac:dyDescent="0.25">
      <c r="A899" t="str">
        <f>"20190305135556831"</f>
        <v>20190305135556831</v>
      </c>
      <c r="B899" t="str">
        <f>"1551765356822257"</f>
        <v>1551765356822257</v>
      </c>
      <c r="C899" t="s">
        <v>40</v>
      </c>
      <c r="D899">
        <v>4.4795339999999904</v>
      </c>
      <c r="E899">
        <v>0.52871219999999997</v>
      </c>
      <c r="F899" t="s">
        <v>42</v>
      </c>
      <c r="G899">
        <v>-193.44499999999999</v>
      </c>
      <c r="H899" s="1">
        <v>-2.3374540000000001E-6</v>
      </c>
      <c r="I899">
        <v>332.90109999999999</v>
      </c>
      <c r="J899">
        <v>-191.99809999999999</v>
      </c>
      <c r="K899">
        <v>1.1041669999999999</v>
      </c>
      <c r="L899">
        <v>350.1454</v>
      </c>
      <c r="M899">
        <v>0.106724</v>
      </c>
      <c r="N899">
        <v>-1.537198E-2</v>
      </c>
      <c r="O899">
        <v>-0.99416979999999999</v>
      </c>
      <c r="P899">
        <v>-3.67549E-3</v>
      </c>
      <c r="Q899">
        <v>-9.9684739999999994E-2</v>
      </c>
      <c r="R899">
        <v>-0.99501209999999995</v>
      </c>
      <c r="S899">
        <v>-0.2431335</v>
      </c>
      <c r="T899">
        <v>-0.1886005</v>
      </c>
      <c r="U899">
        <v>-2.9948730000000001</v>
      </c>
      <c r="V899">
        <v>0.10878699999999999</v>
      </c>
      <c r="W899">
        <v>-8.5846829999999999E-2</v>
      </c>
      <c r="X899">
        <v>0.99035130000000005</v>
      </c>
      <c r="Y899">
        <v>0.18664040000000001</v>
      </c>
      <c r="Z899">
        <v>4.6241989999999997E-2</v>
      </c>
      <c r="AA899">
        <v>0.98133939999999997</v>
      </c>
      <c r="AB899">
        <v>29</v>
      </c>
      <c r="AC899">
        <v>-1.4468999999999901</v>
      </c>
      <c r="AD899">
        <v>-1.10416933745399</v>
      </c>
      <c r="AE899">
        <v>-17.244299999999999</v>
      </c>
      <c r="AF899">
        <v>3.2659359649373698</v>
      </c>
      <c r="AG899">
        <v>-1.10416933745399</v>
      </c>
      <c r="AH899">
        <v>16.9224553528841</v>
      </c>
      <c r="AI899">
        <v>93.6657323923463</v>
      </c>
      <c r="AJ899">
        <v>79.076545809981994</v>
      </c>
      <c r="AK899">
        <v>17.270061459740099</v>
      </c>
      <c r="AL899">
        <v>94.924722691256804</v>
      </c>
      <c r="AM899">
        <v>83.731369921977702</v>
      </c>
      <c r="AN899">
        <v>0.99999999350086899</v>
      </c>
    </row>
    <row r="900" spans="1:40" x14ac:dyDescent="0.25">
      <c r="A900" t="str">
        <f>"20190305135556853"</f>
        <v>20190305135556853</v>
      </c>
      <c r="B900" t="str">
        <f>"1551765356842753"</f>
        <v>1551765356842753</v>
      </c>
      <c r="C900" t="s">
        <v>40</v>
      </c>
      <c r="D900">
        <v>4.4738810000000004</v>
      </c>
      <c r="E900">
        <v>0.52841009999999999</v>
      </c>
      <c r="F900" t="s">
        <v>42</v>
      </c>
      <c r="G900">
        <v>-193.38910000000001</v>
      </c>
      <c r="H900" s="1">
        <v>-2.0579330000000001E-6</v>
      </c>
      <c r="I900">
        <v>332.2842</v>
      </c>
      <c r="J900">
        <v>-191.97110000000001</v>
      </c>
      <c r="K900">
        <v>1.105291</v>
      </c>
      <c r="L900">
        <v>349.84840000000003</v>
      </c>
      <c r="M900">
        <v>0.1028052</v>
      </c>
      <c r="N900">
        <v>-1.5227620000000001E-2</v>
      </c>
      <c r="O900">
        <v>-0.9945851</v>
      </c>
      <c r="P900">
        <v>1.151968E-3</v>
      </c>
      <c r="Q900">
        <v>-0.101966</v>
      </c>
      <c r="R900">
        <v>-0.99478759999999999</v>
      </c>
      <c r="S900">
        <v>-0.23330690000000001</v>
      </c>
      <c r="T900">
        <v>-0.18519260000000001</v>
      </c>
      <c r="U900">
        <v>-2.9956969999999998</v>
      </c>
      <c r="V900">
        <v>0.100272</v>
      </c>
      <c r="W900">
        <v>-8.7879250000000006E-2</v>
      </c>
      <c r="X900">
        <v>0.99107149999999999</v>
      </c>
      <c r="Y900">
        <v>0.17955380000000001</v>
      </c>
      <c r="Z900">
        <v>4.5351229999999999E-2</v>
      </c>
      <c r="AA900">
        <v>0.98270230000000003</v>
      </c>
      <c r="AB900">
        <v>29</v>
      </c>
      <c r="AC900">
        <v>-1.4179999999999999</v>
      </c>
      <c r="AD900">
        <v>-1.105293057933</v>
      </c>
      <c r="AE900">
        <v>-17.5642</v>
      </c>
      <c r="AF900">
        <v>3.2037802949288099</v>
      </c>
      <c r="AG900">
        <v>-1.105293057933</v>
      </c>
      <c r="AH900">
        <v>17.257422643295399</v>
      </c>
      <c r="AI900">
        <v>93.603240498872296</v>
      </c>
      <c r="AJ900">
        <v>79.4829694957307</v>
      </c>
      <c r="AK900">
        <v>17.587055387739401</v>
      </c>
      <c r="AL900">
        <v>95.041613699536498</v>
      </c>
      <c r="AM900">
        <v>84.222739151668506</v>
      </c>
      <c r="AN900">
        <v>0.99999997733840595</v>
      </c>
    </row>
    <row r="901" spans="1:40" x14ac:dyDescent="0.25">
      <c r="A901" t="str">
        <f>"20190305135556875"</f>
        <v>20190305135556875</v>
      </c>
      <c r="B901" t="str">
        <f>"1551765356873008"</f>
        <v>1551765356873008</v>
      </c>
      <c r="C901" t="s">
        <v>40</v>
      </c>
      <c r="D901">
        <v>4.4722200000000001</v>
      </c>
      <c r="E901">
        <v>0.52798459999999903</v>
      </c>
      <c r="F901" t="s">
        <v>42</v>
      </c>
      <c r="G901">
        <v>-193.20230000000001</v>
      </c>
      <c r="H901" s="1">
        <v>-2.234564E-6</v>
      </c>
      <c r="I901">
        <v>332.81180000000001</v>
      </c>
      <c r="J901">
        <v>-191.94560000000001</v>
      </c>
      <c r="K901">
        <v>1.106182</v>
      </c>
      <c r="L901">
        <v>349.56880000000001</v>
      </c>
      <c r="M901">
        <v>0.100077399999999</v>
      </c>
      <c r="N901">
        <v>-1.510478E-2</v>
      </c>
      <c r="O901">
        <v>-0.99486509999999995</v>
      </c>
      <c r="P901">
        <v>1.279576E-2</v>
      </c>
      <c r="Q901">
        <v>-0.1084075</v>
      </c>
      <c r="R901">
        <v>-0.99402449999999998</v>
      </c>
      <c r="S901">
        <v>-0.2165222</v>
      </c>
      <c r="T901">
        <v>-0.19437670000000001</v>
      </c>
      <c r="U901">
        <v>-2.9960629999999999</v>
      </c>
      <c r="V901">
        <v>8.603951E-2</v>
      </c>
      <c r="W901">
        <v>-9.4099740000000001E-2</v>
      </c>
      <c r="X901">
        <v>0.99183790000000005</v>
      </c>
      <c r="Y901">
        <v>0.17135710000000001</v>
      </c>
      <c r="Z901">
        <v>4.855665E-2</v>
      </c>
      <c r="AA901">
        <v>0.98401170000000004</v>
      </c>
      <c r="AB901">
        <v>29</v>
      </c>
      <c r="AC901">
        <v>-1.2566999999999899</v>
      </c>
      <c r="AD901">
        <v>-1.1061842345640001</v>
      </c>
      <c r="AE901">
        <v>-16.757000000000001</v>
      </c>
      <c r="AF901">
        <v>2.91494608346731</v>
      </c>
      <c r="AG901">
        <v>-1.1061842345640001</v>
      </c>
      <c r="AH901">
        <v>16.475677898493199</v>
      </c>
      <c r="AI901">
        <v>93.782528979001299</v>
      </c>
      <c r="AJ901">
        <v>79.966817213641406</v>
      </c>
      <c r="AK901">
        <v>16.768080285030202</v>
      </c>
      <c r="AL901">
        <v>95.399506654446299</v>
      </c>
      <c r="AM901">
        <v>85.042142704711196</v>
      </c>
      <c r="AN901">
        <v>0.999999989112758</v>
      </c>
    </row>
    <row r="902" spans="1:40" x14ac:dyDescent="0.25">
      <c r="A902" t="str">
        <f>"20190305135556908"</f>
        <v>20190305135556908</v>
      </c>
      <c r="B902" t="str">
        <f>"1551765356902288"</f>
        <v>1551765356902288</v>
      </c>
      <c r="C902" t="s">
        <v>40</v>
      </c>
      <c r="D902">
        <v>4.4843099999999998</v>
      </c>
      <c r="E902">
        <v>0.5280089</v>
      </c>
      <c r="F902" t="s">
        <v>42</v>
      </c>
      <c r="G902">
        <v>-192.85249999999999</v>
      </c>
      <c r="H902" s="1">
        <v>-2.787486E-6</v>
      </c>
      <c r="I902">
        <v>334.31760000000003</v>
      </c>
      <c r="J902">
        <v>-191.90809999999999</v>
      </c>
      <c r="K902">
        <v>1.1072930000000001</v>
      </c>
      <c r="L902">
        <v>349.15969999999999</v>
      </c>
      <c r="M902">
        <v>9.7675440000000002E-2</v>
      </c>
      <c r="N902">
        <v>-1.4936710000000001E-2</v>
      </c>
      <c r="O902">
        <v>-0.99510659999999895</v>
      </c>
      <c r="P902">
        <v>2.407335E-2</v>
      </c>
      <c r="Q902">
        <v>-0.1137785</v>
      </c>
      <c r="R902">
        <v>-0.99321479999999995</v>
      </c>
      <c r="S902">
        <v>-0.17819209999999999</v>
      </c>
      <c r="T902">
        <v>-0.21734800000000001</v>
      </c>
      <c r="U902">
        <v>-2.996613</v>
      </c>
      <c r="V902">
        <v>7.2571689999999994E-2</v>
      </c>
      <c r="W902">
        <v>-9.9328819999999998E-2</v>
      </c>
      <c r="X902">
        <v>0.99240470000000003</v>
      </c>
      <c r="Y902">
        <v>0.15639140000000001</v>
      </c>
      <c r="Z902">
        <v>5.6365310000000002E-2</v>
      </c>
      <c r="AA902">
        <v>0.98608549999999995</v>
      </c>
      <c r="AB902">
        <v>29</v>
      </c>
      <c r="AC902">
        <v>-0.94440000000000102</v>
      </c>
      <c r="AD902">
        <v>-1.1072957874860001</v>
      </c>
      <c r="AE902">
        <v>-14.842099999999901</v>
      </c>
      <c r="AF902">
        <v>2.3765785377898099</v>
      </c>
      <c r="AG902">
        <v>-1.1072957874860001</v>
      </c>
      <c r="AH902">
        <v>14.5979358555158</v>
      </c>
      <c r="AI902">
        <v>94.281588441471698</v>
      </c>
      <c r="AJ902">
        <v>80.753235809635896</v>
      </c>
      <c r="AK902">
        <v>14.8315191652447</v>
      </c>
      <c r="AL902">
        <v>95.700522403651604</v>
      </c>
      <c r="AM902">
        <v>85.817569778105707</v>
      </c>
      <c r="AN902">
        <v>0.99999997662706896</v>
      </c>
    </row>
    <row r="903" spans="1:40" x14ac:dyDescent="0.25">
      <c r="A903" t="str">
        <f>"20190305135556932"</f>
        <v>20190305135556932</v>
      </c>
      <c r="B903" t="str">
        <f>"1551765356922784"</f>
        <v>1551765356922784</v>
      </c>
      <c r="C903" t="s">
        <v>40</v>
      </c>
      <c r="D903">
        <v>4.5029000000000003</v>
      </c>
      <c r="E903">
        <v>0.52798350000000005</v>
      </c>
      <c r="F903" t="s">
        <v>42</v>
      </c>
      <c r="G903">
        <v>-192.58940000000001</v>
      </c>
      <c r="H903" s="1">
        <v>-3.0053260000000001E-6</v>
      </c>
      <c r="I903">
        <v>334.98860000000002</v>
      </c>
      <c r="J903">
        <v>-191.87979999999999</v>
      </c>
      <c r="K903">
        <v>1.108058</v>
      </c>
      <c r="L903">
        <v>348.85599999999999</v>
      </c>
      <c r="M903">
        <v>9.7090620000000002E-2</v>
      </c>
      <c r="N903">
        <v>-1.482545E-2</v>
      </c>
      <c r="O903">
        <v>-0.99516519999999997</v>
      </c>
      <c r="P903">
        <v>3.1256230000000003E-2</v>
      </c>
      <c r="Q903">
        <v>-0.1133382</v>
      </c>
      <c r="R903">
        <v>-0.99306490000000003</v>
      </c>
      <c r="S903">
        <v>-0.14408869999999999</v>
      </c>
      <c r="T903">
        <v>-0.23419300000000001</v>
      </c>
      <c r="U903">
        <v>-2.9971920000000001</v>
      </c>
      <c r="V903">
        <v>6.5004679999999995E-2</v>
      </c>
      <c r="W903">
        <v>-9.8835389999999995E-2</v>
      </c>
      <c r="X903">
        <v>0.99297829999999998</v>
      </c>
      <c r="Y903">
        <v>0.144587299999999</v>
      </c>
      <c r="Z903">
        <v>6.207091E-2</v>
      </c>
      <c r="AA903">
        <v>0.98754330000000001</v>
      </c>
      <c r="AB903">
        <v>29</v>
      </c>
      <c r="AC903">
        <v>-0.70960000000002299</v>
      </c>
      <c r="AD903">
        <v>-1.108061005326</v>
      </c>
      <c r="AE903">
        <v>-13.8673999999999</v>
      </c>
      <c r="AF903">
        <v>2.03979973478461</v>
      </c>
      <c r="AG903">
        <v>-1.108061005326</v>
      </c>
      <c r="AH903">
        <v>13.646068730363799</v>
      </c>
      <c r="AI903">
        <v>94.591442982070703</v>
      </c>
      <c r="AJ903">
        <v>81.498434845841402</v>
      </c>
      <c r="AK903">
        <v>13.842101500255101</v>
      </c>
      <c r="AL903">
        <v>95.672111159577</v>
      </c>
      <c r="AM903">
        <v>86.254513405245305</v>
      </c>
      <c r="AN903">
        <v>0.999999973504621</v>
      </c>
    </row>
    <row r="904" spans="1:40" x14ac:dyDescent="0.25">
      <c r="A904" t="str">
        <f>"20190305135556974"</f>
        <v>20190305135556974</v>
      </c>
      <c r="B904" t="str">
        <f>"1551765356962800"</f>
        <v>1551765356962800</v>
      </c>
      <c r="C904" t="s">
        <v>40</v>
      </c>
      <c r="D904">
        <v>4.4528449999999999</v>
      </c>
      <c r="E904">
        <v>0.52786519999999904</v>
      </c>
      <c r="F904" t="s">
        <v>41</v>
      </c>
      <c r="G904">
        <v>-191.9194</v>
      </c>
      <c r="H904">
        <v>1.032667</v>
      </c>
      <c r="I904">
        <v>347.89060000000001</v>
      </c>
      <c r="J904">
        <v>-191.828</v>
      </c>
      <c r="K904">
        <v>1.1093519999999999</v>
      </c>
      <c r="L904">
        <v>348.3218</v>
      </c>
      <c r="M904">
        <v>9.8063659999999997E-2</v>
      </c>
      <c r="N904">
        <v>-1.4671429999999999E-2</v>
      </c>
      <c r="O904">
        <v>-0.99507219999999996</v>
      </c>
      <c r="P904">
        <v>4.3132869999999997E-2</v>
      </c>
      <c r="Q904">
        <v>-0.1079832</v>
      </c>
      <c r="R904">
        <v>-0.99321669999999995</v>
      </c>
      <c r="S904">
        <v>-0.1223755</v>
      </c>
      <c r="T904">
        <v>-0.2343171</v>
      </c>
      <c r="U904">
        <v>-2.9980470000000001</v>
      </c>
      <c r="V904">
        <v>5.4465909999999999E-2</v>
      </c>
      <c r="W904">
        <v>-9.3418440000000005E-2</v>
      </c>
      <c r="X904">
        <v>0.99413600000000002</v>
      </c>
      <c r="Y904">
        <v>0.1384051</v>
      </c>
      <c r="Z904">
        <v>6.2284260000000001E-2</v>
      </c>
      <c r="AA904">
        <v>0.98841520000000005</v>
      </c>
      <c r="AB904">
        <v>28</v>
      </c>
      <c r="AC904">
        <v>-9.1399999999993001E-2</v>
      </c>
      <c r="AD904">
        <v>-7.66850000000001E-2</v>
      </c>
      <c r="AE904">
        <v>-0.43119999999998898</v>
      </c>
      <c r="AF904">
        <v>0.12933433931938301</v>
      </c>
      <c r="AG904">
        <v>-7.66850000000001E-2</v>
      </c>
      <c r="AH904">
        <v>0.40781375577714102</v>
      </c>
      <c r="AI904">
        <v>100.16186228469201</v>
      </c>
      <c r="AJ904">
        <v>72.404059899433193</v>
      </c>
      <c r="AK904">
        <v>0.43464930685926401</v>
      </c>
      <c r="AL904">
        <v>95.3602984608696</v>
      </c>
      <c r="AM904">
        <v>86.864060838984898</v>
      </c>
      <c r="AN904">
        <v>0.99999996339008002</v>
      </c>
    </row>
    <row r="905" spans="1:40" x14ac:dyDescent="0.25">
      <c r="A905" t="str">
        <f>"20190305135556995"</f>
        <v>20190305135556995</v>
      </c>
      <c r="B905" t="str">
        <f>"1551765356993057"</f>
        <v>1551765356993057</v>
      </c>
      <c r="C905" t="s">
        <v>40</v>
      </c>
      <c r="D905">
        <v>4.4472550000000002</v>
      </c>
      <c r="E905">
        <v>0.50404570000000004</v>
      </c>
      <c r="F905" t="s">
        <v>41</v>
      </c>
      <c r="G905">
        <v>-191.85489999999999</v>
      </c>
      <c r="H905">
        <v>1.040754</v>
      </c>
      <c r="I905">
        <v>347.38319999999999</v>
      </c>
      <c r="J905">
        <v>-191.79929999999999</v>
      </c>
      <c r="K905">
        <v>1.1099060000000001</v>
      </c>
      <c r="L905">
        <v>348.03930000000003</v>
      </c>
      <c r="M905">
        <v>9.9327139999999994E-2</v>
      </c>
      <c r="N905">
        <v>-1.460581E-2</v>
      </c>
      <c r="O905">
        <v>-0.99494760000000004</v>
      </c>
      <c r="P905">
        <v>4.872203E-2</v>
      </c>
      <c r="Q905">
        <v>-0.1076086</v>
      </c>
      <c r="R905">
        <v>-0.99299879999999996</v>
      </c>
      <c r="S905">
        <v>-8.5586549999999997E-2</v>
      </c>
      <c r="T905">
        <v>-0.21947610000000001</v>
      </c>
      <c r="U905">
        <v>-3.0003660000000001</v>
      </c>
      <c r="V905">
        <v>5.0265980000000002E-2</v>
      </c>
      <c r="W905">
        <v>-9.303807E-2</v>
      </c>
      <c r="X905">
        <v>0.99439290000000002</v>
      </c>
      <c r="Y905">
        <v>0.12753980000000001</v>
      </c>
      <c r="Z905">
        <v>5.7505929999999997E-2</v>
      </c>
      <c r="AA905">
        <v>0.99016499999999996</v>
      </c>
      <c r="AB905">
        <v>28</v>
      </c>
      <c r="AC905">
        <v>-5.5599999999998297E-2</v>
      </c>
      <c r="AD905">
        <v>-6.9151999999999797E-2</v>
      </c>
      <c r="AE905">
        <v>-0.65610000000003699</v>
      </c>
      <c r="AF905">
        <v>0.119185902014876</v>
      </c>
      <c r="AG905">
        <v>-6.9151999999999797E-2</v>
      </c>
      <c r="AH905">
        <v>0.64026965300405203</v>
      </c>
      <c r="AI905">
        <v>96.0609845830148</v>
      </c>
      <c r="AJ905">
        <v>79.455110721235002</v>
      </c>
      <c r="AK905">
        <v>0.65492939077508905</v>
      </c>
      <c r="AL905">
        <v>95.338409361449706</v>
      </c>
      <c r="AM905">
        <v>87.106194942491896</v>
      </c>
      <c r="AN905">
        <v>0.99999999539254703</v>
      </c>
    </row>
    <row r="906" spans="1:40" x14ac:dyDescent="0.25">
      <c r="A906" t="str">
        <f>"20190305135557018"</f>
        <v>20190305135557018</v>
      </c>
      <c r="B906" t="str">
        <f>"1551765357012577"</f>
        <v>1551765357012577</v>
      </c>
      <c r="C906" t="s">
        <v>40</v>
      </c>
      <c r="D906">
        <v>4.4274310000000003</v>
      </c>
      <c r="E906">
        <v>0.5046889</v>
      </c>
      <c r="F906" t="s">
        <v>42</v>
      </c>
      <c r="G906">
        <v>-190.88210000000001</v>
      </c>
      <c r="H906" s="1">
        <v>-3.0954E-6</v>
      </c>
      <c r="I906">
        <v>326.25740000000002</v>
      </c>
      <c r="J906">
        <v>-191.77109999999999</v>
      </c>
      <c r="K906">
        <v>1.1103270000000001</v>
      </c>
      <c r="L906">
        <v>347.77</v>
      </c>
      <c r="M906">
        <v>0.1009013</v>
      </c>
      <c r="N906">
        <v>-1.4548149999999999E-2</v>
      </c>
      <c r="O906">
        <v>-0.99478999999999995</v>
      </c>
      <c r="P906">
        <v>5.2634390000000003E-2</v>
      </c>
      <c r="Q906">
        <v>-0.1076786</v>
      </c>
      <c r="R906">
        <v>-0.99279139999999999</v>
      </c>
      <c r="S906">
        <v>0.12625120000000001</v>
      </c>
      <c r="T906">
        <v>-0.1527847</v>
      </c>
      <c r="U906">
        <v>-2.998383</v>
      </c>
      <c r="V906">
        <v>4.801648E-2</v>
      </c>
      <c r="W906">
        <v>-9.3118759999999995E-2</v>
      </c>
      <c r="X906">
        <v>0.99449650000000001</v>
      </c>
      <c r="Y906">
        <v>5.8967319999999997E-2</v>
      </c>
      <c r="Z906">
        <v>3.5930169999999997E-2</v>
      </c>
      <c r="AA906">
        <v>0.99761310000000003</v>
      </c>
      <c r="AB906">
        <v>28</v>
      </c>
      <c r="AC906">
        <v>0.88899999999998103</v>
      </c>
      <c r="AD906">
        <v>-1.1103300953999999</v>
      </c>
      <c r="AE906">
        <v>-21.5125999999999</v>
      </c>
      <c r="AF906">
        <v>1.2830052496873401</v>
      </c>
      <c r="AG906">
        <v>-1.1103300953999999</v>
      </c>
      <c r="AH906">
        <v>21.435491884573</v>
      </c>
      <c r="AI906">
        <v>92.959907634183907</v>
      </c>
      <c r="AJ906">
        <v>86.574690722325101</v>
      </c>
      <c r="AK906">
        <v>21.502540494673401</v>
      </c>
      <c r="AL906">
        <v>95.343052759832204</v>
      </c>
      <c r="AM906">
        <v>87.235780274322806</v>
      </c>
      <c r="AN906">
        <v>0.99999998716388805</v>
      </c>
    </row>
    <row r="907" spans="1:40" x14ac:dyDescent="0.25">
      <c r="A907" t="str">
        <f>"20190305135557040"</f>
        <v>20190305135557040</v>
      </c>
      <c r="B907" t="str">
        <f>"1551765357033072"</f>
        <v>1551765357033072</v>
      </c>
      <c r="C907" t="s">
        <v>40</v>
      </c>
      <c r="D907">
        <v>4.3978190000000001</v>
      </c>
      <c r="E907">
        <v>0.5058357</v>
      </c>
      <c r="F907" t="s">
        <v>42</v>
      </c>
      <c r="G907">
        <v>-190.7097</v>
      </c>
      <c r="H907" s="1">
        <v>-2.0616049999999998E-6</v>
      </c>
      <c r="I907">
        <v>323.95460000000003</v>
      </c>
      <c r="J907">
        <v>-191.74019999999999</v>
      </c>
      <c r="K907">
        <v>1.1106609999999999</v>
      </c>
      <c r="L907">
        <v>347.48349999999999</v>
      </c>
      <c r="M907">
        <v>0.1029072</v>
      </c>
      <c r="N907">
        <v>-1.449219E-2</v>
      </c>
      <c r="O907">
        <v>-0.99458530000000001</v>
      </c>
      <c r="P907">
        <v>5.5490390000000001E-2</v>
      </c>
      <c r="Q907">
        <v>-0.1090743</v>
      </c>
      <c r="R907">
        <v>-0.99248340000000002</v>
      </c>
      <c r="S907">
        <v>0.133682299999999</v>
      </c>
      <c r="T907">
        <v>-0.13984440000000001</v>
      </c>
      <c r="U907">
        <v>-2.9995120000000002</v>
      </c>
      <c r="V907">
        <v>4.722469E-2</v>
      </c>
      <c r="W907">
        <v>-9.4535809999999998E-2</v>
      </c>
      <c r="X907">
        <v>0.99440070000000003</v>
      </c>
      <c r="Y907">
        <v>5.8525059999999997E-2</v>
      </c>
      <c r="Z907">
        <v>3.1690429999999999E-2</v>
      </c>
      <c r="AA907">
        <v>0.99778279999999997</v>
      </c>
      <c r="AB907">
        <v>28</v>
      </c>
      <c r="AC907">
        <v>1.03049999999998</v>
      </c>
      <c r="AD907">
        <v>-1.1106630616049999</v>
      </c>
      <c r="AE907">
        <v>-23.528899999999901</v>
      </c>
      <c r="AF907">
        <v>1.39342091296267</v>
      </c>
      <c r="AG907">
        <v>-1.1106630616049999</v>
      </c>
      <c r="AH907">
        <v>23.457845269704102</v>
      </c>
      <c r="AI907">
        <v>92.706007009404303</v>
      </c>
      <c r="AJ907">
        <v>86.600564400996902</v>
      </c>
      <c r="AK907">
        <v>23.525426648086</v>
      </c>
      <c r="AL907">
        <v>95.424603599837297</v>
      </c>
      <c r="AM907">
        <v>87.281031670200903</v>
      </c>
      <c r="AN907">
        <v>0.99999997143922004</v>
      </c>
    </row>
    <row r="908" spans="1:40" x14ac:dyDescent="0.25">
      <c r="A908" t="str">
        <f>"20190305135557063"</f>
        <v>20190305135557063</v>
      </c>
      <c r="B908" t="str">
        <f>"1551765357052593"</f>
        <v>1551765357052593</v>
      </c>
      <c r="C908" t="s">
        <v>40</v>
      </c>
      <c r="D908">
        <v>4.4015559999999896</v>
      </c>
      <c r="E908">
        <v>0.50715849999999996</v>
      </c>
      <c r="F908" t="s">
        <v>42</v>
      </c>
      <c r="G908">
        <v>-190.66820000000001</v>
      </c>
      <c r="H908" s="1">
        <v>-1.7840659999999999E-6</v>
      </c>
      <c r="I908">
        <v>323.33339999999998</v>
      </c>
      <c r="J908">
        <v>-191.70859999999999</v>
      </c>
      <c r="K908">
        <v>1.1108899999999999</v>
      </c>
      <c r="L908">
        <v>347.19850000000002</v>
      </c>
      <c r="M908">
        <v>0.105119</v>
      </c>
      <c r="N908">
        <v>-1.444295E-2</v>
      </c>
      <c r="O908">
        <v>-0.99435479999999998</v>
      </c>
      <c r="P908">
        <v>5.7374939999999999E-2</v>
      </c>
      <c r="Q908">
        <v>-0.1099839</v>
      </c>
      <c r="R908">
        <v>-0.99227600000000005</v>
      </c>
      <c r="S908">
        <v>0.13317870000000001</v>
      </c>
      <c r="T908">
        <v>-0.13797709999999999</v>
      </c>
      <c r="U908">
        <v>-3.0001530000000001</v>
      </c>
      <c r="V908">
        <v>4.7591929999999998E-2</v>
      </c>
      <c r="W908">
        <v>-9.5469079999999998E-2</v>
      </c>
      <c r="X908">
        <v>0.99429400000000001</v>
      </c>
      <c r="Y908">
        <v>6.0920120000000001E-2</v>
      </c>
      <c r="Z908">
        <v>3.1096260000000001E-2</v>
      </c>
      <c r="AA908">
        <v>0.99765809999999999</v>
      </c>
      <c r="AB908">
        <v>28</v>
      </c>
      <c r="AC908">
        <v>1.04039999999997</v>
      </c>
      <c r="AD908">
        <v>-1.110891784066</v>
      </c>
      <c r="AE908">
        <v>-23.865100000000002</v>
      </c>
      <c r="AF908">
        <v>1.4711208727434799</v>
      </c>
      <c r="AG908">
        <v>-1.110891784066</v>
      </c>
      <c r="AH908">
        <v>23.790776703932998</v>
      </c>
      <c r="AI908">
        <v>92.668350723966199</v>
      </c>
      <c r="AJ908">
        <v>86.4615769755099</v>
      </c>
      <c r="AK908">
        <v>23.862089878183902</v>
      </c>
      <c r="AL908">
        <v>95.478319118383297</v>
      </c>
      <c r="AM908">
        <v>87.259626277878098</v>
      </c>
      <c r="AN908">
        <v>0.99999994773658396</v>
      </c>
    </row>
    <row r="909" spans="1:40" x14ac:dyDescent="0.25">
      <c r="A909" t="str">
        <f>"20190305135557086"</f>
        <v>20190305135557086</v>
      </c>
      <c r="B909" t="str">
        <f>"1551765357082849"</f>
        <v>1551765357082849</v>
      </c>
      <c r="C909" t="s">
        <v>40</v>
      </c>
      <c r="D909">
        <v>4.4091559999999896</v>
      </c>
      <c r="E909">
        <v>0.50853210000000004</v>
      </c>
      <c r="F909" t="s">
        <v>42</v>
      </c>
      <c r="G909">
        <v>-190.67830000000001</v>
      </c>
      <c r="H909" s="1">
        <v>-1.7096879999999901E-6</v>
      </c>
      <c r="I909">
        <v>323.15379999999999</v>
      </c>
      <c r="J909">
        <v>-191.67619999999999</v>
      </c>
      <c r="K909">
        <v>1.111016</v>
      </c>
      <c r="L909">
        <v>346.91410000000002</v>
      </c>
      <c r="M909">
        <v>0.1074208</v>
      </c>
      <c r="N909">
        <v>-1.439943E-2</v>
      </c>
      <c r="O909">
        <v>-0.99410940000000003</v>
      </c>
      <c r="P909">
        <v>5.9258480000000002E-2</v>
      </c>
      <c r="Q909">
        <v>-0.110749</v>
      </c>
      <c r="R909">
        <v>-0.99208039999999997</v>
      </c>
      <c r="S909">
        <v>0.12857060000000001</v>
      </c>
      <c r="T909">
        <v>-0.138624</v>
      </c>
      <c r="U909">
        <v>-3.0004580000000001</v>
      </c>
      <c r="V909">
        <v>4.8030669999999998E-2</v>
      </c>
      <c r="W909">
        <v>-9.6261890000000003E-2</v>
      </c>
      <c r="X909">
        <v>0.99419650000000004</v>
      </c>
      <c r="Y909">
        <v>6.4762959999999994E-2</v>
      </c>
      <c r="Z909">
        <v>3.1326449999999999E-2</v>
      </c>
      <c r="AA909">
        <v>0.99740890000000004</v>
      </c>
      <c r="AB909">
        <v>28</v>
      </c>
      <c r="AC909">
        <v>0.99789999999998702</v>
      </c>
      <c r="AD909">
        <v>-1.1110177096879901</v>
      </c>
      <c r="AE909">
        <v>-23.760300000000001</v>
      </c>
      <c r="AF909">
        <v>1.5570918979409101</v>
      </c>
      <c r="AG909">
        <v>-1.1110177096879901</v>
      </c>
      <c r="AH909">
        <v>23.6783120910473</v>
      </c>
      <c r="AI909">
        <v>92.680642024577907</v>
      </c>
      <c r="AJ909">
        <v>86.237631893831804</v>
      </c>
      <c r="AK909">
        <v>23.755449038292401</v>
      </c>
      <c r="AL909">
        <v>95.523953742672006</v>
      </c>
      <c r="AM909">
        <v>87.234131592519404</v>
      </c>
      <c r="AN909">
        <v>0.99999998866963502</v>
      </c>
    </row>
    <row r="910" spans="1:40" x14ac:dyDescent="0.25">
      <c r="A910" t="str">
        <f>"20190305135557108"</f>
        <v>20190305135557108</v>
      </c>
      <c r="B910" t="str">
        <f>"1551765357102369"</f>
        <v>1551765357102369</v>
      </c>
      <c r="C910" t="s">
        <v>40</v>
      </c>
      <c r="D910">
        <v>4.4189049999999996</v>
      </c>
      <c r="E910">
        <v>0.50910719999999998</v>
      </c>
      <c r="F910" t="s">
        <v>42</v>
      </c>
      <c r="G910">
        <v>-190.72130000000001</v>
      </c>
      <c r="H910" s="1">
        <v>-1.9401599999999998E-6</v>
      </c>
      <c r="I910">
        <v>323.66430000000003</v>
      </c>
      <c r="J910">
        <v>-191.6448</v>
      </c>
      <c r="K910">
        <v>1.111054</v>
      </c>
      <c r="L910">
        <v>346.64440000000002</v>
      </c>
      <c r="M910">
        <v>0.10958030000000001</v>
      </c>
      <c r="N910">
        <v>-1.436225E-2</v>
      </c>
      <c r="O910">
        <v>-0.99387429999999999</v>
      </c>
      <c r="P910">
        <v>6.0253099999999997E-2</v>
      </c>
      <c r="Q910">
        <v>-0.1114327</v>
      </c>
      <c r="R910">
        <v>-0.99194400000000005</v>
      </c>
      <c r="S910">
        <v>0.1232452</v>
      </c>
      <c r="T910">
        <v>-0.1433864</v>
      </c>
      <c r="U910">
        <v>-3.0005799999999998</v>
      </c>
      <c r="V910">
        <v>4.919639E-2</v>
      </c>
      <c r="W910">
        <v>-9.6974889999999994E-2</v>
      </c>
      <c r="X910">
        <v>0.99407020000000001</v>
      </c>
      <c r="Y910">
        <v>6.8698789999999996E-2</v>
      </c>
      <c r="Z910">
        <v>3.2906320000000003E-2</v>
      </c>
      <c r="AA910">
        <v>0.99709460000000005</v>
      </c>
      <c r="AB910">
        <v>28</v>
      </c>
      <c r="AC910">
        <v>0.92349999999999</v>
      </c>
      <c r="AD910">
        <v>-1.11105594016</v>
      </c>
      <c r="AE910">
        <v>-22.9801</v>
      </c>
      <c r="AF910">
        <v>1.59676166866069</v>
      </c>
      <c r="AG910">
        <v>-1.11105594016</v>
      </c>
      <c r="AH910">
        <v>22.889471945179299</v>
      </c>
      <c r="AI910">
        <v>92.772231733072402</v>
      </c>
      <c r="AJ910">
        <v>86.009530888357503</v>
      </c>
      <c r="AK910">
        <v>22.971983350547202</v>
      </c>
      <c r="AL910">
        <v>95.5649976608683</v>
      </c>
      <c r="AM910">
        <v>87.166751781334</v>
      </c>
      <c r="AN910">
        <v>0.999999988303792</v>
      </c>
    </row>
    <row r="911" spans="1:40" x14ac:dyDescent="0.25">
      <c r="A911" t="str">
        <f>"20190305135557133"</f>
        <v>20190305135557133</v>
      </c>
      <c r="B911" t="str">
        <f>"1551765357122864"</f>
        <v>1551765357122864</v>
      </c>
      <c r="C911" t="s">
        <v>40</v>
      </c>
      <c r="D911">
        <v>4.4243899999999998</v>
      </c>
      <c r="E911">
        <v>0.50958729999999997</v>
      </c>
      <c r="F911" t="s">
        <v>42</v>
      </c>
      <c r="G911">
        <v>-190.7422</v>
      </c>
      <c r="H911" s="1">
        <v>-2.2292140000000002E-6</v>
      </c>
      <c r="I911">
        <v>324.3252</v>
      </c>
      <c r="J911">
        <v>-191.60769999999999</v>
      </c>
      <c r="K911">
        <v>1.110989</v>
      </c>
      <c r="L911">
        <v>346.33159999999998</v>
      </c>
      <c r="M911">
        <v>0.1119222</v>
      </c>
      <c r="N911">
        <v>-1.432284E-2</v>
      </c>
      <c r="O911">
        <v>-0.99361390000000005</v>
      </c>
      <c r="P911">
        <v>6.1031719999999998E-2</v>
      </c>
      <c r="Q911">
        <v>-0.1120328</v>
      </c>
      <c r="R911">
        <v>-0.99182890000000001</v>
      </c>
      <c r="S911">
        <v>0.121337899999999</v>
      </c>
      <c r="T911">
        <v>-0.1493497</v>
      </c>
      <c r="U911">
        <v>-3.0001829999999998</v>
      </c>
      <c r="V911">
        <v>5.0738390000000001E-2</v>
      </c>
      <c r="W911">
        <v>-9.7616770000000005E-2</v>
      </c>
      <c r="X911">
        <v>0.99392990000000003</v>
      </c>
      <c r="Y911">
        <v>7.1677389999999994E-2</v>
      </c>
      <c r="Z911">
        <v>3.4888780000000001E-2</v>
      </c>
      <c r="AA911">
        <v>0.99681750000000002</v>
      </c>
      <c r="AB911">
        <v>28</v>
      </c>
      <c r="AC911">
        <v>0.86549999999999705</v>
      </c>
      <c r="AD911">
        <v>-1.1109912292140001</v>
      </c>
      <c r="AE911">
        <v>-22.0063999999999</v>
      </c>
      <c r="AF911">
        <v>1.5991266364885199</v>
      </c>
      <c r="AG911">
        <v>-1.1109912292140001</v>
      </c>
      <c r="AH911">
        <v>21.909228955661</v>
      </c>
      <c r="AI911">
        <v>92.895226568970699</v>
      </c>
      <c r="AJ911">
        <v>85.825456825399201</v>
      </c>
      <c r="AK911">
        <v>21.9955863968773</v>
      </c>
      <c r="AL911">
        <v>95.601949751162095</v>
      </c>
      <c r="AM911">
        <v>87.077686944271406</v>
      </c>
      <c r="AN911">
        <v>1.0000000320595099</v>
      </c>
    </row>
    <row r="912" spans="1:40" x14ac:dyDescent="0.25">
      <c r="A912" t="str">
        <f>"20190305135557153"</f>
        <v>20190305135557153</v>
      </c>
      <c r="B912" t="str">
        <f>"1551765357142385"</f>
        <v>1551765357142385</v>
      </c>
      <c r="C912" t="s">
        <v>40</v>
      </c>
      <c r="D912">
        <v>4.3758730000000003</v>
      </c>
      <c r="E912">
        <v>0.51008869999999995</v>
      </c>
      <c r="F912" t="s">
        <v>42</v>
      </c>
      <c r="G912">
        <v>-190.74549999999999</v>
      </c>
      <c r="H912" s="1">
        <v>-2.3959779999999998E-6</v>
      </c>
      <c r="I912">
        <v>324.71190000000001</v>
      </c>
      <c r="J912">
        <v>-191.5771</v>
      </c>
      <c r="K912">
        <v>1.1108610000000001</v>
      </c>
      <c r="L912">
        <v>346.07679999999999</v>
      </c>
      <c r="M912">
        <v>0.1136402</v>
      </c>
      <c r="N912">
        <v>-1.429396E-2</v>
      </c>
      <c r="O912">
        <v>-0.99341939999999995</v>
      </c>
      <c r="P912">
        <v>6.1036119999999999E-2</v>
      </c>
      <c r="Q912">
        <v>-0.1141615</v>
      </c>
      <c r="R912">
        <v>-0.99158579999999996</v>
      </c>
      <c r="S912">
        <v>0.11964420000000001</v>
      </c>
      <c r="T912">
        <v>-0.154157399999999</v>
      </c>
      <c r="U912">
        <v>-2.9998779999999998</v>
      </c>
      <c r="V912">
        <v>5.2403900000000003E-2</v>
      </c>
      <c r="W912">
        <v>-9.9786299999999994E-2</v>
      </c>
      <c r="X912">
        <v>0.99362799999999996</v>
      </c>
      <c r="Y912">
        <v>7.3960189999999995E-2</v>
      </c>
      <c r="Z912">
        <v>3.6483719999999997E-2</v>
      </c>
      <c r="AA912">
        <v>0.99659359999999997</v>
      </c>
      <c r="AB912">
        <v>28</v>
      </c>
      <c r="AC912">
        <v>0.831600000000008</v>
      </c>
      <c r="AD912">
        <v>-1.1108633959780001</v>
      </c>
      <c r="AE912">
        <v>-21.364899999999899</v>
      </c>
      <c r="AF912">
        <v>1.5976345794473601</v>
      </c>
      <c r="AG912">
        <v>-1.1108633959780001</v>
      </c>
      <c r="AH912">
        <v>21.263583816174901</v>
      </c>
      <c r="AI912">
        <v>92.982167279894</v>
      </c>
      <c r="AJ912">
        <v>85.7031679200432</v>
      </c>
      <c r="AK912">
        <v>21.352434297790602</v>
      </c>
      <c r="AL912">
        <v>95.726864597739095</v>
      </c>
      <c r="AM912">
        <v>86.981019964311002</v>
      </c>
      <c r="AN912">
        <v>1.00000003839344</v>
      </c>
    </row>
    <row r="913" spans="1:40" x14ac:dyDescent="0.25">
      <c r="A913" t="str">
        <f>"20190305135557175"</f>
        <v>20190305135557175</v>
      </c>
      <c r="B913" t="str">
        <f>"1551765357172640"</f>
        <v>1551765357172640</v>
      </c>
      <c r="C913" t="s">
        <v>40</v>
      </c>
      <c r="D913">
        <v>4.4109669999999896</v>
      </c>
      <c r="E913">
        <v>0.51058049999999999</v>
      </c>
      <c r="F913" t="s">
        <v>42</v>
      </c>
      <c r="G913">
        <v>-190.79499999999999</v>
      </c>
      <c r="H913" s="1">
        <v>-2.872132E-6</v>
      </c>
      <c r="I913">
        <v>325.79109999999997</v>
      </c>
      <c r="J913">
        <v>-191.54339999999999</v>
      </c>
      <c r="K913">
        <v>1.110689</v>
      </c>
      <c r="L913">
        <v>345.79849999999999</v>
      </c>
      <c r="M913">
        <v>0.11530799999999999</v>
      </c>
      <c r="N913">
        <v>-1.426614E-2</v>
      </c>
      <c r="O913">
        <v>-0.99322719999999998</v>
      </c>
      <c r="P913">
        <v>6.2708230000000004E-2</v>
      </c>
      <c r="Q913">
        <v>-0.1178516</v>
      </c>
      <c r="R913">
        <v>-0.99104910000000002</v>
      </c>
      <c r="S913">
        <v>0.1156464</v>
      </c>
      <c r="T913">
        <v>-0.16425100000000001</v>
      </c>
      <c r="U913">
        <v>-2.9994200000000002</v>
      </c>
      <c r="V913">
        <v>5.2321489999999998E-2</v>
      </c>
      <c r="W913">
        <v>-0.10352939999999999</v>
      </c>
      <c r="X913">
        <v>0.9932493</v>
      </c>
      <c r="Y913">
        <v>7.6956109999999994E-2</v>
      </c>
      <c r="Z913">
        <v>3.9812819999999999E-2</v>
      </c>
      <c r="AA913">
        <v>0.99623930000000005</v>
      </c>
      <c r="AB913">
        <v>28</v>
      </c>
      <c r="AC913">
        <v>0.74840000000000295</v>
      </c>
      <c r="AD913">
        <v>-1.110691872132</v>
      </c>
      <c r="AE913">
        <v>-20.007400000000001</v>
      </c>
      <c r="AF913">
        <v>1.5590434393850101</v>
      </c>
      <c r="AG913">
        <v>-1.110691872132</v>
      </c>
      <c r="AH913">
        <v>19.898985175420702</v>
      </c>
      <c r="AI913">
        <v>93.184995161980893</v>
      </c>
      <c r="AJ913">
        <v>85.520148153396505</v>
      </c>
      <c r="AK913">
        <v>19.990844501729299</v>
      </c>
      <c r="AL913">
        <v>95.942445474392699</v>
      </c>
      <c r="AM913">
        <v>86.984611698089694</v>
      </c>
      <c r="AN913">
        <v>1.0000000234653299</v>
      </c>
    </row>
    <row r="914" spans="1:40" x14ac:dyDescent="0.25">
      <c r="A914" t="str">
        <f>"20190305135557197"</f>
        <v>20190305135557197</v>
      </c>
      <c r="B914" t="str">
        <f>"1551765357193136"</f>
        <v>1551765357193136</v>
      </c>
      <c r="C914" t="s">
        <v>40</v>
      </c>
      <c r="D914">
        <v>4.3863659999999998</v>
      </c>
      <c r="E914">
        <v>0.51108450000000005</v>
      </c>
      <c r="F914" t="s">
        <v>42</v>
      </c>
      <c r="G914">
        <v>-190.77539999999999</v>
      </c>
      <c r="H914" s="1">
        <v>-3.0623910000000001E-6</v>
      </c>
      <c r="I914">
        <v>326.24669999999998</v>
      </c>
      <c r="J914">
        <v>-191.51179999999999</v>
      </c>
      <c r="K914">
        <v>1.1105039999999999</v>
      </c>
      <c r="L914">
        <v>345.5401</v>
      </c>
      <c r="M914">
        <v>0.1166155</v>
      </c>
      <c r="N914">
        <v>-1.424359E-2</v>
      </c>
      <c r="O914">
        <v>-0.99307529999999999</v>
      </c>
      <c r="P914">
        <v>6.5145419999999996E-2</v>
      </c>
      <c r="Q914">
        <v>-0.1217838</v>
      </c>
      <c r="R914">
        <v>-0.99041670000000004</v>
      </c>
      <c r="S914">
        <v>0.1178131</v>
      </c>
      <c r="T914">
        <v>-0.1703886</v>
      </c>
      <c r="U914">
        <v>-2.99939</v>
      </c>
      <c r="V914">
        <v>5.1101729999999998E-2</v>
      </c>
      <c r="W914">
        <v>-0.1075137</v>
      </c>
      <c r="X914">
        <v>0.99288940000000003</v>
      </c>
      <c r="Y914">
        <v>7.755157E-2</v>
      </c>
      <c r="Z914">
        <v>4.1835860000000002E-2</v>
      </c>
      <c r="AA914">
        <v>0.99611019999999995</v>
      </c>
      <c r="AB914">
        <v>28</v>
      </c>
      <c r="AC914">
        <v>0.73640000000000305</v>
      </c>
      <c r="AD914">
        <v>-1.1105070623909901</v>
      </c>
      <c r="AE914">
        <v>-19.293399999999998</v>
      </c>
      <c r="AF914">
        <v>1.51375463139149</v>
      </c>
      <c r="AG914">
        <v>-1.1105070623909901</v>
      </c>
      <c r="AH914">
        <v>19.184156199996899</v>
      </c>
      <c r="AI914">
        <v>93.302722196005405</v>
      </c>
      <c r="AJ914">
        <v>85.4883386032499</v>
      </c>
      <c r="AK914">
        <v>19.275801620829199</v>
      </c>
      <c r="AL914">
        <v>96.172011182512904</v>
      </c>
      <c r="AM914">
        <v>87.053717883574294</v>
      </c>
      <c r="AN914">
        <v>0.99999997156452103</v>
      </c>
    </row>
    <row r="915" spans="1:40" x14ac:dyDescent="0.25">
      <c r="A915" t="str">
        <f>"20190305135557217"</f>
        <v>20190305135557217</v>
      </c>
      <c r="B915" t="str">
        <f>"1551765357212657"</f>
        <v>1551765357212657</v>
      </c>
      <c r="C915" t="s">
        <v>40</v>
      </c>
      <c r="D915">
        <v>4.3791219999999997</v>
      </c>
      <c r="E915">
        <v>0.51157339999999996</v>
      </c>
      <c r="F915" t="s">
        <v>42</v>
      </c>
      <c r="G915">
        <v>-190.75880000000001</v>
      </c>
      <c r="H915" s="1">
        <v>-3.3784460000000001E-6</v>
      </c>
      <c r="I915">
        <v>326.99369999999999</v>
      </c>
      <c r="J915">
        <v>-191.48009999999999</v>
      </c>
      <c r="K915">
        <v>1.110304</v>
      </c>
      <c r="L915">
        <v>345.28070000000002</v>
      </c>
      <c r="M915">
        <v>0.1176402</v>
      </c>
      <c r="N915">
        <v>-1.422327E-2</v>
      </c>
      <c r="O915">
        <v>-0.99295480000000003</v>
      </c>
      <c r="P915">
        <v>6.7044270000000003E-2</v>
      </c>
      <c r="Q915">
        <v>-0.12354950000000001</v>
      </c>
      <c r="R915">
        <v>-0.99007149999999999</v>
      </c>
      <c r="S915">
        <v>0.1217651</v>
      </c>
      <c r="T915">
        <v>-0.17956810000000001</v>
      </c>
      <c r="U915">
        <v>-2.9989319999999999</v>
      </c>
      <c r="V915">
        <v>5.0151269999999998E-2</v>
      </c>
      <c r="W915">
        <v>-0.10932799999999999</v>
      </c>
      <c r="X915">
        <v>0.9927397</v>
      </c>
      <c r="Y915">
        <v>7.7267600000000006E-2</v>
      </c>
      <c r="Z915">
        <v>4.4865090000000003E-2</v>
      </c>
      <c r="AA915">
        <v>0.99600040000000001</v>
      </c>
      <c r="AB915">
        <v>28</v>
      </c>
      <c r="AC915">
        <v>0.72129999999998495</v>
      </c>
      <c r="AD915">
        <v>-1.110307378446</v>
      </c>
      <c r="AE915">
        <v>-18.286999999999999</v>
      </c>
      <c r="AF915">
        <v>1.4299495137021201</v>
      </c>
      <c r="AG915">
        <v>-1.110307378446</v>
      </c>
      <c r="AH915">
        <v>18.177950049779302</v>
      </c>
      <c r="AI915">
        <v>93.484540220881598</v>
      </c>
      <c r="AJ915">
        <v>85.502149495254599</v>
      </c>
      <c r="AK915">
        <v>18.2678790804691</v>
      </c>
      <c r="AL915">
        <v>96.276579573374093</v>
      </c>
      <c r="AM915">
        <v>87.107987701932501</v>
      </c>
      <c r="AN915">
        <v>0.99999993671134901</v>
      </c>
    </row>
    <row r="916" spans="1:40" x14ac:dyDescent="0.25">
      <c r="A916" t="str">
        <f>"20190305135557241"</f>
        <v>20190305135557241</v>
      </c>
      <c r="B916" t="str">
        <f>"1551765357233153"</f>
        <v>1551765357233153</v>
      </c>
      <c r="C916" t="s">
        <v>40</v>
      </c>
      <c r="D916">
        <v>4.3808280000000002</v>
      </c>
      <c r="E916">
        <v>0.5117332</v>
      </c>
      <c r="F916" t="s">
        <v>42</v>
      </c>
      <c r="G916">
        <v>-190.7244</v>
      </c>
      <c r="H916" s="1">
        <v>-3.3671520000000001E-6</v>
      </c>
      <c r="I916">
        <v>326.98869999999999</v>
      </c>
      <c r="J916">
        <v>-191.4434</v>
      </c>
      <c r="K916">
        <v>1.11005</v>
      </c>
      <c r="L916">
        <v>344.98050000000001</v>
      </c>
      <c r="M916">
        <v>0.118437899999999</v>
      </c>
      <c r="N916">
        <v>-1.4202360000000001E-2</v>
      </c>
      <c r="O916">
        <v>-0.99286010000000002</v>
      </c>
      <c r="P916">
        <v>6.8724069999999998E-2</v>
      </c>
      <c r="Q916">
        <v>-0.1234389</v>
      </c>
      <c r="R916">
        <v>-0.98996980000000001</v>
      </c>
      <c r="S916">
        <v>0.1238861</v>
      </c>
      <c r="T916">
        <v>-0.1820359</v>
      </c>
      <c r="U916">
        <v>-2.998993</v>
      </c>
      <c r="V916">
        <v>4.9197440000000002E-2</v>
      </c>
      <c r="W916">
        <v>-0.1092708</v>
      </c>
      <c r="X916">
        <v>0.99279379999999995</v>
      </c>
      <c r="Y916">
        <v>7.7367259999999993E-2</v>
      </c>
      <c r="Z916">
        <v>4.5684870000000002E-2</v>
      </c>
      <c r="AA916">
        <v>0.99595540000000005</v>
      </c>
      <c r="AB916">
        <v>28</v>
      </c>
      <c r="AC916">
        <v>0.71899999999999398</v>
      </c>
      <c r="AD916">
        <v>-1.1100533671520001</v>
      </c>
      <c r="AE916">
        <v>-17.991800000000001</v>
      </c>
      <c r="AF916">
        <v>1.4118215480109599</v>
      </c>
      <c r="AG916">
        <v>-1.1100533671520001</v>
      </c>
      <c r="AH916">
        <v>17.882341279490301</v>
      </c>
      <c r="AI916">
        <v>93.541109320698695</v>
      </c>
      <c r="AJ916">
        <v>85.485827613989798</v>
      </c>
      <c r="AK916">
        <v>17.9723005816594</v>
      </c>
      <c r="AL916">
        <v>96.273282023564803</v>
      </c>
      <c r="AM916">
        <v>87.163054671736106</v>
      </c>
      <c r="AN916">
        <v>1.00000001257681</v>
      </c>
    </row>
    <row r="917" spans="1:40" x14ac:dyDescent="0.25">
      <c r="A917" t="str">
        <f>"20190305135557264"</f>
        <v>20190305135557264</v>
      </c>
      <c r="B917" t="str">
        <f>"1551765357252673"</f>
        <v>1551765357252673</v>
      </c>
      <c r="C917" t="s">
        <v>40</v>
      </c>
      <c r="D917">
        <v>4.3897629999999896</v>
      </c>
      <c r="E917">
        <v>0.51210489999999997</v>
      </c>
      <c r="F917" t="s">
        <v>42</v>
      </c>
      <c r="G917">
        <v>-190.6514</v>
      </c>
      <c r="H917" s="1">
        <v>-3.0873320000000001E-6</v>
      </c>
      <c r="I917">
        <v>326.3818</v>
      </c>
      <c r="J917">
        <v>-191.40969999999999</v>
      </c>
      <c r="K917">
        <v>1.1097980000000001</v>
      </c>
      <c r="L917">
        <v>344.70409999999998</v>
      </c>
      <c r="M917">
        <v>0.1188139</v>
      </c>
      <c r="N917">
        <v>-1.418584E-2</v>
      </c>
      <c r="O917">
        <v>-0.99281549999999996</v>
      </c>
      <c r="P917">
        <v>7.0350800000000005E-2</v>
      </c>
      <c r="Q917">
        <v>-0.1209427</v>
      </c>
      <c r="R917">
        <v>-0.99016369999999998</v>
      </c>
      <c r="S917">
        <v>0.1277161</v>
      </c>
      <c r="T917">
        <v>-0.17900550000000001</v>
      </c>
      <c r="U917">
        <v>-2.9992070000000002</v>
      </c>
      <c r="V917">
        <v>4.790809E-2</v>
      </c>
      <c r="W917">
        <v>-0.10681880000000001</v>
      </c>
      <c r="X917">
        <v>0.99312370000000005</v>
      </c>
      <c r="Y917">
        <v>7.6477340000000005E-2</v>
      </c>
      <c r="Z917">
        <v>4.4701570000000003E-2</v>
      </c>
      <c r="AA917">
        <v>0.99606879999999998</v>
      </c>
      <c r="AB917">
        <v>28</v>
      </c>
      <c r="AC917">
        <v>0.75829999999999098</v>
      </c>
      <c r="AD917">
        <v>-1.1098010873319999</v>
      </c>
      <c r="AE917">
        <v>-18.322299999999899</v>
      </c>
      <c r="AF917">
        <v>1.4190374752189701</v>
      </c>
      <c r="AG917">
        <v>-1.1098010873319999</v>
      </c>
      <c r="AH917">
        <v>18.215877120552999</v>
      </c>
      <c r="AI917">
        <v>93.4759269781905</v>
      </c>
      <c r="AJ917">
        <v>85.545589953716302</v>
      </c>
      <c r="AK917">
        <v>18.3047399621138</v>
      </c>
      <c r="AL917">
        <v>96.131965167579196</v>
      </c>
      <c r="AM917">
        <v>87.238203955863995</v>
      </c>
      <c r="AN917">
        <v>1.0000000623112799</v>
      </c>
    </row>
    <row r="918" spans="1:40" x14ac:dyDescent="0.25">
      <c r="A918" t="str">
        <f>"20190305135557286"</f>
        <v>20190305135557286</v>
      </c>
      <c r="B918" t="str">
        <f>"1551765357282928"</f>
        <v>1551765357282928</v>
      </c>
      <c r="C918" t="s">
        <v>40</v>
      </c>
      <c r="D918">
        <v>4.3999040000000003</v>
      </c>
      <c r="E918">
        <v>0.51262129999999995</v>
      </c>
      <c r="F918" t="s">
        <v>42</v>
      </c>
      <c r="G918">
        <v>-190.56989999999999</v>
      </c>
      <c r="H918" s="1">
        <v>-2.5838129999999999E-6</v>
      </c>
      <c r="I918">
        <v>325.2586</v>
      </c>
      <c r="J918">
        <v>-191.37649999999999</v>
      </c>
      <c r="K918">
        <v>1.1095389999999901</v>
      </c>
      <c r="L918">
        <v>344.42919999999998</v>
      </c>
      <c r="M918">
        <v>0.1188452</v>
      </c>
      <c r="N918">
        <v>-1.417214E-2</v>
      </c>
      <c r="O918">
        <v>-0.99281180000000002</v>
      </c>
      <c r="P918">
        <v>7.1004719999999993E-2</v>
      </c>
      <c r="Q918">
        <v>-0.118571</v>
      </c>
      <c r="R918">
        <v>-0.99040399999999995</v>
      </c>
      <c r="S918">
        <v>0.1295471</v>
      </c>
      <c r="T918">
        <v>-0.1712013</v>
      </c>
      <c r="U918">
        <v>-2.9997250000000002</v>
      </c>
      <c r="V918">
        <v>4.724764E-2</v>
      </c>
      <c r="W918">
        <v>-0.1044882</v>
      </c>
      <c r="X918">
        <v>0.99340320000000004</v>
      </c>
      <c r="Y918">
        <v>7.5906119999999994E-2</v>
      </c>
      <c r="Z918">
        <v>4.2147900000000002E-2</v>
      </c>
      <c r="AA918">
        <v>0.99622379999999999</v>
      </c>
      <c r="AB918">
        <v>28</v>
      </c>
      <c r="AC918">
        <v>0.80660000000000298</v>
      </c>
      <c r="AD918">
        <v>-1.1095415838129901</v>
      </c>
      <c r="AE918">
        <v>-19.170599999999901</v>
      </c>
      <c r="AF918">
        <v>1.47275529163324</v>
      </c>
      <c r="AG918">
        <v>-1.1095415838129901</v>
      </c>
      <c r="AH918">
        <v>19.066820122301898</v>
      </c>
      <c r="AI918">
        <v>93.320546953394398</v>
      </c>
      <c r="AJ918">
        <v>85.5831416633538</v>
      </c>
      <c r="AK918">
        <v>19.155775114869702</v>
      </c>
      <c r="AL918">
        <v>95.997680258503493</v>
      </c>
      <c r="AM918">
        <v>87.276984907932601</v>
      </c>
      <c r="AN918">
        <v>1.0000000205975199</v>
      </c>
    </row>
    <row r="919" spans="1:40" x14ac:dyDescent="0.25">
      <c r="A919" t="str">
        <f>"20190305135557308"</f>
        <v>20190305135557308</v>
      </c>
      <c r="B919" t="str">
        <f>"1551765357302449"</f>
        <v>1551765357302449</v>
      </c>
      <c r="C919" t="s">
        <v>40</v>
      </c>
      <c r="D919">
        <v>4.3645500000000004</v>
      </c>
      <c r="E919">
        <v>0.51301160000000001</v>
      </c>
      <c r="F919" t="s">
        <v>42</v>
      </c>
      <c r="G919">
        <v>-190.53129999999999</v>
      </c>
      <c r="H919" s="1">
        <v>-2.2252139999999999E-6</v>
      </c>
      <c r="I919">
        <v>324.44659999999999</v>
      </c>
      <c r="J919">
        <v>-191.34520000000001</v>
      </c>
      <c r="K919">
        <v>1.109291</v>
      </c>
      <c r="L919">
        <v>344.166</v>
      </c>
      <c r="M919">
        <v>0.1185537</v>
      </c>
      <c r="N919">
        <v>-1.416096E-2</v>
      </c>
      <c r="O919">
        <v>-0.99284669999999997</v>
      </c>
      <c r="P919">
        <v>7.0288059999999999E-2</v>
      </c>
      <c r="Q919">
        <v>-0.1171624</v>
      </c>
      <c r="R919">
        <v>-0.99062240000000001</v>
      </c>
      <c r="S919">
        <v>0.12689210000000001</v>
      </c>
      <c r="T919">
        <v>-0.1665797</v>
      </c>
      <c r="U919">
        <v>-3.0000610000000001</v>
      </c>
      <c r="V919">
        <v>4.763013E-2</v>
      </c>
      <c r="W919">
        <v>-0.103117899999999</v>
      </c>
      <c r="X919">
        <v>0.99352810000000003</v>
      </c>
      <c r="Y919">
        <v>7.6496179999999997E-2</v>
      </c>
      <c r="Z919">
        <v>4.0639479999999999E-2</v>
      </c>
      <c r="AA919">
        <v>0.9962413</v>
      </c>
      <c r="AB919">
        <v>28</v>
      </c>
      <c r="AC919">
        <v>0.81390000000001705</v>
      </c>
      <c r="AD919">
        <v>-1.109293225214</v>
      </c>
      <c r="AE919">
        <v>-19.7194</v>
      </c>
      <c r="AF919">
        <v>1.5250653788205599</v>
      </c>
      <c r="AG919">
        <v>-1.109293225214</v>
      </c>
      <c r="AH919">
        <v>19.614838656001801</v>
      </c>
      <c r="AI919">
        <v>93.227126021142595</v>
      </c>
      <c r="AJ919">
        <v>85.554163239372699</v>
      </c>
      <c r="AK919">
        <v>19.705284858894299</v>
      </c>
      <c r="AL919">
        <v>95.918741483892902</v>
      </c>
      <c r="AM919">
        <v>87.255319068814103</v>
      </c>
      <c r="AN919">
        <v>1.00000000803691</v>
      </c>
    </row>
    <row r="920" spans="1:40" x14ac:dyDescent="0.25">
      <c r="A920" t="str">
        <f>"20190305135557331"</f>
        <v>20190305135557331</v>
      </c>
      <c r="B920" t="str">
        <f>"1551765357322945"</f>
        <v>1551765357322945</v>
      </c>
      <c r="C920" t="s">
        <v>40</v>
      </c>
      <c r="D920">
        <v>4.3717269999999999</v>
      </c>
      <c r="E920">
        <v>0.51334789999999997</v>
      </c>
      <c r="F920" t="s">
        <v>42</v>
      </c>
      <c r="G920">
        <v>-190.53270000000001</v>
      </c>
      <c r="H920" s="1">
        <v>-2.0542440000000001E-6</v>
      </c>
      <c r="I920">
        <v>324.04719999999998</v>
      </c>
      <c r="J920">
        <v>-191.31219999999999</v>
      </c>
      <c r="K920">
        <v>1.1090390000000001</v>
      </c>
      <c r="L920">
        <v>343.88580000000002</v>
      </c>
      <c r="M920">
        <v>0.117927</v>
      </c>
      <c r="N920">
        <v>-1.415074E-2</v>
      </c>
      <c r="O920">
        <v>-0.99292159999999996</v>
      </c>
      <c r="P920">
        <v>6.8596399999999905E-2</v>
      </c>
      <c r="Q920">
        <v>-0.11654150000000001</v>
      </c>
      <c r="R920">
        <v>-0.99081410000000003</v>
      </c>
      <c r="S920">
        <v>0.12117</v>
      </c>
      <c r="T920">
        <v>-0.16542490000000001</v>
      </c>
      <c r="U920">
        <v>-3.0002439999999999</v>
      </c>
      <c r="V920">
        <v>4.8644550000000002E-2</v>
      </c>
      <c r="W920">
        <v>-0.1025368</v>
      </c>
      <c r="X920">
        <v>0.99353910000000001</v>
      </c>
      <c r="Y920">
        <v>7.776508E-2</v>
      </c>
      <c r="Z920">
        <v>4.027149E-2</v>
      </c>
      <c r="AA920">
        <v>0.99615799999999999</v>
      </c>
      <c r="AB920">
        <v>28</v>
      </c>
      <c r="AC920">
        <v>0.77949999999998398</v>
      </c>
      <c r="AD920">
        <v>-1.1090410542439999</v>
      </c>
      <c r="AE920">
        <v>-19.8386</v>
      </c>
      <c r="AF920">
        <v>1.5608104335117301</v>
      </c>
      <c r="AG920">
        <v>-1.1090410542439999</v>
      </c>
      <c r="AH920">
        <v>19.730510966309801</v>
      </c>
      <c r="AI920">
        <v>93.207180214088297</v>
      </c>
      <c r="AJ920">
        <v>85.476954118380903</v>
      </c>
      <c r="AK920">
        <v>19.823197629570998</v>
      </c>
      <c r="AL920">
        <v>95.885269434857193</v>
      </c>
      <c r="AM920">
        <v>87.196986471649495</v>
      </c>
      <c r="AN920">
        <v>1.00000001541387</v>
      </c>
    </row>
    <row r="921" spans="1:40" x14ac:dyDescent="0.25">
      <c r="A921" t="str">
        <f>"20190305135557356"</f>
        <v>20190305135557356</v>
      </c>
      <c r="B921" t="str">
        <f>"1551765357342465"</f>
        <v>1551765357342465</v>
      </c>
      <c r="C921" t="s">
        <v>40</v>
      </c>
      <c r="D921">
        <v>4.4098920000000001</v>
      </c>
      <c r="E921">
        <v>0.51372079999999998</v>
      </c>
      <c r="F921" t="s">
        <v>42</v>
      </c>
      <c r="G921">
        <v>-190.5624</v>
      </c>
      <c r="H921" s="1">
        <v>-2.0047879999999999E-6</v>
      </c>
      <c r="I921">
        <v>323.9135</v>
      </c>
      <c r="J921">
        <v>-191.2766</v>
      </c>
      <c r="K921">
        <v>1.1088009999999999</v>
      </c>
      <c r="L921">
        <v>343.57810000000001</v>
      </c>
      <c r="M921">
        <v>0.1169087</v>
      </c>
      <c r="N921">
        <v>-1.41411E-2</v>
      </c>
      <c r="O921">
        <v>-0.99304210000000004</v>
      </c>
      <c r="P921">
        <v>6.6274899999999998E-2</v>
      </c>
      <c r="Q921">
        <v>-0.1165297</v>
      </c>
      <c r="R921">
        <v>-0.99097369999999996</v>
      </c>
      <c r="S921">
        <v>0.1126404</v>
      </c>
      <c r="T921">
        <v>-0.1666107</v>
      </c>
      <c r="U921">
        <v>-3.0004270000000002</v>
      </c>
      <c r="V921">
        <v>4.9894429999999997E-2</v>
      </c>
      <c r="W921">
        <v>-0.1025643</v>
      </c>
      <c r="X921">
        <v>0.99347419999999997</v>
      </c>
      <c r="Y921">
        <v>7.9572050000000005E-2</v>
      </c>
      <c r="Z921">
        <v>4.0672979999999997E-2</v>
      </c>
      <c r="AA921">
        <v>0.99599899999999997</v>
      </c>
      <c r="AB921">
        <v>28</v>
      </c>
      <c r="AC921">
        <v>0.71420000000000505</v>
      </c>
      <c r="AD921">
        <v>-1.108803004788</v>
      </c>
      <c r="AE921">
        <v>-19.6646</v>
      </c>
      <c r="AF921">
        <v>1.58485876194783</v>
      </c>
      <c r="AG921">
        <v>-1.108803004788</v>
      </c>
      <c r="AH921">
        <v>19.551152676296599</v>
      </c>
      <c r="AI921">
        <v>93.235344268173293</v>
      </c>
      <c r="AJ921">
        <v>85.365613314270007</v>
      </c>
      <c r="AK921">
        <v>19.646597475659998</v>
      </c>
      <c r="AL921">
        <v>95.886853877656094</v>
      </c>
      <c r="AM921">
        <v>87.124897264986004</v>
      </c>
      <c r="AN921">
        <v>0.99999993792257502</v>
      </c>
    </row>
    <row r="922" spans="1:40" x14ac:dyDescent="0.25">
      <c r="A922" t="str">
        <f>"20190305135557380"</f>
        <v>20190305135557380</v>
      </c>
      <c r="B922" t="str">
        <f>"1551765357372721"</f>
        <v>1551765357372721</v>
      </c>
      <c r="C922" t="s">
        <v>40</v>
      </c>
      <c r="D922">
        <v>4.3869800000000003</v>
      </c>
      <c r="E922">
        <v>0.51422950000000001</v>
      </c>
      <c r="F922" t="s">
        <v>42</v>
      </c>
      <c r="G922">
        <v>-190.60900000000001</v>
      </c>
      <c r="H922" s="1">
        <v>-2.036375E-6</v>
      </c>
      <c r="I922">
        <v>323.95830000000001</v>
      </c>
      <c r="J922">
        <v>-191.2422</v>
      </c>
      <c r="K922">
        <v>1.108616</v>
      </c>
      <c r="L922">
        <v>343.27589999999998</v>
      </c>
      <c r="M922">
        <v>0.11570759999999999</v>
      </c>
      <c r="N922">
        <v>-1.4132189999999999E-2</v>
      </c>
      <c r="O922">
        <v>-0.99318309999999999</v>
      </c>
      <c r="P922">
        <v>6.3083330000000007E-2</v>
      </c>
      <c r="Q922">
        <v>-0.1171692</v>
      </c>
      <c r="R922">
        <v>-0.99110670000000001</v>
      </c>
      <c r="S922">
        <v>0.1020966</v>
      </c>
      <c r="T922">
        <v>-0.16957239999999901</v>
      </c>
      <c r="U922">
        <v>-3.0005190000000002</v>
      </c>
      <c r="V922">
        <v>5.1836430000000003E-2</v>
      </c>
      <c r="W922">
        <v>-0.1032395</v>
      </c>
      <c r="X922">
        <v>0.99330490000000005</v>
      </c>
      <c r="Y922">
        <v>8.1862480000000001E-2</v>
      </c>
      <c r="Z922">
        <v>4.1658239999999999E-2</v>
      </c>
      <c r="AA922">
        <v>0.99577260000000001</v>
      </c>
      <c r="AB922">
        <v>28</v>
      </c>
      <c r="AC922">
        <v>0.633199999999987</v>
      </c>
      <c r="AD922">
        <v>-1.108618036375</v>
      </c>
      <c r="AE922">
        <v>-19.317599999999899</v>
      </c>
      <c r="AF922">
        <v>1.6012016156804201</v>
      </c>
      <c r="AG922">
        <v>-1.108618036375</v>
      </c>
      <c r="AH922">
        <v>19.1979367361279</v>
      </c>
      <c r="AI922">
        <v>93.293562923100495</v>
      </c>
      <c r="AJ922">
        <v>85.232287264880895</v>
      </c>
      <c r="AK922">
        <v>19.296467435492001</v>
      </c>
      <c r="AL922">
        <v>95.925745981177002</v>
      </c>
      <c r="AM922">
        <v>87.012682684845601</v>
      </c>
      <c r="AN922">
        <v>1.0000000170997001</v>
      </c>
    </row>
    <row r="923" spans="1:40" x14ac:dyDescent="0.25">
      <c r="A923" t="str">
        <f>"20190305135557400"</f>
        <v>20190305135557400</v>
      </c>
      <c r="B923" t="str">
        <f>"1551765357393217"</f>
        <v>1551765357393217</v>
      </c>
      <c r="C923" t="s">
        <v>40</v>
      </c>
      <c r="D923">
        <v>4.3818250000000001</v>
      </c>
      <c r="E923">
        <v>0.51444160000000005</v>
      </c>
      <c r="F923" t="s">
        <v>42</v>
      </c>
      <c r="G923">
        <v>-190.68790000000001</v>
      </c>
      <c r="H923" s="1">
        <v>-2.2294339999999999E-6</v>
      </c>
      <c r="I923">
        <v>324.35930000000002</v>
      </c>
      <c r="J923">
        <v>-191.21510000000001</v>
      </c>
      <c r="K923">
        <v>1.108495</v>
      </c>
      <c r="L923">
        <v>343.03399999999999</v>
      </c>
      <c r="M923">
        <v>0.11463669999999999</v>
      </c>
      <c r="N923">
        <v>-1.4125260000000001E-2</v>
      </c>
      <c r="O923">
        <v>-0.99330719999999995</v>
      </c>
      <c r="P923">
        <v>5.9665219999999998E-2</v>
      </c>
      <c r="Q923">
        <v>-0.1189262</v>
      </c>
      <c r="R923">
        <v>-0.99110900000000002</v>
      </c>
      <c r="S923">
        <v>8.7921139999999995E-2</v>
      </c>
      <c r="T923">
        <v>-0.1758469</v>
      </c>
      <c r="U923">
        <v>-3.0005190000000002</v>
      </c>
      <c r="V923">
        <v>5.413391E-2</v>
      </c>
      <c r="W923">
        <v>-0.1050257</v>
      </c>
      <c r="X923">
        <v>0.99299499999999996</v>
      </c>
      <c r="Y923">
        <v>8.548654E-2</v>
      </c>
      <c r="Z923">
        <v>4.3724590000000001E-2</v>
      </c>
      <c r="AA923">
        <v>0.99537940000000003</v>
      </c>
      <c r="AB923">
        <v>28</v>
      </c>
      <c r="AC923">
        <v>0.52719999999999301</v>
      </c>
      <c r="AD923">
        <v>-1.1084972294339901</v>
      </c>
      <c r="AE923">
        <v>-18.674699999999898</v>
      </c>
      <c r="AF923">
        <v>1.61162167737012</v>
      </c>
      <c r="AG923">
        <v>-1.1084972294339901</v>
      </c>
      <c r="AH923">
        <v>18.546709157991</v>
      </c>
      <c r="AI923">
        <v>93.407567302048307</v>
      </c>
      <c r="AJ923">
        <v>85.033741261598394</v>
      </c>
      <c r="AK923">
        <v>18.649571339034601</v>
      </c>
      <c r="AL923">
        <v>96.028647406227293</v>
      </c>
      <c r="AM923">
        <v>86.879563973199396</v>
      </c>
      <c r="AN923">
        <v>0.999999973948688</v>
      </c>
    </row>
    <row r="924" spans="1:40" x14ac:dyDescent="0.25">
      <c r="A924" t="str">
        <f>"20190305135557421"</f>
        <v>20190305135557421</v>
      </c>
      <c r="B924" t="str">
        <f>"1551765357412737"</f>
        <v>1551765357412737</v>
      </c>
      <c r="C924" t="s">
        <v>40</v>
      </c>
      <c r="D924">
        <v>4.3746320000000001</v>
      </c>
      <c r="E924">
        <v>0.51469120000000002</v>
      </c>
      <c r="F924" t="s">
        <v>42</v>
      </c>
      <c r="G924">
        <v>-190.75829999999999</v>
      </c>
      <c r="H924" s="1">
        <v>-2.4510860000000002E-6</v>
      </c>
      <c r="I924">
        <v>324.83229999999998</v>
      </c>
      <c r="J924">
        <v>-191.18549999999999</v>
      </c>
      <c r="K924">
        <v>1.1083970000000001</v>
      </c>
      <c r="L924">
        <v>342.76580000000001</v>
      </c>
      <c r="M924">
        <v>0.11335099999999999</v>
      </c>
      <c r="N924">
        <v>-1.411802E-2</v>
      </c>
      <c r="O924">
        <v>-0.99345470000000002</v>
      </c>
      <c r="P924">
        <v>5.6292590000000003E-2</v>
      </c>
      <c r="Q924">
        <v>-0.1199539</v>
      </c>
      <c r="R924">
        <v>-0.99118240000000002</v>
      </c>
      <c r="S924">
        <v>7.530212E-2</v>
      </c>
      <c r="T924">
        <v>-0.18272720000000001</v>
      </c>
      <c r="U924">
        <v>-3.000397</v>
      </c>
      <c r="V924">
        <v>5.618567E-2</v>
      </c>
      <c r="W924">
        <v>-0.1060799</v>
      </c>
      <c r="X924">
        <v>0.99276889999999995</v>
      </c>
      <c r="Y924">
        <v>8.8378349999999994E-2</v>
      </c>
      <c r="Z924">
        <v>4.5995109999999999E-2</v>
      </c>
      <c r="AA924">
        <v>0.99502449999999998</v>
      </c>
      <c r="AB924">
        <v>28</v>
      </c>
      <c r="AC924">
        <v>0.42719999999999902</v>
      </c>
      <c r="AD924">
        <v>-1.10839945108599</v>
      </c>
      <c r="AE924">
        <v>-17.933499999999999</v>
      </c>
      <c r="AF924">
        <v>1.60241886105707</v>
      </c>
      <c r="AG924">
        <v>-1.10839945108599</v>
      </c>
      <c r="AH924">
        <v>17.7983728770844</v>
      </c>
      <c r="AI924">
        <v>93.549192911745493</v>
      </c>
      <c r="AJ924">
        <v>84.855430272151494</v>
      </c>
      <c r="AK924">
        <v>17.904702528139701</v>
      </c>
      <c r="AL924">
        <v>96.089388194261105</v>
      </c>
      <c r="AM924">
        <v>86.760805729534596</v>
      </c>
      <c r="AN924">
        <v>0.99999993175228197</v>
      </c>
    </row>
    <row r="925" spans="1:40" x14ac:dyDescent="0.25">
      <c r="A925" t="str">
        <f>"20190305135557442"</f>
        <v>20190305135557442</v>
      </c>
      <c r="B925" t="str">
        <f>"1551765357432257"</f>
        <v>1551765357432257</v>
      </c>
      <c r="C925" t="s">
        <v>40</v>
      </c>
      <c r="D925">
        <v>4.3732419999999896</v>
      </c>
      <c r="E925">
        <v>0.51494490000000004</v>
      </c>
      <c r="F925" t="s">
        <v>42</v>
      </c>
      <c r="G925">
        <v>-190.815</v>
      </c>
      <c r="H925" s="1">
        <v>-2.5770219999999998E-6</v>
      </c>
      <c r="I925">
        <v>325.0908</v>
      </c>
      <c r="J925">
        <v>-191.1558</v>
      </c>
      <c r="K925">
        <v>1.108311</v>
      </c>
      <c r="L925">
        <v>342.49259999999998</v>
      </c>
      <c r="M925">
        <v>0.1119474</v>
      </c>
      <c r="N925">
        <v>-1.411157E-2</v>
      </c>
      <c r="O925">
        <v>-0.993614</v>
      </c>
      <c r="P925">
        <v>5.4220020000000001E-2</v>
      </c>
      <c r="Q925">
        <v>-0.1209761</v>
      </c>
      <c r="R925">
        <v>-0.99117390000000005</v>
      </c>
      <c r="S925">
        <v>6.2896729999999998E-2</v>
      </c>
      <c r="T925">
        <v>-0.1881505</v>
      </c>
      <c r="U925">
        <v>-3.0003359999999999</v>
      </c>
      <c r="V925">
        <v>5.6821980000000001E-2</v>
      </c>
      <c r="W925">
        <v>-0.1071225</v>
      </c>
      <c r="X925">
        <v>0.99262079999999997</v>
      </c>
      <c r="Y925">
        <v>9.1081239999999994E-2</v>
      </c>
      <c r="Z925">
        <v>4.7786929999999998E-2</v>
      </c>
      <c r="AA925">
        <v>0.99469629999999998</v>
      </c>
      <c r="AB925">
        <v>28</v>
      </c>
      <c r="AC925">
        <v>0.34080000000000099</v>
      </c>
      <c r="AD925">
        <v>-1.1083135770220001</v>
      </c>
      <c r="AE925">
        <v>-17.401799999999898</v>
      </c>
      <c r="AF925">
        <v>1.6031224229044301</v>
      </c>
      <c r="AG925">
        <v>-1.1083135770220001</v>
      </c>
      <c r="AH925">
        <v>17.2605599652628</v>
      </c>
      <c r="AI925">
        <v>93.658259817235503</v>
      </c>
      <c r="AJ925">
        <v>84.693718307575807</v>
      </c>
      <c r="AK925">
        <v>17.370241529761799</v>
      </c>
      <c r="AL925">
        <v>96.149466636132999</v>
      </c>
      <c r="AM925">
        <v>86.723713191039707</v>
      </c>
      <c r="AN925">
        <v>1.0000000100049999</v>
      </c>
    </row>
    <row r="926" spans="1:40" x14ac:dyDescent="0.25">
      <c r="A926" t="str">
        <f>"20190305135557464"</f>
        <v>20190305135557464</v>
      </c>
      <c r="B926" t="str">
        <f>"1551765357452756"</f>
        <v>1551765357452756</v>
      </c>
      <c r="C926" t="s">
        <v>40</v>
      </c>
      <c r="D926">
        <v>4.3682879999999997</v>
      </c>
      <c r="E926">
        <v>0.51511340000000005</v>
      </c>
      <c r="F926" t="s">
        <v>42</v>
      </c>
      <c r="G926">
        <v>-190.84100000000001</v>
      </c>
      <c r="H926" s="1">
        <v>-2.6417029999999999E-6</v>
      </c>
      <c r="I926">
        <v>325.2253</v>
      </c>
      <c r="J926">
        <v>-191.12799999999999</v>
      </c>
      <c r="K926">
        <v>1.1082379999999901</v>
      </c>
      <c r="L926">
        <v>342.23239999999998</v>
      </c>
      <c r="M926">
        <v>0.11052770000000001</v>
      </c>
      <c r="N926">
        <v>-1.410632E-2</v>
      </c>
      <c r="O926">
        <v>-0.99377320000000002</v>
      </c>
      <c r="P926">
        <v>5.2511679999999998E-2</v>
      </c>
      <c r="Q926">
        <v>-0.12224839999999999</v>
      </c>
      <c r="R926">
        <v>-0.99110969999999998</v>
      </c>
      <c r="S926">
        <v>5.46875E-2</v>
      </c>
      <c r="T926">
        <v>-0.19257150000000001</v>
      </c>
      <c r="U926">
        <v>-3.0002140000000002</v>
      </c>
      <c r="V926">
        <v>5.7074840000000002E-2</v>
      </c>
      <c r="W926">
        <v>-0.108413</v>
      </c>
      <c r="X926">
        <v>0.99246619999999997</v>
      </c>
      <c r="Y926">
        <v>9.2377819999999999E-2</v>
      </c>
      <c r="Z926">
        <v>4.9254310000000003E-2</v>
      </c>
      <c r="AA926">
        <v>0.99450510000000003</v>
      </c>
      <c r="AB926">
        <v>28</v>
      </c>
      <c r="AC926">
        <v>0.28700000000000597</v>
      </c>
      <c r="AD926">
        <v>-1.10824064170299</v>
      </c>
      <c r="AE926">
        <v>-17.007099999999902</v>
      </c>
      <c r="AF926">
        <v>1.5879599965423401</v>
      </c>
      <c r="AG926">
        <v>-1.10824064170299</v>
      </c>
      <c r="AH926">
        <v>16.863017555412601</v>
      </c>
      <c r="AI926">
        <v>93.743567752000203</v>
      </c>
      <c r="AJ926">
        <v>84.6204235918743</v>
      </c>
      <c r="AK926">
        <v>16.973837967433798</v>
      </c>
      <c r="AL926">
        <v>96.223839818492905</v>
      </c>
      <c r="AM926">
        <v>86.708654062797606</v>
      </c>
      <c r="AN926">
        <v>1.0000000370362301</v>
      </c>
    </row>
    <row r="927" spans="1:40" x14ac:dyDescent="0.25">
      <c r="A927" t="str">
        <f>"20190305135557486"</f>
        <v>20190305135557486</v>
      </c>
      <c r="B927" t="str">
        <f>"1551765357483009"</f>
        <v>1551765357483009</v>
      </c>
      <c r="C927" t="s">
        <v>40</v>
      </c>
      <c r="D927">
        <v>4.323518</v>
      </c>
      <c r="E927">
        <v>0.51536510000000002</v>
      </c>
      <c r="F927" t="s">
        <v>42</v>
      </c>
      <c r="G927">
        <v>-190.858</v>
      </c>
      <c r="H927" s="1">
        <v>-2.7274790000000002E-6</v>
      </c>
      <c r="I927">
        <v>325.41480000000001</v>
      </c>
      <c r="J927">
        <v>-191.09989999999999</v>
      </c>
      <c r="K927">
        <v>1.108158</v>
      </c>
      <c r="L927">
        <v>341.96559999999999</v>
      </c>
      <c r="M927">
        <v>0.1089799</v>
      </c>
      <c r="N927">
        <v>-1.410206E-2</v>
      </c>
      <c r="O927">
        <v>-0.99394400000000005</v>
      </c>
      <c r="P927">
        <v>5.075176E-2</v>
      </c>
      <c r="Q927">
        <v>-0.12244430000000001</v>
      </c>
      <c r="R927">
        <v>-0.99117719999999998</v>
      </c>
      <c r="S927">
        <v>4.8156740000000003E-2</v>
      </c>
      <c r="T927">
        <v>-0.19769300000000001</v>
      </c>
      <c r="U927">
        <v>-3</v>
      </c>
      <c r="V927">
        <v>5.726647E-2</v>
      </c>
      <c r="W927">
        <v>-0.1086255</v>
      </c>
      <c r="X927">
        <v>0.99243190000000003</v>
      </c>
      <c r="Y927">
        <v>9.2990000000000003E-2</v>
      </c>
      <c r="Z927">
        <v>5.0955779999999999E-2</v>
      </c>
      <c r="AA927">
        <v>0.99436230000000003</v>
      </c>
      <c r="AB927">
        <v>28</v>
      </c>
      <c r="AC927">
        <v>0.24189999999998599</v>
      </c>
      <c r="AD927">
        <v>-1.108160727479</v>
      </c>
      <c r="AE927">
        <v>-16.550799999999899</v>
      </c>
      <c r="AF927">
        <v>1.5564487640178599</v>
      </c>
      <c r="AG927">
        <v>-1.108160727479</v>
      </c>
      <c r="AH927">
        <v>16.405039989058</v>
      </c>
      <c r="AI927">
        <v>93.847235726444097</v>
      </c>
      <c r="AJ927">
        <v>84.580214210672807</v>
      </c>
      <c r="AK927">
        <v>16.515928372196701</v>
      </c>
      <c r="AL927">
        <v>96.236087658592993</v>
      </c>
      <c r="AM927">
        <v>86.697513832784495</v>
      </c>
      <c r="AN927">
        <v>1.00000001198706</v>
      </c>
    </row>
    <row r="928" spans="1:40" x14ac:dyDescent="0.25">
      <c r="A928" t="str">
        <f>"20190305135557510"</f>
        <v>20190305135557510</v>
      </c>
      <c r="B928" t="str">
        <f>"1551765357502529"</f>
        <v>1551765357502529</v>
      </c>
      <c r="C928" t="s">
        <v>40</v>
      </c>
      <c r="D928">
        <v>4.3179930000000004</v>
      </c>
      <c r="E928">
        <v>0.51549350000000005</v>
      </c>
      <c r="F928" t="s">
        <v>42</v>
      </c>
      <c r="G928">
        <v>-190.87219999999999</v>
      </c>
      <c r="H928" s="1">
        <v>-2.6875469999999999E-6</v>
      </c>
      <c r="I928">
        <v>325.31290000000001</v>
      </c>
      <c r="J928">
        <v>-191.0701</v>
      </c>
      <c r="K928">
        <v>1.1080749999999999</v>
      </c>
      <c r="L928">
        <v>341.67579999999998</v>
      </c>
      <c r="M928">
        <v>0.1071743</v>
      </c>
      <c r="N928">
        <v>-1.4098390000000001E-2</v>
      </c>
      <c r="O928">
        <v>-0.99414029999999998</v>
      </c>
      <c r="P928">
        <v>4.9641320000000003E-2</v>
      </c>
      <c r="Q928">
        <v>-0.1215121</v>
      </c>
      <c r="R928">
        <v>-0.9913478</v>
      </c>
      <c r="S928">
        <v>4.1030879999999999E-2</v>
      </c>
      <c r="T928">
        <v>-0.19963220000000001</v>
      </c>
      <c r="U928">
        <v>-2.9999389999999999</v>
      </c>
      <c r="V928">
        <v>5.6565560000000001E-2</v>
      </c>
      <c r="W928">
        <v>-0.1077067</v>
      </c>
      <c r="X928">
        <v>0.99257220000000002</v>
      </c>
      <c r="Y928">
        <v>9.3542349999999996E-2</v>
      </c>
      <c r="Z928">
        <v>5.1613249999999999E-2</v>
      </c>
      <c r="AA928">
        <v>0.99427659999999995</v>
      </c>
      <c r="AB928">
        <v>28</v>
      </c>
      <c r="AC928">
        <v>0.19790000000000399</v>
      </c>
      <c r="AD928">
        <v>-1.108077687547</v>
      </c>
      <c r="AE928">
        <v>-16.3628999999999</v>
      </c>
      <c r="AF928">
        <v>1.5499897380723699</v>
      </c>
      <c r="AG928">
        <v>-1.108077687547</v>
      </c>
      <c r="AH928">
        <v>16.215495897116501</v>
      </c>
      <c r="AI928">
        <v>93.891517946604594</v>
      </c>
      <c r="AJ928">
        <v>84.539860584234404</v>
      </c>
      <c r="AK928">
        <v>16.327051526199501</v>
      </c>
      <c r="AL928">
        <v>96.183133778609601</v>
      </c>
      <c r="AM928">
        <v>86.738306716251302</v>
      </c>
      <c r="AN928">
        <v>0.99999998400792101</v>
      </c>
    </row>
    <row r="929" spans="1:40" x14ac:dyDescent="0.25">
      <c r="A929" t="str">
        <f>"20190305135557532"</f>
        <v>20190305135557532</v>
      </c>
      <c r="B929" t="str">
        <f>"1551765357523026"</f>
        <v>1551765357523026</v>
      </c>
      <c r="C929" t="s">
        <v>40</v>
      </c>
      <c r="D929">
        <v>4.343083</v>
      </c>
      <c r="E929">
        <v>0.51555320000000004</v>
      </c>
      <c r="F929" t="s">
        <v>41</v>
      </c>
      <c r="G929">
        <v>-191.05840000000001</v>
      </c>
      <c r="H929">
        <v>1.0436110000000001</v>
      </c>
      <c r="I929">
        <v>340.69990000000001</v>
      </c>
      <c r="J929">
        <v>-191.04249999999999</v>
      </c>
      <c r="K929">
        <v>1.1079950000000001</v>
      </c>
      <c r="L929">
        <v>341.4</v>
      </c>
      <c r="M929">
        <v>0.1052969</v>
      </c>
      <c r="N929">
        <v>-1.409615E-2</v>
      </c>
      <c r="O929">
        <v>-0.99434080000000002</v>
      </c>
      <c r="P929">
        <v>4.8552440000000002E-2</v>
      </c>
      <c r="Q929">
        <v>-0.1190142</v>
      </c>
      <c r="R929">
        <v>-0.99170449999999999</v>
      </c>
      <c r="S929">
        <v>3.6560059999999998E-2</v>
      </c>
      <c r="T929">
        <v>-0.19819439999999999</v>
      </c>
      <c r="U929">
        <v>-3.0000610000000001</v>
      </c>
      <c r="V929">
        <v>5.5795110000000002E-2</v>
      </c>
      <c r="W929">
        <v>-0.10521850000000001</v>
      </c>
      <c r="X929">
        <v>0.99288270000000001</v>
      </c>
      <c r="Y929">
        <v>9.3144599999999994E-2</v>
      </c>
      <c r="Z929">
        <v>5.1161860000000003E-2</v>
      </c>
      <c r="AA929">
        <v>0.99433729999999998</v>
      </c>
      <c r="AB929">
        <v>27</v>
      </c>
      <c r="AC929">
        <v>-1.59000000000162E-2</v>
      </c>
      <c r="AD929">
        <v>-6.4383999999999997E-2</v>
      </c>
      <c r="AE929">
        <v>-0.70009999999996297</v>
      </c>
      <c r="AF929">
        <v>8.8786768784651096E-2</v>
      </c>
      <c r="AG929">
        <v>-6.4383999999999997E-2</v>
      </c>
      <c r="AH929">
        <v>0.68871117259753201</v>
      </c>
      <c r="AI929">
        <v>95.2971752631464</v>
      </c>
      <c r="AJ929">
        <v>82.654100794563007</v>
      </c>
      <c r="AK929">
        <v>0.69738903707176703</v>
      </c>
      <c r="AL929">
        <v>96.039755170117104</v>
      </c>
      <c r="AM929">
        <v>86.783642605963095</v>
      </c>
      <c r="AN929">
        <v>1.00000004150072</v>
      </c>
    </row>
    <row r="930" spans="1:40" x14ac:dyDescent="0.25">
      <c r="A930" t="str">
        <f>"20190305135557558"</f>
        <v>20190305135557558</v>
      </c>
      <c r="B930" t="str">
        <f>"1551765357552305"</f>
        <v>1551765357552305</v>
      </c>
      <c r="C930" t="s">
        <v>40</v>
      </c>
      <c r="D930">
        <v>4.3611459999999997</v>
      </c>
      <c r="E930">
        <v>0.51579520000000001</v>
      </c>
      <c r="F930" t="s">
        <v>41</v>
      </c>
      <c r="G930">
        <v>-191.03229999999999</v>
      </c>
      <c r="H930">
        <v>1.0474110000000001</v>
      </c>
      <c r="I930">
        <v>340.45209999999997</v>
      </c>
      <c r="J930">
        <v>-191.0121</v>
      </c>
      <c r="K930">
        <v>1.107896</v>
      </c>
      <c r="L930">
        <v>341.08850000000001</v>
      </c>
      <c r="M930">
        <v>0.1030137</v>
      </c>
      <c r="N930">
        <v>-1.4094219999999999E-2</v>
      </c>
      <c r="O930">
        <v>-0.99458000000000002</v>
      </c>
      <c r="P930">
        <v>4.793704E-2</v>
      </c>
      <c r="Q930">
        <v>-0.115593</v>
      </c>
      <c r="R930">
        <v>-0.99213949999999995</v>
      </c>
      <c r="S930">
        <v>3.2699579999999999E-2</v>
      </c>
      <c r="T930">
        <v>-0.19185759999999999</v>
      </c>
      <c r="U930">
        <v>-3.0004580000000001</v>
      </c>
      <c r="V930">
        <v>5.4159289999999999E-2</v>
      </c>
      <c r="W930">
        <v>-0.10180210000000001</v>
      </c>
      <c r="X930">
        <v>0.99332929999999997</v>
      </c>
      <c r="Y930">
        <v>9.2140250000000007E-2</v>
      </c>
      <c r="Z930">
        <v>4.9102100000000003E-2</v>
      </c>
      <c r="AA930">
        <v>0.99453469999999999</v>
      </c>
      <c r="AB930">
        <v>27</v>
      </c>
      <c r="AC930">
        <v>-2.0199999999988401E-2</v>
      </c>
      <c r="AD930">
        <v>-6.04849999999999E-2</v>
      </c>
      <c r="AE930">
        <v>-0.63640000000003705</v>
      </c>
      <c r="AF930">
        <v>8.4890896453484702E-2</v>
      </c>
      <c r="AG930">
        <v>-6.04849999999999E-2</v>
      </c>
      <c r="AH930">
        <v>0.62528995492777495</v>
      </c>
      <c r="AI930">
        <v>95.475177390547501</v>
      </c>
      <c r="AJ930">
        <v>82.268653300351204</v>
      </c>
      <c r="AK930">
        <v>0.63391831276533905</v>
      </c>
      <c r="AL930">
        <v>95.842952889196297</v>
      </c>
      <c r="AM930">
        <v>86.879152470643405</v>
      </c>
      <c r="AN930">
        <v>0.99999999724810196</v>
      </c>
    </row>
    <row r="931" spans="1:40" x14ac:dyDescent="0.25">
      <c r="A931" t="str">
        <f>"20190305135557578"</f>
        <v>20190305135557578</v>
      </c>
      <c r="B931" t="str">
        <f>"1551765357572801"</f>
        <v>1551765357572801</v>
      </c>
      <c r="C931" t="s">
        <v>40</v>
      </c>
      <c r="D931">
        <v>4.4080859999999999</v>
      </c>
      <c r="E931">
        <v>0.51590159999999996</v>
      </c>
      <c r="F931" t="s">
        <v>42</v>
      </c>
      <c r="G931">
        <v>-190.83969999999999</v>
      </c>
      <c r="H931" s="1">
        <v>-1.666929E-6</v>
      </c>
      <c r="I931">
        <v>322.95400000000001</v>
      </c>
      <c r="J931">
        <v>-190.989</v>
      </c>
      <c r="K931">
        <v>1.1078170000000001</v>
      </c>
      <c r="L931">
        <v>340.84519999999998</v>
      </c>
      <c r="M931">
        <v>0.1010993</v>
      </c>
      <c r="N931">
        <v>-1.4093079999999999E-2</v>
      </c>
      <c r="O931">
        <v>-0.99477640000000001</v>
      </c>
      <c r="P931">
        <v>4.7536219999999997E-2</v>
      </c>
      <c r="Q931">
        <v>-0.11495080000000001</v>
      </c>
      <c r="R931">
        <v>-0.99223289999999997</v>
      </c>
      <c r="S931">
        <v>2.8533940000000001E-2</v>
      </c>
      <c r="T931">
        <v>-0.18334529999999999</v>
      </c>
      <c r="U931">
        <v>-3.0010680000000001</v>
      </c>
      <c r="V931">
        <v>5.2639209999999999E-2</v>
      </c>
      <c r="W931">
        <v>-0.1011647</v>
      </c>
      <c r="X931">
        <v>0.99347620000000003</v>
      </c>
      <c r="Y931">
        <v>9.1607209999999994E-2</v>
      </c>
      <c r="Z931">
        <v>4.6315639999999998E-2</v>
      </c>
      <c r="AA931">
        <v>0.99471750000000003</v>
      </c>
      <c r="AB931">
        <v>27</v>
      </c>
      <c r="AC931">
        <v>0.14930000000001001</v>
      </c>
      <c r="AD931">
        <v>-1.107818666929</v>
      </c>
      <c r="AE931">
        <v>-17.891199999999898</v>
      </c>
      <c r="AF931">
        <v>1.65409133598028</v>
      </c>
      <c r="AG931">
        <v>-1.107818666929</v>
      </c>
      <c r="AH931">
        <v>17.746572310388402</v>
      </c>
      <c r="AI931">
        <v>93.556642404302394</v>
      </c>
      <c r="AJ931">
        <v>84.675060043289704</v>
      </c>
      <c r="AK931">
        <v>17.857886468292001</v>
      </c>
      <c r="AL931">
        <v>95.806242601769995</v>
      </c>
      <c r="AM931">
        <v>86.9670265470792</v>
      </c>
      <c r="AN931">
        <v>1.00000007146097</v>
      </c>
    </row>
    <row r="932" spans="1:40" x14ac:dyDescent="0.25">
      <c r="A932" t="str">
        <f>"20190305135557599"</f>
        <v>20190305135557599</v>
      </c>
      <c r="B932" t="str">
        <f>"1551765357592321"</f>
        <v>1551765357592321</v>
      </c>
      <c r="C932" t="s">
        <v>40</v>
      </c>
      <c r="D932">
        <v>4.412668</v>
      </c>
      <c r="E932">
        <v>0.51599030000000001</v>
      </c>
      <c r="F932" t="s">
        <v>42</v>
      </c>
      <c r="G932">
        <v>-190.83179999999999</v>
      </c>
      <c r="H932" s="1">
        <v>-1.631869E-6</v>
      </c>
      <c r="I932">
        <v>322.87709999999998</v>
      </c>
      <c r="J932">
        <v>-190.96510000000001</v>
      </c>
      <c r="K932">
        <v>1.1077129999999999</v>
      </c>
      <c r="L932">
        <v>340.58699999999999</v>
      </c>
      <c r="M932">
        <v>9.8917370000000004E-2</v>
      </c>
      <c r="N932">
        <v>-1.409262E-2</v>
      </c>
      <c r="O932">
        <v>-0.99499599999999999</v>
      </c>
      <c r="P932">
        <v>4.7437439999999997E-2</v>
      </c>
      <c r="Q932">
        <v>-0.1164415</v>
      </c>
      <c r="R932">
        <v>-0.9920641</v>
      </c>
      <c r="S932">
        <v>2.624512E-2</v>
      </c>
      <c r="T932">
        <v>-0.18501310000000001</v>
      </c>
      <c r="U932">
        <v>-3.0007929999999998</v>
      </c>
      <c r="V932">
        <v>5.0514389999999999E-2</v>
      </c>
      <c r="W932">
        <v>-0.1026608</v>
      </c>
      <c r="X932">
        <v>0.99343289999999995</v>
      </c>
      <c r="Y932">
        <v>9.0181659999999997E-2</v>
      </c>
      <c r="Z932">
        <v>4.6893020000000001E-2</v>
      </c>
      <c r="AA932">
        <v>0.99482079999999995</v>
      </c>
      <c r="AB932">
        <v>27</v>
      </c>
      <c r="AC932">
        <v>0.13330000000001899</v>
      </c>
      <c r="AD932">
        <v>-1.1077146318690001</v>
      </c>
      <c r="AE932">
        <v>-17.709900000000001</v>
      </c>
      <c r="AF932">
        <v>1.6130341500710399</v>
      </c>
      <c r="AG932">
        <v>-1.1077146318690001</v>
      </c>
      <c r="AH932">
        <v>17.567490145726499</v>
      </c>
      <c r="AI932">
        <v>93.592923522024606</v>
      </c>
      <c r="AJ932">
        <v>84.753853289995703</v>
      </c>
      <c r="AK932">
        <v>17.6761313893949</v>
      </c>
      <c r="AL932">
        <v>95.892412277733698</v>
      </c>
      <c r="AM932">
        <v>87.089113120899597</v>
      </c>
      <c r="AN932">
        <v>0.99999993512805896</v>
      </c>
    </row>
    <row r="933" spans="1:40" x14ac:dyDescent="0.25">
      <c r="A933" t="str">
        <f>"20190305135557621"</f>
        <v>20190305135557621</v>
      </c>
      <c r="B933" t="str">
        <f>"1551765357612817"</f>
        <v>1551765357612817</v>
      </c>
      <c r="C933" t="s">
        <v>40</v>
      </c>
      <c r="D933">
        <v>4.480766</v>
      </c>
      <c r="E933">
        <v>0.51604749999999999</v>
      </c>
      <c r="F933" t="s">
        <v>41</v>
      </c>
      <c r="G933">
        <v>-190.958</v>
      </c>
      <c r="H933">
        <v>1.0523690000000001</v>
      </c>
      <c r="I933">
        <v>339.7149</v>
      </c>
      <c r="J933">
        <v>-190.9401</v>
      </c>
      <c r="K933">
        <v>1.1075950000000001</v>
      </c>
      <c r="L933">
        <v>340.30799999999999</v>
      </c>
      <c r="M933">
        <v>9.6381079999999994E-2</v>
      </c>
      <c r="N933">
        <v>-1.409346E-2</v>
      </c>
      <c r="O933">
        <v>-0.99524509999999999</v>
      </c>
      <c r="P933">
        <v>4.7264460000000001E-2</v>
      </c>
      <c r="Q933">
        <v>-0.1177652</v>
      </c>
      <c r="R933">
        <v>-0.99191649999999998</v>
      </c>
      <c r="S933">
        <v>2.4887079999999999E-2</v>
      </c>
      <c r="T933">
        <v>-0.1904709</v>
      </c>
      <c r="U933">
        <v>-3.0004270000000002</v>
      </c>
      <c r="V933">
        <v>4.8108129999999999E-2</v>
      </c>
      <c r="W933">
        <v>-0.10398839999999999</v>
      </c>
      <c r="X933">
        <v>0.99341429999999997</v>
      </c>
      <c r="Y933">
        <v>8.8092999999999894E-2</v>
      </c>
      <c r="Z933">
        <v>4.872162E-2</v>
      </c>
      <c r="AA933">
        <v>0.99492000000000003</v>
      </c>
      <c r="AB933">
        <v>27</v>
      </c>
      <c r="AC933">
        <v>-1.78999999999973E-2</v>
      </c>
      <c r="AD933">
        <v>-5.5225999999999997E-2</v>
      </c>
      <c r="AE933">
        <v>-0.59310000000004903</v>
      </c>
      <c r="AF933">
        <v>7.4341948969781399E-2</v>
      </c>
      <c r="AG933">
        <v>-5.5225999999999997E-2</v>
      </c>
      <c r="AH933">
        <v>0.58355790209098002</v>
      </c>
      <c r="AI933">
        <v>95.363094279762905</v>
      </c>
      <c r="AJ933">
        <v>82.739951062885496</v>
      </c>
      <c r="AK933">
        <v>0.59086078017198895</v>
      </c>
      <c r="AL933">
        <v>95.968887242748394</v>
      </c>
      <c r="AM933">
        <v>87.227500056506997</v>
      </c>
      <c r="AN933">
        <v>0.99999997547557296</v>
      </c>
    </row>
    <row r="934" spans="1:40" x14ac:dyDescent="0.25">
      <c r="A934" t="str">
        <f>"20190305135557643"</f>
        <v>20190305135557643</v>
      </c>
      <c r="B934" t="str">
        <f>"1551765357633313"</f>
        <v>1551765357633313</v>
      </c>
      <c r="C934" t="s">
        <v>40</v>
      </c>
      <c r="D934">
        <v>4.4716630000000004</v>
      </c>
      <c r="E934">
        <v>0.54249749999999997</v>
      </c>
      <c r="F934" t="s">
        <v>41</v>
      </c>
      <c r="G934">
        <v>-190.93360000000001</v>
      </c>
      <c r="H934">
        <v>1.0529409999999999</v>
      </c>
      <c r="I934">
        <v>339.46629999999999</v>
      </c>
      <c r="J934">
        <v>-190.91759999999999</v>
      </c>
      <c r="K934">
        <v>1.107472</v>
      </c>
      <c r="L934">
        <v>340.04759999999999</v>
      </c>
      <c r="M934">
        <v>9.384953E-2</v>
      </c>
      <c r="N934">
        <v>-1.4095460000000001E-2</v>
      </c>
      <c r="O934">
        <v>-0.9954866</v>
      </c>
      <c r="P934">
        <v>4.6921450000000003E-2</v>
      </c>
      <c r="Q934">
        <v>-0.118783399999999</v>
      </c>
      <c r="R934">
        <v>-0.991811</v>
      </c>
      <c r="S934">
        <v>2.3879999999999998E-2</v>
      </c>
      <c r="T934">
        <v>-0.19502349999999999</v>
      </c>
      <c r="U934">
        <v>-3.0001530000000001</v>
      </c>
      <c r="V934">
        <v>4.5881690000000003E-2</v>
      </c>
      <c r="W934">
        <v>-0.1050085</v>
      </c>
      <c r="X934">
        <v>0.99341230000000003</v>
      </c>
      <c r="Y934">
        <v>8.589347E-2</v>
      </c>
      <c r="Z934">
        <v>5.0250679999999999E-2</v>
      </c>
      <c r="AA934">
        <v>0.99503620000000004</v>
      </c>
      <c r="AB934">
        <v>27</v>
      </c>
      <c r="AC934">
        <v>-1.6000000000019499E-2</v>
      </c>
      <c r="AD934">
        <v>-5.45310000000001E-2</v>
      </c>
      <c r="AE934">
        <v>-0.58129999999999804</v>
      </c>
      <c r="AF934">
        <v>6.9875080379038501E-2</v>
      </c>
      <c r="AG934">
        <v>-5.45310000000001E-2</v>
      </c>
      <c r="AH934">
        <v>0.57220052301967494</v>
      </c>
      <c r="AI934">
        <v>95.403972044001407</v>
      </c>
      <c r="AJ934">
        <v>83.037716034970302</v>
      </c>
      <c r="AK934">
        <v>0.57902469322384398</v>
      </c>
      <c r="AL934">
        <v>96.027656546716798</v>
      </c>
      <c r="AM934">
        <v>87.355619250741796</v>
      </c>
      <c r="AN934">
        <v>0.99999995617039705</v>
      </c>
    </row>
    <row r="935" spans="1:40" x14ac:dyDescent="0.25">
      <c r="A935" t="str">
        <f>"20190305135557667"</f>
        <v>20190305135557667</v>
      </c>
      <c r="B935" t="str">
        <f>"1551765357662593"</f>
        <v>1551765357662593</v>
      </c>
      <c r="C935" t="s">
        <v>40</v>
      </c>
      <c r="D935">
        <v>4.5034049999999999</v>
      </c>
      <c r="E935">
        <v>0.54746280000000003</v>
      </c>
      <c r="F935" t="s">
        <v>42</v>
      </c>
      <c r="G935">
        <v>-192.3271</v>
      </c>
      <c r="H935" s="1">
        <v>-4.1737280000000003E-6</v>
      </c>
      <c r="I935">
        <v>317.1112</v>
      </c>
      <c r="J935">
        <v>-190.8938</v>
      </c>
      <c r="K935">
        <v>1.1073360000000001</v>
      </c>
      <c r="L935">
        <v>339.76100000000002</v>
      </c>
      <c r="M935">
        <v>9.0897229999999996E-2</v>
      </c>
      <c r="N935">
        <v>-1.4098060000000001E-2</v>
      </c>
      <c r="O935">
        <v>-0.9957606</v>
      </c>
      <c r="P935">
        <v>4.5611550000000001E-2</v>
      </c>
      <c r="Q935">
        <v>-0.119758</v>
      </c>
      <c r="R935">
        <v>-0.99175469999999999</v>
      </c>
      <c r="S935">
        <v>-0.1853485</v>
      </c>
      <c r="T935">
        <v>-0.14563190000000001</v>
      </c>
      <c r="U935">
        <v>-3.0161129999999998</v>
      </c>
      <c r="V935">
        <v>4.4201419999999998E-2</v>
      </c>
      <c r="W935">
        <v>-0.1059875</v>
      </c>
      <c r="X935">
        <v>0.9933845</v>
      </c>
      <c r="Y935">
        <v>0.1517164</v>
      </c>
      <c r="Z935">
        <v>3.3478920000000002E-2</v>
      </c>
      <c r="AA935">
        <v>0.98785690000000004</v>
      </c>
      <c r="AB935">
        <v>27</v>
      </c>
      <c r="AC935">
        <v>-1.4333</v>
      </c>
      <c r="AD935">
        <v>-1.107340173728</v>
      </c>
      <c r="AE935">
        <v>-22.6497999999999</v>
      </c>
      <c r="AF935">
        <v>3.4780936594795002</v>
      </c>
      <c r="AG935">
        <v>-1.107340173728</v>
      </c>
      <c r="AH935">
        <v>22.3724602739264</v>
      </c>
      <c r="AI935">
        <v>92.800001423149595</v>
      </c>
      <c r="AJ935">
        <v>81.163353594473193</v>
      </c>
      <c r="AK935">
        <v>22.668266728466001</v>
      </c>
      <c r="AL935">
        <v>96.084063997217598</v>
      </c>
      <c r="AM935">
        <v>87.452260009253905</v>
      </c>
      <c r="AN935">
        <v>0.999999940263256</v>
      </c>
    </row>
    <row r="936" spans="1:40" x14ac:dyDescent="0.25">
      <c r="A936" t="str">
        <f>"20190305135557688"</f>
        <v>20190305135557688</v>
      </c>
      <c r="B936" t="str">
        <f>"1551765357683089"</f>
        <v>1551765357683089</v>
      </c>
      <c r="C936" t="s">
        <v>40</v>
      </c>
      <c r="D936">
        <v>4.4656849999999997</v>
      </c>
      <c r="E936">
        <v>0.54880209999999996</v>
      </c>
      <c r="F936" t="s">
        <v>42</v>
      </c>
      <c r="G936">
        <v>-192.3066</v>
      </c>
      <c r="H936" s="1">
        <v>-1.3684709999999999E-6</v>
      </c>
      <c r="I936">
        <v>321.34840000000003</v>
      </c>
      <c r="J936">
        <v>-190.87299999999999</v>
      </c>
      <c r="K936">
        <v>1.1072299999999999</v>
      </c>
      <c r="L936">
        <v>339.49930000000001</v>
      </c>
      <c r="M936">
        <v>8.8060979999999997E-2</v>
      </c>
      <c r="N936">
        <v>-1.410018E-2</v>
      </c>
      <c r="O936">
        <v>-0.9960154</v>
      </c>
      <c r="P936">
        <v>4.4009119999999999E-2</v>
      </c>
      <c r="Q936">
        <v>-0.1204649</v>
      </c>
      <c r="R936">
        <v>-0.99174189999999995</v>
      </c>
      <c r="S936">
        <v>-0.23124690000000001</v>
      </c>
      <c r="T936">
        <v>-0.1812465</v>
      </c>
      <c r="U936">
        <v>-3.0137330000000002</v>
      </c>
      <c r="V936">
        <v>4.2940989999999998E-2</v>
      </c>
      <c r="W936">
        <v>-0.1066974</v>
      </c>
      <c r="X936">
        <v>0.99336389999999997</v>
      </c>
      <c r="Y936">
        <v>0.1638559</v>
      </c>
      <c r="Z936">
        <v>4.5060870000000003E-2</v>
      </c>
      <c r="AA936">
        <v>0.98545459999999996</v>
      </c>
      <c r="AB936">
        <v>27</v>
      </c>
      <c r="AC936">
        <v>-1.43360000000001</v>
      </c>
      <c r="AD936">
        <v>-1.107231368471</v>
      </c>
      <c r="AE936">
        <v>-18.150899999999901</v>
      </c>
      <c r="AF936">
        <v>3.0154228924616802</v>
      </c>
      <c r="AG936">
        <v>-1.107231368471</v>
      </c>
      <c r="AH936">
        <v>17.8879628912795</v>
      </c>
      <c r="AI936">
        <v>93.492827192073406</v>
      </c>
      <c r="AJ936">
        <v>80.431452488566094</v>
      </c>
      <c r="AK936">
        <v>18.174101158613102</v>
      </c>
      <c r="AL936">
        <v>96.124969550930402</v>
      </c>
      <c r="AM936">
        <v>87.524767398972401</v>
      </c>
      <c r="AN936">
        <v>1.00000005080607</v>
      </c>
    </row>
    <row r="937" spans="1:40" x14ac:dyDescent="0.25">
      <c r="A937" t="str">
        <f>"20190305135557711"</f>
        <v>20190305135557711</v>
      </c>
      <c r="B937" t="str">
        <f>"1551765357702609"</f>
        <v>1551765357702609</v>
      </c>
      <c r="C937" t="s">
        <v>40</v>
      </c>
      <c r="D937">
        <v>4.572292</v>
      </c>
      <c r="E937">
        <v>0.54913269999999903</v>
      </c>
      <c r="F937" t="s">
        <v>42</v>
      </c>
      <c r="G937">
        <v>-192.36539999999999</v>
      </c>
      <c r="H937" s="1">
        <v>-1.3522689999999999E-6</v>
      </c>
      <c r="I937">
        <v>321.27420000000001</v>
      </c>
      <c r="J937">
        <v>-190.85230000000001</v>
      </c>
      <c r="K937">
        <v>1.1071420000000001</v>
      </c>
      <c r="L937">
        <v>339.22620000000001</v>
      </c>
      <c r="M937">
        <v>8.4994180000000003E-2</v>
      </c>
      <c r="N937">
        <v>-1.410178E-2</v>
      </c>
      <c r="O937">
        <v>-0.99628190000000005</v>
      </c>
      <c r="P937">
        <v>4.1112200000000002E-2</v>
      </c>
      <c r="Q937">
        <v>-0.1213022</v>
      </c>
      <c r="R937">
        <v>-0.99176410000000004</v>
      </c>
      <c r="S937">
        <v>-0.24678040000000001</v>
      </c>
      <c r="T937">
        <v>-0.18309400000000001</v>
      </c>
      <c r="U937">
        <v>-3.0137330000000002</v>
      </c>
      <c r="V937">
        <v>4.2750370000000003E-2</v>
      </c>
      <c r="W937">
        <v>-0.10754180000000001</v>
      </c>
      <c r="X937">
        <v>0.99328099999999997</v>
      </c>
      <c r="Y937">
        <v>0.16586210000000001</v>
      </c>
      <c r="Z937">
        <v>4.5661359999999998E-2</v>
      </c>
      <c r="AA937">
        <v>0.9850913</v>
      </c>
      <c r="AB937">
        <v>27</v>
      </c>
      <c r="AC937">
        <v>-1.5130999999999799</v>
      </c>
      <c r="AD937">
        <v>-1.107143352269</v>
      </c>
      <c r="AE937">
        <v>-17.951999999999899</v>
      </c>
      <c r="AF937">
        <v>3.0221768279103398</v>
      </c>
      <c r="AG937">
        <v>-1.107143352269</v>
      </c>
      <c r="AH937">
        <v>17.691594284380699</v>
      </c>
      <c r="AI937">
        <v>93.529909732069498</v>
      </c>
      <c r="AJ937">
        <v>80.305987436220803</v>
      </c>
      <c r="AK937">
        <v>17.981986194655001</v>
      </c>
      <c r="AL937">
        <v>96.173630475539497</v>
      </c>
      <c r="AM937">
        <v>87.535536250808903</v>
      </c>
      <c r="AN937">
        <v>0.99999998892168795</v>
      </c>
    </row>
    <row r="938" spans="1:40" x14ac:dyDescent="0.25">
      <c r="A938" t="str">
        <f>"20190305135557733"</f>
        <v>20190305135557733</v>
      </c>
      <c r="B938" t="str">
        <f>"1551765357723106"</f>
        <v>1551765357723106</v>
      </c>
      <c r="C938" t="s">
        <v>40</v>
      </c>
      <c r="D938">
        <v>4.5865720000000003</v>
      </c>
      <c r="E938">
        <v>0.54925919999999995</v>
      </c>
      <c r="F938" t="s">
        <v>42</v>
      </c>
      <c r="G938">
        <v>-192.3383</v>
      </c>
      <c r="H938" s="1">
        <v>-1.624643E-6</v>
      </c>
      <c r="I938">
        <v>321.92590000000001</v>
      </c>
      <c r="J938">
        <v>-190.8322</v>
      </c>
      <c r="K938">
        <v>1.1070799999999901</v>
      </c>
      <c r="L938">
        <v>338.94850000000002</v>
      </c>
      <c r="M938">
        <v>8.1799520000000001E-2</v>
      </c>
      <c r="N938">
        <v>-1.410228E-2</v>
      </c>
      <c r="O938">
        <v>-0.99654900000000002</v>
      </c>
      <c r="P938">
        <v>3.7855479999999997E-2</v>
      </c>
      <c r="Q938">
        <v>-0.1219976</v>
      </c>
      <c r="R938">
        <v>-0.99180800000000002</v>
      </c>
      <c r="S938">
        <v>-0.25871280000000002</v>
      </c>
      <c r="T938">
        <v>-0.1927565</v>
      </c>
      <c r="U938">
        <v>-3.0120239999999998</v>
      </c>
      <c r="V938">
        <v>4.2803849999999997E-2</v>
      </c>
      <c r="W938">
        <v>-0.10824309999999999</v>
      </c>
      <c r="X938">
        <v>0.99320249999999999</v>
      </c>
      <c r="Y938">
        <v>0.166603799999999</v>
      </c>
      <c r="Z938">
        <v>4.8852550000000002E-2</v>
      </c>
      <c r="AA938">
        <v>0.98481300000000005</v>
      </c>
      <c r="AB938">
        <v>27</v>
      </c>
      <c r="AC938">
        <v>-1.5061</v>
      </c>
      <c r="AD938">
        <v>-1.10708162464299</v>
      </c>
      <c r="AE938">
        <v>-17.022600000000001</v>
      </c>
      <c r="AF938">
        <v>2.8815374726485801</v>
      </c>
      <c r="AG938">
        <v>-1.10708162464299</v>
      </c>
      <c r="AH938">
        <v>16.771943109970699</v>
      </c>
      <c r="AI938">
        <v>93.722120709819606</v>
      </c>
      <c r="AJ938">
        <v>80.251358616130702</v>
      </c>
      <c r="AK938">
        <v>17.053649568757798</v>
      </c>
      <c r="AL938">
        <v>96.214048045773893</v>
      </c>
      <c r="AM938">
        <v>87.532262269354604</v>
      </c>
      <c r="AN938">
        <v>0.99999997213934</v>
      </c>
    </row>
    <row r="939" spans="1:40" x14ac:dyDescent="0.25">
      <c r="A939" t="str">
        <f>"20190305135557757"</f>
        <v>20190305135557757</v>
      </c>
      <c r="B939" t="str">
        <f>"1551765357752385"</f>
        <v>1551765357752385</v>
      </c>
      <c r="C939" t="s">
        <v>40</v>
      </c>
      <c r="D939">
        <v>4.6152850000000001</v>
      </c>
      <c r="E939">
        <v>0.54990119999999998</v>
      </c>
      <c r="F939" t="s">
        <v>42</v>
      </c>
      <c r="G939">
        <v>-192.32810000000001</v>
      </c>
      <c r="H939" s="1">
        <v>-1.770014E-6</v>
      </c>
      <c r="I939">
        <v>322.27109999999999</v>
      </c>
      <c r="J939">
        <v>-190.81280000000001</v>
      </c>
      <c r="K939">
        <v>1.107048</v>
      </c>
      <c r="L939">
        <v>338.66719999999998</v>
      </c>
      <c r="M939">
        <v>7.8525620000000004E-2</v>
      </c>
      <c r="N939">
        <v>-1.4101839999999999E-2</v>
      </c>
      <c r="O939">
        <v>-0.99681229999999998</v>
      </c>
      <c r="P939">
        <v>3.4697819999999997E-2</v>
      </c>
      <c r="Q939">
        <v>-0.1237569</v>
      </c>
      <c r="R939">
        <v>-0.99170590000000003</v>
      </c>
      <c r="S939">
        <v>-0.27003480000000002</v>
      </c>
      <c r="T939">
        <v>-0.19984070000000001</v>
      </c>
      <c r="U939">
        <v>-3.0104679999999999</v>
      </c>
      <c r="V939">
        <v>4.2671099999999997E-2</v>
      </c>
      <c r="W939">
        <v>-0.1100071</v>
      </c>
      <c r="X939">
        <v>0.99301439999999996</v>
      </c>
      <c r="Y939">
        <v>0.1670702</v>
      </c>
      <c r="Z939">
        <v>5.1205899999999999E-2</v>
      </c>
      <c r="AA939">
        <v>0.9846144</v>
      </c>
      <c r="AB939">
        <v>27</v>
      </c>
      <c r="AC939">
        <v>-1.5152999999999901</v>
      </c>
      <c r="AD939">
        <v>-1.1070497700139901</v>
      </c>
      <c r="AE939">
        <v>-16.396099999999901</v>
      </c>
      <c r="AF939">
        <v>2.78567014763235</v>
      </c>
      <c r="AG939">
        <v>-1.1070497700139901</v>
      </c>
      <c r="AH939">
        <v>16.1534415073491</v>
      </c>
      <c r="AI939">
        <v>93.863688417827404</v>
      </c>
      <c r="AJ939">
        <v>80.2155468146711</v>
      </c>
      <c r="AK939">
        <v>16.4292175679807</v>
      </c>
      <c r="AL939">
        <v>96.315724905785601</v>
      </c>
      <c r="AM939">
        <v>87.539440760250898</v>
      </c>
      <c r="AN939">
        <v>0.99999999171649001</v>
      </c>
    </row>
    <row r="940" spans="1:40" x14ac:dyDescent="0.25">
      <c r="A940" t="str">
        <f>"20190305135557779"</f>
        <v>20190305135557779</v>
      </c>
      <c r="B940" t="str">
        <f>"1551765357772881"</f>
        <v>1551765357772881</v>
      </c>
      <c r="C940" t="s">
        <v>40</v>
      </c>
      <c r="D940">
        <v>4.5239159999999998</v>
      </c>
      <c r="E940">
        <v>0.55017169999999904</v>
      </c>
      <c r="F940" t="s">
        <v>42</v>
      </c>
      <c r="G940">
        <v>-192.3861</v>
      </c>
      <c r="H940" s="1">
        <v>-1.676733E-6</v>
      </c>
      <c r="I940">
        <v>322.01769999999999</v>
      </c>
      <c r="J940">
        <v>-190.7953</v>
      </c>
      <c r="K940">
        <v>1.1070390000000001</v>
      </c>
      <c r="L940">
        <v>338.40249999999997</v>
      </c>
      <c r="M940">
        <v>7.5441129999999995E-2</v>
      </c>
      <c r="N940">
        <v>-1.410079E-2</v>
      </c>
      <c r="O940">
        <v>-0.99705060000000001</v>
      </c>
      <c r="P940">
        <v>3.2189429999999998E-2</v>
      </c>
      <c r="Q940">
        <v>-0.1249504</v>
      </c>
      <c r="R940">
        <v>-0.99164090000000005</v>
      </c>
      <c r="S940">
        <v>-0.284439099999999</v>
      </c>
      <c r="T940">
        <v>-0.20014190000000001</v>
      </c>
      <c r="U940">
        <v>-3.01004</v>
      </c>
      <c r="V940">
        <v>4.2093150000000003E-2</v>
      </c>
      <c r="W940">
        <v>-0.1112001</v>
      </c>
      <c r="X940">
        <v>0.99290619999999996</v>
      </c>
      <c r="Y940">
        <v>0.16870270000000001</v>
      </c>
      <c r="Z940">
        <v>5.1313919999999999E-2</v>
      </c>
      <c r="AA940">
        <v>0.98433040000000005</v>
      </c>
      <c r="AB940">
        <v>27</v>
      </c>
      <c r="AC940">
        <v>-1.5908</v>
      </c>
      <c r="AD940">
        <v>-1.1070406767330001</v>
      </c>
      <c r="AE940">
        <v>-16.384799999999899</v>
      </c>
      <c r="AF940">
        <v>2.8097694636128798</v>
      </c>
      <c r="AG940">
        <v>-1.1070406767330001</v>
      </c>
      <c r="AH940">
        <v>16.145059944299899</v>
      </c>
      <c r="AI940">
        <v>93.864631021705705</v>
      </c>
      <c r="AJ940">
        <v>80.127534895309296</v>
      </c>
      <c r="AK940">
        <v>16.425081555463599</v>
      </c>
      <c r="AL940">
        <v>96.384500633574206</v>
      </c>
      <c r="AM940">
        <v>87.572462978623705</v>
      </c>
      <c r="AN940">
        <v>1.0000000087576799</v>
      </c>
    </row>
    <row r="941" spans="1:40" x14ac:dyDescent="0.25">
      <c r="A941" t="str">
        <f>"20190305135557802"</f>
        <v>20190305135557802</v>
      </c>
      <c r="B941" t="str">
        <f>"1551765357792402"</f>
        <v>1551765357792402</v>
      </c>
      <c r="C941" t="s">
        <v>40</v>
      </c>
      <c r="D941">
        <v>4.6251569999999997</v>
      </c>
      <c r="E941">
        <v>0.55016730000000003</v>
      </c>
      <c r="F941" t="s">
        <v>42</v>
      </c>
      <c r="G941">
        <v>-192.41650000000001</v>
      </c>
      <c r="H941" s="1">
        <v>-1.596435E-6</v>
      </c>
      <c r="I941">
        <v>321.81169999999997</v>
      </c>
      <c r="J941">
        <v>-190.77789999999999</v>
      </c>
      <c r="K941">
        <v>1.107048</v>
      </c>
      <c r="L941">
        <v>338.12389999999999</v>
      </c>
      <c r="M941">
        <v>7.2215050000000003E-2</v>
      </c>
      <c r="N941">
        <v>-1.4098919999999999E-2</v>
      </c>
      <c r="O941">
        <v>-0.99728950000000005</v>
      </c>
      <c r="P941">
        <v>2.960612E-2</v>
      </c>
      <c r="Q941">
        <v>-0.1253418</v>
      </c>
      <c r="R941">
        <v>-0.991672</v>
      </c>
      <c r="S941">
        <v>-0.29406739999999998</v>
      </c>
      <c r="T941">
        <v>-0.2008113</v>
      </c>
      <c r="U941">
        <v>-3.0094910000000001</v>
      </c>
      <c r="V941">
        <v>4.1466160000000002E-2</v>
      </c>
      <c r="W941">
        <v>-0.1115888</v>
      </c>
      <c r="X941">
        <v>0.99288900000000002</v>
      </c>
      <c r="Y941">
        <v>0.16864970000000001</v>
      </c>
      <c r="Z941">
        <v>5.1560420000000003E-2</v>
      </c>
      <c r="AA941">
        <v>0.98432660000000005</v>
      </c>
      <c r="AB941">
        <v>27</v>
      </c>
      <c r="AC941">
        <v>-1.63860000000002</v>
      </c>
      <c r="AD941">
        <v>-1.107049596435</v>
      </c>
      <c r="AE941">
        <v>-16.312200000000001</v>
      </c>
      <c r="AF941">
        <v>2.7996582891401198</v>
      </c>
      <c r="AG941">
        <v>-1.107049596435</v>
      </c>
      <c r="AH941">
        <v>16.077945712005899</v>
      </c>
      <c r="AI941">
        <v>93.880681360712003</v>
      </c>
      <c r="AJ941">
        <v>80.122108366721505</v>
      </c>
      <c r="AK941">
        <v>16.357383154500202</v>
      </c>
      <c r="AL941">
        <v>96.406910813219199</v>
      </c>
      <c r="AM941">
        <v>87.608538189836295</v>
      </c>
      <c r="AN941">
        <v>1.00000003451579</v>
      </c>
    </row>
    <row r="942" spans="1:40" x14ac:dyDescent="0.25">
      <c r="A942" t="str">
        <f>"20190305135557824"</f>
        <v>20190305135557824</v>
      </c>
      <c r="B942" t="str">
        <f>"1551765357812898"</f>
        <v>1551765357812898</v>
      </c>
      <c r="C942" t="s">
        <v>40</v>
      </c>
      <c r="D942">
        <v>4.7182629999999897</v>
      </c>
      <c r="E942">
        <v>0.55033799999999999</v>
      </c>
      <c r="F942" t="s">
        <v>42</v>
      </c>
      <c r="G942">
        <v>-192.42859999999999</v>
      </c>
      <c r="H942" s="1">
        <v>-1.5427489999999999E-6</v>
      </c>
      <c r="I942">
        <v>321.67899999999997</v>
      </c>
      <c r="J942">
        <v>-190.762</v>
      </c>
      <c r="K942">
        <v>1.1070679999999999</v>
      </c>
      <c r="L942">
        <v>337.8578</v>
      </c>
      <c r="M942">
        <v>6.916535E-2</v>
      </c>
      <c r="N942">
        <v>-1.4096640000000001E-2</v>
      </c>
      <c r="O942">
        <v>-0.99750570000000005</v>
      </c>
      <c r="P942">
        <v>2.7812509999999999E-2</v>
      </c>
      <c r="Q942">
        <v>-0.1245773</v>
      </c>
      <c r="R942">
        <v>-0.99182000000000003</v>
      </c>
      <c r="S942">
        <v>-0.30200199999999999</v>
      </c>
      <c r="T942">
        <v>-0.20253560000000001</v>
      </c>
      <c r="U942">
        <v>-3.0086059999999999</v>
      </c>
      <c r="V942">
        <v>4.0244229999999999E-2</v>
      </c>
      <c r="W942">
        <v>-0.11081580000000001</v>
      </c>
      <c r="X942">
        <v>0.99302579999999996</v>
      </c>
      <c r="Y942">
        <v>0.1682312</v>
      </c>
      <c r="Z942">
        <v>5.2160390000000001E-2</v>
      </c>
      <c r="AA942">
        <v>0.98436659999999998</v>
      </c>
      <c r="AB942">
        <v>27</v>
      </c>
      <c r="AC942">
        <v>-1.6665999999999801</v>
      </c>
      <c r="AD942">
        <v>-1.107069542749</v>
      </c>
      <c r="AE942">
        <v>-16.178799999999899</v>
      </c>
      <c r="AF942">
        <v>2.7689028665897801</v>
      </c>
      <c r="AG942">
        <v>-1.107069542749</v>
      </c>
      <c r="AH942">
        <v>15.9508628738075</v>
      </c>
      <c r="AI942">
        <v>93.911929877357693</v>
      </c>
      <c r="AJ942">
        <v>80.152185551672503</v>
      </c>
      <c r="AK942">
        <v>16.2272133305785</v>
      </c>
      <c r="AL942">
        <v>96.362345055548104</v>
      </c>
      <c r="AM942">
        <v>87.679251245844299</v>
      </c>
      <c r="AN942">
        <v>0.99999998952178604</v>
      </c>
    </row>
    <row r="943" spans="1:40" x14ac:dyDescent="0.25">
      <c r="A943" t="str">
        <f>"20190305135557846"</f>
        <v>20190305135557846</v>
      </c>
      <c r="B943" t="str">
        <f>"1551765357843157"</f>
        <v>1551765357843157</v>
      </c>
      <c r="C943" t="s">
        <v>40</v>
      </c>
      <c r="D943">
        <v>4.5492290000000004</v>
      </c>
      <c r="E943">
        <v>0.55090760000000005</v>
      </c>
      <c r="F943" t="s">
        <v>42</v>
      </c>
      <c r="G943">
        <v>-192.49469999999999</v>
      </c>
      <c r="H943" s="1">
        <v>-1.245479E-6</v>
      </c>
      <c r="I943">
        <v>320.94510000000002</v>
      </c>
      <c r="J943">
        <v>-190.74680000000001</v>
      </c>
      <c r="K943">
        <v>1.1070979999999999</v>
      </c>
      <c r="L943">
        <v>337.59030000000001</v>
      </c>
      <c r="M943">
        <v>6.6129289999999993E-2</v>
      </c>
      <c r="N943">
        <v>-1.409412E-2</v>
      </c>
      <c r="O943">
        <v>-0.99771169999999998</v>
      </c>
      <c r="P943">
        <v>2.6860100000000001E-2</v>
      </c>
      <c r="Q943">
        <v>-0.1237391</v>
      </c>
      <c r="R943">
        <v>-0.99195120000000003</v>
      </c>
      <c r="S943">
        <v>-0.30822749999999999</v>
      </c>
      <c r="T943">
        <v>-0.1969371</v>
      </c>
      <c r="U943">
        <v>-3.0086059999999999</v>
      </c>
      <c r="V943">
        <v>3.8196300000000002E-2</v>
      </c>
      <c r="W943">
        <v>-0.1099641</v>
      </c>
      <c r="X943">
        <v>0.99320140000000001</v>
      </c>
      <c r="Y943">
        <v>0.16725979999999999</v>
      </c>
      <c r="Z943">
        <v>5.0357140000000002E-2</v>
      </c>
      <c r="AA943">
        <v>0.984626</v>
      </c>
      <c r="AB943">
        <v>27</v>
      </c>
      <c r="AC943">
        <v>-1.74789999999998</v>
      </c>
      <c r="AD943">
        <v>-1.1070992454789901</v>
      </c>
      <c r="AE943">
        <v>-16.6451999999999</v>
      </c>
      <c r="AF943">
        <v>2.8325237578399198</v>
      </c>
      <c r="AG943">
        <v>-1.1070992454789901</v>
      </c>
      <c r="AH943">
        <v>16.421306424666</v>
      </c>
      <c r="AI943">
        <v>93.800993908908097</v>
      </c>
      <c r="AJ943">
        <v>80.213310002209695</v>
      </c>
      <c r="AK943">
        <v>16.700543831589499</v>
      </c>
      <c r="AL943">
        <v>96.313245837989598</v>
      </c>
      <c r="AM943">
        <v>87.797618070186402</v>
      </c>
      <c r="AN943">
        <v>1.00000004079222</v>
      </c>
    </row>
    <row r="944" spans="1:40" x14ac:dyDescent="0.25">
      <c r="A944" t="str">
        <f>"20190305135557869"</f>
        <v>20190305135557869</v>
      </c>
      <c r="B944" t="str">
        <f>"1551765357862673"</f>
        <v>1551765357862673</v>
      </c>
      <c r="C944" t="s">
        <v>40</v>
      </c>
      <c r="D944">
        <v>4.569763</v>
      </c>
      <c r="E944">
        <v>0.55114300000000005</v>
      </c>
      <c r="F944" t="s">
        <v>42</v>
      </c>
      <c r="G944">
        <v>-192.60929999999999</v>
      </c>
      <c r="H944" s="1">
        <v>-7.8538780000000003E-7</v>
      </c>
      <c r="I944">
        <v>319.80149999999998</v>
      </c>
      <c r="J944">
        <v>-190.73159999999999</v>
      </c>
      <c r="K944">
        <v>1.1071329999999999</v>
      </c>
      <c r="L944">
        <v>337.30669999999998</v>
      </c>
      <c r="M944">
        <v>6.2937569999999998E-2</v>
      </c>
      <c r="N944">
        <v>-1.4091370000000001E-2</v>
      </c>
      <c r="O944">
        <v>-0.99791830000000004</v>
      </c>
      <c r="P944">
        <v>2.624255E-2</v>
      </c>
      <c r="Q944">
        <v>-0.1225193</v>
      </c>
      <c r="R944">
        <v>-0.99211950000000004</v>
      </c>
      <c r="S944">
        <v>-0.31509399999999999</v>
      </c>
      <c r="T944">
        <v>-0.18730240000000001</v>
      </c>
      <c r="U944">
        <v>-3.0095519999999998</v>
      </c>
      <c r="V944">
        <v>3.566341E-2</v>
      </c>
      <c r="W944">
        <v>-0.1087278</v>
      </c>
      <c r="X944">
        <v>0.99343159999999997</v>
      </c>
      <c r="Y944">
        <v>0.16631789999999999</v>
      </c>
      <c r="Z944">
        <v>4.7214619999999999E-2</v>
      </c>
      <c r="AA944">
        <v>0.98494119999999996</v>
      </c>
      <c r="AB944">
        <v>27</v>
      </c>
      <c r="AC944">
        <v>-1.8776999999999999</v>
      </c>
      <c r="AD944">
        <v>-1.1071337853877901</v>
      </c>
      <c r="AE944">
        <v>-17.505199999999999</v>
      </c>
      <c r="AF944">
        <v>2.9640987644757799</v>
      </c>
      <c r="AG944">
        <v>-1.1071337853877901</v>
      </c>
      <c r="AH944">
        <v>17.283948563359399</v>
      </c>
      <c r="AI944">
        <v>93.6125136271977</v>
      </c>
      <c r="AJ944">
        <v>80.268762696631896</v>
      </c>
      <c r="AK944">
        <v>17.571183928385899</v>
      </c>
      <c r="AL944">
        <v>96.2419841488191</v>
      </c>
      <c r="AM944">
        <v>87.9440096758632</v>
      </c>
      <c r="AN944">
        <v>0.99999997859211298</v>
      </c>
    </row>
    <row r="945" spans="1:40" x14ac:dyDescent="0.25">
      <c r="A945" t="str">
        <f>"20190305135557890"</f>
        <v>20190305135557890</v>
      </c>
      <c r="B945" t="str">
        <f>"1551765357883169"</f>
        <v>1551765357883169</v>
      </c>
      <c r="C945" t="s">
        <v>40</v>
      </c>
      <c r="D945">
        <v>4.5870319999999998</v>
      </c>
      <c r="E945">
        <v>0.55138279999999995</v>
      </c>
      <c r="F945" t="s">
        <v>42</v>
      </c>
      <c r="G945">
        <v>-192.66069999999999</v>
      </c>
      <c r="H945" s="1">
        <v>-5.0037930000000003E-6</v>
      </c>
      <c r="I945">
        <v>319.08730000000003</v>
      </c>
      <c r="J945">
        <v>-190.71940000000001</v>
      </c>
      <c r="K945">
        <v>1.107159</v>
      </c>
      <c r="L945">
        <v>337.06580000000002</v>
      </c>
      <c r="M945">
        <v>6.0243249999999998E-2</v>
      </c>
      <c r="N945">
        <v>-1.4089010000000001E-2</v>
      </c>
      <c r="O945">
        <v>-0.99808450000000004</v>
      </c>
      <c r="P945">
        <v>2.6372610000000001E-2</v>
      </c>
      <c r="Q945">
        <v>-0.12087290000000001</v>
      </c>
      <c r="R945">
        <v>-0.99231800000000003</v>
      </c>
      <c r="S945">
        <v>-0.31867980000000001</v>
      </c>
      <c r="T945">
        <v>-0.18289240000000001</v>
      </c>
      <c r="U945">
        <v>-3.009735</v>
      </c>
      <c r="V945">
        <v>3.2880449999999999E-2</v>
      </c>
      <c r="W945">
        <v>-0.1070634</v>
      </c>
      <c r="X945">
        <v>0.99370840000000005</v>
      </c>
      <c r="Y945">
        <v>0.16481970000000001</v>
      </c>
      <c r="Z945">
        <v>4.5794080000000001E-2</v>
      </c>
      <c r="AA945">
        <v>0.98526009999999997</v>
      </c>
      <c r="AB945">
        <v>27</v>
      </c>
      <c r="AC945">
        <v>-1.94129999999998</v>
      </c>
      <c r="AD945">
        <v>-1.107164003793</v>
      </c>
      <c r="AE945">
        <v>-17.978499999999901</v>
      </c>
      <c r="AF945">
        <v>3.0096814793815501</v>
      </c>
      <c r="AG945">
        <v>-1.107164003793</v>
      </c>
      <c r="AH945">
        <v>17.7622920298931</v>
      </c>
      <c r="AI945">
        <v>93.516762983375102</v>
      </c>
      <c r="AJ945">
        <v>80.383020567204895</v>
      </c>
      <c r="AK945">
        <v>18.049460182892702</v>
      </c>
      <c r="AL945">
        <v>96.146060684500796</v>
      </c>
      <c r="AM945">
        <v>88.104852563608702</v>
      </c>
      <c r="AN945">
        <v>1.0000000399211599</v>
      </c>
    </row>
    <row r="946" spans="1:40" x14ac:dyDescent="0.25">
      <c r="A946" t="str">
        <f>"20190305135557913"</f>
        <v>20190305135557913</v>
      </c>
      <c r="B946" t="str">
        <f>"1551765357902690"</f>
        <v>1551765357902690</v>
      </c>
      <c r="C946" t="s">
        <v>40</v>
      </c>
      <c r="D946">
        <v>4.6286040000000002</v>
      </c>
      <c r="E946">
        <v>0.55143509999999996</v>
      </c>
      <c r="F946" t="s">
        <v>42</v>
      </c>
      <c r="G946">
        <v>-192.70910000000001</v>
      </c>
      <c r="H946" s="1">
        <v>-4.7389800000000002E-6</v>
      </c>
      <c r="I946">
        <v>318.37529999999998</v>
      </c>
      <c r="J946">
        <v>-190.70580000000001</v>
      </c>
      <c r="K946">
        <v>1.1071759999999999</v>
      </c>
      <c r="L946">
        <v>336.7817</v>
      </c>
      <c r="M946">
        <v>5.70774E-2</v>
      </c>
      <c r="N946">
        <v>-1.408622E-2</v>
      </c>
      <c r="O946">
        <v>-0.99827080000000001</v>
      </c>
      <c r="P946">
        <v>2.6166729999999999E-2</v>
      </c>
      <c r="Q946">
        <v>-0.11941939999999999</v>
      </c>
      <c r="R946">
        <v>-0.99249940000000003</v>
      </c>
      <c r="S946">
        <v>-0.32043460000000001</v>
      </c>
      <c r="T946">
        <v>-0.17830370000000001</v>
      </c>
      <c r="U946">
        <v>-3.0100099999999999</v>
      </c>
      <c r="V946">
        <v>2.9960859999999999E-2</v>
      </c>
      <c r="W946">
        <v>-0.10559209999999999</v>
      </c>
      <c r="X946">
        <v>0.99395809999999996</v>
      </c>
      <c r="Y946">
        <v>0.16225979999999901</v>
      </c>
      <c r="Z946">
        <v>4.4322010000000002E-2</v>
      </c>
      <c r="AA946">
        <v>0.98575219999999997</v>
      </c>
      <c r="AB946">
        <v>27</v>
      </c>
      <c r="AC946">
        <v>-2.0032999999999901</v>
      </c>
      <c r="AD946">
        <v>-1.1071807389799999</v>
      </c>
      <c r="AE946">
        <v>-18.406400000000001</v>
      </c>
      <c r="AF946">
        <v>3.0398565288377402</v>
      </c>
      <c r="AG946">
        <v>-1.1071807389799999</v>
      </c>
      <c r="AH946">
        <v>18.196962215449499</v>
      </c>
      <c r="AI946">
        <v>93.434352372913395</v>
      </c>
      <c r="AJ946">
        <v>80.516143961536102</v>
      </c>
      <c r="AK946">
        <v>18.4823161637058</v>
      </c>
      <c r="AL946">
        <v>96.061280886950797</v>
      </c>
      <c r="AM946">
        <v>88.273457199072894</v>
      </c>
      <c r="AN946">
        <v>1.0000000246349701</v>
      </c>
    </row>
    <row r="947" spans="1:40" x14ac:dyDescent="0.25">
      <c r="A947" t="str">
        <f>"20190305135557932"</f>
        <v>20190305135557932</v>
      </c>
      <c r="B947" t="str">
        <f>"1551765357923186"</f>
        <v>1551765357923186</v>
      </c>
      <c r="C947" t="s">
        <v>40</v>
      </c>
      <c r="D947">
        <v>4.5592899999999998</v>
      </c>
      <c r="E947">
        <v>0.55141859999999998</v>
      </c>
      <c r="F947" t="s">
        <v>42</v>
      </c>
      <c r="G947">
        <v>-192.7029</v>
      </c>
      <c r="H947" s="1">
        <v>-4.6326749999999997E-6</v>
      </c>
      <c r="I947">
        <v>318.10129999999998</v>
      </c>
      <c r="J947">
        <v>-190.69489999999999</v>
      </c>
      <c r="K947">
        <v>1.1071899999999999</v>
      </c>
      <c r="L947">
        <v>336.53820000000002</v>
      </c>
      <c r="M947">
        <v>5.436568E-2</v>
      </c>
      <c r="N947">
        <v>-1.408386E-2</v>
      </c>
      <c r="O947">
        <v>-0.99842189999999997</v>
      </c>
      <c r="P947">
        <v>2.7260429999999999E-2</v>
      </c>
      <c r="Q947">
        <v>-0.1196974</v>
      </c>
      <c r="R947">
        <v>-0.99243650000000005</v>
      </c>
      <c r="S947">
        <v>-0.321762099999999</v>
      </c>
      <c r="T947">
        <v>-0.17838419999999999</v>
      </c>
      <c r="U947">
        <v>-3.0097049999999999</v>
      </c>
      <c r="V947">
        <v>2.6170639999999998E-2</v>
      </c>
      <c r="W947">
        <v>-0.1058504</v>
      </c>
      <c r="X947">
        <v>0.99403759999999997</v>
      </c>
      <c r="Y947">
        <v>0.16002060000000001</v>
      </c>
      <c r="Z947">
        <v>4.4381249999999997E-2</v>
      </c>
      <c r="AA947">
        <v>0.98611550000000003</v>
      </c>
      <c r="AB947">
        <v>27</v>
      </c>
      <c r="AC947">
        <v>-2.008</v>
      </c>
      <c r="AD947">
        <v>-1.107194632675</v>
      </c>
      <c r="AE947">
        <v>-18.436900000000001</v>
      </c>
      <c r="AF947">
        <v>2.996782799015</v>
      </c>
      <c r="AG947">
        <v>-1.107194632675</v>
      </c>
      <c r="AH947">
        <v>18.2354578788621</v>
      </c>
      <c r="AI947">
        <v>93.428659702720296</v>
      </c>
      <c r="AJ947">
        <v>80.667530749643504</v>
      </c>
      <c r="AK947">
        <v>18.5131982961035</v>
      </c>
      <c r="AL947">
        <v>96.076164066045095</v>
      </c>
      <c r="AM947">
        <v>88.4918871131336</v>
      </c>
      <c r="AN947">
        <v>0.99999997989596401</v>
      </c>
    </row>
    <row r="948" spans="1:40" x14ac:dyDescent="0.25">
      <c r="A948" t="str">
        <f>"20190305135557958"</f>
        <v>20190305135557958</v>
      </c>
      <c r="B948" t="str">
        <f>"1551765357952465"</f>
        <v>1551765357952465</v>
      </c>
      <c r="C948" t="s">
        <v>40</v>
      </c>
      <c r="D948">
        <v>4.5780529999999997</v>
      </c>
      <c r="E948">
        <v>0.55186230000000003</v>
      </c>
      <c r="F948" t="s">
        <v>42</v>
      </c>
      <c r="G948">
        <v>-192.6568</v>
      </c>
      <c r="H948" s="1">
        <v>-4.5856020000000002E-6</v>
      </c>
      <c r="I948">
        <v>318.00009999999997</v>
      </c>
      <c r="J948">
        <v>-190.68289999999999</v>
      </c>
      <c r="K948">
        <v>1.1071930000000001</v>
      </c>
      <c r="L948">
        <v>336.25060000000002</v>
      </c>
      <c r="M948">
        <v>5.1161739999999997E-2</v>
      </c>
      <c r="N948">
        <v>-1.4081089999999999E-2</v>
      </c>
      <c r="O948">
        <v>-0.99859109999999995</v>
      </c>
      <c r="P948">
        <v>2.879789E-2</v>
      </c>
      <c r="Q948">
        <v>-0.120214</v>
      </c>
      <c r="R948">
        <v>-0.99233039999999995</v>
      </c>
      <c r="S948">
        <v>-0.31852720000000001</v>
      </c>
      <c r="T948">
        <v>-0.17976800000000001</v>
      </c>
      <c r="U948">
        <v>-3.0099179999999999</v>
      </c>
      <c r="V948">
        <v>2.14448E-2</v>
      </c>
      <c r="W948">
        <v>-0.10634299999999999</v>
      </c>
      <c r="X948">
        <v>0.99409820000000004</v>
      </c>
      <c r="Y948">
        <v>0.15579599999999999</v>
      </c>
      <c r="Z948">
        <v>4.4873639999999999E-2</v>
      </c>
      <c r="AA948">
        <v>0.98676940000000002</v>
      </c>
      <c r="AB948">
        <v>27</v>
      </c>
      <c r="AC948">
        <v>-1.97390000000001</v>
      </c>
      <c r="AD948">
        <v>-1.107197585602</v>
      </c>
      <c r="AE948">
        <v>-18.250499999999999</v>
      </c>
      <c r="AF948">
        <v>2.89460409305258</v>
      </c>
      <c r="AG948">
        <v>-1.107197585602</v>
      </c>
      <c r="AH948">
        <v>18.059895900840999</v>
      </c>
      <c r="AI948">
        <v>93.464136730096101</v>
      </c>
      <c r="AJ948">
        <v>80.894192808144197</v>
      </c>
      <c r="AK948">
        <v>18.3238767540685</v>
      </c>
      <c r="AL948">
        <v>96.104548220352399</v>
      </c>
      <c r="AM948">
        <v>88.764200567020694</v>
      </c>
      <c r="AN948">
        <v>0.99999997216963898</v>
      </c>
    </row>
    <row r="949" spans="1:40" x14ac:dyDescent="0.25">
      <c r="A949" t="str">
        <f>"20190305135557981"</f>
        <v>20190305135557981</v>
      </c>
      <c r="B949" t="str">
        <f>"1551765357972961"</f>
        <v>1551765357972961</v>
      </c>
      <c r="C949" t="s">
        <v>40</v>
      </c>
      <c r="D949">
        <v>4.6447339999999997</v>
      </c>
      <c r="E949">
        <v>0.55192289999999999</v>
      </c>
      <c r="F949" t="s">
        <v>42</v>
      </c>
      <c r="G949">
        <v>-192.64420000000001</v>
      </c>
      <c r="H949" s="1">
        <v>-4.4391109999999997E-6</v>
      </c>
      <c r="I949">
        <v>317.62439999999998</v>
      </c>
      <c r="J949">
        <v>-190.6721</v>
      </c>
      <c r="K949">
        <v>1.1072010000000001</v>
      </c>
      <c r="L949">
        <v>335.97070000000002</v>
      </c>
      <c r="M949">
        <v>4.8039810000000002E-2</v>
      </c>
      <c r="N949">
        <v>-1.4078230000000001E-2</v>
      </c>
      <c r="O949">
        <v>-0.99874649999999998</v>
      </c>
      <c r="P949">
        <v>3.1433700000000002E-2</v>
      </c>
      <c r="Q949">
        <v>-0.12169729999999999</v>
      </c>
      <c r="R949">
        <v>-0.99206989999999995</v>
      </c>
      <c r="S949">
        <v>-0.31701659999999998</v>
      </c>
      <c r="T949">
        <v>-0.17896779999999901</v>
      </c>
      <c r="U949">
        <v>-3.010742</v>
      </c>
      <c r="V949">
        <v>1.569096E-2</v>
      </c>
      <c r="W949">
        <v>-0.1077988</v>
      </c>
      <c r="X949">
        <v>0.99404890000000001</v>
      </c>
      <c r="Y949">
        <v>0.15219260000000001</v>
      </c>
      <c r="Z949">
        <v>4.4633249999999999E-2</v>
      </c>
      <c r="AA949">
        <v>0.98734250000000001</v>
      </c>
      <c r="AB949">
        <v>27</v>
      </c>
      <c r="AC949">
        <v>-1.97210000000001</v>
      </c>
      <c r="AD949">
        <v>-1.107205439111</v>
      </c>
      <c r="AE949">
        <v>-18.346299999999999</v>
      </c>
      <c r="AF949">
        <v>2.8410331551018499</v>
      </c>
      <c r="AG949">
        <v>-1.107205439111</v>
      </c>
      <c r="AH949">
        <v>18.1649608719155</v>
      </c>
      <c r="AI949">
        <v>93.446230937358195</v>
      </c>
      <c r="AJ949">
        <v>81.110849048522695</v>
      </c>
      <c r="AK949">
        <v>18.419098152488498</v>
      </c>
      <c r="AL949">
        <v>96.188441514757599</v>
      </c>
      <c r="AM949">
        <v>89.095667096774207</v>
      </c>
      <c r="AN949">
        <v>1.0000000015491799</v>
      </c>
    </row>
    <row r="950" spans="1:40" x14ac:dyDescent="0.25">
      <c r="A950" t="str">
        <f>"20190305135558002"</f>
        <v>20190305135558002</v>
      </c>
      <c r="B950" t="str">
        <f>"1551765357993459"</f>
        <v>1551765357993459</v>
      </c>
      <c r="C950" t="s">
        <v>40</v>
      </c>
      <c r="D950">
        <v>4.6372720000000003</v>
      </c>
      <c r="E950">
        <v>0.55208979999999996</v>
      </c>
      <c r="F950" t="s">
        <v>42</v>
      </c>
      <c r="G950">
        <v>-192.53450000000001</v>
      </c>
      <c r="H950" s="1">
        <v>-4.5071060000000002E-6</v>
      </c>
      <c r="I950">
        <v>317.85210000000001</v>
      </c>
      <c r="J950">
        <v>-190.6628</v>
      </c>
      <c r="K950">
        <v>1.1072059999999999</v>
      </c>
      <c r="L950">
        <v>335.70800000000003</v>
      </c>
      <c r="M950">
        <v>4.5106340000000002E-2</v>
      </c>
      <c r="N950">
        <v>-1.4075600000000001E-2</v>
      </c>
      <c r="O950">
        <v>-0.99888330000000003</v>
      </c>
      <c r="P950">
        <v>3.3946079999999997E-2</v>
      </c>
      <c r="Q950">
        <v>-0.1227695</v>
      </c>
      <c r="R950">
        <v>-0.99185500000000004</v>
      </c>
      <c r="S950">
        <v>-0.30952449999999998</v>
      </c>
      <c r="T950">
        <v>-0.1840128</v>
      </c>
      <c r="U950">
        <v>-3.0112299999999999</v>
      </c>
      <c r="V950">
        <v>1.025278E-2</v>
      </c>
      <c r="W950">
        <v>-0.1088451</v>
      </c>
      <c r="X950">
        <v>0.9940059</v>
      </c>
      <c r="Y950">
        <v>0.14683399999999999</v>
      </c>
      <c r="Z950">
        <v>4.6324700000000003E-2</v>
      </c>
      <c r="AA950">
        <v>0.98807579999999995</v>
      </c>
      <c r="AB950">
        <v>27</v>
      </c>
      <c r="AC950">
        <v>-1.8716999999999999</v>
      </c>
      <c r="AD950">
        <v>-1.1072105071060001</v>
      </c>
      <c r="AE950">
        <v>-17.855899999999998</v>
      </c>
      <c r="AF950">
        <v>2.6651523115047402</v>
      </c>
      <c r="AG950">
        <v>-1.1072105071060001</v>
      </c>
      <c r="AH950">
        <v>17.686024858903899</v>
      </c>
      <c r="AI950">
        <v>93.542361442730694</v>
      </c>
      <c r="AJ950">
        <v>81.430430904793099</v>
      </c>
      <c r="AK950">
        <v>17.919944956956002</v>
      </c>
      <c r="AL950">
        <v>96.248744606814697</v>
      </c>
      <c r="AM950">
        <v>89.409037521033696</v>
      </c>
      <c r="AN950">
        <v>1.0000000522632699</v>
      </c>
    </row>
    <row r="951" spans="1:40" x14ac:dyDescent="0.25">
      <c r="A951" t="str">
        <f>"20190305135558024"</f>
        <v>20190305135558024</v>
      </c>
      <c r="B951" t="str">
        <f>"1551765358012978"</f>
        <v>1551765358012978</v>
      </c>
      <c r="C951" t="s">
        <v>40</v>
      </c>
      <c r="D951">
        <v>4.576225</v>
      </c>
      <c r="E951">
        <v>0.55245909999999998</v>
      </c>
      <c r="F951" t="s">
        <v>42</v>
      </c>
      <c r="G951">
        <v>-192.43700000000001</v>
      </c>
      <c r="H951" s="1">
        <v>-4.5789159999999999E-6</v>
      </c>
      <c r="I951">
        <v>318.08420000000001</v>
      </c>
      <c r="J951">
        <v>-190.6541</v>
      </c>
      <c r="K951">
        <v>1.107205</v>
      </c>
      <c r="L951">
        <v>335.4443</v>
      </c>
      <c r="M951">
        <v>4.2158319999999999E-2</v>
      </c>
      <c r="N951">
        <v>-1.4072919999999999E-2</v>
      </c>
      <c r="O951">
        <v>-0.99901209999999996</v>
      </c>
      <c r="P951">
        <v>3.7057319999999998E-2</v>
      </c>
      <c r="Q951">
        <v>-0.1228105</v>
      </c>
      <c r="R951">
        <v>-0.99173829999999996</v>
      </c>
      <c r="S951">
        <v>-0.30317690000000003</v>
      </c>
      <c r="T951">
        <v>-0.18920090000000001</v>
      </c>
      <c r="U951">
        <v>-3.0115660000000002</v>
      </c>
      <c r="V951">
        <v>4.2122160000000004E-3</v>
      </c>
      <c r="W951">
        <v>-0.10885599999999999</v>
      </c>
      <c r="X951">
        <v>0.99404859999999995</v>
      </c>
      <c r="Y951">
        <v>0.141833399999999</v>
      </c>
      <c r="Z951">
        <v>4.8062800000000003E-2</v>
      </c>
      <c r="AA951">
        <v>0.98872300000000002</v>
      </c>
      <c r="AB951">
        <v>27</v>
      </c>
      <c r="AC951">
        <v>-1.7829000000000099</v>
      </c>
      <c r="AD951">
        <v>-1.1072095789159999</v>
      </c>
      <c r="AE951">
        <v>-17.3600999999999</v>
      </c>
      <c r="AF951">
        <v>2.5031834510117399</v>
      </c>
      <c r="AG951">
        <v>-1.1072095789159999</v>
      </c>
      <c r="AH951">
        <v>17.200255110972801</v>
      </c>
      <c r="AI951">
        <v>93.644854055162099</v>
      </c>
      <c r="AJ951">
        <v>81.719774643365497</v>
      </c>
      <c r="AK951">
        <v>17.416676385683001</v>
      </c>
      <c r="AL951">
        <v>96.249373221012206</v>
      </c>
      <c r="AM951">
        <v>89.757214330655998</v>
      </c>
      <c r="AN951">
        <v>0.99999999533079498</v>
      </c>
    </row>
    <row r="952" spans="1:40" x14ac:dyDescent="0.25">
      <c r="A952" t="str">
        <f>"20190305135558047"</f>
        <v>20190305135558047</v>
      </c>
      <c r="B952" t="str">
        <f>"1551765358043234"</f>
        <v>1551765358043234</v>
      </c>
      <c r="C952" t="s">
        <v>40</v>
      </c>
      <c r="D952">
        <v>4.5481600000000002</v>
      </c>
      <c r="E952">
        <v>0.5531682</v>
      </c>
      <c r="F952" t="s">
        <v>42</v>
      </c>
      <c r="G952">
        <v>-192.40170000000001</v>
      </c>
      <c r="H952" s="1">
        <v>-4.4197170000000001E-6</v>
      </c>
      <c r="I952">
        <v>317.6859</v>
      </c>
      <c r="J952">
        <v>-190.6464</v>
      </c>
      <c r="K952">
        <v>1.1072070000000001</v>
      </c>
      <c r="L952">
        <v>335.18470000000002</v>
      </c>
      <c r="M952">
        <v>3.9253940000000001E-2</v>
      </c>
      <c r="N952">
        <v>-1.4070269999999999E-2</v>
      </c>
      <c r="O952">
        <v>-0.99913010000000002</v>
      </c>
      <c r="P952">
        <v>3.8720850000000001E-2</v>
      </c>
      <c r="Q952">
        <v>-0.1228694</v>
      </c>
      <c r="R952">
        <v>-0.99166719999999997</v>
      </c>
      <c r="S952">
        <v>-0.29649350000000002</v>
      </c>
      <c r="T952">
        <v>-0.1878425</v>
      </c>
      <c r="U952">
        <v>-3.0127869999999999</v>
      </c>
      <c r="V952">
        <v>-3.3684120000000001E-4</v>
      </c>
      <c r="W952">
        <v>-0.1088933</v>
      </c>
      <c r="X952">
        <v>0.99405339999999998</v>
      </c>
      <c r="Y952">
        <v>0.13674749999999999</v>
      </c>
      <c r="Z952">
        <v>4.7638510000000002E-2</v>
      </c>
      <c r="AA952">
        <v>0.9894598</v>
      </c>
      <c r="AB952">
        <v>27</v>
      </c>
      <c r="AC952">
        <v>-1.7553000000000001</v>
      </c>
      <c r="AD952">
        <v>-1.107211419717</v>
      </c>
      <c r="AE952">
        <v>-17.498799999999999</v>
      </c>
      <c r="AF952">
        <v>2.4312750307854598</v>
      </c>
      <c r="AG952">
        <v>-1.107211419717</v>
      </c>
      <c r="AH952">
        <v>17.347640983705801</v>
      </c>
      <c r="AI952">
        <v>93.616692052743701</v>
      </c>
      <c r="AJ952">
        <v>82.0219504304428</v>
      </c>
      <c r="AK952">
        <v>17.5521412683132</v>
      </c>
      <c r="AL952">
        <v>96.251523021946994</v>
      </c>
      <c r="AM952">
        <v>90.019415031815598</v>
      </c>
      <c r="AN952">
        <v>1.0000000131492199</v>
      </c>
    </row>
    <row r="953" spans="1:40" x14ac:dyDescent="0.25">
      <c r="A953" t="str">
        <f>"20190305135558069"</f>
        <v>20190305135558069</v>
      </c>
      <c r="B953" t="str">
        <f>"1551765358062754"</f>
        <v>1551765358062754</v>
      </c>
      <c r="C953" t="s">
        <v>40</v>
      </c>
      <c r="D953">
        <v>4.5469780000000002</v>
      </c>
      <c r="E953">
        <v>0.55428159999999904</v>
      </c>
      <c r="F953" t="s">
        <v>42</v>
      </c>
      <c r="G953">
        <v>-192.42609999999999</v>
      </c>
      <c r="H953" s="1">
        <v>-4.198349E-6</v>
      </c>
      <c r="I953">
        <v>317.10759999999999</v>
      </c>
      <c r="J953">
        <v>-190.63919999999999</v>
      </c>
      <c r="K953">
        <v>1.1072120000000001</v>
      </c>
      <c r="L953">
        <v>334.91809999999998</v>
      </c>
      <c r="M953">
        <v>3.6271930000000001E-2</v>
      </c>
      <c r="N953">
        <v>-1.406752E-2</v>
      </c>
      <c r="O953">
        <v>-0.9992432</v>
      </c>
      <c r="P953">
        <v>4.0308299999999998E-2</v>
      </c>
      <c r="Q953">
        <v>-0.12336800000000001</v>
      </c>
      <c r="R953">
        <v>-0.99154219999999904</v>
      </c>
      <c r="S953">
        <v>-0.2967224</v>
      </c>
      <c r="T953">
        <v>-0.18460009999999999</v>
      </c>
      <c r="U953">
        <v>-3.013916</v>
      </c>
      <c r="V953">
        <v>-4.8902980000000004E-3</v>
      </c>
      <c r="W953">
        <v>-0.1093716</v>
      </c>
      <c r="X953">
        <v>0.99398889999999995</v>
      </c>
      <c r="Y953">
        <v>0.13383639999999999</v>
      </c>
      <c r="Z953">
        <v>4.6580879999999998E-2</v>
      </c>
      <c r="AA953">
        <v>0.98990809999999996</v>
      </c>
      <c r="AB953">
        <v>27</v>
      </c>
      <c r="AC953">
        <v>-1.7868999999999999</v>
      </c>
      <c r="AD953">
        <v>-1.1072161983490001</v>
      </c>
      <c r="AE953">
        <v>-17.810499999999902</v>
      </c>
      <c r="AF953">
        <v>2.4225398617304998</v>
      </c>
      <c r="AG953">
        <v>-1.1072161983490001</v>
      </c>
      <c r="AH953">
        <v>17.666362596589199</v>
      </c>
      <c r="AI953">
        <v>93.5530835300532</v>
      </c>
      <c r="AJ953">
        <v>82.191884806762801</v>
      </c>
      <c r="AK953">
        <v>17.866029063161299</v>
      </c>
      <c r="AL953">
        <v>96.279092356211393</v>
      </c>
      <c r="AM953">
        <v>90.281885617924999</v>
      </c>
      <c r="AN953">
        <v>0.99999999761214897</v>
      </c>
    </row>
    <row r="954" spans="1:40" x14ac:dyDescent="0.25">
      <c r="A954" t="str">
        <f>"20190305135558091"</f>
        <v>20190305135558091</v>
      </c>
      <c r="B954" t="str">
        <f>"1551765358082274"</f>
        <v>1551765358082274</v>
      </c>
      <c r="C954" t="s">
        <v>40</v>
      </c>
      <c r="D954">
        <v>4.5205419999999998</v>
      </c>
      <c r="E954">
        <v>0.55537799999999904</v>
      </c>
      <c r="F954" t="s">
        <v>42</v>
      </c>
      <c r="G954">
        <v>-192.50919999999999</v>
      </c>
      <c r="H954" s="1">
        <v>-3.752061E-6</v>
      </c>
      <c r="I954">
        <v>316.11669999999998</v>
      </c>
      <c r="J954">
        <v>-190.63300000000001</v>
      </c>
      <c r="K954">
        <v>1.1072059999999999</v>
      </c>
      <c r="L954">
        <v>334.66019999999997</v>
      </c>
      <c r="M954">
        <v>3.3398110000000002E-2</v>
      </c>
      <c r="N954">
        <v>-1.4064510000000001E-2</v>
      </c>
      <c r="O954">
        <v>-0.99934339999999999</v>
      </c>
      <c r="P954">
        <v>4.1690860000000003E-2</v>
      </c>
      <c r="Q954">
        <v>-0.1238682</v>
      </c>
      <c r="R954">
        <v>-0.99142280000000005</v>
      </c>
      <c r="S954">
        <v>-0.29994199999999999</v>
      </c>
      <c r="T954">
        <v>-0.17759179999999999</v>
      </c>
      <c r="U954">
        <v>-3.0156559999999999</v>
      </c>
      <c r="V954">
        <v>-9.1294199999999992E-3</v>
      </c>
      <c r="W954">
        <v>-0.1098538</v>
      </c>
      <c r="X954">
        <v>0.99390579999999995</v>
      </c>
      <c r="Y954">
        <v>0.13199079999999999</v>
      </c>
      <c r="Z954">
        <v>4.4268929999999998E-2</v>
      </c>
      <c r="AA954">
        <v>0.99026190000000003</v>
      </c>
      <c r="AB954">
        <v>27</v>
      </c>
      <c r="AC954">
        <v>-1.8762000000000101</v>
      </c>
      <c r="AD954">
        <v>-1.10720975206099</v>
      </c>
      <c r="AE954">
        <v>-18.543499999999899</v>
      </c>
      <c r="AF954">
        <v>2.4857598060324002</v>
      </c>
      <c r="AG954">
        <v>-1.10720975206099</v>
      </c>
      <c r="AH954">
        <v>18.405531994310799</v>
      </c>
      <c r="AI954">
        <v>93.411657410370097</v>
      </c>
      <c r="AJ954">
        <v>82.308455302025706</v>
      </c>
      <c r="AK954">
        <v>18.6056046190911</v>
      </c>
      <c r="AL954">
        <v>96.306888032282799</v>
      </c>
      <c r="AM954">
        <v>90.526269718120901</v>
      </c>
      <c r="AN954">
        <v>0.99999997147880704</v>
      </c>
    </row>
    <row r="955" spans="1:40" x14ac:dyDescent="0.25">
      <c r="A955" t="str">
        <f>"20190305135558113"</f>
        <v>20190305135558113</v>
      </c>
      <c r="B955" t="str">
        <f>"1551765358102769"</f>
        <v>1551765358102769</v>
      </c>
      <c r="C955" t="s">
        <v>40</v>
      </c>
      <c r="D955">
        <v>4.4886359999999996</v>
      </c>
      <c r="E955">
        <v>0.55608740000000001</v>
      </c>
      <c r="F955" t="s">
        <v>42</v>
      </c>
      <c r="G955">
        <v>-192.59630000000001</v>
      </c>
      <c r="H955" s="1">
        <v>-3.312988E-6</v>
      </c>
      <c r="I955">
        <v>315.1388</v>
      </c>
      <c r="J955">
        <v>-190.62739999999999</v>
      </c>
      <c r="K955">
        <v>1.107219</v>
      </c>
      <c r="L955">
        <v>334.38869999999997</v>
      </c>
      <c r="M955">
        <v>3.0401000000000001E-2</v>
      </c>
      <c r="N955">
        <v>-1.406104E-2</v>
      </c>
      <c r="O955">
        <v>-0.99943890000000002</v>
      </c>
      <c r="P955">
        <v>4.2400670000000001E-2</v>
      </c>
      <c r="Q955">
        <v>-0.1244088</v>
      </c>
      <c r="R955">
        <v>-0.99132500000000001</v>
      </c>
      <c r="S955">
        <v>-0.30345149999999999</v>
      </c>
      <c r="T955">
        <v>-0.1711348</v>
      </c>
      <c r="U955">
        <v>-3.0173030000000001</v>
      </c>
      <c r="V955">
        <v>-1.2814829999999999E-2</v>
      </c>
      <c r="W955">
        <v>-0.1103806</v>
      </c>
      <c r="X955">
        <v>0.99380679999999999</v>
      </c>
      <c r="Y955">
        <v>0.13011729999999999</v>
      </c>
      <c r="Z955">
        <v>4.2139940000000001E-2</v>
      </c>
      <c r="AA955">
        <v>0.99060269999999995</v>
      </c>
      <c r="AB955">
        <v>27</v>
      </c>
      <c r="AC955">
        <v>-1.9689000000000101</v>
      </c>
      <c r="AD955">
        <v>-1.1072223129879999</v>
      </c>
      <c r="AE955">
        <v>-19.249899999999901</v>
      </c>
      <c r="AF955">
        <v>2.54493143744926</v>
      </c>
      <c r="AG955">
        <v>-1.1072223129879999</v>
      </c>
      <c r="AH955">
        <v>19.118541992950501</v>
      </c>
      <c r="AI955">
        <v>93.285582046701293</v>
      </c>
      <c r="AJ955">
        <v>82.417746052559707</v>
      </c>
      <c r="AK955">
        <v>19.318935405655999</v>
      </c>
      <c r="AL955">
        <v>96.337255782068297</v>
      </c>
      <c r="AM955">
        <v>90.738770336156506</v>
      </c>
      <c r="AN955">
        <v>1.00000002622526</v>
      </c>
    </row>
    <row r="956" spans="1:40" x14ac:dyDescent="0.25">
      <c r="A956" t="str">
        <f>"20190305135558134"</f>
        <v>20190305135558134</v>
      </c>
      <c r="B956" t="str">
        <f>"1551765358133025"</f>
        <v>1551765358133025</v>
      </c>
      <c r="C956" t="s">
        <v>40</v>
      </c>
      <c r="D956">
        <v>4.5354000000000001</v>
      </c>
      <c r="E956">
        <v>0.5909008</v>
      </c>
      <c r="F956" t="s">
        <v>42</v>
      </c>
      <c r="G956">
        <v>-192.64750000000001</v>
      </c>
      <c r="H956" s="1">
        <v>-3.021379E-6</v>
      </c>
      <c r="I956">
        <v>314.49310000000003</v>
      </c>
      <c r="J956">
        <v>-190.62270000000001</v>
      </c>
      <c r="K956">
        <v>1.1072439999999999</v>
      </c>
      <c r="L956">
        <v>334.13069999999999</v>
      </c>
      <c r="M956">
        <v>2.757793E-2</v>
      </c>
      <c r="N956">
        <v>-1.4057210000000001E-2</v>
      </c>
      <c r="O956">
        <v>-0.99952110000000005</v>
      </c>
      <c r="P956">
        <v>4.3876869999999998E-2</v>
      </c>
      <c r="Q956">
        <v>-0.1246452</v>
      </c>
      <c r="R956">
        <v>-0.99123110000000003</v>
      </c>
      <c r="S956">
        <v>-0.30645749999999999</v>
      </c>
      <c r="T956">
        <v>-0.16797039999999999</v>
      </c>
      <c r="U956">
        <v>-3.0182500000000001</v>
      </c>
      <c r="V956">
        <v>-1.708966E-2</v>
      </c>
      <c r="W956">
        <v>-0.1106009</v>
      </c>
      <c r="X956">
        <v>0.99371799999999999</v>
      </c>
      <c r="Y956">
        <v>0.12826860000000001</v>
      </c>
      <c r="Z956">
        <v>4.1102380000000001E-2</v>
      </c>
      <c r="AA956">
        <v>0.99088730000000003</v>
      </c>
      <c r="AB956">
        <v>26</v>
      </c>
      <c r="AC956">
        <v>-2.0247999999999902</v>
      </c>
      <c r="AD956">
        <v>-1.107247021379</v>
      </c>
      <c r="AE956">
        <v>-19.6375999999999</v>
      </c>
      <c r="AF956">
        <v>2.5576019580776501</v>
      </c>
      <c r="AG956">
        <v>-1.107247021379</v>
      </c>
      <c r="AH956">
        <v>19.5129021587796</v>
      </c>
      <c r="AI956">
        <v>93.220243832142501</v>
      </c>
      <c r="AJ956">
        <v>82.532676096502001</v>
      </c>
      <c r="AK956">
        <v>19.710927791466901</v>
      </c>
      <c r="AL956">
        <v>96.349955717366598</v>
      </c>
      <c r="AM956">
        <v>90.985258267984506</v>
      </c>
      <c r="AN956">
        <v>1.00000003954186</v>
      </c>
    </row>
    <row r="957" spans="1:40" x14ac:dyDescent="0.25">
      <c r="A957" t="str">
        <f>"20190305135558158"</f>
        <v>20190305135558158</v>
      </c>
      <c r="B957" t="str">
        <f>"1551765358152545"</f>
        <v>1551765358152545</v>
      </c>
      <c r="C957" t="s">
        <v>40</v>
      </c>
      <c r="D957">
        <v>4.5461600000000004</v>
      </c>
      <c r="E957">
        <v>0.5911883</v>
      </c>
      <c r="F957" t="s">
        <v>52</v>
      </c>
      <c r="G957">
        <v>-230.3468</v>
      </c>
      <c r="H957">
        <v>3.874228</v>
      </c>
      <c r="I957">
        <v>119.3841</v>
      </c>
      <c r="J957">
        <v>-190.61859999999999</v>
      </c>
      <c r="K957">
        <v>1.1072850000000001</v>
      </c>
      <c r="L957">
        <v>333.86540000000002</v>
      </c>
      <c r="M957">
        <v>2.471974E-2</v>
      </c>
      <c r="N957">
        <v>-1.4053059999999999E-2</v>
      </c>
      <c r="O957">
        <v>-0.99959569999999998</v>
      </c>
      <c r="P957">
        <v>4.5615700000000002E-2</v>
      </c>
      <c r="Q957">
        <v>-0.1248175</v>
      </c>
      <c r="R957">
        <v>-0.99113090000000004</v>
      </c>
      <c r="S957">
        <v>-0.56539919999999899</v>
      </c>
      <c r="T957">
        <v>3.9382929999999997E-2</v>
      </c>
      <c r="U957">
        <v>-3.0565190000000002</v>
      </c>
      <c r="V957">
        <v>-2.1657869999999999E-2</v>
      </c>
      <c r="W957">
        <v>-0.1107573</v>
      </c>
      <c r="X957">
        <v>0.99361149999999998</v>
      </c>
      <c r="Y957">
        <v>0.20608280000000001</v>
      </c>
      <c r="Z957">
        <v>-2.6715019999999999E-2</v>
      </c>
      <c r="AA957">
        <v>0.97816979999999998</v>
      </c>
      <c r="AB957">
        <v>26</v>
      </c>
      <c r="AC957">
        <v>-39.728200000000001</v>
      </c>
      <c r="AD957">
        <v>2.7669429999999999</v>
      </c>
      <c r="AE957">
        <v>-214.4813</v>
      </c>
      <c r="AF957">
        <v>45.011260192773598</v>
      </c>
      <c r="AG957">
        <v>2.7669429999999999</v>
      </c>
      <c r="AH957">
        <v>213.399241162029</v>
      </c>
      <c r="AI957">
        <v>89.273133496848502</v>
      </c>
      <c r="AJ957">
        <v>78.089463766771303</v>
      </c>
      <c r="AK957">
        <v>218.11214007073701</v>
      </c>
      <c r="AL957">
        <v>96.358972246708205</v>
      </c>
      <c r="AM957">
        <v>91.248685302395401</v>
      </c>
      <c r="AN957">
        <v>1.00000002788423</v>
      </c>
    </row>
    <row r="958" spans="1:40" x14ac:dyDescent="0.25">
      <c r="A958" t="str">
        <f>"20190305135558180"</f>
        <v>20190305135558180</v>
      </c>
      <c r="B958" t="str">
        <f>"1551765358173042"</f>
        <v>1551765358173042</v>
      </c>
      <c r="C958" t="s">
        <v>40</v>
      </c>
      <c r="D958">
        <v>4.5427629999999999</v>
      </c>
      <c r="E958">
        <v>0.59160990000000002</v>
      </c>
      <c r="F958" t="s">
        <v>52</v>
      </c>
      <c r="G958">
        <v>-230.0898</v>
      </c>
      <c r="H958">
        <v>3.5453380000000001</v>
      </c>
      <c r="I958">
        <v>119.3841</v>
      </c>
      <c r="J958">
        <v>-190.61510000000001</v>
      </c>
      <c r="K958">
        <v>1.1073309999999901</v>
      </c>
      <c r="L958">
        <v>333.59309999999999</v>
      </c>
      <c r="M958">
        <v>2.185629E-2</v>
      </c>
      <c r="N958">
        <v>-1.4048379999999999E-2</v>
      </c>
      <c r="O958">
        <v>-0.99966259999999996</v>
      </c>
      <c r="P958">
        <v>4.7198329999999997E-2</v>
      </c>
      <c r="Q958">
        <v>-0.12446649999999999</v>
      </c>
      <c r="R958">
        <v>-0.99110089999999995</v>
      </c>
      <c r="S958">
        <v>-0.56260679999999996</v>
      </c>
      <c r="T958">
        <v>3.475106E-2</v>
      </c>
      <c r="U958">
        <v>-3.0571290000000002</v>
      </c>
      <c r="V958">
        <v>-2.6066849999999999E-2</v>
      </c>
      <c r="W958">
        <v>-0.1103927</v>
      </c>
      <c r="X958">
        <v>0.99354609999999999</v>
      </c>
      <c r="Y958">
        <v>0.20238429999999999</v>
      </c>
      <c r="Z958">
        <v>-2.5225580000000001E-2</v>
      </c>
      <c r="AA958">
        <v>0.97898130000000005</v>
      </c>
      <c r="AB958">
        <v>26</v>
      </c>
      <c r="AC958">
        <v>-39.474699999999899</v>
      </c>
      <c r="AD958">
        <v>2.4380069999999998</v>
      </c>
      <c r="AE958">
        <v>-214.209</v>
      </c>
      <c r="AF958">
        <v>44.142013531536698</v>
      </c>
      <c r="AG958">
        <v>2.4380069999999998</v>
      </c>
      <c r="AH958">
        <v>213.26824597166001</v>
      </c>
      <c r="AI958">
        <v>89.358636333682995</v>
      </c>
      <c r="AJ958">
        <v>78.306109826166903</v>
      </c>
      <c r="AK958">
        <v>217.80221756579701</v>
      </c>
      <c r="AL958">
        <v>96.337953867153999</v>
      </c>
      <c r="AM958">
        <v>91.502877370157293</v>
      </c>
      <c r="AN958">
        <v>0.99999994085370902</v>
      </c>
    </row>
    <row r="959" spans="1:40" x14ac:dyDescent="0.25">
      <c r="A959" t="str">
        <f>"20190305135558205"</f>
        <v>20190305135558205</v>
      </c>
      <c r="B959" t="str">
        <f>"1551765358192561"</f>
        <v>1551765358192561</v>
      </c>
      <c r="C959" t="s">
        <v>40</v>
      </c>
      <c r="D959">
        <v>4.5533130000000002</v>
      </c>
      <c r="E959">
        <v>0.59188680000000005</v>
      </c>
      <c r="F959" t="s">
        <v>52</v>
      </c>
      <c r="G959">
        <v>-229.9153</v>
      </c>
      <c r="H959">
        <v>3.4631059999999998</v>
      </c>
      <c r="I959">
        <v>119.3841</v>
      </c>
      <c r="J959">
        <v>-190.6123</v>
      </c>
      <c r="K959">
        <v>1.107397</v>
      </c>
      <c r="L959">
        <v>333.3143</v>
      </c>
      <c r="M959">
        <v>1.9024940000000001E-2</v>
      </c>
      <c r="N959">
        <v>-1.4042870000000001E-2</v>
      </c>
      <c r="O959">
        <v>-0.99972030000000001</v>
      </c>
      <c r="P959">
        <v>4.8830440000000003E-2</v>
      </c>
      <c r="Q959">
        <v>-0.12500129999999901</v>
      </c>
      <c r="R959">
        <v>-0.99095449999999996</v>
      </c>
      <c r="S959">
        <v>-0.56101990000000002</v>
      </c>
      <c r="T959">
        <v>3.362942E-2</v>
      </c>
      <c r="U959">
        <v>-3.0578919999999998</v>
      </c>
      <c r="V959">
        <v>-3.0493960000000001E-2</v>
      </c>
      <c r="W959">
        <v>-0.11091910000000001</v>
      </c>
      <c r="X959">
        <v>0.99336150000000001</v>
      </c>
      <c r="Y959">
        <v>0.1990759</v>
      </c>
      <c r="Z959">
        <v>-2.485907E-2</v>
      </c>
      <c r="AA959">
        <v>0.97966869999999995</v>
      </c>
      <c r="AB959">
        <v>26</v>
      </c>
      <c r="AC959">
        <v>-39.302999999999997</v>
      </c>
      <c r="AD959">
        <v>2.3557090000000001</v>
      </c>
      <c r="AE959">
        <v>-213.93020000000001</v>
      </c>
      <c r="AF959">
        <v>43.361209970537502</v>
      </c>
      <c r="AG959">
        <v>2.3557090000000001</v>
      </c>
      <c r="AH959">
        <v>213.118664066739</v>
      </c>
      <c r="AI959">
        <v>89.379419930271794</v>
      </c>
      <c r="AJ959">
        <v>78.499553975986601</v>
      </c>
      <c r="AK959">
        <v>217.49783646876401</v>
      </c>
      <c r="AL959">
        <v>96.368300362591796</v>
      </c>
      <c r="AM959">
        <v>91.758299169953901</v>
      </c>
      <c r="AN959">
        <v>0.99999999901176995</v>
      </c>
    </row>
    <row r="960" spans="1:40" x14ac:dyDescent="0.25">
      <c r="A960" t="str">
        <f>"20190305135558224"</f>
        <v>20190305135558224</v>
      </c>
      <c r="B960" t="str">
        <f>"1551765358222818"</f>
        <v>1551765358222818</v>
      </c>
      <c r="C960" t="s">
        <v>40</v>
      </c>
      <c r="D960">
        <v>4.6781269999999999</v>
      </c>
      <c r="E960">
        <v>0.54981930000000001</v>
      </c>
      <c r="F960" t="s">
        <v>52</v>
      </c>
      <c r="G960">
        <v>-229.64340000000001</v>
      </c>
      <c r="H960">
        <v>3.3363670000000001</v>
      </c>
      <c r="I960">
        <v>119.3841</v>
      </c>
      <c r="J960">
        <v>-190.6103</v>
      </c>
      <c r="K960">
        <v>1.107472</v>
      </c>
      <c r="L960">
        <v>333.06920000000002</v>
      </c>
      <c r="M960">
        <v>1.6644760000000001E-2</v>
      </c>
      <c r="N960">
        <v>-1.4037340000000001E-2</v>
      </c>
      <c r="O960">
        <v>-0.99976319999999996</v>
      </c>
      <c r="P960">
        <v>5.1042709999999998E-2</v>
      </c>
      <c r="Q960">
        <v>-0.1253908</v>
      </c>
      <c r="R960">
        <v>-0.99079360000000005</v>
      </c>
      <c r="S960">
        <v>-0.55809019999999898</v>
      </c>
      <c r="T960">
        <v>3.1871200000000002E-2</v>
      </c>
      <c r="U960">
        <v>-3.0588989999999998</v>
      </c>
      <c r="V960">
        <v>-3.5049780000000003E-2</v>
      </c>
      <c r="W960">
        <v>-0.1113019</v>
      </c>
      <c r="X960">
        <v>0.99316839999999995</v>
      </c>
      <c r="Y960">
        <v>0.19577839999999999</v>
      </c>
      <c r="Z960">
        <v>-2.4287889999999999E-2</v>
      </c>
      <c r="AA960">
        <v>0.98034730000000003</v>
      </c>
      <c r="AB960">
        <v>26</v>
      </c>
      <c r="AC960">
        <v>-39.033099999999997</v>
      </c>
      <c r="AD960">
        <v>2.2288950000000001</v>
      </c>
      <c r="AE960">
        <v>-213.68510000000001</v>
      </c>
      <c r="AF960">
        <v>42.580295073676503</v>
      </c>
      <c r="AG960">
        <v>2.2288950000000001</v>
      </c>
      <c r="AH960">
        <v>212.98330674536501</v>
      </c>
      <c r="AI960">
        <v>89.412048937628697</v>
      </c>
      <c r="AJ960">
        <v>78.694301030223201</v>
      </c>
      <c r="AK960">
        <v>217.20943454111799</v>
      </c>
      <c r="AL960">
        <v>96.390369606629605</v>
      </c>
      <c r="AM960">
        <v>92.021179274415204</v>
      </c>
      <c r="AN960">
        <v>1.0000000353901</v>
      </c>
    </row>
    <row r="961" spans="1:40" x14ac:dyDescent="0.25">
      <c r="A961" t="str">
        <f>"20190305135558246"</f>
        <v>20190305135558246</v>
      </c>
      <c r="B961" t="str">
        <f>"1551765358242338"</f>
        <v>1551765358242338</v>
      </c>
      <c r="C961" t="s">
        <v>40</v>
      </c>
      <c r="D961">
        <v>4.6148199999999999</v>
      </c>
      <c r="E961">
        <v>0.54720829999999998</v>
      </c>
      <c r="F961" t="s">
        <v>42</v>
      </c>
      <c r="G961">
        <v>-192.9178</v>
      </c>
      <c r="H961" s="1">
        <v>-1.8676980000000001E-6</v>
      </c>
      <c r="I961">
        <v>302.13310000000001</v>
      </c>
      <c r="J961">
        <v>-190.6087</v>
      </c>
      <c r="K961">
        <v>1.1075630000000001</v>
      </c>
      <c r="L961">
        <v>332.81549999999999</v>
      </c>
      <c r="M961">
        <v>1.4306289999999999E-2</v>
      </c>
      <c r="N961">
        <v>-1.4031109999999999E-2</v>
      </c>
      <c r="O961">
        <v>-0.9997992</v>
      </c>
      <c r="P961">
        <v>5.3294950000000001E-2</v>
      </c>
      <c r="Q961">
        <v>-0.12582570000000001</v>
      </c>
      <c r="R961">
        <v>-0.99061980000000005</v>
      </c>
      <c r="S961">
        <v>-0.2256927</v>
      </c>
      <c r="T961">
        <v>-0.1083205</v>
      </c>
      <c r="U961">
        <v>-3.0258180000000001</v>
      </c>
      <c r="V961">
        <v>-3.959857E-2</v>
      </c>
      <c r="W961">
        <v>-0.1117348</v>
      </c>
      <c r="X961">
        <v>0.99294879999999996</v>
      </c>
      <c r="Y961">
        <v>8.8594560000000003E-2</v>
      </c>
      <c r="Z961">
        <v>2.161741E-2</v>
      </c>
      <c r="AA961">
        <v>0.99583319999999997</v>
      </c>
      <c r="AB961">
        <v>26</v>
      </c>
      <c r="AC961">
        <v>-2.3090999999999999</v>
      </c>
      <c r="AD961">
        <v>-1.1075648676980001</v>
      </c>
      <c r="AE961">
        <v>-30.682399999999902</v>
      </c>
      <c r="AF961">
        <v>2.7443023585206601</v>
      </c>
      <c r="AG961">
        <v>-1.1075648676980001</v>
      </c>
      <c r="AH961">
        <v>30.606564285624501</v>
      </c>
      <c r="AI961">
        <v>92.064193810145198</v>
      </c>
      <c r="AJ961">
        <v>84.876341295578001</v>
      </c>
      <c r="AK961">
        <v>30.749303613922802</v>
      </c>
      <c r="AL961">
        <v>96.415328759840193</v>
      </c>
      <c r="AM961">
        <v>92.283732355838794</v>
      </c>
      <c r="AN961">
        <v>1.0000000158492599</v>
      </c>
    </row>
    <row r="962" spans="1:40" x14ac:dyDescent="0.25">
      <c r="A962" t="str">
        <f>"20190305135558269"</f>
        <v>20190305135558269</v>
      </c>
      <c r="B962" t="str">
        <f>"1551765358262365"</f>
        <v>1551765358262365</v>
      </c>
      <c r="C962" t="s">
        <v>40</v>
      </c>
      <c r="D962">
        <v>4.5930759999999999</v>
      </c>
      <c r="E962">
        <v>0.54740009999999995</v>
      </c>
      <c r="F962" t="s">
        <v>42</v>
      </c>
      <c r="G962">
        <v>-192.60169999999999</v>
      </c>
      <c r="H962" s="1">
        <v>-1.8735200000000001E-6</v>
      </c>
      <c r="I962">
        <v>302.34269999999998</v>
      </c>
      <c r="J962">
        <v>-190.60759999999999</v>
      </c>
      <c r="K962">
        <v>1.107669</v>
      </c>
      <c r="L962">
        <v>332.55279999999999</v>
      </c>
      <c r="M962">
        <v>1.2034599999999999E-2</v>
      </c>
      <c r="N962">
        <v>-1.402432E-2</v>
      </c>
      <c r="O962">
        <v>-0.99982939999999998</v>
      </c>
      <c r="P962">
        <v>5.5194590000000002E-2</v>
      </c>
      <c r="Q962">
        <v>-0.12686510000000001</v>
      </c>
      <c r="R962">
        <v>-0.99038349999999997</v>
      </c>
      <c r="S962">
        <v>-0.19784550000000001</v>
      </c>
      <c r="T962">
        <v>-0.1099497</v>
      </c>
      <c r="U962">
        <v>-3.0250849999999998</v>
      </c>
      <c r="V962">
        <v>-4.3725510000000002E-2</v>
      </c>
      <c r="W962">
        <v>-0.1127795</v>
      </c>
      <c r="X962">
        <v>0.99265749999999997</v>
      </c>
      <c r="Y962">
        <v>7.7224280000000006E-2</v>
      </c>
      <c r="Z962">
        <v>2.220101E-2</v>
      </c>
      <c r="AA962">
        <v>0.9967665</v>
      </c>
      <c r="AB962">
        <v>26</v>
      </c>
      <c r="AC962">
        <v>-1.9941</v>
      </c>
      <c r="AD962">
        <v>-1.10767087352</v>
      </c>
      <c r="AE962">
        <v>-30.210100000000001</v>
      </c>
      <c r="AF962">
        <v>2.3544062778832799</v>
      </c>
      <c r="AG962">
        <v>-1.10767087352</v>
      </c>
      <c r="AH962">
        <v>30.143563101756701</v>
      </c>
      <c r="AI962">
        <v>92.098088947191002</v>
      </c>
      <c r="AJ962">
        <v>85.533898134624195</v>
      </c>
      <c r="AK962">
        <v>30.255653358586901</v>
      </c>
      <c r="AL962">
        <v>96.475566359874506</v>
      </c>
      <c r="AM962">
        <v>92.522187884567998</v>
      </c>
      <c r="AN962">
        <v>1.0000000240756199</v>
      </c>
    </row>
    <row r="963" spans="1:40" x14ac:dyDescent="0.25">
      <c r="A963" t="str">
        <f>"20190305135558292"</f>
        <v>20190305135558292</v>
      </c>
      <c r="B963" t="str">
        <f>"1551765358282860"</f>
        <v>1551765358282860</v>
      </c>
      <c r="C963" t="s">
        <v>40</v>
      </c>
      <c r="D963">
        <v>4.5907390000000001</v>
      </c>
      <c r="E963">
        <v>0.54822680000000001</v>
      </c>
      <c r="F963" t="s">
        <v>42</v>
      </c>
      <c r="G963">
        <v>-192.42339999999999</v>
      </c>
      <c r="H963" s="1">
        <v>-2.6383689999999998E-6</v>
      </c>
      <c r="I963">
        <v>304.23610000000002</v>
      </c>
      <c r="J963">
        <v>-190.60679999999999</v>
      </c>
      <c r="K963">
        <v>1.1077889999999999</v>
      </c>
      <c r="L963">
        <v>332.27850000000001</v>
      </c>
      <c r="M963">
        <v>9.8520029999999998E-3</v>
      </c>
      <c r="N963">
        <v>-1.4016819999999999E-2</v>
      </c>
      <c r="O963">
        <v>-0.9998534</v>
      </c>
      <c r="P963">
        <v>5.74099E-2</v>
      </c>
      <c r="Q963">
        <v>-0.12859689999999999</v>
      </c>
      <c r="R963">
        <v>-0.99003430000000003</v>
      </c>
      <c r="S963">
        <v>-0.19396969999999999</v>
      </c>
      <c r="T963">
        <v>-0.1183212</v>
      </c>
      <c r="U963">
        <v>-3.0247799999999998</v>
      </c>
      <c r="V963">
        <v>-4.8078160000000002E-2</v>
      </c>
      <c r="W963">
        <v>-0.11452229999999999</v>
      </c>
      <c r="X963">
        <v>0.99225660000000004</v>
      </c>
      <c r="Y963">
        <v>7.3777720000000005E-2</v>
      </c>
      <c r="Z963">
        <v>2.497692E-2</v>
      </c>
      <c r="AA963">
        <v>0.99696189999999996</v>
      </c>
      <c r="AB963">
        <v>26</v>
      </c>
      <c r="AC963">
        <v>-1.81659999999999</v>
      </c>
      <c r="AD963">
        <v>-1.1077916383690001</v>
      </c>
      <c r="AE963">
        <v>-28.042399999999901</v>
      </c>
      <c r="AF963">
        <v>2.0895654181119898</v>
      </c>
      <c r="AG963">
        <v>-1.1077916383690001</v>
      </c>
      <c r="AH963">
        <v>27.979657872321599</v>
      </c>
      <c r="AI963">
        <v>92.261023394022303</v>
      </c>
      <c r="AJ963">
        <v>85.728988440558894</v>
      </c>
      <c r="AK963">
        <v>28.0794362586355</v>
      </c>
      <c r="AL963">
        <v>96.576072731274905</v>
      </c>
      <c r="AM963">
        <v>92.774003159814995</v>
      </c>
      <c r="AN963">
        <v>1.0000000134549101</v>
      </c>
    </row>
    <row r="964" spans="1:40" x14ac:dyDescent="0.25">
      <c r="A964" t="str">
        <f>"20190305135558313"</f>
        <v>20190305135558313</v>
      </c>
      <c r="B964" t="str">
        <f>"1551765358302380"</f>
        <v>1551765358302380</v>
      </c>
      <c r="C964" t="s">
        <v>40</v>
      </c>
      <c r="D964">
        <v>4.6289879999999997</v>
      </c>
      <c r="E964">
        <v>0.54895780000000005</v>
      </c>
      <c r="F964" t="s">
        <v>42</v>
      </c>
      <c r="G964">
        <v>-192.33449999999999</v>
      </c>
      <c r="H964" s="1">
        <v>-3.0823379999999999E-6</v>
      </c>
      <c r="I964">
        <v>305.32619999999997</v>
      </c>
      <c r="J964">
        <v>-190.60650000000001</v>
      </c>
      <c r="K964">
        <v>1.107901</v>
      </c>
      <c r="L964">
        <v>332.02510000000001</v>
      </c>
      <c r="M964">
        <v>8.0023179999999996E-3</v>
      </c>
      <c r="N964">
        <v>-1.401005E-2</v>
      </c>
      <c r="O964">
        <v>-0.99986989999999998</v>
      </c>
      <c r="P964">
        <v>6.0515899999999997E-2</v>
      </c>
      <c r="Q964">
        <v>-0.13052130000000001</v>
      </c>
      <c r="R964">
        <v>-0.98959699999999995</v>
      </c>
      <c r="S964">
        <v>-0.19392400000000001</v>
      </c>
      <c r="T964">
        <v>-0.1243471</v>
      </c>
      <c r="U964">
        <v>-3.0253299999999999</v>
      </c>
      <c r="V964">
        <v>-5.299193E-2</v>
      </c>
      <c r="W964">
        <v>-0.11645759999999999</v>
      </c>
      <c r="X964">
        <v>0.99178089999999997</v>
      </c>
      <c r="Y964">
        <v>7.1902540000000001E-2</v>
      </c>
      <c r="Z964">
        <v>2.696438E-2</v>
      </c>
      <c r="AA964">
        <v>0.99704709999999996</v>
      </c>
      <c r="AB964">
        <v>26</v>
      </c>
      <c r="AC964">
        <v>-1.72799999999998</v>
      </c>
      <c r="AD964">
        <v>-1.107904082338</v>
      </c>
      <c r="AE964">
        <v>-26.698899999999998</v>
      </c>
      <c r="AF964">
        <v>1.9382950032014099</v>
      </c>
      <c r="AG964">
        <v>-1.107904082338</v>
      </c>
      <c r="AH964">
        <v>26.638537022709698</v>
      </c>
      <c r="AI964">
        <v>92.375302275254995</v>
      </c>
      <c r="AJ964">
        <v>85.838331871224099</v>
      </c>
      <c r="AK964">
        <v>26.731930227452199</v>
      </c>
      <c r="AL964">
        <v>96.687704759955693</v>
      </c>
      <c r="AM964">
        <v>93.058467382635499</v>
      </c>
      <c r="AN964">
        <v>0.99999993542384502</v>
      </c>
    </row>
    <row r="965" spans="1:40" x14ac:dyDescent="0.25">
      <c r="A965" t="str">
        <f>"20190305135558335"</f>
        <v>20190305135558335</v>
      </c>
      <c r="B965" t="str">
        <f>"1551765358332636"</f>
        <v>1551765358332636</v>
      </c>
      <c r="C965" t="s">
        <v>40</v>
      </c>
      <c r="D965">
        <v>4.6338749999999997</v>
      </c>
      <c r="E965">
        <v>0.54992280000000004</v>
      </c>
      <c r="F965" t="s">
        <v>42</v>
      </c>
      <c r="G965">
        <v>-192.22319999999999</v>
      </c>
      <c r="H965" s="1">
        <v>-3.4579169999999998E-6</v>
      </c>
      <c r="I965">
        <v>306.27069999999998</v>
      </c>
      <c r="J965">
        <v>-190.60650000000001</v>
      </c>
      <c r="K965">
        <v>1.1080049999999999</v>
      </c>
      <c r="L965">
        <v>331.76929999999999</v>
      </c>
      <c r="M965">
        <v>6.2722209999999997E-3</v>
      </c>
      <c r="N965">
        <v>-1.4003170000000001E-2</v>
      </c>
      <c r="O965">
        <v>-0.99988259999999995</v>
      </c>
      <c r="P965">
        <v>6.3429830000000006E-2</v>
      </c>
      <c r="Q965">
        <v>-0.13069800000000001</v>
      </c>
      <c r="R965">
        <v>-0.98939149999999998</v>
      </c>
      <c r="S965">
        <v>-0.18995670000000001</v>
      </c>
      <c r="T965">
        <v>-0.13017300000000001</v>
      </c>
      <c r="U965">
        <v>-3.0260009999999999</v>
      </c>
      <c r="V965">
        <v>-5.7589670000000003E-2</v>
      </c>
      <c r="W965">
        <v>-0.1166445</v>
      </c>
      <c r="X965">
        <v>0.99150260000000001</v>
      </c>
      <c r="Y965">
        <v>6.8857199999999993E-2</v>
      </c>
      <c r="Z965">
        <v>2.8886800000000001E-2</v>
      </c>
      <c r="AA965">
        <v>0.99720819999999999</v>
      </c>
      <c r="AB965">
        <v>26</v>
      </c>
      <c r="AC965">
        <v>-1.61669999999998</v>
      </c>
      <c r="AD965">
        <v>-1.108008457917</v>
      </c>
      <c r="AE965">
        <v>-25.4986</v>
      </c>
      <c r="AF965">
        <v>1.7732817317581699</v>
      </c>
      <c r="AG965">
        <v>-1.108008457917</v>
      </c>
      <c r="AH965">
        <v>25.440112745639301</v>
      </c>
      <c r="AI965">
        <v>92.487832452160305</v>
      </c>
      <c r="AJ965">
        <v>86.012695042648801</v>
      </c>
      <c r="AK965">
        <v>25.525899540541999</v>
      </c>
      <c r="AL965">
        <v>96.698486675358296</v>
      </c>
      <c r="AM965">
        <v>93.324188861843297</v>
      </c>
      <c r="AN965">
        <v>0.99999995763885796</v>
      </c>
    </row>
    <row r="966" spans="1:40" x14ac:dyDescent="0.25">
      <c r="A966" t="str">
        <f>"20190305135558358"</f>
        <v>20190305135558358</v>
      </c>
      <c r="B966" t="str">
        <f>"1551765358353133"</f>
        <v>1551765358353133</v>
      </c>
      <c r="C966" t="s">
        <v>40</v>
      </c>
      <c r="D966">
        <v>4.5813290000000002</v>
      </c>
      <c r="E966">
        <v>0.55042720000000001</v>
      </c>
      <c r="F966" t="s">
        <v>42</v>
      </c>
      <c r="G966">
        <v>-192.25229999999999</v>
      </c>
      <c r="H966" s="1">
        <v>-3.0661819999999999E-6</v>
      </c>
      <c r="I966">
        <v>305.33949999999999</v>
      </c>
      <c r="J966">
        <v>-190.60679999999999</v>
      </c>
      <c r="K966">
        <v>1.108096</v>
      </c>
      <c r="L966">
        <v>331.50310000000002</v>
      </c>
      <c r="M966">
        <v>4.614539E-3</v>
      </c>
      <c r="N966">
        <v>-1.3996389999999999E-2</v>
      </c>
      <c r="O966">
        <v>-0.99989150000000004</v>
      </c>
      <c r="P966">
        <v>6.540232E-2</v>
      </c>
      <c r="Q966">
        <v>-0.1304401</v>
      </c>
      <c r="R966">
        <v>-0.98929690000000003</v>
      </c>
      <c r="S966">
        <v>-0.1885223</v>
      </c>
      <c r="T966">
        <v>-0.1269208</v>
      </c>
      <c r="U966">
        <v>-3.0274960000000002</v>
      </c>
      <c r="V966">
        <v>-6.1173819999999997E-2</v>
      </c>
      <c r="W966">
        <v>-0.11639969999999999</v>
      </c>
      <c r="X966">
        <v>0.99131670000000005</v>
      </c>
      <c r="Y966">
        <v>6.6705E-2</v>
      </c>
      <c r="Z966">
        <v>2.780796E-2</v>
      </c>
      <c r="AA966">
        <v>0.99738510000000002</v>
      </c>
      <c r="AB966">
        <v>26</v>
      </c>
      <c r="AC966">
        <v>-1.64549999999999</v>
      </c>
      <c r="AD966">
        <v>-1.108099066182</v>
      </c>
      <c r="AE966">
        <v>-26.163599999999999</v>
      </c>
      <c r="AF966">
        <v>1.7630771829965699</v>
      </c>
      <c r="AG966">
        <v>-1.108099066182</v>
      </c>
      <c r="AH966">
        <v>26.109078743822501</v>
      </c>
      <c r="AI966">
        <v>92.424724339952803</v>
      </c>
      <c r="AJ966">
        <v>86.136832039601302</v>
      </c>
      <c r="AK966">
        <v>26.191989568278402</v>
      </c>
      <c r="AL966">
        <v>96.684364432446301</v>
      </c>
      <c r="AM966">
        <v>93.531225418384395</v>
      </c>
      <c r="AN966">
        <v>0.99999996305618499</v>
      </c>
    </row>
    <row r="967" spans="1:40" x14ac:dyDescent="0.25">
      <c r="A967" t="str">
        <f>"20190305135558383"</f>
        <v>20190305135558383</v>
      </c>
      <c r="B967" t="str">
        <f>"1551765358372653"</f>
        <v>1551765358372653</v>
      </c>
      <c r="C967" t="s">
        <v>40</v>
      </c>
      <c r="D967">
        <v>4.6498999999999997</v>
      </c>
      <c r="E967">
        <v>0.55139950000000004</v>
      </c>
      <c r="F967" t="s">
        <v>42</v>
      </c>
      <c r="G967">
        <v>-192.25819999999999</v>
      </c>
      <c r="H967" s="1">
        <v>-2.783305E-6</v>
      </c>
      <c r="I967">
        <v>304.67649999999998</v>
      </c>
      <c r="J967">
        <v>-190.60740000000001</v>
      </c>
      <c r="K967">
        <v>1.108201</v>
      </c>
      <c r="L967">
        <v>331.21440000000001</v>
      </c>
      <c r="M967">
        <v>2.9808230000000001E-3</v>
      </c>
      <c r="N967">
        <v>-1.398918E-2</v>
      </c>
      <c r="O967">
        <v>-0.99989790000000001</v>
      </c>
      <c r="P967">
        <v>6.7005079999999995E-2</v>
      </c>
      <c r="Q967">
        <v>-0.13122729999999999</v>
      </c>
      <c r="R967">
        <v>-0.98908529999999995</v>
      </c>
      <c r="S967">
        <v>-0.18641659999999999</v>
      </c>
      <c r="T967">
        <v>-0.12508639999999999</v>
      </c>
      <c r="U967">
        <v>-3.0282900000000001</v>
      </c>
      <c r="V967">
        <v>-6.4366099999999996E-2</v>
      </c>
      <c r="W967">
        <v>-0.1172057</v>
      </c>
      <c r="X967">
        <v>0.9910196</v>
      </c>
      <c r="Y967">
        <v>6.4369689999999993E-2</v>
      </c>
      <c r="Z967">
        <v>2.72062E-2</v>
      </c>
      <c r="AA967">
        <v>0.99755519999999998</v>
      </c>
      <c r="AB967">
        <v>26</v>
      </c>
      <c r="AC967">
        <v>-1.6507999999999701</v>
      </c>
      <c r="AD967">
        <v>-1.108203783305</v>
      </c>
      <c r="AE967">
        <v>-26.5379</v>
      </c>
      <c r="AF967">
        <v>1.7269053378399499</v>
      </c>
      <c r="AG967">
        <v>-1.108203783305</v>
      </c>
      <c r="AH967">
        <v>26.4868501166291</v>
      </c>
      <c r="AI967">
        <v>92.390774880748296</v>
      </c>
      <c r="AJ967">
        <v>86.2696755530079</v>
      </c>
      <c r="AK967">
        <v>26.566210621237801</v>
      </c>
      <c r="AL967">
        <v>96.730862798343395</v>
      </c>
      <c r="AM967">
        <v>93.716105359183302</v>
      </c>
      <c r="AN967">
        <v>1.00000000926293</v>
      </c>
    </row>
    <row r="968" spans="1:40" x14ac:dyDescent="0.25">
      <c r="A968" t="str">
        <f>"20190305135558404"</f>
        <v>20190305135558404</v>
      </c>
      <c r="B968" t="str">
        <f>"1551765358393149"</f>
        <v>1551765358393149</v>
      </c>
      <c r="C968" t="s">
        <v>40</v>
      </c>
      <c r="D968">
        <v>4.6762449999999998</v>
      </c>
      <c r="E968">
        <v>0.5518999</v>
      </c>
      <c r="F968" t="s">
        <v>42</v>
      </c>
      <c r="G968">
        <v>-192.3021</v>
      </c>
      <c r="H968" s="1">
        <v>-2.5137129999999999E-6</v>
      </c>
      <c r="I968">
        <v>304.02080000000001</v>
      </c>
      <c r="J968">
        <v>-190.60820000000001</v>
      </c>
      <c r="K968">
        <v>1.108285</v>
      </c>
      <c r="L968">
        <v>330.9674</v>
      </c>
      <c r="M968">
        <v>1.710367E-3</v>
      </c>
      <c r="N968">
        <v>-1.3982970000000001E-2</v>
      </c>
      <c r="O968">
        <v>-0.99990089999999998</v>
      </c>
      <c r="P968">
        <v>6.8857210000000002E-2</v>
      </c>
      <c r="Q968">
        <v>-0.1326841</v>
      </c>
      <c r="R968">
        <v>-0.98876370000000002</v>
      </c>
      <c r="S968">
        <v>-0.18879699999999999</v>
      </c>
      <c r="T968">
        <v>-0.1234596</v>
      </c>
      <c r="U968">
        <v>-3.0295100000000001</v>
      </c>
      <c r="V968">
        <v>-6.7453349999999995E-2</v>
      </c>
      <c r="W968">
        <v>-0.1186808</v>
      </c>
      <c r="X968">
        <v>0.99063860000000004</v>
      </c>
      <c r="Y968">
        <v>6.3859280000000004E-2</v>
      </c>
      <c r="Z968">
        <v>2.666143E-2</v>
      </c>
      <c r="AA968">
        <v>0.99760269999999995</v>
      </c>
      <c r="AB968">
        <v>26</v>
      </c>
      <c r="AC968">
        <v>-1.69389999999998</v>
      </c>
      <c r="AD968">
        <v>-1.1082875137129999</v>
      </c>
      <c r="AE968">
        <v>-26.946599999999901</v>
      </c>
      <c r="AF968">
        <v>1.73706375128026</v>
      </c>
      <c r="AG968">
        <v>-1.1082875137129999</v>
      </c>
      <c r="AH968">
        <v>26.898341041526201</v>
      </c>
      <c r="AI968">
        <v>92.354514124491104</v>
      </c>
      <c r="AJ968">
        <v>86.305035659193706</v>
      </c>
      <c r="AK968">
        <v>26.977146670382201</v>
      </c>
      <c r="AL968">
        <v>96.815974185231198</v>
      </c>
      <c r="AM968">
        <v>93.8953014566912</v>
      </c>
      <c r="AN968">
        <v>0.99999996126240998</v>
      </c>
    </row>
    <row r="969" spans="1:40" x14ac:dyDescent="0.25">
      <c r="A969" t="str">
        <f>"20190305135558426"</f>
        <v>20190305135558426</v>
      </c>
      <c r="B969" t="str">
        <f>"1551765358422428"</f>
        <v>1551765358422428</v>
      </c>
      <c r="C969" t="s">
        <v>40</v>
      </c>
      <c r="D969">
        <v>4.7090639999999997</v>
      </c>
      <c r="E969">
        <v>0.55316390000000004</v>
      </c>
      <c r="F969" t="s">
        <v>42</v>
      </c>
      <c r="G969">
        <v>-192.25579999999999</v>
      </c>
      <c r="H969" s="1">
        <v>-2.5544780000000001E-6</v>
      </c>
      <c r="I969">
        <v>304.14460000000003</v>
      </c>
      <c r="J969">
        <v>-190.60929999999999</v>
      </c>
      <c r="K969">
        <v>1.108376</v>
      </c>
      <c r="L969">
        <v>330.70859999999999</v>
      </c>
      <c r="M969">
        <v>4.885356E-4</v>
      </c>
      <c r="N969">
        <v>-1.3976509999999999E-2</v>
      </c>
      <c r="O969">
        <v>-0.99990219999999996</v>
      </c>
      <c r="P969">
        <v>7.0738670000000003E-2</v>
      </c>
      <c r="Q969">
        <v>-0.13416459999999999</v>
      </c>
      <c r="R969">
        <v>-0.98843110000000001</v>
      </c>
      <c r="S969">
        <v>-0.18612670000000001</v>
      </c>
      <c r="T969">
        <v>-0.1252048</v>
      </c>
      <c r="U969">
        <v>-3.0302120000000001</v>
      </c>
      <c r="V969">
        <v>-7.0519139999999994E-2</v>
      </c>
      <c r="W969">
        <v>-0.1201821</v>
      </c>
      <c r="X969">
        <v>0.99024409999999896</v>
      </c>
      <c r="Y969">
        <v>6.1749199999999997E-2</v>
      </c>
      <c r="Z969">
        <v>2.7236590000000001E-2</v>
      </c>
      <c r="AA969">
        <v>0.99772000000000005</v>
      </c>
      <c r="AB969">
        <v>26</v>
      </c>
      <c r="AC969">
        <v>-1.6465000000000001</v>
      </c>
      <c r="AD969">
        <v>-1.108378554478</v>
      </c>
      <c r="AE969">
        <v>-26.563999999999901</v>
      </c>
      <c r="AF969">
        <v>1.6566054815056099</v>
      </c>
      <c r="AG969">
        <v>-1.108378554478</v>
      </c>
      <c r="AH969">
        <v>26.517203614169699</v>
      </c>
      <c r="AI969">
        <v>92.388831023891797</v>
      </c>
      <c r="AJ969">
        <v>86.425214729686999</v>
      </c>
      <c r="AK969">
        <v>26.592008804464498</v>
      </c>
      <c r="AL969">
        <v>96.902611978734299</v>
      </c>
      <c r="AM969">
        <v>94.073379013701299</v>
      </c>
      <c r="AN969">
        <v>1.00000003192577</v>
      </c>
    </row>
    <row r="970" spans="1:40" x14ac:dyDescent="0.25">
      <c r="A970" t="str">
        <f>"20190305135558446"</f>
        <v>20190305135558446</v>
      </c>
      <c r="B970" t="str">
        <f>"1551765358442924"</f>
        <v>1551765358442924</v>
      </c>
      <c r="C970" t="s">
        <v>40</v>
      </c>
      <c r="D970">
        <v>4.9586399999999999</v>
      </c>
      <c r="E970">
        <v>0.55343310000000001</v>
      </c>
      <c r="F970" t="s">
        <v>42</v>
      </c>
      <c r="G970">
        <v>-192.24809999999999</v>
      </c>
      <c r="H970" s="1">
        <v>-2.7423130000000001E-6</v>
      </c>
      <c r="I970">
        <v>304.5872</v>
      </c>
      <c r="J970">
        <v>-190.6104</v>
      </c>
      <c r="K970">
        <v>1.108452</v>
      </c>
      <c r="L970">
        <v>330.471</v>
      </c>
      <c r="M970">
        <v>-5.4830319999999897E-4</v>
      </c>
      <c r="N970">
        <v>-1.3970959999999999E-2</v>
      </c>
      <c r="O970">
        <v>-0.99990230000000002</v>
      </c>
      <c r="P970">
        <v>7.2405140000000007E-2</v>
      </c>
      <c r="Q970">
        <v>-0.13631360000000001</v>
      </c>
      <c r="R970">
        <v>-0.98801640000000002</v>
      </c>
      <c r="S970">
        <v>-0.19017029999999999</v>
      </c>
      <c r="T970">
        <v>-0.1286187</v>
      </c>
      <c r="U970">
        <v>-3.0311889999999999</v>
      </c>
      <c r="V970">
        <v>-7.3192190000000004E-2</v>
      </c>
      <c r="W970">
        <v>-0.1223511</v>
      </c>
      <c r="X970">
        <v>0.98978440000000001</v>
      </c>
      <c r="Y970">
        <v>6.2017910000000002E-2</v>
      </c>
      <c r="Z970">
        <v>2.8348979999999999E-2</v>
      </c>
      <c r="AA970">
        <v>0.99767229999999996</v>
      </c>
      <c r="AB970">
        <v>26</v>
      </c>
      <c r="AC970">
        <v>-1.6376999999999899</v>
      </c>
      <c r="AD970">
        <v>-1.108454742313</v>
      </c>
      <c r="AE970">
        <v>-25.883800000000001</v>
      </c>
      <c r="AF970">
        <v>1.6205461005378301</v>
      </c>
      <c r="AG970">
        <v>-1.108454742313</v>
      </c>
      <c r="AH970">
        <v>25.8374992360025</v>
      </c>
      <c r="AI970">
        <v>92.451728525891696</v>
      </c>
      <c r="AJ970">
        <v>86.411069685358996</v>
      </c>
      <c r="AK970">
        <v>25.9119896640562</v>
      </c>
      <c r="AL970">
        <v>97.027810574929404</v>
      </c>
      <c r="AM970">
        <v>94.229188369300402</v>
      </c>
      <c r="AN970">
        <v>1.00000002341578</v>
      </c>
    </row>
    <row r="971" spans="1:40" x14ac:dyDescent="0.25">
      <c r="A971" t="str">
        <f>"20190305135558582"</f>
        <v>20190305135558582</v>
      </c>
      <c r="B971" t="str">
        <f>"1551765358573239"</f>
        <v>1551765358573239</v>
      </c>
      <c r="C971" t="s">
        <v>40</v>
      </c>
      <c r="D971">
        <v>4.9698520000000004</v>
      </c>
      <c r="E971">
        <v>0.48719200000000001</v>
      </c>
      <c r="F971" t="s">
        <v>42</v>
      </c>
      <c r="G971">
        <v>-192.1721</v>
      </c>
      <c r="H971" s="1">
        <v>-2.9328589999999998E-6</v>
      </c>
      <c r="I971">
        <v>305.07850000000002</v>
      </c>
      <c r="J971">
        <v>-190.6223</v>
      </c>
      <c r="K971">
        <v>1.1085480000000001</v>
      </c>
      <c r="L971">
        <v>328.90359999999998</v>
      </c>
      <c r="M971">
        <v>-6.5937019999999999E-3</v>
      </c>
      <c r="N971">
        <v>-1.3943179999999999E-2</v>
      </c>
      <c r="O971">
        <v>-0.99988120000000003</v>
      </c>
      <c r="P971">
        <v>8.1852389999999997E-2</v>
      </c>
      <c r="Q971">
        <v>-0.1398662</v>
      </c>
      <c r="R971">
        <v>-0.98678169999999998</v>
      </c>
      <c r="S971">
        <v>-0.1864624</v>
      </c>
      <c r="T971">
        <v>-0.1323453</v>
      </c>
      <c r="U971">
        <v>-3.0317690000000002</v>
      </c>
      <c r="V971">
        <v>-8.8571979999999995E-2</v>
      </c>
      <c r="W971">
        <v>-0.12595149999999999</v>
      </c>
      <c r="X971">
        <v>0.98807449999999997</v>
      </c>
      <c r="Y971">
        <v>5.475476E-2</v>
      </c>
      <c r="Z971">
        <v>2.9604789999999999E-2</v>
      </c>
      <c r="AA971">
        <v>0.99806090000000003</v>
      </c>
      <c r="AB971">
        <v>26</v>
      </c>
      <c r="AC971">
        <v>-1.5498000000000001</v>
      </c>
      <c r="AD971">
        <v>-1.108550932859</v>
      </c>
      <c r="AE971">
        <v>-23.8250999999999</v>
      </c>
      <c r="AF971">
        <v>1.38965961892428</v>
      </c>
      <c r="AG971">
        <v>-1.108550932859</v>
      </c>
      <c r="AH971">
        <v>23.783529400679601</v>
      </c>
      <c r="AI971">
        <v>92.664089217114594</v>
      </c>
      <c r="AJ971">
        <v>86.656038497713695</v>
      </c>
      <c r="AK971">
        <v>23.849870225646999</v>
      </c>
      <c r="AL971">
        <v>97.235707038138898</v>
      </c>
      <c r="AM971">
        <v>95.122359631833206</v>
      </c>
      <c r="AN971">
        <v>0.99999999677180995</v>
      </c>
    </row>
    <row r="972" spans="1:40" x14ac:dyDescent="0.25">
      <c r="A972" t="str">
        <f>"20190305135558606"</f>
        <v>20190305135558606</v>
      </c>
      <c r="B972" t="str">
        <f>"1551765358602519"</f>
        <v>1551765358602519</v>
      </c>
      <c r="C972" t="s">
        <v>40</v>
      </c>
      <c r="D972">
        <v>4.7821699999999998</v>
      </c>
      <c r="E972">
        <v>0.4770025</v>
      </c>
      <c r="F972" t="s">
        <v>42</v>
      </c>
      <c r="G972">
        <v>-188.11070000000001</v>
      </c>
      <c r="H972" s="1">
        <v>-4.2161789999999996E-6</v>
      </c>
      <c r="I972">
        <v>308.67959999999999</v>
      </c>
      <c r="J972">
        <v>-190.62530000000001</v>
      </c>
      <c r="K972">
        <v>1.108527</v>
      </c>
      <c r="L972">
        <v>328.63569999999999</v>
      </c>
      <c r="M972">
        <v>-7.6396379999999998E-3</v>
      </c>
      <c r="N972">
        <v>-1.3939399999999999E-2</v>
      </c>
      <c r="O972">
        <v>-0.99987380000000003</v>
      </c>
      <c r="P972">
        <v>8.2290260000000004E-2</v>
      </c>
      <c r="Q972">
        <v>-0.14228450000000001</v>
      </c>
      <c r="R972">
        <v>-0.98639940000000004</v>
      </c>
      <c r="S972">
        <v>0.3708496</v>
      </c>
      <c r="T972">
        <v>-0.16368659999999999</v>
      </c>
      <c r="U972">
        <v>-2.986237</v>
      </c>
      <c r="V972">
        <v>-9.0043780000000004E-2</v>
      </c>
      <c r="W972">
        <v>-0.1283764</v>
      </c>
      <c r="X972">
        <v>0.98762930000000004</v>
      </c>
      <c r="Y972">
        <v>-0.13065570000000001</v>
      </c>
      <c r="Z972">
        <v>4.0356169999999997E-2</v>
      </c>
      <c r="AA972">
        <v>0.99060610000000004</v>
      </c>
      <c r="AB972">
        <v>26</v>
      </c>
      <c r="AC972">
        <v>2.5146000000000002</v>
      </c>
      <c r="AD972">
        <v>-1.108531216179</v>
      </c>
      <c r="AE972">
        <v>-19.9560999999999</v>
      </c>
      <c r="AF972">
        <v>-2.6589225434422499</v>
      </c>
      <c r="AG972">
        <v>-1.108531216179</v>
      </c>
      <c r="AH972">
        <v>19.8759337054756</v>
      </c>
      <c r="AI972">
        <v>93.164094991019397</v>
      </c>
      <c r="AJ972">
        <v>97.619560802378004</v>
      </c>
      <c r="AK972">
        <v>20.083611508235499</v>
      </c>
      <c r="AL972">
        <v>97.375780684042894</v>
      </c>
      <c r="AM972">
        <v>95.209348033930894</v>
      </c>
      <c r="AN972">
        <v>1.0000000083060601</v>
      </c>
    </row>
    <row r="973" spans="1:40" x14ac:dyDescent="0.25">
      <c r="A973" t="str">
        <f>"20190305135558626"</f>
        <v>20190305135558626</v>
      </c>
      <c r="B973" t="str">
        <f>"1551765358623016"</f>
        <v>1551765358623016</v>
      </c>
      <c r="C973" t="s">
        <v>40</v>
      </c>
      <c r="D973">
        <v>4.7635050000000003</v>
      </c>
      <c r="E973">
        <v>0.47344209999999898</v>
      </c>
      <c r="F973" t="s">
        <v>42</v>
      </c>
      <c r="G973">
        <v>-188.37880000000001</v>
      </c>
      <c r="H973" s="1">
        <v>-2.2445790000000001E-6</v>
      </c>
      <c r="I973">
        <v>313.77120000000002</v>
      </c>
      <c r="J973">
        <v>-190.6283</v>
      </c>
      <c r="K973">
        <v>1.1085100000000001</v>
      </c>
      <c r="L973">
        <v>328.38639999999998</v>
      </c>
      <c r="M973">
        <v>-8.62487199999999E-3</v>
      </c>
      <c r="N973">
        <v>-1.3936179999999999E-2</v>
      </c>
      <c r="O973">
        <v>-0.99986589999999997</v>
      </c>
      <c r="P973">
        <v>8.3382040000000004E-2</v>
      </c>
      <c r="Q973">
        <v>-0.1446075</v>
      </c>
      <c r="R973">
        <v>-0.98596989999999995</v>
      </c>
      <c r="S973">
        <v>0.44915769999999999</v>
      </c>
      <c r="T973">
        <v>-0.22163389999999999</v>
      </c>
      <c r="U973">
        <v>-2.971924</v>
      </c>
      <c r="V973">
        <v>-9.2108620000000002E-2</v>
      </c>
      <c r="W973">
        <v>-0.13070509999999999</v>
      </c>
      <c r="X973">
        <v>0.98713329999999999</v>
      </c>
      <c r="Y973">
        <v>-0.15759860000000001</v>
      </c>
      <c r="Z973">
        <v>5.9571539999999999E-2</v>
      </c>
      <c r="AA973">
        <v>0.98570480000000005</v>
      </c>
      <c r="AB973">
        <v>26</v>
      </c>
      <c r="AC973">
        <v>2.2494999999999798</v>
      </c>
      <c r="AD973">
        <v>-1.1085122445790001</v>
      </c>
      <c r="AE973">
        <v>-14.6151999999999</v>
      </c>
      <c r="AF973">
        <v>-2.3622081656807299</v>
      </c>
      <c r="AG973">
        <v>-1.1085122445790001</v>
      </c>
      <c r="AH973">
        <v>14.513692049718401</v>
      </c>
      <c r="AI973">
        <v>94.311091237275605</v>
      </c>
      <c r="AJ973">
        <v>99.244244109453703</v>
      </c>
      <c r="AK973">
        <v>14.746392227539999</v>
      </c>
      <c r="AL973">
        <v>97.510339338056397</v>
      </c>
      <c r="AM973">
        <v>95.330788166989095</v>
      </c>
      <c r="AN973">
        <v>0.99999998650660205</v>
      </c>
    </row>
    <row r="974" spans="1:40" x14ac:dyDescent="0.25">
      <c r="A974" t="str">
        <f>"20190305135558649"</f>
        <v>20190305135558649</v>
      </c>
      <c r="B974" t="str">
        <f>"1551765358642535"</f>
        <v>1551765358642535</v>
      </c>
      <c r="C974" t="s">
        <v>40</v>
      </c>
      <c r="D974">
        <v>4.9832640000000001</v>
      </c>
      <c r="E974">
        <v>0.47149010000000002</v>
      </c>
      <c r="F974" t="s">
        <v>42</v>
      </c>
      <c r="G974">
        <v>-188.44110000000001</v>
      </c>
      <c r="H974" s="1">
        <v>-2.74592E-6</v>
      </c>
      <c r="I974">
        <v>314.85520000000002</v>
      </c>
      <c r="J974">
        <v>-190.63149999999999</v>
      </c>
      <c r="K974">
        <v>1.108498</v>
      </c>
      <c r="L974">
        <v>328.14319999999998</v>
      </c>
      <c r="M974">
        <v>-9.5930949999999994E-3</v>
      </c>
      <c r="N974">
        <v>-1.393289E-2</v>
      </c>
      <c r="O974">
        <v>-0.99985710000000005</v>
      </c>
      <c r="P974">
        <v>8.3117460000000004E-2</v>
      </c>
      <c r="Q974">
        <v>-0.14547869999999999</v>
      </c>
      <c r="R974">
        <v>-0.98586419999999997</v>
      </c>
      <c r="S974">
        <v>0.47949219999999998</v>
      </c>
      <c r="T974">
        <v>-0.24301800000000001</v>
      </c>
      <c r="U974">
        <v>-2.966431</v>
      </c>
      <c r="V974">
        <v>-9.2799590000000001E-2</v>
      </c>
      <c r="W974">
        <v>-0.13158010000000001</v>
      </c>
      <c r="X974">
        <v>0.9869523</v>
      </c>
      <c r="Y974">
        <v>-0.16856650000000001</v>
      </c>
      <c r="Z974">
        <v>6.6634799999999994E-2</v>
      </c>
      <c r="AA974">
        <v>0.98343539999999996</v>
      </c>
      <c r="AB974">
        <v>26</v>
      </c>
      <c r="AC974">
        <v>2.1903999999999799</v>
      </c>
      <c r="AD974">
        <v>-1.10850074592</v>
      </c>
      <c r="AE974">
        <v>-13.287999999999901</v>
      </c>
      <c r="AF974">
        <v>-2.3021872642551502</v>
      </c>
      <c r="AG974">
        <v>-1.10850074592</v>
      </c>
      <c r="AH974">
        <v>13.177098818704099</v>
      </c>
      <c r="AI974">
        <v>94.737165848189207</v>
      </c>
      <c r="AJ974">
        <v>99.910191574876393</v>
      </c>
      <c r="AK974">
        <v>13.4225472016788</v>
      </c>
      <c r="AL974">
        <v>97.560910066436094</v>
      </c>
      <c r="AM974">
        <v>95.371524267625503</v>
      </c>
      <c r="AN974">
        <v>0.99999996454773299</v>
      </c>
    </row>
    <row r="975" spans="1:40" x14ac:dyDescent="0.25">
      <c r="A975" t="str">
        <f>"20190305135558671"</f>
        <v>20190305135558671</v>
      </c>
      <c r="B975" t="str">
        <f>"1551765358663031"</f>
        <v>1551765358663031</v>
      </c>
      <c r="C975" t="s">
        <v>40</v>
      </c>
      <c r="D975">
        <v>4.7703829999999998</v>
      </c>
      <c r="E975">
        <v>0.47083710000000001</v>
      </c>
      <c r="F975" t="s">
        <v>42</v>
      </c>
      <c r="G975">
        <v>-188.48519999999999</v>
      </c>
      <c r="H975" s="1">
        <v>-2.928185E-6</v>
      </c>
      <c r="I975">
        <v>315.25740000000002</v>
      </c>
      <c r="J975">
        <v>-190.6352</v>
      </c>
      <c r="K975">
        <v>1.1084889999999901</v>
      </c>
      <c r="L975">
        <v>327.88080000000002</v>
      </c>
      <c r="M975">
        <v>-1.064065E-2</v>
      </c>
      <c r="N975">
        <v>-1.392941E-2</v>
      </c>
      <c r="O975">
        <v>-0.99984640000000002</v>
      </c>
      <c r="P975">
        <v>8.349819E-2</v>
      </c>
      <c r="Q975">
        <v>-0.14660100000000001</v>
      </c>
      <c r="R975">
        <v>-0.98566540000000002</v>
      </c>
      <c r="S975">
        <v>0.4936371</v>
      </c>
      <c r="T975">
        <v>-0.25495659999999998</v>
      </c>
      <c r="U975">
        <v>-2.9637760000000002</v>
      </c>
      <c r="V975">
        <v>-9.4213549999999993E-2</v>
      </c>
      <c r="W975">
        <v>-0.13270670000000001</v>
      </c>
      <c r="X975">
        <v>0.98666750000000003</v>
      </c>
      <c r="Y975">
        <v>-0.1742523</v>
      </c>
      <c r="Z975">
        <v>7.056817E-2</v>
      </c>
      <c r="AA975">
        <v>0.98216919999999996</v>
      </c>
      <c r="AB975">
        <v>26</v>
      </c>
      <c r="AC975">
        <v>2.15</v>
      </c>
      <c r="AD975">
        <v>-1.1084919281850001</v>
      </c>
      <c r="AE975">
        <v>-12.6234</v>
      </c>
      <c r="AF975">
        <v>-2.26722269180084</v>
      </c>
      <c r="AG975">
        <v>-1.1084919281850001</v>
      </c>
      <c r="AH975">
        <v>12.506089326586199</v>
      </c>
      <c r="AI975">
        <v>94.984414503476899</v>
      </c>
      <c r="AJ975">
        <v>100.27552187345201</v>
      </c>
      <c r="AK975">
        <v>12.7581865221364</v>
      </c>
      <c r="AL975">
        <v>97.626030228333207</v>
      </c>
      <c r="AM975">
        <v>95.4544434334111</v>
      </c>
      <c r="AN975">
        <v>1.0000000083923699</v>
      </c>
    </row>
    <row r="976" spans="1:40" x14ac:dyDescent="0.25">
      <c r="A976" t="str">
        <f>"20190305135558693"</f>
        <v>20190305135558693</v>
      </c>
      <c r="B976" t="str">
        <f>"1551765358682551"</f>
        <v>1551765358682551</v>
      </c>
      <c r="C976" t="s">
        <v>40</v>
      </c>
      <c r="D976">
        <v>4.7834729999999999</v>
      </c>
      <c r="E976">
        <v>0.4710261</v>
      </c>
      <c r="F976" t="s">
        <v>42</v>
      </c>
      <c r="G976">
        <v>-188.56110000000001</v>
      </c>
      <c r="H976" s="1">
        <v>-3.0652279999999998E-6</v>
      </c>
      <c r="I976">
        <v>315.57569999999998</v>
      </c>
      <c r="J976">
        <v>-190.63900000000001</v>
      </c>
      <c r="K976">
        <v>1.1084879999999999</v>
      </c>
      <c r="L976">
        <v>327.6277</v>
      </c>
      <c r="M976">
        <v>-1.165125E-2</v>
      </c>
      <c r="N976">
        <v>-1.392613E-2</v>
      </c>
      <c r="O976">
        <v>-0.99983520000000004</v>
      </c>
      <c r="P976">
        <v>8.3770010000000006E-2</v>
      </c>
      <c r="Q976">
        <v>-0.1470844</v>
      </c>
      <c r="R976">
        <v>-0.98557039999999996</v>
      </c>
      <c r="S976">
        <v>0.4991913</v>
      </c>
      <c r="T976">
        <v>-0.26679639999999999</v>
      </c>
      <c r="U976">
        <v>-2.9616389999999999</v>
      </c>
      <c r="V976">
        <v>-9.5481220000000006E-2</v>
      </c>
      <c r="W976">
        <v>-0.13319329999999999</v>
      </c>
      <c r="X976">
        <v>0.98648009999999997</v>
      </c>
      <c r="Y976">
        <v>-0.177098799999999</v>
      </c>
      <c r="Z976">
        <v>7.4491429999999997E-2</v>
      </c>
      <c r="AA976">
        <v>0.98136999999999996</v>
      </c>
      <c r="AB976">
        <v>26</v>
      </c>
      <c r="AC976">
        <v>2.0779000000000001</v>
      </c>
      <c r="AD976">
        <v>-1.108491065228</v>
      </c>
      <c r="AE976">
        <v>-12.052</v>
      </c>
      <c r="AF976">
        <v>-2.20011871876358</v>
      </c>
      <c r="AG976">
        <v>-1.108491065228</v>
      </c>
      <c r="AH976">
        <v>11.9289689661381</v>
      </c>
      <c r="AI976">
        <v>95.221360514108795</v>
      </c>
      <c r="AJ976">
        <v>100.449911015598</v>
      </c>
      <c r="AK976">
        <v>12.1807050458267</v>
      </c>
      <c r="AL976">
        <v>97.654159726077793</v>
      </c>
      <c r="AM976">
        <v>95.5284265219221</v>
      </c>
      <c r="AN976">
        <v>1.0000000531167901</v>
      </c>
    </row>
    <row r="977" spans="1:40" x14ac:dyDescent="0.25">
      <c r="A977" t="str">
        <f>"20190305135558715"</f>
        <v>20190305135558715</v>
      </c>
      <c r="B977" t="str">
        <f>"1551765358712807"</f>
        <v>1551765358712807</v>
      </c>
      <c r="C977" t="s">
        <v>40</v>
      </c>
      <c r="D977">
        <v>4.7344999999999997</v>
      </c>
      <c r="E977">
        <v>0.47078900000000001</v>
      </c>
      <c r="F977" t="s">
        <v>42</v>
      </c>
      <c r="G977">
        <v>-188.6224</v>
      </c>
      <c r="H977" s="1">
        <v>-3.0829819999999999E-6</v>
      </c>
      <c r="I977">
        <v>315.63630000000001</v>
      </c>
      <c r="J977">
        <v>-190.643</v>
      </c>
      <c r="K977">
        <v>1.108481</v>
      </c>
      <c r="L977">
        <v>327.3802</v>
      </c>
      <c r="M977">
        <v>-1.263835E-2</v>
      </c>
      <c r="N977">
        <v>-1.3923E-2</v>
      </c>
      <c r="O977">
        <v>-0.99982329999999997</v>
      </c>
      <c r="P977">
        <v>8.3425189999999996E-2</v>
      </c>
      <c r="Q977">
        <v>-0.14728929999999901</v>
      </c>
      <c r="R977">
        <v>-0.98556909999999998</v>
      </c>
      <c r="S977">
        <v>0.4979248</v>
      </c>
      <c r="T977">
        <v>-0.27368920000000002</v>
      </c>
      <c r="U977">
        <v>-2.9607239999999999</v>
      </c>
      <c r="V977">
        <v>-9.6108819999999998E-2</v>
      </c>
      <c r="W977">
        <v>-0.1334012</v>
      </c>
      <c r="X977">
        <v>0.98639100000000002</v>
      </c>
      <c r="Y977">
        <v>-0.1776797</v>
      </c>
      <c r="Z977">
        <v>7.6784889999999995E-2</v>
      </c>
      <c r="AA977">
        <v>0.98108819999999997</v>
      </c>
      <c r="AB977">
        <v>26</v>
      </c>
      <c r="AC977">
        <v>2.0206</v>
      </c>
      <c r="AD977">
        <v>-1.108484082982</v>
      </c>
      <c r="AE977">
        <v>-11.743899999999901</v>
      </c>
      <c r="AF977">
        <v>-2.1502702890593799</v>
      </c>
      <c r="AG977">
        <v>-1.108484082982</v>
      </c>
      <c r="AH977">
        <v>11.6169018195279</v>
      </c>
      <c r="AI977">
        <v>95.360151078296198</v>
      </c>
      <c r="AJ977">
        <v>100.48667104675199</v>
      </c>
      <c r="AK977">
        <v>11.8661201394047</v>
      </c>
      <c r="AL977">
        <v>97.666179221723894</v>
      </c>
      <c r="AM977">
        <v>95.565037134315205</v>
      </c>
      <c r="AN977">
        <v>0.99999999516211602</v>
      </c>
    </row>
    <row r="978" spans="1:40" x14ac:dyDescent="0.25">
      <c r="A978" t="str">
        <f>"20190305135558737"</f>
        <v>20190305135558737</v>
      </c>
      <c r="B978" t="str">
        <f>"1551765358732327"</f>
        <v>1551765358732327</v>
      </c>
      <c r="C978" t="s">
        <v>40</v>
      </c>
      <c r="D978">
        <v>4.9775580000000001</v>
      </c>
      <c r="E978">
        <v>0.47064549999999999</v>
      </c>
      <c r="F978" t="s">
        <v>42</v>
      </c>
      <c r="G978">
        <v>-188.65700000000001</v>
      </c>
      <c r="H978" s="1">
        <v>-3.054248E-6</v>
      </c>
      <c r="I978">
        <v>315.58850000000001</v>
      </c>
      <c r="J978">
        <v>-190.6472</v>
      </c>
      <c r="K978">
        <v>1.1084769999999999</v>
      </c>
      <c r="L978">
        <v>327.13619999999997</v>
      </c>
      <c r="M978">
        <v>-1.3607899999999999E-2</v>
      </c>
      <c r="N978">
        <v>-1.391993E-2</v>
      </c>
      <c r="O978">
        <v>-0.99981059999999999</v>
      </c>
      <c r="P978">
        <v>8.2686270000000006E-2</v>
      </c>
      <c r="Q978">
        <v>-0.14839820000000001</v>
      </c>
      <c r="R978">
        <v>-0.98546529999999999</v>
      </c>
      <c r="S978">
        <v>0.49858089999999999</v>
      </c>
      <c r="T978">
        <v>-0.27827069999999998</v>
      </c>
      <c r="U978">
        <v>-2.960175</v>
      </c>
      <c r="V978">
        <v>-9.6324170000000001E-2</v>
      </c>
      <c r="W978">
        <v>-0.13451560000000001</v>
      </c>
      <c r="X978">
        <v>0.98621859999999995</v>
      </c>
      <c r="Y978">
        <v>-0.1788526</v>
      </c>
      <c r="Z978">
        <v>7.8296909999999997E-2</v>
      </c>
      <c r="AA978">
        <v>0.9807555</v>
      </c>
      <c r="AB978">
        <v>26</v>
      </c>
      <c r="AC978">
        <v>1.99019999999998</v>
      </c>
      <c r="AD978">
        <v>-1.108480054248</v>
      </c>
      <c r="AE978">
        <v>-11.547699999999899</v>
      </c>
      <c r="AF978">
        <v>-2.1281271918215299</v>
      </c>
      <c r="AG978">
        <v>-1.108480054248</v>
      </c>
      <c r="AH978">
        <v>11.4173765252101</v>
      </c>
      <c r="AI978">
        <v>95.451982795803104</v>
      </c>
      <c r="AJ978">
        <v>100.558410113139</v>
      </c>
      <c r="AK978">
        <v>11.666796479482</v>
      </c>
      <c r="AL978">
        <v>97.730610638976898</v>
      </c>
      <c r="AM978">
        <v>95.578396951749696</v>
      </c>
      <c r="AN978">
        <v>0.99999995967775301</v>
      </c>
    </row>
    <row r="979" spans="1:40" x14ac:dyDescent="0.25">
      <c r="A979" t="str">
        <f>"20190305135558759"</f>
        <v>20190305135558759</v>
      </c>
      <c r="B979" t="str">
        <f>"1551765358752822"</f>
        <v>1551765358752822</v>
      </c>
      <c r="C979" t="s">
        <v>40</v>
      </c>
      <c r="D979">
        <v>4.8522800000000004</v>
      </c>
      <c r="E979">
        <v>0.4707983</v>
      </c>
      <c r="F979" t="s">
        <v>42</v>
      </c>
      <c r="G979">
        <v>-188.7</v>
      </c>
      <c r="H979" s="1">
        <v>-3.027973E-6</v>
      </c>
      <c r="I979">
        <v>315.54899999999998</v>
      </c>
      <c r="J979">
        <v>-190.65190000000001</v>
      </c>
      <c r="K979">
        <v>1.1084689999999999</v>
      </c>
      <c r="L979">
        <v>326.87959999999998</v>
      </c>
      <c r="M979">
        <v>-1.4617399999999999E-2</v>
      </c>
      <c r="N979">
        <v>-1.391676E-2</v>
      </c>
      <c r="O979">
        <v>-0.99979649999999998</v>
      </c>
      <c r="P979">
        <v>8.1982959999999994E-2</v>
      </c>
      <c r="Q979">
        <v>-0.14984439999999999</v>
      </c>
      <c r="R979">
        <v>-0.98530510000000004</v>
      </c>
      <c r="S979">
        <v>0.49740600000000001</v>
      </c>
      <c r="T979">
        <v>-0.2831552</v>
      </c>
      <c r="U979">
        <v>-2.9598689999999999</v>
      </c>
      <c r="V979">
        <v>-9.6613320000000003E-2</v>
      </c>
      <c r="W979">
        <v>-0.13596900000000001</v>
      </c>
      <c r="X979">
        <v>0.98599099999999995</v>
      </c>
      <c r="Y979">
        <v>-0.17946010000000001</v>
      </c>
      <c r="Z979">
        <v>7.9909880000000003E-2</v>
      </c>
      <c r="AA979">
        <v>0.98051440000000001</v>
      </c>
      <c r="AB979">
        <v>25</v>
      </c>
      <c r="AC979">
        <v>1.95190000000002</v>
      </c>
      <c r="AD979">
        <v>-1.108472027973</v>
      </c>
      <c r="AE979">
        <v>-11.330599999999899</v>
      </c>
      <c r="AF979">
        <v>-2.0978322784015799</v>
      </c>
      <c r="AG979">
        <v>-1.108472027973</v>
      </c>
      <c r="AH979">
        <v>11.1967821970914</v>
      </c>
      <c r="AI979">
        <v>95.557725149956099</v>
      </c>
      <c r="AJ979">
        <v>100.611921747069</v>
      </c>
      <c r="AK979">
        <v>11.445415766769001</v>
      </c>
      <c r="AL979">
        <v>97.814656364185893</v>
      </c>
      <c r="AM979">
        <v>95.596319652144004</v>
      </c>
      <c r="AN979">
        <v>0.99999997732171098</v>
      </c>
    </row>
    <row r="980" spans="1:40" x14ac:dyDescent="0.25">
      <c r="A980" t="str">
        <f>"20190305135558782"</f>
        <v>20190305135558782</v>
      </c>
      <c r="B980" t="str">
        <f>"1551765358772343"</f>
        <v>1551765358772343</v>
      </c>
      <c r="C980" t="s">
        <v>40</v>
      </c>
      <c r="D980">
        <v>4.8958930000000001</v>
      </c>
      <c r="E980">
        <v>0.47089550000000002</v>
      </c>
      <c r="F980" t="s">
        <v>42</v>
      </c>
      <c r="G980">
        <v>-188.76150000000001</v>
      </c>
      <c r="H980" s="1">
        <v>-3.01603E-6</v>
      </c>
      <c r="I980">
        <v>315.54680000000002</v>
      </c>
      <c r="J980">
        <v>-190.65690000000001</v>
      </c>
      <c r="K980">
        <v>1.1084689999999999</v>
      </c>
      <c r="L980">
        <v>326.61599999999999</v>
      </c>
      <c r="M980">
        <v>-1.5640049999999999E-2</v>
      </c>
      <c r="N980">
        <v>-1.3913490000000001E-2</v>
      </c>
      <c r="O980">
        <v>-0.99978120000000004</v>
      </c>
      <c r="P980">
        <v>8.0367629999999995E-2</v>
      </c>
      <c r="Q980">
        <v>-0.15151789999999901</v>
      </c>
      <c r="R980">
        <v>-0.98518220000000001</v>
      </c>
      <c r="S980">
        <v>0.49369809999999997</v>
      </c>
      <c r="T980">
        <v>-0.28948659999999998</v>
      </c>
      <c r="U980">
        <v>-2.9596559999999998</v>
      </c>
      <c r="V980">
        <v>-9.600214E-2</v>
      </c>
      <c r="W980">
        <v>-0.137652</v>
      </c>
      <c r="X980">
        <v>0.98581719999999895</v>
      </c>
      <c r="Y980">
        <v>-0.17925239999999901</v>
      </c>
      <c r="Z980">
        <v>8.2008590000000006E-2</v>
      </c>
      <c r="AA980">
        <v>0.98037909999999995</v>
      </c>
      <c r="AB980">
        <v>25</v>
      </c>
      <c r="AC980">
        <v>1.89539999999999</v>
      </c>
      <c r="AD980">
        <v>-1.1084720160299999</v>
      </c>
      <c r="AE980">
        <v>-11.069199999999899</v>
      </c>
      <c r="AF980">
        <v>-2.0483517837807899</v>
      </c>
      <c r="AG980">
        <v>-1.1084720160299999</v>
      </c>
      <c r="AH980">
        <v>10.9316977305976</v>
      </c>
      <c r="AI980">
        <v>95.691603360965203</v>
      </c>
      <c r="AJ980">
        <v>100.612862573315</v>
      </c>
      <c r="AK980">
        <v>11.1770510651778</v>
      </c>
      <c r="AL980">
        <v>97.912000156053594</v>
      </c>
      <c r="AM980">
        <v>95.562114003034196</v>
      </c>
      <c r="AN980">
        <v>1.0000000179021999</v>
      </c>
    </row>
    <row r="981" spans="1:40" x14ac:dyDescent="0.25">
      <c r="A981" t="str">
        <f>"20190305135558807"</f>
        <v>20190305135558807</v>
      </c>
      <c r="B981" t="str">
        <f>"1551765358802599"</f>
        <v>1551765358802599</v>
      </c>
      <c r="C981" t="s">
        <v>40</v>
      </c>
      <c r="D981">
        <v>4.7457989999999999</v>
      </c>
      <c r="E981">
        <v>0.47045809999999999</v>
      </c>
      <c r="F981" t="s">
        <v>42</v>
      </c>
      <c r="G981">
        <v>-188.83170000000001</v>
      </c>
      <c r="H981" s="1">
        <v>-3.002075E-6</v>
      </c>
      <c r="I981">
        <v>315.5437</v>
      </c>
      <c r="J981">
        <v>-190.6626</v>
      </c>
      <c r="K981">
        <v>1.1084769999999999</v>
      </c>
      <c r="L981">
        <v>326.3356</v>
      </c>
      <c r="M981">
        <v>-1.6709499999999999E-2</v>
      </c>
      <c r="N981">
        <v>-1.3909950000000001E-2</v>
      </c>
      <c r="O981">
        <v>-0.99976399999999999</v>
      </c>
      <c r="P981">
        <v>7.7610029999999997E-2</v>
      </c>
      <c r="Q981">
        <v>-0.152753799999999</v>
      </c>
      <c r="R981">
        <v>-0.98521230000000004</v>
      </c>
      <c r="S981">
        <v>0.48791499999999999</v>
      </c>
      <c r="T981">
        <v>-0.29630790000000001</v>
      </c>
      <c r="U981">
        <v>-2.959778</v>
      </c>
      <c r="V981">
        <v>-9.4294569999999994E-2</v>
      </c>
      <c r="W981">
        <v>-0.13889799999999999</v>
      </c>
      <c r="X981">
        <v>0.98580719999999999</v>
      </c>
      <c r="Y981">
        <v>-0.178400799999999</v>
      </c>
      <c r="Z981">
        <v>8.4268040000000002E-2</v>
      </c>
      <c r="AA981">
        <v>0.98034279999999996</v>
      </c>
      <c r="AB981">
        <v>25</v>
      </c>
      <c r="AC981">
        <v>1.83089999999998</v>
      </c>
      <c r="AD981">
        <v>-1.1084800020750001</v>
      </c>
      <c r="AE981">
        <v>-10.791899999999901</v>
      </c>
      <c r="AF981">
        <v>-1.9905755883272001</v>
      </c>
      <c r="AG981">
        <v>-1.1084800020750001</v>
      </c>
      <c r="AH981">
        <v>10.6505748645169</v>
      </c>
      <c r="AI981">
        <v>95.841352329773102</v>
      </c>
      <c r="AJ981">
        <v>100.586354132507</v>
      </c>
      <c r="AK981">
        <v>10.8915501207369</v>
      </c>
      <c r="AL981">
        <v>97.984083460306493</v>
      </c>
      <c r="AM981">
        <v>95.463840985261697</v>
      </c>
      <c r="AN981">
        <v>0.99999997795366202</v>
      </c>
    </row>
    <row r="982" spans="1:40" x14ac:dyDescent="0.25">
      <c r="A982" t="str">
        <f>"20190305135558830"</f>
        <v>20190305135558830</v>
      </c>
      <c r="B982" t="str">
        <f>"1551765358823096"</f>
        <v>1551765358823096</v>
      </c>
      <c r="C982" t="s">
        <v>40</v>
      </c>
      <c r="D982">
        <v>5.0143959999999996</v>
      </c>
      <c r="E982">
        <v>0.47043309999999999</v>
      </c>
      <c r="F982" t="s">
        <v>42</v>
      </c>
      <c r="G982">
        <v>-188.87880000000001</v>
      </c>
      <c r="H982" s="1">
        <v>-2.9305050000000001E-6</v>
      </c>
      <c r="I982">
        <v>315.40989999999999</v>
      </c>
      <c r="J982">
        <v>-190.66810000000001</v>
      </c>
      <c r="K982">
        <v>1.108495</v>
      </c>
      <c r="L982">
        <v>326.07429999999999</v>
      </c>
      <c r="M982">
        <v>-1.7687109999999999E-2</v>
      </c>
      <c r="N982">
        <v>-1.390651E-2</v>
      </c>
      <c r="O982">
        <v>-0.99974669999999999</v>
      </c>
      <c r="P982">
        <v>7.3967329999999998E-2</v>
      </c>
      <c r="Q982">
        <v>-0.1531159</v>
      </c>
      <c r="R982">
        <v>-0.98543610000000004</v>
      </c>
      <c r="S982">
        <v>0.48333739999999997</v>
      </c>
      <c r="T982">
        <v>-0.3003497</v>
      </c>
      <c r="U982">
        <v>-2.960388</v>
      </c>
      <c r="V982">
        <v>-9.1613769999999997E-2</v>
      </c>
      <c r="W982">
        <v>-0.13926859999999999</v>
      </c>
      <c r="X982">
        <v>0.98600770000000004</v>
      </c>
      <c r="Y982">
        <v>-0.17783479999999999</v>
      </c>
      <c r="Z982">
        <v>8.5592340000000003E-2</v>
      </c>
      <c r="AA982">
        <v>0.98033090000000001</v>
      </c>
      <c r="AB982">
        <v>25</v>
      </c>
      <c r="AC982">
        <v>1.7892999999999899</v>
      </c>
      <c r="AD982">
        <v>-1.108497930505</v>
      </c>
      <c r="AE982">
        <v>-10.664400000000001</v>
      </c>
      <c r="AF982">
        <v>-1.95709463802478</v>
      </c>
      <c r="AG982">
        <v>-1.108497930505</v>
      </c>
      <c r="AH982">
        <v>10.520526072142401</v>
      </c>
      <c r="AI982">
        <v>95.914069001513298</v>
      </c>
      <c r="AJ982">
        <v>100.53806494612</v>
      </c>
      <c r="AK982">
        <v>10.7582738354602</v>
      </c>
      <c r="AL982">
        <v>98.005525461505499</v>
      </c>
      <c r="AM982">
        <v>95.308330805282296</v>
      </c>
      <c r="AN982">
        <v>1.00000000512943</v>
      </c>
    </row>
    <row r="983" spans="1:40" x14ac:dyDescent="0.25">
      <c r="A983" t="str">
        <f>"20190305135558851"</f>
        <v>20190305135558851</v>
      </c>
      <c r="B983" t="str">
        <f>"1551765358842615"</f>
        <v>1551765358842615</v>
      </c>
      <c r="C983" t="s">
        <v>40</v>
      </c>
      <c r="D983">
        <v>5.1320550000000003</v>
      </c>
      <c r="E983">
        <v>0.54095459999999995</v>
      </c>
      <c r="F983" t="s">
        <v>42</v>
      </c>
      <c r="G983">
        <v>-188.92959999999999</v>
      </c>
      <c r="H983" s="1">
        <v>-2.8091459999999999E-6</v>
      </c>
      <c r="I983">
        <v>315.17230000000001</v>
      </c>
      <c r="J983">
        <v>-190.67330000000001</v>
      </c>
      <c r="K983">
        <v>1.108503</v>
      </c>
      <c r="L983">
        <v>325.83710000000002</v>
      </c>
      <c r="M983">
        <v>-1.8556940000000001E-2</v>
      </c>
      <c r="N983">
        <v>-1.390366E-2</v>
      </c>
      <c r="O983">
        <v>-0.99973120000000004</v>
      </c>
      <c r="P983">
        <v>6.9124710000000006E-2</v>
      </c>
      <c r="Q983">
        <v>-0.15258869999999999</v>
      </c>
      <c r="R983">
        <v>-0.98586960000000001</v>
      </c>
      <c r="S983">
        <v>0.47233579999999997</v>
      </c>
      <c r="T983">
        <v>-0.30117650000000001</v>
      </c>
      <c r="U983">
        <v>-2.9620669999999998</v>
      </c>
      <c r="V983">
        <v>-8.7630639999999996E-2</v>
      </c>
      <c r="W983">
        <v>-0.1387475</v>
      </c>
      <c r="X983">
        <v>0.98644310000000002</v>
      </c>
      <c r="Y983">
        <v>-0.17505129999999999</v>
      </c>
      <c r="Z983">
        <v>8.5862540000000001E-2</v>
      </c>
      <c r="AA983">
        <v>0.98080809999999996</v>
      </c>
      <c r="AB983">
        <v>25</v>
      </c>
      <c r="AC983">
        <v>1.74370000000001</v>
      </c>
      <c r="AD983">
        <v>-1.1085058091460001</v>
      </c>
      <c r="AE983">
        <v>-10.6648</v>
      </c>
      <c r="AF983">
        <v>-1.9211102391923001</v>
      </c>
      <c r="AG983">
        <v>-1.1085058091460001</v>
      </c>
      <c r="AH983">
        <v>10.5199080771262</v>
      </c>
      <c r="AI983">
        <v>95.918026225493605</v>
      </c>
      <c r="AJ983">
        <v>100.349124434354</v>
      </c>
      <c r="AK983">
        <v>10.7511820573937</v>
      </c>
      <c r="AL983">
        <v>97.975376008133694</v>
      </c>
      <c r="AM983">
        <v>95.076542554664599</v>
      </c>
      <c r="AN983">
        <v>0.99999999368033399</v>
      </c>
    </row>
    <row r="984" spans="1:40" x14ac:dyDescent="0.25">
      <c r="A984" t="str">
        <f>"20190305135558872"</f>
        <v>20190305135558872</v>
      </c>
      <c r="B984" t="str">
        <f>"1551765358863112"</f>
        <v>1551765358863112</v>
      </c>
      <c r="C984" t="s">
        <v>40</v>
      </c>
      <c r="D984">
        <v>5.0372209999999997</v>
      </c>
      <c r="E984">
        <v>0.61411369999999998</v>
      </c>
      <c r="F984" t="s">
        <v>41</v>
      </c>
      <c r="G984">
        <v>-190.70419999999999</v>
      </c>
      <c r="H984">
        <v>1.0368360000000001</v>
      </c>
      <c r="I984">
        <v>324.89749999999998</v>
      </c>
      <c r="J984">
        <v>-190.6789</v>
      </c>
      <c r="K984">
        <v>1.1085119999999999</v>
      </c>
      <c r="L984">
        <v>325.59190000000001</v>
      </c>
      <c r="M984">
        <v>-1.944245E-2</v>
      </c>
      <c r="N984">
        <v>-1.3900620000000001E-2</v>
      </c>
      <c r="O984">
        <v>-0.9997144</v>
      </c>
      <c r="P984">
        <v>6.239049E-2</v>
      </c>
      <c r="Q984">
        <v>-0.15365860000000001</v>
      </c>
      <c r="R984">
        <v>-0.98615240000000004</v>
      </c>
      <c r="S984">
        <v>-9.8800659999999998E-2</v>
      </c>
      <c r="T984">
        <v>-0.22996040000000001</v>
      </c>
      <c r="U984">
        <v>-3.014313</v>
      </c>
      <c r="V984">
        <v>-8.1773150000000003E-2</v>
      </c>
      <c r="W984">
        <v>-0.13982729999999999</v>
      </c>
      <c r="X984">
        <v>0.98679349999999999</v>
      </c>
      <c r="Y984">
        <v>1.324781E-2</v>
      </c>
      <c r="Z984">
        <v>6.2160029999999998E-2</v>
      </c>
      <c r="AA984">
        <v>0.99797829999999998</v>
      </c>
      <c r="AB984">
        <v>25</v>
      </c>
      <c r="AC984">
        <v>-2.5299999999987201E-2</v>
      </c>
      <c r="AD984">
        <v>-7.1676000000000004E-2</v>
      </c>
      <c r="AE984">
        <v>-0.69440000000002999</v>
      </c>
      <c r="AF984">
        <v>1.16689155544967E-2</v>
      </c>
      <c r="AG984">
        <v>-7.1676000000000004E-2</v>
      </c>
      <c r="AH984">
        <v>0.68744605878797704</v>
      </c>
      <c r="AI984">
        <v>95.951538977181997</v>
      </c>
      <c r="AJ984">
        <v>89.027537646909593</v>
      </c>
      <c r="AK984">
        <v>0.69127107295860502</v>
      </c>
      <c r="AL984">
        <v>98.037853238296805</v>
      </c>
      <c r="AM984">
        <v>94.737136743516402</v>
      </c>
      <c r="AN984">
        <v>0.99999996676422997</v>
      </c>
    </row>
    <row r="985" spans="1:40" x14ac:dyDescent="0.25">
      <c r="A985" t="str">
        <f>"20190305135558894"</f>
        <v>20190305135558894</v>
      </c>
      <c r="B985" t="str">
        <f>"1551765358882631"</f>
        <v>1551765358882631</v>
      </c>
      <c r="C985" t="s">
        <v>40</v>
      </c>
      <c r="D985">
        <v>5.0023589999999896</v>
      </c>
      <c r="E985">
        <v>0.62117009999999995</v>
      </c>
      <c r="F985" t="s">
        <v>42</v>
      </c>
      <c r="G985">
        <v>-195.99680000000001</v>
      </c>
      <c r="H985" s="1">
        <v>-2.7081419999999998E-6</v>
      </c>
      <c r="I985">
        <v>302.1825</v>
      </c>
      <c r="J985">
        <v>-190.6848</v>
      </c>
      <c r="K985">
        <v>1.108517</v>
      </c>
      <c r="L985">
        <v>325.34449999999998</v>
      </c>
      <c r="M985">
        <v>-2.0322750000000001E-2</v>
      </c>
      <c r="N985">
        <v>-1.389749E-2</v>
      </c>
      <c r="O985">
        <v>-0.99969699999999995</v>
      </c>
      <c r="P985">
        <v>5.5501790000000002E-2</v>
      </c>
      <c r="Q985">
        <v>-0.15468959999999901</v>
      </c>
      <c r="R985">
        <v>-0.98640320000000004</v>
      </c>
      <c r="S985">
        <v>-0.69595340000000006</v>
      </c>
      <c r="T985">
        <v>-0.1450717</v>
      </c>
      <c r="U985">
        <v>-3.063599</v>
      </c>
      <c r="V985">
        <v>-7.5755829999999996E-2</v>
      </c>
      <c r="W985">
        <v>-0.14086799999999999</v>
      </c>
      <c r="X985">
        <v>0.98712580000000005</v>
      </c>
      <c r="Y985">
        <v>0.2014601</v>
      </c>
      <c r="Z985">
        <v>3.2358360000000003E-2</v>
      </c>
      <c r="AA985">
        <v>0.97896209999999995</v>
      </c>
      <c r="AB985">
        <v>25</v>
      </c>
      <c r="AC985">
        <v>-5.31200000000001</v>
      </c>
      <c r="AD985">
        <v>-1.108519708142</v>
      </c>
      <c r="AE985">
        <v>-23.1619999999999</v>
      </c>
      <c r="AF985">
        <v>4.8296321607011397</v>
      </c>
      <c r="AG985">
        <v>-1.108519708142</v>
      </c>
      <c r="AH985">
        <v>23.214663642931999</v>
      </c>
      <c r="AI985">
        <v>92.6766204395052</v>
      </c>
      <c r="AJ985">
        <v>78.247693005560905</v>
      </c>
      <c r="AK985">
        <v>23.737623529020102</v>
      </c>
      <c r="AL985">
        <v>98.098076424623798</v>
      </c>
      <c r="AM985">
        <v>94.388496424843396</v>
      </c>
      <c r="AN985">
        <v>1.00000004211431</v>
      </c>
    </row>
    <row r="986" spans="1:40" x14ac:dyDescent="0.25">
      <c r="A986" t="str">
        <f>"20190305135558916"</f>
        <v>20190305135558916</v>
      </c>
      <c r="B986" t="str">
        <f>"1551765358912888"</f>
        <v>1551765358912888</v>
      </c>
      <c r="C986" t="s">
        <v>40</v>
      </c>
      <c r="D986">
        <v>4.9756210000000003</v>
      </c>
      <c r="E986">
        <v>0.6203651</v>
      </c>
      <c r="F986" t="s">
        <v>42</v>
      </c>
      <c r="G986">
        <v>-196.65010000000001</v>
      </c>
      <c r="H986" s="1">
        <v>-2.6826529999999999E-6</v>
      </c>
      <c r="I986">
        <v>301.71789999999999</v>
      </c>
      <c r="J986">
        <v>-190.6909</v>
      </c>
      <c r="K986">
        <v>1.1085130000000001</v>
      </c>
      <c r="L986">
        <v>325.09660000000002</v>
      </c>
      <c r="M986">
        <v>-2.119536E-2</v>
      </c>
      <c r="N986">
        <v>-1.389457E-2</v>
      </c>
      <c r="O986">
        <v>-0.99967890000000004</v>
      </c>
      <c r="P986">
        <v>4.8438790000000002E-2</v>
      </c>
      <c r="Q986">
        <v>-0.1562723</v>
      </c>
      <c r="R986">
        <v>-0.9865256</v>
      </c>
      <c r="S986">
        <v>-0.77317809999999998</v>
      </c>
      <c r="T986">
        <v>-0.14367820000000001</v>
      </c>
      <c r="U986">
        <v>-3.0623170000000002</v>
      </c>
      <c r="V986">
        <v>-6.9556679999999996E-2</v>
      </c>
      <c r="W986">
        <v>-0.14246159999999999</v>
      </c>
      <c r="X986">
        <v>0.98735329999999999</v>
      </c>
      <c r="Y986">
        <v>0.22397810000000001</v>
      </c>
      <c r="Z986">
        <v>3.1694920000000001E-2</v>
      </c>
      <c r="AA986">
        <v>0.97407869999999996</v>
      </c>
      <c r="AB986">
        <v>25</v>
      </c>
      <c r="AC986">
        <v>-5.9592000000000098</v>
      </c>
      <c r="AD986">
        <v>-1.1085156826529901</v>
      </c>
      <c r="AE986">
        <v>-23.378699999999998</v>
      </c>
      <c r="AF986">
        <v>5.4507862413273003</v>
      </c>
      <c r="AG986">
        <v>-1.1085156826529901</v>
      </c>
      <c r="AH986">
        <v>23.450261280371599</v>
      </c>
      <c r="AI986">
        <v>92.636234205074103</v>
      </c>
      <c r="AJ986">
        <v>76.914511291769898</v>
      </c>
      <c r="AK986">
        <v>24.100925952855501</v>
      </c>
      <c r="AL986">
        <v>98.190313659588199</v>
      </c>
      <c r="AM986">
        <v>94.029693241565596</v>
      </c>
      <c r="AN986">
        <v>0.99999998911403598</v>
      </c>
    </row>
    <row r="987" spans="1:40" x14ac:dyDescent="0.25">
      <c r="A987" t="str">
        <f>"20190305135558939"</f>
        <v>20190305135558939</v>
      </c>
      <c r="B987" t="str">
        <f>"1551765358932407"</f>
        <v>1551765358932407</v>
      </c>
      <c r="C987" t="s">
        <v>40</v>
      </c>
      <c r="D987">
        <v>4.98421</v>
      </c>
      <c r="E987">
        <v>0.61954690000000001</v>
      </c>
      <c r="F987" t="s">
        <v>42</v>
      </c>
      <c r="G987">
        <v>-196.59870000000001</v>
      </c>
      <c r="H987" s="1">
        <v>-2.882371E-6</v>
      </c>
      <c r="I987">
        <v>302.21530000000001</v>
      </c>
      <c r="J987">
        <v>-190.69730000000001</v>
      </c>
      <c r="K987">
        <v>1.1085149999999999</v>
      </c>
      <c r="L987">
        <v>324.8467</v>
      </c>
      <c r="M987">
        <v>-2.2069060000000001E-2</v>
      </c>
      <c r="N987">
        <v>-1.389164E-2</v>
      </c>
      <c r="O987">
        <v>-0.99965999999999999</v>
      </c>
      <c r="P987">
        <v>4.0787650000000002E-2</v>
      </c>
      <c r="Q987">
        <v>-0.15743509999999999</v>
      </c>
      <c r="R987">
        <v>-0.98668690000000003</v>
      </c>
      <c r="S987">
        <v>-0.78910829999999998</v>
      </c>
      <c r="T987">
        <v>-0.14806540000000001</v>
      </c>
      <c r="U987">
        <v>-3.0562740000000002</v>
      </c>
      <c r="V987">
        <v>-6.2771300000000002E-2</v>
      </c>
      <c r="W987">
        <v>-0.14363480000000001</v>
      </c>
      <c r="X987">
        <v>0.98763800000000002</v>
      </c>
      <c r="Y987">
        <v>0.22833139999999999</v>
      </c>
      <c r="Z987">
        <v>3.3123119999999999E-2</v>
      </c>
      <c r="AA987">
        <v>0.97301979999999999</v>
      </c>
      <c r="AB987">
        <v>25</v>
      </c>
      <c r="AC987">
        <v>-5.90139999999999</v>
      </c>
      <c r="AD987">
        <v>-1.108517882371</v>
      </c>
      <c r="AE987">
        <v>-22.6313999999999</v>
      </c>
      <c r="AF987">
        <v>5.3883559807232402</v>
      </c>
      <c r="AG987">
        <v>-1.108517882371</v>
      </c>
      <c r="AH987">
        <v>22.705132471201299</v>
      </c>
      <c r="AI987">
        <v>92.7196758691518</v>
      </c>
      <c r="AJ987">
        <v>76.649606769640997</v>
      </c>
      <c r="AK987">
        <v>23.362068243315601</v>
      </c>
      <c r="AL987">
        <v>98.258231423608194</v>
      </c>
      <c r="AM987">
        <v>93.636655890353396</v>
      </c>
      <c r="AN987">
        <v>1.0000000054593601</v>
      </c>
    </row>
    <row r="988" spans="1:40" x14ac:dyDescent="0.25">
      <c r="A988" t="str">
        <f>"20190305135558961"</f>
        <v>20190305135558961</v>
      </c>
      <c r="B988" t="str">
        <f>"1551765358952904"</f>
        <v>1551765358952904</v>
      </c>
      <c r="C988" t="s">
        <v>40</v>
      </c>
      <c r="D988">
        <v>4.9815079999999998</v>
      </c>
      <c r="E988">
        <v>0.61774379999999995</v>
      </c>
      <c r="F988" t="s">
        <v>42</v>
      </c>
      <c r="G988">
        <v>-196.4632</v>
      </c>
      <c r="H988" s="1">
        <v>-3.205422E-6</v>
      </c>
      <c r="I988">
        <v>303.05239999999998</v>
      </c>
      <c r="J988">
        <v>-190.70410000000001</v>
      </c>
      <c r="K988">
        <v>1.1085229999999999</v>
      </c>
      <c r="L988">
        <v>324.5849</v>
      </c>
      <c r="M988">
        <v>-2.2981769999999999E-2</v>
      </c>
      <c r="N988">
        <v>-1.38884E-2</v>
      </c>
      <c r="O988">
        <v>-0.99963950000000001</v>
      </c>
      <c r="P988">
        <v>3.2916889999999997E-2</v>
      </c>
      <c r="Q988">
        <v>-0.1579615</v>
      </c>
      <c r="R988">
        <v>-0.98689660000000001</v>
      </c>
      <c r="S988">
        <v>-0.80667109999999997</v>
      </c>
      <c r="T988">
        <v>-0.1550841</v>
      </c>
      <c r="U988">
        <v>-3.0490719999999998</v>
      </c>
      <c r="V988">
        <v>-5.5806290000000001E-2</v>
      </c>
      <c r="W988">
        <v>-0.14417079999999999</v>
      </c>
      <c r="X988">
        <v>0.98797800000000002</v>
      </c>
      <c r="Y988">
        <v>0.2332158</v>
      </c>
      <c r="Z988">
        <v>3.5397619999999998E-2</v>
      </c>
      <c r="AA988">
        <v>0.97178050000000005</v>
      </c>
      <c r="AB988">
        <v>25</v>
      </c>
      <c r="AC988">
        <v>-5.7590999999999797</v>
      </c>
      <c r="AD988">
        <v>-1.108526205422</v>
      </c>
      <c r="AE988">
        <v>-21.532499999999999</v>
      </c>
      <c r="AF988">
        <v>5.2496913351929404</v>
      </c>
      <c r="AG988">
        <v>-1.108526205422</v>
      </c>
      <c r="AH988">
        <v>21.605738994157399</v>
      </c>
      <c r="AI988">
        <v>92.854199432235305</v>
      </c>
      <c r="AJ988">
        <v>76.343112004525196</v>
      </c>
      <c r="AK988">
        <v>22.2619865902969</v>
      </c>
      <c r="AL988">
        <v>98.289264633792101</v>
      </c>
      <c r="AM988">
        <v>93.2329371470925</v>
      </c>
      <c r="AN988">
        <v>1.0000000450301001</v>
      </c>
    </row>
    <row r="989" spans="1:40" x14ac:dyDescent="0.25">
      <c r="A989" t="str">
        <f>"20190305135558984"</f>
        <v>20190305135558984</v>
      </c>
      <c r="B989" t="str">
        <f>"1551765358973399"</f>
        <v>1551765358973399</v>
      </c>
      <c r="C989" t="s">
        <v>40</v>
      </c>
      <c r="D989">
        <v>4.9505499999999998</v>
      </c>
      <c r="E989">
        <v>0.61596039999999996</v>
      </c>
      <c r="F989" t="s">
        <v>42</v>
      </c>
      <c r="G989">
        <v>-196.1431</v>
      </c>
      <c r="H989" s="1">
        <v>-3.596722E-6</v>
      </c>
      <c r="I989">
        <v>304.35390000000001</v>
      </c>
      <c r="J989">
        <v>-190.71080000000001</v>
      </c>
      <c r="K989">
        <v>1.1085259999999999</v>
      </c>
      <c r="L989">
        <v>324.34059999999999</v>
      </c>
      <c r="M989">
        <v>-2.3832780000000001E-2</v>
      </c>
      <c r="N989">
        <v>-1.3885639999999999E-2</v>
      </c>
      <c r="O989">
        <v>-0.99961940000000005</v>
      </c>
      <c r="P989">
        <v>2.4882339999999999E-2</v>
      </c>
      <c r="Q989">
        <v>-0.15859899999999999</v>
      </c>
      <c r="R989">
        <v>-0.9870295</v>
      </c>
      <c r="S989">
        <v>-0.81738279999999996</v>
      </c>
      <c r="T989">
        <v>-0.1665944</v>
      </c>
      <c r="U989">
        <v>-3.0404049999999998</v>
      </c>
      <c r="V989">
        <v>-4.861683E-2</v>
      </c>
      <c r="W989">
        <v>-0.14481820000000001</v>
      </c>
      <c r="X989">
        <v>0.98826320000000001</v>
      </c>
      <c r="Y989">
        <v>0.23622370000000001</v>
      </c>
      <c r="Z989">
        <v>3.9149349999999999E-2</v>
      </c>
      <c r="AA989">
        <v>0.97090969999999999</v>
      </c>
      <c r="AB989">
        <v>25</v>
      </c>
      <c r="AC989">
        <v>-5.4322999999999899</v>
      </c>
      <c r="AD989">
        <v>-1.1085295967219999</v>
      </c>
      <c r="AE989">
        <v>-19.9866999999999</v>
      </c>
      <c r="AF989">
        <v>4.9402204861830796</v>
      </c>
      <c r="AG989">
        <v>-1.1085295967219999</v>
      </c>
      <c r="AH989">
        <v>20.053057773862001</v>
      </c>
      <c r="AI989">
        <v>93.072402606941594</v>
      </c>
      <c r="AJ989">
        <v>76.160349535307603</v>
      </c>
      <c r="AK989">
        <v>20.6823534057602</v>
      </c>
      <c r="AL989">
        <v>98.326751447961996</v>
      </c>
      <c r="AM989">
        <v>92.816350302632003</v>
      </c>
      <c r="AN989">
        <v>1.0000000298423599</v>
      </c>
    </row>
    <row r="990" spans="1:40" x14ac:dyDescent="0.25">
      <c r="A990" t="str">
        <f>"20190305135559008"</f>
        <v>20190305135559008</v>
      </c>
      <c r="B990" t="str">
        <f>"1551765359002679"</f>
        <v>1551765359002679</v>
      </c>
      <c r="C990" t="s">
        <v>40</v>
      </c>
      <c r="D990">
        <v>4.9493049999999998</v>
      </c>
      <c r="E990">
        <v>0.61369370000000001</v>
      </c>
      <c r="F990" t="s">
        <v>42</v>
      </c>
      <c r="G990">
        <v>-195.804</v>
      </c>
      <c r="H990" s="1">
        <v>-4.002492E-6</v>
      </c>
      <c r="I990">
        <v>305.72300000000001</v>
      </c>
      <c r="J990">
        <v>-190.7184</v>
      </c>
      <c r="K990">
        <v>1.1085210000000001</v>
      </c>
      <c r="L990">
        <v>324.06950000000001</v>
      </c>
      <c r="M990">
        <v>-2.4777859999999999E-2</v>
      </c>
      <c r="N990">
        <v>-1.388262E-2</v>
      </c>
      <c r="O990">
        <v>-0.99959699999999996</v>
      </c>
      <c r="P990">
        <v>1.609611E-2</v>
      </c>
      <c r="Q990">
        <v>-0.15947339999999999</v>
      </c>
      <c r="R990">
        <v>-0.98707149999999999</v>
      </c>
      <c r="S990">
        <v>-0.82926939999999905</v>
      </c>
      <c r="T990">
        <v>-0.1804904</v>
      </c>
      <c r="U990">
        <v>-3.0313110000000001</v>
      </c>
      <c r="V990">
        <v>-4.0766690000000001E-2</v>
      </c>
      <c r="W990">
        <v>-0.14570439999999901</v>
      </c>
      <c r="X990">
        <v>0.98848789999999997</v>
      </c>
      <c r="Y990">
        <v>0.23952119999999999</v>
      </c>
      <c r="Z990">
        <v>4.3673660000000003E-2</v>
      </c>
      <c r="AA990">
        <v>0.9699084</v>
      </c>
      <c r="AB990">
        <v>25</v>
      </c>
      <c r="AC990">
        <v>-5.0856000000000003</v>
      </c>
      <c r="AD990">
        <v>-1.1085250024919999</v>
      </c>
      <c r="AE990">
        <v>-18.346499999999899</v>
      </c>
      <c r="AF990">
        <v>4.6137657942554702</v>
      </c>
      <c r="AG990">
        <v>-1.1085250024919999</v>
      </c>
      <c r="AH990">
        <v>18.404492423078299</v>
      </c>
      <c r="AI990">
        <v>93.343613999423695</v>
      </c>
      <c r="AJ990">
        <v>75.926719256265201</v>
      </c>
      <c r="AK990">
        <v>19.006341148062599</v>
      </c>
      <c r="AL990">
        <v>98.378071453026095</v>
      </c>
      <c r="AM990">
        <v>92.361623613361701</v>
      </c>
      <c r="AN990">
        <v>1.0000000118196599</v>
      </c>
    </row>
    <row r="991" spans="1:40" x14ac:dyDescent="0.25">
      <c r="A991" t="str">
        <f>"20190305135559031"</f>
        <v>20190305135559031</v>
      </c>
      <c r="B991" t="str">
        <f>"1551765359023175"</f>
        <v>1551765359023175</v>
      </c>
      <c r="C991" t="s">
        <v>40</v>
      </c>
      <c r="D991">
        <v>4.9239009999999999</v>
      </c>
      <c r="E991">
        <v>0.61264160000000001</v>
      </c>
      <c r="F991" t="s">
        <v>42</v>
      </c>
      <c r="G991">
        <v>-195.5626</v>
      </c>
      <c r="H991" s="1">
        <v>-4.263762E-6</v>
      </c>
      <c r="I991">
        <v>306.61660000000001</v>
      </c>
      <c r="J991">
        <v>-190.726</v>
      </c>
      <c r="K991">
        <v>1.1085160000000001</v>
      </c>
      <c r="L991">
        <v>323.80900000000003</v>
      </c>
      <c r="M991">
        <v>-2.5687809999999998E-2</v>
      </c>
      <c r="N991">
        <v>-1.3879590000000001E-2</v>
      </c>
      <c r="O991">
        <v>-0.99957379999999996</v>
      </c>
      <c r="P991">
        <v>6.8033750000000004E-3</v>
      </c>
      <c r="Q991">
        <v>-0.16132299999999999</v>
      </c>
      <c r="R991">
        <v>-0.98687829999999999</v>
      </c>
      <c r="S991">
        <v>-0.83876039999999996</v>
      </c>
      <c r="T991">
        <v>-0.1919389</v>
      </c>
      <c r="U991">
        <v>-3.0219420000000001</v>
      </c>
      <c r="V991">
        <v>-3.237288E-2</v>
      </c>
      <c r="W991">
        <v>-0.14756920000000001</v>
      </c>
      <c r="X991">
        <v>0.98852180000000001</v>
      </c>
      <c r="Y991">
        <v>0.2421787</v>
      </c>
      <c r="Z991">
        <v>4.7449400000000003E-2</v>
      </c>
      <c r="AA991">
        <v>0.96907069999999995</v>
      </c>
      <c r="AB991">
        <v>25</v>
      </c>
      <c r="AC991">
        <v>-4.8365999999999998</v>
      </c>
      <c r="AD991">
        <v>-1.108520263762</v>
      </c>
      <c r="AE991">
        <v>-17.192399999999999</v>
      </c>
      <c r="AF991">
        <v>4.3764660319939299</v>
      </c>
      <c r="AG991">
        <v>-1.108520263762</v>
      </c>
      <c r="AH991">
        <v>17.244545725145901</v>
      </c>
      <c r="AI991">
        <v>93.565326205484894</v>
      </c>
      <c r="AJ991">
        <v>75.759647065627902</v>
      </c>
      <c r="AK991">
        <v>17.825729420447701</v>
      </c>
      <c r="AL991">
        <v>98.486084223213297</v>
      </c>
      <c r="AM991">
        <v>91.875696348248795</v>
      </c>
      <c r="AN991">
        <v>1.00000001061168</v>
      </c>
    </row>
    <row r="992" spans="1:40" x14ac:dyDescent="0.25">
      <c r="A992" t="str">
        <f>"20190305135559052"</f>
        <v>20190305135559052</v>
      </c>
      <c r="B992" t="str">
        <f>"1551765359042695"</f>
        <v>1551765359042695</v>
      </c>
      <c r="C992" t="s">
        <v>40</v>
      </c>
      <c r="D992">
        <v>4.9302460000000004</v>
      </c>
      <c r="E992">
        <v>0.61173580000000005</v>
      </c>
      <c r="F992" t="s">
        <v>42</v>
      </c>
      <c r="G992">
        <v>-195.57910000000001</v>
      </c>
      <c r="H992" s="1">
        <v>-4.3212619999999998E-6</v>
      </c>
      <c r="I992">
        <v>306.77690000000001</v>
      </c>
      <c r="J992">
        <v>-190.733</v>
      </c>
      <c r="K992">
        <v>1.1085149999999999</v>
      </c>
      <c r="L992">
        <v>323.57319999999999</v>
      </c>
      <c r="M992">
        <v>-2.6512600000000001E-2</v>
      </c>
      <c r="N992">
        <v>-1.387711E-2</v>
      </c>
      <c r="O992">
        <v>-0.99955210000000005</v>
      </c>
      <c r="P992">
        <v>-2.3085599999999999E-3</v>
      </c>
      <c r="Q992">
        <v>-0.16317719999999999</v>
      </c>
      <c r="R992">
        <v>-0.98659430000000004</v>
      </c>
      <c r="S992">
        <v>-0.85873409999999994</v>
      </c>
      <c r="T992">
        <v>-0.1961473</v>
      </c>
      <c r="U992">
        <v>-3.0137330000000002</v>
      </c>
      <c r="V992">
        <v>-2.407372E-2</v>
      </c>
      <c r="W992">
        <v>-0.14943890000000001</v>
      </c>
      <c r="X992">
        <v>0.98847779999999996</v>
      </c>
      <c r="Y992">
        <v>0.2479807</v>
      </c>
      <c r="Z992">
        <v>4.8853489999999999E-2</v>
      </c>
      <c r="AA992">
        <v>0.96753239999999996</v>
      </c>
      <c r="AB992">
        <v>25</v>
      </c>
      <c r="AC992">
        <v>-4.8460999999999999</v>
      </c>
      <c r="AD992">
        <v>-1.1085193212619999</v>
      </c>
      <c r="AE992">
        <v>-16.796299999999899</v>
      </c>
      <c r="AF992">
        <v>4.3814220353558104</v>
      </c>
      <c r="AG992">
        <v>-1.1085193212619999</v>
      </c>
      <c r="AH992">
        <v>16.851131527303799</v>
      </c>
      <c r="AI992">
        <v>93.642889402136007</v>
      </c>
      <c r="AJ992">
        <v>75.425376660775996</v>
      </c>
      <c r="AK992">
        <v>17.446670395465301</v>
      </c>
      <c r="AL992">
        <v>98.594411879012995</v>
      </c>
      <c r="AM992">
        <v>91.395124850194406</v>
      </c>
      <c r="AN992">
        <v>0.99999994496034195</v>
      </c>
    </row>
    <row r="993" spans="1:40" x14ac:dyDescent="0.25">
      <c r="A993" t="str">
        <f>"20190305135559073"</f>
        <v>20190305135559073</v>
      </c>
      <c r="B993" t="str">
        <f>"1551765359063192"</f>
        <v>1551765359063192</v>
      </c>
      <c r="C993" t="s">
        <v>40</v>
      </c>
      <c r="D993">
        <v>4.8907790000000002</v>
      </c>
      <c r="E993">
        <v>0.59494269999999905</v>
      </c>
      <c r="F993" t="s">
        <v>42</v>
      </c>
      <c r="G993">
        <v>-195.62780000000001</v>
      </c>
      <c r="H993" s="1">
        <v>-4.3494950000000001E-6</v>
      </c>
      <c r="I993">
        <v>306.83449999999999</v>
      </c>
      <c r="J993">
        <v>-190.74029999999999</v>
      </c>
      <c r="K993">
        <v>1.108509</v>
      </c>
      <c r="L993">
        <v>323.33429999999998</v>
      </c>
      <c r="M993">
        <v>-2.734986E-2</v>
      </c>
      <c r="N993">
        <v>-1.387449E-2</v>
      </c>
      <c r="O993">
        <v>-0.99952969999999997</v>
      </c>
      <c r="P993">
        <v>-1.1472909999999999E-2</v>
      </c>
      <c r="Q993">
        <v>-0.1640462</v>
      </c>
      <c r="R993">
        <v>-0.98638619999999999</v>
      </c>
      <c r="S993">
        <v>-0.87896730000000001</v>
      </c>
      <c r="T993">
        <v>-0.19905870000000001</v>
      </c>
      <c r="U993">
        <v>-3.005798</v>
      </c>
      <c r="V993">
        <v>-1.573418E-2</v>
      </c>
      <c r="W993">
        <v>-0.15032239999999999</v>
      </c>
      <c r="X993">
        <v>0.98851180000000005</v>
      </c>
      <c r="Y993">
        <v>0.25383</v>
      </c>
      <c r="Z993">
        <v>4.9837399999999997E-2</v>
      </c>
      <c r="AA993">
        <v>0.96596409999999999</v>
      </c>
      <c r="AB993">
        <v>25</v>
      </c>
      <c r="AC993">
        <v>-4.8875000000000099</v>
      </c>
      <c r="AD993">
        <v>-1.1085133494949999</v>
      </c>
      <c r="AE993">
        <v>-16.499799999999901</v>
      </c>
      <c r="AF993">
        <v>4.4160362824188004</v>
      </c>
      <c r="AG993">
        <v>-1.1085133494949999</v>
      </c>
      <c r="AH993">
        <v>16.5586016550122</v>
      </c>
      <c r="AI993">
        <v>93.700968275899598</v>
      </c>
      <c r="AJ993">
        <v>75.067261008164195</v>
      </c>
      <c r="AK993">
        <v>17.173161242561601</v>
      </c>
      <c r="AL993">
        <v>98.6456107095091</v>
      </c>
      <c r="AM993">
        <v>90.911902100900804</v>
      </c>
      <c r="AN993">
        <v>0.99999998355063602</v>
      </c>
    </row>
    <row r="994" spans="1:40" x14ac:dyDescent="0.25">
      <c r="A994" t="str">
        <f>"20190305135559096"</f>
        <v>20190305135559096</v>
      </c>
      <c r="B994" t="str">
        <f>"1551765359092472"</f>
        <v>1551765359092472</v>
      </c>
      <c r="C994" t="s">
        <v>40</v>
      </c>
      <c r="D994">
        <v>4.9594339999999999</v>
      </c>
      <c r="E994">
        <v>0.59474069999999901</v>
      </c>
      <c r="F994" t="s">
        <v>42</v>
      </c>
      <c r="G994">
        <v>-194.34180000000001</v>
      </c>
      <c r="H994" s="1">
        <v>-5.0037970000000004E-6</v>
      </c>
      <c r="I994">
        <v>309.42750000000001</v>
      </c>
      <c r="J994">
        <v>-190.7482</v>
      </c>
      <c r="K994">
        <v>1.1085020000000001</v>
      </c>
      <c r="L994">
        <v>323.08670000000001</v>
      </c>
      <c r="M994">
        <v>-2.8219350000000001E-2</v>
      </c>
      <c r="N994">
        <v>-1.387176E-2</v>
      </c>
      <c r="O994">
        <v>-0.99950559999999999</v>
      </c>
      <c r="P994">
        <v>-2.1208350000000001E-2</v>
      </c>
      <c r="Q994">
        <v>-0.1643966</v>
      </c>
      <c r="R994">
        <v>-0.9861664</v>
      </c>
      <c r="S994">
        <v>-0.77502439999999995</v>
      </c>
      <c r="T994">
        <v>-0.23854990000000001</v>
      </c>
      <c r="U994">
        <v>-2.9927060000000001</v>
      </c>
      <c r="V994">
        <v>-6.8547599999999997E-3</v>
      </c>
      <c r="W994">
        <v>-0.15068819999999999</v>
      </c>
      <c r="X994">
        <v>0.98855760000000004</v>
      </c>
      <c r="Y994">
        <v>0.22263859999999999</v>
      </c>
      <c r="Z994">
        <v>6.3362890000000005E-2</v>
      </c>
      <c r="AA994">
        <v>0.97283980000000003</v>
      </c>
      <c r="AB994">
        <v>25</v>
      </c>
      <c r="AC994">
        <v>-3.5935999999999999</v>
      </c>
      <c r="AD994">
        <v>-1.108507003797</v>
      </c>
      <c r="AE994">
        <v>-13.659199999999901</v>
      </c>
      <c r="AF994">
        <v>3.18704648953655</v>
      </c>
      <c r="AG994">
        <v>-1.108507003797</v>
      </c>
      <c r="AH994">
        <v>13.670968751592699</v>
      </c>
      <c r="AI994">
        <v>94.515123484588997</v>
      </c>
      <c r="AJ994">
        <v>76.877290959146293</v>
      </c>
      <c r="AK994">
        <v>14.081244252939999</v>
      </c>
      <c r="AL994">
        <v>98.666810632854407</v>
      </c>
      <c r="AM994">
        <v>90.397288456503702</v>
      </c>
      <c r="AN994">
        <v>1.0000000249358201</v>
      </c>
    </row>
    <row r="995" spans="1:40" x14ac:dyDescent="0.25">
      <c r="A995" t="str">
        <f>"20190305135559118"</f>
        <v>20190305135559118</v>
      </c>
      <c r="B995" t="str">
        <f>"1551765359112968"</f>
        <v>1551765359112968</v>
      </c>
      <c r="C995" t="s">
        <v>40</v>
      </c>
      <c r="D995">
        <v>4.7390509999999999</v>
      </c>
      <c r="E995">
        <v>0.59277679999999999</v>
      </c>
      <c r="F995" t="s">
        <v>42</v>
      </c>
      <c r="G995">
        <v>-194.50640000000001</v>
      </c>
      <c r="H995" s="1">
        <v>-4.9245549999999996E-6</v>
      </c>
      <c r="I995">
        <v>309.10890000000001</v>
      </c>
      <c r="J995">
        <v>-190.75630000000001</v>
      </c>
      <c r="K995">
        <v>1.1085</v>
      </c>
      <c r="L995">
        <v>322.8372</v>
      </c>
      <c r="M995">
        <v>-2.9095949999999999E-2</v>
      </c>
      <c r="N995">
        <v>-1.3869039999999999E-2</v>
      </c>
      <c r="O995">
        <v>-0.99948060000000005</v>
      </c>
      <c r="P995">
        <v>-3.1855609999999999E-2</v>
      </c>
      <c r="Q995">
        <v>-0.16502229999999901</v>
      </c>
      <c r="R995">
        <v>-0.98577559999999997</v>
      </c>
      <c r="S995">
        <v>-0.80267330000000003</v>
      </c>
      <c r="T995">
        <v>-0.23675019999999999</v>
      </c>
      <c r="U995">
        <v>-2.9853209999999999</v>
      </c>
      <c r="V995">
        <v>2.933827E-3</v>
      </c>
      <c r="W995">
        <v>-0.1513321</v>
      </c>
      <c r="X995">
        <v>0.98847859999999999</v>
      </c>
      <c r="Y995">
        <v>0.23078679999999999</v>
      </c>
      <c r="Z995">
        <v>6.280703E-2</v>
      </c>
      <c r="AA995">
        <v>0.97097520000000004</v>
      </c>
      <c r="AB995">
        <v>25</v>
      </c>
      <c r="AC995">
        <v>-3.7501000000000002</v>
      </c>
      <c r="AD995">
        <v>-1.108504924555</v>
      </c>
      <c r="AE995">
        <v>-13.7282999999999</v>
      </c>
      <c r="AF995">
        <v>3.32883904426052</v>
      </c>
      <c r="AG995">
        <v>-1.108504924555</v>
      </c>
      <c r="AH995">
        <v>13.7481970224517</v>
      </c>
      <c r="AI995">
        <v>94.480809494265003</v>
      </c>
      <c r="AJ995">
        <v>76.388976121202901</v>
      </c>
      <c r="AK995">
        <v>14.188829194775201</v>
      </c>
      <c r="AL995">
        <v>98.704131789681796</v>
      </c>
      <c r="AM995">
        <v>89.829945320688097</v>
      </c>
      <c r="AN995">
        <v>0.99999997724461698</v>
      </c>
    </row>
    <row r="996" spans="1:40" x14ac:dyDescent="0.25">
      <c r="A996" t="str">
        <f>"20190305135559141"</f>
        <v>20190305135559141</v>
      </c>
      <c r="B996" t="str">
        <f>"1551765359132487"</f>
        <v>1551765359132487</v>
      </c>
      <c r="C996" t="s">
        <v>40</v>
      </c>
      <c r="D996">
        <v>4.6190389999999999</v>
      </c>
      <c r="E996">
        <v>0.59133429999999998</v>
      </c>
      <c r="F996" t="s">
        <v>42</v>
      </c>
      <c r="G996">
        <v>-194.43180000000001</v>
      </c>
      <c r="H996" s="1">
        <v>-5.0425590000000001E-6</v>
      </c>
      <c r="I996">
        <v>309.49450000000002</v>
      </c>
      <c r="J996">
        <v>-190.7646</v>
      </c>
      <c r="K996">
        <v>1.1084959999999999</v>
      </c>
      <c r="L996">
        <v>322.58699999999999</v>
      </c>
      <c r="M996">
        <v>-2.9975559999999998E-2</v>
      </c>
      <c r="N996">
        <v>-1.386633E-2</v>
      </c>
      <c r="O996">
        <v>-0.99945459999999997</v>
      </c>
      <c r="P996">
        <v>-4.3417539999999998E-2</v>
      </c>
      <c r="Q996">
        <v>-0.1660626</v>
      </c>
      <c r="R996">
        <v>-0.98515909999999995</v>
      </c>
      <c r="S996">
        <v>-0.81964110000000001</v>
      </c>
      <c r="T996">
        <v>-0.24719550000000001</v>
      </c>
      <c r="U996">
        <v>-2.975403</v>
      </c>
      <c r="V996">
        <v>1.363982E-2</v>
      </c>
      <c r="W996">
        <v>-0.15239449999999999</v>
      </c>
      <c r="X996">
        <v>0.98822560000000004</v>
      </c>
      <c r="Y996">
        <v>0.2358238</v>
      </c>
      <c r="Z996">
        <v>6.6318290000000002E-2</v>
      </c>
      <c r="AA996">
        <v>0.96953029999999996</v>
      </c>
      <c r="AB996">
        <v>25</v>
      </c>
      <c r="AC996">
        <v>-3.6671999999999998</v>
      </c>
      <c r="AD996">
        <v>-1.1085010425589901</v>
      </c>
      <c r="AE996">
        <v>-13.0924999999999</v>
      </c>
      <c r="AF996">
        <v>3.25144674541506</v>
      </c>
      <c r="AG996">
        <v>-1.1085010425589901</v>
      </c>
      <c r="AH996">
        <v>13.109414350016801</v>
      </c>
      <c r="AI996">
        <v>94.691805126538</v>
      </c>
      <c r="AJ996">
        <v>76.070373510151001</v>
      </c>
      <c r="AK996">
        <v>13.552026604905</v>
      </c>
      <c r="AL996">
        <v>98.765717081917103</v>
      </c>
      <c r="AM996">
        <v>89.209234714902806</v>
      </c>
      <c r="AN996">
        <v>0.999999982407621</v>
      </c>
    </row>
    <row r="997" spans="1:40" x14ac:dyDescent="0.25">
      <c r="A997" t="str">
        <f>"20190305135559163"</f>
        <v>20190305135559163</v>
      </c>
      <c r="B997" t="str">
        <f>"1551765359152983"</f>
        <v>1551765359152983</v>
      </c>
      <c r="C997" t="s">
        <v>40</v>
      </c>
      <c r="D997">
        <v>4.5758359999999998</v>
      </c>
      <c r="E997">
        <v>0.59000090000000005</v>
      </c>
      <c r="F997" t="s">
        <v>42</v>
      </c>
      <c r="G997">
        <v>-194.47</v>
      </c>
      <c r="H997" s="1">
        <v>-5.0697279999999999E-6</v>
      </c>
      <c r="I997">
        <v>309.55439999999999</v>
      </c>
      <c r="J997">
        <v>-190.7732</v>
      </c>
      <c r="K997">
        <v>1.1084959999999999</v>
      </c>
      <c r="L997">
        <v>322.33690000000001</v>
      </c>
      <c r="M997">
        <v>-3.0855489999999999E-2</v>
      </c>
      <c r="N997">
        <v>-1.386363E-2</v>
      </c>
      <c r="O997">
        <v>-0.99942790000000004</v>
      </c>
      <c r="P997">
        <v>-5.4136690000000001E-2</v>
      </c>
      <c r="Q997">
        <v>-0.16680420000000001</v>
      </c>
      <c r="R997">
        <v>-0.98450289999999996</v>
      </c>
      <c r="S997">
        <v>-0.84313959999999999</v>
      </c>
      <c r="T997">
        <v>-0.25223509999999999</v>
      </c>
      <c r="U997">
        <v>-2.9655149999999999</v>
      </c>
      <c r="V997">
        <v>2.350534E-2</v>
      </c>
      <c r="W997">
        <v>-0.1531575</v>
      </c>
      <c r="X997">
        <v>0.98792219999999997</v>
      </c>
      <c r="Y997">
        <v>0.24287300000000001</v>
      </c>
      <c r="Z997">
        <v>6.8047960000000005E-2</v>
      </c>
      <c r="AA997">
        <v>0.96766839999999998</v>
      </c>
      <c r="AB997">
        <v>25</v>
      </c>
      <c r="AC997">
        <v>-3.6967999999999899</v>
      </c>
      <c r="AD997">
        <v>-1.108501069728</v>
      </c>
      <c r="AE997">
        <v>-12.782500000000001</v>
      </c>
      <c r="AF997">
        <v>3.2778433159441902</v>
      </c>
      <c r="AG997">
        <v>-1.108501069728</v>
      </c>
      <c r="AH997">
        <v>12.8016474950164</v>
      </c>
      <c r="AI997">
        <v>94.794995417862495</v>
      </c>
      <c r="AJ997">
        <v>75.638052709342105</v>
      </c>
      <c r="AK997">
        <v>13.261041060645599</v>
      </c>
      <c r="AL997">
        <v>98.809952926807995</v>
      </c>
      <c r="AM997">
        <v>88.637035654673298</v>
      </c>
      <c r="AN997">
        <v>0.99999999703380205</v>
      </c>
    </row>
    <row r="998" spans="1:40" x14ac:dyDescent="0.25">
      <c r="A998" t="str">
        <f>"20190305135559185"</f>
        <v>20190305135559185</v>
      </c>
      <c r="B998" t="str">
        <f>"1551765359172507"</f>
        <v>1551765359172507</v>
      </c>
      <c r="C998" t="s">
        <v>40</v>
      </c>
      <c r="D998">
        <v>4.6455719999999996</v>
      </c>
      <c r="E998">
        <v>0.58842810000000001</v>
      </c>
      <c r="F998" t="s">
        <v>42</v>
      </c>
      <c r="G998">
        <v>-194.6146</v>
      </c>
      <c r="H998" s="1">
        <v>-4.9718929999999998E-6</v>
      </c>
      <c r="I998">
        <v>309.19159999999999</v>
      </c>
      <c r="J998">
        <v>-190.7818</v>
      </c>
      <c r="K998">
        <v>1.108498</v>
      </c>
      <c r="L998">
        <v>322.09350000000001</v>
      </c>
      <c r="M998">
        <v>-3.1710809999999999E-2</v>
      </c>
      <c r="N998">
        <v>-1.3860880000000001E-2</v>
      </c>
      <c r="O998">
        <v>-0.99940119999999999</v>
      </c>
      <c r="P998">
        <v>-6.4084080000000002E-2</v>
      </c>
      <c r="Q998">
        <v>-0.1675642</v>
      </c>
      <c r="R998">
        <v>-0.9837764</v>
      </c>
      <c r="S998">
        <v>-0.86422730000000003</v>
      </c>
      <c r="T998">
        <v>-0.24939120000000001</v>
      </c>
      <c r="U998">
        <v>-2.9574280000000002</v>
      </c>
      <c r="V998">
        <v>3.2626670000000003E-2</v>
      </c>
      <c r="W998">
        <v>-0.15393889999999999</v>
      </c>
      <c r="X998">
        <v>0.98754160000000002</v>
      </c>
      <c r="Y998">
        <v>0.24911639999999999</v>
      </c>
      <c r="Z998">
        <v>6.7201789999999997E-2</v>
      </c>
      <c r="AA998">
        <v>0.96613919999999998</v>
      </c>
      <c r="AB998">
        <v>25</v>
      </c>
      <c r="AC998">
        <v>-3.83279999999999</v>
      </c>
      <c r="AD998">
        <v>-1.108502971893</v>
      </c>
      <c r="AE998">
        <v>-12.901899999999999</v>
      </c>
      <c r="AF998">
        <v>3.3986493100832602</v>
      </c>
      <c r="AG998">
        <v>-1.108502971893</v>
      </c>
      <c r="AH998">
        <v>12.9292608324513</v>
      </c>
      <c r="AI998">
        <v>94.740068917981901</v>
      </c>
      <c r="AJ998">
        <v>75.272136509776502</v>
      </c>
      <c r="AK998">
        <v>13.414372204661101</v>
      </c>
      <c r="AL998">
        <v>98.855260697253996</v>
      </c>
      <c r="AM998">
        <v>88.107734621812099</v>
      </c>
      <c r="AN998">
        <v>1.0000000481295199</v>
      </c>
    </row>
    <row r="999" spans="1:40" x14ac:dyDescent="0.25">
      <c r="A999" t="str">
        <f>"20190305135559209"</f>
        <v>20190305135559209</v>
      </c>
      <c r="B999" t="str">
        <f>"1551765359202760"</f>
        <v>1551765359202760</v>
      </c>
      <c r="C999" t="s">
        <v>40</v>
      </c>
      <c r="D999">
        <v>4.4647560000000004</v>
      </c>
      <c r="E999">
        <v>0.58651919999999902</v>
      </c>
      <c r="F999" t="s">
        <v>42</v>
      </c>
      <c r="G999">
        <v>-194.59549999999999</v>
      </c>
      <c r="H999" s="1">
        <v>-5.0195040000000001E-6</v>
      </c>
      <c r="I999">
        <v>309.3415</v>
      </c>
      <c r="J999">
        <v>-190.7912</v>
      </c>
      <c r="K999">
        <v>1.1085069999999999</v>
      </c>
      <c r="L999">
        <v>321.83249999999998</v>
      </c>
      <c r="M999">
        <v>-3.262557E-2</v>
      </c>
      <c r="N999">
        <v>-1.385812E-2</v>
      </c>
      <c r="O999">
        <v>-0.99937160000000003</v>
      </c>
      <c r="P999">
        <v>-7.2769280000000006E-2</v>
      </c>
      <c r="Q999">
        <v>-0.1664504</v>
      </c>
      <c r="R999">
        <v>-0.98336109999999999</v>
      </c>
      <c r="S999">
        <v>-0.88175959999999998</v>
      </c>
      <c r="T999">
        <v>-0.25629600000000002</v>
      </c>
      <c r="U999">
        <v>-2.9483950000000001</v>
      </c>
      <c r="V999">
        <v>4.042159E-2</v>
      </c>
      <c r="W999">
        <v>-0.15284039999999999</v>
      </c>
      <c r="X999">
        <v>0.98742390000000002</v>
      </c>
      <c r="Y999">
        <v>0.25425189999999998</v>
      </c>
      <c r="Z999">
        <v>6.9550299999999995E-2</v>
      </c>
      <c r="AA999">
        <v>0.96463399999999999</v>
      </c>
      <c r="AB999">
        <v>25</v>
      </c>
      <c r="AC999">
        <v>-3.80429999999998</v>
      </c>
      <c r="AD999">
        <v>-1.1085120195039999</v>
      </c>
      <c r="AE999">
        <v>-12.4909999999999</v>
      </c>
      <c r="AF999">
        <v>3.3704182250044701</v>
      </c>
      <c r="AG999">
        <v>-1.1085120195039999</v>
      </c>
      <c r="AH999">
        <v>12.518257785309199</v>
      </c>
      <c r="AI999">
        <v>94.887281695765395</v>
      </c>
      <c r="AJ999">
        <v>74.931008038508295</v>
      </c>
      <c r="AK999">
        <v>13.0113525772028</v>
      </c>
      <c r="AL999">
        <v>98.791567724349903</v>
      </c>
      <c r="AM999">
        <v>87.655825319471901</v>
      </c>
      <c r="AN999">
        <v>1.00000002555074</v>
      </c>
    </row>
    <row r="1000" spans="1:40" x14ac:dyDescent="0.25">
      <c r="A1000" t="str">
        <f>"20190305135559233"</f>
        <v>20190305135559233</v>
      </c>
      <c r="B1000" t="str">
        <f>"1551765359223255"</f>
        <v>1551765359223255</v>
      </c>
      <c r="C1000" t="s">
        <v>40</v>
      </c>
      <c r="D1000">
        <v>4.4395230000000003</v>
      </c>
      <c r="E1000">
        <v>0.58648909999999999</v>
      </c>
      <c r="F1000" t="s">
        <v>42</v>
      </c>
      <c r="G1000">
        <v>-194.71530000000001</v>
      </c>
      <c r="H1000" s="1">
        <v>-4.8894850000000002E-6</v>
      </c>
      <c r="I1000">
        <v>308.89690000000002</v>
      </c>
      <c r="J1000">
        <v>-190.80080000000001</v>
      </c>
      <c r="K1000">
        <v>1.1085229999999999</v>
      </c>
      <c r="L1000">
        <v>321.5729</v>
      </c>
      <c r="M1000">
        <v>-3.3523810000000001E-2</v>
      </c>
      <c r="N1000">
        <v>-1.385525E-2</v>
      </c>
      <c r="O1000">
        <v>-0.99934199999999995</v>
      </c>
      <c r="P1000">
        <v>-8.0662289999999998E-2</v>
      </c>
      <c r="Q1000">
        <v>-0.16524169999999999</v>
      </c>
      <c r="R1000">
        <v>-0.98294930000000003</v>
      </c>
      <c r="S1000">
        <v>-0.89251709999999995</v>
      </c>
      <c r="T1000">
        <v>-0.25212119999999999</v>
      </c>
      <c r="U1000">
        <v>-2.942078</v>
      </c>
      <c r="V1000">
        <v>4.7442850000000002E-2</v>
      </c>
      <c r="W1000">
        <v>-0.15164559999999999</v>
      </c>
      <c r="X1000">
        <v>0.9872957</v>
      </c>
      <c r="Y1000">
        <v>0.25720870000000001</v>
      </c>
      <c r="Z1000">
        <v>6.8296079999999995E-2</v>
      </c>
      <c r="AA1000">
        <v>0.96393949999999995</v>
      </c>
      <c r="AB1000">
        <v>25</v>
      </c>
      <c r="AC1000">
        <v>-3.9144999999999999</v>
      </c>
      <c r="AD1000">
        <v>-1.1085278894849999</v>
      </c>
      <c r="AE1000">
        <v>-12.675999999999901</v>
      </c>
      <c r="AF1000">
        <v>3.46313171739952</v>
      </c>
      <c r="AG1000">
        <v>-1.1085278894849999</v>
      </c>
      <c r="AH1000">
        <v>12.7113664820123</v>
      </c>
      <c r="AI1000">
        <v>94.809584024259195</v>
      </c>
      <c r="AJ1000">
        <v>74.760005073247896</v>
      </c>
      <c r="AK1000">
        <v>13.221231153483799</v>
      </c>
      <c r="AL1000">
        <v>98.722303490658504</v>
      </c>
      <c r="AM1000">
        <v>87.248863040711896</v>
      </c>
      <c r="AN1000">
        <v>1.00000000562698</v>
      </c>
    </row>
    <row r="1001" spans="1:40" x14ac:dyDescent="0.25">
      <c r="A1001" t="str">
        <f>"20190305135559254"</f>
        <v>20190305135559254</v>
      </c>
      <c r="B1001" t="str">
        <f>"1551765359242776"</f>
        <v>1551765359242776</v>
      </c>
      <c r="C1001" t="s">
        <v>40</v>
      </c>
      <c r="D1001">
        <v>4.4362250000000003</v>
      </c>
      <c r="E1001">
        <v>0.58639240000000004</v>
      </c>
      <c r="F1001" t="s">
        <v>42</v>
      </c>
      <c r="G1001">
        <v>-194.84469999999999</v>
      </c>
      <c r="H1001" s="1">
        <v>-4.816155E-6</v>
      </c>
      <c r="I1001">
        <v>308.61399999999998</v>
      </c>
      <c r="J1001">
        <v>-190.81010000000001</v>
      </c>
      <c r="K1001">
        <v>1.1085529999999999</v>
      </c>
      <c r="L1001">
        <v>321.327</v>
      </c>
      <c r="M1001">
        <v>-3.4352210000000001E-2</v>
      </c>
      <c r="N1001">
        <v>-1.385246E-2</v>
      </c>
      <c r="O1001">
        <v>-0.99931400000000004</v>
      </c>
      <c r="P1001">
        <v>-8.8708330000000002E-2</v>
      </c>
      <c r="Q1001">
        <v>-0.163272</v>
      </c>
      <c r="R1001">
        <v>-0.98258529999999999</v>
      </c>
      <c r="S1001">
        <v>-0.915802</v>
      </c>
      <c r="T1001">
        <v>-0.25104130000000002</v>
      </c>
      <c r="U1001">
        <v>-2.934723</v>
      </c>
      <c r="V1001">
        <v>5.4688290000000001E-2</v>
      </c>
      <c r="W1001">
        <v>-0.14968789999999901</v>
      </c>
      <c r="X1001">
        <v>0.98721970000000003</v>
      </c>
      <c r="Y1001">
        <v>0.26406010000000002</v>
      </c>
      <c r="Z1001">
        <v>6.7974519999999997E-2</v>
      </c>
      <c r="AA1001">
        <v>0.96210799999999996</v>
      </c>
      <c r="AB1001">
        <v>25</v>
      </c>
      <c r="AC1001">
        <v>-4.0345999999999798</v>
      </c>
      <c r="AD1001">
        <v>-1.108557816155</v>
      </c>
      <c r="AE1001">
        <v>-12.7129999999999</v>
      </c>
      <c r="AF1001">
        <v>3.5707902316296298</v>
      </c>
      <c r="AG1001">
        <v>-1.108557816155</v>
      </c>
      <c r="AH1001">
        <v>12.755989069756399</v>
      </c>
      <c r="AI1001">
        <v>94.783810003116997</v>
      </c>
      <c r="AJ1001">
        <v>74.361446863588</v>
      </c>
      <c r="AK1001">
        <v>13.292655884277099</v>
      </c>
      <c r="AL1001">
        <v>98.608840291939003</v>
      </c>
      <c r="AM1001">
        <v>86.829268214258505</v>
      </c>
      <c r="AN1001">
        <v>1.0000000062688099</v>
      </c>
    </row>
    <row r="1002" spans="1:40" x14ac:dyDescent="0.25">
      <c r="A1002" t="str">
        <f>"20190305135559274"</f>
        <v>20190305135559274</v>
      </c>
      <c r="B1002" t="str">
        <f>"1551765359262295"</f>
        <v>1551765359262295</v>
      </c>
      <c r="C1002" t="s">
        <v>40</v>
      </c>
      <c r="D1002">
        <v>4.4282839999999997</v>
      </c>
      <c r="E1002">
        <v>0.58566770000000001</v>
      </c>
      <c r="F1002" t="s">
        <v>42</v>
      </c>
      <c r="G1002">
        <v>-195.0341</v>
      </c>
      <c r="H1002" s="1">
        <v>-4.6941889999999998E-6</v>
      </c>
      <c r="I1002">
        <v>308.15690000000001</v>
      </c>
      <c r="J1002">
        <v>-190.81880000000001</v>
      </c>
      <c r="K1002">
        <v>1.108587</v>
      </c>
      <c r="L1002">
        <v>321.09949999999998</v>
      </c>
      <c r="M1002">
        <v>-3.5094880000000002E-2</v>
      </c>
      <c r="N1002">
        <v>-1.3849800000000001E-2</v>
      </c>
      <c r="O1002">
        <v>-0.99928830000000002</v>
      </c>
      <c r="P1002">
        <v>-9.6537880000000006E-2</v>
      </c>
      <c r="Q1002">
        <v>-0.1611659</v>
      </c>
      <c r="R1002">
        <v>-0.98219469999999998</v>
      </c>
      <c r="S1002">
        <v>-0.93890379999999996</v>
      </c>
      <c r="T1002">
        <v>-0.2464083</v>
      </c>
      <c r="U1002">
        <v>-2.9274290000000001</v>
      </c>
      <c r="V1002">
        <v>6.1804619999999998E-2</v>
      </c>
      <c r="W1002">
        <v>-0.1475929</v>
      </c>
      <c r="X1002">
        <v>0.98711530000000003</v>
      </c>
      <c r="Y1002">
        <v>0.27094679999999999</v>
      </c>
      <c r="Z1002">
        <v>6.6496570000000005E-2</v>
      </c>
      <c r="AA1002">
        <v>0.9602948</v>
      </c>
      <c r="AB1002">
        <v>25</v>
      </c>
      <c r="AC1002">
        <v>-4.2152999999999796</v>
      </c>
      <c r="AD1002">
        <v>-1.1085916941889999</v>
      </c>
      <c r="AE1002">
        <v>-12.942599999999899</v>
      </c>
      <c r="AF1002">
        <v>3.7336746030855399</v>
      </c>
      <c r="AG1002">
        <v>-1.1085916941889999</v>
      </c>
      <c r="AH1002">
        <v>12.9963692200983</v>
      </c>
      <c r="AI1002">
        <v>94.686853702841702</v>
      </c>
      <c r="AJ1002">
        <v>73.971383858064996</v>
      </c>
      <c r="AK1002">
        <v>13.567421070021799</v>
      </c>
      <c r="AL1002">
        <v>98.487456870033895</v>
      </c>
      <c r="AM1002">
        <v>86.417310697450603</v>
      </c>
      <c r="AN1002">
        <v>1.00000004533892</v>
      </c>
    </row>
    <row r="1003" spans="1:40" x14ac:dyDescent="0.25">
      <c r="A1003" t="str">
        <f>"20190305135559298"</f>
        <v>20190305135559298</v>
      </c>
      <c r="B1003" t="str">
        <f>"1551765359292552"</f>
        <v>1551765359292552</v>
      </c>
      <c r="C1003" t="s">
        <v>40</v>
      </c>
      <c r="D1003">
        <v>4.4067920000000003</v>
      </c>
      <c r="E1003">
        <v>0.58463269999999901</v>
      </c>
      <c r="F1003" t="s">
        <v>42</v>
      </c>
      <c r="G1003">
        <v>-195.18469999999999</v>
      </c>
      <c r="H1003" s="1">
        <v>-4.5902730000000002E-6</v>
      </c>
      <c r="I1003">
        <v>307.77300000000002</v>
      </c>
      <c r="J1003">
        <v>-190.82859999999999</v>
      </c>
      <c r="K1003">
        <v>1.1086389999999999</v>
      </c>
      <c r="L1003">
        <v>320.84699999999998</v>
      </c>
      <c r="M1003">
        <v>-3.5869470000000001E-2</v>
      </c>
      <c r="N1003">
        <v>-1.3846590000000001E-2</v>
      </c>
      <c r="O1003">
        <v>-0.99926079999999995</v>
      </c>
      <c r="P1003">
        <v>-0.10358299999999999</v>
      </c>
      <c r="Q1003">
        <v>-0.1591243</v>
      </c>
      <c r="R1003">
        <v>-0.98180999999999996</v>
      </c>
      <c r="S1003">
        <v>-0.95677190000000001</v>
      </c>
      <c r="T1003">
        <v>-0.24294279999999999</v>
      </c>
      <c r="U1003">
        <v>-2.9204409999999998</v>
      </c>
      <c r="V1003">
        <v>6.8110249999999997E-2</v>
      </c>
      <c r="W1003">
        <v>-0.14555860000000001</v>
      </c>
      <c r="X1003">
        <v>0.98700239999999995</v>
      </c>
      <c r="Y1003">
        <v>0.27620109999999998</v>
      </c>
      <c r="Z1003">
        <v>6.5423819999999994E-2</v>
      </c>
      <c r="AA1003">
        <v>0.95887049999999996</v>
      </c>
      <c r="AB1003">
        <v>25</v>
      </c>
      <c r="AC1003">
        <v>-4.3560999999999899</v>
      </c>
      <c r="AD1003">
        <v>-1.1086435902730001</v>
      </c>
      <c r="AE1003">
        <v>-13.074</v>
      </c>
      <c r="AF1003">
        <v>3.8593159447033298</v>
      </c>
      <c r="AG1003">
        <v>-1.1086435902730001</v>
      </c>
      <c r="AH1003">
        <v>13.136827723987</v>
      </c>
      <c r="AI1003">
        <v>94.629153941655403</v>
      </c>
      <c r="AJ1003">
        <v>73.628352312225502</v>
      </c>
      <c r="AK1003">
        <v>13.736799220379099</v>
      </c>
      <c r="AL1003">
        <v>98.369627598654901</v>
      </c>
      <c r="AM1003">
        <v>86.052438108976204</v>
      </c>
      <c r="AN1003">
        <v>1.0000000248973899</v>
      </c>
    </row>
    <row r="1004" spans="1:40" x14ac:dyDescent="0.25">
      <c r="A1004" t="str">
        <f>"20190305135559319"</f>
        <v>20190305135559319</v>
      </c>
      <c r="B1004" t="str">
        <f>"1551765359313048"</f>
        <v>1551765359313048</v>
      </c>
      <c r="C1004" t="s">
        <v>40</v>
      </c>
      <c r="D1004">
        <v>4.4011189999999996</v>
      </c>
      <c r="E1004">
        <v>0.58390120000000001</v>
      </c>
      <c r="F1004" t="s">
        <v>42</v>
      </c>
      <c r="G1004">
        <v>-195.3159</v>
      </c>
      <c r="H1004" s="1">
        <v>-4.473045E-6</v>
      </c>
      <c r="I1004">
        <v>307.36009999999999</v>
      </c>
      <c r="J1004">
        <v>-190.8381</v>
      </c>
      <c r="K1004">
        <v>1.1086910000000001</v>
      </c>
      <c r="L1004">
        <v>320.60700000000003</v>
      </c>
      <c r="M1004">
        <v>-3.6530630000000001E-2</v>
      </c>
      <c r="N1004">
        <v>-1.38435E-2</v>
      </c>
      <c r="O1004">
        <v>-0.99923660000000003</v>
      </c>
      <c r="P1004">
        <v>-0.1090612</v>
      </c>
      <c r="Q1004">
        <v>-0.15743879999999999</v>
      </c>
      <c r="R1004">
        <v>-0.98148780000000002</v>
      </c>
      <c r="S1004">
        <v>-0.96968080000000001</v>
      </c>
      <c r="T1004">
        <v>-0.2395746</v>
      </c>
      <c r="U1004">
        <v>-2.9144589999999999</v>
      </c>
      <c r="V1004">
        <v>7.2964119999999993E-2</v>
      </c>
      <c r="W1004">
        <v>-0.1438749</v>
      </c>
      <c r="X1004">
        <v>0.98690239999999996</v>
      </c>
      <c r="Y1004">
        <v>0.27999499999999999</v>
      </c>
      <c r="Z1004">
        <v>6.4390069999999994E-2</v>
      </c>
      <c r="AA1004">
        <v>0.95783960000000001</v>
      </c>
      <c r="AB1004">
        <v>25</v>
      </c>
      <c r="AC1004">
        <v>-4.4778000000000002</v>
      </c>
      <c r="AD1004">
        <v>-1.108695473045</v>
      </c>
      <c r="AE1004">
        <v>-13.2469</v>
      </c>
      <c r="AF1004">
        <v>3.9659149284451698</v>
      </c>
      <c r="AG1004">
        <v>-1.108695473045</v>
      </c>
      <c r="AH1004">
        <v>13.3179258642988</v>
      </c>
      <c r="AI1004">
        <v>94.561731018031196</v>
      </c>
      <c r="AJ1004">
        <v>73.417114216985198</v>
      </c>
      <c r="AK1004">
        <v>13.9400443399071</v>
      </c>
      <c r="AL1004">
        <v>98.272132168765197</v>
      </c>
      <c r="AM1004">
        <v>85.771675023855707</v>
      </c>
      <c r="AN1004">
        <v>1.0000000483915701</v>
      </c>
    </row>
    <row r="1005" spans="1:40" x14ac:dyDescent="0.25">
      <c r="A1005" t="str">
        <f>"20190305135559342"</f>
        <v>20190305135559342</v>
      </c>
      <c r="B1005" t="str">
        <f>"1551765359332567"</f>
        <v>1551765359332567</v>
      </c>
      <c r="C1005" t="s">
        <v>40</v>
      </c>
      <c r="D1005">
        <v>4.7610780000000004</v>
      </c>
      <c r="E1005">
        <v>0.58314370000000004</v>
      </c>
      <c r="F1005" t="s">
        <v>42</v>
      </c>
      <c r="G1005">
        <v>-195.43870000000001</v>
      </c>
      <c r="H1005" s="1">
        <v>-4.3555220000000002E-6</v>
      </c>
      <c r="I1005">
        <v>306.95080000000002</v>
      </c>
      <c r="J1005">
        <v>-190.84800000000001</v>
      </c>
      <c r="K1005">
        <v>1.10877</v>
      </c>
      <c r="L1005">
        <v>320.35739999999998</v>
      </c>
      <c r="M1005">
        <v>-3.7110440000000001E-2</v>
      </c>
      <c r="N1005">
        <v>-1.383621E-2</v>
      </c>
      <c r="O1005">
        <v>-0.99921550000000003</v>
      </c>
      <c r="P1005">
        <v>-0.11323179999999999</v>
      </c>
      <c r="Q1005">
        <v>-0.15587129999999999</v>
      </c>
      <c r="R1005">
        <v>-0.98126619999999998</v>
      </c>
      <c r="S1005">
        <v>-0.98025510000000005</v>
      </c>
      <c r="T1005">
        <v>-0.23623240000000001</v>
      </c>
      <c r="U1005">
        <v>-2.9097599999999999</v>
      </c>
      <c r="V1005">
        <v>7.6595780000000002E-2</v>
      </c>
      <c r="W1005">
        <v>-0.1423056</v>
      </c>
      <c r="X1005">
        <v>0.98685469999999997</v>
      </c>
      <c r="Y1005">
        <v>0.283051</v>
      </c>
      <c r="Z1005">
        <v>6.3352019999999995E-2</v>
      </c>
      <c r="AA1005">
        <v>0.95701029999999998</v>
      </c>
      <c r="AB1005">
        <v>25</v>
      </c>
      <c r="AC1005">
        <v>-4.5907000000000204</v>
      </c>
      <c r="AD1005">
        <v>-1.108774355522</v>
      </c>
      <c r="AE1005">
        <v>-13.4065999999999</v>
      </c>
      <c r="AF1005">
        <v>4.0650781209945102</v>
      </c>
      <c r="AG1005">
        <v>-1.108774355522</v>
      </c>
      <c r="AH1005">
        <v>13.4851853865766</v>
      </c>
      <c r="AI1005">
        <v>94.501191582801994</v>
      </c>
      <c r="AJ1005">
        <v>73.224687854731499</v>
      </c>
      <c r="AK1005">
        <v>14.1281444504079</v>
      </c>
      <c r="AL1005">
        <v>98.181283440631105</v>
      </c>
      <c r="AM1005">
        <v>85.561824927136598</v>
      </c>
      <c r="AN1005">
        <v>0.99999999810862905</v>
      </c>
    </row>
    <row r="1006" spans="1:40" x14ac:dyDescent="0.25">
      <c r="A1006" t="str">
        <f>"20190305135559364"</f>
        <v>20190305135559364</v>
      </c>
      <c r="B1006" t="str">
        <f>"1551765359353064"</f>
        <v>1551765359353064</v>
      </c>
      <c r="C1006" t="s">
        <v>40</v>
      </c>
      <c r="D1006">
        <v>4.4138859999999998</v>
      </c>
      <c r="E1006">
        <v>0.58243789999999995</v>
      </c>
      <c r="F1006" t="s">
        <v>42</v>
      </c>
      <c r="G1006">
        <v>-195.5136</v>
      </c>
      <c r="H1006" s="1">
        <v>-4.2553359999999999E-6</v>
      </c>
      <c r="I1006">
        <v>306.61739999999998</v>
      </c>
      <c r="J1006">
        <v>-190.85759999999999</v>
      </c>
      <c r="K1006">
        <v>1.108876</v>
      </c>
      <c r="L1006">
        <v>320.1155</v>
      </c>
      <c r="M1006">
        <v>-3.75365E-2</v>
      </c>
      <c r="N1006">
        <v>-1.381108E-2</v>
      </c>
      <c r="O1006">
        <v>-0.99919990000000003</v>
      </c>
      <c r="P1006">
        <v>-0.11731220000000001</v>
      </c>
      <c r="Q1006">
        <v>-0.154426799999999</v>
      </c>
      <c r="R1006">
        <v>-0.98101499999999997</v>
      </c>
      <c r="S1006">
        <v>-0.98683169999999998</v>
      </c>
      <c r="T1006">
        <v>-0.23452020000000001</v>
      </c>
      <c r="U1006">
        <v>-2.9061889999999999</v>
      </c>
      <c r="V1006">
        <v>8.0296290000000006E-2</v>
      </c>
      <c r="W1006">
        <v>-0.14087239999999901</v>
      </c>
      <c r="X1006">
        <v>0.98676620000000004</v>
      </c>
      <c r="Y1006">
        <v>0.2849505</v>
      </c>
      <c r="Z1006">
        <v>6.2860669999999993E-2</v>
      </c>
      <c r="AA1006">
        <v>0.95647879999999996</v>
      </c>
      <c r="AB1006">
        <v>25</v>
      </c>
      <c r="AC1006">
        <v>-4.6559999999999997</v>
      </c>
      <c r="AD1006">
        <v>-1.108880255336</v>
      </c>
      <c r="AE1006">
        <v>-13.498100000000001</v>
      </c>
      <c r="AF1006">
        <v>4.1211430951584704</v>
      </c>
      <c r="AG1006">
        <v>-1.108880255336</v>
      </c>
      <c r="AH1006">
        <v>13.581460113594201</v>
      </c>
      <c r="AI1006">
        <v>94.467383357162007</v>
      </c>
      <c r="AJ1006">
        <v>73.120162596265502</v>
      </c>
      <c r="AK1006">
        <v>14.2362036599859</v>
      </c>
      <c r="AL1006">
        <v>98.098331161081404</v>
      </c>
      <c r="AM1006">
        <v>85.347911021067205</v>
      </c>
      <c r="AN1006">
        <v>1.00000003036598</v>
      </c>
    </row>
    <row r="1007" spans="1:40" x14ac:dyDescent="0.25">
      <c r="A1007" t="str">
        <f>"20190305135559387"</f>
        <v>20190305135559387</v>
      </c>
      <c r="B1007" t="str">
        <f>"1551765359382343"</f>
        <v>1551765359382343</v>
      </c>
      <c r="C1007" t="s">
        <v>40</v>
      </c>
      <c r="D1007">
        <v>4.4335089999999999</v>
      </c>
      <c r="E1007">
        <v>0.56703719999999902</v>
      </c>
      <c r="F1007" t="s">
        <v>42</v>
      </c>
      <c r="G1007">
        <v>-195.62100000000001</v>
      </c>
      <c r="H1007" s="1">
        <v>-4.1308030000000002E-6</v>
      </c>
      <c r="I1007">
        <v>306.19540000000001</v>
      </c>
      <c r="J1007">
        <v>-190.8674</v>
      </c>
      <c r="K1007">
        <v>1.1089960000000001</v>
      </c>
      <c r="L1007">
        <v>319.86559999999997</v>
      </c>
      <c r="M1007">
        <v>-3.7817499999999997E-2</v>
      </c>
      <c r="N1007">
        <v>-1.375265E-2</v>
      </c>
      <c r="O1007">
        <v>-0.99919000000000002</v>
      </c>
      <c r="P1007">
        <v>-0.1204551</v>
      </c>
      <c r="Q1007">
        <v>-0.150868</v>
      </c>
      <c r="R1007">
        <v>-0.98118760000000005</v>
      </c>
      <c r="S1007">
        <v>-0.99337770000000003</v>
      </c>
      <c r="T1007">
        <v>-0.23124549999999999</v>
      </c>
      <c r="U1007">
        <v>-2.9028930000000002</v>
      </c>
      <c r="V1007">
        <v>8.3194169999999998E-2</v>
      </c>
      <c r="W1007">
        <v>-0.13734640000000001</v>
      </c>
      <c r="X1007">
        <v>0.98702319999999999</v>
      </c>
      <c r="Y1007">
        <v>0.28696440000000001</v>
      </c>
      <c r="Z1007">
        <v>6.188602E-2</v>
      </c>
      <c r="AA1007">
        <v>0.95594009999999996</v>
      </c>
      <c r="AB1007">
        <v>25</v>
      </c>
      <c r="AC1007">
        <v>-4.7535999999999703</v>
      </c>
      <c r="AD1007">
        <v>-1.109000130803</v>
      </c>
      <c r="AE1007">
        <v>-13.6701999999999</v>
      </c>
      <c r="AF1007">
        <v>4.2084677791653302</v>
      </c>
      <c r="AG1007">
        <v>-1.109000130803</v>
      </c>
      <c r="AH1007">
        <v>13.7594190380592</v>
      </c>
      <c r="AI1007">
        <v>94.4073431581443</v>
      </c>
      <c r="AJ1007">
        <v>72.993178995568996</v>
      </c>
      <c r="AK1007">
        <v>14.4313095248941</v>
      </c>
      <c r="AL1007">
        <v>97.894322404697704</v>
      </c>
      <c r="AM1007">
        <v>85.182043867234896</v>
      </c>
      <c r="AN1007">
        <v>1.00000005042659</v>
      </c>
    </row>
    <row r="1008" spans="1:40" x14ac:dyDescent="0.25">
      <c r="A1008" t="str">
        <f>"20190305135559410"</f>
        <v>20190305135559410</v>
      </c>
      <c r="B1008" t="str">
        <f>"1551765359402840"</f>
        <v>1551765359402840</v>
      </c>
      <c r="C1008" t="s">
        <v>40</v>
      </c>
      <c r="D1008">
        <v>4.3029199999999896</v>
      </c>
      <c r="E1008">
        <v>0.56702759999999996</v>
      </c>
      <c r="F1008" t="s">
        <v>42</v>
      </c>
      <c r="G1008">
        <v>-194.59180000000001</v>
      </c>
      <c r="H1008" s="1">
        <v>-4.4225980000000002E-6</v>
      </c>
      <c r="I1008">
        <v>307.58929999999998</v>
      </c>
      <c r="J1008">
        <v>-190.87690000000001</v>
      </c>
      <c r="K1008">
        <v>1.109102</v>
      </c>
      <c r="L1008">
        <v>319.6207</v>
      </c>
      <c r="M1008">
        <v>-3.7948740000000002E-2</v>
      </c>
      <c r="N1008">
        <v>-1.367113E-2</v>
      </c>
      <c r="O1008">
        <v>-0.99918640000000003</v>
      </c>
      <c r="P1008">
        <v>-0.12263839999999999</v>
      </c>
      <c r="Q1008">
        <v>-0.14853769999999999</v>
      </c>
      <c r="R1008">
        <v>-0.98127310000000001</v>
      </c>
      <c r="S1008">
        <v>-0.88247679999999995</v>
      </c>
      <c r="T1008">
        <v>-0.26277040000000002</v>
      </c>
      <c r="U1008">
        <v>-2.9087830000000001</v>
      </c>
      <c r="V1008">
        <v>8.528057E-2</v>
      </c>
      <c r="W1008">
        <v>-0.13507230000000001</v>
      </c>
      <c r="X1008">
        <v>0.98715889999999995</v>
      </c>
      <c r="Y1008">
        <v>0.25284899999999999</v>
      </c>
      <c r="Z1008">
        <v>7.2932860000000002E-2</v>
      </c>
      <c r="AA1008">
        <v>0.96475290000000002</v>
      </c>
      <c r="AB1008">
        <v>25</v>
      </c>
      <c r="AC1008">
        <v>-3.7149000000000001</v>
      </c>
      <c r="AD1008">
        <v>-1.1091064225980001</v>
      </c>
      <c r="AE1008">
        <v>-12.0314</v>
      </c>
      <c r="AF1008">
        <v>3.2305410821217002</v>
      </c>
      <c r="AG1008">
        <v>-1.1091064225980001</v>
      </c>
      <c r="AH1008">
        <v>12.070077700042299</v>
      </c>
      <c r="AI1008">
        <v>95.072539329709997</v>
      </c>
      <c r="AJ1008">
        <v>75.016062725599397</v>
      </c>
      <c r="AK1008">
        <v>12.544053907129999</v>
      </c>
      <c r="AL1008">
        <v>97.762800683369804</v>
      </c>
      <c r="AM1008">
        <v>85.062481584858901</v>
      </c>
      <c r="AN1008">
        <v>0.99999999784801197</v>
      </c>
    </row>
    <row r="1009" spans="1:40" x14ac:dyDescent="0.25">
      <c r="A1009" t="str">
        <f>"20190305135559433"</f>
        <v>20190305135559433</v>
      </c>
      <c r="B1009" t="str">
        <f>"1551765359422360"</f>
        <v>1551765359422360</v>
      </c>
      <c r="C1009" t="s">
        <v>40</v>
      </c>
      <c r="D1009">
        <v>4.2934020000000004</v>
      </c>
      <c r="E1009">
        <v>0.59697440000000002</v>
      </c>
      <c r="F1009" t="s">
        <v>42</v>
      </c>
      <c r="G1009">
        <v>-194.71119999999999</v>
      </c>
      <c r="H1009" s="1">
        <v>-4.27071999999999E-6</v>
      </c>
      <c r="I1009">
        <v>307.08080000000001</v>
      </c>
      <c r="J1009">
        <v>-190.88659999999999</v>
      </c>
      <c r="K1009">
        <v>1.109189</v>
      </c>
      <c r="L1009">
        <v>319.3664</v>
      </c>
      <c r="M1009">
        <v>-3.7940509999999997E-2</v>
      </c>
      <c r="N1009">
        <v>-1.358373E-2</v>
      </c>
      <c r="O1009">
        <v>-0.99918790000000002</v>
      </c>
      <c r="P1009">
        <v>-0.1232109</v>
      </c>
      <c r="Q1009">
        <v>-0.14771889999999999</v>
      </c>
      <c r="R1009">
        <v>-0.981325</v>
      </c>
      <c r="S1009">
        <v>-0.88894649999999997</v>
      </c>
      <c r="T1009">
        <v>-0.25713799999999998</v>
      </c>
      <c r="U1009">
        <v>-2.9072879999999999</v>
      </c>
      <c r="V1009">
        <v>8.5889989999999999E-2</v>
      </c>
      <c r="W1009">
        <v>-0.1343192</v>
      </c>
      <c r="X1009">
        <v>0.9872088</v>
      </c>
      <c r="Y1009">
        <v>0.25499889999999997</v>
      </c>
      <c r="Z1009">
        <v>7.1168640000000005E-2</v>
      </c>
      <c r="AA1009">
        <v>0.96431869999999997</v>
      </c>
      <c r="AB1009">
        <v>24</v>
      </c>
      <c r="AC1009">
        <v>-3.8246000000000002</v>
      </c>
      <c r="AD1009">
        <v>-1.1091932707200001</v>
      </c>
      <c r="AE1009">
        <v>-12.285599999999899</v>
      </c>
      <c r="AF1009">
        <v>3.33092867333596</v>
      </c>
      <c r="AG1009">
        <v>-1.1091932707200001</v>
      </c>
      <c r="AH1009">
        <v>12.330246772527399</v>
      </c>
      <c r="AI1009">
        <v>94.963346513617495</v>
      </c>
      <c r="AJ1009">
        <v>74.882793675955398</v>
      </c>
      <c r="AK1009">
        <v>12.820311268065399</v>
      </c>
      <c r="AL1009">
        <v>97.719254560550496</v>
      </c>
      <c r="AM1009">
        <v>85.027624163892398</v>
      </c>
      <c r="AN1009">
        <v>0.99999997633413895</v>
      </c>
    </row>
    <row r="1010" spans="1:40" x14ac:dyDescent="0.25">
      <c r="A1010" t="str">
        <f>"20190305135559478"</f>
        <v>20190305135559478</v>
      </c>
      <c r="B1010" t="str">
        <f>"1551765359473129"</f>
        <v>1551765359473129</v>
      </c>
      <c r="C1010" t="s">
        <v>40</v>
      </c>
      <c r="D1010">
        <v>4.3934550000000003</v>
      </c>
      <c r="E1010">
        <v>0.5387651</v>
      </c>
      <c r="F1010" t="s">
        <v>53</v>
      </c>
      <c r="G1010">
        <v>-238.16239999999999</v>
      </c>
      <c r="H1010">
        <v>2.71787</v>
      </c>
      <c r="I1010">
        <v>194.96</v>
      </c>
      <c r="J1010">
        <v>-190.90469999999999</v>
      </c>
      <c r="K1010">
        <v>1.1092869999999999</v>
      </c>
      <c r="L1010">
        <v>318.88690000000003</v>
      </c>
      <c r="M1010">
        <v>-3.7660220000000001E-2</v>
      </c>
      <c r="N1010">
        <v>-1.3436490000000001E-2</v>
      </c>
      <c r="O1010">
        <v>-0.99920030000000004</v>
      </c>
      <c r="P1010">
        <v>-0.11990779999999999</v>
      </c>
      <c r="Q1010">
        <v>-0.1466083</v>
      </c>
      <c r="R1010">
        <v>-0.98190029999999995</v>
      </c>
      <c r="S1010">
        <v>-1.1109009999999999</v>
      </c>
      <c r="T1010">
        <v>3.7801269999999998E-2</v>
      </c>
      <c r="U1010">
        <v>-2.92334</v>
      </c>
      <c r="V1010">
        <v>8.2877870000000006E-2</v>
      </c>
      <c r="W1010">
        <v>-0.13332739999999901</v>
      </c>
      <c r="X1010">
        <v>0.9876007</v>
      </c>
      <c r="Y1010">
        <v>0.31964900000000002</v>
      </c>
      <c r="Z1010">
        <v>-2.5494579999999999E-2</v>
      </c>
      <c r="AA1010">
        <v>0.94719299999999995</v>
      </c>
      <c r="AB1010">
        <v>24</v>
      </c>
      <c r="AC1010">
        <v>-47.2577</v>
      </c>
      <c r="AD1010">
        <v>1.6085830000000001</v>
      </c>
      <c r="AE1010">
        <v>-123.9269</v>
      </c>
      <c r="AF1010">
        <v>42.5503750679338</v>
      </c>
      <c r="AG1010">
        <v>1.6085830000000001</v>
      </c>
      <c r="AH1010">
        <v>125.600391709365</v>
      </c>
      <c r="AI1010">
        <v>89.305037513247896</v>
      </c>
      <c r="AJ1010">
        <v>71.284862782743502</v>
      </c>
      <c r="AK1010">
        <v>132.62194522489699</v>
      </c>
      <c r="AL1010">
        <v>97.661912336578894</v>
      </c>
      <c r="AM1010">
        <v>85.203069292875597</v>
      </c>
      <c r="AN1010">
        <v>1.0000000397834901</v>
      </c>
    </row>
    <row r="1011" spans="1:40" x14ac:dyDescent="0.25">
      <c r="A1011" t="str">
        <f>"20190305135559497"</f>
        <v>20190305135559497</v>
      </c>
      <c r="B1011" t="str">
        <f>"1551765359492649"</f>
        <v>1551765359492649</v>
      </c>
      <c r="C1011" t="s">
        <v>40</v>
      </c>
      <c r="D1011">
        <v>4.3301740000000004</v>
      </c>
      <c r="E1011">
        <v>0.53876279999999999</v>
      </c>
      <c r="F1011" t="s">
        <v>42</v>
      </c>
      <c r="G1011">
        <v>-194.81540000000001</v>
      </c>
      <c r="H1011" s="1">
        <v>-1.9835889999999999E-6</v>
      </c>
      <c r="I1011">
        <v>301.22629999999998</v>
      </c>
      <c r="J1011">
        <v>-190.91300000000001</v>
      </c>
      <c r="K1011">
        <v>1.109329</v>
      </c>
      <c r="L1011">
        <v>318.66250000000002</v>
      </c>
      <c r="M1011">
        <v>-3.7456820000000002E-2</v>
      </c>
      <c r="N1011">
        <v>-1.337289E-2</v>
      </c>
      <c r="O1011">
        <v>-0.99920869999999995</v>
      </c>
      <c r="P1011">
        <v>-0.1173488</v>
      </c>
      <c r="Q1011">
        <v>-0.14508009999999999</v>
      </c>
      <c r="R1011">
        <v>-0.98243619999999998</v>
      </c>
      <c r="S1011">
        <v>-0.65278630000000004</v>
      </c>
      <c r="T1011">
        <v>-0.18516389999999999</v>
      </c>
      <c r="U1011">
        <v>-2.947937</v>
      </c>
      <c r="V1011">
        <v>8.0508899999999994E-2</v>
      </c>
      <c r="W1011">
        <v>-0.13185239999999901</v>
      </c>
      <c r="X1011">
        <v>0.98799459999999995</v>
      </c>
      <c r="Y1011">
        <v>0.17913699999999999</v>
      </c>
      <c r="Z1011">
        <v>4.807666E-2</v>
      </c>
      <c r="AA1011">
        <v>0.98264870000000004</v>
      </c>
      <c r="AB1011">
        <v>24</v>
      </c>
      <c r="AC1011">
        <v>-3.9024000000000201</v>
      </c>
      <c r="AD1011">
        <v>-1.109330983589</v>
      </c>
      <c r="AE1011">
        <v>-17.436199999999999</v>
      </c>
      <c r="AF1011">
        <v>3.2340316836641301</v>
      </c>
      <c r="AG1011">
        <v>-1.109330983589</v>
      </c>
      <c r="AH1011">
        <v>17.5026787380828</v>
      </c>
      <c r="AI1011">
        <v>93.566382577023006</v>
      </c>
      <c r="AJ1011">
        <v>79.5313289015929</v>
      </c>
      <c r="AK1011">
        <v>17.833489259554099</v>
      </c>
      <c r="AL1011">
        <v>97.576648303149497</v>
      </c>
      <c r="AM1011">
        <v>85.341421186185499</v>
      </c>
      <c r="AN1011">
        <v>1.0000000339970601</v>
      </c>
    </row>
    <row r="1012" spans="1:40" x14ac:dyDescent="0.25">
      <c r="A1012" t="str">
        <f>"20190305135559519"</f>
        <v>20190305135559519</v>
      </c>
      <c r="B1012" t="str">
        <f>"1551765359513144"</f>
        <v>1551765359513144</v>
      </c>
      <c r="C1012" t="s">
        <v>40</v>
      </c>
      <c r="D1012">
        <v>4.3551570000000002</v>
      </c>
      <c r="E1012">
        <v>0.53972489999999995</v>
      </c>
      <c r="F1012" t="s">
        <v>42</v>
      </c>
      <c r="G1012">
        <v>-194.9736</v>
      </c>
      <c r="H1012" s="1">
        <v>-1.533552E-6</v>
      </c>
      <c r="I1012">
        <v>300.07909999999998</v>
      </c>
      <c r="J1012">
        <v>-190.92169999999999</v>
      </c>
      <c r="K1012">
        <v>1.109369</v>
      </c>
      <c r="L1012">
        <v>318.42349999999999</v>
      </c>
      <c r="M1012">
        <v>-3.723622E-2</v>
      </c>
      <c r="N1012">
        <v>-1.330974E-2</v>
      </c>
      <c r="O1012">
        <v>-0.99921800000000005</v>
      </c>
      <c r="P1012">
        <v>-0.11455949999999999</v>
      </c>
      <c r="Q1012">
        <v>-0.14178479999999999</v>
      </c>
      <c r="R1012">
        <v>-0.98324630000000002</v>
      </c>
      <c r="S1012">
        <v>-0.64472959999999901</v>
      </c>
      <c r="T1012">
        <v>-0.17613429999999999</v>
      </c>
      <c r="U1012">
        <v>-2.9505919999999999</v>
      </c>
      <c r="V1012">
        <v>7.7913800000000005E-2</v>
      </c>
      <c r="W1012">
        <v>-0.128608</v>
      </c>
      <c r="X1012">
        <v>0.98863009999999996</v>
      </c>
      <c r="Y1012">
        <v>0.1766421</v>
      </c>
      <c r="Z1012">
        <v>4.5133699999999999E-2</v>
      </c>
      <c r="AA1012">
        <v>0.9832398</v>
      </c>
      <c r="AB1012">
        <v>24</v>
      </c>
      <c r="AC1012">
        <v>-4.0519000000000096</v>
      </c>
      <c r="AD1012">
        <v>-1.1093705335519899</v>
      </c>
      <c r="AE1012">
        <v>-18.3444</v>
      </c>
      <c r="AF1012">
        <v>3.3542564790115499</v>
      </c>
      <c r="AG1012">
        <v>-1.1093705335519899</v>
      </c>
      <c r="AH1012">
        <v>18.4183407902167</v>
      </c>
      <c r="AI1012">
        <v>93.391221594200005</v>
      </c>
      <c r="AJ1012">
        <v>79.6786911264699</v>
      </c>
      <c r="AK1012">
        <v>18.7541199999431</v>
      </c>
      <c r="AL1012">
        <v>97.389161171486506</v>
      </c>
      <c r="AM1012">
        <v>85.493841464500207</v>
      </c>
      <c r="AN1012">
        <v>1.00000002626022</v>
      </c>
    </row>
    <row r="1013" spans="1:40" x14ac:dyDescent="0.25">
      <c r="A1013" t="str">
        <f>"20190305135559543"</f>
        <v>20190305135559543</v>
      </c>
      <c r="B1013" t="str">
        <f>"1551765359532665"</f>
        <v>1551765359532665</v>
      </c>
      <c r="C1013" t="s">
        <v>40</v>
      </c>
      <c r="D1013">
        <v>4.3660940000000004</v>
      </c>
      <c r="E1013">
        <v>0.53988190000000003</v>
      </c>
      <c r="F1013" t="s">
        <v>54</v>
      </c>
      <c r="G1013">
        <v>-195.5471</v>
      </c>
      <c r="H1013" s="1">
        <v>4.2845780000000003E-7</v>
      </c>
      <c r="I1013">
        <v>297.18349999999998</v>
      </c>
      <c r="J1013">
        <v>-190.93119999999999</v>
      </c>
      <c r="K1013">
        <v>1.1093919999999999</v>
      </c>
      <c r="L1013">
        <v>318.1626</v>
      </c>
      <c r="M1013">
        <v>-3.7006940000000002E-2</v>
      </c>
      <c r="N1013">
        <v>-1.3247709999999999E-2</v>
      </c>
      <c r="O1013">
        <v>-0.99922739999999999</v>
      </c>
      <c r="P1013">
        <v>-0.111557</v>
      </c>
      <c r="Q1013">
        <v>-0.13734669999999999</v>
      </c>
      <c r="R1013">
        <v>-0.98422140000000002</v>
      </c>
      <c r="S1013">
        <v>-0.64327999999999996</v>
      </c>
      <c r="T1013">
        <v>-0.15428510000000001</v>
      </c>
      <c r="U1013">
        <v>-2.9539490000000002</v>
      </c>
      <c r="V1013">
        <v>7.5104530000000003E-2</v>
      </c>
      <c r="W1013">
        <v>-0.12421980000000001</v>
      </c>
      <c r="X1013">
        <v>0.98940830000000002</v>
      </c>
      <c r="Y1013">
        <v>0.17624709999999999</v>
      </c>
      <c r="Z1013">
        <v>3.7918250000000001E-2</v>
      </c>
      <c r="AA1013">
        <v>0.98361529999999997</v>
      </c>
      <c r="AB1013">
        <v>24</v>
      </c>
      <c r="AC1013">
        <v>-4.6159000000000097</v>
      </c>
      <c r="AD1013">
        <v>-1.1093915715422</v>
      </c>
      <c r="AE1013">
        <v>-20.979099999999999</v>
      </c>
      <c r="AF1013">
        <v>3.8260921563174701</v>
      </c>
      <c r="AG1013">
        <v>-1.1093915715422</v>
      </c>
      <c r="AH1013">
        <v>21.0793382813366</v>
      </c>
      <c r="AI1013">
        <v>92.964313058352204</v>
      </c>
      <c r="AJ1013">
        <v>79.712295708297702</v>
      </c>
      <c r="AK1013">
        <v>21.452464502398399</v>
      </c>
      <c r="AL1013">
        <v>97.135702339759206</v>
      </c>
      <c r="AM1013">
        <v>85.659086407354295</v>
      </c>
      <c r="AN1013">
        <v>1.00000001662372</v>
      </c>
    </row>
    <row r="1014" spans="1:40" x14ac:dyDescent="0.25">
      <c r="A1014" t="str">
        <f>"20190305135559565"</f>
        <v>20190305135559565</v>
      </c>
      <c r="B1014" t="str">
        <f>"1551765359562920"</f>
        <v>1551765359562920</v>
      </c>
      <c r="C1014" t="s">
        <v>40</v>
      </c>
      <c r="D1014">
        <v>4.4242530000000002</v>
      </c>
      <c r="E1014">
        <v>0.53984430000000005</v>
      </c>
      <c r="F1014" t="s">
        <v>54</v>
      </c>
      <c r="G1014">
        <v>-195.68090000000001</v>
      </c>
      <c r="H1014" s="1">
        <v>7.3741609999999998E-7</v>
      </c>
      <c r="I1014">
        <v>296.09440000000001</v>
      </c>
      <c r="J1014">
        <v>-190.93989999999999</v>
      </c>
      <c r="K1014">
        <v>1.1094040000000001</v>
      </c>
      <c r="L1014">
        <v>317.9196</v>
      </c>
      <c r="M1014">
        <v>-3.6805579999999997E-2</v>
      </c>
      <c r="N1014">
        <v>-1.319651E-2</v>
      </c>
      <c r="O1014">
        <v>-0.99923550000000005</v>
      </c>
      <c r="P1014">
        <v>-0.1086997</v>
      </c>
      <c r="Q1014">
        <v>-0.13418559999999999</v>
      </c>
      <c r="R1014">
        <v>-0.98497659999999998</v>
      </c>
      <c r="S1014">
        <v>-0.63606260000000003</v>
      </c>
      <c r="T1014">
        <v>-0.148564</v>
      </c>
      <c r="U1014">
        <v>-2.9552610000000001</v>
      </c>
      <c r="V1014">
        <v>7.2418129999999997E-2</v>
      </c>
      <c r="W1014">
        <v>-0.121103</v>
      </c>
      <c r="X1014">
        <v>0.98999479999999995</v>
      </c>
      <c r="Y1014">
        <v>0.17407719999999999</v>
      </c>
      <c r="Z1014">
        <v>3.6078480000000003E-2</v>
      </c>
      <c r="AA1014">
        <v>0.98407080000000002</v>
      </c>
      <c r="AB1014">
        <v>24</v>
      </c>
      <c r="AC1014">
        <v>-4.7410000000000103</v>
      </c>
      <c r="AD1014">
        <v>-1.1094032625838901</v>
      </c>
      <c r="AE1014">
        <v>-21.825199999999899</v>
      </c>
      <c r="AF1014">
        <v>3.9247443262548001</v>
      </c>
      <c r="AG1014">
        <v>-1.1094032625838901</v>
      </c>
      <c r="AH1014">
        <v>21.930808178283101</v>
      </c>
      <c r="AI1014">
        <v>92.850712218380494</v>
      </c>
      <c r="AJ1014">
        <v>79.853736834147995</v>
      </c>
      <c r="AK1014">
        <v>22.306831710894102</v>
      </c>
      <c r="AL1014">
        <v>96.955764014783199</v>
      </c>
      <c r="AM1014">
        <v>85.816264792680599</v>
      </c>
      <c r="AN1014">
        <v>1.00000001309436</v>
      </c>
    </row>
    <row r="1015" spans="1:40" x14ac:dyDescent="0.25">
      <c r="A1015" t="str">
        <f>"20190305135559588"</f>
        <v>20190305135559588</v>
      </c>
      <c r="B1015" t="str">
        <f>"1551765359582441"</f>
        <v>1551765359582441</v>
      </c>
      <c r="C1015" t="s">
        <v>40</v>
      </c>
      <c r="D1015">
        <v>4.4502490000000003</v>
      </c>
      <c r="E1015">
        <v>0.53888329999999995</v>
      </c>
      <c r="F1015" t="s">
        <v>54</v>
      </c>
      <c r="G1015">
        <v>-195.78800000000001</v>
      </c>
      <c r="H1015" s="1">
        <v>1.087569E-6</v>
      </c>
      <c r="I1015">
        <v>295.07690000000002</v>
      </c>
      <c r="J1015">
        <v>-190.94829999999999</v>
      </c>
      <c r="K1015">
        <v>1.1093980000000001</v>
      </c>
      <c r="L1015">
        <v>317.6841</v>
      </c>
      <c r="M1015">
        <v>-3.661905E-2</v>
      </c>
      <c r="N1015">
        <v>-1.3152469999999999E-2</v>
      </c>
      <c r="O1015">
        <v>-0.99924279999999999</v>
      </c>
      <c r="P1015">
        <v>-0.10620889999999999</v>
      </c>
      <c r="Q1015">
        <v>-0.13174040000000001</v>
      </c>
      <c r="R1015">
        <v>-0.98557830000000002</v>
      </c>
      <c r="S1015">
        <v>-0.62757869999999905</v>
      </c>
      <c r="T1015">
        <v>-0.14360999999999999</v>
      </c>
      <c r="U1015">
        <v>-2.9569399999999999</v>
      </c>
      <c r="V1015">
        <v>7.0087250000000004E-2</v>
      </c>
      <c r="W1015">
        <v>-0.118698</v>
      </c>
      <c r="X1015">
        <v>0.99045369999999999</v>
      </c>
      <c r="Y1015">
        <v>0.17146029999999901</v>
      </c>
      <c r="Z1015">
        <v>3.4482510000000001E-2</v>
      </c>
      <c r="AA1015">
        <v>0.9845874</v>
      </c>
      <c r="AB1015">
        <v>24</v>
      </c>
      <c r="AC1015">
        <v>-4.8396999999999899</v>
      </c>
      <c r="AD1015">
        <v>-1.1093969124309999</v>
      </c>
      <c r="AE1015">
        <v>-22.607199999999899</v>
      </c>
      <c r="AF1015">
        <v>3.9993188340612602</v>
      </c>
      <c r="AG1015">
        <v>-1.1093969124309999</v>
      </c>
      <c r="AH1015">
        <v>22.716966998757499</v>
      </c>
      <c r="AI1015">
        <v>92.7535738299526</v>
      </c>
      <c r="AJ1015">
        <v>80.015399863630407</v>
      </c>
      <c r="AK1015">
        <v>23.092983832073902</v>
      </c>
      <c r="AL1015">
        <v>96.816966526830996</v>
      </c>
      <c r="AM1015">
        <v>85.952338828078595</v>
      </c>
      <c r="AN1015">
        <v>0.99999998483012598</v>
      </c>
    </row>
    <row r="1016" spans="1:40" x14ac:dyDescent="0.25">
      <c r="A1016" t="str">
        <f>"20190305135559612"</f>
        <v>20190305135559612</v>
      </c>
      <c r="B1016" t="str">
        <f>"1551765359602937"</f>
        <v>1551765359602937</v>
      </c>
      <c r="C1016" t="s">
        <v>40</v>
      </c>
      <c r="D1016">
        <v>4.4311569999999998</v>
      </c>
      <c r="E1016">
        <v>0.53833959999999903</v>
      </c>
      <c r="F1016" t="s">
        <v>54</v>
      </c>
      <c r="G1016">
        <v>-195.5992</v>
      </c>
      <c r="H1016" s="1">
        <v>1.0409780000000001E-6</v>
      </c>
      <c r="I1016">
        <v>295.2561</v>
      </c>
      <c r="J1016">
        <v>-190.9579</v>
      </c>
      <c r="K1016">
        <v>1.1093839999999999</v>
      </c>
      <c r="L1016">
        <v>317.4151</v>
      </c>
      <c r="M1016">
        <v>-3.6415629999999997E-2</v>
      </c>
      <c r="N1016">
        <v>-1.310835E-2</v>
      </c>
      <c r="O1016">
        <v>-0.99925070000000005</v>
      </c>
      <c r="P1016">
        <v>-0.1051733</v>
      </c>
      <c r="Q1016">
        <v>-0.12908130000000001</v>
      </c>
      <c r="R1016">
        <v>-0.98604080000000005</v>
      </c>
      <c r="S1016">
        <v>-0.61343380000000003</v>
      </c>
      <c r="T1016">
        <v>-0.1463267</v>
      </c>
      <c r="U1016">
        <v>-2.9581909999999998</v>
      </c>
      <c r="V1016">
        <v>6.9231150000000005E-2</v>
      </c>
      <c r="W1016">
        <v>-0.1160805</v>
      </c>
      <c r="X1016">
        <v>0.99082409999999999</v>
      </c>
      <c r="Y1016">
        <v>0.16705929999999999</v>
      </c>
      <c r="Z1016">
        <v>3.5445829999999998E-2</v>
      </c>
      <c r="AA1016">
        <v>0.98530949999999995</v>
      </c>
      <c r="AB1016">
        <v>24</v>
      </c>
      <c r="AC1016">
        <v>-4.6413000000000002</v>
      </c>
      <c r="AD1016">
        <v>-1.1093829590219999</v>
      </c>
      <c r="AE1016">
        <v>-22.158999999999899</v>
      </c>
      <c r="AF1016">
        <v>3.8220404953370202</v>
      </c>
      <c r="AG1016">
        <v>-1.1093829590219999</v>
      </c>
      <c r="AH1016">
        <v>22.2598816074753</v>
      </c>
      <c r="AI1016">
        <v>92.812050793239806</v>
      </c>
      <c r="AJ1016">
        <v>80.257267339665702</v>
      </c>
      <c r="AK1016">
        <v>22.612851506976799</v>
      </c>
      <c r="AL1016">
        <v>96.665950441759705</v>
      </c>
      <c r="AM1016">
        <v>86.003108622429707</v>
      </c>
      <c r="AN1016">
        <v>1.0000000158756901</v>
      </c>
    </row>
    <row r="1017" spans="1:40" x14ac:dyDescent="0.25">
      <c r="A1017" t="str">
        <f>"20190305135559634"</f>
        <v>20190305135559634</v>
      </c>
      <c r="B1017" t="str">
        <f>"1551765359622458"</f>
        <v>1551765359622458</v>
      </c>
      <c r="C1017" t="s">
        <v>40</v>
      </c>
      <c r="D1017">
        <v>4.4188970000000003</v>
      </c>
      <c r="E1017">
        <v>0.53801509999999997</v>
      </c>
      <c r="F1017" t="s">
        <v>54</v>
      </c>
      <c r="G1017">
        <v>-195.57640000000001</v>
      </c>
      <c r="H1017" s="1">
        <v>1.1696279999999999E-6</v>
      </c>
      <c r="I1017">
        <v>294.89789999999999</v>
      </c>
      <c r="J1017">
        <v>-190.96629999999999</v>
      </c>
      <c r="K1017">
        <v>1.1093660000000001</v>
      </c>
      <c r="L1017">
        <v>317.17649999999998</v>
      </c>
      <c r="M1017">
        <v>-3.6244279999999997E-2</v>
      </c>
      <c r="N1017">
        <v>-1.307417E-2</v>
      </c>
      <c r="O1017">
        <v>-0.99925759999999997</v>
      </c>
      <c r="P1017">
        <v>-0.1055007</v>
      </c>
      <c r="Q1017">
        <v>-0.12619330000000001</v>
      </c>
      <c r="R1017">
        <v>-0.98637960000000002</v>
      </c>
      <c r="S1017">
        <v>-0.60685730000000004</v>
      </c>
      <c r="T1017">
        <v>-0.14576729999999999</v>
      </c>
      <c r="U1017">
        <v>-2.9586489999999999</v>
      </c>
      <c r="V1017">
        <v>6.9711049999999997E-2</v>
      </c>
      <c r="W1017">
        <v>-0.1132244</v>
      </c>
      <c r="X1017">
        <v>0.99112089999999997</v>
      </c>
      <c r="Y1017">
        <v>0.165099</v>
      </c>
      <c r="Z1017">
        <v>3.5305980000000001E-2</v>
      </c>
      <c r="AA1017">
        <v>0.98564490000000005</v>
      </c>
      <c r="AB1017">
        <v>24</v>
      </c>
      <c r="AC1017">
        <v>-4.6101000000000099</v>
      </c>
      <c r="AD1017">
        <v>-1.1093648303720001</v>
      </c>
      <c r="AE1017">
        <v>-22.278599999999901</v>
      </c>
      <c r="AF1017">
        <v>3.7905169107566401</v>
      </c>
      <c r="AG1017">
        <v>-1.1093648303720001</v>
      </c>
      <c r="AH1017">
        <v>22.3778549438567</v>
      </c>
      <c r="AI1017">
        <v>92.798275102449196</v>
      </c>
      <c r="AJ1017">
        <v>80.386095928803996</v>
      </c>
      <c r="AK1017">
        <v>22.7237122993998</v>
      </c>
      <c r="AL1017">
        <v>96.501221626755395</v>
      </c>
      <c r="AM1017">
        <v>85.976694712074703</v>
      </c>
      <c r="AN1017">
        <v>1.0000000168321299</v>
      </c>
    </row>
    <row r="1018" spans="1:40" x14ac:dyDescent="0.25">
      <c r="A1018" t="str">
        <f>"20190305135559656"</f>
        <v>20190305135559656</v>
      </c>
      <c r="B1018" t="str">
        <f>"1551765359652714"</f>
        <v>1551765359652714</v>
      </c>
      <c r="C1018" t="s">
        <v>40</v>
      </c>
      <c r="D1018">
        <v>4.4141329999999996</v>
      </c>
      <c r="E1018">
        <v>0.5378851</v>
      </c>
      <c r="F1018" t="s">
        <v>54</v>
      </c>
      <c r="G1018">
        <v>-195.64099999999999</v>
      </c>
      <c r="H1018" s="1">
        <v>1.310555E-6</v>
      </c>
      <c r="I1018">
        <v>294.34879999999998</v>
      </c>
      <c r="J1018">
        <v>-190.97470000000001</v>
      </c>
      <c r="K1018">
        <v>1.1093519999999999</v>
      </c>
      <c r="L1018">
        <v>316.93950000000001</v>
      </c>
      <c r="M1018">
        <v>-3.6081759999999997E-2</v>
      </c>
      <c r="N1018">
        <v>-1.3044170000000001E-2</v>
      </c>
      <c r="O1018">
        <v>-0.99926400000000004</v>
      </c>
      <c r="P1018">
        <v>-0.1041556</v>
      </c>
      <c r="Q1018">
        <v>-0.12604569999999901</v>
      </c>
      <c r="R1018">
        <v>-0.98654169999999997</v>
      </c>
      <c r="S1018">
        <v>-0.60578920000000003</v>
      </c>
      <c r="T1018">
        <v>-0.14376329999999901</v>
      </c>
      <c r="U1018">
        <v>-2.9582519999999999</v>
      </c>
      <c r="V1018">
        <v>6.8519170000000004E-2</v>
      </c>
      <c r="W1018">
        <v>-0.1131072</v>
      </c>
      <c r="X1018">
        <v>0.99121740000000003</v>
      </c>
      <c r="Y1018">
        <v>0.16494929999999999</v>
      </c>
      <c r="Z1018">
        <v>3.4681410000000003E-2</v>
      </c>
      <c r="AA1018">
        <v>0.98569209999999996</v>
      </c>
      <c r="AB1018">
        <v>24</v>
      </c>
      <c r="AC1018">
        <v>-4.6662999999999704</v>
      </c>
      <c r="AD1018">
        <v>-1.109350689445</v>
      </c>
      <c r="AE1018">
        <v>-22.590699999999998</v>
      </c>
      <c r="AF1018">
        <v>3.8392004528077401</v>
      </c>
      <c r="AG1018">
        <v>-1.109350689445</v>
      </c>
      <c r="AH1018">
        <v>22.691888784485101</v>
      </c>
      <c r="AI1018">
        <v>92.759664952255804</v>
      </c>
      <c r="AJ1018">
        <v>80.397165433789695</v>
      </c>
      <c r="AK1018">
        <v>23.041092328196001</v>
      </c>
      <c r="AL1018">
        <v>96.494463094464095</v>
      </c>
      <c r="AM1018">
        <v>86.045646535330903</v>
      </c>
      <c r="AN1018">
        <v>1.0000000247060401</v>
      </c>
    </row>
    <row r="1019" spans="1:40" x14ac:dyDescent="0.25">
      <c r="A1019" t="str">
        <f>"20190305135559678"</f>
        <v>20190305135559678</v>
      </c>
      <c r="B1019" t="str">
        <f>"1551765359673209"</f>
        <v>1551765359673209</v>
      </c>
      <c r="C1019" t="s">
        <v>40</v>
      </c>
      <c r="D1019">
        <v>4.4554519999999904</v>
      </c>
      <c r="E1019">
        <v>0.53777889999999995</v>
      </c>
      <c r="F1019" t="s">
        <v>54</v>
      </c>
      <c r="G1019">
        <v>-195.36959999999999</v>
      </c>
      <c r="H1019" s="1">
        <v>1.043614E-6</v>
      </c>
      <c r="I1019">
        <v>295.30630000000002</v>
      </c>
      <c r="J1019">
        <v>-190.983</v>
      </c>
      <c r="K1019">
        <v>1.109348</v>
      </c>
      <c r="L1019">
        <v>316.70429999999999</v>
      </c>
      <c r="M1019">
        <v>-3.5925079999999998E-2</v>
      </c>
      <c r="N1019">
        <v>-1.3017900000000001E-2</v>
      </c>
      <c r="O1019">
        <v>-0.99926999999999999</v>
      </c>
      <c r="P1019">
        <v>-0.10262689999999999</v>
      </c>
      <c r="Q1019">
        <v>-0.12662870000000001</v>
      </c>
      <c r="R1019">
        <v>-0.98662760000000005</v>
      </c>
      <c r="S1019">
        <v>-0.60095209999999999</v>
      </c>
      <c r="T1019">
        <v>-0.151691299999999</v>
      </c>
      <c r="U1019">
        <v>-2.9580989999999998</v>
      </c>
      <c r="V1019">
        <v>6.7141790000000007E-2</v>
      </c>
      <c r="W1019">
        <v>-0.1137174</v>
      </c>
      <c r="X1019">
        <v>0.99124179999999995</v>
      </c>
      <c r="Y1019">
        <v>0.1635452</v>
      </c>
      <c r="Z1019">
        <v>3.7347569999999997E-2</v>
      </c>
      <c r="AA1019">
        <v>0.98582860000000005</v>
      </c>
      <c r="AB1019">
        <v>24</v>
      </c>
      <c r="AC1019">
        <v>-4.3865999999999801</v>
      </c>
      <c r="AD1019">
        <v>-1.1093469563859999</v>
      </c>
      <c r="AE1019">
        <v>-21.3979999999999</v>
      </c>
      <c r="AF1019">
        <v>3.6056778342889402</v>
      </c>
      <c r="AG1019">
        <v>-1.1093469563859999</v>
      </c>
      <c r="AH1019">
        <v>21.486366369535201</v>
      </c>
      <c r="AI1019">
        <v>92.914886067747403</v>
      </c>
      <c r="AJ1019">
        <v>80.473820471816396</v>
      </c>
      <c r="AK1019">
        <v>21.815029293590701</v>
      </c>
      <c r="AL1019">
        <v>96.529652267609805</v>
      </c>
      <c r="AM1019">
        <v>86.124987828503905</v>
      </c>
      <c r="AN1019">
        <v>0.99999998654720101</v>
      </c>
    </row>
    <row r="1020" spans="1:40" x14ac:dyDescent="0.25">
      <c r="A1020" t="str">
        <f>"20190305135559699"</f>
        <v>20190305135559699</v>
      </c>
      <c r="B1020" t="str">
        <f>"1551765359692728"</f>
        <v>1551765359692728</v>
      </c>
      <c r="C1020" t="s">
        <v>40</v>
      </c>
      <c r="D1020">
        <v>4.4950559999999999</v>
      </c>
      <c r="E1020">
        <v>0.53777229999999998</v>
      </c>
      <c r="F1020" t="s">
        <v>54</v>
      </c>
      <c r="G1020">
        <v>-195.149</v>
      </c>
      <c r="H1020" s="1">
        <v>8.2378649999999905E-7</v>
      </c>
      <c r="I1020">
        <v>295.98349999999999</v>
      </c>
      <c r="J1020">
        <v>-190.99119999999999</v>
      </c>
      <c r="K1020">
        <v>1.109362</v>
      </c>
      <c r="L1020">
        <v>316.47000000000003</v>
      </c>
      <c r="M1020">
        <v>-3.5770290000000003E-2</v>
      </c>
      <c r="N1020">
        <v>-1.2994810000000001E-2</v>
      </c>
      <c r="O1020">
        <v>-0.99927569999999999</v>
      </c>
      <c r="P1020">
        <v>-9.987675E-2</v>
      </c>
      <c r="Q1020">
        <v>-0.1242591</v>
      </c>
      <c r="R1020">
        <v>-0.98721040000000004</v>
      </c>
      <c r="S1020">
        <v>-0.59481809999999902</v>
      </c>
      <c r="T1020">
        <v>-0.158391</v>
      </c>
      <c r="U1020">
        <v>-2.9584959999999998</v>
      </c>
      <c r="V1020">
        <v>6.4524049999999999E-2</v>
      </c>
      <c r="W1020">
        <v>-0.1113662</v>
      </c>
      <c r="X1020">
        <v>0.99168250000000002</v>
      </c>
      <c r="Y1020">
        <v>0.16168959999999999</v>
      </c>
      <c r="Z1020">
        <v>3.9599269999999999E-2</v>
      </c>
      <c r="AA1020">
        <v>0.98604689999999995</v>
      </c>
      <c r="AB1020">
        <v>24</v>
      </c>
      <c r="AC1020">
        <v>-4.1577999999999999</v>
      </c>
      <c r="AD1020">
        <v>-1.1093611762135001</v>
      </c>
      <c r="AE1020">
        <v>-20.486499999999999</v>
      </c>
      <c r="AF1020">
        <v>3.4126578021512199</v>
      </c>
      <c r="AG1020">
        <v>-1.1093611762135001</v>
      </c>
      <c r="AH1020">
        <v>20.564210279401301</v>
      </c>
      <c r="AI1020">
        <v>93.046314408899306</v>
      </c>
      <c r="AJ1020">
        <v>80.5775611222316</v>
      </c>
      <c r="AK1020">
        <v>20.8749529319064</v>
      </c>
      <c r="AL1020">
        <v>96.394077114147294</v>
      </c>
      <c r="AM1020">
        <v>86.277284360052306</v>
      </c>
      <c r="AN1020">
        <v>0.99999998216854602</v>
      </c>
    </row>
    <row r="1021" spans="1:40" x14ac:dyDescent="0.25">
      <c r="A1021" t="str">
        <f>"20190305135559722"</f>
        <v>20190305135559722</v>
      </c>
      <c r="B1021" t="str">
        <f>"1551765359713225"</f>
        <v>1551765359713225</v>
      </c>
      <c r="C1021" t="s">
        <v>40</v>
      </c>
      <c r="D1021">
        <v>4.4837509999999998</v>
      </c>
      <c r="E1021">
        <v>0.5378096</v>
      </c>
      <c r="F1021" t="s">
        <v>54</v>
      </c>
      <c r="G1021">
        <v>-195.1704</v>
      </c>
      <c r="H1021" s="1">
        <v>1.034179E-6</v>
      </c>
      <c r="I1021">
        <v>295.38290000000001</v>
      </c>
      <c r="J1021">
        <v>-190.99979999999999</v>
      </c>
      <c r="K1021">
        <v>1.109383</v>
      </c>
      <c r="L1021">
        <v>316.22230000000002</v>
      </c>
      <c r="M1021">
        <v>-3.560518E-2</v>
      </c>
      <c r="N1021">
        <v>-1.2973439999999999E-2</v>
      </c>
      <c r="O1021">
        <v>-0.99928189999999995</v>
      </c>
      <c r="P1021">
        <v>-9.8163299999999995E-2</v>
      </c>
      <c r="Q1021">
        <v>-0.12018189999999999</v>
      </c>
      <c r="R1021">
        <v>-0.98788710000000002</v>
      </c>
      <c r="S1021">
        <v>-0.58662409999999998</v>
      </c>
      <c r="T1021">
        <v>-0.1557181</v>
      </c>
      <c r="U1021">
        <v>-2.9599299999999999</v>
      </c>
      <c r="V1021">
        <v>6.2949389999999994E-2</v>
      </c>
      <c r="W1021">
        <v>-0.1073035</v>
      </c>
      <c r="X1021">
        <v>0.99223150000000004</v>
      </c>
      <c r="Y1021">
        <v>0.15914329999999999</v>
      </c>
      <c r="Z1021">
        <v>3.8735600000000002E-2</v>
      </c>
      <c r="AA1021">
        <v>0.98649529999999996</v>
      </c>
      <c r="AB1021">
        <v>24</v>
      </c>
      <c r="AC1021">
        <v>-4.1706000000000003</v>
      </c>
      <c r="AD1021">
        <v>-1.109381965821</v>
      </c>
      <c r="AE1021">
        <v>-20.839400000000001</v>
      </c>
      <c r="AF1021">
        <v>3.4165926410969898</v>
      </c>
      <c r="AG1021">
        <v>-1.109381965821</v>
      </c>
      <c r="AH1021">
        <v>20.917694873915501</v>
      </c>
      <c r="AI1021">
        <v>92.996239821177795</v>
      </c>
      <c r="AJ1021">
        <v>80.723506245859497</v>
      </c>
      <c r="AK1021">
        <v>21.2238967312678</v>
      </c>
      <c r="AL1021">
        <v>96.159897304807004</v>
      </c>
      <c r="AM1021">
        <v>86.369892423702595</v>
      </c>
      <c r="AN1021">
        <v>1.0000000082029299</v>
      </c>
    </row>
    <row r="1022" spans="1:40" x14ac:dyDescent="0.25">
      <c r="A1022" t="str">
        <f>"20190305135559743"</f>
        <v>20190305135559743</v>
      </c>
      <c r="B1022" t="str">
        <f>"1551765359732745"</f>
        <v>1551765359732745</v>
      </c>
      <c r="C1022" t="s">
        <v>40</v>
      </c>
      <c r="D1022">
        <v>4.5195270000000001</v>
      </c>
      <c r="E1022">
        <v>0.53790890000000002</v>
      </c>
      <c r="F1022" t="s">
        <v>54</v>
      </c>
      <c r="G1022">
        <v>-195.37479999999999</v>
      </c>
      <c r="H1022" s="1">
        <v>1.4021610000000001E-6</v>
      </c>
      <c r="I1022">
        <v>293.96269999999998</v>
      </c>
      <c r="J1022">
        <v>-191.00800000000001</v>
      </c>
      <c r="K1022">
        <v>1.1093959999999901</v>
      </c>
      <c r="L1022">
        <v>315.98770000000002</v>
      </c>
      <c r="M1022">
        <v>-3.5446390000000001E-2</v>
      </c>
      <c r="N1022">
        <v>-1.295578E-2</v>
      </c>
      <c r="O1022">
        <v>-0.99928779999999995</v>
      </c>
      <c r="P1022">
        <v>-9.6917500000000004E-2</v>
      </c>
      <c r="Q1022">
        <v>-0.11441460000000001</v>
      </c>
      <c r="R1022">
        <v>-0.98869450000000003</v>
      </c>
      <c r="S1022">
        <v>-0.58197019999999899</v>
      </c>
      <c r="T1022">
        <v>-0.147570799999999</v>
      </c>
      <c r="U1022">
        <v>-2.9609990000000002</v>
      </c>
      <c r="V1022">
        <v>6.1831410000000003E-2</v>
      </c>
      <c r="W1022">
        <v>-0.101545</v>
      </c>
      <c r="X1022">
        <v>0.9929076</v>
      </c>
      <c r="Y1022">
        <v>0.1577626</v>
      </c>
      <c r="Z1022">
        <v>3.6051359999999998E-2</v>
      </c>
      <c r="AA1022">
        <v>0.9868188</v>
      </c>
      <c r="AB1022">
        <v>24</v>
      </c>
      <c r="AC1022">
        <v>-4.3668000000000102</v>
      </c>
      <c r="AD1022">
        <v>-1.1093945978390001</v>
      </c>
      <c r="AE1022">
        <v>-22.024999999999999</v>
      </c>
      <c r="AF1022">
        <v>3.5745571910590299</v>
      </c>
      <c r="AG1022">
        <v>-1.1093945978390001</v>
      </c>
      <c r="AH1022">
        <v>22.111978191372</v>
      </c>
      <c r="AI1022">
        <v>92.835466430929799</v>
      </c>
      <c r="AJ1022">
        <v>80.817174891150998</v>
      </c>
      <c r="AK1022">
        <v>22.426497609336501</v>
      </c>
      <c r="AL1022">
        <v>95.828145356702606</v>
      </c>
      <c r="AM1022">
        <v>86.436617029660397</v>
      </c>
      <c r="AN1022">
        <v>1.0000000062126699</v>
      </c>
    </row>
    <row r="1023" spans="1:40" x14ac:dyDescent="0.25">
      <c r="A1023" t="str">
        <f>"20190305135559767"</f>
        <v>20190305135559767</v>
      </c>
      <c r="B1023" t="str">
        <f>"1551765359763001"</f>
        <v>1551765359763001</v>
      </c>
      <c r="C1023" t="s">
        <v>40</v>
      </c>
      <c r="D1023">
        <v>4.451079</v>
      </c>
      <c r="E1023">
        <v>0.53807700000000003</v>
      </c>
      <c r="F1023" t="s">
        <v>54</v>
      </c>
      <c r="G1023">
        <v>-195.77160000000001</v>
      </c>
      <c r="H1023" s="1">
        <v>1.789669E-6</v>
      </c>
      <c r="I1023">
        <v>291.63619999999997</v>
      </c>
      <c r="J1023">
        <v>-191.017</v>
      </c>
      <c r="K1023">
        <v>1.109402</v>
      </c>
      <c r="L1023">
        <v>315.72699999999998</v>
      </c>
      <c r="M1023">
        <v>-3.526816E-2</v>
      </c>
      <c r="N1023">
        <v>-1.293863E-2</v>
      </c>
      <c r="O1023">
        <v>-0.99929429999999997</v>
      </c>
      <c r="P1023">
        <v>-9.6010319999999996E-2</v>
      </c>
      <c r="Q1023">
        <v>-0.11128490000000001</v>
      </c>
      <c r="R1023">
        <v>-0.98914009999999997</v>
      </c>
      <c r="S1023">
        <v>-0.57940669999999905</v>
      </c>
      <c r="T1023">
        <v>-0.13493629999999901</v>
      </c>
      <c r="U1023">
        <v>-2.961884</v>
      </c>
      <c r="V1023">
        <v>6.108508E-2</v>
      </c>
      <c r="W1023">
        <v>-9.8427609999999999E-2</v>
      </c>
      <c r="X1023">
        <v>0.99326769999999998</v>
      </c>
      <c r="Y1023">
        <v>0.15709219999999999</v>
      </c>
      <c r="Z1023">
        <v>3.1877099999999998E-2</v>
      </c>
      <c r="AA1023">
        <v>0.98706939999999999</v>
      </c>
      <c r="AB1023">
        <v>24</v>
      </c>
      <c r="AC1023">
        <v>-4.7546000000000097</v>
      </c>
      <c r="AD1023">
        <v>-1.1094002103309999</v>
      </c>
      <c r="AE1023">
        <v>-24.090800000000002</v>
      </c>
      <c r="AF1023">
        <v>3.8939841544363598</v>
      </c>
      <c r="AG1023">
        <v>-1.1094002103309999</v>
      </c>
      <c r="AH1023">
        <v>24.1941259753225</v>
      </c>
      <c r="AI1023">
        <v>92.592096242837798</v>
      </c>
      <c r="AJ1023">
        <v>80.856798094957796</v>
      </c>
      <c r="AK1023">
        <v>24.5305852586411</v>
      </c>
      <c r="AL1023">
        <v>95.648632156554598</v>
      </c>
      <c r="AM1023">
        <v>86.480792773023097</v>
      </c>
      <c r="AN1023">
        <v>1.0000000526360999</v>
      </c>
    </row>
    <row r="1024" spans="1:40" x14ac:dyDescent="0.25">
      <c r="A1024" t="str">
        <f>"20190305135559788"</f>
        <v>20190305135559788</v>
      </c>
      <c r="B1024" t="str">
        <f>"1551765359782520"</f>
        <v>1551765359782520</v>
      </c>
      <c r="C1024" t="s">
        <v>40</v>
      </c>
      <c r="D1024">
        <v>4.4771289999999997</v>
      </c>
      <c r="E1024">
        <v>0.55087030000000003</v>
      </c>
      <c r="F1024" t="s">
        <v>54</v>
      </c>
      <c r="G1024">
        <v>-195.97120000000001</v>
      </c>
      <c r="H1024" s="1">
        <v>2.2013660000000001E-6</v>
      </c>
      <c r="I1024">
        <v>290.37139999999999</v>
      </c>
      <c r="J1024">
        <v>-191.0247</v>
      </c>
      <c r="K1024">
        <v>1.1094059999999999</v>
      </c>
      <c r="L1024">
        <v>315.50299999999999</v>
      </c>
      <c r="M1024">
        <v>-3.5114340000000001E-2</v>
      </c>
      <c r="N1024">
        <v>-1.2934889999999999E-2</v>
      </c>
      <c r="O1024">
        <v>-0.99929979999999996</v>
      </c>
      <c r="P1024">
        <v>-9.5524349999999994E-2</v>
      </c>
      <c r="Q1024">
        <v>-0.1114668</v>
      </c>
      <c r="R1024">
        <v>-0.98916669999999995</v>
      </c>
      <c r="S1024">
        <v>-0.57878109999999905</v>
      </c>
      <c r="T1024">
        <v>-0.12960550000000001</v>
      </c>
      <c r="U1024">
        <v>-2.9621580000000001</v>
      </c>
      <c r="V1024">
        <v>6.075125E-2</v>
      </c>
      <c r="W1024">
        <v>-9.8613220000000001E-2</v>
      </c>
      <c r="X1024">
        <v>0.99326970000000003</v>
      </c>
      <c r="Y1024">
        <v>0.1570385</v>
      </c>
      <c r="Z1024">
        <v>3.011221E-2</v>
      </c>
      <c r="AA1024">
        <v>0.98713329999999999</v>
      </c>
      <c r="AB1024">
        <v>24</v>
      </c>
      <c r="AC1024">
        <v>-4.9465000000000101</v>
      </c>
      <c r="AD1024">
        <v>-1.109403798634</v>
      </c>
      <c r="AE1024">
        <v>-25.131599999999899</v>
      </c>
      <c r="AF1024">
        <v>4.0532918286644604</v>
      </c>
      <c r="AG1024">
        <v>-1.109403798634</v>
      </c>
      <c r="AH1024">
        <v>25.242451586613399</v>
      </c>
      <c r="AI1024">
        <v>92.484736744292206</v>
      </c>
      <c r="AJ1024">
        <v>80.877636058543402</v>
      </c>
      <c r="AK1024">
        <v>25.589867399798401</v>
      </c>
      <c r="AL1024">
        <v>95.659319175887205</v>
      </c>
      <c r="AM1024">
        <v>86.499984332109605</v>
      </c>
      <c r="AN1024">
        <v>0.99999998923670996</v>
      </c>
    </row>
    <row r="1025" spans="1:40" x14ac:dyDescent="0.25">
      <c r="A1025" t="str">
        <f>"20190305135559814"</f>
        <v>20190305135559814</v>
      </c>
      <c r="B1025" t="str">
        <f>"1551765359803017"</f>
        <v>1551765359803017</v>
      </c>
      <c r="C1025" t="s">
        <v>40</v>
      </c>
      <c r="D1025">
        <v>4.4850130000000004</v>
      </c>
      <c r="E1025">
        <v>0.55225619999999997</v>
      </c>
      <c r="F1025" t="s">
        <v>54</v>
      </c>
      <c r="G1025">
        <v>-195.7809</v>
      </c>
      <c r="H1025" s="1">
        <v>1.1531799999999999E-6</v>
      </c>
      <c r="I1025">
        <v>294.8931</v>
      </c>
      <c r="J1025">
        <v>-191.03389999999999</v>
      </c>
      <c r="K1025">
        <v>1.109432</v>
      </c>
      <c r="L1025">
        <v>315.23509999999999</v>
      </c>
      <c r="M1025">
        <v>-3.4928769999999998E-2</v>
      </c>
      <c r="N1025">
        <v>-1.2971750000000001E-2</v>
      </c>
      <c r="O1025">
        <v>-0.99930569999999996</v>
      </c>
      <c r="P1025">
        <v>-9.5480670000000004E-2</v>
      </c>
      <c r="Q1025">
        <v>-0.11074580000000001</v>
      </c>
      <c r="R1025">
        <v>-0.98925169999999996</v>
      </c>
      <c r="S1025">
        <v>-0.68060299999999996</v>
      </c>
      <c r="T1025">
        <v>-0.15875320000000001</v>
      </c>
      <c r="U1025">
        <v>-2.9492189999999998</v>
      </c>
      <c r="V1025">
        <v>6.0888499999999998E-2</v>
      </c>
      <c r="W1025">
        <v>-9.7854880000000005E-2</v>
      </c>
      <c r="X1025">
        <v>0.99333629999999995</v>
      </c>
      <c r="Y1025">
        <v>0.19043350000000001</v>
      </c>
      <c r="Z1025">
        <v>3.9615640000000001E-2</v>
      </c>
      <c r="AA1025">
        <v>0.98090049999999995</v>
      </c>
      <c r="AB1025">
        <v>24</v>
      </c>
      <c r="AC1025">
        <v>-4.7470000000000097</v>
      </c>
      <c r="AD1025">
        <v>-1.10943084682</v>
      </c>
      <c r="AE1025">
        <v>-20.341999999999899</v>
      </c>
      <c r="AF1025">
        <v>4.0221760769359998</v>
      </c>
      <c r="AG1025">
        <v>-1.10943084682</v>
      </c>
      <c r="AH1025">
        <v>20.437753694661598</v>
      </c>
      <c r="AI1025">
        <v>93.048793769739305</v>
      </c>
      <c r="AJ1025">
        <v>78.866399654914005</v>
      </c>
      <c r="AK1025">
        <v>20.859302799504299</v>
      </c>
      <c r="AL1025">
        <v>95.615658282406102</v>
      </c>
      <c r="AM1025">
        <v>86.492331381355399</v>
      </c>
      <c r="AN1025">
        <v>0.99999999593487698</v>
      </c>
    </row>
    <row r="1026" spans="1:40" x14ac:dyDescent="0.25">
      <c r="A1026" t="str">
        <f>"20190305135559838"</f>
        <v>20190305135559838</v>
      </c>
      <c r="B1026" t="str">
        <f>"1551765359833272"</f>
        <v>1551765359833272</v>
      </c>
      <c r="C1026" t="s">
        <v>40</v>
      </c>
      <c r="D1026">
        <v>4.5458639999999999</v>
      </c>
      <c r="E1026">
        <v>0.55306540000000004</v>
      </c>
      <c r="F1026" t="s">
        <v>54</v>
      </c>
      <c r="G1026">
        <v>-196.07740000000001</v>
      </c>
      <c r="H1026" s="1">
        <v>1.383002E-6</v>
      </c>
      <c r="I1026">
        <v>293.7176</v>
      </c>
      <c r="J1026">
        <v>-191.04249999999999</v>
      </c>
      <c r="K1026">
        <v>1.1094599999999999</v>
      </c>
      <c r="L1026">
        <v>314.983</v>
      </c>
      <c r="M1026">
        <v>-3.4750699999999898E-2</v>
      </c>
      <c r="N1026">
        <v>-1.304312E-2</v>
      </c>
      <c r="O1026">
        <v>-0.99931110000000001</v>
      </c>
      <c r="P1026">
        <v>-9.6315719999999994E-2</v>
      </c>
      <c r="Q1026">
        <v>-0.1079251</v>
      </c>
      <c r="R1026">
        <v>-0.98948239999999998</v>
      </c>
      <c r="S1026">
        <v>-0.69119259999999905</v>
      </c>
      <c r="T1026">
        <v>-0.1520427</v>
      </c>
      <c r="U1026">
        <v>-2.9488829999999999</v>
      </c>
      <c r="V1026">
        <v>6.1890710000000002E-2</v>
      </c>
      <c r="W1026">
        <v>-9.4960299999999997E-2</v>
      </c>
      <c r="X1026">
        <v>0.99355519999999997</v>
      </c>
      <c r="Y1026">
        <v>0.19399440000000001</v>
      </c>
      <c r="Z1026">
        <v>3.7297749999999998E-2</v>
      </c>
      <c r="AA1026">
        <v>0.98029330000000003</v>
      </c>
      <c r="AB1026">
        <v>24</v>
      </c>
      <c r="AC1026">
        <v>-5.0349000000000199</v>
      </c>
      <c r="AD1026">
        <v>-1.1094586169980001</v>
      </c>
      <c r="AE1026">
        <v>-21.2654</v>
      </c>
      <c r="AF1026">
        <v>4.2817722286974096</v>
      </c>
      <c r="AG1026">
        <v>-1.1094586169980001</v>
      </c>
      <c r="AH1026">
        <v>21.372448853131001</v>
      </c>
      <c r="AI1026">
        <v>92.913799579655205</v>
      </c>
      <c r="AJ1026">
        <v>78.671296650578896</v>
      </c>
      <c r="AK1026">
        <v>21.825353188917099</v>
      </c>
      <c r="AL1026">
        <v>95.449035238954096</v>
      </c>
      <c r="AM1026">
        <v>86.435527193225198</v>
      </c>
      <c r="AN1026">
        <v>0.99999992700371398</v>
      </c>
    </row>
    <row r="1027" spans="1:40" x14ac:dyDescent="0.25">
      <c r="A1027" t="str">
        <f>"20190305135559881"</f>
        <v>20190305135559881</v>
      </c>
      <c r="B1027" t="str">
        <f>"1551765359873289"</f>
        <v>1551765359873289</v>
      </c>
      <c r="C1027" t="s">
        <v>40</v>
      </c>
      <c r="D1027">
        <v>4.5524849999999999</v>
      </c>
      <c r="E1027">
        <v>0.55338240000000005</v>
      </c>
      <c r="F1027" t="s">
        <v>54</v>
      </c>
      <c r="G1027">
        <v>-196.44669999999999</v>
      </c>
      <c r="H1027" s="1">
        <v>1.611404E-6</v>
      </c>
      <c r="I1027">
        <v>292.23469999999998</v>
      </c>
      <c r="J1027">
        <v>-191.05840000000001</v>
      </c>
      <c r="K1027">
        <v>1.109472</v>
      </c>
      <c r="L1027">
        <v>314.51299999999998</v>
      </c>
      <c r="M1027">
        <v>-3.4416479999999999E-2</v>
      </c>
      <c r="N1027">
        <v>-1.3183250000000001E-2</v>
      </c>
      <c r="O1027">
        <v>-0.9993206</v>
      </c>
      <c r="P1027">
        <v>-9.8630809999999999E-2</v>
      </c>
      <c r="Q1027">
        <v>-0.1050825</v>
      </c>
      <c r="R1027">
        <v>-0.98956040000000001</v>
      </c>
      <c r="S1027">
        <v>-0.70034790000000002</v>
      </c>
      <c r="T1027">
        <v>-0.1437775</v>
      </c>
      <c r="U1027">
        <v>-2.9479980000000001</v>
      </c>
      <c r="V1027">
        <v>6.4532729999999996E-2</v>
      </c>
      <c r="W1027">
        <v>-9.1976340000000004E-2</v>
      </c>
      <c r="X1027">
        <v>0.99366790000000005</v>
      </c>
      <c r="Y1027">
        <v>0.19729550000000001</v>
      </c>
      <c r="Z1027">
        <v>3.4412470000000001E-2</v>
      </c>
      <c r="AA1027">
        <v>0.9797399</v>
      </c>
      <c r="AB1027">
        <v>24</v>
      </c>
      <c r="AC1027">
        <v>-5.3882999999999797</v>
      </c>
      <c r="AD1027">
        <v>-1.109470388596</v>
      </c>
      <c r="AE1027">
        <v>-22.278300000000002</v>
      </c>
      <c r="AF1027">
        <v>4.6075044631164603</v>
      </c>
      <c r="AG1027">
        <v>-1.109470388596</v>
      </c>
      <c r="AH1027">
        <v>22.398082655330501</v>
      </c>
      <c r="AI1027">
        <v>92.777712315419805</v>
      </c>
      <c r="AJ1027">
        <v>78.375852425019204</v>
      </c>
      <c r="AK1027">
        <v>22.893975813646399</v>
      </c>
      <c r="AL1027">
        <v>95.277314671073597</v>
      </c>
      <c r="AM1027">
        <v>86.284203290440303</v>
      </c>
      <c r="AN1027">
        <v>1.0000000079257201</v>
      </c>
    </row>
    <row r="1028" spans="1:40" x14ac:dyDescent="0.25">
      <c r="A1028" t="str">
        <f>"20190305135559900"</f>
        <v>20190305135559900</v>
      </c>
      <c r="B1028" t="str">
        <f>"1551765359892808"</f>
        <v>1551765359892808</v>
      </c>
      <c r="C1028" t="s">
        <v>40</v>
      </c>
      <c r="D1028">
        <v>4.557366</v>
      </c>
      <c r="E1028">
        <v>0.55317850000000002</v>
      </c>
      <c r="F1028" t="s">
        <v>54</v>
      </c>
      <c r="G1028">
        <v>-196.5112</v>
      </c>
      <c r="H1028" s="1">
        <v>1.664918E-6</v>
      </c>
      <c r="I1028">
        <v>291.89839999999998</v>
      </c>
      <c r="J1028">
        <v>-191.06549999999999</v>
      </c>
      <c r="K1028">
        <v>1.1094569999999999</v>
      </c>
      <c r="L1028">
        <v>314.303</v>
      </c>
      <c r="M1028">
        <v>-3.4269180000000003E-2</v>
      </c>
      <c r="N1028">
        <v>-1.323877E-2</v>
      </c>
      <c r="O1028">
        <v>-0.99932520000000002</v>
      </c>
      <c r="P1028">
        <v>-9.8259399999999997E-2</v>
      </c>
      <c r="Q1028">
        <v>-0.10790180000000001</v>
      </c>
      <c r="R1028">
        <v>-0.98929409999999895</v>
      </c>
      <c r="S1028">
        <v>-0.71022030000000003</v>
      </c>
      <c r="T1028">
        <v>-0.14450739999999901</v>
      </c>
      <c r="U1028">
        <v>-2.9455260000000001</v>
      </c>
      <c r="V1028">
        <v>6.4317840000000001E-2</v>
      </c>
      <c r="W1028">
        <v>-9.4743830000000001E-2</v>
      </c>
      <c r="X1028">
        <v>0.99342180000000002</v>
      </c>
      <c r="Y1028">
        <v>0.20072580000000001</v>
      </c>
      <c r="Z1028">
        <v>3.460274E-2</v>
      </c>
      <c r="AA1028">
        <v>0.97903620000000002</v>
      </c>
      <c r="AB1028">
        <v>24</v>
      </c>
      <c r="AC1028">
        <v>-5.4457000000000102</v>
      </c>
      <c r="AD1028">
        <v>-1.109455335082</v>
      </c>
      <c r="AE1028">
        <v>-22.404599999999999</v>
      </c>
      <c r="AF1028">
        <v>4.6638480315672801</v>
      </c>
      <c r="AG1028">
        <v>-1.109455335082</v>
      </c>
      <c r="AH1028">
        <v>22.5259186810542</v>
      </c>
      <c r="AI1028">
        <v>92.761207667477393</v>
      </c>
      <c r="AJ1028">
        <v>78.302549871370005</v>
      </c>
      <c r="AK1028">
        <v>23.030401256329899</v>
      </c>
      <c r="AL1028">
        <v>95.436575711803698</v>
      </c>
      <c r="AM1028">
        <v>86.295627269205696</v>
      </c>
      <c r="AN1028">
        <v>1.0000000252902801</v>
      </c>
    </row>
    <row r="1029" spans="1:40" x14ac:dyDescent="0.25">
      <c r="A1029" t="str">
        <f>"20190305135559922"</f>
        <v>20190305135559922</v>
      </c>
      <c r="B1029" t="str">
        <f>"1551765359913305"</f>
        <v>1551765359913305</v>
      </c>
      <c r="C1029" t="s">
        <v>40</v>
      </c>
      <c r="D1029">
        <v>4.5849339999999996</v>
      </c>
      <c r="E1029">
        <v>0.55280890000000005</v>
      </c>
      <c r="F1029" t="s">
        <v>54</v>
      </c>
      <c r="G1029">
        <v>-196.078</v>
      </c>
      <c r="H1029" s="1">
        <v>1.4324719999999999E-6</v>
      </c>
      <c r="I1029">
        <v>293.43639999999999</v>
      </c>
      <c r="J1029">
        <v>-191.0736</v>
      </c>
      <c r="K1029">
        <v>1.1094489999999999</v>
      </c>
      <c r="L1029">
        <v>314.06049999999999</v>
      </c>
      <c r="M1029">
        <v>-3.4100730000000003E-2</v>
      </c>
      <c r="N1029">
        <v>-1.3300869999999999E-2</v>
      </c>
      <c r="O1029">
        <v>-0.99932989999999999</v>
      </c>
      <c r="P1029">
        <v>-9.6824649999999998E-2</v>
      </c>
      <c r="Q1029">
        <v>-0.1107713</v>
      </c>
      <c r="R1029">
        <v>-0.98911839999999995</v>
      </c>
      <c r="S1029">
        <v>-0.70747380000000004</v>
      </c>
      <c r="T1029">
        <v>-0.15659000000000001</v>
      </c>
      <c r="U1029">
        <v>-2.9451290000000001</v>
      </c>
      <c r="V1029">
        <v>6.3058160000000002E-2</v>
      </c>
      <c r="W1029">
        <v>-9.7554569999999993E-2</v>
      </c>
      <c r="X1029">
        <v>0.99323050000000002</v>
      </c>
      <c r="Y1029">
        <v>0.20001869999999999</v>
      </c>
      <c r="Z1029">
        <v>3.8543559999999998E-2</v>
      </c>
      <c r="AA1029">
        <v>0.97903359999999995</v>
      </c>
      <c r="AB1029">
        <v>24</v>
      </c>
      <c r="AC1029">
        <v>-5.0044000000000004</v>
      </c>
      <c r="AD1029">
        <v>-1.109447567528</v>
      </c>
      <c r="AE1029">
        <v>-20.624099999999999</v>
      </c>
      <c r="AF1029">
        <v>4.2864156743483397</v>
      </c>
      <c r="AG1029">
        <v>-1.109447567528</v>
      </c>
      <c r="AH1029">
        <v>20.7261300730028</v>
      </c>
      <c r="AI1029">
        <v>93.000677711652898</v>
      </c>
      <c r="AJ1029">
        <v>78.315267852311194</v>
      </c>
      <c r="AK1029">
        <v>21.193789209139201</v>
      </c>
      <c r="AL1029">
        <v>95.598368897261395</v>
      </c>
      <c r="AM1029">
        <v>86.367284478180906</v>
      </c>
      <c r="AN1029">
        <v>1.0000000259003501</v>
      </c>
    </row>
    <row r="1030" spans="1:40" x14ac:dyDescent="0.25">
      <c r="A1030" t="str">
        <f>"20190305135559945"</f>
        <v>20190305135559945</v>
      </c>
      <c r="B1030" t="str">
        <f>"1551765359942585"</f>
        <v>1551765359942585</v>
      </c>
      <c r="C1030" t="s">
        <v>40</v>
      </c>
      <c r="D1030">
        <v>4.5535170000000003</v>
      </c>
      <c r="E1030">
        <v>0.55258999999999903</v>
      </c>
      <c r="F1030" t="s">
        <v>54</v>
      </c>
      <c r="G1030">
        <v>-195.71430000000001</v>
      </c>
      <c r="H1030" s="1">
        <v>1.2724230000000001E-6</v>
      </c>
      <c r="I1030">
        <v>294.52839999999998</v>
      </c>
      <c r="J1030">
        <v>-191.08170000000001</v>
      </c>
      <c r="K1030">
        <v>1.109461</v>
      </c>
      <c r="L1030">
        <v>313.81760000000003</v>
      </c>
      <c r="M1030">
        <v>-3.393231E-2</v>
      </c>
      <c r="N1030">
        <v>-1.3359899999999999E-2</v>
      </c>
      <c r="O1030">
        <v>-0.99933490000000003</v>
      </c>
      <c r="P1030">
        <v>-9.5465480000000005E-2</v>
      </c>
      <c r="Q1030">
        <v>-0.111335</v>
      </c>
      <c r="R1030">
        <v>-0.98918709999999999</v>
      </c>
      <c r="S1030">
        <v>-0.69989009999999996</v>
      </c>
      <c r="T1030">
        <v>-0.167322</v>
      </c>
      <c r="U1030">
        <v>-2.9457399999999998</v>
      </c>
      <c r="V1030">
        <v>6.1864990000000002E-2</v>
      </c>
      <c r="W1030">
        <v>-9.8059510000000003E-2</v>
      </c>
      <c r="X1030">
        <v>0.99325580000000002</v>
      </c>
      <c r="Y1030">
        <v>0.19771610000000001</v>
      </c>
      <c r="Z1030">
        <v>4.2042830000000003E-2</v>
      </c>
      <c r="AA1030">
        <v>0.97935729999999999</v>
      </c>
      <c r="AB1030">
        <v>24</v>
      </c>
      <c r="AC1030">
        <v>-4.6325999999999903</v>
      </c>
      <c r="AD1030">
        <v>-1.109459727577</v>
      </c>
      <c r="AE1030">
        <v>-19.289200000000001</v>
      </c>
      <c r="AF1030">
        <v>3.9629509091570498</v>
      </c>
      <c r="AG1030">
        <v>-1.109459727577</v>
      </c>
      <c r="AH1030">
        <v>19.374698444479399</v>
      </c>
      <c r="AI1030">
        <v>93.211028655393093</v>
      </c>
      <c r="AJ1030">
        <v>78.440026999858503</v>
      </c>
      <c r="AK1030">
        <v>19.8069386985979</v>
      </c>
      <c r="AL1030">
        <v>95.627439273466194</v>
      </c>
      <c r="AM1030">
        <v>86.435933432813698</v>
      </c>
      <c r="AN1030">
        <v>1.0000000143613901</v>
      </c>
    </row>
    <row r="1031" spans="1:40" x14ac:dyDescent="0.25">
      <c r="A1031" t="str">
        <f>"20190305135559967"</f>
        <v>20190305135559967</v>
      </c>
      <c r="B1031" t="str">
        <f>"1551765359962612"</f>
        <v>1551765359962612</v>
      </c>
      <c r="C1031" t="s">
        <v>40</v>
      </c>
      <c r="D1031">
        <v>4.5473039999999996</v>
      </c>
      <c r="E1031">
        <v>0.55272840000000001</v>
      </c>
      <c r="F1031" t="s">
        <v>54</v>
      </c>
      <c r="G1031">
        <v>-195.59690000000001</v>
      </c>
      <c r="H1031" s="1">
        <v>1.2596739999999999E-6</v>
      </c>
      <c r="I1031">
        <v>294.63799999999998</v>
      </c>
      <c r="J1031">
        <v>-191.08949999999999</v>
      </c>
      <c r="K1031">
        <v>1.109488</v>
      </c>
      <c r="L1031">
        <v>313.58080000000001</v>
      </c>
      <c r="M1031">
        <v>-3.3766709999999998E-2</v>
      </c>
      <c r="N1031">
        <v>-1.341184E-2</v>
      </c>
      <c r="O1031">
        <v>-0.99933970000000005</v>
      </c>
      <c r="P1031">
        <v>-9.416281E-2</v>
      </c>
      <c r="Q1031">
        <v>-0.1095917</v>
      </c>
      <c r="R1031">
        <v>-0.98950640000000001</v>
      </c>
      <c r="S1031">
        <v>-0.69369510000000001</v>
      </c>
      <c r="T1031">
        <v>-0.17045199999999999</v>
      </c>
      <c r="U1031">
        <v>-2.9466549999999998</v>
      </c>
      <c r="V1031">
        <v>6.0716199999999901E-2</v>
      </c>
      <c r="W1031">
        <v>-9.62615E-2</v>
      </c>
      <c r="X1031">
        <v>0.99350249999999996</v>
      </c>
      <c r="Y1031">
        <v>0.1958493</v>
      </c>
      <c r="Z1031">
        <v>4.3030430000000001E-2</v>
      </c>
      <c r="AA1031">
        <v>0.97968949999999999</v>
      </c>
      <c r="AB1031">
        <v>24</v>
      </c>
      <c r="AC1031">
        <v>-4.5074000000000103</v>
      </c>
      <c r="AD1031">
        <v>-1.109486740326</v>
      </c>
      <c r="AE1031">
        <v>-18.942799999999998</v>
      </c>
      <c r="AF1031">
        <v>3.85262736826816</v>
      </c>
      <c r="AG1031">
        <v>-1.109486740326</v>
      </c>
      <c r="AH1031">
        <v>19.022450030564801</v>
      </c>
      <c r="AI1031">
        <v>93.271723968771994</v>
      </c>
      <c r="AJ1031">
        <v>78.550722016761995</v>
      </c>
      <c r="AK1031">
        <v>19.440352456450601</v>
      </c>
      <c r="AL1031">
        <v>95.523931366505906</v>
      </c>
      <c r="AM1031">
        <v>86.502816251689694</v>
      </c>
      <c r="AN1031">
        <v>0.99999997541546903</v>
      </c>
    </row>
    <row r="1032" spans="1:40" x14ac:dyDescent="0.25">
      <c r="A1032" t="str">
        <f>"20190305135559989"</f>
        <v>20190305135559989</v>
      </c>
      <c r="B1032" t="str">
        <f>"1551765359983108"</f>
        <v>1551765359983108</v>
      </c>
      <c r="C1032" t="s">
        <v>40</v>
      </c>
      <c r="D1032">
        <v>4.5672769999999998</v>
      </c>
      <c r="E1032">
        <v>0.55325179999999996</v>
      </c>
      <c r="F1032" t="s">
        <v>54</v>
      </c>
      <c r="G1032">
        <v>-195.71</v>
      </c>
      <c r="H1032" s="1">
        <v>1.387137E-6</v>
      </c>
      <c r="I1032">
        <v>293.87920000000003</v>
      </c>
      <c r="J1032">
        <v>-191.09729999999999</v>
      </c>
      <c r="K1032">
        <v>1.109504</v>
      </c>
      <c r="L1032">
        <v>313.34640000000002</v>
      </c>
      <c r="M1032">
        <v>-3.3601680000000002E-2</v>
      </c>
      <c r="N1032">
        <v>-1.345739E-2</v>
      </c>
      <c r="O1032">
        <v>-0.99934469999999997</v>
      </c>
      <c r="P1032">
        <v>-9.3891699999999995E-2</v>
      </c>
      <c r="Q1032">
        <v>-0.1083749</v>
      </c>
      <c r="R1032">
        <v>-0.98966639999999995</v>
      </c>
      <c r="S1032">
        <v>-0.69128420000000002</v>
      </c>
      <c r="T1032">
        <v>-0.165994</v>
      </c>
      <c r="U1032">
        <v>-2.947632</v>
      </c>
      <c r="V1032">
        <v>6.0603230000000001E-2</v>
      </c>
      <c r="W1032">
        <v>-9.4997719999999994E-2</v>
      </c>
      <c r="X1032">
        <v>0.99363109999999999</v>
      </c>
      <c r="Y1032">
        <v>0.19519590000000001</v>
      </c>
      <c r="Z1032">
        <v>4.1505340000000002E-2</v>
      </c>
      <c r="AA1032">
        <v>0.97988560000000002</v>
      </c>
      <c r="AB1032">
        <v>24</v>
      </c>
      <c r="AC1032">
        <v>-4.61270000000001</v>
      </c>
      <c r="AD1032">
        <v>-1.1095026128629999</v>
      </c>
      <c r="AE1032">
        <v>-19.467199999999899</v>
      </c>
      <c r="AF1032">
        <v>3.9437755082716701</v>
      </c>
      <c r="AG1032">
        <v>-1.1095026128629999</v>
      </c>
      <c r="AH1032">
        <v>19.551082615642301</v>
      </c>
      <c r="AI1032">
        <v>93.183993541037793</v>
      </c>
      <c r="AJ1032">
        <v>78.595534496983703</v>
      </c>
      <c r="AK1032">
        <v>19.975715074841801</v>
      </c>
      <c r="AL1032">
        <v>95.451188362616193</v>
      </c>
      <c r="AM1032">
        <v>86.509757753792101</v>
      </c>
      <c r="AN1032">
        <v>1.0000000405894101</v>
      </c>
    </row>
    <row r="1033" spans="1:40" x14ac:dyDescent="0.25">
      <c r="A1033" t="str">
        <f>"20190305135600014"</f>
        <v>20190305135600014</v>
      </c>
      <c r="B1033" t="str">
        <f>"1551765360002628"</f>
        <v>1551765360002628</v>
      </c>
      <c r="C1033" t="s">
        <v>40</v>
      </c>
      <c r="D1033">
        <v>4.5486740000000001</v>
      </c>
      <c r="E1033">
        <v>0.55366579999999999</v>
      </c>
      <c r="F1033" t="s">
        <v>54</v>
      </c>
      <c r="G1033">
        <v>-195.80670000000001</v>
      </c>
      <c r="H1033" s="1">
        <v>1.4674889999999901E-6</v>
      </c>
      <c r="I1033">
        <v>293.37419999999997</v>
      </c>
      <c r="J1033">
        <v>-191.10579999999999</v>
      </c>
      <c r="K1033">
        <v>1.109518</v>
      </c>
      <c r="L1033">
        <v>313.08620000000002</v>
      </c>
      <c r="M1033">
        <v>-3.341802E-2</v>
      </c>
      <c r="N1033">
        <v>-1.3500989999999999E-2</v>
      </c>
      <c r="O1033">
        <v>-0.99935039999999997</v>
      </c>
      <c r="P1033">
        <v>-9.3771869999999993E-2</v>
      </c>
      <c r="Q1033">
        <v>-0.10645159999999999</v>
      </c>
      <c r="R1033">
        <v>-0.9898865</v>
      </c>
      <c r="S1033">
        <v>-0.69500729999999999</v>
      </c>
      <c r="T1033">
        <v>-0.16373770000000001</v>
      </c>
      <c r="U1033">
        <v>-2.9474490000000002</v>
      </c>
      <c r="V1033">
        <v>6.0657830000000003E-2</v>
      </c>
      <c r="W1033">
        <v>-9.3028639999999996E-2</v>
      </c>
      <c r="X1033">
        <v>0.99381399999999998</v>
      </c>
      <c r="Y1033">
        <v>0.19656989999999999</v>
      </c>
      <c r="Z1033">
        <v>4.0706060000000002E-2</v>
      </c>
      <c r="AA1033">
        <v>0.97964450000000003</v>
      </c>
      <c r="AB1033">
        <v>24</v>
      </c>
      <c r="AC1033">
        <v>-4.7009000000000096</v>
      </c>
      <c r="AD1033">
        <v>-1.1095165325109999</v>
      </c>
      <c r="AE1033">
        <v>-19.712</v>
      </c>
      <c r="AF1033">
        <v>4.0274050953920204</v>
      </c>
      <c r="AG1033">
        <v>-1.1095165325109999</v>
      </c>
      <c r="AH1033">
        <v>19.798747073652699</v>
      </c>
      <c r="AI1033">
        <v>93.143246180777098</v>
      </c>
      <c r="AJ1033">
        <v>78.5019327891182</v>
      </c>
      <c r="AK1033">
        <v>20.234658495383002</v>
      </c>
      <c r="AL1033">
        <v>95.337866772967303</v>
      </c>
      <c r="AM1033">
        <v>86.507262355824906</v>
      </c>
      <c r="AN1033">
        <v>0.999999983398279</v>
      </c>
    </row>
    <row r="1034" spans="1:40" x14ac:dyDescent="0.25">
      <c r="A1034" t="str">
        <f>"20190305135600036"</f>
        <v>20190305135600036</v>
      </c>
      <c r="B1034" t="str">
        <f>"1551765360032884"</f>
        <v>1551765360032884</v>
      </c>
      <c r="C1034" t="s">
        <v>40</v>
      </c>
      <c r="D1034">
        <v>4.5418830000000003</v>
      </c>
      <c r="E1034">
        <v>0.55429240000000002</v>
      </c>
      <c r="F1034" t="s">
        <v>54</v>
      </c>
      <c r="G1034">
        <v>-195.94220000000001</v>
      </c>
      <c r="H1034" s="1">
        <v>1.5776980000000001E-6</v>
      </c>
      <c r="I1034">
        <v>292.68020000000001</v>
      </c>
      <c r="J1034">
        <v>-191.11369999999999</v>
      </c>
      <c r="K1034">
        <v>1.109534</v>
      </c>
      <c r="L1034">
        <v>312.84649999999999</v>
      </c>
      <c r="M1034">
        <v>-3.3249340000000002E-2</v>
      </c>
      <c r="N1034">
        <v>-1.3536080000000001E-2</v>
      </c>
      <c r="O1034">
        <v>-0.9993554</v>
      </c>
      <c r="P1034">
        <v>-9.4760430000000007E-2</v>
      </c>
      <c r="Q1034">
        <v>-0.1044489</v>
      </c>
      <c r="R1034">
        <v>-0.99000569999999999</v>
      </c>
      <c r="S1034">
        <v>-0.69851680000000005</v>
      </c>
      <c r="T1034">
        <v>-0.16024569999999999</v>
      </c>
      <c r="U1034">
        <v>-2.9472049999999999</v>
      </c>
      <c r="V1034">
        <v>6.180882E-2</v>
      </c>
      <c r="W1034">
        <v>-9.0989180000000003E-2</v>
      </c>
      <c r="X1034">
        <v>0.99393189999999998</v>
      </c>
      <c r="Y1034">
        <v>0.19786989999999999</v>
      </c>
      <c r="Z1034">
        <v>3.9509679999999998E-2</v>
      </c>
      <c r="AA1034">
        <v>0.97943170000000002</v>
      </c>
      <c r="AB1034">
        <v>24</v>
      </c>
      <c r="AC1034">
        <v>-4.8285000000000204</v>
      </c>
      <c r="AD1034">
        <v>-1.109532422302</v>
      </c>
      <c r="AE1034">
        <v>-20.1662999999999</v>
      </c>
      <c r="AF1034">
        <v>4.1433897385201197</v>
      </c>
      <c r="AG1034">
        <v>-1.109532422302</v>
      </c>
      <c r="AH1034">
        <v>20.257709601641601</v>
      </c>
      <c r="AI1034">
        <v>93.071543569180704</v>
      </c>
      <c r="AJ1034">
        <v>78.440500877999497</v>
      </c>
      <c r="AK1034">
        <v>20.706847636128899</v>
      </c>
      <c r="AL1034">
        <v>95.220516479104603</v>
      </c>
      <c r="AM1034">
        <v>86.441577034356101</v>
      </c>
      <c r="AN1034">
        <v>0.99999999147223695</v>
      </c>
    </row>
    <row r="1035" spans="1:40" x14ac:dyDescent="0.25">
      <c r="A1035" t="str">
        <f>"20190305135600062"</f>
        <v>20190305135600062</v>
      </c>
      <c r="B1035" t="str">
        <f>"1551765360053380"</f>
        <v>1551765360053380</v>
      </c>
      <c r="C1035" t="s">
        <v>40</v>
      </c>
      <c r="D1035">
        <v>4.5519339999999904</v>
      </c>
      <c r="E1035">
        <v>0.55469939999999995</v>
      </c>
      <c r="F1035" t="s">
        <v>54</v>
      </c>
      <c r="G1035">
        <v>-196.07079999999999</v>
      </c>
      <c r="H1035" s="1">
        <v>1.6522470000000001E-6</v>
      </c>
      <c r="I1035">
        <v>292.19209999999998</v>
      </c>
      <c r="J1035">
        <v>-191.1225</v>
      </c>
      <c r="K1035">
        <v>1.1095549999999901</v>
      </c>
      <c r="L1035">
        <v>312.57459999999998</v>
      </c>
      <c r="M1035">
        <v>-3.305864E-2</v>
      </c>
      <c r="N1035">
        <v>-1.35707E-2</v>
      </c>
      <c r="O1035">
        <v>-0.99936139999999996</v>
      </c>
      <c r="P1035">
        <v>-9.6310140000000002E-2</v>
      </c>
      <c r="Q1035">
        <v>-0.102344</v>
      </c>
      <c r="R1035">
        <v>-0.99007579999999995</v>
      </c>
      <c r="S1035">
        <v>-0.70704650000000002</v>
      </c>
      <c r="T1035">
        <v>-0.158253799999999</v>
      </c>
      <c r="U1035">
        <v>-2.9459529999999998</v>
      </c>
      <c r="V1035">
        <v>6.3544210000000004E-2</v>
      </c>
      <c r="W1035">
        <v>-8.8848159999999995E-2</v>
      </c>
      <c r="X1035">
        <v>0.99401620000000002</v>
      </c>
      <c r="Y1035">
        <v>0.20083819999999999</v>
      </c>
      <c r="Z1035">
        <v>3.8807260000000003E-2</v>
      </c>
      <c r="AA1035">
        <v>0.97885540000000004</v>
      </c>
      <c r="AB1035">
        <v>24</v>
      </c>
      <c r="AC1035">
        <v>-4.9482999999999802</v>
      </c>
      <c r="AD1035">
        <v>-1.10955334775299</v>
      </c>
      <c r="AE1035">
        <v>-20.3825</v>
      </c>
      <c r="AF1035">
        <v>4.2597944898613997</v>
      </c>
      <c r="AG1035">
        <v>-1.10955334775299</v>
      </c>
      <c r="AH1035">
        <v>20.477651471302501</v>
      </c>
      <c r="AI1035">
        <v>93.036580537283299</v>
      </c>
      <c r="AJ1035">
        <v>78.248828379464399</v>
      </c>
      <c r="AK1035">
        <v>20.945433094292898</v>
      </c>
      <c r="AL1035">
        <v>95.097345877099499</v>
      </c>
      <c r="AM1035">
        <v>86.342245106993502</v>
      </c>
      <c r="AN1035">
        <v>1.0000000340111701</v>
      </c>
    </row>
    <row r="1036" spans="1:40" x14ac:dyDescent="0.25">
      <c r="A1036" t="str">
        <f>"20190305135600083"</f>
        <v>20190305135600083</v>
      </c>
      <c r="B1036" t="str">
        <f>"1551765360072431"</f>
        <v>1551765360072431</v>
      </c>
      <c r="C1036" t="s">
        <v>40</v>
      </c>
      <c r="D1036">
        <v>4.5632710000000003</v>
      </c>
      <c r="E1036">
        <v>0.55512859999999997</v>
      </c>
      <c r="F1036" t="s">
        <v>54</v>
      </c>
      <c r="G1036">
        <v>-196.30510000000001</v>
      </c>
      <c r="H1036" s="1">
        <v>1.835868E-6</v>
      </c>
      <c r="I1036">
        <v>291.23790000000002</v>
      </c>
      <c r="J1036">
        <v>-191.12979999999999</v>
      </c>
      <c r="K1036">
        <v>1.1095549999999901</v>
      </c>
      <c r="L1036">
        <v>312.34989999999999</v>
      </c>
      <c r="M1036">
        <v>-3.2901149999999997E-2</v>
      </c>
      <c r="N1036">
        <v>-1.3595350000000001E-2</v>
      </c>
      <c r="O1036">
        <v>-0.99936639999999999</v>
      </c>
      <c r="P1036">
        <v>-9.8661830000000006E-2</v>
      </c>
      <c r="Q1036">
        <v>-0.1020023</v>
      </c>
      <c r="R1036">
        <v>-0.98987970000000003</v>
      </c>
      <c r="S1036">
        <v>-0.71524049999999995</v>
      </c>
      <c r="T1036">
        <v>-0.1531284</v>
      </c>
      <c r="U1036">
        <v>-2.9446720000000002</v>
      </c>
      <c r="V1036">
        <v>6.6057389999999994E-2</v>
      </c>
      <c r="W1036">
        <v>-8.8483259999999994E-2</v>
      </c>
      <c r="X1036">
        <v>0.99388489999999996</v>
      </c>
      <c r="Y1036">
        <v>0.20367840000000001</v>
      </c>
      <c r="Z1036">
        <v>3.7082829999999997E-2</v>
      </c>
      <c r="AA1036">
        <v>0.97833530000000002</v>
      </c>
      <c r="AB1036">
        <v>24</v>
      </c>
      <c r="AC1036">
        <v>-5.1753000000000204</v>
      </c>
      <c r="AD1036">
        <v>-1.10955316413199</v>
      </c>
      <c r="AE1036">
        <v>-21.111999999999899</v>
      </c>
      <c r="AF1036">
        <v>4.4661877954018996</v>
      </c>
      <c r="AG1036">
        <v>-1.10955316413199</v>
      </c>
      <c r="AH1036">
        <v>21.215579509453601</v>
      </c>
      <c r="AI1036">
        <v>92.929686036196301</v>
      </c>
      <c r="AJ1036">
        <v>78.111988459263003</v>
      </c>
      <c r="AK1036">
        <v>21.708955653595499</v>
      </c>
      <c r="AL1036">
        <v>95.076355996857899</v>
      </c>
      <c r="AM1036">
        <v>86.197495986533198</v>
      </c>
      <c r="AN1036">
        <v>1.00000003026092</v>
      </c>
    </row>
    <row r="1037" spans="1:40" x14ac:dyDescent="0.25">
      <c r="A1037" t="str">
        <f>"20190305135600101"</f>
        <v>20190305135600101</v>
      </c>
      <c r="B1037" t="str">
        <f>"1551765360092927"</f>
        <v>1551765360092927</v>
      </c>
      <c r="C1037" t="s">
        <v>40</v>
      </c>
      <c r="D1037">
        <v>4.5468549999999999</v>
      </c>
      <c r="E1037">
        <v>0.55535809999999997</v>
      </c>
      <c r="F1037" t="s">
        <v>54</v>
      </c>
      <c r="G1037">
        <v>-196.40119999999999</v>
      </c>
      <c r="H1037" s="1">
        <v>1.9095710000000002E-6</v>
      </c>
      <c r="I1037">
        <v>290.98110000000003</v>
      </c>
      <c r="J1037">
        <v>-191.1362</v>
      </c>
      <c r="K1037">
        <v>1.1095469999999901</v>
      </c>
      <c r="L1037">
        <v>312.15019999999998</v>
      </c>
      <c r="M1037">
        <v>-3.2761190000000003E-2</v>
      </c>
      <c r="N1037">
        <v>-1.3614340000000001E-2</v>
      </c>
      <c r="O1037">
        <v>-0.99937050000000005</v>
      </c>
      <c r="P1037">
        <v>-0.1010742</v>
      </c>
      <c r="Q1037">
        <v>-0.1030807</v>
      </c>
      <c r="R1037">
        <v>-0.98952419999999996</v>
      </c>
      <c r="S1037">
        <v>-0.72589110000000001</v>
      </c>
      <c r="T1037">
        <v>-0.15279010000000001</v>
      </c>
      <c r="U1037">
        <v>-2.9425659999999998</v>
      </c>
      <c r="V1037">
        <v>6.8619349999999996E-2</v>
      </c>
      <c r="W1037">
        <v>-8.9545979999999997E-2</v>
      </c>
      <c r="X1037">
        <v>0.9936161</v>
      </c>
      <c r="Y1037">
        <v>0.2073151</v>
      </c>
      <c r="Z1037">
        <v>3.6947420000000002E-2</v>
      </c>
      <c r="AA1037">
        <v>0.97757629999999995</v>
      </c>
      <c r="AB1037">
        <v>24</v>
      </c>
      <c r="AC1037">
        <v>-5.2649999999999801</v>
      </c>
      <c r="AD1037">
        <v>-1.1095450904289901</v>
      </c>
      <c r="AE1037">
        <v>-21.169099999999901</v>
      </c>
      <c r="AF1037">
        <v>4.5567950538500499</v>
      </c>
      <c r="AG1037">
        <v>-1.1095450904289901</v>
      </c>
      <c r="AH1037">
        <v>21.275196360185799</v>
      </c>
      <c r="AI1037">
        <v>92.919296257449503</v>
      </c>
      <c r="AJ1037">
        <v>77.910844861885195</v>
      </c>
      <c r="AK1037">
        <v>21.785992096642101</v>
      </c>
      <c r="AL1037">
        <v>95.137488065640298</v>
      </c>
      <c r="AM1037">
        <v>86.049413220163103</v>
      </c>
      <c r="AN1037">
        <v>1.0000000259538899</v>
      </c>
    </row>
    <row r="1038" spans="1:40" x14ac:dyDescent="0.25">
      <c r="A1038" t="str">
        <f>"20190305135600123"</f>
        <v>20190305135600123</v>
      </c>
      <c r="B1038" t="str">
        <f>"1551765360112447"</f>
        <v>1551765360112447</v>
      </c>
      <c r="C1038" t="s">
        <v>40</v>
      </c>
      <c r="D1038">
        <v>4.5206359999999997</v>
      </c>
      <c r="E1038">
        <v>0.56242440000000005</v>
      </c>
      <c r="F1038" t="s">
        <v>54</v>
      </c>
      <c r="G1038">
        <v>-196.35220000000001</v>
      </c>
      <c r="H1038" s="1">
        <v>1.811111E-6</v>
      </c>
      <c r="I1038">
        <v>291.2842</v>
      </c>
      <c r="J1038">
        <v>-191.14359999999999</v>
      </c>
      <c r="K1038">
        <v>1.109529</v>
      </c>
      <c r="L1038">
        <v>311.92</v>
      </c>
      <c r="M1038">
        <v>-3.2598630000000003E-2</v>
      </c>
      <c r="N1038">
        <v>-1.3633259999999999E-2</v>
      </c>
      <c r="O1038">
        <v>-0.99937569999999998</v>
      </c>
      <c r="P1038">
        <v>-0.1037221</v>
      </c>
      <c r="Q1038">
        <v>-0.106471</v>
      </c>
      <c r="R1038">
        <v>-0.98889139999999998</v>
      </c>
      <c r="S1038">
        <v>-0.73501590000000006</v>
      </c>
      <c r="T1038">
        <v>-0.15635350000000001</v>
      </c>
      <c r="U1038">
        <v>-2.940369</v>
      </c>
      <c r="V1038">
        <v>7.1448680000000001E-2</v>
      </c>
      <c r="W1038">
        <v>-9.2924039999999999E-2</v>
      </c>
      <c r="X1038">
        <v>0.99310639999999994</v>
      </c>
      <c r="Y1038">
        <v>0.21048649999999999</v>
      </c>
      <c r="Z1038">
        <v>3.8105319999999998E-2</v>
      </c>
      <c r="AA1038">
        <v>0.97685379999999999</v>
      </c>
      <c r="AB1038">
        <v>24</v>
      </c>
      <c r="AC1038">
        <v>-5.2086000000000103</v>
      </c>
      <c r="AD1038">
        <v>-1.1095271888889999</v>
      </c>
      <c r="AE1038">
        <v>-20.6358</v>
      </c>
      <c r="AF1038">
        <v>4.5207836248627302</v>
      </c>
      <c r="AG1038">
        <v>-1.1095271888889999</v>
      </c>
      <c r="AH1038">
        <v>20.738277910430099</v>
      </c>
      <c r="AI1038">
        <v>92.992343820551497</v>
      </c>
      <c r="AJ1038">
        <v>77.702353129374302</v>
      </c>
      <c r="AK1038">
        <v>21.2542867642258</v>
      </c>
      <c r="AL1038">
        <v>95.3318471706433</v>
      </c>
      <c r="AM1038">
        <v>85.884965984031695</v>
      </c>
      <c r="AN1038">
        <v>1.0000000564023099</v>
      </c>
    </row>
    <row r="1039" spans="1:40" x14ac:dyDescent="0.25">
      <c r="A1039" t="str">
        <f>"20190305135600146"</f>
        <v>20190305135600146</v>
      </c>
      <c r="B1039" t="str">
        <f>"1551765360142703"</f>
        <v>1551765360142703</v>
      </c>
      <c r="C1039" t="s">
        <v>40</v>
      </c>
      <c r="D1039">
        <v>4.5109389999999996</v>
      </c>
      <c r="E1039">
        <v>0.56183419999999995</v>
      </c>
      <c r="F1039" t="s">
        <v>54</v>
      </c>
      <c r="G1039">
        <v>-196.7433</v>
      </c>
      <c r="H1039" s="1">
        <v>1.7401029999999999E-6</v>
      </c>
      <c r="I1039">
        <v>291.3546</v>
      </c>
      <c r="J1039">
        <v>-191.1515</v>
      </c>
      <c r="K1039">
        <v>1.1095090000000001</v>
      </c>
      <c r="L1039">
        <v>311.67540000000002</v>
      </c>
      <c r="M1039">
        <v>-3.242101E-2</v>
      </c>
      <c r="N1039">
        <v>-1.365045E-2</v>
      </c>
      <c r="O1039">
        <v>-0.99938119999999997</v>
      </c>
      <c r="P1039">
        <v>-0.10586710000000001</v>
      </c>
      <c r="Q1039">
        <v>-0.1093915</v>
      </c>
      <c r="R1039">
        <v>-0.98834509999999998</v>
      </c>
      <c r="S1039">
        <v>-0.79858399999999996</v>
      </c>
      <c r="T1039">
        <v>-0.1582336</v>
      </c>
      <c r="U1039">
        <v>-2.9328919999999998</v>
      </c>
      <c r="V1039">
        <v>7.3787640000000002E-2</v>
      </c>
      <c r="W1039">
        <v>-9.5832940000000005E-2</v>
      </c>
      <c r="X1039">
        <v>0.99265879999999995</v>
      </c>
      <c r="Y1039">
        <v>0.2310005</v>
      </c>
      <c r="Z1039">
        <v>3.8578469999999997E-2</v>
      </c>
      <c r="AA1039">
        <v>0.97218850000000001</v>
      </c>
      <c r="AB1039">
        <v>24</v>
      </c>
      <c r="AC1039">
        <v>-5.5918000000000001</v>
      </c>
      <c r="AD1039">
        <v>-1.1095072598969999</v>
      </c>
      <c r="AE1039">
        <v>-20.320799999999998</v>
      </c>
      <c r="AF1039">
        <v>4.9163531413742101</v>
      </c>
      <c r="AG1039">
        <v>-1.1095072598969999</v>
      </c>
      <c r="AH1039">
        <v>20.434793750199301</v>
      </c>
      <c r="AI1039">
        <v>93.021766681511906</v>
      </c>
      <c r="AJ1039">
        <v>76.472450407546305</v>
      </c>
      <c r="AK1039">
        <v>21.0471454165084</v>
      </c>
      <c r="AL1039">
        <v>95.499262332414006</v>
      </c>
      <c r="AM1039">
        <v>85.748831937835206</v>
      </c>
      <c r="AN1039">
        <v>1.0000000307116199</v>
      </c>
    </row>
    <row r="1040" spans="1:40" x14ac:dyDescent="0.25">
      <c r="A1040" t="str">
        <f>"20190305135600170"</f>
        <v>20190305135600170</v>
      </c>
      <c r="B1040" t="str">
        <f>"1551765360162512"</f>
        <v>1551765360162512</v>
      </c>
      <c r="C1040" t="s">
        <v>40</v>
      </c>
      <c r="D1040">
        <v>4.4910509999999997</v>
      </c>
      <c r="E1040">
        <v>0.52786860000000002</v>
      </c>
      <c r="F1040" t="s">
        <v>54</v>
      </c>
      <c r="G1040">
        <v>-196.31899999999999</v>
      </c>
      <c r="H1040" s="1">
        <v>1.529696E-6</v>
      </c>
      <c r="I1040">
        <v>292.76299999999998</v>
      </c>
      <c r="J1040">
        <v>-191.1592</v>
      </c>
      <c r="K1040">
        <v>1.109504</v>
      </c>
      <c r="L1040">
        <v>311.4298</v>
      </c>
      <c r="M1040">
        <v>-3.223318E-2</v>
      </c>
      <c r="N1040">
        <v>-1.366507E-2</v>
      </c>
      <c r="O1040">
        <v>-0.99938709999999997</v>
      </c>
      <c r="P1040">
        <v>-0.1070754</v>
      </c>
      <c r="Q1040">
        <v>-0.11168019999999999</v>
      </c>
      <c r="R1040">
        <v>-0.98795909999999998</v>
      </c>
      <c r="S1040">
        <v>-0.80072019999999899</v>
      </c>
      <c r="T1040">
        <v>-0.17192209999999999</v>
      </c>
      <c r="U1040">
        <v>-2.930542</v>
      </c>
      <c r="V1040">
        <v>7.5195940000000003E-2</v>
      </c>
      <c r="W1040">
        <v>-9.8110530000000001E-2</v>
      </c>
      <c r="X1040">
        <v>0.99233059999999995</v>
      </c>
      <c r="Y1040">
        <v>0.2319842</v>
      </c>
      <c r="Z1040">
        <v>4.3096589999999997E-2</v>
      </c>
      <c r="AA1040">
        <v>0.97176439999999997</v>
      </c>
      <c r="AB1040">
        <v>24</v>
      </c>
      <c r="AC1040">
        <v>-5.1598000000000104</v>
      </c>
      <c r="AD1040">
        <v>-1.109502470304</v>
      </c>
      <c r="AE1040">
        <v>-18.666799999999999</v>
      </c>
      <c r="AF1040">
        <v>4.5404700217729603</v>
      </c>
      <c r="AG1040">
        <v>-1.109502470304</v>
      </c>
      <c r="AH1040">
        <v>18.761854024093399</v>
      </c>
      <c r="AI1040">
        <v>93.289565177591896</v>
      </c>
      <c r="AJ1040">
        <v>76.395673057584702</v>
      </c>
      <c r="AK1040">
        <v>19.335305277435399</v>
      </c>
      <c r="AL1040">
        <v>95.630376395658999</v>
      </c>
      <c r="AM1040">
        <v>85.666573464555398</v>
      </c>
      <c r="AN1040">
        <v>1.00000006259286</v>
      </c>
    </row>
    <row r="1041" spans="1:40" x14ac:dyDescent="0.25">
      <c r="A1041" t="str">
        <f>"20190305135600190"</f>
        <v>20190305135600190</v>
      </c>
      <c r="B1041" t="str">
        <f>"1551765360183007"</f>
        <v>1551765360183007</v>
      </c>
      <c r="C1041" t="s">
        <v>40</v>
      </c>
      <c r="D1041">
        <v>4.5344569999999997</v>
      </c>
      <c r="E1041">
        <v>0.51153859999999995</v>
      </c>
      <c r="F1041" t="s">
        <v>54</v>
      </c>
      <c r="G1041">
        <v>-194.4349</v>
      </c>
      <c r="H1041" s="1">
        <v>1.6030839999999999E-6</v>
      </c>
      <c r="I1041">
        <v>293.29520000000002</v>
      </c>
      <c r="J1041">
        <v>-191.1662</v>
      </c>
      <c r="K1041">
        <v>1.109504</v>
      </c>
      <c r="L1041">
        <v>311.209</v>
      </c>
      <c r="M1041">
        <v>-3.2049750000000002E-2</v>
      </c>
      <c r="N1041">
        <v>-1.367611E-2</v>
      </c>
      <c r="O1041">
        <v>-0.99939290000000003</v>
      </c>
      <c r="P1041">
        <v>-0.1071414</v>
      </c>
      <c r="Q1041">
        <v>-0.1128646</v>
      </c>
      <c r="R1041">
        <v>-0.98781719999999895</v>
      </c>
      <c r="S1041">
        <v>-0.53433229999999998</v>
      </c>
      <c r="T1041">
        <v>-0.1809858</v>
      </c>
      <c r="U1041">
        <v>-2.9581909999999998</v>
      </c>
      <c r="V1041">
        <v>7.5450779999999995E-2</v>
      </c>
      <c r="W1041">
        <v>-9.9284259999999999E-2</v>
      </c>
      <c r="X1041">
        <v>0.99219449999999998</v>
      </c>
      <c r="Y1041">
        <v>0.14585200000000001</v>
      </c>
      <c r="Z1041">
        <v>4.6590949999999999E-2</v>
      </c>
      <c r="AA1041">
        <v>0.98820870000000005</v>
      </c>
      <c r="AB1041">
        <v>24</v>
      </c>
      <c r="AC1041">
        <v>-3.2686999999999902</v>
      </c>
      <c r="AD1041">
        <v>-1.1095023969160001</v>
      </c>
      <c r="AE1041">
        <v>-17.913799999999899</v>
      </c>
      <c r="AF1041">
        <v>2.6828741244080199</v>
      </c>
      <c r="AG1041">
        <v>-1.1095023969160001</v>
      </c>
      <c r="AH1041">
        <v>17.9427553008451</v>
      </c>
      <c r="AI1041">
        <v>93.499611293824898</v>
      </c>
      <c r="AJ1041">
        <v>81.495903969537295</v>
      </c>
      <c r="AK1041">
        <v>18.1761183128353</v>
      </c>
      <c r="AL1041">
        <v>95.697956171756005</v>
      </c>
      <c r="AM1041">
        <v>85.651349513464794</v>
      </c>
      <c r="AN1041">
        <v>1.0000000551582999</v>
      </c>
    </row>
    <row r="1042" spans="1:40" x14ac:dyDescent="0.25">
      <c r="A1042" t="str">
        <f>"20190305135600215"</f>
        <v>20190305135600215</v>
      </c>
      <c r="B1042" t="str">
        <f>"1551765360202527"</f>
        <v>1551765360202527</v>
      </c>
      <c r="C1042" t="s">
        <v>40</v>
      </c>
      <c r="D1042">
        <v>4.4246089999999896</v>
      </c>
      <c r="E1042">
        <v>0.50696629999999998</v>
      </c>
      <c r="F1042" t="s">
        <v>54</v>
      </c>
      <c r="G1042">
        <v>-194.27269999999999</v>
      </c>
      <c r="H1042" s="1">
        <v>2.8895009999999998E-6</v>
      </c>
      <c r="I1042">
        <v>288.24470000000002</v>
      </c>
      <c r="J1042">
        <v>-191.17400000000001</v>
      </c>
      <c r="K1042">
        <v>1.10951</v>
      </c>
      <c r="L1042">
        <v>310.95850000000002</v>
      </c>
      <c r="M1042">
        <v>-3.1824110000000003E-2</v>
      </c>
      <c r="N1042">
        <v>-1.3686520000000001E-2</v>
      </c>
      <c r="O1042">
        <v>-0.99939979999999995</v>
      </c>
      <c r="P1042">
        <v>-0.1071999</v>
      </c>
      <c r="Q1042">
        <v>-0.1138962</v>
      </c>
      <c r="R1042">
        <v>-0.98769240000000003</v>
      </c>
      <c r="S1042">
        <v>-0.40269470000000002</v>
      </c>
      <c r="T1042">
        <v>-0.1438247</v>
      </c>
      <c r="U1042">
        <v>-2.9768680000000001</v>
      </c>
      <c r="V1042">
        <v>7.5740279999999993E-2</v>
      </c>
      <c r="W1042">
        <v>-0.10030500000000001</v>
      </c>
      <c r="X1042">
        <v>0.99206970000000005</v>
      </c>
      <c r="Y1042">
        <v>0.1023244</v>
      </c>
      <c r="Z1042">
        <v>3.423114E-2</v>
      </c>
      <c r="AA1042">
        <v>0.99416190000000004</v>
      </c>
      <c r="AB1042">
        <v>24</v>
      </c>
      <c r="AC1042">
        <v>-3.09869999999998</v>
      </c>
      <c r="AD1042">
        <v>-1.109507110499</v>
      </c>
      <c r="AE1042">
        <v>-22.7137999999999</v>
      </c>
      <c r="AF1042">
        <v>2.3686674985652001</v>
      </c>
      <c r="AG1042">
        <v>-1.109507110499</v>
      </c>
      <c r="AH1042">
        <v>22.747630165784798</v>
      </c>
      <c r="AI1042">
        <v>92.777374430641999</v>
      </c>
      <c r="AJ1042">
        <v>84.055322967626097</v>
      </c>
      <c r="AK1042">
        <v>22.897516675533399</v>
      </c>
      <c r="AL1042">
        <v>95.756734076591997</v>
      </c>
      <c r="AM1042">
        <v>85.634181363153701</v>
      </c>
      <c r="AN1042">
        <v>0.99999998634878395</v>
      </c>
    </row>
    <row r="1043" spans="1:40" x14ac:dyDescent="0.25">
      <c r="A1043" t="str">
        <f>"20190305135600237"</f>
        <v>20190305135600237</v>
      </c>
      <c r="B1043" t="str">
        <f>"1551765360232785"</f>
        <v>1551765360232785</v>
      </c>
      <c r="C1043" t="s">
        <v>40</v>
      </c>
      <c r="D1043">
        <v>4.4845499999999996</v>
      </c>
      <c r="E1043">
        <v>0.50370199999999998</v>
      </c>
      <c r="F1043" t="s">
        <v>54</v>
      </c>
      <c r="G1043">
        <v>-195.08690000000001</v>
      </c>
      <c r="H1043" s="1">
        <v>3.6948729999999999E-6</v>
      </c>
      <c r="I1043">
        <v>278.87810000000002</v>
      </c>
      <c r="J1043">
        <v>-191.18129999999999</v>
      </c>
      <c r="K1043">
        <v>1.1095200000000001</v>
      </c>
      <c r="L1043">
        <v>310.7199</v>
      </c>
      <c r="M1043">
        <v>-3.1585189999999999E-2</v>
      </c>
      <c r="N1043">
        <v>-1.3694660000000001E-2</v>
      </c>
      <c r="O1043">
        <v>-0.99940720000000005</v>
      </c>
      <c r="P1043">
        <v>-0.10777349999999999</v>
      </c>
      <c r="Q1043">
        <v>-0.114343899999999</v>
      </c>
      <c r="R1043">
        <v>-0.98757810000000001</v>
      </c>
      <c r="S1043">
        <v>-0.36421199999999998</v>
      </c>
      <c r="T1043">
        <v>-0.1032711</v>
      </c>
      <c r="U1043">
        <v>-2.985992</v>
      </c>
      <c r="V1043">
        <v>7.6557849999999997E-2</v>
      </c>
      <c r="W1043">
        <v>-0.1007431</v>
      </c>
      <c r="X1043">
        <v>0.99196260000000003</v>
      </c>
      <c r="Y1043">
        <v>8.960477E-2</v>
      </c>
      <c r="Z1043">
        <v>2.067855E-2</v>
      </c>
      <c r="AA1043">
        <v>0.9957627</v>
      </c>
      <c r="AB1043">
        <v>24</v>
      </c>
      <c r="AC1043">
        <v>-3.9056000000000202</v>
      </c>
      <c r="AD1043">
        <v>-1.1095163051270001</v>
      </c>
      <c r="AE1043">
        <v>-31.8417999999999</v>
      </c>
      <c r="AF1043">
        <v>2.8943652155752302</v>
      </c>
      <c r="AG1043">
        <v>-1.1095163051270001</v>
      </c>
      <c r="AH1043">
        <v>31.9111100745858</v>
      </c>
      <c r="AI1043">
        <v>91.983178649454004</v>
      </c>
      <c r="AJ1043">
        <v>84.8174041162994</v>
      </c>
      <c r="AK1043">
        <v>32.0613056912036</v>
      </c>
      <c r="AL1043">
        <v>95.781962851987203</v>
      </c>
      <c r="AM1043">
        <v>85.586765616568201</v>
      </c>
      <c r="AN1043">
        <v>1.00000003819649</v>
      </c>
    </row>
    <row r="1044" spans="1:40" x14ac:dyDescent="0.25">
      <c r="A1044" t="str">
        <f>"20190305135600261"</f>
        <v>20190305135600261</v>
      </c>
      <c r="B1044" t="str">
        <f>"1551765360253279"</f>
        <v>1551765360253279</v>
      </c>
      <c r="C1044" t="s">
        <v>40</v>
      </c>
      <c r="D1044">
        <v>4.4584900000000003</v>
      </c>
      <c r="E1044">
        <v>0.50198580000000004</v>
      </c>
      <c r="F1044" t="s">
        <v>54</v>
      </c>
      <c r="G1044">
        <v>-195.60050000000001</v>
      </c>
      <c r="H1044" s="1">
        <v>5.6951129999999996E-6</v>
      </c>
      <c r="I1044">
        <v>271.73140000000001</v>
      </c>
      <c r="J1044">
        <v>-191.18899999999999</v>
      </c>
      <c r="K1044">
        <v>1.109542</v>
      </c>
      <c r="L1044">
        <v>310.46850000000001</v>
      </c>
      <c r="M1044">
        <v>-3.1297369999999998E-2</v>
      </c>
      <c r="N1044">
        <v>-1.3701680000000001E-2</v>
      </c>
      <c r="O1044">
        <v>-0.99941630000000004</v>
      </c>
      <c r="P1044">
        <v>-0.10835350000000001</v>
      </c>
      <c r="Q1044">
        <v>-0.1147128</v>
      </c>
      <c r="R1044">
        <v>-0.98747189999999996</v>
      </c>
      <c r="S1044">
        <v>-0.33900449999999999</v>
      </c>
      <c r="T1044">
        <v>-8.5112690000000005E-2</v>
      </c>
      <c r="U1044">
        <v>-2.990875</v>
      </c>
      <c r="V1044">
        <v>7.7431440000000004E-2</v>
      </c>
      <c r="W1044">
        <v>-0.1011022</v>
      </c>
      <c r="X1044">
        <v>0.99185820000000002</v>
      </c>
      <c r="Y1044">
        <v>8.1433399999999906E-2</v>
      </c>
      <c r="Z1044">
        <v>1.4612709999999999E-2</v>
      </c>
      <c r="AA1044">
        <v>0.99657169999999895</v>
      </c>
      <c r="AB1044">
        <v>24</v>
      </c>
      <c r="AC1044">
        <v>-4.4114999999999798</v>
      </c>
      <c r="AD1044">
        <v>-1.1095363048869999</v>
      </c>
      <c r="AE1044">
        <v>-38.737099999999998</v>
      </c>
      <c r="AF1044">
        <v>3.1942683848693099</v>
      </c>
      <c r="AG1044">
        <v>-1.1095363048869999</v>
      </c>
      <c r="AH1044">
        <v>38.824756849662101</v>
      </c>
      <c r="AI1044">
        <v>91.631447456377401</v>
      </c>
      <c r="AJ1044">
        <v>85.296639814395206</v>
      </c>
      <c r="AK1044">
        <v>38.971735472798997</v>
      </c>
      <c r="AL1044">
        <v>95.802643659617104</v>
      </c>
      <c r="AM1044">
        <v>85.536141313374102</v>
      </c>
      <c r="AN1044">
        <v>0.99999998582627603</v>
      </c>
    </row>
    <row r="1045" spans="1:40" x14ac:dyDescent="0.25">
      <c r="A1045" t="str">
        <f>"20190305135600282"</f>
        <v>20190305135600282</v>
      </c>
      <c r="B1045" t="str">
        <f>"1551765360273306"</f>
        <v>1551765360273306</v>
      </c>
      <c r="C1045" t="s">
        <v>40</v>
      </c>
      <c r="D1045">
        <v>4.4498049999999996</v>
      </c>
      <c r="E1045">
        <v>0.50070630000000005</v>
      </c>
      <c r="F1045" t="s">
        <v>54</v>
      </c>
      <c r="G1045">
        <v>-195.29490000000001</v>
      </c>
      <c r="H1045" s="1">
        <v>5.4251260000000002E-6</v>
      </c>
      <c r="I1045">
        <v>272.98559999999998</v>
      </c>
      <c r="J1045">
        <v>-191.19560000000001</v>
      </c>
      <c r="K1045">
        <v>1.109569</v>
      </c>
      <c r="L1045">
        <v>310.24900000000002</v>
      </c>
      <c r="M1045">
        <v>-3.100982E-2</v>
      </c>
      <c r="N1045">
        <v>-1.370686E-2</v>
      </c>
      <c r="O1045">
        <v>-0.99942520000000001</v>
      </c>
      <c r="P1045">
        <v>-0.10867449999999999</v>
      </c>
      <c r="Q1045">
        <v>-0.11463760000000001</v>
      </c>
      <c r="R1045">
        <v>-0.98744540000000003</v>
      </c>
      <c r="S1045">
        <v>-0.32772829999999997</v>
      </c>
      <c r="T1045">
        <v>-8.8560340000000001E-2</v>
      </c>
      <c r="U1045">
        <v>-2.9917910000000001</v>
      </c>
      <c r="V1045">
        <v>7.8043749999999995E-2</v>
      </c>
      <c r="W1045">
        <v>-0.1010177</v>
      </c>
      <c r="X1045">
        <v>0.9918188</v>
      </c>
      <c r="Y1045">
        <v>7.7973940000000005E-2</v>
      </c>
      <c r="Z1045">
        <v>1.5753349999999999E-2</v>
      </c>
      <c r="AA1045">
        <v>0.99683089999999996</v>
      </c>
      <c r="AB1045">
        <v>24</v>
      </c>
      <c r="AC1045">
        <v>-4.0993000000000004</v>
      </c>
      <c r="AD1045">
        <v>-1.109563574874</v>
      </c>
      <c r="AE1045">
        <v>-37.263399999999997</v>
      </c>
      <c r="AF1045">
        <v>2.9391136991117102</v>
      </c>
      <c r="AG1045">
        <v>-1.109563574874</v>
      </c>
      <c r="AH1045">
        <v>37.339895819095197</v>
      </c>
      <c r="AI1045">
        <v>91.696811166813404</v>
      </c>
      <c r="AJ1045">
        <v>85.499389750967396</v>
      </c>
      <c r="AK1045">
        <v>37.471820618217599</v>
      </c>
      <c r="AL1045">
        <v>95.797777359415804</v>
      </c>
      <c r="AM1045">
        <v>85.500808511848703</v>
      </c>
      <c r="AN1045">
        <v>0.99999996733039498</v>
      </c>
    </row>
    <row r="1046" spans="1:40" x14ac:dyDescent="0.25">
      <c r="A1046" t="str">
        <f>"20190305135600302"</f>
        <v>20190305135600302</v>
      </c>
      <c r="B1046" t="str">
        <f>"1551765360292826"</f>
        <v>1551765360292826</v>
      </c>
      <c r="C1046" t="s">
        <v>40</v>
      </c>
      <c r="D1046">
        <v>4.4608980000000003</v>
      </c>
      <c r="E1046">
        <v>0.50027200000000005</v>
      </c>
      <c r="F1046" t="s">
        <v>54</v>
      </c>
      <c r="G1046">
        <v>-195.13</v>
      </c>
      <c r="H1046" s="1">
        <v>5.3755560000000003E-6</v>
      </c>
      <c r="I1046">
        <v>273.3109</v>
      </c>
      <c r="J1046">
        <v>-191.20189999999999</v>
      </c>
      <c r="K1046">
        <v>1.10961</v>
      </c>
      <c r="L1046">
        <v>310.03309999999999</v>
      </c>
      <c r="M1046">
        <v>-3.0692179999999999E-2</v>
      </c>
      <c r="N1046">
        <v>-1.371124E-2</v>
      </c>
      <c r="O1046">
        <v>-0.99943490000000001</v>
      </c>
      <c r="P1046">
        <v>-0.10979849999999999</v>
      </c>
      <c r="Q1046">
        <v>-0.11431669999999999</v>
      </c>
      <c r="R1046">
        <v>-0.98735819999999996</v>
      </c>
      <c r="S1046">
        <v>-0.31875609999999999</v>
      </c>
      <c r="T1046">
        <v>-8.9893580000000001E-2</v>
      </c>
      <c r="U1046">
        <v>-2.9926149999999998</v>
      </c>
      <c r="V1046">
        <v>7.9490829999999998E-2</v>
      </c>
      <c r="W1046">
        <v>-0.1006879</v>
      </c>
      <c r="X1046">
        <v>0.99173739999999999</v>
      </c>
      <c r="Y1046">
        <v>7.5306490000000004E-2</v>
      </c>
      <c r="Z1046">
        <v>1.61911E-2</v>
      </c>
      <c r="AA1046">
        <v>0.99702900000000005</v>
      </c>
      <c r="AB1046">
        <v>23</v>
      </c>
      <c r="AC1046">
        <v>-3.9281000000000001</v>
      </c>
      <c r="AD1046">
        <v>-1.1096046244440001</v>
      </c>
      <c r="AE1046">
        <v>-36.722200000000001</v>
      </c>
      <c r="AF1046">
        <v>2.7965344008226101</v>
      </c>
      <c r="AG1046">
        <v>-1.1096046244440001</v>
      </c>
      <c r="AH1046">
        <v>36.792257652577298</v>
      </c>
      <c r="AI1046">
        <v>91.722473972308194</v>
      </c>
      <c r="AJ1046">
        <v>85.653375813427004</v>
      </c>
      <c r="AK1046">
        <v>36.915065356182197</v>
      </c>
      <c r="AL1046">
        <v>95.778784426808599</v>
      </c>
      <c r="AM1046">
        <v>85.417362473633702</v>
      </c>
      <c r="AN1046">
        <v>0.99999995790962803</v>
      </c>
    </row>
    <row r="1047" spans="1:40" x14ac:dyDescent="0.25">
      <c r="A1047" t="str">
        <f>"20190305135600325"</f>
        <v>20190305135600325</v>
      </c>
      <c r="B1047" t="str">
        <f>"1551765360313322"</f>
        <v>1551765360313322</v>
      </c>
      <c r="C1047" t="s">
        <v>40</v>
      </c>
      <c r="D1047">
        <v>4.5051480000000002</v>
      </c>
      <c r="E1047">
        <v>0.49944379999999999</v>
      </c>
      <c r="F1047" t="s">
        <v>54</v>
      </c>
      <c r="G1047">
        <v>-194.95599999999999</v>
      </c>
      <c r="H1047" s="1">
        <v>4.995589E-6</v>
      </c>
      <c r="I1047">
        <v>274.82240000000002</v>
      </c>
      <c r="J1047">
        <v>-191.20859999999999</v>
      </c>
      <c r="K1047">
        <v>1.1096440000000001</v>
      </c>
      <c r="L1047">
        <v>309.80259999999998</v>
      </c>
      <c r="M1047">
        <v>-3.031667E-2</v>
      </c>
      <c r="N1047">
        <v>-1.3715069999999999E-2</v>
      </c>
      <c r="O1047">
        <v>-0.99944650000000002</v>
      </c>
      <c r="P1047">
        <v>-0.11158319999999999</v>
      </c>
      <c r="Q1047">
        <v>-0.113471699999999</v>
      </c>
      <c r="R1047">
        <v>-0.98725580000000002</v>
      </c>
      <c r="S1047">
        <v>-0.31900020000000001</v>
      </c>
      <c r="T1047">
        <v>-9.4287869999999996E-2</v>
      </c>
      <c r="U1047">
        <v>-2.9920040000000001</v>
      </c>
      <c r="V1047">
        <v>8.1656199999999998E-2</v>
      </c>
      <c r="W1047">
        <v>-9.9833560000000002E-2</v>
      </c>
      <c r="X1047">
        <v>0.99164790000000003</v>
      </c>
      <c r="Y1047">
        <v>7.5779470000000002E-2</v>
      </c>
      <c r="Z1047">
        <v>1.7652770000000002E-2</v>
      </c>
      <c r="AA1047">
        <v>0.99696830000000003</v>
      </c>
      <c r="AB1047">
        <v>23</v>
      </c>
      <c r="AC1047">
        <v>-3.7473999999999901</v>
      </c>
      <c r="AD1047">
        <v>-1.1096390044110001</v>
      </c>
      <c r="AE1047">
        <v>-34.980199999999897</v>
      </c>
      <c r="AF1047">
        <v>2.6824258542286299</v>
      </c>
      <c r="AG1047">
        <v>-1.1096390044110001</v>
      </c>
      <c r="AH1047">
        <v>35.0428746387309</v>
      </c>
      <c r="AI1047">
        <v>91.8083884650041</v>
      </c>
      <c r="AJ1047">
        <v>85.622717870305195</v>
      </c>
      <c r="AK1047">
        <v>35.162903323379801</v>
      </c>
      <c r="AL1047">
        <v>95.7295861133085</v>
      </c>
      <c r="AM1047">
        <v>85.292659734619093</v>
      </c>
      <c r="AN1047">
        <v>1.00000001613756</v>
      </c>
    </row>
    <row r="1048" spans="1:40" x14ac:dyDescent="0.25">
      <c r="A1048" t="str">
        <f>"20190305135600347"</f>
        <v>20190305135600347</v>
      </c>
      <c r="B1048" t="str">
        <f>"1551765360342602"</f>
        <v>1551765360342602</v>
      </c>
      <c r="C1048" t="s">
        <v>40</v>
      </c>
      <c r="D1048">
        <v>4.5278640000000001</v>
      </c>
      <c r="E1048">
        <v>0.49889270000000002</v>
      </c>
      <c r="F1048" t="s">
        <v>54</v>
      </c>
      <c r="G1048">
        <v>-194.94499999999999</v>
      </c>
      <c r="H1048" s="1">
        <v>5.0684130000000002E-6</v>
      </c>
      <c r="I1048">
        <v>274.62329999999997</v>
      </c>
      <c r="J1048">
        <v>-191.21510000000001</v>
      </c>
      <c r="K1048">
        <v>1.10968</v>
      </c>
      <c r="L1048">
        <v>309.57429999999999</v>
      </c>
      <c r="M1048">
        <v>-2.9912729999999998E-2</v>
      </c>
      <c r="N1048">
        <v>-1.3718040000000001E-2</v>
      </c>
      <c r="O1048">
        <v>-0.99945870000000003</v>
      </c>
      <c r="P1048">
        <v>-0.114013</v>
      </c>
      <c r="Q1048">
        <v>-0.1114671</v>
      </c>
      <c r="R1048">
        <v>-0.98720669999999999</v>
      </c>
      <c r="S1048">
        <v>-0.31777949999999999</v>
      </c>
      <c r="T1048">
        <v>-9.4372869999999998E-2</v>
      </c>
      <c r="U1048">
        <v>-2.991943</v>
      </c>
      <c r="V1048">
        <v>8.4490949999999995E-2</v>
      </c>
      <c r="W1048">
        <v>-9.7819959999999997E-2</v>
      </c>
      <c r="X1048">
        <v>0.99161109999999997</v>
      </c>
      <c r="Y1048">
        <v>7.5782340000000004E-2</v>
      </c>
      <c r="Z1048">
        <v>1.7679540000000001E-2</v>
      </c>
      <c r="AA1048">
        <v>0.99696759999999995</v>
      </c>
      <c r="AB1048">
        <v>23</v>
      </c>
      <c r="AC1048">
        <v>-3.7298999999999798</v>
      </c>
      <c r="AD1048">
        <v>-1.109674931587</v>
      </c>
      <c r="AE1048">
        <v>-34.951000000000001</v>
      </c>
      <c r="AF1048">
        <v>2.6799816622987098</v>
      </c>
      <c r="AG1048">
        <v>-1.109674931587</v>
      </c>
      <c r="AH1048">
        <v>35.012043261760802</v>
      </c>
      <c r="AI1048">
        <v>91.810038755519997</v>
      </c>
      <c r="AJ1048">
        <v>85.6228547655369</v>
      </c>
      <c r="AK1048">
        <v>35.131991881011601</v>
      </c>
      <c r="AL1048">
        <v>95.613647736351197</v>
      </c>
      <c r="AM1048">
        <v>85.129834242378095</v>
      </c>
      <c r="AN1048">
        <v>1.00000001942475</v>
      </c>
    </row>
    <row r="1049" spans="1:40" x14ac:dyDescent="0.25">
      <c r="A1049" t="str">
        <f>"20190305135600370"</f>
        <v>20190305135600370</v>
      </c>
      <c r="B1049" t="str">
        <f>"1551765360362630"</f>
        <v>1551765360362630</v>
      </c>
      <c r="C1049" t="s">
        <v>40</v>
      </c>
      <c r="D1049">
        <v>4.516737</v>
      </c>
      <c r="E1049">
        <v>0.49848609999999999</v>
      </c>
      <c r="F1049" t="s">
        <v>54</v>
      </c>
      <c r="G1049">
        <v>-194.62870000000001</v>
      </c>
      <c r="H1049" s="1">
        <v>4.0465670000000001E-6</v>
      </c>
      <c r="I1049">
        <v>277.8569</v>
      </c>
      <c r="J1049">
        <v>-191.2218</v>
      </c>
      <c r="K1049">
        <v>1.10971</v>
      </c>
      <c r="L1049">
        <v>309.33100000000002</v>
      </c>
      <c r="M1049">
        <v>-2.9456880000000001E-2</v>
      </c>
      <c r="N1049">
        <v>-1.3720410000000001E-2</v>
      </c>
      <c r="O1049">
        <v>-0.99947200000000003</v>
      </c>
      <c r="P1049">
        <v>-0.11660619999999999</v>
      </c>
      <c r="Q1049">
        <v>-0.109514899999999</v>
      </c>
      <c r="R1049">
        <v>-0.98712219999999995</v>
      </c>
      <c r="S1049">
        <v>-0.32179259999999998</v>
      </c>
      <c r="T1049">
        <v>-0.1046057</v>
      </c>
      <c r="U1049">
        <v>-2.9898989999999999</v>
      </c>
      <c r="V1049">
        <v>8.7539649999999997E-2</v>
      </c>
      <c r="W1049">
        <v>-9.5860860000000006E-2</v>
      </c>
      <c r="X1049">
        <v>0.99153789999999997</v>
      </c>
      <c r="Y1049">
        <v>7.7622099999999999E-2</v>
      </c>
      <c r="Z1049">
        <v>2.109548E-2</v>
      </c>
      <c r="AA1049">
        <v>0.99675970000000003</v>
      </c>
      <c r="AB1049">
        <v>23</v>
      </c>
      <c r="AC1049">
        <v>-3.4068999999999998</v>
      </c>
      <c r="AD1049">
        <v>-1.109705953433</v>
      </c>
      <c r="AE1049">
        <v>-31.4740999999999</v>
      </c>
      <c r="AF1049">
        <v>2.4751640844264799</v>
      </c>
      <c r="AG1049">
        <v>-1.109705953433</v>
      </c>
      <c r="AH1049">
        <v>31.5220738281443</v>
      </c>
      <c r="AI1049">
        <v>92.010031243043201</v>
      </c>
      <c r="AJ1049">
        <v>85.510255236554897</v>
      </c>
      <c r="AK1049">
        <v>31.638568598704001</v>
      </c>
      <c r="AL1049">
        <v>95.500869869467294</v>
      </c>
      <c r="AM1049">
        <v>84.954624013380595</v>
      </c>
      <c r="AN1049">
        <v>0.999999950969234</v>
      </c>
    </row>
    <row r="1050" spans="1:40" x14ac:dyDescent="0.25">
      <c r="A1050" t="str">
        <f>"20190305135600390"</f>
        <v>20190305135600390</v>
      </c>
      <c r="B1050" t="str">
        <f>"1551765360383125"</f>
        <v>1551765360383125</v>
      </c>
      <c r="C1050" t="s">
        <v>40</v>
      </c>
      <c r="D1050">
        <v>4.4571139999999998</v>
      </c>
      <c r="E1050">
        <v>0.49852849999999999</v>
      </c>
      <c r="F1050" t="s">
        <v>54</v>
      </c>
      <c r="G1050">
        <v>-194.6258</v>
      </c>
      <c r="H1050" s="1">
        <v>3.9458980000000001E-6</v>
      </c>
      <c r="I1050">
        <v>278.23899999999998</v>
      </c>
      <c r="J1050">
        <v>-191.2277</v>
      </c>
      <c r="K1050">
        <v>1.1097319999999999</v>
      </c>
      <c r="L1050">
        <v>309.11630000000002</v>
      </c>
      <c r="M1050">
        <v>-2.9039700000000002E-2</v>
      </c>
      <c r="N1050">
        <v>-1.372173E-2</v>
      </c>
      <c r="O1050">
        <v>-0.99948419999999905</v>
      </c>
      <c r="P1050">
        <v>-0.1185884</v>
      </c>
      <c r="Q1050">
        <v>-0.1080779</v>
      </c>
      <c r="R1050">
        <v>-0.98704429999999999</v>
      </c>
      <c r="S1050">
        <v>-0.32719419999999999</v>
      </c>
      <c r="T1050">
        <v>-0.10666680000000001</v>
      </c>
      <c r="U1050">
        <v>-2.9886170000000001</v>
      </c>
      <c r="V1050">
        <v>8.9937039999999996E-2</v>
      </c>
      <c r="W1050">
        <v>-9.4420569999999995E-2</v>
      </c>
      <c r="X1050">
        <v>0.99146160000000005</v>
      </c>
      <c r="Y1050">
        <v>7.986132E-2</v>
      </c>
      <c r="Z1050">
        <v>2.1788269999999998E-2</v>
      </c>
      <c r="AA1050">
        <v>0.9965678</v>
      </c>
      <c r="AB1050">
        <v>23</v>
      </c>
      <c r="AC1050">
        <v>-3.3980999999999901</v>
      </c>
      <c r="AD1050">
        <v>-1.109728054102</v>
      </c>
      <c r="AE1050">
        <v>-30.877299999999899</v>
      </c>
      <c r="AF1050">
        <v>2.4967283920539498</v>
      </c>
      <c r="AG1050">
        <v>-1.109728054102</v>
      </c>
      <c r="AH1050">
        <v>30.923499163348101</v>
      </c>
      <c r="AI1050">
        <v>92.0485874481043</v>
      </c>
      <c r="AJ1050">
        <v>85.384016276775796</v>
      </c>
      <c r="AK1050">
        <v>31.043968005448999</v>
      </c>
      <c r="AL1050">
        <v>95.417970958558399</v>
      </c>
      <c r="AM1050">
        <v>84.816795547566301</v>
      </c>
      <c r="AN1050">
        <v>1.00000000973882</v>
      </c>
    </row>
    <row r="1051" spans="1:40" x14ac:dyDescent="0.25">
      <c r="A1051" t="str">
        <f>"20190305135600413"</f>
        <v>20190305135600413</v>
      </c>
      <c r="B1051" t="str">
        <f>"1551765360403621"</f>
        <v>1551765360403621</v>
      </c>
      <c r="C1051" t="s">
        <v>40</v>
      </c>
      <c r="D1051">
        <v>4.4477719999999996</v>
      </c>
      <c r="E1051">
        <v>0.49857079999999998</v>
      </c>
      <c r="F1051" t="s">
        <v>54</v>
      </c>
      <c r="G1051">
        <v>-194.72399999999999</v>
      </c>
      <c r="H1051" s="1">
        <v>4.0511589999999998E-6</v>
      </c>
      <c r="I1051">
        <v>277.77569999999997</v>
      </c>
      <c r="J1051">
        <v>-191.23419999999999</v>
      </c>
      <c r="K1051">
        <v>1.1097379999999999</v>
      </c>
      <c r="L1051">
        <v>308.87549999999999</v>
      </c>
      <c r="M1051">
        <v>-2.8565340000000002E-2</v>
      </c>
      <c r="N1051">
        <v>-1.3722949999999999E-2</v>
      </c>
      <c r="O1051">
        <v>-0.99949779999999999</v>
      </c>
      <c r="P1051">
        <v>-0.1197655</v>
      </c>
      <c r="Q1051">
        <v>-0.1059586</v>
      </c>
      <c r="R1051">
        <v>-0.98713169999999995</v>
      </c>
      <c r="S1051">
        <v>-0.33331300000000003</v>
      </c>
      <c r="T1051">
        <v>-0.105795</v>
      </c>
      <c r="U1051">
        <v>-2.9878230000000001</v>
      </c>
      <c r="V1051">
        <v>9.157962E-2</v>
      </c>
      <c r="W1051">
        <v>-9.2297959999999998E-2</v>
      </c>
      <c r="X1051">
        <v>0.99151109999999998</v>
      </c>
      <c r="Y1051">
        <v>8.2379019999999997E-2</v>
      </c>
      <c r="Z1051">
        <v>2.1499810000000001E-2</v>
      </c>
      <c r="AA1051">
        <v>0.99636910000000001</v>
      </c>
      <c r="AB1051">
        <v>23</v>
      </c>
      <c r="AC1051">
        <v>-3.48980000000003</v>
      </c>
      <c r="AD1051">
        <v>-1.1097339488410001</v>
      </c>
      <c r="AE1051">
        <v>-31.099799999999998</v>
      </c>
      <c r="AF1051">
        <v>2.5966505459557498</v>
      </c>
      <c r="AG1051">
        <v>-1.1097339488410001</v>
      </c>
      <c r="AH1051">
        <v>31.1476369734273</v>
      </c>
      <c r="AI1051">
        <v>92.033434008665196</v>
      </c>
      <c r="AJ1051">
        <v>85.234505694505998</v>
      </c>
      <c r="AK1051">
        <v>31.275379974085698</v>
      </c>
      <c r="AL1051">
        <v>95.295820896637906</v>
      </c>
      <c r="AM1051">
        <v>84.722922956520605</v>
      </c>
      <c r="AN1051">
        <v>1.0000000008213501</v>
      </c>
    </row>
    <row r="1052" spans="1:40" x14ac:dyDescent="0.25">
      <c r="A1052" t="str">
        <f>"20190305135600438"</f>
        <v>20190305135600438</v>
      </c>
      <c r="B1052" t="str">
        <f>"1551765360432902"</f>
        <v>1551765360432902</v>
      </c>
      <c r="C1052" t="s">
        <v>40</v>
      </c>
      <c r="D1052">
        <v>4.4417080000000002</v>
      </c>
      <c r="E1052">
        <v>0.49837500000000001</v>
      </c>
      <c r="F1052" t="s">
        <v>54</v>
      </c>
      <c r="G1052">
        <v>-194.8861</v>
      </c>
      <c r="H1052" s="1">
        <v>4.4153559999999997E-6</v>
      </c>
      <c r="I1052">
        <v>276.5077</v>
      </c>
      <c r="J1052">
        <v>-191.24080000000001</v>
      </c>
      <c r="K1052">
        <v>1.1097379999999999</v>
      </c>
      <c r="L1052">
        <v>308.62479999999999</v>
      </c>
      <c r="M1052">
        <v>-2.807374E-2</v>
      </c>
      <c r="N1052">
        <v>-1.3723539999999999E-2</v>
      </c>
      <c r="O1052">
        <v>-0.99951179999999995</v>
      </c>
      <c r="P1052">
        <v>-0.122432399999999</v>
      </c>
      <c r="Q1052">
        <v>-0.105878</v>
      </c>
      <c r="R1052">
        <v>-0.98681339999999995</v>
      </c>
      <c r="S1052">
        <v>-0.33703610000000001</v>
      </c>
      <c r="T1052">
        <v>-0.1024181</v>
      </c>
      <c r="U1052">
        <v>-2.987244</v>
      </c>
      <c r="V1052">
        <v>9.4740539999999998E-2</v>
      </c>
      <c r="W1052">
        <v>-9.2219449999999994E-2</v>
      </c>
      <c r="X1052">
        <v>0.99122140000000003</v>
      </c>
      <c r="Y1052">
        <v>8.4119459999999993E-2</v>
      </c>
      <c r="Z1052">
        <v>2.0378980000000001E-2</v>
      </c>
      <c r="AA1052">
        <v>0.99624729999999995</v>
      </c>
      <c r="AB1052">
        <v>23</v>
      </c>
      <c r="AC1052">
        <v>-3.64529999999999</v>
      </c>
      <c r="AD1052">
        <v>-1.109733584644</v>
      </c>
      <c r="AE1052">
        <v>-32.117099999999901</v>
      </c>
      <c r="AF1052">
        <v>2.7389026952616899</v>
      </c>
      <c r="AG1052">
        <v>-1.109733584644</v>
      </c>
      <c r="AH1052">
        <v>32.168867981284698</v>
      </c>
      <c r="AI1052">
        <v>91.968639514870205</v>
      </c>
      <c r="AJ1052">
        <v>85.133493245650996</v>
      </c>
      <c r="AK1052">
        <v>32.304321132014501</v>
      </c>
      <c r="AL1052">
        <v>95.291303181243705</v>
      </c>
      <c r="AM1052">
        <v>84.540277976376302</v>
      </c>
      <c r="AN1052">
        <v>1.00000003034787</v>
      </c>
    </row>
    <row r="1053" spans="1:40" x14ac:dyDescent="0.25">
      <c r="A1053" t="str">
        <f>"20190305135600461"</f>
        <v>20190305135600461</v>
      </c>
      <c r="B1053" t="str">
        <f>"1551765360453397"</f>
        <v>1551765360453397</v>
      </c>
      <c r="C1053" t="s">
        <v>40</v>
      </c>
      <c r="D1053">
        <v>4.3649940000000003</v>
      </c>
      <c r="E1053">
        <v>0.49871739999999998</v>
      </c>
      <c r="F1053" t="s">
        <v>54</v>
      </c>
      <c r="G1053">
        <v>-194.7664</v>
      </c>
      <c r="H1053" s="1">
        <v>3.9773820000000002E-6</v>
      </c>
      <c r="I1053">
        <v>278.02589999999998</v>
      </c>
      <c r="J1053">
        <v>-191.24709999999999</v>
      </c>
      <c r="K1053">
        <v>1.109726</v>
      </c>
      <c r="L1053">
        <v>308.37909999999999</v>
      </c>
      <c r="M1053">
        <v>-2.759907E-2</v>
      </c>
      <c r="N1053">
        <v>-1.372367E-2</v>
      </c>
      <c r="O1053">
        <v>-0.99952470000000004</v>
      </c>
      <c r="P1053">
        <v>-0.12559389999999901</v>
      </c>
      <c r="Q1053">
        <v>-0.1079026</v>
      </c>
      <c r="R1053">
        <v>-0.98619619999999997</v>
      </c>
      <c r="S1053">
        <v>-0.34402470000000002</v>
      </c>
      <c r="T1053">
        <v>-0.10828550000000001</v>
      </c>
      <c r="U1053">
        <v>-2.985779</v>
      </c>
      <c r="V1053">
        <v>9.8388180000000006E-2</v>
      </c>
      <c r="W1053">
        <v>-9.4250249999999994E-2</v>
      </c>
      <c r="X1053">
        <v>0.99067490000000002</v>
      </c>
      <c r="Y1053">
        <v>8.6941770000000002E-2</v>
      </c>
      <c r="Z1053">
        <v>2.233854E-2</v>
      </c>
      <c r="AA1053">
        <v>0.99596289999999998</v>
      </c>
      <c r="AB1053">
        <v>23</v>
      </c>
      <c r="AC1053">
        <v>-3.5193000000000101</v>
      </c>
      <c r="AD1053">
        <v>-1.109722022618</v>
      </c>
      <c r="AE1053">
        <v>-30.353200000000001</v>
      </c>
      <c r="AF1053">
        <v>2.67662975066155</v>
      </c>
      <c r="AG1053">
        <v>-1.109722022618</v>
      </c>
      <c r="AH1053">
        <v>30.398680466726301</v>
      </c>
      <c r="AI1053">
        <v>92.082637753420101</v>
      </c>
      <c r="AJ1053">
        <v>84.968035148521494</v>
      </c>
      <c r="AK1053">
        <v>30.536463513441401</v>
      </c>
      <c r="AL1053">
        <v>95.408168406387702</v>
      </c>
      <c r="AM1053">
        <v>84.328308468045506</v>
      </c>
      <c r="AN1053">
        <v>1.00000005053939</v>
      </c>
    </row>
    <row r="1054" spans="1:40" x14ac:dyDescent="0.25">
      <c r="A1054" t="str">
        <f>"20190305135600503"</f>
        <v>20190305135600503</v>
      </c>
      <c r="B1054" t="str">
        <f>"1551765360492944"</f>
        <v>1551765360492944</v>
      </c>
      <c r="C1054" t="s">
        <v>40</v>
      </c>
      <c r="D1054">
        <v>4.3345750000000001</v>
      </c>
      <c r="E1054">
        <v>0.4983649</v>
      </c>
      <c r="F1054" t="s">
        <v>54</v>
      </c>
      <c r="G1054">
        <v>-194.78870000000001</v>
      </c>
      <c r="H1054" s="1">
        <v>3.784341E-6</v>
      </c>
      <c r="I1054">
        <v>278.74</v>
      </c>
      <c r="J1054">
        <v>-191.25790000000001</v>
      </c>
      <c r="K1054">
        <v>1.109702</v>
      </c>
      <c r="L1054">
        <v>307.95159999999998</v>
      </c>
      <c r="M1054">
        <v>-2.6793870000000001E-2</v>
      </c>
      <c r="N1054">
        <v>-1.3722659999999999E-2</v>
      </c>
      <c r="O1054">
        <v>-0.99954690000000002</v>
      </c>
      <c r="P1054">
        <v>-0.13036710000000001</v>
      </c>
      <c r="Q1054">
        <v>-0.1104339</v>
      </c>
      <c r="R1054">
        <v>-0.98529650000000002</v>
      </c>
      <c r="S1054">
        <v>-0.35659790000000002</v>
      </c>
      <c r="T1054">
        <v>-0.1117373</v>
      </c>
      <c r="U1054">
        <v>-2.9843440000000001</v>
      </c>
      <c r="V1054">
        <v>0.1039804</v>
      </c>
      <c r="W1054">
        <v>-9.6792379999999997E-2</v>
      </c>
      <c r="X1054">
        <v>0.98985820000000002</v>
      </c>
      <c r="Y1054">
        <v>9.1931089999999993E-2</v>
      </c>
      <c r="Z1054">
        <v>2.3488760000000001E-2</v>
      </c>
      <c r="AA1054">
        <v>0.99548829999999999</v>
      </c>
      <c r="AB1054">
        <v>23</v>
      </c>
      <c r="AC1054">
        <v>-3.5308000000000002</v>
      </c>
      <c r="AD1054">
        <v>-1.1096982156590001</v>
      </c>
      <c r="AE1054">
        <v>-29.211599999999901</v>
      </c>
      <c r="AF1054">
        <v>2.7428654462504798</v>
      </c>
      <c r="AG1054">
        <v>-1.1096982156590001</v>
      </c>
      <c r="AH1054">
        <v>29.254114183041299</v>
      </c>
      <c r="AI1054">
        <v>92.162885954620904</v>
      </c>
      <c r="AJ1054">
        <v>84.643607573340702</v>
      </c>
      <c r="AK1054">
        <v>29.403366093365801</v>
      </c>
      <c r="AL1054">
        <v>95.554491271949999</v>
      </c>
      <c r="AM1054">
        <v>84.003314194759398</v>
      </c>
      <c r="AN1054">
        <v>0.99999997225873105</v>
      </c>
    </row>
    <row r="1055" spans="1:40" x14ac:dyDescent="0.25">
      <c r="A1055" t="str">
        <f>"20190305135600526"</f>
        <v>20190305135600526</v>
      </c>
      <c r="B1055" t="str">
        <f>"1551765360523200"</f>
        <v>1551765360523200</v>
      </c>
      <c r="C1055" t="s">
        <v>40</v>
      </c>
      <c r="D1055">
        <v>4.329148</v>
      </c>
      <c r="E1055">
        <v>0.4981314</v>
      </c>
      <c r="F1055" t="s">
        <v>54</v>
      </c>
      <c r="G1055">
        <v>-194.7174</v>
      </c>
      <c r="H1055" s="1">
        <v>3.5392369999999999E-6</v>
      </c>
      <c r="I1055">
        <v>279.9101</v>
      </c>
      <c r="J1055">
        <v>-191.2637</v>
      </c>
      <c r="K1055">
        <v>1.109704</v>
      </c>
      <c r="L1055">
        <v>307.7158</v>
      </c>
      <c r="M1055">
        <v>-2.635707E-2</v>
      </c>
      <c r="N1055">
        <v>-1.3721819999999999E-2</v>
      </c>
      <c r="O1055">
        <v>-0.99955859999999996</v>
      </c>
      <c r="P1055">
        <v>-0.13213620000000001</v>
      </c>
      <c r="Q1055">
        <v>-0.1098277</v>
      </c>
      <c r="R1055">
        <v>-0.98512869999999997</v>
      </c>
      <c r="S1055">
        <v>-0.3679962</v>
      </c>
      <c r="T1055">
        <v>-0.11804190000000001</v>
      </c>
      <c r="U1055">
        <v>-2.9828489999999999</v>
      </c>
      <c r="V1055">
        <v>0.1061839</v>
      </c>
      <c r="W1055">
        <v>-9.6189040000000003E-2</v>
      </c>
      <c r="X1055">
        <v>0.98968310000000004</v>
      </c>
      <c r="Y1055">
        <v>9.6163760000000001E-2</v>
      </c>
      <c r="Z1055">
        <v>2.5589049999999999E-2</v>
      </c>
      <c r="AA1055">
        <v>0.99503649999999999</v>
      </c>
      <c r="AB1055">
        <v>23</v>
      </c>
      <c r="AC1055">
        <v>-3.4536999999999898</v>
      </c>
      <c r="AD1055">
        <v>-1.1097004607629899</v>
      </c>
      <c r="AE1055">
        <v>-27.805700000000002</v>
      </c>
      <c r="AF1055">
        <v>2.7152952413754599</v>
      </c>
      <c r="AG1055">
        <v>-1.1097004607629899</v>
      </c>
      <c r="AH1055">
        <v>27.843402814088201</v>
      </c>
      <c r="AI1055">
        <v>92.271554215348303</v>
      </c>
      <c r="AJ1055">
        <v>84.430114348108901</v>
      </c>
      <c r="AK1055">
        <v>27.997488166405699</v>
      </c>
      <c r="AL1055">
        <v>95.519760249286307</v>
      </c>
      <c r="AM1055">
        <v>83.876115782300701</v>
      </c>
      <c r="AN1055">
        <v>0.99999999523047001</v>
      </c>
    </row>
    <row r="1056" spans="1:40" x14ac:dyDescent="0.25">
      <c r="A1056" t="str">
        <f>"20190305135600547"</f>
        <v>20190305135600547</v>
      </c>
      <c r="B1056" t="str">
        <f>"1551765360542721"</f>
        <v>1551765360542721</v>
      </c>
      <c r="C1056" t="s">
        <v>40</v>
      </c>
      <c r="D1056">
        <v>4.2949580000000003</v>
      </c>
      <c r="E1056">
        <v>0.4979384</v>
      </c>
      <c r="F1056" t="s">
        <v>54</v>
      </c>
      <c r="G1056">
        <v>-194.8278</v>
      </c>
      <c r="H1056" s="1">
        <v>3.6847960000000002E-6</v>
      </c>
      <c r="I1056">
        <v>279.08969999999999</v>
      </c>
      <c r="J1056">
        <v>-191.26910000000001</v>
      </c>
      <c r="K1056">
        <v>1.1097140000000001</v>
      </c>
      <c r="L1056">
        <v>307.49489999999997</v>
      </c>
      <c r="M1056">
        <v>-2.5949900000000001E-2</v>
      </c>
      <c r="N1056">
        <v>-1.372084E-2</v>
      </c>
      <c r="O1056">
        <v>-0.99956920000000005</v>
      </c>
      <c r="P1056">
        <v>-0.13379759999999999</v>
      </c>
      <c r="Q1056">
        <v>-0.1087955</v>
      </c>
      <c r="R1056">
        <v>-0.98501899999999998</v>
      </c>
      <c r="S1056">
        <v>-0.3713379</v>
      </c>
      <c r="T1056">
        <v>-0.11561929999999999</v>
      </c>
      <c r="U1056">
        <v>-2.9825439999999999</v>
      </c>
      <c r="V1056">
        <v>0.1082486</v>
      </c>
      <c r="W1056">
        <v>-9.5159170000000001E-2</v>
      </c>
      <c r="X1056">
        <v>0.98955899999999997</v>
      </c>
      <c r="Y1056">
        <v>9.7681970000000007E-2</v>
      </c>
      <c r="Z1056">
        <v>2.4783590000000001E-2</v>
      </c>
      <c r="AA1056">
        <v>0.99490900000000004</v>
      </c>
      <c r="AB1056">
        <v>23</v>
      </c>
      <c r="AC1056">
        <v>-3.55869999999998</v>
      </c>
      <c r="AD1056">
        <v>-1.10971031520399</v>
      </c>
      <c r="AE1056">
        <v>-28.405199999999901</v>
      </c>
      <c r="AF1056">
        <v>2.8160883446244198</v>
      </c>
      <c r="AG1056">
        <v>-1.10971031520399</v>
      </c>
      <c r="AH1056">
        <v>28.4452457445595</v>
      </c>
      <c r="AI1056">
        <v>92.223241342786096</v>
      </c>
      <c r="AJ1056">
        <v>84.346122971741295</v>
      </c>
      <c r="AK1056">
        <v>28.605835349046899</v>
      </c>
      <c r="AL1056">
        <v>95.460480971503401</v>
      </c>
      <c r="AM1056">
        <v>83.757193980843994</v>
      </c>
      <c r="AN1056">
        <v>1.0000000207590201</v>
      </c>
    </row>
    <row r="1057" spans="1:40" x14ac:dyDescent="0.25">
      <c r="A1057" t="str">
        <f>"20190305135600570"</f>
        <v>20190305135600570</v>
      </c>
      <c r="B1057" t="str">
        <f>"1551765360562747"</f>
        <v>1551765360562747</v>
      </c>
      <c r="C1057" t="s">
        <v>40</v>
      </c>
      <c r="D1057">
        <v>4.300459</v>
      </c>
      <c r="E1057">
        <v>0.49771579999999899</v>
      </c>
      <c r="F1057" t="s">
        <v>54</v>
      </c>
      <c r="G1057">
        <v>-194.96889999999999</v>
      </c>
      <c r="H1057" s="1">
        <v>3.9267820000000002E-6</v>
      </c>
      <c r="I1057">
        <v>278.08139999999997</v>
      </c>
      <c r="J1057">
        <v>-191.2747</v>
      </c>
      <c r="K1057">
        <v>1.1097129999999999</v>
      </c>
      <c r="L1057">
        <v>307.26130000000001</v>
      </c>
      <c r="M1057">
        <v>-2.5519779999999999E-2</v>
      </c>
      <c r="N1057">
        <v>-1.371958E-2</v>
      </c>
      <c r="O1057">
        <v>-0.99958020000000003</v>
      </c>
      <c r="P1057">
        <v>-0.13529340000000001</v>
      </c>
      <c r="Q1057">
        <v>-0.10739650000000001</v>
      </c>
      <c r="R1057">
        <v>-0.98496790000000001</v>
      </c>
      <c r="S1057">
        <v>-0.37512210000000001</v>
      </c>
      <c r="T1057">
        <v>-0.1125135</v>
      </c>
      <c r="U1057">
        <v>-2.9822389999999999</v>
      </c>
      <c r="V1057">
        <v>0.1101688</v>
      </c>
      <c r="W1057">
        <v>-9.3762020000000001E-2</v>
      </c>
      <c r="X1057">
        <v>0.98948040000000004</v>
      </c>
      <c r="Y1057">
        <v>9.9368739999999997E-2</v>
      </c>
      <c r="Z1057">
        <v>2.3750540000000001E-2</v>
      </c>
      <c r="AA1057">
        <v>0.99476719999999996</v>
      </c>
      <c r="AB1057">
        <v>23</v>
      </c>
      <c r="AC1057">
        <v>-3.6941999999999902</v>
      </c>
      <c r="AD1057">
        <v>-1.1097090732179999</v>
      </c>
      <c r="AE1057">
        <v>-29.1799</v>
      </c>
      <c r="AF1057">
        <v>2.94407117283721</v>
      </c>
      <c r="AG1057">
        <v>-1.1097090732179999</v>
      </c>
      <c r="AH1057">
        <v>29.223080996657</v>
      </c>
      <c r="AI1057">
        <v>92.163746682184296</v>
      </c>
      <c r="AJ1057">
        <v>84.2471630234852</v>
      </c>
      <c r="AK1057">
        <v>29.391962714917302</v>
      </c>
      <c r="AL1057">
        <v>95.380070887494597</v>
      </c>
      <c r="AM1057">
        <v>83.646851154455604</v>
      </c>
      <c r="AN1057">
        <v>0.99999997143603903</v>
      </c>
    </row>
    <row r="1058" spans="1:40" x14ac:dyDescent="0.25">
      <c r="A1058" t="str">
        <f>"20190305135600593"</f>
        <v>20190305135600593</v>
      </c>
      <c r="B1058" t="str">
        <f>"1551765360583243"</f>
        <v>1551765360583243</v>
      </c>
      <c r="C1058" t="s">
        <v>40</v>
      </c>
      <c r="D1058">
        <v>4.288767</v>
      </c>
      <c r="E1058">
        <v>0.49750369999999999</v>
      </c>
      <c r="F1058" t="s">
        <v>54</v>
      </c>
      <c r="G1058">
        <v>-195.13919999999999</v>
      </c>
      <c r="H1058" s="1">
        <v>4.2622919999999996E-6</v>
      </c>
      <c r="I1058">
        <v>276.78190000000001</v>
      </c>
      <c r="J1058">
        <v>-191.28020000000001</v>
      </c>
      <c r="K1058">
        <v>1.1097189999999999</v>
      </c>
      <c r="L1058">
        <v>307.02429999999998</v>
      </c>
      <c r="M1058">
        <v>-2.5083479999999998E-2</v>
      </c>
      <c r="N1058">
        <v>-1.3718080000000001E-2</v>
      </c>
      <c r="O1058">
        <v>-0.99959140000000002</v>
      </c>
      <c r="P1058">
        <v>-0.13685799999999901</v>
      </c>
      <c r="Q1058">
        <v>-0.108531</v>
      </c>
      <c r="R1058">
        <v>-0.98462740000000004</v>
      </c>
      <c r="S1058">
        <v>-0.37809749999999998</v>
      </c>
      <c r="T1058">
        <v>-0.10857</v>
      </c>
      <c r="U1058">
        <v>-2.981995</v>
      </c>
      <c r="V1058">
        <v>0.1121728</v>
      </c>
      <c r="W1058">
        <v>-9.4902180000000003E-2</v>
      </c>
      <c r="X1058">
        <v>0.98914650000000004</v>
      </c>
      <c r="Y1058">
        <v>0.1007943</v>
      </c>
      <c r="Z1058">
        <v>2.243941E-2</v>
      </c>
      <c r="AA1058">
        <v>0.99465420000000004</v>
      </c>
      <c r="AB1058">
        <v>23</v>
      </c>
      <c r="AC1058">
        <v>-3.85899999999998</v>
      </c>
      <c r="AD1058">
        <v>-1.1097147377079899</v>
      </c>
      <c r="AE1058">
        <v>-30.2423999999999</v>
      </c>
      <c r="AF1058">
        <v>3.0950291443331799</v>
      </c>
      <c r="AG1058">
        <v>-1.1097147377079899</v>
      </c>
      <c r="AH1058">
        <v>30.289559022119899</v>
      </c>
      <c r="AI1058">
        <v>92.087340762369493</v>
      </c>
      <c r="AJ1058">
        <v>84.165686990423794</v>
      </c>
      <c r="AK1058">
        <v>30.467491822561399</v>
      </c>
      <c r="AL1058">
        <v>95.445689813260202</v>
      </c>
      <c r="AM1058">
        <v>83.530091519270499</v>
      </c>
      <c r="AN1058">
        <v>0.99999997964542098</v>
      </c>
    </row>
    <row r="1059" spans="1:40" x14ac:dyDescent="0.25">
      <c r="A1059" t="str">
        <f>"20190305135600615"</f>
        <v>20190305135600615</v>
      </c>
      <c r="B1059" t="str">
        <f>"1551765360602767"</f>
        <v>1551765360602767</v>
      </c>
      <c r="C1059" t="s">
        <v>40</v>
      </c>
      <c r="D1059">
        <v>4.3232629999999999</v>
      </c>
      <c r="E1059">
        <v>0.4973378</v>
      </c>
      <c r="F1059" t="s">
        <v>54</v>
      </c>
      <c r="G1059">
        <v>-195.06370000000001</v>
      </c>
      <c r="H1059" s="1">
        <v>4.0681720000000004E-6</v>
      </c>
      <c r="I1059">
        <v>277.48390000000001</v>
      </c>
      <c r="J1059">
        <v>-191.28530000000001</v>
      </c>
      <c r="K1059">
        <v>1.1097239999999999</v>
      </c>
      <c r="L1059">
        <v>306.8005</v>
      </c>
      <c r="M1059">
        <v>-2.4670790000000001E-2</v>
      </c>
      <c r="N1059">
        <v>-1.37163999999999E-2</v>
      </c>
      <c r="O1059">
        <v>-0.99960170000000004</v>
      </c>
      <c r="P1059">
        <v>-0.13841489999999901</v>
      </c>
      <c r="Q1059">
        <v>-0.10971740000000001</v>
      </c>
      <c r="R1059">
        <v>-0.98427830000000005</v>
      </c>
      <c r="S1059">
        <v>-0.3818512</v>
      </c>
      <c r="T1059">
        <v>-0.112</v>
      </c>
      <c r="U1059">
        <v>-2.9814150000000001</v>
      </c>
      <c r="V1059">
        <v>0.114146</v>
      </c>
      <c r="W1059">
        <v>-9.6094209999999999E-2</v>
      </c>
      <c r="X1059">
        <v>0.98880570000000001</v>
      </c>
      <c r="Y1059">
        <v>0.10245659999999999</v>
      </c>
      <c r="Z1059">
        <v>2.358292E-2</v>
      </c>
      <c r="AA1059">
        <v>0.99445790000000001</v>
      </c>
      <c r="AB1059">
        <v>23</v>
      </c>
      <c r="AC1059">
        <v>-3.7784</v>
      </c>
      <c r="AD1059">
        <v>-1.109719931828</v>
      </c>
      <c r="AE1059">
        <v>-29.316599999999902</v>
      </c>
      <c r="AF1059">
        <v>3.04961990823384</v>
      </c>
      <c r="AG1059">
        <v>-1.109719931828</v>
      </c>
      <c r="AH1059">
        <v>29.359519770883399</v>
      </c>
      <c r="AI1059">
        <v>92.1530408263406</v>
      </c>
      <c r="AJ1059">
        <v>84.069862799710293</v>
      </c>
      <c r="AK1059">
        <v>29.538332063416899</v>
      </c>
      <c r="AL1059">
        <v>95.514301249088803</v>
      </c>
      <c r="AM1059">
        <v>83.415022678932701</v>
      </c>
      <c r="AN1059">
        <v>1.000000059432</v>
      </c>
    </row>
    <row r="1060" spans="1:40" x14ac:dyDescent="0.25">
      <c r="A1060" t="str">
        <f>"20190305135600639"</f>
        <v>20190305135600639</v>
      </c>
      <c r="B1060" t="str">
        <f>"1551765360633020"</f>
        <v>1551765360633020</v>
      </c>
      <c r="C1060" t="s">
        <v>40</v>
      </c>
      <c r="D1060">
        <v>4.2313409999999996</v>
      </c>
      <c r="E1060">
        <v>0.49696600000000002</v>
      </c>
      <c r="F1060" t="s">
        <v>54</v>
      </c>
      <c r="G1060">
        <v>-194.99959999999999</v>
      </c>
      <c r="H1060" s="1">
        <v>3.9183509999999997E-6</v>
      </c>
      <c r="I1060">
        <v>278.0926</v>
      </c>
      <c r="J1060">
        <v>-191.291</v>
      </c>
      <c r="K1060">
        <v>1.109734</v>
      </c>
      <c r="L1060">
        <v>306.5496</v>
      </c>
      <c r="M1060">
        <v>-2.420715E-2</v>
      </c>
      <c r="N1060">
        <v>-1.3714509999999999E-2</v>
      </c>
      <c r="O1060">
        <v>-0.99961310000000003</v>
      </c>
      <c r="P1060">
        <v>-0.14025480000000001</v>
      </c>
      <c r="Q1060">
        <v>-0.11056829999999999</v>
      </c>
      <c r="R1060">
        <v>-0.98392270000000004</v>
      </c>
      <c r="S1060">
        <v>-0.38566590000000001</v>
      </c>
      <c r="T1060">
        <v>-0.115226</v>
      </c>
      <c r="U1060">
        <v>-2.9808349999999999</v>
      </c>
      <c r="V1060">
        <v>0.11645220000000001</v>
      </c>
      <c r="W1060">
        <v>-9.6950900000000007E-2</v>
      </c>
      <c r="X1060">
        <v>0.98845300000000003</v>
      </c>
      <c r="Y1060">
        <v>0.1041894</v>
      </c>
      <c r="Z1060">
        <v>2.4658550000000001E-2</v>
      </c>
      <c r="AA1060">
        <v>0.99425169999999996</v>
      </c>
      <c r="AB1060">
        <v>23</v>
      </c>
      <c r="AC1060">
        <v>-3.7085999999999899</v>
      </c>
      <c r="AD1060">
        <v>-1.1097300816490001</v>
      </c>
      <c r="AE1060">
        <v>-28.456999999999901</v>
      </c>
      <c r="AF1060">
        <v>3.0140784317810798</v>
      </c>
      <c r="AG1060">
        <v>-1.1097300816490001</v>
      </c>
      <c r="AH1060">
        <v>28.495831379911799</v>
      </c>
      <c r="AI1060">
        <v>92.217817254246697</v>
      </c>
      <c r="AJ1060">
        <v>83.962126059491197</v>
      </c>
      <c r="AK1060">
        <v>28.6762719975838</v>
      </c>
      <c r="AL1060">
        <v>95.563616771392205</v>
      </c>
      <c r="AM1060">
        <v>83.280809070575003</v>
      </c>
      <c r="AN1060">
        <v>0.99999996255232404</v>
      </c>
    </row>
    <row r="1061" spans="1:40" x14ac:dyDescent="0.25">
      <c r="A1061" t="str">
        <f>"20190305135600662"</f>
        <v>20190305135600662</v>
      </c>
      <c r="B1061" t="str">
        <f>"1551765360652540"</f>
        <v>1551765360652540</v>
      </c>
      <c r="C1061" t="s">
        <v>40</v>
      </c>
      <c r="D1061">
        <v>4.4843659999999996</v>
      </c>
      <c r="E1061">
        <v>0.4969596</v>
      </c>
      <c r="F1061" t="s">
        <v>54</v>
      </c>
      <c r="G1061">
        <v>-194.97900000000001</v>
      </c>
      <c r="H1061" s="1">
        <v>3.88451199999999E-6</v>
      </c>
      <c r="I1061">
        <v>278.23419999999999</v>
      </c>
      <c r="J1061">
        <v>-191.2962</v>
      </c>
      <c r="K1061">
        <v>1.1097429999999999</v>
      </c>
      <c r="L1061">
        <v>306.31450000000001</v>
      </c>
      <c r="M1061">
        <v>-2.377218E-2</v>
      </c>
      <c r="N1061">
        <v>-1.3712729999999999E-2</v>
      </c>
      <c r="O1061">
        <v>-0.99962359999999995</v>
      </c>
      <c r="P1061">
        <v>-0.14198450000000001</v>
      </c>
      <c r="Q1061">
        <v>-0.111266</v>
      </c>
      <c r="R1061">
        <v>-0.98359569999999996</v>
      </c>
      <c r="S1061">
        <v>-0.38821410000000001</v>
      </c>
      <c r="T1061">
        <v>-0.1168149</v>
      </c>
      <c r="U1061">
        <v>-2.980591</v>
      </c>
      <c r="V1061">
        <v>0.1186188</v>
      </c>
      <c r="W1061">
        <v>-9.7653879999999998E-2</v>
      </c>
      <c r="X1061">
        <v>0.98812619999999896</v>
      </c>
      <c r="Y1061">
        <v>0.1054658</v>
      </c>
      <c r="Z1061">
        <v>2.5187250000000001E-2</v>
      </c>
      <c r="AA1061">
        <v>0.99410390000000004</v>
      </c>
      <c r="AB1061">
        <v>23</v>
      </c>
      <c r="AC1061">
        <v>-3.6828000000000101</v>
      </c>
      <c r="AD1061">
        <v>-1.1097391154880001</v>
      </c>
      <c r="AE1061">
        <v>-28.080300000000001</v>
      </c>
      <c r="AF1061">
        <v>3.00954553971044</v>
      </c>
      <c r="AG1061">
        <v>-1.1097391154880001</v>
      </c>
      <c r="AH1061">
        <v>28.116748014954702</v>
      </c>
      <c r="AI1061">
        <v>92.247407934792705</v>
      </c>
      <c r="AJ1061">
        <v>83.890466274369601</v>
      </c>
      <c r="AK1061">
        <v>28.2991237354886</v>
      </c>
      <c r="AL1061">
        <v>95.604086140242302</v>
      </c>
      <c r="AM1061">
        <v>83.154731173135701</v>
      </c>
      <c r="AN1061">
        <v>1.00000004355946</v>
      </c>
    </row>
    <row r="1062" spans="1:40" x14ac:dyDescent="0.25">
      <c r="A1062" t="str">
        <f>"20190305135600684"</f>
        <v>20190305135600684</v>
      </c>
      <c r="B1062" t="str">
        <f>"1551765360672567"</f>
        <v>1551765360672567</v>
      </c>
      <c r="C1062" t="s">
        <v>40</v>
      </c>
      <c r="D1062">
        <v>4.4101489999999997</v>
      </c>
      <c r="E1062">
        <v>0.5560079</v>
      </c>
      <c r="F1062" t="s">
        <v>54</v>
      </c>
      <c r="G1062">
        <v>-194.92339999999999</v>
      </c>
      <c r="H1062" s="1">
        <v>3.738304E-6</v>
      </c>
      <c r="I1062">
        <v>278.8236</v>
      </c>
      <c r="J1062">
        <v>-191.30109999999999</v>
      </c>
      <c r="K1062">
        <v>1.1097440000000001</v>
      </c>
      <c r="L1062">
        <v>306.09010000000001</v>
      </c>
      <c r="M1062">
        <v>-2.3356700000000001E-2</v>
      </c>
      <c r="N1062">
        <v>-1.371091E-2</v>
      </c>
      <c r="O1062">
        <v>-0.99963340000000001</v>
      </c>
      <c r="P1062">
        <v>-0.14440939999999999</v>
      </c>
      <c r="Q1062">
        <v>-0.11271059999999999</v>
      </c>
      <c r="R1062">
        <v>-0.98307809999999995</v>
      </c>
      <c r="S1062">
        <v>-0.39314270000000001</v>
      </c>
      <c r="T1062">
        <v>-0.120282399999999</v>
      </c>
      <c r="U1062">
        <v>-2.9796749999999999</v>
      </c>
      <c r="V1062">
        <v>0.1214659</v>
      </c>
      <c r="W1062">
        <v>-9.9105600000000002E-2</v>
      </c>
      <c r="X1062">
        <v>0.98763559999999995</v>
      </c>
      <c r="Y1062">
        <v>0.1075291</v>
      </c>
      <c r="Z1062">
        <v>2.63456E-2</v>
      </c>
      <c r="AA1062">
        <v>0.99385279999999998</v>
      </c>
      <c r="AB1062">
        <v>23</v>
      </c>
      <c r="AC1062">
        <v>-3.6222999999999899</v>
      </c>
      <c r="AD1062">
        <v>-1.1097402616959999</v>
      </c>
      <c r="AE1062">
        <v>-27.266500000000001</v>
      </c>
      <c r="AF1062">
        <v>2.9795465110921802</v>
      </c>
      <c r="AG1062">
        <v>-1.1097402616959999</v>
      </c>
      <c r="AH1062">
        <v>27.299236912779801</v>
      </c>
      <c r="AI1062">
        <v>92.314119423795205</v>
      </c>
      <c r="AJ1062">
        <v>83.771167751908294</v>
      </c>
      <c r="AK1062">
        <v>27.483768971526999</v>
      </c>
      <c r="AL1062">
        <v>95.687669391839293</v>
      </c>
      <c r="AM1062">
        <v>82.9885987615788</v>
      </c>
      <c r="AN1062">
        <v>0.99999998160076398</v>
      </c>
    </row>
    <row r="1063" spans="1:40" x14ac:dyDescent="0.25">
      <c r="A1063" t="str">
        <f>"20190305135600704"</f>
        <v>20190305135600704</v>
      </c>
      <c r="B1063" t="str">
        <f>"1551765360693064"</f>
        <v>1551765360693064</v>
      </c>
      <c r="C1063" t="s">
        <v>40</v>
      </c>
      <c r="D1063">
        <v>4.5211860000000001</v>
      </c>
      <c r="E1063">
        <v>0.57473949999999996</v>
      </c>
      <c r="F1063" t="s">
        <v>54</v>
      </c>
      <c r="G1063">
        <v>-196.93469999999999</v>
      </c>
      <c r="H1063" s="1">
        <v>2.502607E-6</v>
      </c>
      <c r="I1063">
        <v>287.26900000000001</v>
      </c>
      <c r="J1063">
        <v>-191.30539999999999</v>
      </c>
      <c r="K1063">
        <v>1.1097490000000001</v>
      </c>
      <c r="L1063">
        <v>305.88670000000002</v>
      </c>
      <c r="M1063">
        <v>-2.2980090000000002E-2</v>
      </c>
      <c r="N1063">
        <v>-1.370913E-2</v>
      </c>
      <c r="O1063">
        <v>-0.99964200000000003</v>
      </c>
      <c r="P1063">
        <v>-0.14765529999999999</v>
      </c>
      <c r="Q1063">
        <v>-0.1144853</v>
      </c>
      <c r="R1063">
        <v>-0.9823906</v>
      </c>
      <c r="S1063">
        <v>-0.86932369999999903</v>
      </c>
      <c r="T1063">
        <v>-0.17124489999999901</v>
      </c>
      <c r="U1063">
        <v>-2.9042970000000001</v>
      </c>
      <c r="V1063">
        <v>0.12509919999999999</v>
      </c>
      <c r="W1063">
        <v>-0.1008889</v>
      </c>
      <c r="X1063">
        <v>0.98700129999999997</v>
      </c>
      <c r="Y1063">
        <v>0.26427209999999901</v>
      </c>
      <c r="Z1063">
        <v>4.2910080000000003E-2</v>
      </c>
      <c r="AA1063">
        <v>0.96349309999999999</v>
      </c>
      <c r="AB1063">
        <v>23</v>
      </c>
      <c r="AC1063">
        <v>-5.6292999999999997</v>
      </c>
      <c r="AD1063">
        <v>-1.10974649739299</v>
      </c>
      <c r="AE1063">
        <v>-18.617699999999999</v>
      </c>
      <c r="AF1063">
        <v>5.18306368732362</v>
      </c>
      <c r="AG1063">
        <v>-1.10974649739299</v>
      </c>
      <c r="AH1063">
        <v>18.6813415847285</v>
      </c>
      <c r="AI1063">
        <v>93.276133696699802</v>
      </c>
      <c r="AJ1063">
        <v>74.493537728410999</v>
      </c>
      <c r="AK1063">
        <v>19.418759226084301</v>
      </c>
      <c r="AL1063">
        <v>95.790359734036102</v>
      </c>
      <c r="AM1063">
        <v>82.776463640730796</v>
      </c>
      <c r="AN1063">
        <v>0.999999973092769</v>
      </c>
    </row>
    <row r="1064" spans="1:40" x14ac:dyDescent="0.25">
      <c r="A1064" t="str">
        <f>"20190305135600728"</f>
        <v>20190305135600728</v>
      </c>
      <c r="B1064" t="str">
        <f>"1551765360722344"</f>
        <v>1551765360722344</v>
      </c>
      <c r="C1064" t="s">
        <v>40</v>
      </c>
      <c r="D1064">
        <v>4.4173369999999998</v>
      </c>
      <c r="E1064">
        <v>0.58247689999999996</v>
      </c>
      <c r="F1064" t="s">
        <v>54</v>
      </c>
      <c r="G1064">
        <v>-196.29839999999999</v>
      </c>
      <c r="H1064" s="1">
        <v>1.674966E-6</v>
      </c>
      <c r="I1064">
        <v>291.94850000000002</v>
      </c>
      <c r="J1064">
        <v>-191.31030000000001</v>
      </c>
      <c r="K1064">
        <v>1.1097589999999999</v>
      </c>
      <c r="L1064">
        <v>305.64980000000003</v>
      </c>
      <c r="M1064">
        <v>-2.2541229999999999E-2</v>
      </c>
      <c r="N1064">
        <v>-1.3706980000000001E-2</v>
      </c>
      <c r="O1064">
        <v>-0.99965199999999999</v>
      </c>
      <c r="P1064">
        <v>-0.15111579999999999</v>
      </c>
      <c r="Q1064">
        <v>-0.11608110000000001</v>
      </c>
      <c r="R1064">
        <v>-0.98167669999999996</v>
      </c>
      <c r="S1064">
        <v>-1.0289919999999999</v>
      </c>
      <c r="T1064">
        <v>-0.2287034</v>
      </c>
      <c r="U1064">
        <v>-2.8724669999999999</v>
      </c>
      <c r="V1064">
        <v>0.1290084</v>
      </c>
      <c r="W1064">
        <v>-0.102494</v>
      </c>
      <c r="X1064">
        <v>0.98633249999999995</v>
      </c>
      <c r="Y1064">
        <v>0.31511149999999999</v>
      </c>
      <c r="Z1064">
        <v>6.1378139999999998E-2</v>
      </c>
      <c r="AA1064">
        <v>0.94706780000000002</v>
      </c>
      <c r="AB1064">
        <v>23</v>
      </c>
      <c r="AC1064">
        <v>-4.98809999999997</v>
      </c>
      <c r="AD1064">
        <v>-1.109757325034</v>
      </c>
      <c r="AE1064">
        <v>-13.7013</v>
      </c>
      <c r="AF1064">
        <v>4.6510173819220704</v>
      </c>
      <c r="AG1064">
        <v>-1.109757325034</v>
      </c>
      <c r="AH1064">
        <v>13.730728893762301</v>
      </c>
      <c r="AI1064">
        <v>94.377482413158702</v>
      </c>
      <c r="AJ1064">
        <v>71.287189181482105</v>
      </c>
      <c r="AK1064">
        <v>14.539478668831499</v>
      </c>
      <c r="AL1064">
        <v>95.8828043139941</v>
      </c>
      <c r="AM1064">
        <v>82.548239856952506</v>
      </c>
      <c r="AN1064">
        <v>0.99999999393140404</v>
      </c>
    </row>
    <row r="1065" spans="1:40" x14ac:dyDescent="0.25">
      <c r="A1065" t="str">
        <f>"20190305135600750"</f>
        <v>20190305135600750</v>
      </c>
      <c r="B1065" t="str">
        <f>"1551765360742840"</f>
        <v>1551765360742840</v>
      </c>
      <c r="C1065" t="s">
        <v>40</v>
      </c>
      <c r="D1065">
        <v>4.4113769999999999</v>
      </c>
      <c r="E1065">
        <v>0.58460829999999997</v>
      </c>
      <c r="F1065" t="s">
        <v>54</v>
      </c>
      <c r="G1065">
        <v>-195.93170000000001</v>
      </c>
      <c r="H1065" s="1">
        <v>1.404231E-6</v>
      </c>
      <c r="I1065">
        <v>293.6705</v>
      </c>
      <c r="J1065">
        <v>-191.315</v>
      </c>
      <c r="K1065">
        <v>1.1097699999999999</v>
      </c>
      <c r="L1065">
        <v>305.4228</v>
      </c>
      <c r="M1065">
        <v>-2.2121930000000001E-2</v>
      </c>
      <c r="N1065">
        <v>-1.37047E-2</v>
      </c>
      <c r="O1065">
        <v>-0.99966149999999998</v>
      </c>
      <c r="P1065">
        <v>-0.15473519999999999</v>
      </c>
      <c r="Q1065">
        <v>-0.11629299999999999</v>
      </c>
      <c r="R1065">
        <v>-0.98108779999999995</v>
      </c>
      <c r="S1065">
        <v>-1.1014710000000001</v>
      </c>
      <c r="T1065">
        <v>-0.26450309999999999</v>
      </c>
      <c r="U1065">
        <v>-2.855194</v>
      </c>
      <c r="V1065">
        <v>0.1330529</v>
      </c>
      <c r="W1065">
        <v>-0.10271379999999999</v>
      </c>
      <c r="X1065">
        <v>0.98577219999999999</v>
      </c>
      <c r="Y1065">
        <v>0.3380167</v>
      </c>
      <c r="Z1065">
        <v>7.2817199999999999E-2</v>
      </c>
      <c r="AA1065">
        <v>0.93831889999999996</v>
      </c>
      <c r="AB1065">
        <v>23</v>
      </c>
      <c r="AC1065">
        <v>-4.6166999999999998</v>
      </c>
      <c r="AD1065">
        <v>-1.109768595769</v>
      </c>
      <c r="AE1065">
        <v>-11.7522999999999</v>
      </c>
      <c r="AF1065">
        <v>4.3221736446803103</v>
      </c>
      <c r="AG1065">
        <v>-1.109768595769</v>
      </c>
      <c r="AH1065">
        <v>11.7607128617533</v>
      </c>
      <c r="AI1065">
        <v>95.061504083684</v>
      </c>
      <c r="AJ1065">
        <v>69.821140634849399</v>
      </c>
      <c r="AK1065">
        <v>12.5788369242761</v>
      </c>
      <c r="AL1065">
        <v>95.895464622192605</v>
      </c>
      <c r="AM1065">
        <v>82.313056185715695</v>
      </c>
      <c r="AN1065">
        <v>1.0000000146008401</v>
      </c>
    </row>
    <row r="1066" spans="1:40" x14ac:dyDescent="0.25">
      <c r="A1066" t="str">
        <f>"20190305135600772"</f>
        <v>20190305135600772</v>
      </c>
      <c r="B1066" t="str">
        <f>"1551765360762866"</f>
        <v>1551765360762866</v>
      </c>
      <c r="C1066" t="s">
        <v>40</v>
      </c>
      <c r="D1066">
        <v>4.4241380000000001</v>
      </c>
      <c r="E1066">
        <v>0.58612240000000004</v>
      </c>
      <c r="F1066" t="s">
        <v>54</v>
      </c>
      <c r="G1066">
        <v>-195.89930000000001</v>
      </c>
      <c r="H1066" s="1">
        <v>1.3730090000000001E-6</v>
      </c>
      <c r="I1066">
        <v>293.86410000000001</v>
      </c>
      <c r="J1066">
        <v>-191.31960000000001</v>
      </c>
      <c r="K1066">
        <v>1.1097760000000001</v>
      </c>
      <c r="L1066">
        <v>305.19389999999999</v>
      </c>
      <c r="M1066">
        <v>-2.1704580000000001E-2</v>
      </c>
      <c r="N1066">
        <v>-1.3702529999999999E-2</v>
      </c>
      <c r="O1066">
        <v>-0.99967059999999996</v>
      </c>
      <c r="P1066">
        <v>-0.1588367</v>
      </c>
      <c r="Q1066">
        <v>-0.1164874</v>
      </c>
      <c r="R1066">
        <v>-0.98040879999999997</v>
      </c>
      <c r="S1066">
        <v>-1.1292719999999901</v>
      </c>
      <c r="T1066">
        <v>-0.27337519999999998</v>
      </c>
      <c r="U1066">
        <v>-2.847321</v>
      </c>
      <c r="V1066">
        <v>0.13757829999999999</v>
      </c>
      <c r="W1066">
        <v>-0.1029177</v>
      </c>
      <c r="X1066">
        <v>0.98512949999999999</v>
      </c>
      <c r="Y1066">
        <v>0.34711740000000002</v>
      </c>
      <c r="Z1066">
        <v>7.5622399999999895E-2</v>
      </c>
      <c r="AA1066">
        <v>0.93476780000000004</v>
      </c>
      <c r="AB1066">
        <v>23</v>
      </c>
      <c r="AC1066">
        <v>-4.5796999999999999</v>
      </c>
      <c r="AD1066">
        <v>-1.109774626991</v>
      </c>
      <c r="AE1066">
        <v>-11.329799999999899</v>
      </c>
      <c r="AF1066">
        <v>4.2972496486478704</v>
      </c>
      <c r="AG1066">
        <v>-1.109774626991</v>
      </c>
      <c r="AH1066">
        <v>11.333075740108701</v>
      </c>
      <c r="AI1066">
        <v>95.231544485210406</v>
      </c>
      <c r="AJ1066">
        <v>69.234389429521698</v>
      </c>
      <c r="AK1066">
        <v>12.171136347792601</v>
      </c>
      <c r="AL1066">
        <v>95.907209639769306</v>
      </c>
      <c r="AM1066">
        <v>82.049775317456593</v>
      </c>
      <c r="AN1066">
        <v>0.99999998668721402</v>
      </c>
    </row>
    <row r="1067" spans="1:40" x14ac:dyDescent="0.25">
      <c r="A1067" t="str">
        <f>"20190305135600796"</f>
        <v>20190305135600796</v>
      </c>
      <c r="B1067" t="str">
        <f>"1551765360793122"</f>
        <v>1551765360793122</v>
      </c>
      <c r="C1067" t="s">
        <v>40</v>
      </c>
      <c r="D1067">
        <v>4.4266189999999996</v>
      </c>
      <c r="E1067">
        <v>0.58672460000000004</v>
      </c>
      <c r="F1067" t="s">
        <v>54</v>
      </c>
      <c r="G1067">
        <v>-195.93940000000001</v>
      </c>
      <c r="H1067" s="1">
        <v>1.3778430000000001E-6</v>
      </c>
      <c r="I1067">
        <v>293.81639999999999</v>
      </c>
      <c r="J1067">
        <v>-191.32419999999999</v>
      </c>
      <c r="K1067">
        <v>1.1097680000000001</v>
      </c>
      <c r="L1067">
        <v>304.96039999999999</v>
      </c>
      <c r="M1067">
        <v>-2.1287090000000002E-2</v>
      </c>
      <c r="N1067">
        <v>-1.3700260000000001E-2</v>
      </c>
      <c r="O1067">
        <v>-0.9996796</v>
      </c>
      <c r="P1067">
        <v>-0.1620867</v>
      </c>
      <c r="Q1067">
        <v>-0.1166132</v>
      </c>
      <c r="R1067">
        <v>-0.97986200000000001</v>
      </c>
      <c r="S1067">
        <v>-1.1532439999999999</v>
      </c>
      <c r="T1067">
        <v>-0.27703450000000002</v>
      </c>
      <c r="U1067">
        <v>-2.840179</v>
      </c>
      <c r="V1067">
        <v>0.1412485</v>
      </c>
      <c r="W1067">
        <v>-0.10305300000000001</v>
      </c>
      <c r="X1067">
        <v>0.98459580000000002</v>
      </c>
      <c r="Y1067">
        <v>0.35505350000000002</v>
      </c>
      <c r="Z1067">
        <v>7.6746079999999994E-2</v>
      </c>
      <c r="AA1067">
        <v>0.93169040000000003</v>
      </c>
      <c r="AB1067">
        <v>23</v>
      </c>
      <c r="AC1067">
        <v>-4.6152000000000104</v>
      </c>
      <c r="AD1067">
        <v>-1.1097666221569999</v>
      </c>
      <c r="AE1067">
        <v>-11.144</v>
      </c>
      <c r="AF1067">
        <v>4.3401683405382396</v>
      </c>
      <c r="AG1067">
        <v>-1.1097666221569999</v>
      </c>
      <c r="AH1067">
        <v>11.1453806171292</v>
      </c>
      <c r="AI1067">
        <v>95.301011216338907</v>
      </c>
      <c r="AJ1067">
        <v>68.723360002454996</v>
      </c>
      <c r="AK1067">
        <v>12.012000344678</v>
      </c>
      <c r="AL1067">
        <v>95.915003270714394</v>
      </c>
      <c r="AM1067">
        <v>81.836142157833905</v>
      </c>
      <c r="AN1067">
        <v>0.999999974469444</v>
      </c>
    </row>
    <row r="1068" spans="1:40" x14ac:dyDescent="0.25">
      <c r="A1068" t="str">
        <f>"20190305135600818"</f>
        <v>20190305135600818</v>
      </c>
      <c r="B1068" t="str">
        <f>"1551765360812642"</f>
        <v>1551765360812642</v>
      </c>
      <c r="C1068" t="s">
        <v>40</v>
      </c>
      <c r="D1068">
        <v>4.4387280000000002</v>
      </c>
      <c r="E1068">
        <v>0.58713839999999995</v>
      </c>
      <c r="F1068" t="s">
        <v>54</v>
      </c>
      <c r="G1068">
        <v>-195.84379999999999</v>
      </c>
      <c r="H1068" s="1">
        <v>1.355755E-6</v>
      </c>
      <c r="I1068">
        <v>293.99</v>
      </c>
      <c r="J1068">
        <v>-191.32859999999999</v>
      </c>
      <c r="K1068">
        <v>1.1097570000000001</v>
      </c>
      <c r="L1068">
        <v>304.7294</v>
      </c>
      <c r="M1068">
        <v>-2.0893109999999999E-2</v>
      </c>
      <c r="N1068">
        <v>-1.3697920000000001E-2</v>
      </c>
      <c r="O1068">
        <v>-0.99968789999999996</v>
      </c>
      <c r="P1068">
        <v>-0.165829</v>
      </c>
      <c r="Q1068">
        <v>-0.1178742</v>
      </c>
      <c r="R1068">
        <v>-0.97908479999999998</v>
      </c>
      <c r="S1068">
        <v>-1.167694</v>
      </c>
      <c r="T1068">
        <v>-0.28672300000000001</v>
      </c>
      <c r="U1068">
        <v>-2.8343509999999998</v>
      </c>
      <c r="V1068">
        <v>0.14539150000000001</v>
      </c>
      <c r="W1068">
        <v>-0.1043283</v>
      </c>
      <c r="X1068">
        <v>0.98385820000000002</v>
      </c>
      <c r="Y1068">
        <v>0.36004730000000001</v>
      </c>
      <c r="Z1068">
        <v>7.9881569999999999E-2</v>
      </c>
      <c r="AA1068">
        <v>0.92950790000000005</v>
      </c>
      <c r="AB1068">
        <v>23</v>
      </c>
      <c r="AC1068">
        <v>-4.5151999999999903</v>
      </c>
      <c r="AD1068">
        <v>-1.1097556442449901</v>
      </c>
      <c r="AE1068">
        <v>-10.7393999999999</v>
      </c>
      <c r="AF1068">
        <v>4.2512373949211604</v>
      </c>
      <c r="AG1068">
        <v>-1.1097556442449901</v>
      </c>
      <c r="AH1068">
        <v>10.733998962267901</v>
      </c>
      <c r="AI1068">
        <v>95.490553357105696</v>
      </c>
      <c r="AJ1068">
        <v>68.3937866609498</v>
      </c>
      <c r="AK1068">
        <v>11.5984184568362</v>
      </c>
      <c r="AL1068">
        <v>95.988468318988296</v>
      </c>
      <c r="AM1068">
        <v>81.593847069572703</v>
      </c>
      <c r="AN1068">
        <v>1.00000002008018</v>
      </c>
    </row>
    <row r="1069" spans="1:40" x14ac:dyDescent="0.25">
      <c r="A1069" t="str">
        <f>"20190305135600840"</f>
        <v>20190305135600840</v>
      </c>
      <c r="B1069" t="str">
        <f>"1551765360833138"</f>
        <v>1551765360833138</v>
      </c>
      <c r="C1069" t="s">
        <v>40</v>
      </c>
      <c r="D1069">
        <v>4.4660500000000001</v>
      </c>
      <c r="E1069">
        <v>0.58732450000000003</v>
      </c>
      <c r="F1069" t="s">
        <v>54</v>
      </c>
      <c r="G1069">
        <v>-195.84649999999999</v>
      </c>
      <c r="H1069" s="1">
        <v>1.3691839999999999E-6</v>
      </c>
      <c r="I1069">
        <v>293.91239999999999</v>
      </c>
      <c r="J1069">
        <v>-191.333</v>
      </c>
      <c r="K1069">
        <v>1.1097349999999999</v>
      </c>
      <c r="L1069">
        <v>304.49979999999999</v>
      </c>
      <c r="M1069">
        <v>-2.0538150000000002E-2</v>
      </c>
      <c r="N1069">
        <v>-1.3695550000000001E-2</v>
      </c>
      <c r="O1069">
        <v>-0.99969520000000001</v>
      </c>
      <c r="P1069">
        <v>-0.16868279999999999</v>
      </c>
      <c r="Q1069">
        <v>-0.11901299999999999</v>
      </c>
      <c r="R1069">
        <v>-0.97845919999999997</v>
      </c>
      <c r="S1069">
        <v>-1.181595</v>
      </c>
      <c r="T1069">
        <v>-0.29024309999999998</v>
      </c>
      <c r="U1069">
        <v>-2.8290709999999999</v>
      </c>
      <c r="V1069">
        <v>0.14860110000000001</v>
      </c>
      <c r="W1069">
        <v>-0.1054842</v>
      </c>
      <c r="X1069">
        <v>0.9832552</v>
      </c>
      <c r="Y1069">
        <v>0.36483860000000001</v>
      </c>
      <c r="Z1069">
        <v>8.1008419999999998E-2</v>
      </c>
      <c r="AA1069">
        <v>0.92754000000000003</v>
      </c>
      <c r="AB1069">
        <v>23</v>
      </c>
      <c r="AC1069">
        <v>-4.5134999999999899</v>
      </c>
      <c r="AD1069">
        <v>-1.109733630816</v>
      </c>
      <c r="AE1069">
        <v>-10.587400000000001</v>
      </c>
      <c r="AF1069">
        <v>4.2555187193619997</v>
      </c>
      <c r="AG1069">
        <v>-1.109733630816</v>
      </c>
      <c r="AH1069">
        <v>10.5795175066068</v>
      </c>
      <c r="AI1069">
        <v>95.558335898947007</v>
      </c>
      <c r="AJ1069">
        <v>68.0879725340357</v>
      </c>
      <c r="AK1069">
        <v>11.4571872191565</v>
      </c>
      <c r="AL1069">
        <v>96.055064127450194</v>
      </c>
      <c r="AM1069">
        <v>81.405826148567002</v>
      </c>
      <c r="AN1069">
        <v>0.99999999584894494</v>
      </c>
    </row>
    <row r="1070" spans="1:40" x14ac:dyDescent="0.25">
      <c r="A1070" t="str">
        <f>"20190305135600884"</f>
        <v>20190305135600884</v>
      </c>
      <c r="B1070" t="str">
        <f>"1551765360872684"</f>
        <v>1551765360872684</v>
      </c>
      <c r="C1070" t="s">
        <v>40</v>
      </c>
      <c r="D1070">
        <v>4.4306449999999904</v>
      </c>
      <c r="E1070">
        <v>0.58738109999999999</v>
      </c>
      <c r="F1070" t="s">
        <v>54</v>
      </c>
      <c r="G1070">
        <v>-195.81809999999999</v>
      </c>
      <c r="H1070" s="1">
        <v>1.379986E-6</v>
      </c>
      <c r="I1070">
        <v>293.86529999999999</v>
      </c>
      <c r="J1070">
        <v>-191.34129999999999</v>
      </c>
      <c r="K1070">
        <v>1.1096429999999999</v>
      </c>
      <c r="L1070">
        <v>304.06299999999999</v>
      </c>
      <c r="M1070">
        <v>-2.0055969999999999E-2</v>
      </c>
      <c r="N1070">
        <v>-1.369093E-2</v>
      </c>
      <c r="O1070">
        <v>-0.99970510000000001</v>
      </c>
      <c r="P1070">
        <v>-0.17385139999999999</v>
      </c>
      <c r="Q1070">
        <v>-0.1188404</v>
      </c>
      <c r="R1070">
        <v>-0.97757490000000002</v>
      </c>
      <c r="S1070">
        <v>-1.19136</v>
      </c>
      <c r="T1070">
        <v>-0.2947727</v>
      </c>
      <c r="U1070">
        <v>-2.8247680000000002</v>
      </c>
      <c r="V1070">
        <v>0.1542364</v>
      </c>
      <c r="W1070">
        <v>-0.1053592</v>
      </c>
      <c r="X1070">
        <v>0.98240039999999995</v>
      </c>
      <c r="Y1070">
        <v>0.3684597</v>
      </c>
      <c r="Z1070">
        <v>8.2478869999999996E-2</v>
      </c>
      <c r="AA1070">
        <v>0.92597770000000001</v>
      </c>
      <c r="AB1070">
        <v>23</v>
      </c>
      <c r="AC1070">
        <v>-4.4767999999999901</v>
      </c>
      <c r="AD1070">
        <v>-1.109641620014</v>
      </c>
      <c r="AE1070">
        <v>-10.1976999999999</v>
      </c>
      <c r="AF1070">
        <v>4.2293700967384797</v>
      </c>
      <c r="AG1070">
        <v>-1.109641620014</v>
      </c>
      <c r="AH1070">
        <v>10.184342563653701</v>
      </c>
      <c r="AI1070">
        <v>95.745981173502599</v>
      </c>
      <c r="AJ1070">
        <v>67.447787237557307</v>
      </c>
      <c r="AK1070">
        <v>11.0833076919258</v>
      </c>
      <c r="AL1070">
        <v>96.047862075639301</v>
      </c>
      <c r="AM1070">
        <v>81.077424276869706</v>
      </c>
      <c r="AN1070">
        <v>0.99999998701487902</v>
      </c>
    </row>
    <row r="1071" spans="1:40" x14ac:dyDescent="0.25">
      <c r="A1071" t="str">
        <f>"20190305135600908"</f>
        <v>20190305135600908</v>
      </c>
      <c r="B1071" t="str">
        <f>"1551765360902941"</f>
        <v>1551765360902941</v>
      </c>
      <c r="C1071" t="s">
        <v>40</v>
      </c>
      <c r="D1071">
        <v>4.4218359999999999</v>
      </c>
      <c r="E1071">
        <v>0.58738760000000001</v>
      </c>
      <c r="F1071" t="s">
        <v>54</v>
      </c>
      <c r="G1071">
        <v>-195.941</v>
      </c>
      <c r="H1071" s="1">
        <v>1.465821E-6</v>
      </c>
      <c r="I1071">
        <v>293.31610000000001</v>
      </c>
      <c r="J1071">
        <v>-191.346</v>
      </c>
      <c r="K1071">
        <v>1.109567</v>
      </c>
      <c r="L1071">
        <v>303.81900000000002</v>
      </c>
      <c r="M1071">
        <v>-1.9922949999999998E-2</v>
      </c>
      <c r="N1071">
        <v>-1.368844E-2</v>
      </c>
      <c r="O1071">
        <v>-0.99970769999999998</v>
      </c>
      <c r="P1071">
        <v>-0.1756712</v>
      </c>
      <c r="Q1071">
        <v>-0.1198887</v>
      </c>
      <c r="R1071">
        <v>-0.97712140000000003</v>
      </c>
      <c r="S1071">
        <v>-1.2064969999999999</v>
      </c>
      <c r="T1071">
        <v>-0.29105690000000001</v>
      </c>
      <c r="U1071">
        <v>-2.8189090000000001</v>
      </c>
      <c r="V1071">
        <v>0.15617729999999999</v>
      </c>
      <c r="W1071">
        <v>-0.1064423</v>
      </c>
      <c r="X1071">
        <v>0.98197690000000004</v>
      </c>
      <c r="Y1071">
        <v>0.37351580000000001</v>
      </c>
      <c r="Z1071">
        <v>8.1267300000000001E-2</v>
      </c>
      <c r="AA1071">
        <v>0.92405709999999996</v>
      </c>
      <c r="AB1071">
        <v>23</v>
      </c>
      <c r="AC1071">
        <v>-4.59499999999999</v>
      </c>
      <c r="AD1071">
        <v>-1.1095655341790001</v>
      </c>
      <c r="AE1071">
        <v>-10.5029</v>
      </c>
      <c r="AF1071">
        <v>4.3441254130916596</v>
      </c>
      <c r="AG1071">
        <v>-1.1095655341790001</v>
      </c>
      <c r="AH1071">
        <v>10.4940653546111</v>
      </c>
      <c r="AI1071">
        <v>95.579690664886698</v>
      </c>
      <c r="AJ1071">
        <v>67.512391704813197</v>
      </c>
      <c r="AK1071">
        <v>11.4117469717023</v>
      </c>
      <c r="AL1071">
        <v>96.110270167901703</v>
      </c>
      <c r="AM1071">
        <v>80.963151883785898</v>
      </c>
      <c r="AN1071">
        <v>0.99999997219909398</v>
      </c>
    </row>
    <row r="1072" spans="1:40" x14ac:dyDescent="0.25">
      <c r="A1072" t="str">
        <f>"20190305135600928"</f>
        <v>20190305135600928</v>
      </c>
      <c r="B1072" t="str">
        <f>"1551765360922460"</f>
        <v>1551765360922460</v>
      </c>
      <c r="C1072" t="s">
        <v>40</v>
      </c>
      <c r="D1072">
        <v>4.4123729999999997</v>
      </c>
      <c r="E1072">
        <v>0.58740389999999998</v>
      </c>
      <c r="F1072" t="s">
        <v>54</v>
      </c>
      <c r="G1072">
        <v>-195.96129999999999</v>
      </c>
      <c r="H1072" s="1">
        <v>1.5036549999999999E-6</v>
      </c>
      <c r="I1072">
        <v>293.09100000000001</v>
      </c>
      <c r="J1072">
        <v>-191.34989999999999</v>
      </c>
      <c r="K1072">
        <v>1.1095079999999999</v>
      </c>
      <c r="L1072">
        <v>303.62290000000002</v>
      </c>
      <c r="M1072">
        <v>-1.991335E-2</v>
      </c>
      <c r="N1072">
        <v>-1.3686480000000001E-2</v>
      </c>
      <c r="O1072">
        <v>-0.99970789999999998</v>
      </c>
      <c r="P1072">
        <v>-0.1778931</v>
      </c>
      <c r="Q1072">
        <v>-0.1213936</v>
      </c>
      <c r="R1072">
        <v>-0.9765334</v>
      </c>
      <c r="S1072">
        <v>-1.211746</v>
      </c>
      <c r="T1072">
        <v>-0.29131810000000002</v>
      </c>
      <c r="U1072">
        <v>-2.8166500000000001</v>
      </c>
      <c r="V1072">
        <v>0.15840319999999999</v>
      </c>
      <c r="W1072">
        <v>-0.1079809</v>
      </c>
      <c r="X1072">
        <v>0.98145230000000006</v>
      </c>
      <c r="Y1072">
        <v>0.37524170000000001</v>
      </c>
      <c r="Z1072">
        <v>8.1355800000000006E-2</v>
      </c>
      <c r="AA1072">
        <v>0.92334989999999995</v>
      </c>
      <c r="AB1072">
        <v>23</v>
      </c>
      <c r="AC1072">
        <v>-4.6113999999999997</v>
      </c>
      <c r="AD1072">
        <v>-1.1095064963450001</v>
      </c>
      <c r="AE1072">
        <v>-10.5319</v>
      </c>
      <c r="AF1072">
        <v>4.3601358184079002</v>
      </c>
      <c r="AG1072">
        <v>-1.1095064963450001</v>
      </c>
      <c r="AH1072">
        <v>10.5236449769868</v>
      </c>
      <c r="AI1072">
        <v>95.563112424641403</v>
      </c>
      <c r="AJ1072">
        <v>67.494891370053907</v>
      </c>
      <c r="AK1072">
        <v>11.4450379039151</v>
      </c>
      <c r="AL1072">
        <v>96.198936141185001</v>
      </c>
      <c r="AM1072">
        <v>80.8317104766856</v>
      </c>
      <c r="AN1072">
        <v>1.0000000328551599</v>
      </c>
    </row>
    <row r="1073" spans="1:40" x14ac:dyDescent="0.25">
      <c r="A1073" t="str">
        <f>"20190305135600950"</f>
        <v>20190305135600950</v>
      </c>
      <c r="B1073" t="str">
        <f>"1551765360942957"</f>
        <v>1551765360942957</v>
      </c>
      <c r="C1073" t="s">
        <v>40</v>
      </c>
      <c r="D1073">
        <v>4.4026820000000004</v>
      </c>
      <c r="E1073">
        <v>0.58749819999999997</v>
      </c>
      <c r="F1073" t="s">
        <v>54</v>
      </c>
      <c r="G1073">
        <v>-195.9468</v>
      </c>
      <c r="H1073" s="1">
        <v>1.5199780000000001E-6</v>
      </c>
      <c r="I1073">
        <v>293.00560000000002</v>
      </c>
      <c r="J1073">
        <v>-191.3544</v>
      </c>
      <c r="K1073">
        <v>1.109413</v>
      </c>
      <c r="L1073">
        <v>303.3972</v>
      </c>
      <c r="M1073">
        <v>-2.003286E-2</v>
      </c>
      <c r="N1073">
        <v>-1.368427E-2</v>
      </c>
      <c r="O1073">
        <v>-0.99970579999999998</v>
      </c>
      <c r="P1073">
        <v>-0.18086340000000001</v>
      </c>
      <c r="Q1073">
        <v>-0.1220755</v>
      </c>
      <c r="R1073">
        <v>-0.97590279999999996</v>
      </c>
      <c r="S1073">
        <v>-1.2182010000000001</v>
      </c>
      <c r="T1073">
        <v>-0.29402479999999998</v>
      </c>
      <c r="U1073">
        <v>-2.8136290000000002</v>
      </c>
      <c r="V1073">
        <v>0.16124579999999999</v>
      </c>
      <c r="W1073">
        <v>-0.1087062</v>
      </c>
      <c r="X1073">
        <v>0.98090920000000004</v>
      </c>
      <c r="Y1073">
        <v>0.37724259999999998</v>
      </c>
      <c r="Z1073">
        <v>8.2244719999999993E-2</v>
      </c>
      <c r="AA1073">
        <v>0.92245529999999998</v>
      </c>
      <c r="AB1073">
        <v>23</v>
      </c>
      <c r="AC1073">
        <v>-4.5923999999999898</v>
      </c>
      <c r="AD1073">
        <v>-1.1094114800220001</v>
      </c>
      <c r="AE1073">
        <v>-10.391599999999899</v>
      </c>
      <c r="AF1073">
        <v>4.3418834547110103</v>
      </c>
      <c r="AG1073">
        <v>-1.1094114800220001</v>
      </c>
      <c r="AH1073">
        <v>10.382519679933299</v>
      </c>
      <c r="AI1073">
        <v>95.630072875126103</v>
      </c>
      <c r="AJ1073">
        <v>67.305723617093406</v>
      </c>
      <c r="AK1073">
        <v>11.308380108154299</v>
      </c>
      <c r="AL1073">
        <v>96.240738718947</v>
      </c>
      <c r="AM1073">
        <v>80.664975826680106</v>
      </c>
      <c r="AN1073">
        <v>1.00000005229035</v>
      </c>
    </row>
    <row r="1074" spans="1:40" x14ac:dyDescent="0.25">
      <c r="A1074" t="str">
        <f>"20190305135600971"</f>
        <v>20190305135600971</v>
      </c>
      <c r="B1074" t="str">
        <f>"1551765360962984"</f>
        <v>1551765360962984</v>
      </c>
      <c r="C1074" t="s">
        <v>40</v>
      </c>
      <c r="D1074">
        <v>4.3756149999999998</v>
      </c>
      <c r="E1074">
        <v>0.58750999999999998</v>
      </c>
      <c r="F1074" t="s">
        <v>54</v>
      </c>
      <c r="G1074">
        <v>-195.96379999999999</v>
      </c>
      <c r="H1074" s="1">
        <v>1.54641E-6</v>
      </c>
      <c r="I1074">
        <v>292.84699999999998</v>
      </c>
      <c r="J1074">
        <v>-191.35900000000001</v>
      </c>
      <c r="K1074">
        <v>1.109321</v>
      </c>
      <c r="L1074">
        <v>303.18169999999998</v>
      </c>
      <c r="M1074">
        <v>-2.030419E-2</v>
      </c>
      <c r="N1074">
        <v>-1.3682420000000001E-2</v>
      </c>
      <c r="O1074">
        <v>-0.99970040000000004</v>
      </c>
      <c r="P1074">
        <v>-0.18543680000000001</v>
      </c>
      <c r="Q1074">
        <v>-0.121771699999999</v>
      </c>
      <c r="R1074">
        <v>-0.97508220000000001</v>
      </c>
      <c r="S1074">
        <v>-1.227509</v>
      </c>
      <c r="T1074">
        <v>-0.29544700000000002</v>
      </c>
      <c r="U1074">
        <v>-2.809631</v>
      </c>
      <c r="V1074">
        <v>0.1655442</v>
      </c>
      <c r="W1074">
        <v>-0.1084531</v>
      </c>
      <c r="X1074">
        <v>0.98022089999999995</v>
      </c>
      <c r="Y1074">
        <v>0.38001869999999999</v>
      </c>
      <c r="Z1074">
        <v>8.2713809999999999E-2</v>
      </c>
      <c r="AA1074">
        <v>0.92127320000000001</v>
      </c>
      <c r="AB1074">
        <v>22</v>
      </c>
      <c r="AC1074">
        <v>-4.6047999999999796</v>
      </c>
      <c r="AD1074">
        <v>-1.1093194535899999</v>
      </c>
      <c r="AE1074">
        <v>-10.3346999999999</v>
      </c>
      <c r="AF1074">
        <v>4.3521550156497399</v>
      </c>
      <c r="AG1074">
        <v>-1.1093194535899999</v>
      </c>
      <c r="AH1074">
        <v>10.326800803147499</v>
      </c>
      <c r="AI1074">
        <v>95.653266184475996</v>
      </c>
      <c r="AJ1074">
        <v>67.147363778766206</v>
      </c>
      <c r="AK1074">
        <v>11.261201434937799</v>
      </c>
      <c r="AL1074">
        <v>96.226151332233897</v>
      </c>
      <c r="AM1074">
        <v>80.414079595415302</v>
      </c>
      <c r="AN1074">
        <v>0.99999998492502895</v>
      </c>
    </row>
    <row r="1075" spans="1:40" x14ac:dyDescent="0.25">
      <c r="A1075" t="str">
        <f>"20190305135600995"</f>
        <v>20190305135600995</v>
      </c>
      <c r="B1075" t="str">
        <f>"1551765360982503"</f>
        <v>1551765360982503</v>
      </c>
      <c r="C1075" t="s">
        <v>40</v>
      </c>
      <c r="D1075">
        <v>4.3553600000000001</v>
      </c>
      <c r="E1075">
        <v>0.58750880000000005</v>
      </c>
      <c r="F1075" t="s">
        <v>54</v>
      </c>
      <c r="G1075">
        <v>-196.01830000000001</v>
      </c>
      <c r="H1075" s="1">
        <v>1.5756889999999999E-6</v>
      </c>
      <c r="I1075">
        <v>292.6533</v>
      </c>
      <c r="J1075">
        <v>-191.36420000000001</v>
      </c>
      <c r="K1075">
        <v>1.109237</v>
      </c>
      <c r="L1075">
        <v>302.94889999999998</v>
      </c>
      <c r="M1075">
        <v>-2.0739629999999998E-2</v>
      </c>
      <c r="N1075">
        <v>-1.368075E-2</v>
      </c>
      <c r="O1075">
        <v>-0.99969140000000001</v>
      </c>
      <c r="P1075">
        <v>-0.19061220000000001</v>
      </c>
      <c r="Q1075">
        <v>-0.12059640000000001</v>
      </c>
      <c r="R1075">
        <v>-0.97422989999999998</v>
      </c>
      <c r="S1075">
        <v>-1.2408140000000001</v>
      </c>
      <c r="T1075">
        <v>-0.29542479999999999</v>
      </c>
      <c r="U1075">
        <v>-2.803833</v>
      </c>
      <c r="V1075">
        <v>0.17028399999999999</v>
      </c>
      <c r="W1075">
        <v>-0.107333</v>
      </c>
      <c r="X1075">
        <v>0.97953199999999996</v>
      </c>
      <c r="Y1075">
        <v>0.38397049999999999</v>
      </c>
      <c r="Z1075">
        <v>8.2720619999999995E-2</v>
      </c>
      <c r="AA1075">
        <v>0.91963249999999996</v>
      </c>
      <c r="AB1075">
        <v>22</v>
      </c>
      <c r="AC1075">
        <v>-4.6540999999999997</v>
      </c>
      <c r="AD1075">
        <v>-1.1092354243109901</v>
      </c>
      <c r="AE1075">
        <v>-10.295599999999901</v>
      </c>
      <c r="AF1075">
        <v>4.3971713813559798</v>
      </c>
      <c r="AG1075">
        <v>-1.1092354243109901</v>
      </c>
      <c r="AH1075">
        <v>10.2907350640176</v>
      </c>
      <c r="AI1075">
        <v>95.660676972882797</v>
      </c>
      <c r="AJ1075">
        <v>66.863262504081803</v>
      </c>
      <c r="AK1075">
        <v>11.245654607063299</v>
      </c>
      <c r="AL1075">
        <v>96.161597545947899</v>
      </c>
      <c r="AM1075">
        <v>80.138132850037294</v>
      </c>
      <c r="AN1075">
        <v>0.99999997628449899</v>
      </c>
    </row>
    <row r="1076" spans="1:40" x14ac:dyDescent="0.25">
      <c r="A1076" t="str">
        <f>"20190305135601017"</f>
        <v>20190305135601017</v>
      </c>
      <c r="B1076" t="str">
        <f>"1551765361012759"</f>
        <v>1551765361012759</v>
      </c>
      <c r="C1076" t="s">
        <v>40</v>
      </c>
      <c r="D1076">
        <v>4.3279379999999996</v>
      </c>
      <c r="E1076">
        <v>0.58769009999999999</v>
      </c>
      <c r="F1076" t="s">
        <v>54</v>
      </c>
      <c r="G1076">
        <v>-196.1123</v>
      </c>
      <c r="H1076" s="1">
        <v>1.616901E-6</v>
      </c>
      <c r="I1076">
        <v>292.37189999999998</v>
      </c>
      <c r="J1076">
        <v>-191.36959999999999</v>
      </c>
      <c r="K1076">
        <v>1.109154</v>
      </c>
      <c r="L1076">
        <v>302.71910000000003</v>
      </c>
      <c r="M1076">
        <v>-2.1320700000000001E-2</v>
      </c>
      <c r="N1076">
        <v>-1.3679149999999999E-2</v>
      </c>
      <c r="O1076">
        <v>-0.99967919999999999</v>
      </c>
      <c r="P1076">
        <v>-0.19552259999999999</v>
      </c>
      <c r="Q1076">
        <v>-0.1188437</v>
      </c>
      <c r="R1076">
        <v>-0.97347159999999999</v>
      </c>
      <c r="S1076">
        <v>-1.255768</v>
      </c>
      <c r="T1076">
        <v>-0.29336250000000003</v>
      </c>
      <c r="U1076">
        <v>-2.7973330000000001</v>
      </c>
      <c r="V1076">
        <v>0.1746161</v>
      </c>
      <c r="W1076">
        <v>-0.1056361</v>
      </c>
      <c r="X1076">
        <v>0.97895370000000004</v>
      </c>
      <c r="Y1076">
        <v>0.38834059999999998</v>
      </c>
      <c r="Z1076">
        <v>8.2068139999999998E-2</v>
      </c>
      <c r="AA1076">
        <v>0.91785419999999995</v>
      </c>
      <c r="AB1076">
        <v>22</v>
      </c>
      <c r="AC1076">
        <v>-4.7427000000000099</v>
      </c>
      <c r="AD1076">
        <v>-1.109152383099</v>
      </c>
      <c r="AE1076">
        <v>-10.347200000000001</v>
      </c>
      <c r="AF1076">
        <v>4.4784661649437298</v>
      </c>
      <c r="AG1076">
        <v>-1.109152383099</v>
      </c>
      <c r="AH1076">
        <v>10.347717630854</v>
      </c>
      <c r="AI1076">
        <v>95.618126828185893</v>
      </c>
      <c r="AJ1076">
        <v>66.597160390499894</v>
      </c>
      <c r="AK1076">
        <v>11.329701600985199</v>
      </c>
      <c r="AL1076">
        <v>96.063815880774897</v>
      </c>
      <c r="AM1076">
        <v>79.886505806482504</v>
      </c>
      <c r="AN1076">
        <v>1.0000000573730501</v>
      </c>
    </row>
    <row r="1077" spans="1:40" x14ac:dyDescent="0.25">
      <c r="A1077" t="str">
        <f>"20190305135601042"</f>
        <v>20190305135601042</v>
      </c>
      <c r="B1077" t="str">
        <f>"1551765361033256"</f>
        <v>1551765361033256</v>
      </c>
      <c r="C1077" t="s">
        <v>40</v>
      </c>
      <c r="D1077">
        <v>4.3446490000000004</v>
      </c>
      <c r="E1077">
        <v>0.58775569999999999</v>
      </c>
      <c r="F1077" t="s">
        <v>54</v>
      </c>
      <c r="G1077">
        <v>-196.26669999999999</v>
      </c>
      <c r="H1077" s="1">
        <v>1.6747480000000001E-6</v>
      </c>
      <c r="I1077">
        <v>291.96570000000003</v>
      </c>
      <c r="J1077">
        <v>-191.37540000000001</v>
      </c>
      <c r="K1077">
        <v>1.1090519999999999</v>
      </c>
      <c r="L1077">
        <v>302.48430000000002</v>
      </c>
      <c r="M1077">
        <v>-2.210349E-2</v>
      </c>
      <c r="N1077">
        <v>-1.3677770000000001E-2</v>
      </c>
      <c r="O1077">
        <v>-0.9996623</v>
      </c>
      <c r="P1077">
        <v>-0.2004581</v>
      </c>
      <c r="Q1077">
        <v>-0.1173283</v>
      </c>
      <c r="R1077">
        <v>-0.97265170000000001</v>
      </c>
      <c r="S1077">
        <v>-1.2711490000000001</v>
      </c>
      <c r="T1077">
        <v>-0.28790149999999998</v>
      </c>
      <c r="U1077">
        <v>-2.791229</v>
      </c>
      <c r="V1077">
        <v>0.1787753</v>
      </c>
      <c r="W1077">
        <v>-0.1041845</v>
      </c>
      <c r="X1077">
        <v>0.97835830000000001</v>
      </c>
      <c r="Y1077">
        <v>0.39262380000000002</v>
      </c>
      <c r="Z1077">
        <v>8.0300720000000006E-2</v>
      </c>
      <c r="AA1077">
        <v>0.91618690000000003</v>
      </c>
      <c r="AB1077">
        <v>22</v>
      </c>
      <c r="AC1077">
        <v>-4.89129999999997</v>
      </c>
      <c r="AD1077">
        <v>-1.1090503252519901</v>
      </c>
      <c r="AE1077">
        <v>-10.5185999999999</v>
      </c>
      <c r="AF1077">
        <v>4.6153984412211502</v>
      </c>
      <c r="AG1077">
        <v>-1.1090503252519901</v>
      </c>
      <c r="AH1077">
        <v>10.5279245489698</v>
      </c>
      <c r="AI1077">
        <v>95.510818459270695</v>
      </c>
      <c r="AJ1077">
        <v>66.327554182300602</v>
      </c>
      <c r="AK1077">
        <v>11.5485536195651</v>
      </c>
      <c r="AL1077">
        <v>95.980184217699403</v>
      </c>
      <c r="AM1077">
        <v>79.644596468105405</v>
      </c>
      <c r="AN1077">
        <v>0.99999999055461497</v>
      </c>
    </row>
    <row r="1078" spans="1:40" x14ac:dyDescent="0.25">
      <c r="A1078" t="str">
        <f>"20190305135601064"</f>
        <v>20190305135601064</v>
      </c>
      <c r="B1078" t="str">
        <f>"1551765361052778"</f>
        <v>1551765361052778</v>
      </c>
      <c r="C1078" t="s">
        <v>40</v>
      </c>
      <c r="D1078">
        <v>4.5814620000000001</v>
      </c>
      <c r="E1078">
        <v>0.58795419999999998</v>
      </c>
      <c r="F1078" t="s">
        <v>54</v>
      </c>
      <c r="G1078">
        <v>-196.4117</v>
      </c>
      <c r="H1078" s="1">
        <v>1.7308170000000001E-6</v>
      </c>
      <c r="I1078">
        <v>291.57429999999999</v>
      </c>
      <c r="J1078">
        <v>-191.38149999999999</v>
      </c>
      <c r="K1078">
        <v>1.1089310000000001</v>
      </c>
      <c r="L1078">
        <v>302.25279999999998</v>
      </c>
      <c r="M1078">
        <v>-2.3104010000000001E-2</v>
      </c>
      <c r="N1078">
        <v>-1.367733E-2</v>
      </c>
      <c r="O1078">
        <v>-0.99963959999999996</v>
      </c>
      <c r="P1078">
        <v>-0.2062618</v>
      </c>
      <c r="Q1078">
        <v>-0.116692</v>
      </c>
      <c r="R1078">
        <v>-0.97151399999999999</v>
      </c>
      <c r="S1078">
        <v>-1.285736</v>
      </c>
      <c r="T1078">
        <v>-0.28312929999999997</v>
      </c>
      <c r="U1078">
        <v>-2.7852169999999998</v>
      </c>
      <c r="V1078">
        <v>0.18359149999999999</v>
      </c>
      <c r="W1078">
        <v>-0.1036285</v>
      </c>
      <c r="X1078">
        <v>0.97752510000000004</v>
      </c>
      <c r="Y1078">
        <v>0.39646229999999999</v>
      </c>
      <c r="Z1078">
        <v>7.8763570000000005E-2</v>
      </c>
      <c r="AA1078">
        <v>0.91466610000000004</v>
      </c>
      <c r="AB1078">
        <v>22</v>
      </c>
      <c r="AC1078">
        <v>-5.0301999999999998</v>
      </c>
      <c r="AD1078">
        <v>-1.1089292691829999</v>
      </c>
      <c r="AE1078">
        <v>-10.6784999999999</v>
      </c>
      <c r="AF1078">
        <v>4.7402811401314997</v>
      </c>
      <c r="AG1078">
        <v>-1.1089292691829999</v>
      </c>
      <c r="AH1078">
        <v>10.6974642597339</v>
      </c>
      <c r="AI1078">
        <v>95.414021131650301</v>
      </c>
      <c r="AJ1078">
        <v>66.100817094949306</v>
      </c>
      <c r="AK1078">
        <v>11.753115799643201</v>
      </c>
      <c r="AL1078">
        <v>95.948154254290699</v>
      </c>
      <c r="AM1078">
        <v>79.363045062161007</v>
      </c>
      <c r="AN1078">
        <v>1.0000000130072499</v>
      </c>
    </row>
    <row r="1079" spans="1:40" x14ac:dyDescent="0.25">
      <c r="A1079" t="str">
        <f>"20190305135601085"</f>
        <v>20190305135601085</v>
      </c>
      <c r="B1079" t="str">
        <f>"1551765361082564"</f>
        <v>1551765361082564</v>
      </c>
      <c r="C1079" t="s">
        <v>40</v>
      </c>
      <c r="D1079">
        <v>4.2964149999999997</v>
      </c>
      <c r="E1079">
        <v>0.6494491</v>
      </c>
      <c r="F1079" t="s">
        <v>54</v>
      </c>
      <c r="G1079">
        <v>-196.53569999999999</v>
      </c>
      <c r="H1079" s="1">
        <v>1.781023E-6</v>
      </c>
      <c r="I1079">
        <v>291.27730000000003</v>
      </c>
      <c r="J1079">
        <v>-191.38759999999999</v>
      </c>
      <c r="K1079">
        <v>1.1087929999999999</v>
      </c>
      <c r="L1079">
        <v>302.0437</v>
      </c>
      <c r="M1079">
        <v>-2.424654E-2</v>
      </c>
      <c r="N1079">
        <v>-1.36784E-2</v>
      </c>
      <c r="O1079">
        <v>-0.99961259999999996</v>
      </c>
      <c r="P1079">
        <v>-0.2131005</v>
      </c>
      <c r="Q1079">
        <v>-0.11683159999999999</v>
      </c>
      <c r="R1079">
        <v>-0.97002010000000005</v>
      </c>
      <c r="S1079">
        <v>-1.3042910000000001</v>
      </c>
      <c r="T1079">
        <v>-0.28061989999999998</v>
      </c>
      <c r="U1079">
        <v>-2.7774049999999999</v>
      </c>
      <c r="V1079">
        <v>0.18930910000000001</v>
      </c>
      <c r="W1079">
        <v>-0.1038635</v>
      </c>
      <c r="X1079">
        <v>0.97640899999999997</v>
      </c>
      <c r="Y1079">
        <v>0.40143129999999999</v>
      </c>
      <c r="Z1079">
        <v>7.7957849999999995E-2</v>
      </c>
      <c r="AA1079">
        <v>0.91256539999999997</v>
      </c>
      <c r="AB1079">
        <v>22</v>
      </c>
      <c r="AC1079">
        <v>-5.1481000000000003</v>
      </c>
      <c r="AD1079">
        <v>-1.1087912189769999</v>
      </c>
      <c r="AE1079">
        <v>-10.7663999999999</v>
      </c>
      <c r="AF1079">
        <v>4.8437009216007398</v>
      </c>
      <c r="AG1079">
        <v>-1.1087912189769999</v>
      </c>
      <c r="AH1079">
        <v>10.7948832376614</v>
      </c>
      <c r="AI1079">
        <v>95.353723167121899</v>
      </c>
      <c r="AJ1079">
        <v>65.834063544425803</v>
      </c>
      <c r="AK1079">
        <v>11.883617323859699</v>
      </c>
      <c r="AL1079">
        <v>95.961691600248002</v>
      </c>
      <c r="AM1079">
        <v>79.027459216733106</v>
      </c>
      <c r="AN1079">
        <v>1.0000000486280201</v>
      </c>
    </row>
    <row r="1080" spans="1:40" x14ac:dyDescent="0.25">
      <c r="A1080" t="str">
        <f>"20190305135601108"</f>
        <v>20190305135601108</v>
      </c>
      <c r="B1080" t="str">
        <f>"1551765361103060"</f>
        <v>1551765361103060</v>
      </c>
      <c r="C1080" t="s">
        <v>40</v>
      </c>
      <c r="D1080">
        <v>4.2514609999999999</v>
      </c>
      <c r="E1080">
        <v>0.65300209999999903</v>
      </c>
      <c r="F1080" t="s">
        <v>54</v>
      </c>
      <c r="G1080">
        <v>-205.73949999999999</v>
      </c>
      <c r="H1080" s="1">
        <v>5.1073659999999999E-6</v>
      </c>
      <c r="I1080">
        <v>280.66840000000002</v>
      </c>
      <c r="J1080">
        <v>-191.39490000000001</v>
      </c>
      <c r="K1080">
        <v>1.108608</v>
      </c>
      <c r="L1080">
        <v>301.81310000000002</v>
      </c>
      <c r="M1080">
        <v>-2.5793799999999999E-2</v>
      </c>
      <c r="N1080">
        <v>-1.3681240000000001E-2</v>
      </c>
      <c r="O1080">
        <v>-0.9995735</v>
      </c>
      <c r="P1080">
        <v>-0.22068969999999999</v>
      </c>
      <c r="Q1080">
        <v>-0.1169128</v>
      </c>
      <c r="R1080">
        <v>-0.96831129999999999</v>
      </c>
      <c r="S1080">
        <v>-1.7998050000000001</v>
      </c>
      <c r="T1080">
        <v>-0.1390479</v>
      </c>
      <c r="U1080">
        <v>-2.6805729999999999</v>
      </c>
      <c r="V1080">
        <v>0.1953799</v>
      </c>
      <c r="W1080">
        <v>-0.1040659</v>
      </c>
      <c r="X1080">
        <v>0.97519080000000002</v>
      </c>
      <c r="Y1080">
        <v>0.53539579999999998</v>
      </c>
      <c r="Z1080">
        <v>2.9769940000000002E-2</v>
      </c>
      <c r="AA1080">
        <v>0.84407649999999901</v>
      </c>
      <c r="AB1080">
        <v>22</v>
      </c>
      <c r="AC1080">
        <v>-14.3445999999999</v>
      </c>
      <c r="AD1080">
        <v>-1.1086028926339999</v>
      </c>
      <c r="AE1080">
        <v>-21.1447</v>
      </c>
      <c r="AF1080">
        <v>13.768454433534901</v>
      </c>
      <c r="AG1080">
        <v>-1.1086028926339999</v>
      </c>
      <c r="AH1080">
        <v>21.4672884245599</v>
      </c>
      <c r="AI1080">
        <v>92.489029881326204</v>
      </c>
      <c r="AJ1080">
        <v>57.325143868680698</v>
      </c>
      <c r="AK1080">
        <v>25.527314981508098</v>
      </c>
      <c r="AL1080">
        <v>95.973351402335894</v>
      </c>
      <c r="AM1080">
        <v>78.670762684949807</v>
      </c>
      <c r="AN1080">
        <v>1.0000000566357199</v>
      </c>
    </row>
    <row r="1081" spans="1:40" x14ac:dyDescent="0.25">
      <c r="A1081" t="str">
        <f>"20190305135601130"</f>
        <v>20190305135601130</v>
      </c>
      <c r="B1081" t="str">
        <f>"1551765361122580"</f>
        <v>1551765361122580</v>
      </c>
      <c r="C1081" t="s">
        <v>40</v>
      </c>
      <c r="D1081">
        <v>4.2227810000000003</v>
      </c>
      <c r="E1081">
        <v>0.65391119999999903</v>
      </c>
      <c r="F1081" t="s">
        <v>54</v>
      </c>
      <c r="G1081">
        <v>-207.16839999999999</v>
      </c>
      <c r="H1081">
        <v>8.0000929999999998E-2</v>
      </c>
      <c r="I1081">
        <v>279.08980000000003</v>
      </c>
      <c r="J1081">
        <v>-191.4025</v>
      </c>
      <c r="K1081">
        <v>1.1084020000000001</v>
      </c>
      <c r="L1081">
        <v>301.59379999999999</v>
      </c>
      <c r="M1081">
        <v>-2.7591520000000001E-2</v>
      </c>
      <c r="N1081">
        <v>-1.368577E-2</v>
      </c>
      <c r="O1081">
        <v>-0.99952569999999996</v>
      </c>
      <c r="P1081">
        <v>-0.22838459999999999</v>
      </c>
      <c r="Q1081">
        <v>-0.1162683</v>
      </c>
      <c r="R1081">
        <v>-0.96660369999999995</v>
      </c>
      <c r="S1081">
        <v>-1.8481289999999999</v>
      </c>
      <c r="T1081">
        <v>-0.12051829999999999</v>
      </c>
      <c r="U1081">
        <v>-2.6624150000000002</v>
      </c>
      <c r="V1081">
        <v>0.20131679999999999</v>
      </c>
      <c r="W1081">
        <v>-0.10354910000000001</v>
      </c>
      <c r="X1081">
        <v>0.9740375</v>
      </c>
      <c r="Y1081">
        <v>0.54701690000000003</v>
      </c>
      <c r="Z1081">
        <v>2.389059E-2</v>
      </c>
      <c r="AA1081">
        <v>0.83678069999999904</v>
      </c>
      <c r="AB1081">
        <v>22</v>
      </c>
      <c r="AC1081">
        <v>-15.765899999999901</v>
      </c>
      <c r="AD1081">
        <v>-1.0284010699999999</v>
      </c>
      <c r="AE1081">
        <v>-22.503999999999898</v>
      </c>
      <c r="AF1081">
        <v>15.117741644637199</v>
      </c>
      <c r="AG1081">
        <v>-1.0284010699999999</v>
      </c>
      <c r="AH1081">
        <v>22.898400055904201</v>
      </c>
      <c r="AI1081">
        <v>92.146437363417604</v>
      </c>
      <c r="AJ1081">
        <v>56.566827649448697</v>
      </c>
      <c r="AK1081">
        <v>27.4579760054344</v>
      </c>
      <c r="AL1081">
        <v>95.943580674652694</v>
      </c>
      <c r="AM1081">
        <v>78.322375539893002</v>
      </c>
      <c r="AN1081">
        <v>0.99999996073964903</v>
      </c>
    </row>
    <row r="1082" spans="1:40" x14ac:dyDescent="0.25">
      <c r="A1082" t="str">
        <f>"20190305135601151"</f>
        <v>20190305135601151</v>
      </c>
      <c r="B1082" t="str">
        <f>"1551765361143075"</f>
        <v>1551765361143075</v>
      </c>
      <c r="C1082" t="s">
        <v>40</v>
      </c>
      <c r="D1082">
        <v>4.2438419999999999</v>
      </c>
      <c r="E1082">
        <v>0.65407780000000004</v>
      </c>
      <c r="F1082" t="s">
        <v>54</v>
      </c>
      <c r="G1082">
        <v>-207.46299999999999</v>
      </c>
      <c r="H1082">
        <v>8.0000870000000002E-2</v>
      </c>
      <c r="I1082">
        <v>278.9479</v>
      </c>
      <c r="J1082">
        <v>-191.41079999999999</v>
      </c>
      <c r="K1082">
        <v>1.1082160000000001</v>
      </c>
      <c r="L1082">
        <v>301.37709999999998</v>
      </c>
      <c r="M1082">
        <v>-2.9684160000000001E-2</v>
      </c>
      <c r="N1082">
        <v>-1.3691699999999999E-2</v>
      </c>
      <c r="O1082">
        <v>-0.99946559999999995</v>
      </c>
      <c r="P1082">
        <v>-0.23679230000000001</v>
      </c>
      <c r="Q1082">
        <v>-0.115358</v>
      </c>
      <c r="R1082">
        <v>-0.96468750000000003</v>
      </c>
      <c r="S1082">
        <v>-1.8764190000000001</v>
      </c>
      <c r="T1082">
        <v>-0.1201521</v>
      </c>
      <c r="U1082">
        <v>-2.645813</v>
      </c>
      <c r="V1082">
        <v>0.20769299999999999</v>
      </c>
      <c r="W1082">
        <v>-0.1027719</v>
      </c>
      <c r="X1082">
        <v>0.97278030000000004</v>
      </c>
      <c r="Y1082">
        <v>0.55368390000000001</v>
      </c>
      <c r="Z1082">
        <v>2.3777240000000002E-2</v>
      </c>
      <c r="AA1082">
        <v>0.8323874</v>
      </c>
      <c r="AB1082">
        <v>22</v>
      </c>
      <c r="AC1082">
        <v>-16.052199999999999</v>
      </c>
      <c r="AD1082">
        <v>-1.02821513</v>
      </c>
      <c r="AE1082">
        <v>-22.429199999999899</v>
      </c>
      <c r="AF1082">
        <v>15.357927203468799</v>
      </c>
      <c r="AG1082">
        <v>-1.02821513</v>
      </c>
      <c r="AH1082">
        <v>22.8640800473318</v>
      </c>
      <c r="AI1082">
        <v>92.137909896157197</v>
      </c>
      <c r="AJ1082">
        <v>56.110527034830397</v>
      </c>
      <c r="AK1082">
        <v>27.562461986393899</v>
      </c>
      <c r="AL1082">
        <v>95.898811428778103</v>
      </c>
      <c r="AM1082">
        <v>77.948043359606103</v>
      </c>
      <c r="AN1082">
        <v>0.99999997887334902</v>
      </c>
    </row>
    <row r="1083" spans="1:40" x14ac:dyDescent="0.25">
      <c r="A1083" t="str">
        <f>"20190305135601173"</f>
        <v>20190305135601173</v>
      </c>
      <c r="B1083" t="str">
        <f>"1551765361163103"</f>
        <v>1551765361163103</v>
      </c>
      <c r="C1083" t="s">
        <v>40</v>
      </c>
      <c r="D1083">
        <v>4.2916509999999999</v>
      </c>
      <c r="E1083">
        <v>0.65415749999999995</v>
      </c>
      <c r="F1083" t="s">
        <v>54</v>
      </c>
      <c r="G1083">
        <v>-207.161</v>
      </c>
      <c r="H1083">
        <v>6.1486979999999997E-2</v>
      </c>
      <c r="I1083">
        <v>279.60489999999999</v>
      </c>
      <c r="J1083">
        <v>-191.41980000000001</v>
      </c>
      <c r="K1083">
        <v>1.1080559999999999</v>
      </c>
      <c r="L1083">
        <v>301.16230000000002</v>
      </c>
      <c r="M1083">
        <v>-3.2008479999999999E-2</v>
      </c>
      <c r="N1083">
        <v>-1.3697829999999999E-2</v>
      </c>
      <c r="O1083">
        <v>-0.999394</v>
      </c>
      <c r="P1083">
        <v>-0.2448806</v>
      </c>
      <c r="Q1083">
        <v>-0.1148583</v>
      </c>
      <c r="R1083">
        <v>-0.96272639999999998</v>
      </c>
      <c r="S1083">
        <v>-1.901154</v>
      </c>
      <c r="T1083">
        <v>-0.12634709999999999</v>
      </c>
      <c r="U1083">
        <v>-2.6280519999999998</v>
      </c>
      <c r="V1083">
        <v>0.2135396</v>
      </c>
      <c r="W1083">
        <v>-0.102392</v>
      </c>
      <c r="X1083">
        <v>0.97155369999999996</v>
      </c>
      <c r="Y1083">
        <v>0.55951119999999899</v>
      </c>
      <c r="Z1083">
        <v>2.5736189999999999E-2</v>
      </c>
      <c r="AA1083">
        <v>0.82842309999999997</v>
      </c>
      <c r="AB1083">
        <v>22</v>
      </c>
      <c r="AC1083">
        <v>-15.7411999999999</v>
      </c>
      <c r="AD1083">
        <v>-1.04656902</v>
      </c>
      <c r="AE1083">
        <v>-21.557400000000001</v>
      </c>
      <c r="AF1083">
        <v>15.019958945289799</v>
      </c>
      <c r="AG1083">
        <v>-1.04656902</v>
      </c>
      <c r="AH1083">
        <v>22.016405997053301</v>
      </c>
      <c r="AI1083">
        <v>92.2487439702643</v>
      </c>
      <c r="AJ1083">
        <v>55.697540247682497</v>
      </c>
      <c r="AK1083">
        <v>26.6723940893745</v>
      </c>
      <c r="AL1083">
        <v>95.8769295694607</v>
      </c>
      <c r="AM1083">
        <v>77.603956671335894</v>
      </c>
      <c r="AN1083">
        <v>0.99999993720792302</v>
      </c>
    </row>
    <row r="1084" spans="1:40" x14ac:dyDescent="0.25">
      <c r="A1084" t="str">
        <f>"20190305135601198"</f>
        <v>20190305135601198</v>
      </c>
      <c r="B1084" t="str">
        <f>"1551765361193359"</f>
        <v>1551765361193359</v>
      </c>
      <c r="C1084" t="s">
        <v>40</v>
      </c>
      <c r="D1084">
        <v>4.281771</v>
      </c>
      <c r="E1084">
        <v>0.65414369999999999</v>
      </c>
      <c r="F1084" t="s">
        <v>54</v>
      </c>
      <c r="G1084">
        <v>-207.2944</v>
      </c>
      <c r="H1084">
        <v>4.3019580000000002E-2</v>
      </c>
      <c r="I1084">
        <v>279.61630000000002</v>
      </c>
      <c r="J1084">
        <v>-191.43039999999999</v>
      </c>
      <c r="K1084">
        <v>1.107931</v>
      </c>
      <c r="L1084">
        <v>300.93</v>
      </c>
      <c r="M1084">
        <v>-3.4772270000000001E-2</v>
      </c>
      <c r="N1084">
        <v>-1.370329E-2</v>
      </c>
      <c r="O1084">
        <v>-0.99930140000000001</v>
      </c>
      <c r="P1084">
        <v>-0.25266329999999998</v>
      </c>
      <c r="Q1084">
        <v>-0.1150205</v>
      </c>
      <c r="R1084">
        <v>-0.96069320000000002</v>
      </c>
      <c r="S1084">
        <v>-1.9239809999999999</v>
      </c>
      <c r="T1084">
        <v>-0.12908049999999999</v>
      </c>
      <c r="U1084">
        <v>-2.6113279999999999</v>
      </c>
      <c r="V1084">
        <v>0.21866820000000001</v>
      </c>
      <c r="W1084">
        <v>-0.1026614</v>
      </c>
      <c r="X1084">
        <v>0.97038389999999997</v>
      </c>
      <c r="Y1084">
        <v>0.56441839999999999</v>
      </c>
      <c r="Z1084">
        <v>2.662927E-2</v>
      </c>
      <c r="AA1084">
        <v>0.82505919999999899</v>
      </c>
      <c r="AB1084">
        <v>22</v>
      </c>
      <c r="AC1084">
        <v>-15.864000000000001</v>
      </c>
      <c r="AD1084">
        <v>-1.0649114200000001</v>
      </c>
      <c r="AE1084">
        <v>-21.313699999999901</v>
      </c>
      <c r="AF1084">
        <v>15.0889701558447</v>
      </c>
      <c r="AG1084">
        <v>-1.0649114200000001</v>
      </c>
      <c r="AH1084">
        <v>21.817439450889399</v>
      </c>
      <c r="AI1084">
        <v>92.298878874916895</v>
      </c>
      <c r="AJ1084">
        <v>55.332214275698398</v>
      </c>
      <c r="AK1084">
        <v>26.5482903571896</v>
      </c>
      <c r="AL1084">
        <v>95.892446282355806</v>
      </c>
      <c r="AM1084">
        <v>77.300969664410701</v>
      </c>
      <c r="AN1084">
        <v>1.0000000290602</v>
      </c>
    </row>
    <row r="1085" spans="1:40" x14ac:dyDescent="0.25">
      <c r="A1085" t="str">
        <f>"20190305135601219"</f>
        <v>20190305135601219</v>
      </c>
      <c r="B1085" t="str">
        <f>"1551765361212880"</f>
        <v>1551765361212880</v>
      </c>
      <c r="C1085" t="s">
        <v>40</v>
      </c>
      <c r="D1085">
        <v>4.2860809999999896</v>
      </c>
      <c r="E1085">
        <v>0.65402559999999998</v>
      </c>
      <c r="F1085" t="s">
        <v>54</v>
      </c>
      <c r="G1085">
        <v>-207.1267</v>
      </c>
      <c r="H1085" s="1">
        <v>5.7821239999999999E-6</v>
      </c>
      <c r="I1085">
        <v>279.98660000000001</v>
      </c>
      <c r="J1085">
        <v>-191.44110000000001</v>
      </c>
      <c r="K1085">
        <v>1.1078330000000001</v>
      </c>
      <c r="L1085">
        <v>300.71170000000001</v>
      </c>
      <c r="M1085">
        <v>-3.7571559999999997E-2</v>
      </c>
      <c r="N1085">
        <v>-1.3707550000000001E-2</v>
      </c>
      <c r="O1085">
        <v>-0.99920010000000004</v>
      </c>
      <c r="P1085">
        <v>-0.25974700000000001</v>
      </c>
      <c r="Q1085">
        <v>-0.1149444</v>
      </c>
      <c r="R1085">
        <v>-0.95881159999999999</v>
      </c>
      <c r="S1085">
        <v>-1.944763</v>
      </c>
      <c r="T1085">
        <v>-0.137271</v>
      </c>
      <c r="U1085">
        <v>-2.5948790000000002</v>
      </c>
      <c r="V1085">
        <v>0.2230771</v>
      </c>
      <c r="W1085">
        <v>-0.10266930000000001</v>
      </c>
      <c r="X1085">
        <v>0.96937899999999999</v>
      </c>
      <c r="Y1085">
        <v>0.56878419999999996</v>
      </c>
      <c r="Z1085">
        <v>2.9233149999999999E-2</v>
      </c>
      <c r="AA1085">
        <v>0.82196719999999901</v>
      </c>
      <c r="AB1085">
        <v>22</v>
      </c>
      <c r="AC1085">
        <v>-15.6855999999999</v>
      </c>
      <c r="AD1085">
        <v>-1.107827217876</v>
      </c>
      <c r="AE1085">
        <v>-20.725100000000001</v>
      </c>
      <c r="AF1085">
        <v>14.868763998825701</v>
      </c>
      <c r="AG1085">
        <v>-1.107827217876</v>
      </c>
      <c r="AH1085">
        <v>21.261227263336501</v>
      </c>
      <c r="AI1085">
        <v>92.4450328700527</v>
      </c>
      <c r="AJ1085">
        <v>55.033480436934703</v>
      </c>
      <c r="AK1085">
        <v>25.968196101013401</v>
      </c>
      <c r="AL1085">
        <v>95.892901426277803</v>
      </c>
      <c r="AM1085">
        <v>77.040503271358801</v>
      </c>
      <c r="AN1085">
        <v>1.00000001167395</v>
      </c>
    </row>
    <row r="1086" spans="1:40" x14ac:dyDescent="0.25">
      <c r="A1086" t="str">
        <f>"20190305135601242"</f>
        <v>20190305135601242</v>
      </c>
      <c r="B1086" t="str">
        <f>"1551765361232400"</f>
        <v>1551765361232400</v>
      </c>
      <c r="C1086" t="s">
        <v>40</v>
      </c>
      <c r="D1086">
        <v>4.2643300000000002</v>
      </c>
      <c r="E1086">
        <v>0.65380139999999998</v>
      </c>
      <c r="F1086" t="s">
        <v>54</v>
      </c>
      <c r="G1086">
        <v>-206.4778</v>
      </c>
      <c r="H1086" s="1">
        <v>5.4101850000000001E-6</v>
      </c>
      <c r="I1086">
        <v>280.94979999999998</v>
      </c>
      <c r="J1086">
        <v>-191.45310000000001</v>
      </c>
      <c r="K1086">
        <v>1.1077490000000001</v>
      </c>
      <c r="L1086">
        <v>300.4855</v>
      </c>
      <c r="M1086">
        <v>-4.0637560000000003E-2</v>
      </c>
      <c r="N1086">
        <v>-1.371182E-2</v>
      </c>
      <c r="O1086">
        <v>-0.99907999999999997</v>
      </c>
      <c r="P1086">
        <v>-0.26638109999999998</v>
      </c>
      <c r="Q1086">
        <v>-0.1143684</v>
      </c>
      <c r="R1086">
        <v>-0.95705870000000004</v>
      </c>
      <c r="S1086">
        <v>-1.962936</v>
      </c>
      <c r="T1086">
        <v>-0.14461860000000001</v>
      </c>
      <c r="U1086">
        <v>-2.5797729999999999</v>
      </c>
      <c r="V1086">
        <v>0.2267882</v>
      </c>
      <c r="W1086">
        <v>-0.10216169999999999</v>
      </c>
      <c r="X1086">
        <v>0.96857110000000002</v>
      </c>
      <c r="Y1086">
        <v>0.57218829999999998</v>
      </c>
      <c r="Z1086">
        <v>3.158743E-2</v>
      </c>
      <c r="AA1086">
        <v>0.81951369999999901</v>
      </c>
      <c r="AB1086">
        <v>22</v>
      </c>
      <c r="AC1086">
        <v>-15.0246999999999</v>
      </c>
      <c r="AD1086">
        <v>-1.1077435898150001</v>
      </c>
      <c r="AE1086">
        <v>-19.535699999999999</v>
      </c>
      <c r="AF1086">
        <v>14.189661578911</v>
      </c>
      <c r="AG1086">
        <v>-1.1077435898150001</v>
      </c>
      <c r="AH1086">
        <v>20.089597169415502</v>
      </c>
      <c r="AI1086">
        <v>92.578771757567594</v>
      </c>
      <c r="AJ1086">
        <v>54.765717473257901</v>
      </c>
      <c r="AK1086">
        <v>24.6204286318128</v>
      </c>
      <c r="AL1086">
        <v>95.863664783985001</v>
      </c>
      <c r="AM1086">
        <v>76.821762879728794</v>
      </c>
      <c r="AN1086">
        <v>0.99999993818066801</v>
      </c>
    </row>
    <row r="1087" spans="1:40" x14ac:dyDescent="0.25">
      <c r="A1087" t="str">
        <f>"20190305135601266"</f>
        <v>20190305135601266</v>
      </c>
      <c r="B1087" t="str">
        <f>"1551765361263163"</f>
        <v>1551765361263163</v>
      </c>
      <c r="C1087" t="s">
        <v>40</v>
      </c>
      <c r="D1087">
        <v>4.329402</v>
      </c>
      <c r="E1087">
        <v>0.653070699999999</v>
      </c>
      <c r="F1087" t="s">
        <v>54</v>
      </c>
      <c r="G1087">
        <v>-205.98609999999999</v>
      </c>
      <c r="H1087" s="1">
        <v>5.1311589999999996E-6</v>
      </c>
      <c r="I1087">
        <v>281.64679999999998</v>
      </c>
      <c r="J1087">
        <v>-191.46619999999999</v>
      </c>
      <c r="K1087">
        <v>1.1076779999999999</v>
      </c>
      <c r="L1087">
        <v>300.25459999999998</v>
      </c>
      <c r="M1087">
        <v>-4.3891810000000003E-2</v>
      </c>
      <c r="N1087">
        <v>-1.3716030000000001E-2</v>
      </c>
      <c r="O1087">
        <v>-0.99894210000000006</v>
      </c>
      <c r="P1087">
        <v>-0.27346679999999901</v>
      </c>
      <c r="Q1087">
        <v>-0.11344849999999999</v>
      </c>
      <c r="R1087">
        <v>-0.95516780000000001</v>
      </c>
      <c r="S1087">
        <v>-1.979263</v>
      </c>
      <c r="T1087">
        <v>-0.1508652</v>
      </c>
      <c r="U1087">
        <v>-2.565674</v>
      </c>
      <c r="V1087">
        <v>0.23078699999999999</v>
      </c>
      <c r="W1087">
        <v>-0.1013044</v>
      </c>
      <c r="X1087">
        <v>0.96771629999999997</v>
      </c>
      <c r="Y1087">
        <v>0.57491179999999997</v>
      </c>
      <c r="Z1087">
        <v>3.3608680000000002E-2</v>
      </c>
      <c r="AA1087">
        <v>0.8175249</v>
      </c>
      <c r="AB1087">
        <v>22</v>
      </c>
      <c r="AC1087">
        <v>-14.5199</v>
      </c>
      <c r="AD1087">
        <v>-1.107672868841</v>
      </c>
      <c r="AE1087">
        <v>-18.607800000000001</v>
      </c>
      <c r="AF1087">
        <v>13.659014132737999</v>
      </c>
      <c r="AG1087">
        <v>-1.107672868841</v>
      </c>
      <c r="AH1087">
        <v>19.184974706799999</v>
      </c>
      <c r="AI1087">
        <v>92.692847642421199</v>
      </c>
      <c r="AJ1087">
        <v>54.550497163822698</v>
      </c>
      <c r="AK1087">
        <v>23.576659236695502</v>
      </c>
      <c r="AL1087">
        <v>95.814288402329296</v>
      </c>
      <c r="AM1087">
        <v>76.586304440487098</v>
      </c>
      <c r="AN1087">
        <v>1.0000000290570199</v>
      </c>
    </row>
    <row r="1088" spans="1:40" x14ac:dyDescent="0.25">
      <c r="A1088" t="str">
        <f>"20190305135601309"</f>
        <v>20190305135601309</v>
      </c>
      <c r="B1088" t="str">
        <f>"1551765361303179"</f>
        <v>1551765361303179</v>
      </c>
      <c r="C1088" t="s">
        <v>40</v>
      </c>
      <c r="D1088">
        <v>4.3620099999999997</v>
      </c>
      <c r="E1088">
        <v>0.65254730000000005</v>
      </c>
      <c r="F1088" t="s">
        <v>54</v>
      </c>
      <c r="G1088">
        <v>-205.24109999999999</v>
      </c>
      <c r="H1088" s="1">
        <v>4.7156199999999999E-6</v>
      </c>
      <c r="I1088">
        <v>282.62139999999999</v>
      </c>
      <c r="J1088">
        <v>-191.49250000000001</v>
      </c>
      <c r="K1088">
        <v>1.107588</v>
      </c>
      <c r="L1088">
        <v>299.83109999999999</v>
      </c>
      <c r="M1088">
        <v>-5.0086680000000001E-2</v>
      </c>
      <c r="N1088">
        <v>-1.3721850000000001E-2</v>
      </c>
      <c r="O1088">
        <v>-0.99865079999999995</v>
      </c>
      <c r="P1088">
        <v>-0.28690660000000001</v>
      </c>
      <c r="Q1088">
        <v>-0.11120720000000001</v>
      </c>
      <c r="R1088">
        <v>-0.9514821</v>
      </c>
      <c r="S1088">
        <v>-1.992966</v>
      </c>
      <c r="T1088">
        <v>-0.1602584</v>
      </c>
      <c r="U1088">
        <v>-2.5511780000000002</v>
      </c>
      <c r="V1088">
        <v>0.23838790000000001</v>
      </c>
      <c r="W1088">
        <v>-9.9164199999999994E-2</v>
      </c>
      <c r="X1088">
        <v>0.96609400000000001</v>
      </c>
      <c r="Y1088">
        <v>0.57473830000000004</v>
      </c>
      <c r="Z1088">
        <v>3.6691019999999998E-2</v>
      </c>
      <c r="AA1088">
        <v>0.81751430000000003</v>
      </c>
      <c r="AB1088">
        <v>22</v>
      </c>
      <c r="AC1088">
        <v>-13.7485999999999</v>
      </c>
      <c r="AD1088">
        <v>-1.10758328438</v>
      </c>
      <c r="AE1088">
        <v>-17.209699999999899</v>
      </c>
      <c r="AF1088">
        <v>12.836827052843899</v>
      </c>
      <c r="AG1088">
        <v>-1.10758328438</v>
      </c>
      <c r="AH1088">
        <v>17.831697601574501</v>
      </c>
      <c r="AI1088">
        <v>92.885817195033297</v>
      </c>
      <c r="AJ1088">
        <v>54.250335128731102</v>
      </c>
      <c r="AK1088">
        <v>21.999552469776798</v>
      </c>
      <c r="AL1088">
        <v>95.691043594007994</v>
      </c>
      <c r="AM1088">
        <v>76.138912686271496</v>
      </c>
      <c r="AN1088">
        <v>0.99999997313202404</v>
      </c>
    </row>
    <row r="1089" spans="1:40" x14ac:dyDescent="0.25">
      <c r="A1089" t="str">
        <f>"20190305135601331"</f>
        <v>20190305135601331</v>
      </c>
      <c r="B1089" t="str">
        <f>"1551765361322698"</f>
        <v>1551765361322698</v>
      </c>
      <c r="C1089" t="s">
        <v>40</v>
      </c>
      <c r="D1089">
        <v>4.3668829999999996</v>
      </c>
      <c r="E1089">
        <v>0.65245350000000002</v>
      </c>
      <c r="F1089" t="s">
        <v>54</v>
      </c>
      <c r="G1089">
        <v>-205.07089999999999</v>
      </c>
      <c r="H1089" s="1">
        <v>4.6147619999999996E-6</v>
      </c>
      <c r="I1089">
        <v>282.9117</v>
      </c>
      <c r="J1089">
        <v>-191.50749999999999</v>
      </c>
      <c r="K1089">
        <v>1.107551</v>
      </c>
      <c r="L1089">
        <v>299.6103</v>
      </c>
      <c r="M1089">
        <v>-5.3397069999999998E-2</v>
      </c>
      <c r="N1089">
        <v>-1.372394E-2</v>
      </c>
      <c r="O1089">
        <v>-0.99847909999999995</v>
      </c>
      <c r="P1089">
        <v>-0.29515930000000001</v>
      </c>
      <c r="Q1089">
        <v>-0.110678399999999</v>
      </c>
      <c r="R1089">
        <v>-0.94901579999999996</v>
      </c>
      <c r="S1089">
        <v>-2.0248719999999998</v>
      </c>
      <c r="T1089">
        <v>-0.165167799999999</v>
      </c>
      <c r="U1089">
        <v>-2.5231020000000002</v>
      </c>
      <c r="V1089">
        <v>0.24355830000000001</v>
      </c>
      <c r="W1089">
        <v>-9.868992E-2</v>
      </c>
      <c r="X1089">
        <v>0.96485220000000005</v>
      </c>
      <c r="Y1089">
        <v>0.58267349999999996</v>
      </c>
      <c r="Z1089">
        <v>3.8337980000000001E-2</v>
      </c>
      <c r="AA1089">
        <v>0.81180160000000001</v>
      </c>
      <c r="AB1089">
        <v>22</v>
      </c>
      <c r="AC1089">
        <v>-13.5634</v>
      </c>
      <c r="AD1089">
        <v>-1.1075463852380001</v>
      </c>
      <c r="AE1089">
        <v>-16.698599999999999</v>
      </c>
      <c r="AF1089">
        <v>12.6188601604307</v>
      </c>
      <c r="AG1089">
        <v>-1.1075463852380001</v>
      </c>
      <c r="AH1089">
        <v>17.3530928388547</v>
      </c>
      <c r="AI1089">
        <v>92.954934801638402</v>
      </c>
      <c r="AJ1089">
        <v>53.976019373157399</v>
      </c>
      <c r="AK1089">
        <v>21.484695059922799</v>
      </c>
      <c r="AL1089">
        <v>95.663734919872297</v>
      </c>
      <c r="AM1089">
        <v>75.832756024899496</v>
      </c>
      <c r="AN1089">
        <v>1.00000005682666</v>
      </c>
    </row>
    <row r="1090" spans="1:40" x14ac:dyDescent="0.25">
      <c r="A1090" t="str">
        <f>"20190305135601352"</f>
        <v>20190305135601352</v>
      </c>
      <c r="B1090" t="str">
        <f>"1551765361343195"</f>
        <v>1551765361343195</v>
      </c>
      <c r="C1090" t="s">
        <v>40</v>
      </c>
      <c r="D1090">
        <v>4.4015190000000004</v>
      </c>
      <c r="E1090">
        <v>0.65238269999999998</v>
      </c>
      <c r="F1090" t="s">
        <v>54</v>
      </c>
      <c r="G1090">
        <v>-204.9151</v>
      </c>
      <c r="H1090" s="1">
        <v>4.5208199999999997E-6</v>
      </c>
      <c r="I1090">
        <v>283.19600000000003</v>
      </c>
      <c r="J1090">
        <v>-191.523</v>
      </c>
      <c r="K1090">
        <v>1.107518</v>
      </c>
      <c r="L1090">
        <v>299.39319999999998</v>
      </c>
      <c r="M1090">
        <v>-5.6695280000000001E-2</v>
      </c>
      <c r="N1090">
        <v>-1.37252E-2</v>
      </c>
      <c r="O1090">
        <v>-0.99829730000000005</v>
      </c>
      <c r="P1090">
        <v>-0.30302390000000001</v>
      </c>
      <c r="Q1090">
        <v>-0.11078739999999999</v>
      </c>
      <c r="R1090">
        <v>-0.94652139999999996</v>
      </c>
      <c r="S1090">
        <v>-2.0461879999999999</v>
      </c>
      <c r="T1090">
        <v>-0.16902690000000001</v>
      </c>
      <c r="U1090">
        <v>-2.5050349999999999</v>
      </c>
      <c r="V1090">
        <v>0.24836440000000001</v>
      </c>
      <c r="W1090">
        <v>-9.8845790000000003E-2</v>
      </c>
      <c r="X1090">
        <v>0.96361019999999997</v>
      </c>
      <c r="Y1090">
        <v>0.5869548</v>
      </c>
      <c r="Z1090">
        <v>3.9628549999999998E-2</v>
      </c>
      <c r="AA1090">
        <v>0.80864919999999996</v>
      </c>
      <c r="AB1090">
        <v>22</v>
      </c>
      <c r="AC1090">
        <v>-13.392099999999999</v>
      </c>
      <c r="AD1090">
        <v>-1.1075134791799901</v>
      </c>
      <c r="AE1090">
        <v>-16.197199999999999</v>
      </c>
      <c r="AF1090">
        <v>12.417680282618299</v>
      </c>
      <c r="AG1090">
        <v>-1.1075134791799901</v>
      </c>
      <c r="AH1090">
        <v>16.8835972278121</v>
      </c>
      <c r="AI1090">
        <v>93.024890917157705</v>
      </c>
      <c r="AJ1090">
        <v>53.665970722374901</v>
      </c>
      <c r="AK1090">
        <v>20.987644581011899</v>
      </c>
      <c r="AL1090">
        <v>95.672709865672303</v>
      </c>
      <c r="AM1090">
        <v>75.546944180972105</v>
      </c>
      <c r="AN1090">
        <v>0.999999991466062</v>
      </c>
    </row>
    <row r="1091" spans="1:40" x14ac:dyDescent="0.25">
      <c r="A1091" t="str">
        <f>"20190305135601388"</f>
        <v>20190305135601388</v>
      </c>
      <c r="B1091" t="str">
        <f>"1551765361383211"</f>
        <v>1551765361383211</v>
      </c>
      <c r="C1091" t="s">
        <v>40</v>
      </c>
      <c r="D1091">
        <v>4.3778610000000002</v>
      </c>
      <c r="E1091">
        <v>0.65215369999999995</v>
      </c>
      <c r="F1091" t="s">
        <v>54</v>
      </c>
      <c r="G1091">
        <v>-204.6139</v>
      </c>
      <c r="H1091" s="1">
        <v>4.349031E-6</v>
      </c>
      <c r="I1091">
        <v>283.63279999999997</v>
      </c>
      <c r="J1091">
        <v>-191.54849999999999</v>
      </c>
      <c r="K1091">
        <v>1.1074839999999999</v>
      </c>
      <c r="L1091">
        <v>299.05759999999998</v>
      </c>
      <c r="M1091">
        <v>-6.185148E-2</v>
      </c>
      <c r="N1091">
        <v>-1.3726479999999999E-2</v>
      </c>
      <c r="O1091">
        <v>-0.99799090000000001</v>
      </c>
      <c r="P1091">
        <v>-0.31490040000000002</v>
      </c>
      <c r="Q1091">
        <v>-0.11358310000000001</v>
      </c>
      <c r="R1091">
        <v>-0.94230400000000003</v>
      </c>
      <c r="S1091">
        <v>-2.0662229999999999</v>
      </c>
      <c r="T1091">
        <v>-0.17480699999999999</v>
      </c>
      <c r="U1091">
        <v>-2.4875790000000002</v>
      </c>
      <c r="V1091">
        <v>0.25549119999999997</v>
      </c>
      <c r="W1091">
        <v>-0.1017058</v>
      </c>
      <c r="X1091">
        <v>0.96144689999999999</v>
      </c>
      <c r="Y1091">
        <v>0.58935680000000001</v>
      </c>
      <c r="Z1091">
        <v>4.1558329999999997E-2</v>
      </c>
      <c r="AA1091">
        <v>0.80680319999999905</v>
      </c>
      <c r="AB1091">
        <v>22</v>
      </c>
      <c r="AC1091">
        <v>-13.0654</v>
      </c>
      <c r="AD1091">
        <v>-1.1074796509689999</v>
      </c>
      <c r="AE1091">
        <v>-15.424799999999999</v>
      </c>
      <c r="AF1091">
        <v>12.0500745102074</v>
      </c>
      <c r="AG1091">
        <v>-1.1074796509689999</v>
      </c>
      <c r="AH1091">
        <v>16.154962529427099</v>
      </c>
      <c r="AI1091">
        <v>93.145276006771695</v>
      </c>
      <c r="AJ1091">
        <v>53.280542152255599</v>
      </c>
      <c r="AK1091">
        <v>20.184489619657299</v>
      </c>
      <c r="AL1091">
        <v>95.837406605412397</v>
      </c>
      <c r="AM1091">
        <v>75.118369325580403</v>
      </c>
      <c r="AN1091">
        <v>0.99999998227534403</v>
      </c>
    </row>
    <row r="1092" spans="1:40" x14ac:dyDescent="0.25">
      <c r="A1092" t="str">
        <f>"20190305135601409"</f>
        <v>20190305135601409</v>
      </c>
      <c r="B1092" t="str">
        <f>"1551765361402730"</f>
        <v>1551765361402730</v>
      </c>
      <c r="C1092" t="s">
        <v>40</v>
      </c>
      <c r="D1092">
        <v>4.4054580000000003</v>
      </c>
      <c r="E1092">
        <v>0.65202269999999996</v>
      </c>
      <c r="F1092" t="s">
        <v>54</v>
      </c>
      <c r="G1092">
        <v>-203.6979</v>
      </c>
      <c r="H1092" s="1">
        <v>3.841187E-6</v>
      </c>
      <c r="I1092">
        <v>284.79539999999997</v>
      </c>
      <c r="J1092">
        <v>-191.566</v>
      </c>
      <c r="K1092">
        <v>1.1074630000000001</v>
      </c>
      <c r="L1092">
        <v>298.83870000000002</v>
      </c>
      <c r="M1092">
        <v>-6.5246659999999998E-2</v>
      </c>
      <c r="N1092">
        <v>-1.372697E-2</v>
      </c>
      <c r="O1092">
        <v>-0.99777459999999996</v>
      </c>
      <c r="P1092">
        <v>-0.32321699999999998</v>
      </c>
      <c r="Q1092">
        <v>-0.1157984</v>
      </c>
      <c r="R1092">
        <v>-0.93921319999999997</v>
      </c>
      <c r="S1092">
        <v>-2.0958100000000002</v>
      </c>
      <c r="T1092">
        <v>-0.19104389999999999</v>
      </c>
      <c r="U1092">
        <v>-2.4602659999999998</v>
      </c>
      <c r="V1092">
        <v>0.2607139</v>
      </c>
      <c r="W1092">
        <v>-0.1039667</v>
      </c>
      <c r="X1092">
        <v>0.95980160000000003</v>
      </c>
      <c r="Y1092">
        <v>0.59645459999999995</v>
      </c>
      <c r="Z1092">
        <v>4.6778720000000003E-2</v>
      </c>
      <c r="AA1092">
        <v>0.80128250000000001</v>
      </c>
      <c r="AB1092">
        <v>22</v>
      </c>
      <c r="AC1092">
        <v>-12.1319</v>
      </c>
      <c r="AD1092">
        <v>-1.1074591588129901</v>
      </c>
      <c r="AE1092">
        <v>-14.0433</v>
      </c>
      <c r="AF1092">
        <v>11.149971940146701</v>
      </c>
      <c r="AG1092">
        <v>-1.1074591588129901</v>
      </c>
      <c r="AH1092">
        <v>14.752474631974501</v>
      </c>
      <c r="AI1092">
        <v>93.427251307999796</v>
      </c>
      <c r="AJ1092">
        <v>52.917884273364898</v>
      </c>
      <c r="AK1092">
        <v>18.5252219371739</v>
      </c>
      <c r="AL1092">
        <v>95.967637229879898</v>
      </c>
      <c r="AM1092">
        <v>74.803247898523196</v>
      </c>
      <c r="AN1092">
        <v>0.99999996186232898</v>
      </c>
    </row>
    <row r="1093" spans="1:40" x14ac:dyDescent="0.25">
      <c r="A1093" t="str">
        <f>"20190305135601431"</f>
        <v>20190305135601431</v>
      </c>
      <c r="B1093" t="str">
        <f>"1551765361423227"</f>
        <v>1551765361423227</v>
      </c>
      <c r="C1093" t="s">
        <v>40</v>
      </c>
      <c r="D1093">
        <v>4.4589379999999998</v>
      </c>
      <c r="E1093">
        <v>0.65204169999999995</v>
      </c>
      <c r="F1093" t="s">
        <v>54</v>
      </c>
      <c r="G1093">
        <v>-203.14340000000001</v>
      </c>
      <c r="H1093" s="1">
        <v>3.5346480000000001E-6</v>
      </c>
      <c r="I1093">
        <v>285.48910000000001</v>
      </c>
      <c r="J1093">
        <v>-191.58349999999999</v>
      </c>
      <c r="K1093">
        <v>1.1074489999999999</v>
      </c>
      <c r="L1093">
        <v>298.6302</v>
      </c>
      <c r="M1093">
        <v>-6.8530439999999998E-2</v>
      </c>
      <c r="N1093">
        <v>-1.3727420000000001E-2</v>
      </c>
      <c r="O1093">
        <v>-0.99755490000000002</v>
      </c>
      <c r="P1093">
        <v>-0.33160899999999999</v>
      </c>
      <c r="Q1093">
        <v>-0.1184795</v>
      </c>
      <c r="R1093">
        <v>-0.93594809999999995</v>
      </c>
      <c r="S1093">
        <v>-2.1167449999999999</v>
      </c>
      <c r="T1093">
        <v>-0.2024822</v>
      </c>
      <c r="U1093">
        <v>-2.4407649999999999</v>
      </c>
      <c r="V1093">
        <v>0.2661386</v>
      </c>
      <c r="W1093">
        <v>-0.1067046</v>
      </c>
      <c r="X1093">
        <v>0.95801060000000005</v>
      </c>
      <c r="Y1093">
        <v>0.60076289999999999</v>
      </c>
      <c r="Z1093">
        <v>5.0479999999999997E-2</v>
      </c>
      <c r="AA1093">
        <v>0.79783190000000004</v>
      </c>
      <c r="AB1093">
        <v>22</v>
      </c>
      <c r="AC1093">
        <v>-11.559900000000001</v>
      </c>
      <c r="AD1093">
        <v>-1.1074454653519901</v>
      </c>
      <c r="AE1093">
        <v>-13.1410999999999</v>
      </c>
      <c r="AF1093">
        <v>10.5896692728943</v>
      </c>
      <c r="AG1093">
        <v>-1.1074454653519901</v>
      </c>
      <c r="AH1093">
        <v>13.847038811915899</v>
      </c>
      <c r="AI1093">
        <v>93.635043039071505</v>
      </c>
      <c r="AJ1093">
        <v>52.592666306452699</v>
      </c>
      <c r="AK1093">
        <v>17.467341372593399</v>
      </c>
      <c r="AL1093">
        <v>96.125384958938</v>
      </c>
      <c r="AM1093">
        <v>74.474526234269206</v>
      </c>
      <c r="AN1093">
        <v>0.99999996789173895</v>
      </c>
    </row>
    <row r="1094" spans="1:40" x14ac:dyDescent="0.25">
      <c r="A1094" t="str">
        <f>"20190305135601455"</f>
        <v>20190305135601455</v>
      </c>
      <c r="B1094" t="str">
        <f>"1551765361442747"</f>
        <v>1551765361442747</v>
      </c>
      <c r="C1094" t="s">
        <v>40</v>
      </c>
      <c r="D1094">
        <v>4.7802179999999996</v>
      </c>
      <c r="E1094">
        <v>0.62116079999999996</v>
      </c>
      <c r="F1094" t="s">
        <v>54</v>
      </c>
      <c r="G1094">
        <v>-202.69159999999999</v>
      </c>
      <c r="H1094" s="1">
        <v>3.284597E-6</v>
      </c>
      <c r="I1094">
        <v>286.05759999999998</v>
      </c>
      <c r="J1094">
        <v>-191.6037</v>
      </c>
      <c r="K1094">
        <v>1.1074109999999999</v>
      </c>
      <c r="L1094">
        <v>298.40010000000001</v>
      </c>
      <c r="M1094">
        <v>-7.2248640000000003E-2</v>
      </c>
      <c r="N1094">
        <v>-1.372892E-2</v>
      </c>
      <c r="O1094">
        <v>-0.99729219999999996</v>
      </c>
      <c r="P1094">
        <v>-0.33924530000000003</v>
      </c>
      <c r="Q1094">
        <v>-0.1218315</v>
      </c>
      <c r="R1094">
        <v>-0.93277540000000003</v>
      </c>
      <c r="S1094">
        <v>-2.1386409999999998</v>
      </c>
      <c r="T1094">
        <v>-0.21321689999999999</v>
      </c>
      <c r="U1094">
        <v>-2.4205930000000002</v>
      </c>
      <c r="V1094">
        <v>0.27038959999999901</v>
      </c>
      <c r="W1094">
        <v>-0.11012329999999999</v>
      </c>
      <c r="X1094">
        <v>0.95643210000000001</v>
      </c>
      <c r="Y1094">
        <v>0.60499360000000002</v>
      </c>
      <c r="Z1094">
        <v>5.3969719999999999E-2</v>
      </c>
      <c r="AA1094">
        <v>0.79439919999999997</v>
      </c>
      <c r="AB1094">
        <v>22</v>
      </c>
      <c r="AC1094">
        <v>-11.0878999999999</v>
      </c>
      <c r="AD1094">
        <v>-1.107407715403</v>
      </c>
      <c r="AE1094">
        <v>-12.342499999999999</v>
      </c>
      <c r="AF1094">
        <v>10.122012141319701</v>
      </c>
      <c r="AG1094">
        <v>-1.107407715403</v>
      </c>
      <c r="AH1094">
        <v>13.053248344605301</v>
      </c>
      <c r="AI1094">
        <v>93.835524973984903</v>
      </c>
      <c r="AJ1094">
        <v>52.208565449578401</v>
      </c>
      <c r="AK1094">
        <v>16.5550226210385</v>
      </c>
      <c r="AL1094">
        <v>96.322423196774594</v>
      </c>
      <c r="AM1094">
        <v>74.214055923561901</v>
      </c>
      <c r="AN1094">
        <v>1.0000000194507299</v>
      </c>
    </row>
    <row r="1095" spans="1:40" x14ac:dyDescent="0.25">
      <c r="A1095" t="str">
        <f>"20190305135601489"</f>
        <v>20190305135601489</v>
      </c>
      <c r="B1095" t="str">
        <f>"1551765361482762"</f>
        <v>1551765361482762</v>
      </c>
      <c r="C1095" t="s">
        <v>40</v>
      </c>
      <c r="D1095">
        <v>4.4404000000000003</v>
      </c>
      <c r="E1095">
        <v>0.53812669999999996</v>
      </c>
      <c r="F1095" t="s">
        <v>54</v>
      </c>
      <c r="G1095">
        <v>-197.51400000000001</v>
      </c>
      <c r="H1095" s="1">
        <v>1.7659599999999899E-6</v>
      </c>
      <c r="I1095">
        <v>290.82900000000001</v>
      </c>
      <c r="J1095">
        <v>-191.63480000000001</v>
      </c>
      <c r="K1095">
        <v>1.1073170000000001</v>
      </c>
      <c r="L1095">
        <v>298.0659</v>
      </c>
      <c r="M1095">
        <v>-7.7827480000000004E-2</v>
      </c>
      <c r="N1095">
        <v>-1.3733449999999999E-2</v>
      </c>
      <c r="O1095">
        <v>-0.99687219999999999</v>
      </c>
      <c r="P1095">
        <v>-0.34879520000000003</v>
      </c>
      <c r="Q1095">
        <v>-0.1249957</v>
      </c>
      <c r="R1095">
        <v>-0.92882620000000005</v>
      </c>
      <c r="S1095">
        <v>-1.926849</v>
      </c>
      <c r="T1095">
        <v>-0.3610352</v>
      </c>
      <c r="U1095">
        <v>-2.4683229999999998</v>
      </c>
      <c r="V1095">
        <v>0.27482970000000001</v>
      </c>
      <c r="W1095">
        <v>-0.1133898</v>
      </c>
      <c r="X1095">
        <v>0.95478339999999995</v>
      </c>
      <c r="Y1095">
        <v>0.54840549999999999</v>
      </c>
      <c r="Z1095">
        <v>0.103581199999999</v>
      </c>
      <c r="AA1095">
        <v>0.82977250000000002</v>
      </c>
      <c r="AB1095">
        <v>22</v>
      </c>
      <c r="AC1095">
        <v>-5.8791999999999902</v>
      </c>
      <c r="AD1095">
        <v>-1.1073152340400001</v>
      </c>
      <c r="AE1095">
        <v>-7.2368999999999897</v>
      </c>
      <c r="AF1095">
        <v>5.2243976930673197</v>
      </c>
      <c r="AG1095">
        <v>-1.1073152340400001</v>
      </c>
      <c r="AH1095">
        <v>7.5658449650582202</v>
      </c>
      <c r="AI1095">
        <v>96.867292420007104</v>
      </c>
      <c r="AJ1095">
        <v>55.373989186798902</v>
      </c>
      <c r="AK1095">
        <v>9.2608038699759199</v>
      </c>
      <c r="AL1095">
        <v>96.510760042178006</v>
      </c>
      <c r="AM1095">
        <v>73.941796451180295</v>
      </c>
      <c r="AN1095">
        <v>0.99999997583084399</v>
      </c>
    </row>
    <row r="1096" spans="1:40" x14ac:dyDescent="0.25">
      <c r="A1096" t="str">
        <f>"20190305135601512"</f>
        <v>20190305135601512</v>
      </c>
      <c r="B1096" t="str">
        <f>"1551765361503259"</f>
        <v>1551765361503259</v>
      </c>
      <c r="C1096" t="s">
        <v>40</v>
      </c>
      <c r="D1096">
        <v>4.4173359999999997</v>
      </c>
      <c r="E1096">
        <v>0.52221379999999995</v>
      </c>
      <c r="F1096" t="s">
        <v>54</v>
      </c>
      <c r="G1096">
        <v>-195.15360000000001</v>
      </c>
      <c r="H1096" s="1">
        <v>2.1242860000000002E-6</v>
      </c>
      <c r="I1096">
        <v>290.99979999999999</v>
      </c>
      <c r="J1096">
        <v>-191.65610000000001</v>
      </c>
      <c r="K1096">
        <v>1.107216</v>
      </c>
      <c r="L1096">
        <v>297.84930000000003</v>
      </c>
      <c r="M1096">
        <v>-8.1658590000000003E-2</v>
      </c>
      <c r="N1096">
        <v>-1.373826E-2</v>
      </c>
      <c r="O1096">
        <v>-0.99656579999999995</v>
      </c>
      <c r="P1096">
        <v>-0.35469299999999998</v>
      </c>
      <c r="Q1096">
        <v>-0.12509960000000001</v>
      </c>
      <c r="R1096">
        <v>-0.92657619999999896</v>
      </c>
      <c r="S1096">
        <v>-1.3313900000000001</v>
      </c>
      <c r="T1096">
        <v>-0.41896260000000002</v>
      </c>
      <c r="U1096">
        <v>-2.6735229999999999</v>
      </c>
      <c r="V1096">
        <v>0.27719739999999998</v>
      </c>
      <c r="W1096">
        <v>-0.113579399999999</v>
      </c>
      <c r="X1096">
        <v>0.95407620000000004</v>
      </c>
      <c r="Y1096">
        <v>0.36720160000000002</v>
      </c>
      <c r="Z1096">
        <v>0.12727060000000001</v>
      </c>
      <c r="AA1096">
        <v>0.92139300000000002</v>
      </c>
      <c r="AB1096">
        <v>22</v>
      </c>
      <c r="AC1096">
        <v>-3.4975000000000001</v>
      </c>
      <c r="AD1096">
        <v>-1.107213875714</v>
      </c>
      <c r="AE1096">
        <v>-6.8495000000000301</v>
      </c>
      <c r="AF1096">
        <v>2.8670214233277802</v>
      </c>
      <c r="AG1096">
        <v>-1.107213875714</v>
      </c>
      <c r="AH1096">
        <v>6.9678312820264496</v>
      </c>
      <c r="AI1096">
        <v>98.3597948164484</v>
      </c>
      <c r="AJ1096">
        <v>67.634529802319804</v>
      </c>
      <c r="AK1096">
        <v>7.6155372222306399</v>
      </c>
      <c r="AL1096">
        <v>96.521693557115199</v>
      </c>
      <c r="AM1096">
        <v>73.799299978300994</v>
      </c>
      <c r="AN1096">
        <v>1.0000000370387701</v>
      </c>
    </row>
    <row r="1097" spans="1:40" x14ac:dyDescent="0.25">
      <c r="A1097" t="str">
        <f>"20190305135601533"</f>
        <v>20190305135601533</v>
      </c>
      <c r="B1097" t="str">
        <f>"1551765361522779"</f>
        <v>1551765361522779</v>
      </c>
      <c r="C1097" t="s">
        <v>40</v>
      </c>
      <c r="D1097">
        <v>4.3354359999999996</v>
      </c>
      <c r="E1097">
        <v>0.49286849999999999</v>
      </c>
      <c r="F1097" t="s">
        <v>54</v>
      </c>
      <c r="G1097">
        <v>-194.5504</v>
      </c>
      <c r="H1097" s="1">
        <v>2.059833E-6</v>
      </c>
      <c r="I1097">
        <v>291.48480000000001</v>
      </c>
      <c r="J1097">
        <v>-191.67859999999999</v>
      </c>
      <c r="K1097">
        <v>1.107051</v>
      </c>
      <c r="L1097">
        <v>297.6327</v>
      </c>
      <c r="M1097">
        <v>-8.5778270000000004E-2</v>
      </c>
      <c r="N1097">
        <v>-1.374704E-2</v>
      </c>
      <c r="O1097">
        <v>-0.99621970000000004</v>
      </c>
      <c r="P1097">
        <v>-0.36099310000000001</v>
      </c>
      <c r="Q1097">
        <v>-0.12337919999999999</v>
      </c>
      <c r="R1097">
        <v>-0.92437139999999995</v>
      </c>
      <c r="S1097">
        <v>-1.2294620000000001</v>
      </c>
      <c r="T1097">
        <v>-0.47033390000000003</v>
      </c>
      <c r="U1097">
        <v>-2.7035830000000001</v>
      </c>
      <c r="V1097">
        <v>0.27968979999999999</v>
      </c>
      <c r="W1097">
        <v>-0.1119796</v>
      </c>
      <c r="X1097">
        <v>0.95353770000000004</v>
      </c>
      <c r="Y1097">
        <v>0.3296174</v>
      </c>
      <c r="Z1097">
        <v>0.1447928</v>
      </c>
      <c r="AA1097">
        <v>0.93294549999999998</v>
      </c>
      <c r="AB1097">
        <v>22</v>
      </c>
      <c r="AC1097">
        <v>-2.8717999999999999</v>
      </c>
      <c r="AD1097">
        <v>-1.1070489401670001</v>
      </c>
      <c r="AE1097">
        <v>-6.1478999999999902</v>
      </c>
      <c r="AF1097">
        <v>2.2732986441836101</v>
      </c>
      <c r="AG1097">
        <v>-1.1070489401670001</v>
      </c>
      <c r="AH1097">
        <v>6.2064006962320004</v>
      </c>
      <c r="AI1097">
        <v>99.508222238869607</v>
      </c>
      <c r="AJ1097">
        <v>69.883079718608201</v>
      </c>
      <c r="AK1097">
        <v>6.7017052817742604</v>
      </c>
      <c r="AL1097">
        <v>96.429443575803106</v>
      </c>
      <c r="AM1097">
        <v>73.652635787650595</v>
      </c>
      <c r="AN1097">
        <v>0.99999998018074399</v>
      </c>
    </row>
    <row r="1098" spans="1:40" x14ac:dyDescent="0.25">
      <c r="A1098" t="str">
        <f>"20190305135601555"</f>
        <v>20190305135601555</v>
      </c>
      <c r="B1098" t="str">
        <f>"1551765361553034"</f>
        <v>1551765361553034</v>
      </c>
      <c r="C1098" t="s">
        <v>40</v>
      </c>
      <c r="D1098">
        <v>4.353021</v>
      </c>
      <c r="E1098">
        <v>0.49319400000000002</v>
      </c>
      <c r="F1098" t="s">
        <v>41</v>
      </c>
      <c r="G1098">
        <v>-191.97559999999999</v>
      </c>
      <c r="H1098">
        <v>0.86750609999999995</v>
      </c>
      <c r="I1098">
        <v>296.84370000000001</v>
      </c>
      <c r="J1098">
        <v>-191.70230000000001</v>
      </c>
      <c r="K1098">
        <v>1.106865</v>
      </c>
      <c r="L1098">
        <v>297.41660000000002</v>
      </c>
      <c r="M1098">
        <v>-9.0168570000000003E-2</v>
      </c>
      <c r="N1098">
        <v>-1.3760619999999999E-2</v>
      </c>
      <c r="O1098">
        <v>-0.99583169999999999</v>
      </c>
      <c r="P1098">
        <v>-0.36666169999999998</v>
      </c>
      <c r="Q1098">
        <v>-0.1228149</v>
      </c>
      <c r="R1098">
        <v>-0.92221240000000004</v>
      </c>
      <c r="S1098">
        <v>-1.0283359999999999</v>
      </c>
      <c r="T1098">
        <v>-0.82968709999999901</v>
      </c>
      <c r="U1098">
        <v>-2.7330930000000002</v>
      </c>
      <c r="V1098">
        <v>0.281284599999999</v>
      </c>
      <c r="W1098">
        <v>-0.11154500000000001</v>
      </c>
      <c r="X1098">
        <v>0.95311950000000001</v>
      </c>
      <c r="Y1098">
        <v>0.25346419999999997</v>
      </c>
      <c r="Z1098">
        <v>0.2624302</v>
      </c>
      <c r="AA1098">
        <v>0.93106730000000004</v>
      </c>
      <c r="AB1098">
        <v>22</v>
      </c>
      <c r="AC1098">
        <v>-0.27329999999997701</v>
      </c>
      <c r="AD1098">
        <v>-0.23935890000000001</v>
      </c>
      <c r="AE1098">
        <v>-0.57290000000000396</v>
      </c>
      <c r="AF1098">
        <v>0.19306987088424599</v>
      </c>
      <c r="AG1098">
        <v>-0.23935890000000001</v>
      </c>
      <c r="AH1098">
        <v>0.52111032091746901</v>
      </c>
      <c r="AI1098">
        <v>113.30219666195499</v>
      </c>
      <c r="AJ1098">
        <v>69.670477451152493</v>
      </c>
      <c r="AK1098">
        <v>0.60508232879433599</v>
      </c>
      <c r="AL1098">
        <v>96.404385410494001</v>
      </c>
      <c r="AM1098">
        <v>73.557617409976601</v>
      </c>
      <c r="AN1098">
        <v>1.0000000472512001</v>
      </c>
    </row>
    <row r="1099" spans="1:40" x14ac:dyDescent="0.25">
      <c r="A1099" t="str">
        <f>"20190305135601582"</f>
        <v>20190305135601582</v>
      </c>
      <c r="B1099" t="str">
        <f>"1551765361572555"</f>
        <v>1551765361572555</v>
      </c>
      <c r="C1099" t="s">
        <v>40</v>
      </c>
      <c r="D1099">
        <v>4.2654199999999998</v>
      </c>
      <c r="E1099">
        <v>0.49467699999999998</v>
      </c>
      <c r="F1099" t="s">
        <v>41</v>
      </c>
      <c r="G1099">
        <v>-191.99610000000001</v>
      </c>
      <c r="H1099">
        <v>0.85849750000000002</v>
      </c>
      <c r="I1099">
        <v>296.6549</v>
      </c>
      <c r="J1099">
        <v>-191.73179999999999</v>
      </c>
      <c r="K1099">
        <v>1.106622</v>
      </c>
      <c r="L1099">
        <v>297.16199999999998</v>
      </c>
      <c r="M1099">
        <v>-9.5734840000000002E-2</v>
      </c>
      <c r="N1099">
        <v>-1.378038E-2</v>
      </c>
      <c r="O1099">
        <v>-0.99531159999999996</v>
      </c>
      <c r="P1099">
        <v>-0.372392</v>
      </c>
      <c r="Q1099">
        <v>-0.12195309999999999</v>
      </c>
      <c r="R1099">
        <v>-0.92002830000000002</v>
      </c>
      <c r="S1099">
        <v>-1.0486599999999999</v>
      </c>
      <c r="T1099">
        <v>-0.88646340000000001</v>
      </c>
      <c r="U1099">
        <v>-2.7180789999999999</v>
      </c>
      <c r="V1099">
        <v>0.2818138</v>
      </c>
      <c r="W1099">
        <v>-0.110835</v>
      </c>
      <c r="X1099">
        <v>0.95304599999999995</v>
      </c>
      <c r="Y1099">
        <v>0.25396479999999999</v>
      </c>
      <c r="Z1099">
        <v>0.28052379999999999</v>
      </c>
      <c r="AA1099">
        <v>0.9256394</v>
      </c>
      <c r="AB1099">
        <v>22</v>
      </c>
      <c r="AC1099">
        <v>-0.26430000000002002</v>
      </c>
      <c r="AD1099">
        <v>-0.2481245</v>
      </c>
      <c r="AE1099">
        <v>-0.50710000000003597</v>
      </c>
      <c r="AF1099">
        <v>0.180542938274667</v>
      </c>
      <c r="AG1099">
        <v>-0.2481245</v>
      </c>
      <c r="AH1099">
        <v>0.44608947693030299</v>
      </c>
      <c r="AI1099">
        <v>117.275382649384</v>
      </c>
      <c r="AJ1099">
        <v>67.9656589217944</v>
      </c>
      <c r="AK1099">
        <v>0.54144006269304801</v>
      </c>
      <c r="AL1099">
        <v>96.363451588383398</v>
      </c>
      <c r="AM1099">
        <v>73.527156793070404</v>
      </c>
      <c r="AN1099">
        <v>1.00000004660571</v>
      </c>
    </row>
    <row r="1100" spans="1:40" x14ac:dyDescent="0.25">
      <c r="A1100" t="str">
        <f>"20190305135601604"</f>
        <v>20190305135601604</v>
      </c>
      <c r="B1100" t="str">
        <f>"1551765361593050"</f>
        <v>1551765361593050</v>
      </c>
      <c r="C1100" t="s">
        <v>40</v>
      </c>
      <c r="D1100">
        <v>4.4336929999999999</v>
      </c>
      <c r="E1100">
        <v>0.49580980000000002</v>
      </c>
      <c r="F1100" t="s">
        <v>41</v>
      </c>
      <c r="G1100">
        <v>-192.0137</v>
      </c>
      <c r="H1100">
        <v>0.88027549999999899</v>
      </c>
      <c r="I1100">
        <v>296.45389999999998</v>
      </c>
      <c r="J1100">
        <v>-191.75880000000001</v>
      </c>
      <c r="K1100">
        <v>1.106392</v>
      </c>
      <c r="L1100">
        <v>296.94330000000002</v>
      </c>
      <c r="M1100">
        <v>-0.10091260000000001</v>
      </c>
      <c r="N1100">
        <v>-1.3799789999999999E-2</v>
      </c>
      <c r="O1100">
        <v>-0.99479969999999995</v>
      </c>
      <c r="P1100">
        <v>-0.37761800000000001</v>
      </c>
      <c r="Q1100">
        <v>-0.12150519999999999</v>
      </c>
      <c r="R1100">
        <v>-0.91795479999999996</v>
      </c>
      <c r="S1100">
        <v>-1.077942</v>
      </c>
      <c r="T1100">
        <v>-0.86575349999999995</v>
      </c>
      <c r="U1100">
        <v>-2.709686</v>
      </c>
      <c r="V1100">
        <v>0.28221089999999999</v>
      </c>
      <c r="W1100">
        <v>-0.1105265</v>
      </c>
      <c r="X1100">
        <v>0.95296420000000004</v>
      </c>
      <c r="Y1100">
        <v>0.25926860000000002</v>
      </c>
      <c r="Z1100">
        <v>0.27407559999999997</v>
      </c>
      <c r="AA1100">
        <v>0.92610060000000005</v>
      </c>
      <c r="AB1100">
        <v>22</v>
      </c>
      <c r="AC1100">
        <v>-0.25489999999999202</v>
      </c>
      <c r="AD1100">
        <v>-0.2261165</v>
      </c>
      <c r="AE1100">
        <v>-0.48940000000004602</v>
      </c>
      <c r="AF1100">
        <v>0.17484727449717499</v>
      </c>
      <c r="AG1100">
        <v>-0.2261165</v>
      </c>
      <c r="AH1100">
        <v>0.43892332420885599</v>
      </c>
      <c r="AI1100">
        <v>115.57515497218699</v>
      </c>
      <c r="AJ1100">
        <v>68.279890881849298</v>
      </c>
      <c r="AK1100">
        <v>0.52378805399311401</v>
      </c>
      <c r="AL1100">
        <v>96.345667294838904</v>
      </c>
      <c r="AM1100">
        <v>73.503866831192497</v>
      </c>
      <c r="AN1100">
        <v>0.99999993288134703</v>
      </c>
    </row>
    <row r="1101" spans="1:40" x14ac:dyDescent="0.25">
      <c r="A1101" t="str">
        <f>"20190305135601645"</f>
        <v>20190305135601645</v>
      </c>
      <c r="B1101" t="str">
        <f>"1551765361642827"</f>
        <v>1551765361642827</v>
      </c>
      <c r="C1101" t="s">
        <v>40</v>
      </c>
      <c r="D1101">
        <v>4.4729039999999998</v>
      </c>
      <c r="E1101">
        <v>0.49044759999999998</v>
      </c>
      <c r="F1101" t="s">
        <v>41</v>
      </c>
      <c r="G1101">
        <v>-192.03829999999999</v>
      </c>
      <c r="H1101">
        <v>0.88863400000000003</v>
      </c>
      <c r="I1101">
        <v>296.25850000000003</v>
      </c>
      <c r="J1101">
        <v>-191.8109</v>
      </c>
      <c r="K1101">
        <v>1.1059330000000001</v>
      </c>
      <c r="L1101">
        <v>296.55349999999999</v>
      </c>
      <c r="M1101">
        <v>-0.1112059</v>
      </c>
      <c r="N1101">
        <v>-1.3845710000000001E-2</v>
      </c>
      <c r="O1101">
        <v>-0.99370099999999995</v>
      </c>
      <c r="P1101">
        <v>-0.38755669999999998</v>
      </c>
      <c r="Q1101">
        <v>-0.1226984</v>
      </c>
      <c r="R1101">
        <v>-0.91364369999999995</v>
      </c>
      <c r="S1101">
        <v>-1.1021729999999901</v>
      </c>
      <c r="T1101">
        <v>-0.85861369999999904</v>
      </c>
      <c r="U1101">
        <v>-2.70105</v>
      </c>
      <c r="V1101">
        <v>0.28257409999999999</v>
      </c>
      <c r="W1101">
        <v>-0.1119872</v>
      </c>
      <c r="X1101">
        <v>0.95268609999999998</v>
      </c>
      <c r="Y1101">
        <v>0.25770749999999998</v>
      </c>
      <c r="Z1101">
        <v>0.27184809999999998</v>
      </c>
      <c r="AA1101">
        <v>0.92719220000000002</v>
      </c>
      <c r="AB1101">
        <v>22</v>
      </c>
      <c r="AC1101">
        <v>-0.227399999999988</v>
      </c>
      <c r="AD1101">
        <v>-0.21729899999999999</v>
      </c>
      <c r="AE1101">
        <v>-0.29499999999995902</v>
      </c>
      <c r="AF1101">
        <v>0.144126703250749</v>
      </c>
      <c r="AG1101">
        <v>-0.21729899999999999</v>
      </c>
      <c r="AH1101">
        <v>0.237594869286711</v>
      </c>
      <c r="AI1101">
        <v>128.02382689205101</v>
      </c>
      <c r="AJ1101">
        <v>58.758708015251798</v>
      </c>
      <c r="AK1101">
        <v>0.35276434613251201</v>
      </c>
      <c r="AL1101">
        <v>96.429881458039503</v>
      </c>
      <c r="AM1101">
        <v>73.479234154255593</v>
      </c>
      <c r="AN1101">
        <v>1.00000003004392</v>
      </c>
    </row>
    <row r="1102" spans="1:40" x14ac:dyDescent="0.25">
      <c r="A1102" t="str">
        <f>"20190305135601669"</f>
        <v>20190305135601669</v>
      </c>
      <c r="B1102" t="str">
        <f>"1551765361662348"</f>
        <v>1551765361662348</v>
      </c>
      <c r="C1102" t="s">
        <v>40</v>
      </c>
      <c r="D1102">
        <v>4.4320019999999998</v>
      </c>
      <c r="E1102">
        <v>0.48835630000000002</v>
      </c>
      <c r="F1102" t="s">
        <v>41</v>
      </c>
      <c r="G1102">
        <v>-192.08510000000001</v>
      </c>
      <c r="H1102">
        <v>0.89152999999999905</v>
      </c>
      <c r="I1102">
        <v>295.87430000000001</v>
      </c>
      <c r="J1102">
        <v>-191.8434</v>
      </c>
      <c r="K1102">
        <v>1.1056649999999999</v>
      </c>
      <c r="L1102">
        <v>296.32850000000002</v>
      </c>
      <c r="M1102">
        <v>-0.11771520000000001</v>
      </c>
      <c r="N1102">
        <v>-1.3878440000000001E-2</v>
      </c>
      <c r="O1102">
        <v>-0.99295040000000001</v>
      </c>
      <c r="P1102">
        <v>-0.3914436</v>
      </c>
      <c r="Q1102">
        <v>-0.1250329</v>
      </c>
      <c r="R1102">
        <v>-0.91166809999999998</v>
      </c>
      <c r="S1102">
        <v>-1.092606</v>
      </c>
      <c r="T1102">
        <v>-0.85402999999999996</v>
      </c>
      <c r="U1102">
        <v>-2.7054140000000002</v>
      </c>
      <c r="V1102">
        <v>0.28033789999999997</v>
      </c>
      <c r="W1102">
        <v>-0.1144387</v>
      </c>
      <c r="X1102">
        <v>0.95305530000000005</v>
      </c>
      <c r="Y1102">
        <v>0.24822649999999999</v>
      </c>
      <c r="Z1102">
        <v>0.270256099999999</v>
      </c>
      <c r="AA1102">
        <v>0.93023929999999999</v>
      </c>
      <c r="AB1102">
        <v>21</v>
      </c>
      <c r="AC1102">
        <v>-0.24170000000000799</v>
      </c>
      <c r="AD1102">
        <v>-0.21413499999999999</v>
      </c>
      <c r="AE1102">
        <v>-0.45420000000001398</v>
      </c>
      <c r="AF1102">
        <v>0.15900519615749101</v>
      </c>
      <c r="AG1102">
        <v>-0.21413499999999999</v>
      </c>
      <c r="AH1102">
        <v>0.40870138400530298</v>
      </c>
      <c r="AI1102">
        <v>116.025700481561</v>
      </c>
      <c r="AJ1102">
        <v>68.741486003130106</v>
      </c>
      <c r="AK1102">
        <v>0.48802999079762699</v>
      </c>
      <c r="AL1102">
        <v>96.571251328169197</v>
      </c>
      <c r="AM1102">
        <v>73.608937084187502</v>
      </c>
      <c r="AN1102">
        <v>0.99999997954609399</v>
      </c>
    </row>
    <row r="1103" spans="1:40" x14ac:dyDescent="0.25">
      <c r="A1103" t="str">
        <f>"20190305135601715"</f>
        <v>20190305135601715</v>
      </c>
      <c r="B1103" t="str">
        <f>"1551765361703339"</f>
        <v>1551765361703339</v>
      </c>
      <c r="C1103" t="s">
        <v>40</v>
      </c>
      <c r="D1103">
        <v>4.4533310000000004</v>
      </c>
      <c r="E1103">
        <v>0.45388279999999998</v>
      </c>
      <c r="F1103" t="s">
        <v>41</v>
      </c>
      <c r="G1103">
        <v>-192.1053</v>
      </c>
      <c r="H1103">
        <v>0.89997240000000001</v>
      </c>
      <c r="I1103">
        <v>295.67930000000001</v>
      </c>
      <c r="J1103">
        <v>-191.91210000000001</v>
      </c>
      <c r="K1103">
        <v>1.1051660000000001</v>
      </c>
      <c r="L1103">
        <v>295.89569999999998</v>
      </c>
      <c r="M1103">
        <v>-0.13153719999999999</v>
      </c>
      <c r="N1103">
        <v>-1.394654E-2</v>
      </c>
      <c r="O1103">
        <v>-0.99121329999999996</v>
      </c>
      <c r="P1103">
        <v>-0.40111210000000003</v>
      </c>
      <c r="Q1103">
        <v>-0.12714320000000001</v>
      </c>
      <c r="R1103">
        <v>-0.90716269999999999</v>
      </c>
      <c r="S1103">
        <v>-1.0903929999999999</v>
      </c>
      <c r="T1103">
        <v>-0.85655360000000003</v>
      </c>
      <c r="U1103">
        <v>-2.7050169999999998</v>
      </c>
      <c r="V1103">
        <v>0.27707739999999997</v>
      </c>
      <c r="W1103">
        <v>-0.1167706</v>
      </c>
      <c r="X1103">
        <v>0.95372570000000001</v>
      </c>
      <c r="Y1103">
        <v>0.2340844</v>
      </c>
      <c r="Z1103">
        <v>0.27085789999999998</v>
      </c>
      <c r="AA1103">
        <v>0.933724</v>
      </c>
      <c r="AB1103">
        <v>21</v>
      </c>
      <c r="AC1103">
        <v>-0.19319999999998999</v>
      </c>
      <c r="AD1103">
        <v>-0.2051936</v>
      </c>
      <c r="AE1103">
        <v>-0.21639999999996401</v>
      </c>
      <c r="AF1103">
        <v>0.10867930804315</v>
      </c>
      <c r="AG1103">
        <v>-0.2051936</v>
      </c>
      <c r="AH1103">
        <v>0.159922589728345</v>
      </c>
      <c r="AI1103">
        <v>136.701326170703</v>
      </c>
      <c r="AJ1103">
        <v>55.800973398380897</v>
      </c>
      <c r="AK1103">
        <v>0.28194119986819699</v>
      </c>
      <c r="AL1103">
        <v>96.705761204000694</v>
      </c>
      <c r="AM1103">
        <v>73.800306349954099</v>
      </c>
      <c r="AN1103">
        <v>0.99999998472780405</v>
      </c>
    </row>
    <row r="1104" spans="1:40" x14ac:dyDescent="0.25">
      <c r="A1104" t="str">
        <f>"20190305135601734"</f>
        <v>20190305135601734</v>
      </c>
      <c r="B1104" t="str">
        <f>"1551765361722858"</f>
        <v>1551765361722858</v>
      </c>
      <c r="C1104" t="s">
        <v>40</v>
      </c>
      <c r="D1104">
        <v>4.3973829999999996</v>
      </c>
      <c r="E1104">
        <v>0.45429009999999997</v>
      </c>
      <c r="F1104" t="s">
        <v>41</v>
      </c>
      <c r="G1104">
        <v>-192.1541</v>
      </c>
      <c r="H1104">
        <v>0.88201529999999995</v>
      </c>
      <c r="I1104">
        <v>295.11360000000002</v>
      </c>
      <c r="J1104">
        <v>-191.9461</v>
      </c>
      <c r="K1104">
        <v>1.104973</v>
      </c>
      <c r="L1104">
        <v>295.69839999999999</v>
      </c>
      <c r="M1104">
        <v>-0.1383239</v>
      </c>
      <c r="N1104">
        <v>-1.398044E-2</v>
      </c>
      <c r="O1104">
        <v>-0.99028839999999996</v>
      </c>
      <c r="P1104">
        <v>-0.40753850000000003</v>
      </c>
      <c r="Q1104">
        <v>-0.125554</v>
      </c>
      <c r="R1104">
        <v>-0.90451579999999998</v>
      </c>
      <c r="S1104">
        <v>-0.86959839999999999</v>
      </c>
      <c r="T1104">
        <v>-0.80180620000000002</v>
      </c>
      <c r="U1104">
        <v>-2.8100890000000001</v>
      </c>
      <c r="V1104">
        <v>0.27724369999999998</v>
      </c>
      <c r="W1104">
        <v>-0.11527800000000001</v>
      </c>
      <c r="X1104">
        <v>0.95385900000000001</v>
      </c>
      <c r="Y1104">
        <v>0.1508592</v>
      </c>
      <c r="Z1104">
        <v>0.2501102</v>
      </c>
      <c r="AA1104">
        <v>0.95639240000000003</v>
      </c>
      <c r="AB1104">
        <v>21</v>
      </c>
      <c r="AC1104">
        <v>-0.20799999999999799</v>
      </c>
      <c r="AD1104">
        <v>-0.22295769999999901</v>
      </c>
      <c r="AE1104">
        <v>-0.58479999999997201</v>
      </c>
      <c r="AF1104">
        <v>0.11080325350369</v>
      </c>
      <c r="AG1104">
        <v>-0.22295769999999901</v>
      </c>
      <c r="AH1104">
        <v>0.53847149710240905</v>
      </c>
      <c r="AI1104">
        <v>112.075476880159</v>
      </c>
      <c r="AJ1104">
        <v>78.372340256054301</v>
      </c>
      <c r="AK1104">
        <v>0.59324451128350297</v>
      </c>
      <c r="AL1104">
        <v>96.619659656647499</v>
      </c>
      <c r="AM1104">
        <v>73.793240034852403</v>
      </c>
      <c r="AN1104">
        <v>1.00000003917734</v>
      </c>
    </row>
    <row r="1105" spans="1:40" x14ac:dyDescent="0.25">
      <c r="A1105" t="str">
        <f>"20190305135601757"</f>
        <v>20190305135601757</v>
      </c>
      <c r="B1105" t="str">
        <f>"1551765361753115"</f>
        <v>1551765361753115</v>
      </c>
      <c r="C1105" t="s">
        <v>40</v>
      </c>
      <c r="D1105">
        <v>4.427492</v>
      </c>
      <c r="E1105">
        <v>0.45500040000000003</v>
      </c>
      <c r="F1105" t="s">
        <v>41</v>
      </c>
      <c r="G1105">
        <v>-192.1934</v>
      </c>
      <c r="H1105">
        <v>0.88854239999999995</v>
      </c>
      <c r="I1105">
        <v>294.9221</v>
      </c>
      <c r="J1105">
        <v>-191.9838</v>
      </c>
      <c r="K1105">
        <v>1.1048039999999999</v>
      </c>
      <c r="L1105">
        <v>295.49079999999998</v>
      </c>
      <c r="M1105">
        <v>-0.1457175</v>
      </c>
      <c r="N1105">
        <v>-1.401378E-2</v>
      </c>
      <c r="O1105">
        <v>-0.98922710000000003</v>
      </c>
      <c r="P1105">
        <v>-0.41465930000000001</v>
      </c>
      <c r="Q1105">
        <v>-0.1234616</v>
      </c>
      <c r="R1105">
        <v>-0.9015628</v>
      </c>
      <c r="S1105">
        <v>-0.89321899999999999</v>
      </c>
      <c r="T1105">
        <v>-0.78177640000000004</v>
      </c>
      <c r="U1105">
        <v>-2.8057560000000001</v>
      </c>
      <c r="V1105">
        <v>0.2775782</v>
      </c>
      <c r="W1105">
        <v>-0.1132616</v>
      </c>
      <c r="X1105">
        <v>0.95400320000000005</v>
      </c>
      <c r="Y1105">
        <v>0.15173599999999901</v>
      </c>
      <c r="Z1105">
        <v>0.24359220000000001</v>
      </c>
      <c r="AA1105">
        <v>0.95793479999999998</v>
      </c>
      <c r="AB1105">
        <v>21</v>
      </c>
      <c r="AC1105">
        <v>-0.20959999999999401</v>
      </c>
      <c r="AD1105">
        <v>-0.2162616</v>
      </c>
      <c r="AE1105">
        <v>-0.568699999999978</v>
      </c>
      <c r="AF1105">
        <v>0.11042589176902801</v>
      </c>
      <c r="AG1105">
        <v>-0.2162616</v>
      </c>
      <c r="AH1105">
        <v>0.52618343550581803</v>
      </c>
      <c r="AI1105">
        <v>111.911872228376</v>
      </c>
      <c r="AJ1105">
        <v>78.147795651534395</v>
      </c>
      <c r="AK1105">
        <v>0.579510107770564</v>
      </c>
      <c r="AL1105">
        <v>96.503367093324101</v>
      </c>
      <c r="AM1105">
        <v>73.777037933577205</v>
      </c>
      <c r="AN1105">
        <v>0.99999997638001903</v>
      </c>
    </row>
    <row r="1106" spans="1:40" x14ac:dyDescent="0.25">
      <c r="A1106" t="str">
        <f>"20190305135601780"</f>
        <v>20190305135601780</v>
      </c>
      <c r="B1106" t="str">
        <f>"1551765361772635"</f>
        <v>1551765361772635</v>
      </c>
      <c r="C1106" t="s">
        <v>40</v>
      </c>
      <c r="D1106">
        <v>4.4039229999999998</v>
      </c>
      <c r="E1106">
        <v>0.4555806</v>
      </c>
      <c r="F1106" t="s">
        <v>41</v>
      </c>
      <c r="G1106">
        <v>-192.23400000000001</v>
      </c>
      <c r="H1106">
        <v>0.89731589999999894</v>
      </c>
      <c r="I1106">
        <v>294.73009999999999</v>
      </c>
      <c r="J1106">
        <v>-192.02549999999999</v>
      </c>
      <c r="K1106">
        <v>1.104646</v>
      </c>
      <c r="L1106">
        <v>295.27210000000002</v>
      </c>
      <c r="M1106">
        <v>-0.15381139999999999</v>
      </c>
      <c r="N1106">
        <v>-1.4045409999999999E-2</v>
      </c>
      <c r="O1106">
        <v>-0.98800060000000001</v>
      </c>
      <c r="P1106">
        <v>-0.42291119999999999</v>
      </c>
      <c r="Q1106">
        <v>-0.1225788</v>
      </c>
      <c r="R1106">
        <v>-0.89784219999999904</v>
      </c>
      <c r="S1106">
        <v>-0.92039490000000002</v>
      </c>
      <c r="T1106">
        <v>-0.76326680000000002</v>
      </c>
      <c r="U1106">
        <v>-2.7996829999999999</v>
      </c>
      <c r="V1106">
        <v>0.27846799999999999</v>
      </c>
      <c r="W1106">
        <v>-0.1124607</v>
      </c>
      <c r="X1106">
        <v>0.95383859999999998</v>
      </c>
      <c r="Y1106">
        <v>0.15313850000000001</v>
      </c>
      <c r="Z1106">
        <v>0.2375477</v>
      </c>
      <c r="AA1106">
        <v>0.95922870000000005</v>
      </c>
      <c r="AB1106">
        <v>21</v>
      </c>
      <c r="AC1106">
        <v>-0.20850000000001501</v>
      </c>
      <c r="AD1106">
        <v>-0.20733009999999999</v>
      </c>
      <c r="AE1106">
        <v>-0.54200000000003001</v>
      </c>
      <c r="AF1106">
        <v>0.10877892866977</v>
      </c>
      <c r="AG1106">
        <v>-0.20733009999999999</v>
      </c>
      <c r="AH1106">
        <v>0.503449730194234</v>
      </c>
      <c r="AI1106">
        <v>111.926264068921</v>
      </c>
      <c r="AJ1106">
        <v>77.807693082758107</v>
      </c>
      <c r="AK1106">
        <v>0.55522991320821302</v>
      </c>
      <c r="AL1106">
        <v>96.457183961234804</v>
      </c>
      <c r="AM1106">
        <v>73.725122034668601</v>
      </c>
      <c r="AN1106">
        <v>0.99999995545922304</v>
      </c>
    </row>
    <row r="1107" spans="1:40" x14ac:dyDescent="0.25">
      <c r="A1107" t="str">
        <f>"20190305135601802"</f>
        <v>20190305135601802</v>
      </c>
      <c r="B1107" t="str">
        <f>"1551765361793131"</f>
        <v>1551765361793131</v>
      </c>
      <c r="C1107" t="s">
        <v>40</v>
      </c>
      <c r="D1107">
        <v>4.3455539999999999</v>
      </c>
      <c r="E1107">
        <v>0.45583089999999998</v>
      </c>
      <c r="F1107" t="s">
        <v>41</v>
      </c>
      <c r="G1107">
        <v>-192.2756</v>
      </c>
      <c r="H1107">
        <v>0.90641000000000005</v>
      </c>
      <c r="I1107">
        <v>294.53840000000002</v>
      </c>
      <c r="J1107">
        <v>-192.06899999999999</v>
      </c>
      <c r="K1107">
        <v>1.104511</v>
      </c>
      <c r="L1107">
        <v>295.0557</v>
      </c>
      <c r="M1107">
        <v>-0.16213159999999999</v>
      </c>
      <c r="N1107">
        <v>-1.407811E-2</v>
      </c>
      <c r="O1107">
        <v>-0.98666889999999996</v>
      </c>
      <c r="P1107">
        <v>-0.43237720000000002</v>
      </c>
      <c r="Q1107">
        <v>-0.1224339</v>
      </c>
      <c r="R1107">
        <v>-0.89334219999999898</v>
      </c>
      <c r="S1107">
        <v>-0.95053100000000001</v>
      </c>
      <c r="T1107">
        <v>-0.75331380000000003</v>
      </c>
      <c r="U1107">
        <v>-2.7908019999999998</v>
      </c>
      <c r="V1107">
        <v>0.28046700000000002</v>
      </c>
      <c r="W1107">
        <v>-0.1124141</v>
      </c>
      <c r="X1107">
        <v>0.9532583</v>
      </c>
      <c r="Y1107">
        <v>0.1552896</v>
      </c>
      <c r="Z1107">
        <v>0.2342583</v>
      </c>
      <c r="AA1107">
        <v>0.95969179999999998</v>
      </c>
      <c r="AB1107">
        <v>21</v>
      </c>
      <c r="AC1107">
        <v>-0.20659999999997999</v>
      </c>
      <c r="AD1107">
        <v>-0.198101</v>
      </c>
      <c r="AE1107">
        <v>-0.517299999999977</v>
      </c>
      <c r="AF1107">
        <v>0.106515146418395</v>
      </c>
      <c r="AG1107">
        <v>-0.198101</v>
      </c>
      <c r="AH1107">
        <v>0.48288021298408601</v>
      </c>
      <c r="AI1107">
        <v>111.831932459668</v>
      </c>
      <c r="AJ1107">
        <v>77.560726241147094</v>
      </c>
      <c r="AK1107">
        <v>0.53269389212669604</v>
      </c>
      <c r="AL1107">
        <v>96.454496473569606</v>
      </c>
      <c r="AM1107">
        <v>73.605098678638598</v>
      </c>
      <c r="AN1107">
        <v>1.00000002724334</v>
      </c>
    </row>
    <row r="1108" spans="1:40" x14ac:dyDescent="0.25">
      <c r="A1108" t="str">
        <f>"20190305135601849"</f>
        <v>20190305135601849</v>
      </c>
      <c r="B1108" t="str">
        <f>"1551765361842906"</f>
        <v>1551765361842906</v>
      </c>
      <c r="C1108" t="s">
        <v>40</v>
      </c>
      <c r="D1108">
        <v>4.3621319999999999</v>
      </c>
      <c r="E1108">
        <v>0.45443830000000002</v>
      </c>
      <c r="F1108" t="s">
        <v>41</v>
      </c>
      <c r="G1108">
        <v>-192.3186</v>
      </c>
      <c r="H1108">
        <v>0.91179779999999999</v>
      </c>
      <c r="I1108">
        <v>294.34890000000001</v>
      </c>
      <c r="J1108">
        <v>-192.16040000000001</v>
      </c>
      <c r="K1108">
        <v>1.1042110000000001</v>
      </c>
      <c r="L1108">
        <v>294.63279999999997</v>
      </c>
      <c r="M1108">
        <v>-0.17923529999999999</v>
      </c>
      <c r="N1108">
        <v>-1.4153600000000001E-2</v>
      </c>
      <c r="O1108">
        <v>-0.98370449999999998</v>
      </c>
      <c r="P1108">
        <v>-0.45453949999999999</v>
      </c>
      <c r="Q1108">
        <v>-0.11998730000000001</v>
      </c>
      <c r="R1108">
        <v>-0.88260819999999995</v>
      </c>
      <c r="S1108">
        <v>-0.98139949999999998</v>
      </c>
      <c r="T1108">
        <v>-0.7573898</v>
      </c>
      <c r="U1108">
        <v>-2.7793269999999999</v>
      </c>
      <c r="V1108">
        <v>0.28758030000000001</v>
      </c>
      <c r="W1108">
        <v>-0.1102206</v>
      </c>
      <c r="X1108">
        <v>0.95139320000000005</v>
      </c>
      <c r="Y1108">
        <v>0.14879879999999901</v>
      </c>
      <c r="Z1108">
        <v>0.23502990000000001</v>
      </c>
      <c r="AA1108">
        <v>0.96053109999999997</v>
      </c>
      <c r="AB1108">
        <v>21</v>
      </c>
      <c r="AC1108">
        <v>-0.15819999999999301</v>
      </c>
      <c r="AD1108">
        <v>-0.19241319999999901</v>
      </c>
      <c r="AE1108">
        <v>-0.28389999999996002</v>
      </c>
      <c r="AF1108">
        <v>7.7561695346025805E-2</v>
      </c>
      <c r="AG1108">
        <v>-0.19241319999999901</v>
      </c>
      <c r="AH1108">
        <v>0.227810341788411</v>
      </c>
      <c r="AI1108">
        <v>128.64407194502601</v>
      </c>
      <c r="AJ1108">
        <v>71.198032618400404</v>
      </c>
      <c r="AK1108">
        <v>0.30811719839201201</v>
      </c>
      <c r="AL1108">
        <v>96.328032247024396</v>
      </c>
      <c r="AM1108">
        <v>73.181360293358196</v>
      </c>
      <c r="AN1108">
        <v>1.00000001530934</v>
      </c>
    </row>
    <row r="1109" spans="1:40" x14ac:dyDescent="0.25">
      <c r="A1109" t="str">
        <f>"20190305135601873"</f>
        <v>20190305135601873</v>
      </c>
      <c r="B1109" t="str">
        <f>"1551765361863404"</f>
        <v>1551765361863404</v>
      </c>
      <c r="C1109" t="s">
        <v>40</v>
      </c>
      <c r="D1109">
        <v>4.3800910000000002</v>
      </c>
      <c r="E1109">
        <v>0.45348830000000001</v>
      </c>
      <c r="F1109" t="s">
        <v>41</v>
      </c>
      <c r="G1109">
        <v>-192.41030000000001</v>
      </c>
      <c r="H1109">
        <v>0.92744660000000001</v>
      </c>
      <c r="I1109">
        <v>293.96940000000001</v>
      </c>
      <c r="J1109">
        <v>-192.21420000000001</v>
      </c>
      <c r="K1109">
        <v>1.1040410000000001</v>
      </c>
      <c r="L1109">
        <v>294.40249999999997</v>
      </c>
      <c r="M1109">
        <v>-0.1889797</v>
      </c>
      <c r="N1109">
        <v>-1.4194439999999999E-2</v>
      </c>
      <c r="O1109">
        <v>-0.98187840000000004</v>
      </c>
      <c r="P1109">
        <v>-0.4665107</v>
      </c>
      <c r="Q1109">
        <v>-0.119893</v>
      </c>
      <c r="R1109">
        <v>-0.87635239999999903</v>
      </c>
      <c r="S1109">
        <v>-1.0405120000000001</v>
      </c>
      <c r="T1109">
        <v>-0.73611530000000003</v>
      </c>
      <c r="U1109">
        <v>-2.763153</v>
      </c>
      <c r="V1109">
        <v>0.29104669999999999</v>
      </c>
      <c r="W1109">
        <v>-0.1102564</v>
      </c>
      <c r="X1109">
        <v>0.95033429999999997</v>
      </c>
      <c r="Y1109">
        <v>0.15945809999999999</v>
      </c>
      <c r="Z1109">
        <v>0.22805800000000001</v>
      </c>
      <c r="AA1109">
        <v>0.9605013</v>
      </c>
      <c r="AB1109">
        <v>21</v>
      </c>
      <c r="AC1109">
        <v>-0.196100000000001</v>
      </c>
      <c r="AD1109">
        <v>-0.17659440000000001</v>
      </c>
      <c r="AE1109">
        <v>-0.43309999999996701</v>
      </c>
      <c r="AF1109">
        <v>9.7287584416354406E-2</v>
      </c>
      <c r="AG1109">
        <v>-0.17659440000000001</v>
      </c>
      <c r="AH1109">
        <v>0.40629967137663697</v>
      </c>
      <c r="AI1109">
        <v>112.913394871672</v>
      </c>
      <c r="AJ1109">
        <v>76.534183127624203</v>
      </c>
      <c r="AK1109">
        <v>0.45357455743647301</v>
      </c>
      <c r="AL1109">
        <v>96.330096311494103</v>
      </c>
      <c r="AM1109">
        <v>72.972416709877095</v>
      </c>
      <c r="AN1109">
        <v>0.99999996853916895</v>
      </c>
    </row>
    <row r="1110" spans="1:40" x14ac:dyDescent="0.25">
      <c r="A1110" t="str">
        <f>"20190305135601915"</f>
        <v>20190305135601915</v>
      </c>
      <c r="B1110" t="str">
        <f>"1551765361903419"</f>
        <v>1551765361903419</v>
      </c>
      <c r="C1110" t="s">
        <v>40</v>
      </c>
      <c r="D1110">
        <v>4.3322419999999999</v>
      </c>
      <c r="E1110">
        <v>0.45223190000000002</v>
      </c>
      <c r="F1110" t="s">
        <v>41</v>
      </c>
      <c r="G1110">
        <v>-192.52029999999999</v>
      </c>
      <c r="H1110">
        <v>0.89519660000000001</v>
      </c>
      <c r="I1110">
        <v>293.61619999999999</v>
      </c>
      <c r="J1110">
        <v>-192.3133</v>
      </c>
      <c r="K1110">
        <v>1.103799</v>
      </c>
      <c r="L1110">
        <v>294.00659999999999</v>
      </c>
      <c r="M1110">
        <v>-0.2064685</v>
      </c>
      <c r="N1110">
        <v>-1.426034E-2</v>
      </c>
      <c r="O1110">
        <v>-0.97834940000000004</v>
      </c>
      <c r="P1110">
        <v>-0.4905718</v>
      </c>
      <c r="Q1110">
        <v>-0.1199187</v>
      </c>
      <c r="R1110">
        <v>-0.86311009999999999</v>
      </c>
      <c r="S1110">
        <v>-1.071564</v>
      </c>
      <c r="T1110">
        <v>-0.73116680000000001</v>
      </c>
      <c r="U1110">
        <v>-2.752869</v>
      </c>
      <c r="V1110">
        <v>0.30028690000000002</v>
      </c>
      <c r="W1110">
        <v>-0.11055139999999999</v>
      </c>
      <c r="X1110">
        <v>0.94742079999999995</v>
      </c>
      <c r="Y1110">
        <v>0.1526719</v>
      </c>
      <c r="Z1110">
        <v>0.22574569999999999</v>
      </c>
      <c r="AA1110">
        <v>0.96214869999999997</v>
      </c>
      <c r="AB1110">
        <v>21</v>
      </c>
      <c r="AC1110">
        <v>-0.206999999999993</v>
      </c>
      <c r="AD1110">
        <v>-0.20860239999999999</v>
      </c>
      <c r="AE1110">
        <v>-0.39039999999999903</v>
      </c>
      <c r="AF1110">
        <v>9.9705520399924599E-2</v>
      </c>
      <c r="AG1110">
        <v>-0.20860239999999999</v>
      </c>
      <c r="AH1110">
        <v>0.34732628073119498</v>
      </c>
      <c r="AI1110">
        <v>119.99697373466201</v>
      </c>
      <c r="AJ1110">
        <v>73.983034231265506</v>
      </c>
      <c r="AK1110">
        <v>0.41724297162510099</v>
      </c>
      <c r="AL1110">
        <v>96.347102307778002</v>
      </c>
      <c r="AM1110">
        <v>72.413884972565796</v>
      </c>
      <c r="AN1110">
        <v>1.0000000033131</v>
      </c>
    </row>
    <row r="1111" spans="1:40" x14ac:dyDescent="0.25">
      <c r="A1111" t="str">
        <f>"20190305135601934"</f>
        <v>20190305135601934</v>
      </c>
      <c r="B1111" t="str">
        <f>"1551765361922939"</f>
        <v>1551765361922939</v>
      </c>
      <c r="C1111" t="s">
        <v>40</v>
      </c>
      <c r="D1111">
        <v>4.3859640000000004</v>
      </c>
      <c r="E1111">
        <v>0.45156600000000002</v>
      </c>
      <c r="F1111" t="s">
        <v>41</v>
      </c>
      <c r="G1111">
        <v>-192.6301</v>
      </c>
      <c r="H1111">
        <v>0.90112190000000003</v>
      </c>
      <c r="I1111">
        <v>293.24790000000002</v>
      </c>
      <c r="J1111">
        <v>-192.36199999999999</v>
      </c>
      <c r="K1111">
        <v>1.103726</v>
      </c>
      <c r="L1111">
        <v>293.82330000000002</v>
      </c>
      <c r="M1111">
        <v>-0.21484059999999999</v>
      </c>
      <c r="N1111">
        <v>-1.4290499999999999E-2</v>
      </c>
      <c r="O1111">
        <v>-0.97654470000000004</v>
      </c>
      <c r="P1111">
        <v>-0.50201470000000004</v>
      </c>
      <c r="Q1111">
        <v>-0.1205109</v>
      </c>
      <c r="R1111">
        <v>-0.85642220000000002</v>
      </c>
      <c r="S1111">
        <v>-1.1387480000000001</v>
      </c>
      <c r="T1111">
        <v>-0.72831590000000002</v>
      </c>
      <c r="U1111">
        <v>-2.7273860000000001</v>
      </c>
      <c r="V1111">
        <v>0.30475679999999999</v>
      </c>
      <c r="W1111">
        <v>-0.11125939999999999</v>
      </c>
      <c r="X1111">
        <v>0.94590940000000001</v>
      </c>
      <c r="Y1111">
        <v>0.16763499999999901</v>
      </c>
      <c r="Z1111">
        <v>0.2249118</v>
      </c>
      <c r="AA1111">
        <v>0.9598506</v>
      </c>
      <c r="AB1111">
        <v>21</v>
      </c>
      <c r="AC1111">
        <v>-0.268100000000004</v>
      </c>
      <c r="AD1111">
        <v>-0.20260409999999901</v>
      </c>
      <c r="AE1111">
        <v>-0.57540000000000102</v>
      </c>
      <c r="AF1111">
        <v>0.12542939073161999</v>
      </c>
      <c r="AG1111">
        <v>-0.20260409999999901</v>
      </c>
      <c r="AH1111">
        <v>0.56228749443830595</v>
      </c>
      <c r="AI1111">
        <v>109.37563339677401</v>
      </c>
      <c r="AJ1111">
        <v>77.424920189121195</v>
      </c>
      <c r="AK1111">
        <v>0.61069483360989996</v>
      </c>
      <c r="AL1111">
        <v>96.387919691156</v>
      </c>
      <c r="AM1111">
        <v>72.141894000298194</v>
      </c>
      <c r="AN1111">
        <v>0.99999997712147903</v>
      </c>
    </row>
    <row r="1112" spans="1:40" x14ac:dyDescent="0.25">
      <c r="A1112" t="str">
        <f>"20190305135601958"</f>
        <v>20190305135601958</v>
      </c>
      <c r="B1112" t="str">
        <f>"1551765361953196"</f>
        <v>1551765361953196</v>
      </c>
      <c r="C1112" t="s">
        <v>40</v>
      </c>
      <c r="D1112">
        <v>4.3502890000000001</v>
      </c>
      <c r="E1112">
        <v>0.45062340000000001</v>
      </c>
      <c r="F1112" t="s">
        <v>41</v>
      </c>
      <c r="G1112">
        <v>-192.6885</v>
      </c>
      <c r="H1112">
        <v>0.90007479999999995</v>
      </c>
      <c r="I1112">
        <v>293.06689999999998</v>
      </c>
      <c r="J1112">
        <v>-192.42080000000001</v>
      </c>
      <c r="K1112">
        <v>1.103658</v>
      </c>
      <c r="L1112">
        <v>293.6112</v>
      </c>
      <c r="M1112">
        <v>-0.22472039999999999</v>
      </c>
      <c r="N1112">
        <v>-1.432367E-2</v>
      </c>
      <c r="O1112">
        <v>-0.97431789999999996</v>
      </c>
      <c r="P1112">
        <v>-0.51401169999999996</v>
      </c>
      <c r="Q1112">
        <v>-0.12060750000000001</v>
      </c>
      <c r="R1112">
        <v>-0.84926190000000001</v>
      </c>
      <c r="S1112">
        <v>-1.170914</v>
      </c>
      <c r="T1112">
        <v>-0.73050000000000004</v>
      </c>
      <c r="U1112">
        <v>-2.7138059999999999</v>
      </c>
      <c r="V1112">
        <v>0.30845409999999901</v>
      </c>
      <c r="W1112">
        <v>-0.1114511</v>
      </c>
      <c r="X1112">
        <v>0.94468770000000002</v>
      </c>
      <c r="Y1112">
        <v>0.1689437</v>
      </c>
      <c r="Z1112">
        <v>0.22531699999999999</v>
      </c>
      <c r="AA1112">
        <v>0.95952610000000005</v>
      </c>
      <c r="AB1112">
        <v>21</v>
      </c>
      <c r="AC1112">
        <v>-0.26769999999999</v>
      </c>
      <c r="AD1112">
        <v>-0.20358319999999999</v>
      </c>
      <c r="AE1112">
        <v>-0.54430000000002099</v>
      </c>
      <c r="AF1112">
        <v>0.124499219729074</v>
      </c>
      <c r="AG1112">
        <v>-0.20358319999999999</v>
      </c>
      <c r="AH1112">
        <v>0.53075141825088901</v>
      </c>
      <c r="AI1112">
        <v>110.477591433317</v>
      </c>
      <c r="AJ1112">
        <v>76.798710894373897</v>
      </c>
      <c r="AK1112">
        <v>0.58193061700749105</v>
      </c>
      <c r="AL1112">
        <v>96.398971465796194</v>
      </c>
      <c r="AM1112">
        <v>71.917396074172203</v>
      </c>
      <c r="AN1112">
        <v>1.0000000650146501</v>
      </c>
    </row>
    <row r="1113" spans="1:40" x14ac:dyDescent="0.25">
      <c r="A1113" t="str">
        <f>"20190305135602004"</f>
        <v>20190305135602004</v>
      </c>
      <c r="B1113" t="str">
        <f>"1551765361993211"</f>
        <v>1551765361993211</v>
      </c>
      <c r="C1113" t="s">
        <v>40</v>
      </c>
      <c r="D1113">
        <v>4.4922069999999996</v>
      </c>
      <c r="E1113">
        <v>0.44935589999999997</v>
      </c>
      <c r="F1113" t="s">
        <v>41</v>
      </c>
      <c r="G1113">
        <v>-192.74539999999999</v>
      </c>
      <c r="H1113">
        <v>0.90646159999999998</v>
      </c>
      <c r="I1113">
        <v>292.88279999999997</v>
      </c>
      <c r="J1113">
        <v>-192.54480000000001</v>
      </c>
      <c r="K1113">
        <v>1.103497</v>
      </c>
      <c r="L1113">
        <v>293.19130000000001</v>
      </c>
      <c r="M1113">
        <v>-0.24495210000000001</v>
      </c>
      <c r="N1113">
        <v>-1.438979E-2</v>
      </c>
      <c r="O1113">
        <v>-0.96942850000000003</v>
      </c>
      <c r="P1113">
        <v>-0.54033880000000001</v>
      </c>
      <c r="Q1113">
        <v>-0.1151143</v>
      </c>
      <c r="R1113">
        <v>-0.83353630000000001</v>
      </c>
      <c r="S1113">
        <v>-1.2032620000000001</v>
      </c>
      <c r="T1113">
        <v>-0.73088839999999999</v>
      </c>
      <c r="U1113">
        <v>-2.7004389999999998</v>
      </c>
      <c r="V1113">
        <v>0.31816460000000002</v>
      </c>
      <c r="W1113">
        <v>-0.10620979999999999</v>
      </c>
      <c r="X1113">
        <v>0.94206730000000005</v>
      </c>
      <c r="Y1113">
        <v>0.1598656</v>
      </c>
      <c r="Z1113">
        <v>0.22439419999999999</v>
      </c>
      <c r="AA1113">
        <v>0.96129609999999999</v>
      </c>
      <c r="AB1113">
        <v>21</v>
      </c>
      <c r="AC1113">
        <v>-0.20059999999997999</v>
      </c>
      <c r="AD1113">
        <v>-0.1970354</v>
      </c>
      <c r="AE1113">
        <v>-0.30850000000003702</v>
      </c>
      <c r="AF1113">
        <v>9.2416125492885096E-2</v>
      </c>
      <c r="AG1113">
        <v>-0.1970354</v>
      </c>
      <c r="AH1113">
        <v>0.27064723381230099</v>
      </c>
      <c r="AI1113">
        <v>124.56518785946</v>
      </c>
      <c r="AJ1113">
        <v>71.146841828239204</v>
      </c>
      <c r="AK1113">
        <v>0.34729470810037799</v>
      </c>
      <c r="AL1113">
        <v>96.096872686043696</v>
      </c>
      <c r="AM1113">
        <v>71.338620098670106</v>
      </c>
      <c r="AN1113">
        <v>1.0000000160192399</v>
      </c>
    </row>
    <row r="1114" spans="1:40" x14ac:dyDescent="0.25">
      <c r="A1114" t="str">
        <f>"20190305135602027"</f>
        <v>20190305135602027</v>
      </c>
      <c r="B1114" t="str">
        <f>"1551765362023468"</f>
        <v>1551765362023468</v>
      </c>
      <c r="C1114" t="s">
        <v>40</v>
      </c>
      <c r="D1114">
        <v>4.8152660000000003</v>
      </c>
      <c r="E1114">
        <v>0.50934489999999999</v>
      </c>
      <c r="F1114" t="s">
        <v>41</v>
      </c>
      <c r="G1114">
        <v>-192.8682</v>
      </c>
      <c r="H1114">
        <v>0.9233074</v>
      </c>
      <c r="I1114">
        <v>292.51569999999998</v>
      </c>
      <c r="J1114">
        <v>-192.6114</v>
      </c>
      <c r="K1114">
        <v>1.1034060000000001</v>
      </c>
      <c r="L1114">
        <v>292.97899999999998</v>
      </c>
      <c r="M1114">
        <v>-0.25552540000000001</v>
      </c>
      <c r="N1114">
        <v>-1.4427850000000001E-2</v>
      </c>
      <c r="O1114">
        <v>-0.96669499999999997</v>
      </c>
      <c r="P1114">
        <v>-0.55409989999999998</v>
      </c>
      <c r="Q1114">
        <v>-0.11213389999999999</v>
      </c>
      <c r="R1114">
        <v>-0.82486329999999997</v>
      </c>
      <c r="S1114">
        <v>-1.2788999999999999</v>
      </c>
      <c r="T1114">
        <v>-0.71243690000000004</v>
      </c>
      <c r="U1114">
        <v>-2.6716920000000002</v>
      </c>
      <c r="V1114">
        <v>0.32340859999999999</v>
      </c>
      <c r="W1114">
        <v>-0.10337929999999999</v>
      </c>
      <c r="X1114">
        <v>0.94059530000000002</v>
      </c>
      <c r="Y1114">
        <v>0.17587259999999999</v>
      </c>
      <c r="Z1114">
        <v>0.21839649999999999</v>
      </c>
      <c r="AA1114">
        <v>0.95988110000000004</v>
      </c>
      <c r="AB1114">
        <v>21</v>
      </c>
      <c r="AC1114">
        <v>-0.25679999999999797</v>
      </c>
      <c r="AD1114">
        <v>-0.180098599999999</v>
      </c>
      <c r="AE1114">
        <v>-0.46330000000006</v>
      </c>
      <c r="AF1114">
        <v>0.116418318737719</v>
      </c>
      <c r="AG1114">
        <v>-0.180098599999999</v>
      </c>
      <c r="AH1114">
        <v>0.46032964340811799</v>
      </c>
      <c r="AI1114">
        <v>110.771562061425</v>
      </c>
      <c r="AJ1114">
        <v>75.807368421117701</v>
      </c>
      <c r="AK1114">
        <v>0.50783078998808495</v>
      </c>
      <c r="AL1114">
        <v>95.933799358905901</v>
      </c>
      <c r="AM1114">
        <v>71.025290481150094</v>
      </c>
      <c r="AN1114">
        <v>0.99999996030226901</v>
      </c>
    </row>
    <row r="1115" spans="1:40" x14ac:dyDescent="0.25">
      <c r="A1115" t="str">
        <f>"20190305135602045"</f>
        <v>20190305135602045</v>
      </c>
      <c r="B1115" t="str">
        <f>"1551765362042987"</f>
        <v>1551765362042987</v>
      </c>
      <c r="C1115" t="s">
        <v>40</v>
      </c>
      <c r="D1115">
        <v>4.8868869999999998</v>
      </c>
      <c r="E1115">
        <v>0.58496099999999995</v>
      </c>
      <c r="F1115" t="s">
        <v>54</v>
      </c>
      <c r="G1115">
        <v>-195.17699999999999</v>
      </c>
      <c r="H1115" s="1">
        <v>2.6251979999999998E-6</v>
      </c>
      <c r="I1115">
        <v>289.43290000000002</v>
      </c>
      <c r="J1115">
        <v>-192.66720000000001</v>
      </c>
      <c r="K1115">
        <v>1.1033200000000001</v>
      </c>
      <c r="L1115">
        <v>292.80829999999997</v>
      </c>
      <c r="M1115">
        <v>-0.26422889999999999</v>
      </c>
      <c r="N1115">
        <v>-1.4460260000000001E-2</v>
      </c>
      <c r="O1115">
        <v>-0.96435170000000003</v>
      </c>
      <c r="P1115">
        <v>-0.56553419999999999</v>
      </c>
      <c r="Q1115">
        <v>-0.1094141</v>
      </c>
      <c r="R1115">
        <v>-0.81743509999999997</v>
      </c>
      <c r="S1115">
        <v>-1.721786</v>
      </c>
      <c r="T1115">
        <v>-0.74048959999999997</v>
      </c>
      <c r="U1115">
        <v>-2.3797609999999998</v>
      </c>
      <c r="V1115">
        <v>0.32793499999999998</v>
      </c>
      <c r="W1115">
        <v>-0.1007999</v>
      </c>
      <c r="X1115">
        <v>0.93930720000000001</v>
      </c>
      <c r="Y1115">
        <v>0.33393479999999998</v>
      </c>
      <c r="Z1115">
        <v>0.2344193</v>
      </c>
      <c r="AA1115">
        <v>0.9129815</v>
      </c>
      <c r="AB1115">
        <v>21</v>
      </c>
      <c r="AC1115">
        <v>-2.50980000000001</v>
      </c>
      <c r="AD1115">
        <v>-1.103317374802</v>
      </c>
      <c r="AE1115">
        <v>-3.3753999999999502</v>
      </c>
      <c r="AF1115">
        <v>1.43020735245843</v>
      </c>
      <c r="AG1115">
        <v>-1.103317374802</v>
      </c>
      <c r="AH1115">
        <v>3.6663819975028602</v>
      </c>
      <c r="AI1115">
        <v>105.660988864185</v>
      </c>
      <c r="AJ1115">
        <v>68.689898022645394</v>
      </c>
      <c r="AK1115">
        <v>4.08719454542834</v>
      </c>
      <c r="AL1115">
        <v>95.785234124732</v>
      </c>
      <c r="AM1115">
        <v>70.754662641661994</v>
      </c>
      <c r="AN1115">
        <v>1.0000000000184199</v>
      </c>
    </row>
    <row r="1116" spans="1:40" x14ac:dyDescent="0.25">
      <c r="A1116" t="str">
        <f>"20190305135602073"</f>
        <v>20190305135602073</v>
      </c>
      <c r="B1116" t="str">
        <f>"1551765362062507"</f>
        <v>1551765362062507</v>
      </c>
      <c r="C1116" t="s">
        <v>40</v>
      </c>
      <c r="D1116">
        <v>4.6437809999999997</v>
      </c>
      <c r="E1116">
        <v>0.59891660000000002</v>
      </c>
      <c r="F1116" t="s">
        <v>54</v>
      </c>
      <c r="G1116">
        <v>-203.48769999999999</v>
      </c>
      <c r="H1116" s="1">
        <v>3.9191630000000001E-6</v>
      </c>
      <c r="I1116">
        <v>282.83760000000001</v>
      </c>
      <c r="J1116">
        <v>-192.7473</v>
      </c>
      <c r="K1116">
        <v>1.1031569999999999</v>
      </c>
      <c r="L1116">
        <v>292.57299999999998</v>
      </c>
      <c r="M1116">
        <v>-0.27656619999999998</v>
      </c>
      <c r="N1116">
        <v>-1.450865E-2</v>
      </c>
      <c r="O1116">
        <v>-0.96088549999999995</v>
      </c>
      <c r="P1116">
        <v>-0.57946469999999894</v>
      </c>
      <c r="Q1116">
        <v>-0.10732609999999999</v>
      </c>
      <c r="R1116">
        <v>-0.80789960000000005</v>
      </c>
      <c r="S1116">
        <v>-2.255798</v>
      </c>
      <c r="T1116">
        <v>-0.2300123</v>
      </c>
      <c r="U1116">
        <v>-2.0786440000000002</v>
      </c>
      <c r="V1116">
        <v>0.33190249999999999</v>
      </c>
      <c r="W1116">
        <v>-9.8886000000000002E-2</v>
      </c>
      <c r="X1116">
        <v>0.93811639999999996</v>
      </c>
      <c r="Y1116">
        <v>0.51742650000000001</v>
      </c>
      <c r="Z1116">
        <v>6.4850649999999996E-2</v>
      </c>
      <c r="AA1116">
        <v>0.85326679999999999</v>
      </c>
      <c r="AB1116">
        <v>21</v>
      </c>
      <c r="AC1116">
        <v>-10.7403999999999</v>
      </c>
      <c r="AD1116">
        <v>-1.103153080837</v>
      </c>
      <c r="AE1116">
        <v>-9.7353999999999701</v>
      </c>
      <c r="AF1116">
        <v>7.5846887416614104</v>
      </c>
      <c r="AG1116">
        <v>-1.103153080837</v>
      </c>
      <c r="AH1116">
        <v>12.255357584971399</v>
      </c>
      <c r="AI1116">
        <v>94.376953560542304</v>
      </c>
      <c r="AJ1116">
        <v>58.2471490460347</v>
      </c>
      <c r="AK1116">
        <v>14.454696107603301</v>
      </c>
      <c r="AL1116">
        <v>95.675024765634006</v>
      </c>
      <c r="AM1116">
        <v>70.516387935980006</v>
      </c>
      <c r="AN1116">
        <v>1.0000000452255999</v>
      </c>
    </row>
    <row r="1117" spans="1:40" x14ac:dyDescent="0.25">
      <c r="A1117" t="str">
        <f>"20190305135602094"</f>
        <v>20190305135602094</v>
      </c>
      <c r="B1117" t="str">
        <f>"1551765362083003"</f>
        <v>1551765362083003</v>
      </c>
      <c r="C1117" t="s">
        <v>40</v>
      </c>
      <c r="D1117">
        <v>4.70296</v>
      </c>
      <c r="E1117">
        <v>0.66001750000000003</v>
      </c>
      <c r="F1117" t="s">
        <v>54</v>
      </c>
      <c r="G1117">
        <v>-204.71629999999999</v>
      </c>
      <c r="H1117" s="1">
        <v>4.480986E-6</v>
      </c>
      <c r="I1117">
        <v>282.64280000000002</v>
      </c>
      <c r="J1117">
        <v>-192.81970000000001</v>
      </c>
      <c r="K1117">
        <v>1.102997</v>
      </c>
      <c r="L1117">
        <v>292.36989999999997</v>
      </c>
      <c r="M1117">
        <v>-0.28756809999999899</v>
      </c>
      <c r="N1117">
        <v>-1.4557250000000001E-2</v>
      </c>
      <c r="O1117">
        <v>-0.95764959999999999</v>
      </c>
      <c r="P1117">
        <v>-0.5915842</v>
      </c>
      <c r="Q1117">
        <v>-0.1057541</v>
      </c>
      <c r="R1117">
        <v>-0.79927740000000003</v>
      </c>
      <c r="S1117">
        <v>-2.3815919999999999</v>
      </c>
      <c r="T1117">
        <v>-0.21950600000000001</v>
      </c>
      <c r="U1117">
        <v>-1.975922</v>
      </c>
      <c r="V1117">
        <v>0.33521000000000001</v>
      </c>
      <c r="W1117">
        <v>-9.7471509999999997E-2</v>
      </c>
      <c r="X1117">
        <v>0.93708780000000003</v>
      </c>
      <c r="Y1117">
        <v>0.55171819999999905</v>
      </c>
      <c r="Z1117">
        <v>6.1251010000000002E-2</v>
      </c>
      <c r="AA1117">
        <v>0.83177849999999998</v>
      </c>
      <c r="AB1117">
        <v>21</v>
      </c>
      <c r="AC1117">
        <v>-11.8965999999999</v>
      </c>
      <c r="AD1117">
        <v>-1.102992519014</v>
      </c>
      <c r="AE1117">
        <v>-9.7270999999999397</v>
      </c>
      <c r="AF1117">
        <v>8.5524201152124295</v>
      </c>
      <c r="AG1117">
        <v>-1.102992519014</v>
      </c>
      <c r="AH1117">
        <v>12.672299160436401</v>
      </c>
      <c r="AI1117">
        <v>94.126531533958499</v>
      </c>
      <c r="AJ1117">
        <v>55.984942314843998</v>
      </c>
      <c r="AK1117">
        <v>15.3280020986327</v>
      </c>
      <c r="AL1117">
        <v>95.5935873106461</v>
      </c>
      <c r="AM1117">
        <v>70.317127784118995</v>
      </c>
      <c r="AN1117">
        <v>0.99999999213526003</v>
      </c>
    </row>
    <row r="1118" spans="1:40" x14ac:dyDescent="0.25">
      <c r="A1118" t="str">
        <f>"20190305135602137"</f>
        <v>20190305135602137</v>
      </c>
      <c r="B1118" t="str">
        <f>"1551765362132780"</f>
        <v>1551765362132780</v>
      </c>
      <c r="C1118" t="s">
        <v>40</v>
      </c>
      <c r="D1118">
        <v>4.6962260000000002</v>
      </c>
      <c r="E1118">
        <v>0.65208520000000003</v>
      </c>
      <c r="F1118" t="s">
        <v>55</v>
      </c>
      <c r="G1118">
        <v>-214.36879999999999</v>
      </c>
      <c r="H1118">
        <v>4.7755369999999998E-2</v>
      </c>
      <c r="I1118">
        <v>279.61630000000002</v>
      </c>
      <c r="J1118">
        <v>-192.9598</v>
      </c>
      <c r="K1118">
        <v>1.1027309999999999</v>
      </c>
      <c r="L1118">
        <v>291.9984</v>
      </c>
      <c r="M1118">
        <v>-0.3084228</v>
      </c>
      <c r="N1118">
        <v>-1.464938E-2</v>
      </c>
      <c r="O1118">
        <v>-0.9511366</v>
      </c>
      <c r="P1118">
        <v>-0.61175840000000004</v>
      </c>
      <c r="Q1118">
        <v>-0.1010766</v>
      </c>
      <c r="R1118">
        <v>-0.78456049999999999</v>
      </c>
      <c r="S1118">
        <v>-2.8042600000000002</v>
      </c>
      <c r="T1118">
        <v>-0.1373221</v>
      </c>
      <c r="U1118">
        <v>-1.6596679999999999</v>
      </c>
      <c r="V1118">
        <v>0.33843020000000001</v>
      </c>
      <c r="W1118">
        <v>-9.2994359999999998E-2</v>
      </c>
      <c r="X1118">
        <v>0.93638509999999997</v>
      </c>
      <c r="Y1118">
        <v>0.66084529999999997</v>
      </c>
      <c r="Z1118">
        <v>3.273964E-2</v>
      </c>
      <c r="AA1118">
        <v>0.74980769999999997</v>
      </c>
      <c r="AB1118">
        <v>21</v>
      </c>
      <c r="AC1118">
        <v>-21.408999999999899</v>
      </c>
      <c r="AD1118">
        <v>-1.0549756299999999</v>
      </c>
      <c r="AE1118">
        <v>-12.3820999999999</v>
      </c>
      <c r="AF1118">
        <v>16.515684734265999</v>
      </c>
      <c r="AG1118">
        <v>-1.0549756299999999</v>
      </c>
      <c r="AH1118">
        <v>18.3486771394975</v>
      </c>
      <c r="AI1118">
        <v>92.447004564976893</v>
      </c>
      <c r="AJ1118">
        <v>48.009552387117701</v>
      </c>
      <c r="AK1118">
        <v>24.709406479943699</v>
      </c>
      <c r="AL1118">
        <v>95.3358940152944</v>
      </c>
      <c r="AM1118">
        <v>70.129028089631703</v>
      </c>
      <c r="AN1118">
        <v>1.0000000033829199</v>
      </c>
    </row>
    <row r="1119" spans="1:40" x14ac:dyDescent="0.25">
      <c r="A1119" t="str">
        <f>"20190305135602159"</f>
        <v>20190305135602159</v>
      </c>
      <c r="B1119" t="str">
        <f>"1551765362153276"</f>
        <v>1551765362153276</v>
      </c>
      <c r="C1119" t="s">
        <v>40</v>
      </c>
      <c r="D1119">
        <v>4.7033909999999999</v>
      </c>
      <c r="E1119">
        <v>0.65052310000000002</v>
      </c>
      <c r="F1119" t="s">
        <v>55</v>
      </c>
      <c r="G1119">
        <v>-213.58519999999999</v>
      </c>
      <c r="H1119" s="1">
        <v>3.7108449999999998E-7</v>
      </c>
      <c r="I1119">
        <v>280.00630000000001</v>
      </c>
      <c r="J1119">
        <v>-193.03819999999999</v>
      </c>
      <c r="K1119">
        <v>1.1026100000000001</v>
      </c>
      <c r="L1119">
        <v>291.8021</v>
      </c>
      <c r="M1119">
        <v>-0.31984390000000001</v>
      </c>
      <c r="N1119">
        <v>-1.46961E-2</v>
      </c>
      <c r="O1119">
        <v>-0.94735619999999998</v>
      </c>
      <c r="P1119">
        <v>-0.62230969999999997</v>
      </c>
      <c r="Q1119">
        <v>-0.1003074</v>
      </c>
      <c r="R1119">
        <v>-0.77631779999999995</v>
      </c>
      <c r="S1119">
        <v>-2.795013</v>
      </c>
      <c r="T1119">
        <v>-0.1494344</v>
      </c>
      <c r="U1119">
        <v>-1.625092</v>
      </c>
      <c r="V1119">
        <v>0.33977469999999999</v>
      </c>
      <c r="W1119">
        <v>-9.2313800000000001E-2</v>
      </c>
      <c r="X1119">
        <v>0.93596539999999995</v>
      </c>
      <c r="Y1119">
        <v>0.65747449999999996</v>
      </c>
      <c r="Z1119">
        <v>3.7140090000000001E-2</v>
      </c>
      <c r="AA1119">
        <v>0.75256099999999904</v>
      </c>
      <c r="AB1119">
        <v>21</v>
      </c>
      <c r="AC1119">
        <v>-20.547000000000001</v>
      </c>
      <c r="AD1119">
        <v>-1.1026096289155001</v>
      </c>
      <c r="AE1119">
        <v>-11.7957999999999</v>
      </c>
      <c r="AF1119">
        <v>15.660290895534899</v>
      </c>
      <c r="AG1119">
        <v>-1.1026096289155001</v>
      </c>
      <c r="AH1119">
        <v>17.710216724697698</v>
      </c>
      <c r="AI1119">
        <v>92.670324975396298</v>
      </c>
      <c r="AJ1119">
        <v>48.515220563807802</v>
      </c>
      <c r="AK1119">
        <v>23.666690418440702</v>
      </c>
      <c r="AL1119">
        <v>95.296732584704301</v>
      </c>
      <c r="AM1119">
        <v>70.048061067952602</v>
      </c>
      <c r="AN1119">
        <v>0.99999995721384305</v>
      </c>
    </row>
    <row r="1120" spans="1:40" x14ac:dyDescent="0.25">
      <c r="A1120" t="str">
        <f>"20190305135602180"</f>
        <v>20190305135602180</v>
      </c>
      <c r="B1120" t="str">
        <f>"1551765362172795"</f>
        <v>1551765362172795</v>
      </c>
      <c r="C1120" t="s">
        <v>40</v>
      </c>
      <c r="D1120">
        <v>4.7695040000000004</v>
      </c>
      <c r="E1120">
        <v>0.6491519</v>
      </c>
      <c r="F1120" t="s">
        <v>55</v>
      </c>
      <c r="G1120">
        <v>-213.1095</v>
      </c>
      <c r="H1120" s="1">
        <v>1.17934399999999E-7</v>
      </c>
      <c r="I1120">
        <v>280.40109999999999</v>
      </c>
      <c r="J1120">
        <v>-193.1173</v>
      </c>
      <c r="K1120">
        <v>1.102495</v>
      </c>
      <c r="L1120">
        <v>291.6112</v>
      </c>
      <c r="M1120">
        <v>-0.33120229999999901</v>
      </c>
      <c r="N1120">
        <v>-1.474229E-2</v>
      </c>
      <c r="O1120">
        <v>-0.94344479999999997</v>
      </c>
      <c r="P1120">
        <v>-0.63181330000000002</v>
      </c>
      <c r="Q1120">
        <v>-0.10051119999999999</v>
      </c>
      <c r="R1120">
        <v>-0.7685765</v>
      </c>
      <c r="S1120">
        <v>-2.806915</v>
      </c>
      <c r="T1120">
        <v>-0.1541969</v>
      </c>
      <c r="U1120">
        <v>-1.5943909999999999</v>
      </c>
      <c r="V1120">
        <v>0.34002459999999901</v>
      </c>
      <c r="W1120">
        <v>-9.2574920000000005E-2</v>
      </c>
      <c r="X1120">
        <v>0.93584889999999998</v>
      </c>
      <c r="Y1120">
        <v>0.65594549999999996</v>
      </c>
      <c r="Z1120">
        <v>3.8862300000000002E-2</v>
      </c>
      <c r="AA1120">
        <v>0.75380719999999901</v>
      </c>
      <c r="AB1120">
        <v>21</v>
      </c>
      <c r="AC1120">
        <v>-19.9922</v>
      </c>
      <c r="AD1120">
        <v>-1.1024948820656</v>
      </c>
      <c r="AE1120">
        <v>-11.210100000000001</v>
      </c>
      <c r="AF1120">
        <v>15.1153977294874</v>
      </c>
      <c r="AG1120">
        <v>-1.1024948820656</v>
      </c>
      <c r="AH1120">
        <v>17.159737037570899</v>
      </c>
      <c r="AI1120">
        <v>92.760199847980402</v>
      </c>
      <c r="AJ1120">
        <v>48.624330102536099</v>
      </c>
      <c r="AK1120">
        <v>22.8942638816835</v>
      </c>
      <c r="AL1120">
        <v>95.311757751035103</v>
      </c>
      <c r="AM1120">
        <v>70.032256667024598</v>
      </c>
      <c r="AN1120">
        <v>1.0000000040246799</v>
      </c>
    </row>
    <row r="1121" spans="1:40" x14ac:dyDescent="0.25">
      <c r="A1121" t="str">
        <f>"20190305135602203"</f>
        <v>20190305135602203</v>
      </c>
      <c r="B1121" t="str">
        <f>"1551765362193291"</f>
        <v>1551765362193291</v>
      </c>
      <c r="C1121" t="s">
        <v>40</v>
      </c>
      <c r="D1121">
        <v>4.7334139999999998</v>
      </c>
      <c r="E1121">
        <v>0.64771259999999997</v>
      </c>
      <c r="F1121" t="s">
        <v>55</v>
      </c>
      <c r="G1121">
        <v>-212.21119999999999</v>
      </c>
      <c r="H1121" s="1">
        <v>-3.6007449999999999E-7</v>
      </c>
      <c r="I1121">
        <v>281.00080000000003</v>
      </c>
      <c r="J1121">
        <v>-193.20060000000001</v>
      </c>
      <c r="K1121">
        <v>1.102382</v>
      </c>
      <c r="L1121">
        <v>291.41770000000002</v>
      </c>
      <c r="M1121">
        <v>-0.34301949999999998</v>
      </c>
      <c r="N1121">
        <v>-1.4793260000000001E-2</v>
      </c>
      <c r="O1121">
        <v>-0.93921180000000004</v>
      </c>
      <c r="P1121">
        <v>-0.64063709999999996</v>
      </c>
      <c r="Q1121">
        <v>-0.1000153</v>
      </c>
      <c r="R1121">
        <v>-0.76130249999999999</v>
      </c>
      <c r="S1121">
        <v>-2.817612</v>
      </c>
      <c r="T1121">
        <v>-0.16269029999999901</v>
      </c>
      <c r="U1121">
        <v>-1.5657350000000001</v>
      </c>
      <c r="V1121">
        <v>0.33903100000000003</v>
      </c>
      <c r="W1121">
        <v>-9.2115859999999994E-2</v>
      </c>
      <c r="X1121">
        <v>0.93625460000000005</v>
      </c>
      <c r="Y1121">
        <v>0.65342089999999997</v>
      </c>
      <c r="Z1121">
        <v>4.1795279999999997E-2</v>
      </c>
      <c r="AA1121">
        <v>0.75584010000000001</v>
      </c>
      <c r="AB1121">
        <v>21</v>
      </c>
      <c r="AC1121">
        <v>-19.010599999999901</v>
      </c>
      <c r="AD1121">
        <v>-1.1023823600745</v>
      </c>
      <c r="AE1121">
        <v>-10.416899999999901</v>
      </c>
      <c r="AF1121">
        <v>14.246499936627</v>
      </c>
      <c r="AG1121">
        <v>-1.1023823600745</v>
      </c>
      <c r="AH1121">
        <v>16.264404681326599</v>
      </c>
      <c r="AI1121">
        <v>92.918711379360204</v>
      </c>
      <c r="AJ1121">
        <v>48.783869826533902</v>
      </c>
      <c r="AK1121">
        <v>21.649685146673001</v>
      </c>
      <c r="AL1121">
        <v>95.28534263041</v>
      </c>
      <c r="AM1121">
        <v>70.093963758930599</v>
      </c>
      <c r="AN1121">
        <v>1.0000000133228399</v>
      </c>
    </row>
    <row r="1122" spans="1:40" x14ac:dyDescent="0.25">
      <c r="A1122" t="str">
        <f>"20190305135602224"</f>
        <v>20190305135602224</v>
      </c>
      <c r="B1122" t="str">
        <f>"1551765362212811"</f>
        <v>1551765362212811</v>
      </c>
      <c r="C1122" t="s">
        <v>40</v>
      </c>
      <c r="D1122">
        <v>4.7658339999999999</v>
      </c>
      <c r="E1122">
        <v>0.63654659999999996</v>
      </c>
      <c r="F1122" t="s">
        <v>55</v>
      </c>
      <c r="G1122">
        <v>-211.976</v>
      </c>
      <c r="H1122" s="1">
        <v>-4.8528070000000001E-7</v>
      </c>
      <c r="I1122">
        <v>281.18849999999998</v>
      </c>
      <c r="J1122">
        <v>-193.28309999999999</v>
      </c>
      <c r="K1122">
        <v>1.1022559999999999</v>
      </c>
      <c r="L1122">
        <v>291.23309999999998</v>
      </c>
      <c r="M1122">
        <v>-0.35458410000000001</v>
      </c>
      <c r="N1122">
        <v>-1.484823E-2</v>
      </c>
      <c r="O1122">
        <v>-0.93490620000000002</v>
      </c>
      <c r="P1122">
        <v>-0.64929720000000002</v>
      </c>
      <c r="Q1122">
        <v>-9.8238640000000002E-2</v>
      </c>
      <c r="R1122">
        <v>-0.75416329999999998</v>
      </c>
      <c r="S1122">
        <v>-2.8267519999999999</v>
      </c>
      <c r="T1122">
        <v>-0.16597100000000001</v>
      </c>
      <c r="U1122">
        <v>-1.5400700000000001</v>
      </c>
      <c r="V1122">
        <v>0.33809660000000002</v>
      </c>
      <c r="W1122">
        <v>-9.0384220000000001E-2</v>
      </c>
      <c r="X1122">
        <v>0.93676110000000001</v>
      </c>
      <c r="Y1122">
        <v>0.65034179999999997</v>
      </c>
      <c r="Z1122">
        <v>4.2981470000000001E-2</v>
      </c>
      <c r="AA1122">
        <v>0.75842480000000001</v>
      </c>
      <c r="AB1122">
        <v>21</v>
      </c>
      <c r="AC1122">
        <v>-18.692900000000002</v>
      </c>
      <c r="AD1122">
        <v>-1.1022564852807</v>
      </c>
      <c r="AE1122">
        <v>-10.044600000000001</v>
      </c>
      <c r="AF1122">
        <v>13.878542452140399</v>
      </c>
      <c r="AG1122">
        <v>-1.1022564852807</v>
      </c>
      <c r="AH1122">
        <v>15.9776224464426</v>
      </c>
      <c r="AI1122">
        <v>92.981421169670995</v>
      </c>
      <c r="AJ1122">
        <v>49.021643389744</v>
      </c>
      <c r="AK1122">
        <v>21.192294094700401</v>
      </c>
      <c r="AL1122">
        <v>95.185711424629602</v>
      </c>
      <c r="AM1122">
        <v>70.154430509835095</v>
      </c>
      <c r="AN1122">
        <v>0.99999998831488901</v>
      </c>
    </row>
    <row r="1123" spans="1:40" x14ac:dyDescent="0.25">
      <c r="A1123" t="str">
        <f>"20190305135602248"</f>
        <v>20190305135602248</v>
      </c>
      <c r="B1123" t="str">
        <f>"1551765362243067"</f>
        <v>1551765362243067</v>
      </c>
      <c r="C1123" t="s">
        <v>40</v>
      </c>
      <c r="D1123">
        <v>4.7679419999999997</v>
      </c>
      <c r="E1123">
        <v>0.63755989999999996</v>
      </c>
      <c r="F1123" t="s">
        <v>54</v>
      </c>
      <c r="G1123">
        <v>-206.322</v>
      </c>
      <c r="H1123" s="1">
        <v>5.0816520000000004E-6</v>
      </c>
      <c r="I1123">
        <v>283.9171</v>
      </c>
      <c r="J1123">
        <v>-193.3776</v>
      </c>
      <c r="K1123">
        <v>1.1020920000000001</v>
      </c>
      <c r="L1123">
        <v>291.02949999999998</v>
      </c>
      <c r="M1123">
        <v>-0.36766579999999999</v>
      </c>
      <c r="N1123">
        <v>-1.4915640000000001E-2</v>
      </c>
      <c r="O1123">
        <v>-0.92983859999999996</v>
      </c>
      <c r="P1123">
        <v>-0.65976800000000002</v>
      </c>
      <c r="Q1123">
        <v>-9.5760490000000004E-2</v>
      </c>
      <c r="R1123">
        <v>-0.74534299999999998</v>
      </c>
      <c r="S1123">
        <v>-2.7758180000000001</v>
      </c>
      <c r="T1123">
        <v>-0.23465610000000001</v>
      </c>
      <c r="U1123">
        <v>-1.5574950000000001</v>
      </c>
      <c r="V1123">
        <v>0.3379258</v>
      </c>
      <c r="W1123">
        <v>-8.7987170000000003E-2</v>
      </c>
      <c r="X1123">
        <v>0.93705090000000002</v>
      </c>
      <c r="Y1123">
        <v>0.62880970000000003</v>
      </c>
      <c r="Z1123">
        <v>6.6072199999999998E-2</v>
      </c>
      <c r="AA1123">
        <v>0.77474699999999996</v>
      </c>
      <c r="AB1123">
        <v>20</v>
      </c>
      <c r="AC1123">
        <v>-12.9444</v>
      </c>
      <c r="AD1123">
        <v>-1.102086918348</v>
      </c>
      <c r="AE1123">
        <v>-7.1123999999999796</v>
      </c>
      <c r="AF1123">
        <v>9.3700912079462508</v>
      </c>
      <c r="AG1123">
        <v>-1.102086918348</v>
      </c>
      <c r="AH1123">
        <v>11.3108825152917</v>
      </c>
      <c r="AI1123">
        <v>94.291068567413802</v>
      </c>
      <c r="AJ1123">
        <v>50.361180378802402</v>
      </c>
      <c r="AK1123">
        <v>14.729197808962899</v>
      </c>
      <c r="AL1123">
        <v>95.047821047423696</v>
      </c>
      <c r="AM1123">
        <v>70.169330164073898</v>
      </c>
      <c r="AN1123">
        <v>0.99999998879052898</v>
      </c>
    </row>
    <row r="1124" spans="1:40" x14ac:dyDescent="0.25">
      <c r="A1124" t="str">
        <f>"20190305135602271"</f>
        <v>20190305135602271</v>
      </c>
      <c r="B1124" t="str">
        <f>"1551765362262587"</f>
        <v>1551765362262587</v>
      </c>
      <c r="C1124" t="s">
        <v>40</v>
      </c>
      <c r="D1124">
        <v>4.7753269999999999</v>
      </c>
      <c r="E1124">
        <v>0.63760439999999996</v>
      </c>
      <c r="F1124" t="s">
        <v>54</v>
      </c>
      <c r="G1124">
        <v>-206.85300000000001</v>
      </c>
      <c r="H1124" s="1">
        <v>5.3314369999999999E-6</v>
      </c>
      <c r="I1124">
        <v>283.75369999999998</v>
      </c>
      <c r="J1124">
        <v>-193.47120000000001</v>
      </c>
      <c r="K1124">
        <v>1.1019110000000001</v>
      </c>
      <c r="L1124">
        <v>290.83640000000003</v>
      </c>
      <c r="M1124">
        <v>-0.38044679999999997</v>
      </c>
      <c r="N1124">
        <v>-1.4984600000000001E-2</v>
      </c>
      <c r="O1124">
        <v>-0.92468139999999999</v>
      </c>
      <c r="P1124">
        <v>-0.67053189999999996</v>
      </c>
      <c r="Q1124">
        <v>-9.3918360000000006E-2</v>
      </c>
      <c r="R1124">
        <v>-0.73591200000000001</v>
      </c>
      <c r="S1124">
        <v>-2.8036799999999999</v>
      </c>
      <c r="T1124">
        <v>-0.22929820000000001</v>
      </c>
      <c r="U1124">
        <v>-1.5137940000000001</v>
      </c>
      <c r="V1124">
        <v>0.33853460000000002</v>
      </c>
      <c r="W1124">
        <v>-8.6245340000000004E-2</v>
      </c>
      <c r="X1124">
        <v>0.93699310000000002</v>
      </c>
      <c r="Y1124">
        <v>0.630799</v>
      </c>
      <c r="Z1124">
        <v>6.4312140000000004E-2</v>
      </c>
      <c r="AA1124">
        <v>0.77327659999999998</v>
      </c>
      <c r="AB1124">
        <v>20</v>
      </c>
      <c r="AC1124">
        <v>-13.381799999999901</v>
      </c>
      <c r="AD1124">
        <v>-1.101905668563</v>
      </c>
      <c r="AE1124">
        <v>-7.08270000000004</v>
      </c>
      <c r="AF1124">
        <v>9.6293940745476494</v>
      </c>
      <c r="AG1124">
        <v>-1.101905668563</v>
      </c>
      <c r="AH1124">
        <v>11.5802740186226</v>
      </c>
      <c r="AI1124">
        <v>94.184519680552995</v>
      </c>
      <c r="AJ1124">
        <v>50.255317946140202</v>
      </c>
      <c r="AK1124">
        <v>15.1010652833411</v>
      </c>
      <c r="AL1124">
        <v>94.947640590722202</v>
      </c>
      <c r="AM1124">
        <v>70.135266610644095</v>
      </c>
      <c r="AN1124">
        <v>1.00000000175824</v>
      </c>
    </row>
    <row r="1125" spans="1:40" x14ac:dyDescent="0.25">
      <c r="A1125" t="str">
        <f>"20190305135602295"</f>
        <v>20190305135602295</v>
      </c>
      <c r="B1125" t="str">
        <f>"1551765362282568"</f>
        <v>1551765362282568</v>
      </c>
      <c r="C1125" t="s">
        <v>40</v>
      </c>
      <c r="D1125">
        <v>4.7571879999999904</v>
      </c>
      <c r="E1125">
        <v>0.63738669999999997</v>
      </c>
      <c r="F1125" t="s">
        <v>54</v>
      </c>
      <c r="G1125">
        <v>-207.23650000000001</v>
      </c>
      <c r="H1125" s="1">
        <v>5.5098710000000002E-6</v>
      </c>
      <c r="I1125">
        <v>283.65800000000002</v>
      </c>
      <c r="J1125">
        <v>-193.57089999999999</v>
      </c>
      <c r="K1125">
        <v>1.101747</v>
      </c>
      <c r="L1125">
        <v>290.63920000000002</v>
      </c>
      <c r="M1125">
        <v>-0.39385599999999998</v>
      </c>
      <c r="N1125">
        <v>-1.505591E-2</v>
      </c>
      <c r="O1125">
        <v>-0.91904889999999995</v>
      </c>
      <c r="P1125">
        <v>-0.68204100000000001</v>
      </c>
      <c r="Q1125">
        <v>-9.3356099999999997E-2</v>
      </c>
      <c r="R1125">
        <v>-0.72533080000000005</v>
      </c>
      <c r="S1125">
        <v>-2.825348</v>
      </c>
      <c r="T1125">
        <v>-0.2261677</v>
      </c>
      <c r="U1125">
        <v>-1.4733889999999901</v>
      </c>
      <c r="V1125">
        <v>0.33960940000000001</v>
      </c>
      <c r="W1125">
        <v>-8.5790249999999998E-2</v>
      </c>
      <c r="X1125">
        <v>0.93664590000000003</v>
      </c>
      <c r="Y1125">
        <v>0.63071709999999903</v>
      </c>
      <c r="Z1125">
        <v>6.3309879999999999E-2</v>
      </c>
      <c r="AA1125">
        <v>0.77342599999999995</v>
      </c>
      <c r="AB1125">
        <v>20</v>
      </c>
      <c r="AC1125">
        <v>-13.6656</v>
      </c>
      <c r="AD1125">
        <v>-1.1017414901289999</v>
      </c>
      <c r="AE1125">
        <v>-6.9812000000000003</v>
      </c>
      <c r="AF1125">
        <v>9.7605668423791698</v>
      </c>
      <c r="AG1125">
        <v>-1.1017414901289999</v>
      </c>
      <c r="AH1125">
        <v>11.7391688544938</v>
      </c>
      <c r="AI1125">
        <v>94.127628845757698</v>
      </c>
      <c r="AJ1125">
        <v>50.258070062588303</v>
      </c>
      <c r="AK1125">
        <v>15.3065536548872</v>
      </c>
      <c r="AL1125">
        <v>94.921468727899907</v>
      </c>
      <c r="AM1125">
        <v>70.070350330774005</v>
      </c>
      <c r="AN1125">
        <v>1.0000000267751099</v>
      </c>
    </row>
    <row r="1126" spans="1:40" x14ac:dyDescent="0.25">
      <c r="A1126" t="str">
        <f>"20190305135602337"</f>
        <v>20190305135602337</v>
      </c>
      <c r="B1126" t="str">
        <f>"1551765362333320"</f>
        <v>1551765362333320</v>
      </c>
      <c r="C1126" t="s">
        <v>40</v>
      </c>
      <c r="D1126">
        <v>4.7306889999999999</v>
      </c>
      <c r="E1126">
        <v>0.63623419999999997</v>
      </c>
      <c r="F1126" t="s">
        <v>54</v>
      </c>
      <c r="G1126">
        <v>-207.08629999999999</v>
      </c>
      <c r="H1126" s="1">
        <v>5.4260579999999997E-6</v>
      </c>
      <c r="I1126">
        <v>283.85489999999999</v>
      </c>
      <c r="J1126">
        <v>-193.75460000000001</v>
      </c>
      <c r="K1126">
        <v>1.101518</v>
      </c>
      <c r="L1126">
        <v>290.29469999999998</v>
      </c>
      <c r="M1126">
        <v>-0.41797859999999998</v>
      </c>
      <c r="N1126">
        <v>-1.517169E-2</v>
      </c>
      <c r="O1126">
        <v>-0.90833030000000003</v>
      </c>
      <c r="P1126">
        <v>-0.70370969999999999</v>
      </c>
      <c r="Q1126">
        <v>-9.2921770000000001E-2</v>
      </c>
      <c r="R1126">
        <v>-0.70438500000000004</v>
      </c>
      <c r="S1126">
        <v>-2.8470309999999999</v>
      </c>
      <c r="T1126">
        <v>-0.23208210000000001</v>
      </c>
      <c r="U1126">
        <v>-1.429108</v>
      </c>
      <c r="V1126">
        <v>0.3432019</v>
      </c>
      <c r="W1126">
        <v>-8.5527610000000004E-2</v>
      </c>
      <c r="X1126">
        <v>0.93535950000000001</v>
      </c>
      <c r="Y1126">
        <v>0.6220734</v>
      </c>
      <c r="Z1126">
        <v>6.5105040000000003E-2</v>
      </c>
      <c r="AA1126">
        <v>0.78024749999999998</v>
      </c>
      <c r="AB1126">
        <v>20</v>
      </c>
      <c r="AC1126">
        <v>-13.3316999999999</v>
      </c>
      <c r="AD1126">
        <v>-1.101512573942</v>
      </c>
      <c r="AE1126">
        <v>-6.4397999999999902</v>
      </c>
      <c r="AF1126">
        <v>9.3671232471729091</v>
      </c>
      <c r="AG1126">
        <v>-1.101512573942</v>
      </c>
      <c r="AH1126">
        <v>11.360263696428399</v>
      </c>
      <c r="AI1126">
        <v>94.278343361859001</v>
      </c>
      <c r="AJ1126">
        <v>50.492660004631396</v>
      </c>
      <c r="AK1126">
        <v>14.765226687412101</v>
      </c>
      <c r="AL1126">
        <v>94.9063654033056</v>
      </c>
      <c r="AM1126">
        <v>69.850914086771795</v>
      </c>
      <c r="AN1126">
        <v>0.99999995523808505</v>
      </c>
    </row>
    <row r="1127" spans="1:40" x14ac:dyDescent="0.25">
      <c r="A1127" t="str">
        <f>"20190305135602360"</f>
        <v>20190305135602360</v>
      </c>
      <c r="B1127" t="str">
        <f>"1551765362352840"</f>
        <v>1551765362352840</v>
      </c>
      <c r="C1127" t="s">
        <v>40</v>
      </c>
      <c r="D1127">
        <v>4.728243</v>
      </c>
      <c r="E1127">
        <v>0.62947449999999905</v>
      </c>
      <c r="F1127" t="s">
        <v>54</v>
      </c>
      <c r="G1127">
        <v>-206.76509999999999</v>
      </c>
      <c r="H1127" s="1">
        <v>5.2522469999999997E-6</v>
      </c>
      <c r="I1127">
        <v>284.21339999999998</v>
      </c>
      <c r="J1127">
        <v>-193.86240000000001</v>
      </c>
      <c r="K1127">
        <v>1.1014389999999901</v>
      </c>
      <c r="L1127">
        <v>290.10340000000002</v>
      </c>
      <c r="M1127">
        <v>-0.43174069999999998</v>
      </c>
      <c r="N1127">
        <v>-1.522916E-2</v>
      </c>
      <c r="O1127">
        <v>-0.90186929999999998</v>
      </c>
      <c r="P1127">
        <v>-0.71595659999999905</v>
      </c>
      <c r="Q1127">
        <v>-9.2954739999999994E-2</v>
      </c>
      <c r="R1127">
        <v>-0.69192900000000002</v>
      </c>
      <c r="S1127">
        <v>-2.882355</v>
      </c>
      <c r="T1127">
        <v>-0.24403050000000001</v>
      </c>
      <c r="U1127">
        <v>-1.3472599999999999</v>
      </c>
      <c r="V1127">
        <v>0.34536850000000002</v>
      </c>
      <c r="W1127">
        <v>-8.5627910000000002E-2</v>
      </c>
      <c r="X1127">
        <v>0.93455259999999996</v>
      </c>
      <c r="Y1127">
        <v>0.63166929999999999</v>
      </c>
      <c r="Z1127">
        <v>6.9413500000000003E-2</v>
      </c>
      <c r="AA1127">
        <v>0.77212419999999904</v>
      </c>
      <c r="AB1127">
        <v>20</v>
      </c>
      <c r="AC1127">
        <v>-12.9026999999999</v>
      </c>
      <c r="AD1127">
        <v>-1.1014337477529901</v>
      </c>
      <c r="AE1127">
        <v>-5.8900000000000396</v>
      </c>
      <c r="AF1127">
        <v>9.04013404643295</v>
      </c>
      <c r="AG1127">
        <v>-1.1014337477529901</v>
      </c>
      <c r="AH1127">
        <v>10.8186507289599</v>
      </c>
      <c r="AI1127">
        <v>94.467117664655802</v>
      </c>
      <c r="AJ1127">
        <v>50.117652721623699</v>
      </c>
      <c r="AK1127">
        <v>14.141442057774301</v>
      </c>
      <c r="AL1127">
        <v>94.912132858543998</v>
      </c>
      <c r="AM1127">
        <v>69.717960623198493</v>
      </c>
      <c r="AN1127">
        <v>1.00000005096498</v>
      </c>
    </row>
    <row r="1128" spans="1:40" x14ac:dyDescent="0.25">
      <c r="A1128" t="str">
        <f>"20190305135602382"</f>
        <v>20190305135602382</v>
      </c>
      <c r="B1128" t="str">
        <f>"1551765362373336"</f>
        <v>1551765362373336</v>
      </c>
      <c r="C1128" t="s">
        <v>40</v>
      </c>
      <c r="D1128">
        <v>4.7111559999999999</v>
      </c>
      <c r="E1128">
        <v>0.62998989999999999</v>
      </c>
      <c r="F1128" t="s">
        <v>54</v>
      </c>
      <c r="G1128">
        <v>-205.2799</v>
      </c>
      <c r="H1128" s="1">
        <v>4.5420800000000004E-6</v>
      </c>
      <c r="I1128">
        <v>284.8032</v>
      </c>
      <c r="J1128">
        <v>-193.96510000000001</v>
      </c>
      <c r="K1128">
        <v>1.1013900000000001</v>
      </c>
      <c r="L1128">
        <v>289.9273</v>
      </c>
      <c r="M1128">
        <v>-0.44459799999999999</v>
      </c>
      <c r="N1128">
        <v>-1.527806E-2</v>
      </c>
      <c r="O1128">
        <v>-0.89560010000000001</v>
      </c>
      <c r="P1128">
        <v>-0.7266667</v>
      </c>
      <c r="Q1128">
        <v>-9.2814149999999998E-2</v>
      </c>
      <c r="R1128">
        <v>-0.68069199999999996</v>
      </c>
      <c r="S1128">
        <v>-2.867737</v>
      </c>
      <c r="T1128">
        <v>-0.2766459</v>
      </c>
      <c r="U1128">
        <v>-1.3312379999999999</v>
      </c>
      <c r="V1128">
        <v>0.34656559999999997</v>
      </c>
      <c r="W1128">
        <v>-8.5511690000000001E-2</v>
      </c>
      <c r="X1128">
        <v>0.9341199</v>
      </c>
      <c r="Y1128">
        <v>0.62175469999999999</v>
      </c>
      <c r="Z1128">
        <v>8.0393560000000003E-2</v>
      </c>
      <c r="AA1128">
        <v>0.77907510000000002</v>
      </c>
      <c r="AB1128">
        <v>20</v>
      </c>
      <c r="AC1128">
        <v>-11.3147999999999</v>
      </c>
      <c r="AD1128">
        <v>-1.10138545792</v>
      </c>
      <c r="AE1128">
        <v>-5.1240999999999897</v>
      </c>
      <c r="AF1128">
        <v>7.7949981025789397</v>
      </c>
      <c r="AG1128">
        <v>-1.10138545792</v>
      </c>
      <c r="AH1128">
        <v>9.5457488284731493</v>
      </c>
      <c r="AI1128">
        <v>95.106869034942903</v>
      </c>
      <c r="AJ1128">
        <v>50.765141876859502</v>
      </c>
      <c r="AK1128">
        <v>12.3732116300669</v>
      </c>
      <c r="AL1128">
        <v>94.905449798876305</v>
      </c>
      <c r="AM1128">
        <v>69.644762478166996</v>
      </c>
      <c r="AN1128">
        <v>0.99999997590301204</v>
      </c>
    </row>
    <row r="1129" spans="1:40" x14ac:dyDescent="0.25">
      <c r="A1129" t="str">
        <f>"20190305135602406"</f>
        <v>20190305135602406</v>
      </c>
      <c r="B1129" t="str">
        <f>"1551765362403593"</f>
        <v>1551765362403593</v>
      </c>
      <c r="C1129" t="s">
        <v>40</v>
      </c>
      <c r="D1129">
        <v>4.7039530000000003</v>
      </c>
      <c r="E1129">
        <v>0.62908949999999997</v>
      </c>
      <c r="F1129" t="s">
        <v>54</v>
      </c>
      <c r="G1129">
        <v>-205.9914</v>
      </c>
      <c r="H1129" s="1">
        <v>4.8768020000000001E-6</v>
      </c>
      <c r="I1129">
        <v>284.58350000000002</v>
      </c>
      <c r="J1129">
        <v>-194.07689999999999</v>
      </c>
      <c r="K1129">
        <v>1.1013470000000001</v>
      </c>
      <c r="L1129">
        <v>289.7423</v>
      </c>
      <c r="M1129">
        <v>-0.45826830000000002</v>
      </c>
      <c r="N1129">
        <v>-1.5325790000000001E-2</v>
      </c>
      <c r="O1129">
        <v>-0.88868179999999997</v>
      </c>
      <c r="P1129">
        <v>-0.73781229999999998</v>
      </c>
      <c r="Q1129">
        <v>-9.24098E-2</v>
      </c>
      <c r="R1129">
        <v>-0.66865050000000004</v>
      </c>
      <c r="S1129">
        <v>-2.8912200000000001</v>
      </c>
      <c r="T1129">
        <v>-0.26478279999999998</v>
      </c>
      <c r="U1129">
        <v>-1.2846979999999999</v>
      </c>
      <c r="V1129">
        <v>0.34765760000000001</v>
      </c>
      <c r="W1129">
        <v>-8.5121249999999996E-2</v>
      </c>
      <c r="X1129">
        <v>0.93374970000000002</v>
      </c>
      <c r="Y1129">
        <v>0.62292460000000005</v>
      </c>
      <c r="Z1129">
        <v>7.6426659999999993E-2</v>
      </c>
      <c r="AA1129">
        <v>0.7785396</v>
      </c>
      <c r="AB1129">
        <v>20</v>
      </c>
      <c r="AC1129">
        <v>-11.9145</v>
      </c>
      <c r="AD1129">
        <v>-1.1013421231979901</v>
      </c>
      <c r="AE1129">
        <v>-5.1587999999999798</v>
      </c>
      <c r="AF1129">
        <v>8.1662890904158001</v>
      </c>
      <c r="AG1129">
        <v>-1.1013421231979901</v>
      </c>
      <c r="AH1129">
        <v>9.9739799543965102</v>
      </c>
      <c r="AI1129">
        <v>94.883341240986795</v>
      </c>
      <c r="AJ1129">
        <v>50.6907783015481</v>
      </c>
      <c r="AK1129">
        <v>12.9376005546344</v>
      </c>
      <c r="AL1129">
        <v>94.882997408276395</v>
      </c>
      <c r="AM1129">
        <v>69.578483983650003</v>
      </c>
      <c r="AN1129">
        <v>0.99999996814470504</v>
      </c>
    </row>
    <row r="1130" spans="1:40" x14ac:dyDescent="0.25">
      <c r="A1130" t="str">
        <f>"20190305135602449"</f>
        <v>20190305135602449</v>
      </c>
      <c r="B1130" t="str">
        <f>"1551765362442632"</f>
        <v>1551765362442632</v>
      </c>
      <c r="C1130" t="s">
        <v>40</v>
      </c>
      <c r="D1130">
        <v>4.7825040000000003</v>
      </c>
      <c r="E1130">
        <v>0.62746069999999998</v>
      </c>
      <c r="F1130" t="s">
        <v>54</v>
      </c>
      <c r="G1130">
        <v>-205.94390000000001</v>
      </c>
      <c r="H1130" s="1">
        <v>4.847848E-6</v>
      </c>
      <c r="I1130">
        <v>284.6739</v>
      </c>
      <c r="J1130">
        <v>-194.2929</v>
      </c>
      <c r="K1130">
        <v>1.1013059999999999</v>
      </c>
      <c r="L1130">
        <v>289.40309999999999</v>
      </c>
      <c r="M1130">
        <v>-0.48374270000000003</v>
      </c>
      <c r="N1130">
        <v>-1.5403969999999999E-2</v>
      </c>
      <c r="O1130">
        <v>-0.87507469999999998</v>
      </c>
      <c r="P1130">
        <v>-0.75842919999999903</v>
      </c>
      <c r="Q1130">
        <v>-9.1670219999999997E-2</v>
      </c>
      <c r="R1130">
        <v>-0.64527650000000003</v>
      </c>
      <c r="S1130">
        <v>-2.9070740000000002</v>
      </c>
      <c r="T1130">
        <v>-0.26979649999999999</v>
      </c>
      <c r="U1130">
        <v>-1.241608</v>
      </c>
      <c r="V1130">
        <v>0.349939099999999</v>
      </c>
      <c r="W1130">
        <v>-8.4409360000000003E-2</v>
      </c>
      <c r="X1130">
        <v>0.93296179999999995</v>
      </c>
      <c r="Y1130">
        <v>0.61148610000000003</v>
      </c>
      <c r="Z1130">
        <v>7.764952E-2</v>
      </c>
      <c r="AA1130">
        <v>0.78743589999999997</v>
      </c>
      <c r="AB1130">
        <v>20</v>
      </c>
      <c r="AC1130">
        <v>-11.651</v>
      </c>
      <c r="AD1130">
        <v>-1.101301152152</v>
      </c>
      <c r="AE1130">
        <v>-4.7291999999999899</v>
      </c>
      <c r="AF1130">
        <v>7.8485120335707697</v>
      </c>
      <c r="AG1130">
        <v>-1.101301152152</v>
      </c>
      <c r="AH1130">
        <v>9.7012315083425698</v>
      </c>
      <c r="AI1130">
        <v>95.043620984308205</v>
      </c>
      <c r="AJ1130">
        <v>51.026371050203601</v>
      </c>
      <c r="AK1130">
        <v>12.5270067513071</v>
      </c>
      <c r="AL1130">
        <v>94.842061546855405</v>
      </c>
      <c r="AM1130">
        <v>69.439732389789896</v>
      </c>
      <c r="AN1130">
        <v>1.00000001701182</v>
      </c>
    </row>
    <row r="1131" spans="1:40" x14ac:dyDescent="0.25">
      <c r="A1131" t="str">
        <f>"20190305135602470"</f>
        <v>20190305135602470</v>
      </c>
      <c r="B1131" t="str">
        <f>"1551765362463129"</f>
        <v>1551765362463129</v>
      </c>
      <c r="C1131" t="s">
        <v>40</v>
      </c>
      <c r="D1131">
        <v>4.7237910000000003</v>
      </c>
      <c r="E1131">
        <v>0.66030909999999998</v>
      </c>
      <c r="F1131" t="s">
        <v>54</v>
      </c>
      <c r="G1131">
        <v>-205.92410000000001</v>
      </c>
      <c r="H1131" s="1">
        <v>4.8269189999999998E-6</v>
      </c>
      <c r="I1131">
        <v>284.81290000000001</v>
      </c>
      <c r="J1131">
        <v>-194.40520000000001</v>
      </c>
      <c r="K1131">
        <v>1.101302</v>
      </c>
      <c r="L1131">
        <v>289.23540000000003</v>
      </c>
      <c r="M1131">
        <v>-0.49649389999999999</v>
      </c>
      <c r="N1131">
        <v>-1.5435920000000001E-2</v>
      </c>
      <c r="O1131">
        <v>-0.86790309999999904</v>
      </c>
      <c r="P1131">
        <v>-0.76868239999999999</v>
      </c>
      <c r="Q1131">
        <v>-9.0775990000000001E-2</v>
      </c>
      <c r="R1131">
        <v>-0.63315679999999996</v>
      </c>
      <c r="S1131">
        <v>-2.936096</v>
      </c>
      <c r="T1131">
        <v>-0.2780031</v>
      </c>
      <c r="U1131">
        <v>-1.158722</v>
      </c>
      <c r="V1131">
        <v>0.35120449999999998</v>
      </c>
      <c r="W1131">
        <v>-8.3525959999999996E-2</v>
      </c>
      <c r="X1131">
        <v>0.93256570000000005</v>
      </c>
      <c r="Y1131">
        <v>0.62147929999999996</v>
      </c>
      <c r="Z1131">
        <v>8.0741380000000001E-2</v>
      </c>
      <c r="AA1131">
        <v>0.77925880000000003</v>
      </c>
      <c r="AB1131">
        <v>20</v>
      </c>
      <c r="AC1131">
        <v>-11.5189</v>
      </c>
      <c r="AD1131">
        <v>-1.1012971730809999</v>
      </c>
      <c r="AE1131">
        <v>-4.4225000000000101</v>
      </c>
      <c r="AF1131">
        <v>7.7408058672056299</v>
      </c>
      <c r="AG1131">
        <v>-1.1012971730809999</v>
      </c>
      <c r="AH1131">
        <v>9.4829562376901393</v>
      </c>
      <c r="AI1131">
        <v>95.140864656562897</v>
      </c>
      <c r="AJ1131">
        <v>50.775714238304602</v>
      </c>
      <c r="AK1131">
        <v>12.290622032393101</v>
      </c>
      <c r="AL1131">
        <v>94.791267222537996</v>
      </c>
      <c r="AM1131">
        <v>69.363612173178197</v>
      </c>
      <c r="AN1131">
        <v>0.99999998581533001</v>
      </c>
    </row>
    <row r="1132" spans="1:40" x14ac:dyDescent="0.25">
      <c r="A1132" t="str">
        <f>"20190305135602516"</f>
        <v>20190305135602516</v>
      </c>
      <c r="B1132" t="str">
        <f>"1551765362512906"</f>
        <v>1551765362512906</v>
      </c>
      <c r="C1132" t="s">
        <v>40</v>
      </c>
      <c r="D1132">
        <v>4.5810139999999997</v>
      </c>
      <c r="E1132">
        <v>0.69077040000000001</v>
      </c>
      <c r="F1132" t="s">
        <v>56</v>
      </c>
      <c r="G1132">
        <v>-260.89089999999999</v>
      </c>
      <c r="H1132">
        <v>1.4563429999999999</v>
      </c>
      <c r="I1132">
        <v>269.15730000000002</v>
      </c>
      <c r="J1132">
        <v>-194.64779999999999</v>
      </c>
      <c r="K1132">
        <v>1.1013299999999999</v>
      </c>
      <c r="L1132">
        <v>288.89120000000003</v>
      </c>
      <c r="M1132">
        <v>-0.52291609999999999</v>
      </c>
      <c r="N1132">
        <v>-1.548416E-2</v>
      </c>
      <c r="O1132">
        <v>-0.85224369999999905</v>
      </c>
      <c r="P1132">
        <v>-0.79023509999999997</v>
      </c>
      <c r="Q1132">
        <v>-8.9469770000000004E-2</v>
      </c>
      <c r="R1132">
        <v>-0.60623769999999999</v>
      </c>
      <c r="S1132">
        <v>-3.126938</v>
      </c>
      <c r="T1132">
        <v>1.6701939999999998E-2</v>
      </c>
      <c r="U1132">
        <v>-0.94430539999999996</v>
      </c>
      <c r="V1132">
        <v>0.35491250000000002</v>
      </c>
      <c r="W1132">
        <v>-8.2256419999999997E-2</v>
      </c>
      <c r="X1132">
        <v>0.93127389999999999</v>
      </c>
      <c r="Y1132">
        <v>0.66458309999999998</v>
      </c>
      <c r="Z1132">
        <v>-1.549129E-2</v>
      </c>
      <c r="AA1132">
        <v>0.74705379999999999</v>
      </c>
      <c r="AB1132">
        <v>20</v>
      </c>
      <c r="AC1132">
        <v>-66.243099999999998</v>
      </c>
      <c r="AD1132">
        <v>0.35501300000000002</v>
      </c>
      <c r="AE1132">
        <v>-19.733899999999998</v>
      </c>
      <c r="AF1132">
        <v>46.140397548513398</v>
      </c>
      <c r="AG1132">
        <v>0.35501300000000002</v>
      </c>
      <c r="AH1132">
        <v>51.462479170740799</v>
      </c>
      <c r="AI1132">
        <v>89.705713211989206</v>
      </c>
      <c r="AJ1132">
        <v>48.121128650529698</v>
      </c>
      <c r="AK1132">
        <v>69.1190934732507</v>
      </c>
      <c r="AL1132">
        <v>94.718276491625105</v>
      </c>
      <c r="AM1132">
        <v>69.137940488991404</v>
      </c>
      <c r="AN1132">
        <v>1.00000003905433</v>
      </c>
    </row>
    <row r="1133" spans="1:40" x14ac:dyDescent="0.25">
      <c r="A1133" t="str">
        <f>"20190305135602539"</f>
        <v>20190305135602539</v>
      </c>
      <c r="B1133" t="str">
        <f>"1551765362533401"</f>
        <v>1551765362533401</v>
      </c>
      <c r="C1133" t="s">
        <v>40</v>
      </c>
      <c r="D1133">
        <v>4.6019170000000003</v>
      </c>
      <c r="E1133">
        <v>0.69019439999999999</v>
      </c>
      <c r="F1133" t="s">
        <v>55</v>
      </c>
      <c r="G1133">
        <v>-237.47839999999999</v>
      </c>
      <c r="H1133" s="1">
        <v>2.6126600000000002E-6</v>
      </c>
      <c r="I1133">
        <v>280.73149999999998</v>
      </c>
      <c r="J1133">
        <v>-194.7696</v>
      </c>
      <c r="K1133">
        <v>1.10137</v>
      </c>
      <c r="L1133">
        <v>288.72669999999999</v>
      </c>
      <c r="M1133">
        <v>-0.53564820000000002</v>
      </c>
      <c r="N1133">
        <v>-1.5500959999999999E-2</v>
      </c>
      <c r="O1133">
        <v>-0.84429909999999997</v>
      </c>
      <c r="P1133">
        <v>-0.80005099999999996</v>
      </c>
      <c r="Q1133">
        <v>-8.9079240000000004E-2</v>
      </c>
      <c r="R1133">
        <v>-0.59328199999999998</v>
      </c>
      <c r="S1133">
        <v>-3.3038639999999999</v>
      </c>
      <c r="T1133">
        <v>-8.4954139999999997E-2</v>
      </c>
      <c r="U1133">
        <v>-0.62942500000000001</v>
      </c>
      <c r="V1133">
        <v>0.35615599999999997</v>
      </c>
      <c r="W1133">
        <v>-8.1860879999999997E-2</v>
      </c>
      <c r="X1133">
        <v>0.93083389999999999</v>
      </c>
      <c r="Y1133">
        <v>0.72892369999999995</v>
      </c>
      <c r="Z1133">
        <v>1.768542E-2</v>
      </c>
      <c r="AA1133">
        <v>0.68436649999999999</v>
      </c>
      <c r="AB1133">
        <v>20</v>
      </c>
      <c r="AC1133">
        <v>-42.708799999999997</v>
      </c>
      <c r="AD1133">
        <v>-1.1013673873400001</v>
      </c>
      <c r="AE1133">
        <v>-7.9952000000000103</v>
      </c>
      <c r="AF1133">
        <v>31.759795785411999</v>
      </c>
      <c r="AG1133">
        <v>-1.1013673873400001</v>
      </c>
      <c r="AH1133">
        <v>29.611762999976701</v>
      </c>
      <c r="AI1133">
        <v>91.452926799612698</v>
      </c>
      <c r="AJ1133">
        <v>42.995439646852297</v>
      </c>
      <c r="AK1133">
        <v>43.436783334171601</v>
      </c>
      <c r="AL1133">
        <v>94.695537098506307</v>
      </c>
      <c r="AM1133">
        <v>69.062131854651398</v>
      </c>
      <c r="AN1133">
        <v>1.00000002469979</v>
      </c>
    </row>
    <row r="1134" spans="1:40" x14ac:dyDescent="0.25">
      <c r="A1134" t="str">
        <f>"20190305135602561"</f>
        <v>20190305135602561</v>
      </c>
      <c r="B1134" t="str">
        <f>"1551765362552920"</f>
        <v>1551765362552920</v>
      </c>
      <c r="C1134" t="s">
        <v>40</v>
      </c>
      <c r="D1134">
        <v>4.6685049999999997</v>
      </c>
      <c r="E1134">
        <v>0.68739399999999995</v>
      </c>
      <c r="F1134" t="s">
        <v>57</v>
      </c>
      <c r="G1134">
        <v>-320.69970000000001</v>
      </c>
      <c r="H1134">
        <v>0.97221279999999999</v>
      </c>
      <c r="I1134">
        <v>266.35180000000003</v>
      </c>
      <c r="J1134">
        <v>-194.8999</v>
      </c>
      <c r="K1134">
        <v>1.101405</v>
      </c>
      <c r="L1134">
        <v>288.55619999999999</v>
      </c>
      <c r="M1134">
        <v>-0.54890079999999997</v>
      </c>
      <c r="N1134">
        <v>-1.5515360000000001E-2</v>
      </c>
      <c r="O1134">
        <v>-0.83574349999999997</v>
      </c>
      <c r="P1134">
        <v>-0.80890879999999998</v>
      </c>
      <c r="Q1134">
        <v>-8.847323E-2</v>
      </c>
      <c r="R1134">
        <v>-0.58123959999999997</v>
      </c>
      <c r="S1134">
        <v>-3.312881</v>
      </c>
      <c r="T1134">
        <v>-3.3953189999999999E-3</v>
      </c>
      <c r="U1134">
        <v>-0.58862300000000001</v>
      </c>
      <c r="V1134">
        <v>0.35547980000000001</v>
      </c>
      <c r="W1134">
        <v>-8.119738E-2</v>
      </c>
      <c r="X1134">
        <v>0.93115040000000004</v>
      </c>
      <c r="Y1134">
        <v>0.72681609999999996</v>
      </c>
      <c r="Z1134">
        <v>-8.2151440000000006E-3</v>
      </c>
      <c r="AA1134">
        <v>0.68678309999999998</v>
      </c>
      <c r="AB1134">
        <v>20</v>
      </c>
      <c r="AC1134">
        <v>-125.7998</v>
      </c>
      <c r="AD1134">
        <v>-0.12919219999999901</v>
      </c>
      <c r="AE1134">
        <v>-22.2043999999999</v>
      </c>
      <c r="AF1134">
        <v>92.9594461525828</v>
      </c>
      <c r="AG1134">
        <v>-0.12919219999999901</v>
      </c>
      <c r="AH1134">
        <v>87.619250448786502</v>
      </c>
      <c r="AI1134">
        <v>90.057945196552495</v>
      </c>
      <c r="AJ1134">
        <v>43.306104024097799</v>
      </c>
      <c r="AK1134">
        <v>127.744308557472</v>
      </c>
      <c r="AL1134">
        <v>94.657394555293806</v>
      </c>
      <c r="AM1134">
        <v>69.104938649072807</v>
      </c>
      <c r="AN1134">
        <v>0.99999998507353205</v>
      </c>
    </row>
    <row r="1135" spans="1:40" x14ac:dyDescent="0.25">
      <c r="A1135" t="str">
        <f>"20190305135602583"</f>
        <v>20190305135602583</v>
      </c>
      <c r="B1135" t="str">
        <f>"1551765362573416"</f>
        <v>1551765362573416</v>
      </c>
      <c r="C1135" t="s">
        <v>40</v>
      </c>
      <c r="D1135">
        <v>4.7177499999999997</v>
      </c>
      <c r="E1135">
        <v>0.68442720000000001</v>
      </c>
      <c r="F1135" t="s">
        <v>58</v>
      </c>
      <c r="G1135">
        <v>-339.48500000000001</v>
      </c>
      <c r="H1135">
        <v>1.8851640000000001</v>
      </c>
      <c r="I1135">
        <v>264.1164</v>
      </c>
      <c r="J1135">
        <v>-195.0204</v>
      </c>
      <c r="K1135">
        <v>1.1014200000000001</v>
      </c>
      <c r="L1135">
        <v>288.4033</v>
      </c>
      <c r="M1135">
        <v>-0.56085269999999898</v>
      </c>
      <c r="N1135">
        <v>-1.552748E-2</v>
      </c>
      <c r="O1135">
        <v>-0.82777019999999901</v>
      </c>
      <c r="P1135">
        <v>-0.816119699999999</v>
      </c>
      <c r="Q1135">
        <v>-8.9036290000000004E-2</v>
      </c>
      <c r="R1135">
        <v>-0.57098289999999996</v>
      </c>
      <c r="S1135">
        <v>-3.3087770000000001</v>
      </c>
      <c r="T1135">
        <v>1.7935989999999999E-2</v>
      </c>
      <c r="U1135">
        <v>-0.55929569999999995</v>
      </c>
      <c r="V1135">
        <v>0.35379749999999999</v>
      </c>
      <c r="W1135">
        <v>-8.1691079999999999E-2</v>
      </c>
      <c r="X1135">
        <v>0.93174769999999896</v>
      </c>
      <c r="Y1135">
        <v>0.72262850000000001</v>
      </c>
      <c r="Z1135">
        <v>-1.483719E-2</v>
      </c>
      <c r="AA1135">
        <v>0.69107739999999995</v>
      </c>
      <c r="AB1135">
        <v>20</v>
      </c>
      <c r="AC1135">
        <v>-144.46459999999999</v>
      </c>
      <c r="AD1135">
        <v>0.783743999999999</v>
      </c>
      <c r="AE1135">
        <v>-24.286899999999999</v>
      </c>
      <c r="AF1135">
        <v>105.971841343284</v>
      </c>
      <c r="AG1135">
        <v>0.783743999999999</v>
      </c>
      <c r="AH1135">
        <v>101.136613303554</v>
      </c>
      <c r="AI1135">
        <v>89.693456887349697</v>
      </c>
      <c r="AJ1135">
        <v>43.662595193676196</v>
      </c>
      <c r="AK1135">
        <v>146.489794739622</v>
      </c>
      <c r="AL1135">
        <v>94.685775979215705</v>
      </c>
      <c r="AM1135">
        <v>69.207537140285794</v>
      </c>
      <c r="AN1135">
        <v>0.99999994000655101</v>
      </c>
    </row>
    <row r="1136" spans="1:40" x14ac:dyDescent="0.25">
      <c r="A1136" t="str">
        <f>"20190305135602605"</f>
        <v>20190305135602605</v>
      </c>
      <c r="B1136" t="str">
        <f>"1551765362602696"</f>
        <v>1551765362602696</v>
      </c>
      <c r="C1136" t="s">
        <v>40</v>
      </c>
      <c r="D1136">
        <v>4.718966</v>
      </c>
      <c r="E1136">
        <v>0.68123529999999999</v>
      </c>
      <c r="F1136" t="s">
        <v>59</v>
      </c>
      <c r="G1136">
        <v>-329.43770000000001</v>
      </c>
      <c r="H1136">
        <v>1.2536240000000001</v>
      </c>
      <c r="I1136">
        <v>266.59699999999998</v>
      </c>
      <c r="J1136">
        <v>-195.14840000000001</v>
      </c>
      <c r="K1136">
        <v>1.1014189999999999</v>
      </c>
      <c r="L1136">
        <v>288.24590000000001</v>
      </c>
      <c r="M1136">
        <v>-0.57324430000000004</v>
      </c>
      <c r="N1136">
        <v>-1.554167E-2</v>
      </c>
      <c r="O1136">
        <v>-0.819237199999999</v>
      </c>
      <c r="P1136">
        <v>-0.82392919999999903</v>
      </c>
      <c r="Q1136">
        <v>-8.8726819999999998E-2</v>
      </c>
      <c r="R1136">
        <v>-0.55970379999999997</v>
      </c>
      <c r="S1136">
        <v>-3.3016049999999999</v>
      </c>
      <c r="T1136">
        <v>3.7386419999999999E-3</v>
      </c>
      <c r="U1136">
        <v>-0.53561400000000003</v>
      </c>
      <c r="V1136">
        <v>0.35262880000000002</v>
      </c>
      <c r="W1136">
        <v>-8.1336130000000006E-2</v>
      </c>
      <c r="X1136">
        <v>0.93222169999999904</v>
      </c>
      <c r="Y1136">
        <v>0.71683619999999904</v>
      </c>
      <c r="Z1136">
        <v>-1.015566E-2</v>
      </c>
      <c r="AA1136">
        <v>0.69716769999999995</v>
      </c>
      <c r="AB1136">
        <v>20</v>
      </c>
      <c r="AC1136">
        <v>-134.2893</v>
      </c>
      <c r="AD1136">
        <v>0.15220499999999901</v>
      </c>
      <c r="AE1136">
        <v>-21.648900000000001</v>
      </c>
      <c r="AF1136">
        <v>97.616341543728396</v>
      </c>
      <c r="AG1136">
        <v>0.15220499999999901</v>
      </c>
      <c r="AH1136">
        <v>94.727474877572405</v>
      </c>
      <c r="AI1136">
        <v>89.935888024197496</v>
      </c>
      <c r="AJ1136">
        <v>44.139523035475101</v>
      </c>
      <c r="AK1136">
        <v>136.02304142837301</v>
      </c>
      <c r="AL1136">
        <v>94.665370810057297</v>
      </c>
      <c r="AM1136">
        <v>69.280018567958095</v>
      </c>
      <c r="AN1136">
        <v>0.99999996729185203</v>
      </c>
    </row>
    <row r="1137" spans="1:40" x14ac:dyDescent="0.25">
      <c r="A1137" t="str">
        <f>"20190305135602651"</f>
        <v>20190305135602651</v>
      </c>
      <c r="B1137" t="str">
        <f>"1551765362642712"</f>
        <v>1551765362642712</v>
      </c>
      <c r="C1137" t="s">
        <v>40</v>
      </c>
      <c r="D1137">
        <v>4.6656129999999996</v>
      </c>
      <c r="E1137">
        <v>0.67782100000000001</v>
      </c>
      <c r="F1137" t="s">
        <v>60</v>
      </c>
      <c r="G1137">
        <v>-320.77440000000001</v>
      </c>
      <c r="H1137">
        <v>0.465167</v>
      </c>
      <c r="I1137">
        <v>268.8501</v>
      </c>
      <c r="J1137">
        <v>-195.4169</v>
      </c>
      <c r="K1137">
        <v>1.1013630000000001</v>
      </c>
      <c r="L1137">
        <v>287.93119999999999</v>
      </c>
      <c r="M1137">
        <v>-0.59832879999999999</v>
      </c>
      <c r="N1137">
        <v>-1.5578740000000001E-2</v>
      </c>
      <c r="O1137">
        <v>-0.80109940000000002</v>
      </c>
      <c r="P1137">
        <v>-0.83953109999999997</v>
      </c>
      <c r="Q1137">
        <v>-8.9392159999999998E-2</v>
      </c>
      <c r="R1137">
        <v>-0.53590709999999997</v>
      </c>
      <c r="S1137">
        <v>-3.2938390000000002</v>
      </c>
      <c r="T1137">
        <v>-1.6680960000000002E-2</v>
      </c>
      <c r="U1137">
        <v>-0.50854489999999997</v>
      </c>
      <c r="V1137">
        <v>0.35035939999999999</v>
      </c>
      <c r="W1137">
        <v>-8.1952709999999998E-2</v>
      </c>
      <c r="X1137">
        <v>0.93302300000000005</v>
      </c>
      <c r="Y1137">
        <v>0.70042590000000005</v>
      </c>
      <c r="Z1137">
        <v>-3.4365060000000002E-3</v>
      </c>
      <c r="AA1137">
        <v>0.71371689999999999</v>
      </c>
      <c r="AB1137">
        <v>20</v>
      </c>
      <c r="AC1137">
        <v>-125.3575</v>
      </c>
      <c r="AD1137">
        <v>-0.63619599999999898</v>
      </c>
      <c r="AE1137">
        <v>-19.0810999999999</v>
      </c>
      <c r="AF1137">
        <v>89.015595130755202</v>
      </c>
      <c r="AG1137">
        <v>-0.63619599999999898</v>
      </c>
      <c r="AH1137">
        <v>90.299532373326699</v>
      </c>
      <c r="AI1137">
        <v>90.287472865625901</v>
      </c>
      <c r="AJ1137">
        <v>45.410243848566601</v>
      </c>
      <c r="AK1137">
        <v>126.799788914155</v>
      </c>
      <c r="AL1137">
        <v>94.700816720295293</v>
      </c>
      <c r="AM1137">
        <v>69.418344390937406</v>
      </c>
      <c r="AN1137">
        <v>0.99999993718684999</v>
      </c>
    </row>
    <row r="1138" spans="1:40" x14ac:dyDescent="0.25">
      <c r="A1138" t="str">
        <f>"20190305135602672"</f>
        <v>20190305135602672</v>
      </c>
      <c r="B1138" t="str">
        <f>"1551765362663209"</f>
        <v>1551765362663209</v>
      </c>
      <c r="C1138" t="s">
        <v>40</v>
      </c>
      <c r="D1138">
        <v>4.6519159999999999</v>
      </c>
      <c r="E1138">
        <v>0.67639359999999904</v>
      </c>
      <c r="F1138" t="s">
        <v>61</v>
      </c>
      <c r="G1138">
        <v>-286.88260000000002</v>
      </c>
      <c r="H1138">
        <v>8.0001420000000004E-2</v>
      </c>
      <c r="I1138">
        <v>275.84359999999998</v>
      </c>
      <c r="J1138">
        <v>-195.55090000000001</v>
      </c>
      <c r="K1138">
        <v>1.1013200000000001</v>
      </c>
      <c r="L1138">
        <v>287.78190000000001</v>
      </c>
      <c r="M1138">
        <v>-0.61040899999999998</v>
      </c>
      <c r="N1138">
        <v>-1.559811E-2</v>
      </c>
      <c r="O1138">
        <v>-0.79193290000000005</v>
      </c>
      <c r="P1138">
        <v>-0.84722189999999997</v>
      </c>
      <c r="Q1138">
        <v>-9.1306109999999996E-2</v>
      </c>
      <c r="R1138">
        <v>-0.52333419999999997</v>
      </c>
      <c r="S1138">
        <v>-3.2918090000000002</v>
      </c>
      <c r="T1138">
        <v>-3.6758300000000001E-2</v>
      </c>
      <c r="U1138">
        <v>-0.43502809999999997</v>
      </c>
      <c r="V1138">
        <v>0.3499102</v>
      </c>
      <c r="W1138">
        <v>-8.3868960000000006E-2</v>
      </c>
      <c r="X1138">
        <v>0.9330214</v>
      </c>
      <c r="Y1138">
        <v>0.70512459999999999</v>
      </c>
      <c r="Z1138">
        <v>3.1312839999999998E-3</v>
      </c>
      <c r="AA1138">
        <v>0.70907659999999995</v>
      </c>
      <c r="AB1138">
        <v>20</v>
      </c>
      <c r="AC1138">
        <v>-91.331699999999998</v>
      </c>
      <c r="AD1138">
        <v>-1.02131858</v>
      </c>
      <c r="AE1138">
        <v>-11.9383</v>
      </c>
      <c r="AF1138">
        <v>65.041243925271303</v>
      </c>
      <c r="AG1138">
        <v>-1.02131858</v>
      </c>
      <c r="AH1138">
        <v>65.203935631408498</v>
      </c>
      <c r="AI1138">
        <v>90.6353588203539</v>
      </c>
      <c r="AJ1138">
        <v>45.071569199774203</v>
      </c>
      <c r="AK1138">
        <v>92.102984342600806</v>
      </c>
      <c r="AL1138">
        <v>94.810988604959903</v>
      </c>
      <c r="AM1138">
        <v>69.442491749393099</v>
      </c>
      <c r="AN1138">
        <v>1.0000000416867301</v>
      </c>
    </row>
    <row r="1139" spans="1:40" x14ac:dyDescent="0.25">
      <c r="A1139" t="str">
        <f>"20190305135602698"</f>
        <v>20190305135602698</v>
      </c>
      <c r="B1139" t="str">
        <f>"1551765362692489"</f>
        <v>1551765362692489</v>
      </c>
      <c r="C1139" t="s">
        <v>40</v>
      </c>
      <c r="D1139">
        <v>4.6758980000000001</v>
      </c>
      <c r="E1139">
        <v>0.67399469999999995</v>
      </c>
      <c r="F1139" t="s">
        <v>55</v>
      </c>
      <c r="G1139">
        <v>-263.66660000000002</v>
      </c>
      <c r="H1139">
        <v>6.5026420000000001E-2</v>
      </c>
      <c r="I1139">
        <v>279.60129999999998</v>
      </c>
      <c r="J1139">
        <v>-195.70830000000001</v>
      </c>
      <c r="K1139">
        <v>1.1012759999999999</v>
      </c>
      <c r="L1139">
        <v>287.6123</v>
      </c>
      <c r="M1139">
        <v>-0.62426000000000004</v>
      </c>
      <c r="N1139">
        <v>-1.5618379999999999E-2</v>
      </c>
      <c r="O1139">
        <v>-0.78106059999999999</v>
      </c>
      <c r="P1139">
        <v>-0.85642529999999994</v>
      </c>
      <c r="Q1139">
        <v>-9.3084159999999999E-2</v>
      </c>
      <c r="R1139">
        <v>-0.5078104</v>
      </c>
      <c r="S1139">
        <v>-3.2914119999999998</v>
      </c>
      <c r="T1139">
        <v>-5.007458E-2</v>
      </c>
      <c r="U1139">
        <v>-0.39529419999999998</v>
      </c>
      <c r="V1139">
        <v>0.35028809999999999</v>
      </c>
      <c r="W1139">
        <v>-8.5665400000000003E-2</v>
      </c>
      <c r="X1139">
        <v>0.93271630000000005</v>
      </c>
      <c r="Y1139">
        <v>0.70100530000000005</v>
      </c>
      <c r="Z1139">
        <v>7.4480600000000003E-3</v>
      </c>
      <c r="AA1139">
        <v>0.71311720000000001</v>
      </c>
      <c r="AB1139">
        <v>20</v>
      </c>
      <c r="AC1139">
        <v>-67.958299999999994</v>
      </c>
      <c r="AD1139">
        <v>-1.03624958</v>
      </c>
      <c r="AE1139">
        <v>-8.0110000000000205</v>
      </c>
      <c r="AF1139">
        <v>48.073440948227898</v>
      </c>
      <c r="AG1139">
        <v>-1.03624958</v>
      </c>
      <c r="AH1139">
        <v>48.6754974030274</v>
      </c>
      <c r="AI1139">
        <v>90.867789060336406</v>
      </c>
      <c r="AJ1139">
        <v>45.356539815523597</v>
      </c>
      <c r="AK1139">
        <v>68.421002515506402</v>
      </c>
      <c r="AL1139">
        <v>94.914289025381706</v>
      </c>
      <c r="AM1139">
        <v>69.415982638014299</v>
      </c>
      <c r="AN1139">
        <v>1.00000000502223</v>
      </c>
    </row>
    <row r="1140" spans="1:40" x14ac:dyDescent="0.25">
      <c r="A1140" t="str">
        <f>"20190305135602740"</f>
        <v>20190305135602740</v>
      </c>
      <c r="B1140" t="str">
        <f>"1551765362733481"</f>
        <v>1551765362733481</v>
      </c>
      <c r="C1140" t="s">
        <v>40</v>
      </c>
      <c r="D1140">
        <v>4.6040919999999996</v>
      </c>
      <c r="E1140">
        <v>0.67116069999999906</v>
      </c>
      <c r="F1140" t="s">
        <v>55</v>
      </c>
      <c r="G1140">
        <v>-248.1808</v>
      </c>
      <c r="H1140" s="1">
        <v>2.8166209999999998E-6</v>
      </c>
      <c r="I1140">
        <v>282.01870000000002</v>
      </c>
      <c r="J1140">
        <v>-195.97380000000001</v>
      </c>
      <c r="K1140">
        <v>1.1012230000000001</v>
      </c>
      <c r="L1140">
        <v>287.33969999999999</v>
      </c>
      <c r="M1140">
        <v>-0.64686809999999995</v>
      </c>
      <c r="N1140">
        <v>-1.5653480000000001E-2</v>
      </c>
      <c r="O1140">
        <v>-0.76244149999999999</v>
      </c>
      <c r="P1140">
        <v>-0.87136089999999999</v>
      </c>
      <c r="Q1140">
        <v>-9.5469739999999997E-2</v>
      </c>
      <c r="R1140">
        <v>-0.48126469999999999</v>
      </c>
      <c r="S1140">
        <v>-3.2876430000000001</v>
      </c>
      <c r="T1140">
        <v>-6.8999889999999994E-2</v>
      </c>
      <c r="U1140">
        <v>-0.35046389999999999</v>
      </c>
      <c r="V1140">
        <v>0.35136200000000001</v>
      </c>
      <c r="W1140">
        <v>-8.8093089999999999E-2</v>
      </c>
      <c r="X1140">
        <v>0.93208599999999997</v>
      </c>
      <c r="Y1140">
        <v>0.68944499999999997</v>
      </c>
      <c r="Z1140">
        <v>1.3423600000000001E-2</v>
      </c>
      <c r="AA1140">
        <v>0.72421369999999996</v>
      </c>
      <c r="AB1140">
        <v>20</v>
      </c>
      <c r="AC1140">
        <v>-52.207000000000001</v>
      </c>
      <c r="AD1140">
        <v>-1.1012201833790001</v>
      </c>
      <c r="AE1140">
        <v>-5.3209999999999598</v>
      </c>
      <c r="AF1140">
        <v>36.3512391441215</v>
      </c>
      <c r="AG1140">
        <v>-1.1012201833790001</v>
      </c>
      <c r="AH1140">
        <v>37.815969272230099</v>
      </c>
      <c r="AI1140">
        <v>91.202683608593603</v>
      </c>
      <c r="AJ1140">
        <v>46.131388765564701</v>
      </c>
      <c r="AK1140">
        <v>52.465920417006302</v>
      </c>
      <c r="AL1140">
        <v>95.053913521000695</v>
      </c>
      <c r="AM1140">
        <v>69.345409713480393</v>
      </c>
      <c r="AN1140">
        <v>0.999999979472873</v>
      </c>
    </row>
    <row r="1141" spans="1:40" x14ac:dyDescent="0.25">
      <c r="A1141" t="str">
        <f>"20190305135602761"</f>
        <v>20190305135602761</v>
      </c>
      <c r="B1141" t="str">
        <f>"1551765362753001"</f>
        <v>1551765362753001</v>
      </c>
      <c r="C1141" t="s">
        <v>40</v>
      </c>
      <c r="D1141">
        <v>4.5507600000000004</v>
      </c>
      <c r="E1141">
        <v>0.6696396</v>
      </c>
      <c r="F1141" t="s">
        <v>55</v>
      </c>
      <c r="G1141">
        <v>-238.34299999999999</v>
      </c>
      <c r="H1141" s="1">
        <v>2.935234E-6</v>
      </c>
      <c r="I1141">
        <v>283.87700000000001</v>
      </c>
      <c r="J1141">
        <v>-196.11429999999999</v>
      </c>
      <c r="K1141">
        <v>1.101208</v>
      </c>
      <c r="L1141">
        <v>287.20190000000002</v>
      </c>
      <c r="M1141">
        <v>-0.65846959999999999</v>
      </c>
      <c r="N1141">
        <v>-1.567607E-2</v>
      </c>
      <c r="O1141">
        <v>-0.75244429999999995</v>
      </c>
      <c r="P1141">
        <v>-0.8782491</v>
      </c>
      <c r="Q1141">
        <v>-9.4679810000000003E-2</v>
      </c>
      <c r="R1141">
        <v>-0.46873730000000002</v>
      </c>
      <c r="S1141">
        <v>-3.2852329999999998</v>
      </c>
      <c r="T1141">
        <v>-8.5386749999999997E-2</v>
      </c>
      <c r="U1141">
        <v>-0.2684937</v>
      </c>
      <c r="V1141">
        <v>0.35050969999999998</v>
      </c>
      <c r="W1141">
        <v>-8.7285390000000004E-2</v>
      </c>
      <c r="X1141">
        <v>0.93248279999999995</v>
      </c>
      <c r="Y1141">
        <v>0.69605890000000004</v>
      </c>
      <c r="Z1141">
        <v>1.8789529999999999E-2</v>
      </c>
      <c r="AA1141">
        <v>0.71773880000000001</v>
      </c>
      <c r="AB1141">
        <v>20</v>
      </c>
      <c r="AC1141">
        <v>-42.228700000000003</v>
      </c>
      <c r="AD1141">
        <v>-1.1012050647660001</v>
      </c>
      <c r="AE1141">
        <v>-3.3249000000000102</v>
      </c>
      <c r="AF1141">
        <v>29.569045636678201</v>
      </c>
      <c r="AG1141">
        <v>-1.1012050647660001</v>
      </c>
      <c r="AH1141">
        <v>30.2913643646385</v>
      </c>
      <c r="AI1141">
        <v>91.490172648526794</v>
      </c>
      <c r="AJ1141">
        <v>45.691338500350597</v>
      </c>
      <c r="AK1141">
        <v>42.345104410426401</v>
      </c>
      <c r="AL1141">
        <v>95.007456754425405</v>
      </c>
      <c r="AM1141">
        <v>69.399329280021604</v>
      </c>
      <c r="AN1141">
        <v>0.999999980698691</v>
      </c>
    </row>
    <row r="1142" spans="1:40" x14ac:dyDescent="0.25">
      <c r="A1142" t="str">
        <f>"20190305135602807"</f>
        <v>20190305135602807</v>
      </c>
      <c r="B1142" t="str">
        <f>"1551765362802777"</f>
        <v>1551765362802777</v>
      </c>
      <c r="C1142" t="s">
        <v>40</v>
      </c>
      <c r="D1142">
        <v>4.5263540000000004</v>
      </c>
      <c r="E1142">
        <v>0.64413160000000003</v>
      </c>
      <c r="F1142" t="s">
        <v>55</v>
      </c>
      <c r="G1142">
        <v>-237.9332</v>
      </c>
      <c r="H1142" s="1">
        <v>2.7008890000000002E-6</v>
      </c>
      <c r="I1142">
        <v>284.24930000000001</v>
      </c>
      <c r="J1142">
        <v>-196.41480000000001</v>
      </c>
      <c r="K1142">
        <v>1.1011359999999999</v>
      </c>
      <c r="L1142">
        <v>286.92129999999997</v>
      </c>
      <c r="M1142">
        <v>-0.68251110000000004</v>
      </c>
      <c r="N1142">
        <v>-1.5729409999999999E-2</v>
      </c>
      <c r="O1142">
        <v>-0.73070590000000002</v>
      </c>
      <c r="P1142">
        <v>-0.8920884</v>
      </c>
      <c r="Q1142">
        <v>-9.2790999999999998E-2</v>
      </c>
      <c r="R1142">
        <v>-0.44223069999999998</v>
      </c>
      <c r="S1142">
        <v>-3.2828520000000001</v>
      </c>
      <c r="T1142">
        <v>-8.6446399999999896E-2</v>
      </c>
      <c r="U1142">
        <v>-0.23178099999999999</v>
      </c>
      <c r="V1142">
        <v>0.3483735</v>
      </c>
      <c r="W1142">
        <v>-8.5367059999999995E-2</v>
      </c>
      <c r="X1142">
        <v>0.93346039999999997</v>
      </c>
      <c r="Y1142">
        <v>0.68056539999999999</v>
      </c>
      <c r="Z1142">
        <v>1.8958309999999999E-2</v>
      </c>
      <c r="AA1142">
        <v>0.73244200000000004</v>
      </c>
      <c r="AB1142">
        <v>20</v>
      </c>
      <c r="AC1142">
        <v>-41.5183999999999</v>
      </c>
      <c r="AD1142">
        <v>-1.1011332991110001</v>
      </c>
      <c r="AE1142">
        <v>-2.6719999999999602</v>
      </c>
      <c r="AF1142">
        <v>28.497636869964602</v>
      </c>
      <c r="AG1142">
        <v>-1.1011332991110001</v>
      </c>
      <c r="AH1142">
        <v>30.271758653160902</v>
      </c>
      <c r="AI1142">
        <v>91.517144640408006</v>
      </c>
      <c r="AJ1142">
        <v>46.7291113594707</v>
      </c>
      <c r="AK1142">
        <v>41.589748420374001</v>
      </c>
      <c r="AL1142">
        <v>94.897132704893806</v>
      </c>
      <c r="AM1142">
        <v>69.534098195919199</v>
      </c>
      <c r="AN1142">
        <v>0.99999997440172606</v>
      </c>
    </row>
    <row r="1143" spans="1:40" x14ac:dyDescent="0.25">
      <c r="A1143" t="str">
        <f>"20190305135602831"</f>
        <v>20190305135602831</v>
      </c>
      <c r="B1143" t="str">
        <f>"1551765362823273"</f>
        <v>1551765362823273</v>
      </c>
      <c r="C1143" t="s">
        <v>40</v>
      </c>
      <c r="D1143">
        <v>4.4756539999999996</v>
      </c>
      <c r="E1143">
        <v>0.64266159999999894</v>
      </c>
      <c r="F1143" t="s">
        <v>55</v>
      </c>
      <c r="G1143">
        <v>-219.52600000000001</v>
      </c>
      <c r="H1143" s="1">
        <v>3.5324700000000001E-6</v>
      </c>
      <c r="I1143">
        <v>284.69400000000002</v>
      </c>
      <c r="J1143">
        <v>-196.57249999999999</v>
      </c>
      <c r="K1143">
        <v>1.101084</v>
      </c>
      <c r="L1143">
        <v>286.78160000000003</v>
      </c>
      <c r="M1143">
        <v>-0.69471949999999905</v>
      </c>
      <c r="N1143">
        <v>-1.5759519999999999E-2</v>
      </c>
      <c r="O1143">
        <v>-0.71910819999999998</v>
      </c>
      <c r="P1143">
        <v>-0.89914499999999997</v>
      </c>
      <c r="Q1143">
        <v>-9.3537259999999997E-2</v>
      </c>
      <c r="R1143">
        <v>-0.42753819999999998</v>
      </c>
      <c r="S1143">
        <v>-3.1944430000000001</v>
      </c>
      <c r="T1143">
        <v>-0.15219929999999901</v>
      </c>
      <c r="U1143">
        <v>-0.3078613</v>
      </c>
      <c r="V1143">
        <v>0.347883</v>
      </c>
      <c r="W1143">
        <v>-8.6122790000000005E-2</v>
      </c>
      <c r="X1143">
        <v>0.93357389999999996</v>
      </c>
      <c r="Y1143">
        <v>0.64810000000000001</v>
      </c>
      <c r="Z1143">
        <v>3.8906049999999998E-2</v>
      </c>
      <c r="AA1143">
        <v>0.76056080000000004</v>
      </c>
      <c r="AB1143">
        <v>19</v>
      </c>
      <c r="AC1143">
        <v>-22.953499999999899</v>
      </c>
      <c r="AD1143">
        <v>-1.1010804675300001</v>
      </c>
      <c r="AE1143">
        <v>-2.0876000000000001</v>
      </c>
      <c r="AF1143">
        <v>15.0233355394332</v>
      </c>
      <c r="AG1143">
        <v>-1.1010804675300001</v>
      </c>
      <c r="AH1143">
        <v>17.409886402284101</v>
      </c>
      <c r="AI1143">
        <v>92.741337111176705</v>
      </c>
      <c r="AJ1143">
        <v>49.208440891461301</v>
      </c>
      <c r="AK1143">
        <v>23.0221009785555</v>
      </c>
      <c r="AL1143">
        <v>94.940592918495398</v>
      </c>
      <c r="AM1143">
        <v>69.562808361962496</v>
      </c>
      <c r="AN1143">
        <v>0.99999997170379595</v>
      </c>
    </row>
    <row r="1144" spans="1:40" x14ac:dyDescent="0.25">
      <c r="A1144" t="str">
        <f>"20190305135602852"</f>
        <v>20190305135602852</v>
      </c>
      <c r="B1144" t="str">
        <f>"1551765362842793"</f>
        <v>1551765362842793</v>
      </c>
      <c r="C1144" t="s">
        <v>40</v>
      </c>
      <c r="D1144">
        <v>4.5054809999999996</v>
      </c>
      <c r="E1144">
        <v>0.64107760000000003</v>
      </c>
      <c r="F1144" t="s">
        <v>55</v>
      </c>
      <c r="G1144">
        <v>-217.83629999999999</v>
      </c>
      <c r="H1144" s="1">
        <v>2.6333190000000002E-6</v>
      </c>
      <c r="I1144">
        <v>285.01749999999998</v>
      </c>
      <c r="J1144">
        <v>-196.72030000000001</v>
      </c>
      <c r="K1144">
        <v>1.101027</v>
      </c>
      <c r="L1144">
        <v>286.65530000000001</v>
      </c>
      <c r="M1144">
        <v>-0.70591700000000002</v>
      </c>
      <c r="N1144">
        <v>-1.5789689999999999E-2</v>
      </c>
      <c r="O1144">
        <v>-0.70811859999999904</v>
      </c>
      <c r="P1144">
        <v>-0.90544939999999996</v>
      </c>
      <c r="Q1144">
        <v>-9.3879270000000001E-2</v>
      </c>
      <c r="R1144">
        <v>-0.41394180000000003</v>
      </c>
      <c r="S1144">
        <v>-3.1933440000000002</v>
      </c>
      <c r="T1144">
        <v>-0.16535759999999999</v>
      </c>
      <c r="U1144">
        <v>-0.26492310000000002</v>
      </c>
      <c r="V1144">
        <v>0.34725820000000002</v>
      </c>
      <c r="W1144">
        <v>-8.6469199999999996E-2</v>
      </c>
      <c r="X1144">
        <v>0.93377449999999995</v>
      </c>
      <c r="Y1144">
        <v>0.64605809999999997</v>
      </c>
      <c r="Z1144">
        <v>4.2772699999999997E-2</v>
      </c>
      <c r="AA1144">
        <v>0.76208880000000001</v>
      </c>
      <c r="AB1144">
        <v>19</v>
      </c>
      <c r="AC1144">
        <v>-21.1159999999999</v>
      </c>
      <c r="AD1144">
        <v>-1.101024366681</v>
      </c>
      <c r="AE1144">
        <v>-1.6378000000000199</v>
      </c>
      <c r="AF1144">
        <v>13.7610119797781</v>
      </c>
      <c r="AG1144">
        <v>-1.101024366681</v>
      </c>
      <c r="AH1144">
        <v>16.0245960286002</v>
      </c>
      <c r="AI1144">
        <v>92.983903057106602</v>
      </c>
      <c r="AJ1144">
        <v>49.345890716648597</v>
      </c>
      <c r="AK1144">
        <v>21.151013763965398</v>
      </c>
      <c r="AL1144">
        <v>94.960514935957406</v>
      </c>
      <c r="AM1144">
        <v>69.6005079755205</v>
      </c>
      <c r="AN1144">
        <v>0.99999999843306497</v>
      </c>
    </row>
    <row r="1145" spans="1:40" x14ac:dyDescent="0.25">
      <c r="A1145" t="str">
        <f>"20190305135602876"</f>
        <v>20190305135602876</v>
      </c>
      <c r="B1145" t="str">
        <f>"1551765362872582"</f>
        <v>1551765362872582</v>
      </c>
      <c r="C1145" t="s">
        <v>40</v>
      </c>
      <c r="D1145">
        <v>3.7603200000000001</v>
      </c>
      <c r="E1145">
        <v>0.63848769999999999</v>
      </c>
      <c r="F1145" t="s">
        <v>55</v>
      </c>
      <c r="G1145">
        <v>-217.5342</v>
      </c>
      <c r="H1145" s="1">
        <v>2.472521E-6</v>
      </c>
      <c r="I1145">
        <v>285.16879999999998</v>
      </c>
      <c r="J1145">
        <v>-196.87870000000001</v>
      </c>
      <c r="K1145">
        <v>1.100965</v>
      </c>
      <c r="L1145">
        <v>286.52449999999999</v>
      </c>
      <c r="M1145">
        <v>-0.71766289999999999</v>
      </c>
      <c r="N1145">
        <v>-1.5822240000000001E-2</v>
      </c>
      <c r="O1145">
        <v>-0.69621099999999903</v>
      </c>
      <c r="P1145">
        <v>-0.91130909999999998</v>
      </c>
      <c r="Q1145">
        <v>-9.5057340000000004E-2</v>
      </c>
      <c r="R1145">
        <v>-0.4005995</v>
      </c>
      <c r="S1145">
        <v>-3.1915740000000001</v>
      </c>
      <c r="T1145">
        <v>-0.1688299</v>
      </c>
      <c r="U1145">
        <v>-0.22793579999999999</v>
      </c>
      <c r="V1145">
        <v>0.34523409999999999</v>
      </c>
      <c r="W1145">
        <v>-8.7610759999999996E-2</v>
      </c>
      <c r="X1145">
        <v>0.93441839999999998</v>
      </c>
      <c r="Y1145">
        <v>0.64198049999999995</v>
      </c>
      <c r="Z1145">
        <v>4.3584820000000003E-2</v>
      </c>
      <c r="AA1145">
        <v>0.76548119999999997</v>
      </c>
      <c r="AB1145">
        <v>19</v>
      </c>
      <c r="AC1145">
        <v>-20.6554999999999</v>
      </c>
      <c r="AD1145">
        <v>-1.100962527479</v>
      </c>
      <c r="AE1145">
        <v>-1.3557000000000099</v>
      </c>
      <c r="AF1145">
        <v>13.3715026605826</v>
      </c>
      <c r="AG1145">
        <v>-1.100962527479</v>
      </c>
      <c r="AH1145">
        <v>15.7250287863864</v>
      </c>
      <c r="AI1145">
        <v>93.053103461894295</v>
      </c>
      <c r="AJ1145">
        <v>49.624406046746699</v>
      </c>
      <c r="AK1145">
        <v>20.6708909392305</v>
      </c>
      <c r="AL1145">
        <v>95.026170739481898</v>
      </c>
      <c r="AM1145">
        <v>69.722535956786999</v>
      </c>
      <c r="AN1145">
        <v>0.99999998766457299</v>
      </c>
    </row>
    <row r="1146" spans="1:40" x14ac:dyDescent="0.25">
      <c r="A1146" t="str">
        <f>"20190305135602921"</f>
        <v>20190305135602921</v>
      </c>
      <c r="B1146" t="str">
        <f>"1551765362912598"</f>
        <v>1551765362912598</v>
      </c>
      <c r="C1146" t="s">
        <v>40</v>
      </c>
      <c r="D1146">
        <v>4.5324559999999998</v>
      </c>
      <c r="E1146">
        <v>0.63569900000000001</v>
      </c>
      <c r="F1146" t="s">
        <v>55</v>
      </c>
      <c r="G1146">
        <v>-217.41759999999999</v>
      </c>
      <c r="H1146" s="1">
        <v>2.4105079999999998E-6</v>
      </c>
      <c r="I1146">
        <v>285.23360000000002</v>
      </c>
      <c r="J1146">
        <v>-197.20240000000001</v>
      </c>
      <c r="K1146">
        <v>1.1008849999999999</v>
      </c>
      <c r="L1146">
        <v>286.2713</v>
      </c>
      <c r="M1146">
        <v>-0.74084850000000002</v>
      </c>
      <c r="N1146">
        <v>-1.5885679999999999E-2</v>
      </c>
      <c r="O1146">
        <v>-0.67148450000000004</v>
      </c>
      <c r="P1146">
        <v>-0.92218679999999997</v>
      </c>
      <c r="Q1146">
        <v>-9.4525079999999997E-2</v>
      </c>
      <c r="R1146">
        <v>-0.3750153</v>
      </c>
      <c r="S1146">
        <v>-3.1861269999999999</v>
      </c>
      <c r="T1146">
        <v>-0.1707882</v>
      </c>
      <c r="U1146">
        <v>-0.2002563</v>
      </c>
      <c r="V1146">
        <v>0.339667</v>
      </c>
      <c r="W1146">
        <v>-8.6937500000000001E-2</v>
      </c>
      <c r="X1146">
        <v>0.9365192</v>
      </c>
      <c r="Y1146">
        <v>0.62233380000000005</v>
      </c>
      <c r="Z1146">
        <v>4.3179290000000002E-2</v>
      </c>
      <c r="AA1146">
        <v>0.78156009999999998</v>
      </c>
      <c r="AB1146">
        <v>19</v>
      </c>
      <c r="AC1146">
        <v>-20.2151999999999</v>
      </c>
      <c r="AD1146">
        <v>-1.100882589492</v>
      </c>
      <c r="AE1146">
        <v>-1.0376999999999701</v>
      </c>
      <c r="AF1146">
        <v>12.769259035315899</v>
      </c>
      <c r="AG1146">
        <v>-1.100882589492</v>
      </c>
      <c r="AH1146">
        <v>15.628946964291099</v>
      </c>
      <c r="AI1146">
        <v>93.122242809377397</v>
      </c>
      <c r="AJ1146">
        <v>50.750277525456802</v>
      </c>
      <c r="AK1146">
        <v>20.2121226495257</v>
      </c>
      <c r="AL1146">
        <v>94.987447937696501</v>
      </c>
      <c r="AM1146">
        <v>70.064752067768794</v>
      </c>
      <c r="AN1146">
        <v>1.00000000588194</v>
      </c>
    </row>
    <row r="1147" spans="1:40" x14ac:dyDescent="0.25">
      <c r="A1147" t="str">
        <f>"20190305135602941"</f>
        <v>20190305135602941</v>
      </c>
      <c r="B1147" t="str">
        <f>"1551765362933094"</f>
        <v>1551765362933094</v>
      </c>
      <c r="C1147" t="s">
        <v>40</v>
      </c>
      <c r="D1147">
        <v>4.5243529999999996</v>
      </c>
      <c r="E1147">
        <v>0.63423409999999902</v>
      </c>
      <c r="F1147" t="s">
        <v>55</v>
      </c>
      <c r="G1147">
        <v>-217.25890000000001</v>
      </c>
      <c r="H1147" s="1">
        <v>2.3260420000000001E-6</v>
      </c>
      <c r="I1147">
        <v>285.44220000000001</v>
      </c>
      <c r="J1147">
        <v>-197.3492</v>
      </c>
      <c r="K1147">
        <v>1.1008659999999999</v>
      </c>
      <c r="L1147">
        <v>286.16239999999999</v>
      </c>
      <c r="M1147">
        <v>-0.75099300000000002</v>
      </c>
      <c r="N1147">
        <v>-1.5911720000000001E-2</v>
      </c>
      <c r="O1147">
        <v>-0.6601186</v>
      </c>
      <c r="P1147">
        <v>-0.92647900000000005</v>
      </c>
      <c r="Q1147">
        <v>-9.5243010000000003E-2</v>
      </c>
      <c r="R1147">
        <v>-0.36409520000000001</v>
      </c>
      <c r="S1147">
        <v>-3.1817470000000001</v>
      </c>
      <c r="T1147">
        <v>-0.1746432</v>
      </c>
      <c r="U1147">
        <v>-0.1315308</v>
      </c>
      <c r="V1147">
        <v>0.336397</v>
      </c>
      <c r="W1147">
        <v>-8.7561550000000002E-2</v>
      </c>
      <c r="X1147">
        <v>0.93764069999999999</v>
      </c>
      <c r="Y1147">
        <v>0.62708909999999995</v>
      </c>
      <c r="Z1147">
        <v>4.4407919999999997E-2</v>
      </c>
      <c r="AA1147">
        <v>0.7776807</v>
      </c>
      <c r="AB1147">
        <v>19</v>
      </c>
      <c r="AC1147">
        <v>-19.909700000000001</v>
      </c>
      <c r="AD1147">
        <v>-1.100863673958</v>
      </c>
      <c r="AE1147">
        <v>-0.72019999999997697</v>
      </c>
      <c r="AF1147">
        <v>12.565127119889</v>
      </c>
      <c r="AG1147">
        <v>-1.100863673958</v>
      </c>
      <c r="AH1147">
        <v>15.382447035835</v>
      </c>
      <c r="AI1147">
        <v>93.172395994110403</v>
      </c>
      <c r="AJ1147">
        <v>50.756387241139798</v>
      </c>
      <c r="AK1147">
        <v>19.892561352874601</v>
      </c>
      <c r="AL1147">
        <v>95.023340151381305</v>
      </c>
      <c r="AM1147">
        <v>70.263555534761394</v>
      </c>
      <c r="AN1147">
        <v>1.00000002447194</v>
      </c>
    </row>
    <row r="1148" spans="1:40" x14ac:dyDescent="0.25">
      <c r="A1148" t="str">
        <f>"20190305135602963"</f>
        <v>20190305135602963</v>
      </c>
      <c r="B1148" t="str">
        <f>"1551765362952613"</f>
        <v>1551765362952613</v>
      </c>
      <c r="C1148" t="s">
        <v>40</v>
      </c>
      <c r="D1148">
        <v>4.5348300000000004</v>
      </c>
      <c r="E1148">
        <v>0.61952379999999996</v>
      </c>
      <c r="F1148" t="s">
        <v>55</v>
      </c>
      <c r="G1148">
        <v>-216.5453</v>
      </c>
      <c r="H1148" s="1">
        <v>1.9463010000000001E-6</v>
      </c>
      <c r="I1148">
        <v>285.53219999999999</v>
      </c>
      <c r="J1148">
        <v>-197.5001</v>
      </c>
      <c r="K1148">
        <v>1.10084</v>
      </c>
      <c r="L1148">
        <v>286.05419999999998</v>
      </c>
      <c r="M1148">
        <v>-0.76117579999999996</v>
      </c>
      <c r="N1148">
        <v>-1.5935370000000001E-2</v>
      </c>
      <c r="O1148">
        <v>-0.64834999999999998</v>
      </c>
      <c r="P1148">
        <v>-0.93029919999999999</v>
      </c>
      <c r="Q1148">
        <v>-9.7864510000000002E-2</v>
      </c>
      <c r="R1148">
        <v>-0.35350540000000003</v>
      </c>
      <c r="S1148">
        <v>-3.1783290000000002</v>
      </c>
      <c r="T1148">
        <v>-0.18227160000000001</v>
      </c>
      <c r="U1148">
        <v>-0.1043396</v>
      </c>
      <c r="V1148">
        <v>0.33226699999999998</v>
      </c>
      <c r="W1148">
        <v>-9.0060580000000001E-2</v>
      </c>
      <c r="X1148">
        <v>0.93887580000000004</v>
      </c>
      <c r="Y1148">
        <v>0.62143740000000003</v>
      </c>
      <c r="Z1148">
        <v>4.6234049999999999E-2</v>
      </c>
      <c r="AA1148">
        <v>0.78209839999999997</v>
      </c>
      <c r="AB1148">
        <v>19</v>
      </c>
      <c r="AC1148">
        <v>-19.045199999999902</v>
      </c>
      <c r="AD1148">
        <v>-1.1008380536989999</v>
      </c>
      <c r="AE1148">
        <v>-0.52199999999999103</v>
      </c>
      <c r="AF1148">
        <v>11.912368466952</v>
      </c>
      <c r="AG1148">
        <v>-1.1008380536989999</v>
      </c>
      <c r="AH1148">
        <v>14.7876975585965</v>
      </c>
      <c r="AI1148">
        <v>93.317868079590497</v>
      </c>
      <c r="AJ1148">
        <v>51.1464927935967</v>
      </c>
      <c r="AK1148">
        <v>19.020840307342599</v>
      </c>
      <c r="AL1148">
        <v>95.167092131043503</v>
      </c>
      <c r="AM1148">
        <v>70.511190747574801</v>
      </c>
      <c r="AN1148">
        <v>1.0000000175922801</v>
      </c>
    </row>
    <row r="1149" spans="1:40" x14ac:dyDescent="0.25">
      <c r="A1149" t="str">
        <f>"20190305135602985"</f>
        <v>20190305135602985</v>
      </c>
      <c r="B1149" t="str">
        <f>"1551765362972640"</f>
        <v>1551765362972640</v>
      </c>
      <c r="C1149" t="s">
        <v>40</v>
      </c>
      <c r="D1149">
        <v>4.5322930000000001</v>
      </c>
      <c r="E1149">
        <v>0.61722670000000002</v>
      </c>
      <c r="F1149" t="s">
        <v>55</v>
      </c>
      <c r="G1149">
        <v>-211.3854</v>
      </c>
      <c r="H1149" s="1">
        <v>-7.9956850000000002E-7</v>
      </c>
      <c r="I1149">
        <v>285.29500000000002</v>
      </c>
      <c r="J1149">
        <v>-197.66300000000001</v>
      </c>
      <c r="K1149">
        <v>1.1008439999999999</v>
      </c>
      <c r="L1149">
        <v>285.94119999999998</v>
      </c>
      <c r="M1149">
        <v>-0.77188140000000005</v>
      </c>
      <c r="N1149">
        <v>-1.5956089999999999E-2</v>
      </c>
      <c r="O1149">
        <v>-0.63556639999999998</v>
      </c>
      <c r="P1149">
        <v>-0.93416670000000002</v>
      </c>
      <c r="Q1149">
        <v>-0.100068</v>
      </c>
      <c r="R1149">
        <v>-0.34251880000000001</v>
      </c>
      <c r="S1149">
        <v>-3.1335449999999998</v>
      </c>
      <c r="T1149">
        <v>-0.24843119999999999</v>
      </c>
      <c r="U1149">
        <v>-0.1713257</v>
      </c>
      <c r="V1149">
        <v>0.3274842</v>
      </c>
      <c r="W1149">
        <v>-9.211366E-2</v>
      </c>
      <c r="X1149">
        <v>0.94035590000000002</v>
      </c>
      <c r="Y1149">
        <v>0.58940109999999901</v>
      </c>
      <c r="Z1149">
        <v>6.4029870000000003E-2</v>
      </c>
      <c r="AA1149">
        <v>0.80529910000000005</v>
      </c>
      <c r="AB1149">
        <v>19</v>
      </c>
      <c r="AC1149">
        <v>-13.7224</v>
      </c>
      <c r="AD1149">
        <v>-1.1008447995685</v>
      </c>
      <c r="AE1149">
        <v>-0.64619999999996403</v>
      </c>
      <c r="AF1149">
        <v>8.1712818557952307</v>
      </c>
      <c r="AG1149">
        <v>-1.1008447995685</v>
      </c>
      <c r="AH1149">
        <v>10.933957093143301</v>
      </c>
      <c r="AI1149">
        <v>94.610824460346606</v>
      </c>
      <c r="AJ1149">
        <v>53.228109030777098</v>
      </c>
      <c r="AK1149">
        <v>13.694273407314601</v>
      </c>
      <c r="AL1149">
        <v>95.285215989476001</v>
      </c>
      <c r="AM1149">
        <v>70.799042036605101</v>
      </c>
      <c r="AN1149">
        <v>1.00000002313652</v>
      </c>
    </row>
    <row r="1150" spans="1:40" x14ac:dyDescent="0.25">
      <c r="A1150" t="str">
        <f>"20190305135603008"</f>
        <v>20190305135603008</v>
      </c>
      <c r="B1150" t="str">
        <f>"1551765363002895"</f>
        <v>1551765363002895</v>
      </c>
      <c r="C1150" t="s">
        <v>40</v>
      </c>
      <c r="D1150">
        <v>4.5526210000000003</v>
      </c>
      <c r="E1150">
        <v>0.61551219999999995</v>
      </c>
      <c r="F1150" t="s">
        <v>55</v>
      </c>
      <c r="G1150">
        <v>-210.2654</v>
      </c>
      <c r="H1150" s="1">
        <v>-1.3955799999999999E-6</v>
      </c>
      <c r="I1150">
        <v>285.3381</v>
      </c>
      <c r="J1150">
        <v>-197.83019999999999</v>
      </c>
      <c r="K1150">
        <v>1.1008739999999999</v>
      </c>
      <c r="L1150">
        <v>285.82960000000003</v>
      </c>
      <c r="M1150">
        <v>-0.78254399999999902</v>
      </c>
      <c r="N1150">
        <v>-1.5971220000000001E-2</v>
      </c>
      <c r="O1150">
        <v>-0.62239029999999995</v>
      </c>
      <c r="P1150">
        <v>-0.93806769999999995</v>
      </c>
      <c r="Q1150">
        <v>-0.10064720000000001</v>
      </c>
      <c r="R1150">
        <v>-0.33151079999999999</v>
      </c>
      <c r="S1150">
        <v>-3.1272739999999999</v>
      </c>
      <c r="T1150">
        <v>-0.27317560000000002</v>
      </c>
      <c r="U1150">
        <v>-0.14965819999999999</v>
      </c>
      <c r="V1150">
        <v>0.32256020000000002</v>
      </c>
      <c r="W1150">
        <v>-9.2527719999999994E-2</v>
      </c>
      <c r="X1150">
        <v>0.94201570000000001</v>
      </c>
      <c r="Y1150">
        <v>0.58052459999999995</v>
      </c>
      <c r="Z1150">
        <v>7.0105219999999996E-2</v>
      </c>
      <c r="AA1150">
        <v>0.81121909999999997</v>
      </c>
      <c r="AB1150">
        <v>19</v>
      </c>
      <c r="AC1150">
        <v>-12.4352</v>
      </c>
      <c r="AD1150">
        <v>-1.1008753955799999</v>
      </c>
      <c r="AE1150">
        <v>-0.49150000000003002</v>
      </c>
      <c r="AF1150">
        <v>7.29875230535455</v>
      </c>
      <c r="AG1150">
        <v>-1.1008753955799999</v>
      </c>
      <c r="AH1150">
        <v>9.9603358062593301</v>
      </c>
      <c r="AI1150">
        <v>95.094570641296897</v>
      </c>
      <c r="AJ1150">
        <v>53.7667190009563</v>
      </c>
      <c r="AK1150">
        <v>12.397257810699999</v>
      </c>
      <c r="AL1150">
        <v>95.309041646115503</v>
      </c>
      <c r="AM1150">
        <v>71.098032668443395</v>
      </c>
      <c r="AN1150">
        <v>1.0000000203194599</v>
      </c>
    </row>
    <row r="1151" spans="1:40" x14ac:dyDescent="0.25">
      <c r="A1151" t="str">
        <f>"20190305135603031"</f>
        <v>20190305135603031</v>
      </c>
      <c r="B1151" t="str">
        <f>"1551765363023393"</f>
        <v>1551765363023393</v>
      </c>
      <c r="C1151" t="s">
        <v>40</v>
      </c>
      <c r="D1151">
        <v>4.605086</v>
      </c>
      <c r="E1151">
        <v>0.61448499999999995</v>
      </c>
      <c r="F1151" t="s">
        <v>55</v>
      </c>
      <c r="G1151">
        <v>-210.72550000000001</v>
      </c>
      <c r="H1151" s="1">
        <v>-1.150704E-6</v>
      </c>
      <c r="I1151">
        <v>285.3066</v>
      </c>
      <c r="J1151">
        <v>-198.00059999999999</v>
      </c>
      <c r="K1151">
        <v>1.1009340000000001</v>
      </c>
      <c r="L1151">
        <v>285.72000000000003</v>
      </c>
      <c r="M1151">
        <v>-0.79308029999999996</v>
      </c>
      <c r="N1151">
        <v>-1.598049E-2</v>
      </c>
      <c r="O1151">
        <v>-0.60890739999999999</v>
      </c>
      <c r="P1151">
        <v>-0.94177909999999998</v>
      </c>
      <c r="Q1151">
        <v>-0.1009731</v>
      </c>
      <c r="R1151">
        <v>-0.32071270000000002</v>
      </c>
      <c r="S1151">
        <v>-3.1246489999999998</v>
      </c>
      <c r="T1151">
        <v>-0.26675130000000002</v>
      </c>
      <c r="U1151">
        <v>-0.12670899999999999</v>
      </c>
      <c r="V1151">
        <v>0.31724659999999999</v>
      </c>
      <c r="W1151">
        <v>-9.2671580000000003E-2</v>
      </c>
      <c r="X1151">
        <v>0.94380430000000004</v>
      </c>
      <c r="Y1151">
        <v>0.57273850000000004</v>
      </c>
      <c r="Z1151">
        <v>6.7393030000000007E-2</v>
      </c>
      <c r="AA1151">
        <v>0.8169632</v>
      </c>
      <c r="AB1151">
        <v>19</v>
      </c>
      <c r="AC1151">
        <v>-12.7249</v>
      </c>
      <c r="AD1151">
        <v>-1.1009351507039999</v>
      </c>
      <c r="AE1151">
        <v>-0.41340000000002403</v>
      </c>
      <c r="AF1151">
        <v>7.3662927321021598</v>
      </c>
      <c r="AG1151">
        <v>-1.1009351507039999</v>
      </c>
      <c r="AH1151">
        <v>10.268131060759201</v>
      </c>
      <c r="AI1151">
        <v>94.978988849572701</v>
      </c>
      <c r="AJ1151">
        <v>54.344580549444203</v>
      </c>
      <c r="AK1151">
        <v>12.6849849153243</v>
      </c>
      <c r="AL1151">
        <v>95.317319936412105</v>
      </c>
      <c r="AM1151">
        <v>71.420650140487695</v>
      </c>
      <c r="AN1151">
        <v>0.99999999182487298</v>
      </c>
    </row>
    <row r="1152" spans="1:40" x14ac:dyDescent="0.25">
      <c r="A1152" t="str">
        <f>"20190305135603051"</f>
        <v>20190305135603051</v>
      </c>
      <c r="B1152" t="str">
        <f>"1551765363042912"</f>
        <v>1551765363042912</v>
      </c>
      <c r="C1152" t="s">
        <v>40</v>
      </c>
      <c r="D1152">
        <v>4.587224</v>
      </c>
      <c r="E1152">
        <v>0.61341069999999998</v>
      </c>
      <c r="F1152" t="s">
        <v>55</v>
      </c>
      <c r="G1152">
        <v>-210.86580000000001</v>
      </c>
      <c r="H1152" s="1">
        <v>-1.0760360000000001E-6</v>
      </c>
      <c r="I1152">
        <v>285.31299999999999</v>
      </c>
      <c r="J1152">
        <v>-198.15940000000001</v>
      </c>
      <c r="K1152">
        <v>1.1009960000000001</v>
      </c>
      <c r="L1152">
        <v>285.6216</v>
      </c>
      <c r="M1152">
        <v>-0.80258739999999995</v>
      </c>
      <c r="N1152">
        <v>-1.5984149999999999E-2</v>
      </c>
      <c r="O1152">
        <v>-0.59632050000000003</v>
      </c>
      <c r="P1152">
        <v>-0.94523829999999998</v>
      </c>
      <c r="Q1152">
        <v>-9.975096E-2</v>
      </c>
      <c r="R1152">
        <v>-0.3107645</v>
      </c>
      <c r="S1152">
        <v>-3.123138</v>
      </c>
      <c r="T1152">
        <v>-0.26726129999999998</v>
      </c>
      <c r="U1152">
        <v>-9.8785399999999995E-2</v>
      </c>
      <c r="V1152">
        <v>0.31242809999999999</v>
      </c>
      <c r="W1152">
        <v>-9.1278769999999995E-2</v>
      </c>
      <c r="X1152">
        <v>0.94554579999999999</v>
      </c>
      <c r="Y1152">
        <v>0.56712180000000001</v>
      </c>
      <c r="Z1152">
        <v>6.6715189999999994E-2</v>
      </c>
      <c r="AA1152">
        <v>0.82092749999999903</v>
      </c>
      <c r="AB1152">
        <v>19</v>
      </c>
      <c r="AC1152">
        <v>-12.7064</v>
      </c>
      <c r="AD1152">
        <v>-1.1009970760359999</v>
      </c>
      <c r="AE1152">
        <v>-0.30860000000001198</v>
      </c>
      <c r="AF1152">
        <v>7.2757496995488298</v>
      </c>
      <c r="AG1152">
        <v>-1.1009970760359999</v>
      </c>
      <c r="AH1152">
        <v>10.306014224780499</v>
      </c>
      <c r="AI1152">
        <v>94.987763390305801</v>
      </c>
      <c r="AJ1152">
        <v>54.779007803470499</v>
      </c>
      <c r="AK1152">
        <v>12.663437821275201</v>
      </c>
      <c r="AL1152">
        <v>95.237178076825401</v>
      </c>
      <c r="AM1152">
        <v>71.715364975406303</v>
      </c>
      <c r="AN1152">
        <v>0.99999999570998099</v>
      </c>
    </row>
    <row r="1153" spans="1:40" x14ac:dyDescent="0.25">
      <c r="A1153" t="str">
        <f>"20190305135603072"</f>
        <v>20190305135603072</v>
      </c>
      <c r="B1153" t="str">
        <f>"1551765363063408"</f>
        <v>1551765363063408</v>
      </c>
      <c r="C1153" t="s">
        <v>40</v>
      </c>
      <c r="D1153">
        <v>4.6078869999999998</v>
      </c>
      <c r="E1153">
        <v>0.61230430000000002</v>
      </c>
      <c r="F1153" t="s">
        <v>55</v>
      </c>
      <c r="G1153">
        <v>-211.3058</v>
      </c>
      <c r="H1153" s="1">
        <v>-8.4188029999999899E-7</v>
      </c>
      <c r="I1153">
        <v>285.30869999999999</v>
      </c>
      <c r="J1153">
        <v>-198.3193</v>
      </c>
      <c r="K1153">
        <v>1.101051</v>
      </c>
      <c r="L1153">
        <v>285.52609999999999</v>
      </c>
      <c r="M1153">
        <v>-0.81186369999999997</v>
      </c>
      <c r="N1153">
        <v>-1.5983819999999999E-2</v>
      </c>
      <c r="O1153">
        <v>-0.58362840000000005</v>
      </c>
      <c r="P1153">
        <v>-0.94891080000000005</v>
      </c>
      <c r="Q1153">
        <v>-9.7971329999999995E-2</v>
      </c>
      <c r="R1153">
        <v>-0.299950299999999</v>
      </c>
      <c r="S1153">
        <v>-3.1217800000000002</v>
      </c>
      <c r="T1153">
        <v>-0.2614456</v>
      </c>
      <c r="U1153">
        <v>-7.4310299999999996E-2</v>
      </c>
      <c r="V1153">
        <v>0.3085214</v>
      </c>
      <c r="W1153">
        <v>-8.9352550000000003E-2</v>
      </c>
      <c r="X1153">
        <v>0.94701139999999995</v>
      </c>
      <c r="Y1153">
        <v>0.56080369999999902</v>
      </c>
      <c r="Z1153">
        <v>6.4284439999999998E-2</v>
      </c>
      <c r="AA1153">
        <v>0.8254494</v>
      </c>
      <c r="AB1153">
        <v>19</v>
      </c>
      <c r="AC1153">
        <v>-12.986499999999999</v>
      </c>
      <c r="AD1153">
        <v>-1.1010518418802999</v>
      </c>
      <c r="AE1153">
        <v>-0.21739999999999701</v>
      </c>
      <c r="AF1153">
        <v>7.3509095519329097</v>
      </c>
      <c r="AG1153">
        <v>-1.1010518418802999</v>
      </c>
      <c r="AH1153">
        <v>10.595368407261301</v>
      </c>
      <c r="AI1153">
        <v>94.880173408144501</v>
      </c>
      <c r="AJ1153">
        <v>55.247660148900501</v>
      </c>
      <c r="AK1153">
        <v>12.9425661321392</v>
      </c>
      <c r="AL1153">
        <v>95.1263610663203</v>
      </c>
      <c r="AM1153">
        <v>71.955206235455293</v>
      </c>
      <c r="AN1153">
        <v>0.99999996208970998</v>
      </c>
    </row>
    <row r="1154" spans="1:40" x14ac:dyDescent="0.25">
      <c r="A1154" t="str">
        <f>"20190305135603097"</f>
        <v>20190305135603097</v>
      </c>
      <c r="B1154" t="str">
        <f>"1551765363093195"</f>
        <v>1551765363093195</v>
      </c>
      <c r="C1154" t="s">
        <v>40</v>
      </c>
      <c r="D1154">
        <v>4.7129240000000001</v>
      </c>
      <c r="E1154">
        <v>0.61072459999999995</v>
      </c>
      <c r="F1154" t="s">
        <v>55</v>
      </c>
      <c r="G1154">
        <v>-211.67850000000001</v>
      </c>
      <c r="H1154" s="1">
        <v>-6.4355300000000005E-7</v>
      </c>
      <c r="I1154">
        <v>285.32459999999998</v>
      </c>
      <c r="J1154">
        <v>-198.50030000000001</v>
      </c>
      <c r="K1154">
        <v>1.1011150000000001</v>
      </c>
      <c r="L1154">
        <v>285.4221</v>
      </c>
      <c r="M1154">
        <v>-0.8220073</v>
      </c>
      <c r="N1154">
        <v>-1.5979090000000001E-2</v>
      </c>
      <c r="O1154">
        <v>-0.5692528</v>
      </c>
      <c r="P1154">
        <v>-0.95335729999999996</v>
      </c>
      <c r="Q1154">
        <v>-9.6710169999999998E-2</v>
      </c>
      <c r="R1154">
        <v>-0.28593170000000001</v>
      </c>
      <c r="S1154">
        <v>-3.1200869999999998</v>
      </c>
      <c r="T1154">
        <v>-0.25715399999999999</v>
      </c>
      <c r="U1154">
        <v>-4.705811E-2</v>
      </c>
      <c r="V1154">
        <v>0.3059328</v>
      </c>
      <c r="W1154">
        <v>-8.797808E-2</v>
      </c>
      <c r="X1154">
        <v>0.94797949999999997</v>
      </c>
      <c r="Y1154">
        <v>0.55359859999999905</v>
      </c>
      <c r="Z1154">
        <v>6.2165030000000003E-2</v>
      </c>
      <c r="AA1154">
        <v>0.83046010000000003</v>
      </c>
      <c r="AB1154">
        <v>19</v>
      </c>
      <c r="AC1154">
        <v>-13.1782</v>
      </c>
      <c r="AD1154">
        <v>-1.1011156435529901</v>
      </c>
      <c r="AE1154">
        <v>-9.7500000000024997E-2</v>
      </c>
      <c r="AF1154">
        <v>7.3710699990450896</v>
      </c>
      <c r="AG1154">
        <v>-1.1011156435529901</v>
      </c>
      <c r="AH1154">
        <v>10.813974111929401</v>
      </c>
      <c r="AI1154">
        <v>94.809359967794805</v>
      </c>
      <c r="AJ1154">
        <v>55.720698101225501</v>
      </c>
      <c r="AK1154">
        <v>13.133436895374301</v>
      </c>
      <c r="AL1154">
        <v>95.047297757100395</v>
      </c>
      <c r="AM1154">
        <v>72.114024950654397</v>
      </c>
      <c r="AN1154">
        <v>1.0000000765482799</v>
      </c>
    </row>
    <row r="1155" spans="1:40" x14ac:dyDescent="0.25">
      <c r="A1155" t="str">
        <f>"20190305135603121"</f>
        <v>20190305135603121</v>
      </c>
      <c r="B1155" t="str">
        <f>"1551765363112715"</f>
        <v>1551765363112715</v>
      </c>
      <c r="C1155" t="s">
        <v>40</v>
      </c>
      <c r="D1155">
        <v>4.6875879999999999</v>
      </c>
      <c r="E1155">
        <v>0.61016059999999905</v>
      </c>
      <c r="F1155" t="s">
        <v>55</v>
      </c>
      <c r="G1155">
        <v>-212.07820000000001</v>
      </c>
      <c r="H1155" s="1">
        <v>-4.3089029999999999E-7</v>
      </c>
      <c r="I1155">
        <v>285.36439999999999</v>
      </c>
      <c r="J1155">
        <v>-198.68809999999999</v>
      </c>
      <c r="K1155">
        <v>1.1011919999999999</v>
      </c>
      <c r="L1155">
        <v>285.3184</v>
      </c>
      <c r="M1155">
        <v>-0.83214480000000002</v>
      </c>
      <c r="N1155">
        <v>-1.5969509999999999E-2</v>
      </c>
      <c r="O1155">
        <v>-0.55432859999999995</v>
      </c>
      <c r="P1155">
        <v>-0.95767550000000001</v>
      </c>
      <c r="Q1155">
        <v>-9.6825869999999994E-2</v>
      </c>
      <c r="R1155">
        <v>-0.27107700000000001</v>
      </c>
      <c r="S1155">
        <v>-3.1171880000000001</v>
      </c>
      <c r="T1155">
        <v>-0.25279160000000001</v>
      </c>
      <c r="U1155">
        <v>-1.324463E-2</v>
      </c>
      <c r="V1155">
        <v>0.3035735</v>
      </c>
      <c r="W1155">
        <v>-8.7990570000000004E-2</v>
      </c>
      <c r="X1155">
        <v>0.94873640000000004</v>
      </c>
      <c r="Y1155">
        <v>0.54773240000000001</v>
      </c>
      <c r="Z1155">
        <v>6.0116219999999998E-2</v>
      </c>
      <c r="AA1155">
        <v>0.83449099999999998</v>
      </c>
      <c r="AB1155">
        <v>19</v>
      </c>
      <c r="AC1155">
        <v>-13.3901</v>
      </c>
      <c r="AD1155">
        <v>-1.1011924308903001</v>
      </c>
      <c r="AE1155">
        <v>4.59999999999922E-2</v>
      </c>
      <c r="AF1155">
        <v>7.4116184414560502</v>
      </c>
      <c r="AG1155">
        <v>-1.1011924308903001</v>
      </c>
      <c r="AH1155">
        <v>11.043728550386399</v>
      </c>
      <c r="AI1155">
        <v>94.733009537082495</v>
      </c>
      <c r="AJ1155">
        <v>56.1338221368013</v>
      </c>
      <c r="AK1155">
        <v>13.3457353857403</v>
      </c>
      <c r="AL1155">
        <v>95.048016638365894</v>
      </c>
      <c r="AM1155">
        <v>72.2565416948474</v>
      </c>
      <c r="AN1155">
        <v>0.99999998349806696</v>
      </c>
    </row>
    <row r="1156" spans="1:40" x14ac:dyDescent="0.25">
      <c r="A1156" t="str">
        <f>"20190305135603143"</f>
        <v>20190305135603143</v>
      </c>
      <c r="B1156" t="str">
        <f>"1551765363133211"</f>
        <v>1551765363133211</v>
      </c>
      <c r="C1156" t="s">
        <v>40</v>
      </c>
      <c r="D1156">
        <v>4.6739680000000003</v>
      </c>
      <c r="E1156">
        <v>0.59859700000000005</v>
      </c>
      <c r="F1156" t="s">
        <v>55</v>
      </c>
      <c r="G1156">
        <v>-212.28219999999999</v>
      </c>
      <c r="H1156" s="1">
        <v>-3.2229109999999998E-7</v>
      </c>
      <c r="I1156">
        <v>285.45310000000001</v>
      </c>
      <c r="J1156">
        <v>-198.8638</v>
      </c>
      <c r="K1156">
        <v>1.1012580000000001</v>
      </c>
      <c r="L1156">
        <v>285.22519999999997</v>
      </c>
      <c r="M1156">
        <v>-0.84127629999999998</v>
      </c>
      <c r="N1156">
        <v>-1.5956270000000002E-2</v>
      </c>
      <c r="O1156">
        <v>-0.54036969999999995</v>
      </c>
      <c r="P1156">
        <v>-0.96135060000000006</v>
      </c>
      <c r="Q1156">
        <v>-9.7759100000000002E-2</v>
      </c>
      <c r="R1156">
        <v>-0.25738749999999999</v>
      </c>
      <c r="S1156">
        <v>-3.1158139999999999</v>
      </c>
      <c r="T1156">
        <v>-0.25239549999999999</v>
      </c>
      <c r="U1156">
        <v>3.0883790000000001E-2</v>
      </c>
      <c r="V1156">
        <v>0.30122850000000001</v>
      </c>
      <c r="W1156">
        <v>-8.8826749999999996E-2</v>
      </c>
      <c r="X1156">
        <v>0.94940570000000002</v>
      </c>
      <c r="Y1156">
        <v>0.54564880000000004</v>
      </c>
      <c r="Z1156">
        <v>5.9292919999999999E-2</v>
      </c>
      <c r="AA1156">
        <v>0.83591380000000004</v>
      </c>
      <c r="AB1156">
        <v>19</v>
      </c>
      <c r="AC1156">
        <v>-13.418399999999901</v>
      </c>
      <c r="AD1156">
        <v>-1.1012583222911001</v>
      </c>
      <c r="AE1156">
        <v>0.22790000000003299</v>
      </c>
      <c r="AF1156">
        <v>7.39378463863539</v>
      </c>
      <c r="AG1156">
        <v>-1.1012583222911001</v>
      </c>
      <c r="AH1156">
        <v>11.0921633123808</v>
      </c>
      <c r="AI1156">
        <v>94.7225656549072</v>
      </c>
      <c r="AJ1156">
        <v>56.313476154552198</v>
      </c>
      <c r="AK1156">
        <v>13.3759825105845</v>
      </c>
      <c r="AL1156">
        <v>95.096114519898407</v>
      </c>
      <c r="AM1156">
        <v>72.396750097338398</v>
      </c>
      <c r="AN1156">
        <v>0.99999999196015099</v>
      </c>
    </row>
    <row r="1157" spans="1:40" x14ac:dyDescent="0.25">
      <c r="A1157" t="str">
        <f>"20190305135603163"</f>
        <v>20190305135603163</v>
      </c>
      <c r="B1157" t="str">
        <f>"1551765363152731"</f>
        <v>1551765363152731</v>
      </c>
      <c r="C1157" t="s">
        <v>40</v>
      </c>
      <c r="D1157">
        <v>4.6572199999999997</v>
      </c>
      <c r="E1157">
        <v>0.59672419999999904</v>
      </c>
      <c r="F1157" t="s">
        <v>55</v>
      </c>
      <c r="G1157">
        <v>-212.44919999999999</v>
      </c>
      <c r="H1157" s="1">
        <v>-2.3343409999999999E-7</v>
      </c>
      <c r="I1157">
        <v>285.16140000000001</v>
      </c>
      <c r="J1157">
        <v>-199.0162</v>
      </c>
      <c r="K1157">
        <v>1.101318</v>
      </c>
      <c r="L1157">
        <v>285.1474</v>
      </c>
      <c r="M1157">
        <v>-0.84891070000000002</v>
      </c>
      <c r="N1157">
        <v>-1.594083E-2</v>
      </c>
      <c r="O1157">
        <v>-0.52829609999999905</v>
      </c>
      <c r="P1157">
        <v>-0.96425059999999996</v>
      </c>
      <c r="Q1157">
        <v>-9.8820019999999995E-2</v>
      </c>
      <c r="R1157">
        <v>-0.2458767</v>
      </c>
      <c r="S1157">
        <v>-3.0912480000000002</v>
      </c>
      <c r="T1157">
        <v>-0.25058279999999999</v>
      </c>
      <c r="U1157">
        <v>-1.452637E-2</v>
      </c>
      <c r="V1157">
        <v>0.29895290000000002</v>
      </c>
      <c r="W1157">
        <v>-8.9796840000000003E-2</v>
      </c>
      <c r="X1157">
        <v>0.95003349999999998</v>
      </c>
      <c r="Y1157">
        <v>0.52137299999999998</v>
      </c>
      <c r="Z1157">
        <v>5.749721E-2</v>
      </c>
      <c r="AA1157">
        <v>0.85138959999999997</v>
      </c>
      <c r="AB1157">
        <v>19</v>
      </c>
      <c r="AC1157">
        <v>-13.4329999999999</v>
      </c>
      <c r="AD1157">
        <v>-1.1013182334341001</v>
      </c>
      <c r="AE1157">
        <v>1.4000000000009999E-2</v>
      </c>
      <c r="AF1157">
        <v>7.0619205772050604</v>
      </c>
      <c r="AG1157">
        <v>-1.1013182334341001</v>
      </c>
      <c r="AH1157">
        <v>11.321369173951499</v>
      </c>
      <c r="AI1157">
        <v>94.718330405898399</v>
      </c>
      <c r="AJ1157">
        <v>58.045358572538703</v>
      </c>
      <c r="AK1157">
        <v>13.388690154863699</v>
      </c>
      <c r="AL1157">
        <v>95.151919660007295</v>
      </c>
      <c r="AM1157">
        <v>72.532453664571904</v>
      </c>
      <c r="AN1157">
        <v>0.99999998000732204</v>
      </c>
    </row>
    <row r="1158" spans="1:40" x14ac:dyDescent="0.25">
      <c r="A1158" t="str">
        <f>"20190305135603185"</f>
        <v>20190305135603185</v>
      </c>
      <c r="B1158" t="str">
        <f>"1551765363183494"</f>
        <v>1551765363183494</v>
      </c>
      <c r="C1158" t="s">
        <v>40</v>
      </c>
      <c r="D1158">
        <v>4.6339300000000003</v>
      </c>
      <c r="E1158">
        <v>0.5957633</v>
      </c>
      <c r="F1158" t="s">
        <v>55</v>
      </c>
      <c r="G1158">
        <v>-212.435</v>
      </c>
      <c r="H1158" s="1">
        <v>-2.4097729999999998E-7</v>
      </c>
      <c r="I1158">
        <v>285.18110000000001</v>
      </c>
      <c r="J1158">
        <v>-199.18889999999999</v>
      </c>
      <c r="K1158">
        <v>1.1013919999999999</v>
      </c>
      <c r="L1158">
        <v>285.06229999999999</v>
      </c>
      <c r="M1158">
        <v>-0.85725750000000001</v>
      </c>
      <c r="N1158">
        <v>-1.59183E-2</v>
      </c>
      <c r="O1158">
        <v>-0.51464189999999999</v>
      </c>
      <c r="P1158">
        <v>-0.96736840000000002</v>
      </c>
      <c r="Q1158">
        <v>-9.9698899999999993E-2</v>
      </c>
      <c r="R1158">
        <v>-0.2329348</v>
      </c>
      <c r="S1158">
        <v>-3.08725</v>
      </c>
      <c r="T1158">
        <v>-0.25337789999999999</v>
      </c>
      <c r="U1158">
        <v>7.7514649999999999E-3</v>
      </c>
      <c r="V1158">
        <v>0.296435</v>
      </c>
      <c r="W1158">
        <v>-9.0570730000000002E-2</v>
      </c>
      <c r="X1158">
        <v>0.95074879999999995</v>
      </c>
      <c r="Y1158">
        <v>0.51382810000000001</v>
      </c>
      <c r="Z1158">
        <v>5.7205789999999999E-2</v>
      </c>
      <c r="AA1158">
        <v>0.85598369999999901</v>
      </c>
      <c r="AB1158">
        <v>19</v>
      </c>
      <c r="AC1158">
        <v>-13.2461</v>
      </c>
      <c r="AD1158">
        <v>-1.10139224097729</v>
      </c>
      <c r="AE1158">
        <v>0.118800000000021</v>
      </c>
      <c r="AF1158">
        <v>6.8722083923595898</v>
      </c>
      <c r="AG1158">
        <v>-1.10139224097729</v>
      </c>
      <c r="AH1158">
        <v>11.218058162875099</v>
      </c>
      <c r="AI1158">
        <v>94.785634777980803</v>
      </c>
      <c r="AJ1158">
        <v>58.508267913232103</v>
      </c>
      <c r="AK1158">
        <v>13.201709813586699</v>
      </c>
      <c r="AL1158">
        <v>95.1964414871955</v>
      </c>
      <c r="AM1158">
        <v>72.682986974731605</v>
      </c>
      <c r="AN1158">
        <v>1.0000000235295801</v>
      </c>
    </row>
    <row r="1159" spans="1:40" x14ac:dyDescent="0.25">
      <c r="A1159" t="str">
        <f>"20190305135603208"</f>
        <v>20190305135603208</v>
      </c>
      <c r="B1159" t="str">
        <f>"1551765363203015"</f>
        <v>1551765363203015</v>
      </c>
      <c r="C1159" t="s">
        <v>40</v>
      </c>
      <c r="D1159">
        <v>4.6071470000000003</v>
      </c>
      <c r="E1159">
        <v>0.58898399999999995</v>
      </c>
      <c r="F1159" t="s">
        <v>55</v>
      </c>
      <c r="G1159">
        <v>-212.70570000000001</v>
      </c>
      <c r="H1159" s="1">
        <v>-9.6954240000000006E-8</v>
      </c>
      <c r="I1159">
        <v>285.24329999999998</v>
      </c>
      <c r="J1159">
        <v>-199.3724</v>
      </c>
      <c r="K1159">
        <v>1.1015029999999999</v>
      </c>
      <c r="L1159">
        <v>284.97559999999999</v>
      </c>
      <c r="M1159">
        <v>-0.86576039999999999</v>
      </c>
      <c r="N1159">
        <v>-1.5888590000000001E-2</v>
      </c>
      <c r="O1159">
        <v>-0.5002065</v>
      </c>
      <c r="P1159">
        <v>-0.97066989999999997</v>
      </c>
      <c r="Q1159">
        <v>-9.9243369999999997E-2</v>
      </c>
      <c r="R1159">
        <v>-0.21897720000000001</v>
      </c>
      <c r="S1159">
        <v>-3.0852200000000001</v>
      </c>
      <c r="T1159">
        <v>-0.25139460000000002</v>
      </c>
      <c r="U1159">
        <v>4.1290279999999999E-2</v>
      </c>
      <c r="V1159">
        <v>0.29425790000000002</v>
      </c>
      <c r="W1159">
        <v>-9.0010049999999994E-2</v>
      </c>
      <c r="X1159">
        <v>0.95147809999999999</v>
      </c>
      <c r="Y1159">
        <v>0.50885979999999997</v>
      </c>
      <c r="Z1159">
        <v>5.5790159999999998E-2</v>
      </c>
      <c r="AA1159">
        <v>0.85903969999999896</v>
      </c>
      <c r="AB1159">
        <v>19</v>
      </c>
      <c r="AC1159">
        <v>-13.333299999999999</v>
      </c>
      <c r="AD1159">
        <v>-1.1015030969542401</v>
      </c>
      <c r="AE1159">
        <v>0.26769999999999</v>
      </c>
      <c r="AF1159">
        <v>6.8552707644356703</v>
      </c>
      <c r="AG1159">
        <v>-1.1015030969542401</v>
      </c>
      <c r="AH1159">
        <v>11.3336580561839</v>
      </c>
      <c r="AI1159">
        <v>94.753766081368894</v>
      </c>
      <c r="AJ1159">
        <v>58.831955148009598</v>
      </c>
      <c r="AK1159">
        <v>13.2913449756159</v>
      </c>
      <c r="AL1159">
        <v>95.164185012538695</v>
      </c>
      <c r="AM1159">
        <v>72.815045571303699</v>
      </c>
      <c r="AN1159">
        <v>1.0000000477965101</v>
      </c>
    </row>
    <row r="1160" spans="1:40" x14ac:dyDescent="0.25">
      <c r="A1160" t="str">
        <f>"20190305135603231"</f>
        <v>20190305135603231</v>
      </c>
      <c r="B1160" t="str">
        <f>"1551765363223511"</f>
        <v>1551765363223511</v>
      </c>
      <c r="C1160" t="s">
        <v>40</v>
      </c>
      <c r="D1160">
        <v>4.570513</v>
      </c>
      <c r="E1160">
        <v>0.58648599999999995</v>
      </c>
      <c r="F1160" t="s">
        <v>55</v>
      </c>
      <c r="G1160">
        <v>-212.8896</v>
      </c>
      <c r="H1160" s="1">
        <v>9.1307580000000002E-10</v>
      </c>
      <c r="I1160">
        <v>285.1198</v>
      </c>
      <c r="J1160">
        <v>-199.54929999999999</v>
      </c>
      <c r="K1160">
        <v>1.10164</v>
      </c>
      <c r="L1160">
        <v>284.89530000000002</v>
      </c>
      <c r="M1160">
        <v>-0.87361069999999996</v>
      </c>
      <c r="N1160">
        <v>-1.5853369999999999E-2</v>
      </c>
      <c r="O1160">
        <v>-0.4863672</v>
      </c>
      <c r="P1160">
        <v>-0.97328239999999999</v>
      </c>
      <c r="Q1160">
        <v>-9.8713480000000006E-2</v>
      </c>
      <c r="R1160">
        <v>-0.2073082</v>
      </c>
      <c r="S1160">
        <v>-3.0724330000000002</v>
      </c>
      <c r="T1160">
        <v>-0.2503687</v>
      </c>
      <c r="U1160">
        <v>3.277588E-2</v>
      </c>
      <c r="V1160">
        <v>0.29060619999999998</v>
      </c>
      <c r="W1160">
        <v>-8.9338269999999997E-2</v>
      </c>
      <c r="X1160">
        <v>0.95266289999999998</v>
      </c>
      <c r="Y1160">
        <v>0.49284909999999998</v>
      </c>
      <c r="Z1160">
        <v>5.4263560000000002E-2</v>
      </c>
      <c r="AA1160">
        <v>0.86842109999999995</v>
      </c>
      <c r="AB1160">
        <v>19</v>
      </c>
      <c r="AC1160">
        <v>-13.340299999999999</v>
      </c>
      <c r="AD1160">
        <v>-1.1016399990869199</v>
      </c>
      <c r="AE1160">
        <v>0.224499999999977</v>
      </c>
      <c r="AF1160">
        <v>6.6399819021384898</v>
      </c>
      <c r="AG1160">
        <v>-1.1016399990869199</v>
      </c>
      <c r="AH1160">
        <v>11.468305060550099</v>
      </c>
      <c r="AI1160">
        <v>94.752132554511903</v>
      </c>
      <c r="AJ1160">
        <v>59.929782524637801</v>
      </c>
      <c r="AK1160">
        <v>13.297555839708</v>
      </c>
      <c r="AL1160">
        <v>95.125539682512795</v>
      </c>
      <c r="AM1160">
        <v>73.035872229541596</v>
      </c>
      <c r="AN1160">
        <v>0.99999994550072002</v>
      </c>
    </row>
    <row r="1161" spans="1:40" x14ac:dyDescent="0.25">
      <c r="A1161" t="str">
        <f>"20190305135603252"</f>
        <v>20190305135603252</v>
      </c>
      <c r="B1161" t="str">
        <f>"1551765363243030"</f>
        <v>1551765363243030</v>
      </c>
      <c r="C1161" t="s">
        <v>40</v>
      </c>
      <c r="D1161">
        <v>4.566497</v>
      </c>
      <c r="E1161">
        <v>0.58428349999999996</v>
      </c>
      <c r="F1161" t="s">
        <v>55</v>
      </c>
      <c r="G1161">
        <v>-212.72139999999999</v>
      </c>
      <c r="H1161" s="1">
        <v>-8.8612920000000002E-8</v>
      </c>
      <c r="I1161">
        <v>285.11380000000003</v>
      </c>
      <c r="J1161">
        <v>-199.7192</v>
      </c>
      <c r="K1161">
        <v>1.1017749999999999</v>
      </c>
      <c r="L1161">
        <v>284.82139999999998</v>
      </c>
      <c r="M1161">
        <v>-0.88083009999999995</v>
      </c>
      <c r="N1161">
        <v>-1.5808450000000002E-2</v>
      </c>
      <c r="O1161">
        <v>-0.47316849999999999</v>
      </c>
      <c r="P1161">
        <v>-0.97549410000000003</v>
      </c>
      <c r="Q1161">
        <v>-9.7696649999999996E-2</v>
      </c>
      <c r="R1161">
        <v>-0.1971463</v>
      </c>
      <c r="S1161">
        <v>-3.0671689999999998</v>
      </c>
      <c r="T1161">
        <v>-0.25652059999999999</v>
      </c>
      <c r="U1161">
        <v>5.0872800000000003E-2</v>
      </c>
      <c r="V1161">
        <v>0.28630630000000001</v>
      </c>
      <c r="W1161">
        <v>-8.8173609999999999E-2</v>
      </c>
      <c r="X1161">
        <v>0.95407240000000004</v>
      </c>
      <c r="Y1161">
        <v>0.484792</v>
      </c>
      <c r="Z1161">
        <v>5.4665459999999999E-2</v>
      </c>
      <c r="AA1161">
        <v>0.87291949999999996</v>
      </c>
      <c r="AB1161">
        <v>19</v>
      </c>
      <c r="AC1161">
        <v>-13.002199999999901</v>
      </c>
      <c r="AD1161">
        <v>-1.1017750886129101</v>
      </c>
      <c r="AE1161">
        <v>0.29240000000004301</v>
      </c>
      <c r="AF1161">
        <v>6.3649074070816098</v>
      </c>
      <c r="AG1161">
        <v>-1.1017750886129101</v>
      </c>
      <c r="AH1161">
        <v>11.2351558855808</v>
      </c>
      <c r="AI1161">
        <v>94.876902416291003</v>
      </c>
      <c r="AJ1161">
        <v>60.467706791426998</v>
      </c>
      <c r="AK1161">
        <v>12.9597331153041</v>
      </c>
      <c r="AL1161">
        <v>95.058544826312101</v>
      </c>
      <c r="AM1161">
        <v>73.296095916560404</v>
      </c>
      <c r="AN1161">
        <v>1.0000000136809399</v>
      </c>
    </row>
    <row r="1162" spans="1:40" x14ac:dyDescent="0.25">
      <c r="A1162" t="str">
        <f>"20190305135603300"</f>
        <v>20190305135603300</v>
      </c>
      <c r="B1162" t="str">
        <f>"1551765363293313"</f>
        <v>1551765363293313</v>
      </c>
      <c r="C1162" t="s">
        <v>40</v>
      </c>
      <c r="D1162">
        <v>4.4694459999999996</v>
      </c>
      <c r="E1162">
        <v>0.58054819999999996</v>
      </c>
      <c r="F1162" t="s">
        <v>55</v>
      </c>
      <c r="G1162">
        <v>-212.98490000000001</v>
      </c>
      <c r="H1162" s="1">
        <v>5.1621189999999997E-8</v>
      </c>
      <c r="I1162">
        <v>285.10640000000001</v>
      </c>
      <c r="J1162">
        <v>-200.09370000000001</v>
      </c>
      <c r="K1162">
        <v>1.101996</v>
      </c>
      <c r="L1162">
        <v>284.66829999999999</v>
      </c>
      <c r="M1162">
        <v>-0.89571369999999895</v>
      </c>
      <c r="N1162">
        <v>-1.5652699999999999E-2</v>
      </c>
      <c r="O1162">
        <v>-0.44435609999999998</v>
      </c>
      <c r="P1162">
        <v>-0.97992650000000003</v>
      </c>
      <c r="Q1162">
        <v>-9.6014569999999994E-2</v>
      </c>
      <c r="R1162">
        <v>-0.17471519999999999</v>
      </c>
      <c r="S1162">
        <v>-3.0631870000000001</v>
      </c>
      <c r="T1162">
        <v>-0.2544109</v>
      </c>
      <c r="U1162">
        <v>6.5826419999999997E-2</v>
      </c>
      <c r="V1162">
        <v>0.27740629999999999</v>
      </c>
      <c r="W1162">
        <v>-8.6265419999999995E-2</v>
      </c>
      <c r="X1162">
        <v>0.95687199999999994</v>
      </c>
      <c r="Y1162">
        <v>0.46075519999999998</v>
      </c>
      <c r="Z1162">
        <v>5.1452959999999999E-2</v>
      </c>
      <c r="AA1162">
        <v>0.88603449999999995</v>
      </c>
      <c r="AB1162">
        <v>19</v>
      </c>
      <c r="AC1162">
        <v>-12.8911999999999</v>
      </c>
      <c r="AD1162">
        <v>-1.10199594837881</v>
      </c>
      <c r="AE1162">
        <v>0.43810000000001897</v>
      </c>
      <c r="AF1162">
        <v>6.0770867611013397</v>
      </c>
      <c r="AG1162">
        <v>-1.10199594837881</v>
      </c>
      <c r="AH1162">
        <v>11.2712701629685</v>
      </c>
      <c r="AI1162">
        <v>94.918677924565003</v>
      </c>
      <c r="AJ1162">
        <v>61.667958725528003</v>
      </c>
      <c r="AK1162">
        <v>12.8525059680523</v>
      </c>
      <c r="AL1162">
        <v>94.948795396745098</v>
      </c>
      <c r="AM1162">
        <v>73.832623182002095</v>
      </c>
      <c r="AN1162">
        <v>1.00000000117573</v>
      </c>
    </row>
    <row r="1163" spans="1:40" x14ac:dyDescent="0.25">
      <c r="A1163" t="str">
        <f>"20190305135603332"</f>
        <v>20190305135603332</v>
      </c>
      <c r="B1163" t="str">
        <f>"1551765363322593"</f>
        <v>1551765363322593</v>
      </c>
      <c r="C1163" t="s">
        <v>40</v>
      </c>
      <c r="D1163">
        <v>4.4675010000000004</v>
      </c>
      <c r="E1163">
        <v>0.57086749999999997</v>
      </c>
      <c r="F1163" t="s">
        <v>55</v>
      </c>
      <c r="G1163">
        <v>-212.92189999999999</v>
      </c>
      <c r="H1163" s="1">
        <v>1.8100960000000002E-8</v>
      </c>
      <c r="I1163">
        <v>285.12079999999997</v>
      </c>
      <c r="J1163">
        <v>-200.3638</v>
      </c>
      <c r="K1163">
        <v>1.102087</v>
      </c>
      <c r="L1163">
        <v>284.56569999999999</v>
      </c>
      <c r="M1163">
        <v>-0.90561720000000001</v>
      </c>
      <c r="N1163">
        <v>-1.543775E-2</v>
      </c>
      <c r="O1163">
        <v>-0.4238151</v>
      </c>
      <c r="P1163">
        <v>-0.98263659999999997</v>
      </c>
      <c r="Q1163">
        <v>-9.6452010000000005E-2</v>
      </c>
      <c r="R1163">
        <v>-0.15850110000000001</v>
      </c>
      <c r="S1163">
        <v>-3.0549469999999999</v>
      </c>
      <c r="T1163">
        <v>-0.2624321</v>
      </c>
      <c r="U1163">
        <v>0.1077576</v>
      </c>
      <c r="V1163">
        <v>0.2713952</v>
      </c>
      <c r="W1163">
        <v>-8.6683109999999994E-2</v>
      </c>
      <c r="X1163">
        <v>0.95855650000000003</v>
      </c>
      <c r="Y1163">
        <v>0.45259660000000002</v>
      </c>
      <c r="Z1163">
        <v>5.1716739999999997E-2</v>
      </c>
      <c r="AA1163">
        <v>0.89021439999999996</v>
      </c>
      <c r="AB1163">
        <v>19</v>
      </c>
      <c r="AC1163">
        <v>-12.5580999999999</v>
      </c>
      <c r="AD1163">
        <v>-1.10208698189904</v>
      </c>
      <c r="AE1163">
        <v>0.55509999999998105</v>
      </c>
      <c r="AF1163">
        <v>5.7812759922053099</v>
      </c>
      <c r="AG1163">
        <v>-1.10208698189904</v>
      </c>
      <c r="AH1163">
        <v>11.0539310755826</v>
      </c>
      <c r="AI1163">
        <v>95.048822237935099</v>
      </c>
      <c r="AJ1163">
        <v>62.390147756826501</v>
      </c>
      <c r="AK1163">
        <v>12.5230643229782</v>
      </c>
      <c r="AL1163">
        <v>94.9728175602786</v>
      </c>
      <c r="AM1163">
        <v>74.191640927563597</v>
      </c>
      <c r="AN1163">
        <v>0.99999993991727898</v>
      </c>
    </row>
    <row r="1164" spans="1:40" x14ac:dyDescent="0.25">
      <c r="A1164" t="str">
        <f>"20190305135603351"</f>
        <v>20190305135603351</v>
      </c>
      <c r="B1164" t="str">
        <f>"1551765363343090"</f>
        <v>1551765363343090</v>
      </c>
      <c r="C1164" t="s">
        <v>40</v>
      </c>
      <c r="D1164">
        <v>4.5278269999999896</v>
      </c>
      <c r="E1164">
        <v>0.57066619999999901</v>
      </c>
      <c r="F1164" t="s">
        <v>55</v>
      </c>
      <c r="G1164">
        <v>-212.40020000000001</v>
      </c>
      <c r="H1164" s="1">
        <v>-2.5953100000000002E-7</v>
      </c>
      <c r="I1164">
        <v>284.89449999999999</v>
      </c>
      <c r="J1164">
        <v>-200.52549999999999</v>
      </c>
      <c r="K1164">
        <v>1.1021019999999999</v>
      </c>
      <c r="L1164">
        <v>284.50760000000002</v>
      </c>
      <c r="M1164">
        <v>-0.91121949999999996</v>
      </c>
      <c r="N1164">
        <v>-1.522136E-2</v>
      </c>
      <c r="O1164">
        <v>-0.41164000000000001</v>
      </c>
      <c r="P1164">
        <v>-0.98396450000000002</v>
      </c>
      <c r="Q1164">
        <v>-9.7693279999999993E-2</v>
      </c>
      <c r="R1164">
        <v>-0.14923120000000001</v>
      </c>
      <c r="S1164">
        <v>-3.0390779999999999</v>
      </c>
      <c r="T1164">
        <v>-0.27826679999999998</v>
      </c>
      <c r="U1164">
        <v>8.3007810000000001E-2</v>
      </c>
      <c r="V1164">
        <v>0.26752530000000002</v>
      </c>
      <c r="W1164">
        <v>-8.7998969999999996E-2</v>
      </c>
      <c r="X1164">
        <v>0.95952400000000004</v>
      </c>
      <c r="Y1164">
        <v>0.43319180000000002</v>
      </c>
      <c r="Z1164">
        <v>5.3486350000000002E-2</v>
      </c>
      <c r="AA1164">
        <v>0.89971329999999905</v>
      </c>
      <c r="AB1164">
        <v>19</v>
      </c>
      <c r="AC1164">
        <v>-11.874700000000001</v>
      </c>
      <c r="AD1164">
        <v>-1.1021022595309999</v>
      </c>
      <c r="AE1164">
        <v>0.38689999999996799</v>
      </c>
      <c r="AF1164">
        <v>5.1965442239785302</v>
      </c>
      <c r="AG1164">
        <v>-1.1021022595309999</v>
      </c>
      <c r="AH1164">
        <v>10.571464413760401</v>
      </c>
      <c r="AI1164">
        <v>95.345029106298696</v>
      </c>
      <c r="AJ1164">
        <v>63.822960904635998</v>
      </c>
      <c r="AK1164">
        <v>11.8310845282091</v>
      </c>
      <c r="AL1164">
        <v>95.048499937734107</v>
      </c>
      <c r="AM1164">
        <v>74.420975272224297</v>
      </c>
      <c r="AN1164">
        <v>0.99999995571857403</v>
      </c>
    </row>
    <row r="1165" spans="1:40" x14ac:dyDescent="0.25">
      <c r="A1165" t="str">
        <f>"20190305135603374"</f>
        <v>20190305135603374</v>
      </c>
      <c r="B1165" t="str">
        <f>"1551765363363585"</f>
        <v>1551765363363585</v>
      </c>
      <c r="C1165" t="s">
        <v>40</v>
      </c>
      <c r="D1165">
        <v>4.415165</v>
      </c>
      <c r="E1165">
        <v>0.56918970000000002</v>
      </c>
      <c r="F1165" t="s">
        <v>55</v>
      </c>
      <c r="G1165">
        <v>-212.3271</v>
      </c>
      <c r="H1165" s="1">
        <v>-2.9842019999999998E-7</v>
      </c>
      <c r="I1165">
        <v>284.93610000000001</v>
      </c>
      <c r="J1165">
        <v>-200.71350000000001</v>
      </c>
      <c r="K1165">
        <v>1.102114</v>
      </c>
      <c r="L1165">
        <v>284.44290000000001</v>
      </c>
      <c r="M1165">
        <v>-0.91743330000000001</v>
      </c>
      <c r="N1165">
        <v>-1.488886E-2</v>
      </c>
      <c r="O1165">
        <v>-0.3976112</v>
      </c>
      <c r="P1165">
        <v>-0.98535709999999999</v>
      </c>
      <c r="Q1165">
        <v>-9.8989679999999997E-2</v>
      </c>
      <c r="R1165">
        <v>-0.13882529999999901</v>
      </c>
      <c r="S1165">
        <v>-3.037445</v>
      </c>
      <c r="T1165">
        <v>-0.28365299999999999</v>
      </c>
      <c r="U1165">
        <v>0.1102905</v>
      </c>
      <c r="V1165">
        <v>0.26288230000000001</v>
      </c>
      <c r="W1165">
        <v>-8.9459239999999995E-2</v>
      </c>
      <c r="X1165">
        <v>0.96067159999999996</v>
      </c>
      <c r="Y1165">
        <v>0.42738690000000001</v>
      </c>
      <c r="Z1165">
        <v>5.3379830000000003E-2</v>
      </c>
      <c r="AA1165">
        <v>0.90249159999999995</v>
      </c>
      <c r="AB1165">
        <v>19</v>
      </c>
      <c r="AC1165">
        <v>-11.6135999999999</v>
      </c>
      <c r="AD1165">
        <v>-1.1021142984201999</v>
      </c>
      <c r="AE1165">
        <v>0.49320000000000103</v>
      </c>
      <c r="AF1165">
        <v>5.0255596627505197</v>
      </c>
      <c r="AG1165">
        <v>-1.1021142984201999</v>
      </c>
      <c r="AH1165">
        <v>10.366569283680899</v>
      </c>
      <c r="AI1165">
        <v>95.464597144911494</v>
      </c>
      <c r="AJ1165">
        <v>64.136577749824099</v>
      </c>
      <c r="AK1165">
        <v>11.573100905289101</v>
      </c>
      <c r="AL1165">
        <v>95.132498382535005</v>
      </c>
      <c r="AM1165">
        <v>74.695988823376396</v>
      </c>
      <c r="AN1165">
        <v>0.999999991160613</v>
      </c>
    </row>
    <row r="1166" spans="1:40" x14ac:dyDescent="0.25">
      <c r="A1166" t="str">
        <f>"20190305135603397"</f>
        <v>20190305135603397</v>
      </c>
      <c r="B1166" t="str">
        <f>"1551765363393373"</f>
        <v>1551765363393373</v>
      </c>
      <c r="C1166" t="s">
        <v>40</v>
      </c>
      <c r="D1166">
        <v>4.3673599999999997</v>
      </c>
      <c r="E1166">
        <v>0.56790069999999904</v>
      </c>
      <c r="F1166" t="s">
        <v>55</v>
      </c>
      <c r="G1166">
        <v>-212.33770000000001</v>
      </c>
      <c r="H1166" s="1">
        <v>-2.9276970000000002E-7</v>
      </c>
      <c r="I1166">
        <v>284.94380000000001</v>
      </c>
      <c r="J1166">
        <v>-200.89879999999999</v>
      </c>
      <c r="K1166">
        <v>1.102136</v>
      </c>
      <c r="L1166">
        <v>284.38189999999997</v>
      </c>
      <c r="M1166">
        <v>-0.92325009999999996</v>
      </c>
      <c r="N1166">
        <v>-1.449013E-2</v>
      </c>
      <c r="O1166">
        <v>-0.3839264</v>
      </c>
      <c r="P1166">
        <v>-0.98661569999999998</v>
      </c>
      <c r="Q1166">
        <v>-0.10014720000000001</v>
      </c>
      <c r="R1166">
        <v>-0.1286863</v>
      </c>
      <c r="S1166">
        <v>-3.034103</v>
      </c>
      <c r="T1166">
        <v>-0.2876686</v>
      </c>
      <c r="U1166">
        <v>0.1307373</v>
      </c>
      <c r="V1166">
        <v>0.25842739999999997</v>
      </c>
      <c r="W1166">
        <v>-9.0840679999999993E-2</v>
      </c>
      <c r="X1166">
        <v>0.96175010000000005</v>
      </c>
      <c r="Y1166">
        <v>0.42002349999999999</v>
      </c>
      <c r="Z1166">
        <v>5.2913410000000001E-2</v>
      </c>
      <c r="AA1166">
        <v>0.90596929999999998</v>
      </c>
      <c r="AB1166">
        <v>19</v>
      </c>
      <c r="AC1166">
        <v>-11.4389</v>
      </c>
      <c r="AD1166">
        <v>-1.1021362927697</v>
      </c>
      <c r="AE1166">
        <v>0.56190000000003604</v>
      </c>
      <c r="AF1166">
        <v>4.8659220024639804</v>
      </c>
      <c r="AG1166">
        <v>-1.1021362927697</v>
      </c>
      <c r="AH1166">
        <v>10.2513850315095</v>
      </c>
      <c r="AI1166">
        <v>95.547454515094401</v>
      </c>
      <c r="AJ1166">
        <v>64.6081802782398</v>
      </c>
      <c r="AK1166">
        <v>11.400999798533499</v>
      </c>
      <c r="AL1166">
        <v>95.211972615178496</v>
      </c>
      <c r="AM1166">
        <v>74.959585056004897</v>
      </c>
      <c r="AN1166">
        <v>1.0000000025318101</v>
      </c>
    </row>
    <row r="1167" spans="1:40" x14ac:dyDescent="0.25">
      <c r="A1167" t="str">
        <f>"20190305135603418"</f>
        <v>20190305135603418</v>
      </c>
      <c r="B1167" t="str">
        <f>"1551765363412893"</f>
        <v>1551765363412893</v>
      </c>
      <c r="C1167" t="s">
        <v>40</v>
      </c>
      <c r="D1167">
        <v>4.3994109999999997</v>
      </c>
      <c r="E1167">
        <v>0.5667837</v>
      </c>
      <c r="F1167" t="s">
        <v>55</v>
      </c>
      <c r="G1167">
        <v>-212.68299999999999</v>
      </c>
      <c r="H1167" s="1">
        <v>-1.090226E-7</v>
      </c>
      <c r="I1167">
        <v>284.96879999999999</v>
      </c>
      <c r="J1167">
        <v>-201.078</v>
      </c>
      <c r="K1167">
        <v>1.1021700000000001</v>
      </c>
      <c r="L1167">
        <v>284.3254</v>
      </c>
      <c r="M1167">
        <v>-0.92858300000000005</v>
      </c>
      <c r="N1167">
        <v>-1.405729E-2</v>
      </c>
      <c r="O1167">
        <v>-0.37085839999999998</v>
      </c>
      <c r="P1167">
        <v>-0.98774150000000005</v>
      </c>
      <c r="Q1167">
        <v>-0.1005877</v>
      </c>
      <c r="R1167">
        <v>-0.11936910000000001</v>
      </c>
      <c r="S1167">
        <v>-3.0316010000000002</v>
      </c>
      <c r="T1167">
        <v>-0.28353579999999901</v>
      </c>
      <c r="U1167">
        <v>0.151001</v>
      </c>
      <c r="V1167">
        <v>0.25392680000000001</v>
      </c>
      <c r="W1167">
        <v>-9.1529600000000003E-2</v>
      </c>
      <c r="X1167">
        <v>0.96288289999999999</v>
      </c>
      <c r="Y1167">
        <v>0.41345189999999998</v>
      </c>
      <c r="Z1167">
        <v>5.0938020000000001E-2</v>
      </c>
      <c r="AA1167">
        <v>0.90910000000000002</v>
      </c>
      <c r="AB1167">
        <v>19</v>
      </c>
      <c r="AC1167">
        <v>-11.604999999999899</v>
      </c>
      <c r="AD1167">
        <v>-1.1021701090225999</v>
      </c>
      <c r="AE1167">
        <v>0.64339999999998498</v>
      </c>
      <c r="AF1167">
        <v>4.8580610213431399</v>
      </c>
      <c r="AG1167">
        <v>-1.1021701090225999</v>
      </c>
      <c r="AH1167">
        <v>10.4447142824673</v>
      </c>
      <c r="AI1167">
        <v>95.465469716993297</v>
      </c>
      <c r="AJ1167">
        <v>65.055849492476696</v>
      </c>
      <c r="AK1167">
        <v>11.5718448087888</v>
      </c>
      <c r="AL1167">
        <v>95.251610056584894</v>
      </c>
      <c r="AM1167">
        <v>75.226581253874699</v>
      </c>
      <c r="AN1167">
        <v>0.999999983273404</v>
      </c>
    </row>
    <row r="1168" spans="1:40" x14ac:dyDescent="0.25">
      <c r="A1168" t="str">
        <f>"20190305135603440"</f>
        <v>20190305135603440</v>
      </c>
      <c r="B1168" t="str">
        <f>"1551765363433389"</f>
        <v>1551765363433389</v>
      </c>
      <c r="C1168" t="s">
        <v>40</v>
      </c>
      <c r="D1168">
        <v>4.3631219999999997</v>
      </c>
      <c r="E1168">
        <v>0.56599860000000002</v>
      </c>
      <c r="F1168" t="s">
        <v>55</v>
      </c>
      <c r="G1168">
        <v>-212.75710000000001</v>
      </c>
      <c r="H1168" s="1">
        <v>-6.9578960000000004E-8</v>
      </c>
      <c r="I1168">
        <v>284.9846</v>
      </c>
      <c r="J1168">
        <v>-201.25710000000001</v>
      </c>
      <c r="K1168">
        <v>1.1022240000000001</v>
      </c>
      <c r="L1168">
        <v>284.27140000000003</v>
      </c>
      <c r="M1168">
        <v>-0.9336276</v>
      </c>
      <c r="N1168">
        <v>-1.360339E-2</v>
      </c>
      <c r="O1168">
        <v>-0.35798669999999999</v>
      </c>
      <c r="P1168">
        <v>-0.98880080000000004</v>
      </c>
      <c r="Q1168">
        <v>-0.1007156</v>
      </c>
      <c r="R1168">
        <v>-0.1101338</v>
      </c>
      <c r="S1168">
        <v>-3.028778</v>
      </c>
      <c r="T1168">
        <v>-0.28582920000000001</v>
      </c>
      <c r="U1168">
        <v>0.170929</v>
      </c>
      <c r="V1168">
        <v>0.24963060000000001</v>
      </c>
      <c r="W1168">
        <v>-9.1923879999999999E-2</v>
      </c>
      <c r="X1168">
        <v>0.96396820000000005</v>
      </c>
      <c r="Y1168">
        <v>0.40688340000000001</v>
      </c>
      <c r="Z1168">
        <v>5.0178729999999998E-2</v>
      </c>
      <c r="AA1168">
        <v>0.91210089999999999</v>
      </c>
      <c r="AB1168">
        <v>19</v>
      </c>
      <c r="AC1168">
        <v>-11.5</v>
      </c>
      <c r="AD1168">
        <v>-1.10222406957895</v>
      </c>
      <c r="AE1168">
        <v>0.71319999999997197</v>
      </c>
      <c r="AF1168">
        <v>4.7397782333388596</v>
      </c>
      <c r="AG1168">
        <v>-1.10222406957895</v>
      </c>
      <c r="AH1168">
        <v>10.387314937866901</v>
      </c>
      <c r="AI1168">
        <v>95.514087137445401</v>
      </c>
      <c r="AJ1168">
        <v>65.4725740093197</v>
      </c>
      <c r="AK1168">
        <v>11.470689047272799</v>
      </c>
      <c r="AL1168">
        <v>95.274295853504896</v>
      </c>
      <c r="AM1168">
        <v>75.481534771503902</v>
      </c>
      <c r="AN1168">
        <v>1.0000000633909201</v>
      </c>
    </row>
    <row r="1169" spans="1:40" x14ac:dyDescent="0.25">
      <c r="A1169" t="str">
        <f>"20190305135603463"</f>
        <v>20190305135603463</v>
      </c>
      <c r="B1169" t="str">
        <f>"1551765363452909"</f>
        <v>1551765363452909</v>
      </c>
      <c r="C1169" t="s">
        <v>40</v>
      </c>
      <c r="D1169">
        <v>4.3484220000000002</v>
      </c>
      <c r="E1169">
        <v>0.5652083</v>
      </c>
      <c r="F1169" t="s">
        <v>55</v>
      </c>
      <c r="G1169">
        <v>-212.98400000000001</v>
      </c>
      <c r="H1169" s="1">
        <v>5.1135290000000001E-8</v>
      </c>
      <c r="I1169">
        <v>285.01870000000002</v>
      </c>
      <c r="J1169">
        <v>-201.45150000000001</v>
      </c>
      <c r="K1169">
        <v>1.102303</v>
      </c>
      <c r="L1169">
        <v>284.21530000000001</v>
      </c>
      <c r="M1169">
        <v>-0.9387799</v>
      </c>
      <c r="N1169">
        <v>-1.3115699999999999E-2</v>
      </c>
      <c r="O1169">
        <v>-0.34426780000000001</v>
      </c>
      <c r="P1169">
        <v>-0.98983330000000003</v>
      </c>
      <c r="Q1169">
        <v>-0.1010916</v>
      </c>
      <c r="R1169">
        <v>-0.1000524</v>
      </c>
      <c r="S1169">
        <v>-3.0264890000000002</v>
      </c>
      <c r="T1169">
        <v>-0.284464099999999</v>
      </c>
      <c r="U1169">
        <v>0.19287109999999999</v>
      </c>
      <c r="V1169">
        <v>0.2453362</v>
      </c>
      <c r="W1169">
        <v>-9.2590210000000006E-2</v>
      </c>
      <c r="X1169">
        <v>0.96500629999999998</v>
      </c>
      <c r="Y1169">
        <v>0.40022609999999997</v>
      </c>
      <c r="Z1169">
        <v>4.8654889999999999E-2</v>
      </c>
      <c r="AA1169">
        <v>0.91512389999999999</v>
      </c>
      <c r="AB1169">
        <v>19</v>
      </c>
      <c r="AC1169">
        <v>-11.532500000000001</v>
      </c>
      <c r="AD1169">
        <v>-1.10230294886471</v>
      </c>
      <c r="AE1169">
        <v>0.80340000000001</v>
      </c>
      <c r="AF1169">
        <v>4.6823195239550897</v>
      </c>
      <c r="AG1169">
        <v>-1.10230294886471</v>
      </c>
      <c r="AH1169">
        <v>10.4557396976729</v>
      </c>
      <c r="AI1169">
        <v>95.495974135099601</v>
      </c>
      <c r="AJ1169">
        <v>65.876072588629896</v>
      </c>
      <c r="AK1169">
        <v>11.5091998219242</v>
      </c>
      <c r="AL1169">
        <v>95.312637718205295</v>
      </c>
      <c r="AM1169">
        <v>75.735732234078</v>
      </c>
      <c r="AN1169">
        <v>0.99999997852898603</v>
      </c>
    </row>
    <row r="1170" spans="1:40" x14ac:dyDescent="0.25">
      <c r="A1170" t="str">
        <f>"20190305135603486"</f>
        <v>20190305135603486</v>
      </c>
      <c r="B1170" t="str">
        <f>"1551765363482698"</f>
        <v>1551765363482698</v>
      </c>
      <c r="C1170" t="s">
        <v>40</v>
      </c>
      <c r="D1170">
        <v>4.2606830000000002</v>
      </c>
      <c r="E1170">
        <v>0.56607149999999995</v>
      </c>
      <c r="F1170" t="s">
        <v>55</v>
      </c>
      <c r="G1170">
        <v>-213.24799999999999</v>
      </c>
      <c r="H1170" s="1">
        <v>1.916368E-7</v>
      </c>
      <c r="I1170">
        <v>285.06169999999997</v>
      </c>
      <c r="J1170">
        <v>-201.64869999999999</v>
      </c>
      <c r="K1170">
        <v>1.102406</v>
      </c>
      <c r="L1170">
        <v>284.16090000000003</v>
      </c>
      <c r="M1170">
        <v>-0.94366760000000005</v>
      </c>
      <c r="N1170">
        <v>-1.2644839999999999E-2</v>
      </c>
      <c r="O1170">
        <v>-0.33065309999999998</v>
      </c>
      <c r="P1170">
        <v>-0.99082919999999997</v>
      </c>
      <c r="Q1170">
        <v>-0.1010433</v>
      </c>
      <c r="R1170">
        <v>-8.9710150000000002E-2</v>
      </c>
      <c r="S1170">
        <v>-3.0238800000000001</v>
      </c>
      <c r="T1170">
        <v>-0.28256140000000002</v>
      </c>
      <c r="U1170">
        <v>0.21698000000000001</v>
      </c>
      <c r="V1170">
        <v>0.24148700000000001</v>
      </c>
      <c r="W1170">
        <v>-9.282733E-2</v>
      </c>
      <c r="X1170">
        <v>0.96595399999999998</v>
      </c>
      <c r="Y1170">
        <v>0.39439279999999999</v>
      </c>
      <c r="Z1170">
        <v>4.7085769999999999E-2</v>
      </c>
      <c r="AA1170">
        <v>0.91773490000000002</v>
      </c>
      <c r="AB1170">
        <v>19</v>
      </c>
      <c r="AC1170">
        <v>-11.599299999999999</v>
      </c>
      <c r="AD1170">
        <v>-1.1024058083632</v>
      </c>
      <c r="AE1170">
        <v>0.90079999999994698</v>
      </c>
      <c r="AF1170">
        <v>4.6440778650360901</v>
      </c>
      <c r="AG1170">
        <v>-1.1024058083632</v>
      </c>
      <c r="AH1170">
        <v>10.5541220497817</v>
      </c>
      <c r="AI1170">
        <v>95.461231466704803</v>
      </c>
      <c r="AJ1170">
        <v>66.249304045496004</v>
      </c>
      <c r="AK1170">
        <v>11.583274581245099</v>
      </c>
      <c r="AL1170">
        <v>95.326282304643101</v>
      </c>
      <c r="AM1170">
        <v>75.963840271246198</v>
      </c>
      <c r="AN1170">
        <v>1.00000000723996</v>
      </c>
    </row>
    <row r="1171" spans="1:40" x14ac:dyDescent="0.25">
      <c r="A1171" t="str">
        <f>"20190305135603509"</f>
        <v>20190305135603509</v>
      </c>
      <c r="B1171" t="str">
        <f>"1551765363503193"</f>
        <v>1551765363503193</v>
      </c>
      <c r="C1171" t="s">
        <v>40</v>
      </c>
      <c r="D1171">
        <v>4.2353399999999999</v>
      </c>
      <c r="E1171">
        <v>0.56818599999999997</v>
      </c>
      <c r="F1171" t="s">
        <v>55</v>
      </c>
      <c r="G1171">
        <v>-214.90450000000001</v>
      </c>
      <c r="H1171" s="1">
        <v>1.0731360000000001E-6</v>
      </c>
      <c r="I1171">
        <v>285.26839999999999</v>
      </c>
      <c r="J1171">
        <v>-201.8416</v>
      </c>
      <c r="K1171">
        <v>1.102509</v>
      </c>
      <c r="L1171">
        <v>284.11020000000002</v>
      </c>
      <c r="M1171">
        <v>-0.94812940000000001</v>
      </c>
      <c r="N1171">
        <v>-1.221206E-2</v>
      </c>
      <c r="O1171">
        <v>-0.31765019999999999</v>
      </c>
      <c r="P1171">
        <v>-0.99157070000000003</v>
      </c>
      <c r="Q1171">
        <v>-0.10137359999999999</v>
      </c>
      <c r="R1171">
        <v>-8.0694119999999994E-2</v>
      </c>
      <c r="S1171">
        <v>-3.0250089999999998</v>
      </c>
      <c r="T1171">
        <v>-0.2515715</v>
      </c>
      <c r="U1171">
        <v>0.2527161</v>
      </c>
      <c r="V1171">
        <v>0.23700689999999999</v>
      </c>
      <c r="W1171">
        <v>-9.3404280000000006E-2</v>
      </c>
      <c r="X1171">
        <v>0.96700750000000002</v>
      </c>
      <c r="Y1171">
        <v>0.39318910000000001</v>
      </c>
      <c r="Z1171">
        <v>4.0860220000000003E-2</v>
      </c>
      <c r="AA1171">
        <v>0.91854919999999995</v>
      </c>
      <c r="AB1171">
        <v>19</v>
      </c>
      <c r="AC1171">
        <v>-13.062900000000001</v>
      </c>
      <c r="AD1171">
        <v>-1.1025079268639999</v>
      </c>
      <c r="AE1171">
        <v>1.1581999999999599</v>
      </c>
      <c r="AF1171">
        <v>5.2111161678345903</v>
      </c>
      <c r="AG1171">
        <v>-1.1025079268639999</v>
      </c>
      <c r="AH1171">
        <v>11.9339656828089</v>
      </c>
      <c r="AI1171">
        <v>94.839367728299493</v>
      </c>
      <c r="AJ1171">
        <v>66.410907228491595</v>
      </c>
      <c r="AK1171">
        <v>13.0686951285094</v>
      </c>
      <c r="AL1171">
        <v>95.359483029442501</v>
      </c>
      <c r="AM1171">
        <v>76.228665336332995</v>
      </c>
      <c r="AN1171">
        <v>1.00000006761308</v>
      </c>
    </row>
    <row r="1172" spans="1:40" x14ac:dyDescent="0.25">
      <c r="A1172" t="str">
        <f>"20190305135603531"</f>
        <v>20190305135603531</v>
      </c>
      <c r="B1172" t="str">
        <f>"1551765363522713"</f>
        <v>1551765363522713</v>
      </c>
      <c r="C1172" t="s">
        <v>40</v>
      </c>
      <c r="D1172">
        <v>4.2248130000000002</v>
      </c>
      <c r="E1172">
        <v>0.56755219999999995</v>
      </c>
      <c r="F1172" t="s">
        <v>55</v>
      </c>
      <c r="G1172">
        <v>-233.34129999999999</v>
      </c>
      <c r="H1172" s="1">
        <v>1.346396E-7</v>
      </c>
      <c r="I1172">
        <v>287.0557</v>
      </c>
      <c r="J1172">
        <v>-202.0308</v>
      </c>
      <c r="K1172">
        <v>1.102606</v>
      </c>
      <c r="L1172">
        <v>284.06290000000001</v>
      </c>
      <c r="M1172">
        <v>-0.95219810000000005</v>
      </c>
      <c r="N1172">
        <v>-1.181867E-2</v>
      </c>
      <c r="O1172">
        <v>-0.30525249999999998</v>
      </c>
      <c r="P1172">
        <v>-0.99221780000000004</v>
      </c>
      <c r="Q1172">
        <v>-0.10162409999999999</v>
      </c>
      <c r="R1172">
        <v>-7.1944889999999997E-2</v>
      </c>
      <c r="S1172">
        <v>-3.03775</v>
      </c>
      <c r="T1172">
        <v>-0.1063234</v>
      </c>
      <c r="U1172">
        <v>0.28405760000000002</v>
      </c>
      <c r="V1172">
        <v>0.23293410000000001</v>
      </c>
      <c r="W1172">
        <v>-9.3880379999999999E-2</v>
      </c>
      <c r="X1172">
        <v>0.96795050000000005</v>
      </c>
      <c r="Y1172">
        <v>0.39221030000000001</v>
      </c>
      <c r="Z1172">
        <v>1.610551E-2</v>
      </c>
      <c r="AA1172">
        <v>0.91973459999999996</v>
      </c>
      <c r="AB1172">
        <v>19</v>
      </c>
      <c r="AC1172">
        <v>-31.310499999999902</v>
      </c>
      <c r="AD1172">
        <v>-1.1026058653603901</v>
      </c>
      <c r="AE1172">
        <v>2.9927999999999799</v>
      </c>
      <c r="AF1172">
        <v>12.392984020686299</v>
      </c>
      <c r="AG1172">
        <v>-1.1026058653603901</v>
      </c>
      <c r="AH1172">
        <v>28.866783756407401</v>
      </c>
      <c r="AI1172">
        <v>92.010171535323707</v>
      </c>
      <c r="AJ1172">
        <v>66.765358264218904</v>
      </c>
      <c r="AK1172">
        <v>31.4339465716684</v>
      </c>
      <c r="AL1172">
        <v>95.386882331184594</v>
      </c>
      <c r="AM1172">
        <v>76.469236350001196</v>
      </c>
      <c r="AN1172">
        <v>0.99999999557100205</v>
      </c>
    </row>
    <row r="1173" spans="1:40" x14ac:dyDescent="0.25">
      <c r="A1173" t="str">
        <f>"20190305135603554"</f>
        <v>20190305135603554</v>
      </c>
      <c r="B1173" t="str">
        <f>"1551765363543209"</f>
        <v>1551765363543209</v>
      </c>
      <c r="C1173" t="s">
        <v>40</v>
      </c>
      <c r="D1173">
        <v>4.2526010000000003</v>
      </c>
      <c r="E1173">
        <v>0.56645769999999995</v>
      </c>
      <c r="F1173" t="s">
        <v>55</v>
      </c>
      <c r="G1173">
        <v>-232.4796</v>
      </c>
      <c r="H1173" s="1">
        <v>-3.2742050000000002E-7</v>
      </c>
      <c r="I1173">
        <v>287.13580000000002</v>
      </c>
      <c r="J1173">
        <v>-202.23429999999999</v>
      </c>
      <c r="K1173">
        <v>1.1027039999999999</v>
      </c>
      <c r="L1173">
        <v>284.0145</v>
      </c>
      <c r="M1173">
        <v>-0.95625930000000003</v>
      </c>
      <c r="N1173">
        <v>-1.1433230000000001E-2</v>
      </c>
      <c r="O1173">
        <v>-0.29229749999999999</v>
      </c>
      <c r="P1173">
        <v>-0.99261390000000005</v>
      </c>
      <c r="Q1173">
        <v>-0.1039448</v>
      </c>
      <c r="R1173">
        <v>-6.255877E-2</v>
      </c>
      <c r="S1173">
        <v>-3.0344699999999998</v>
      </c>
      <c r="T1173">
        <v>-0.10988390000000001</v>
      </c>
      <c r="U1173">
        <v>0.30624390000000001</v>
      </c>
      <c r="V1173">
        <v>0.22886880000000001</v>
      </c>
      <c r="W1173">
        <v>-9.6423149999999999E-2</v>
      </c>
      <c r="X1173">
        <v>0.96867000000000003</v>
      </c>
      <c r="Y1173">
        <v>0.38644889999999998</v>
      </c>
      <c r="Z1173">
        <v>1.6310649999999999E-2</v>
      </c>
      <c r="AA1173">
        <v>0.92216659999999995</v>
      </c>
      <c r="AB1173">
        <v>19</v>
      </c>
      <c r="AC1173">
        <v>-30.2453</v>
      </c>
      <c r="AD1173">
        <v>-1.1027043274205</v>
      </c>
      <c r="AE1173">
        <v>3.1213000000000202</v>
      </c>
      <c r="AF1173">
        <v>11.810634669243401</v>
      </c>
      <c r="AG1173">
        <v>-1.1027043274205</v>
      </c>
      <c r="AH1173">
        <v>27.975032979590502</v>
      </c>
      <c r="AI1173">
        <v>92.079713090296096</v>
      </c>
      <c r="AJ1173">
        <v>67.1112664187212</v>
      </c>
      <c r="AK1173">
        <v>30.386008594964</v>
      </c>
      <c r="AL1173">
        <v>95.533236599183397</v>
      </c>
      <c r="AM1173">
        <v>76.706447060614394</v>
      </c>
      <c r="AN1173">
        <v>0.99999996018467996</v>
      </c>
    </row>
    <row r="1174" spans="1:40" x14ac:dyDescent="0.25">
      <c r="A1174" t="str">
        <f>"20190305135603574"</f>
        <v>20190305135603574</v>
      </c>
      <c r="B1174" t="str">
        <f>"1551765363562729"</f>
        <v>1551765363562729</v>
      </c>
      <c r="C1174" t="s">
        <v>40</v>
      </c>
      <c r="D1174">
        <v>4.2462749999999998</v>
      </c>
      <c r="E1174">
        <v>0.56515000000000004</v>
      </c>
      <c r="F1174" t="s">
        <v>55</v>
      </c>
      <c r="G1174">
        <v>-228.5684</v>
      </c>
      <c r="H1174" s="1">
        <v>3.022888E-6</v>
      </c>
      <c r="I1174">
        <v>286.85570000000001</v>
      </c>
      <c r="J1174">
        <v>-202.4135</v>
      </c>
      <c r="K1174">
        <v>1.102773</v>
      </c>
      <c r="L1174">
        <v>283.97379999999998</v>
      </c>
      <c r="M1174">
        <v>-0.9596015</v>
      </c>
      <c r="N1174">
        <v>-1.11267E-2</v>
      </c>
      <c r="O1174">
        <v>-0.28114280000000003</v>
      </c>
      <c r="P1174">
        <v>-0.99282269999999995</v>
      </c>
      <c r="Q1174">
        <v>-0.1059985</v>
      </c>
      <c r="R1174">
        <v>-5.538204E-2</v>
      </c>
      <c r="S1174">
        <v>-3.0296479999999999</v>
      </c>
      <c r="T1174">
        <v>-0.126862</v>
      </c>
      <c r="U1174">
        <v>0.32687379999999999</v>
      </c>
      <c r="V1174">
        <v>0.22452050000000001</v>
      </c>
      <c r="W1174">
        <v>-9.8642489999999999E-2</v>
      </c>
      <c r="X1174">
        <v>0.96946390000000005</v>
      </c>
      <c r="Y1174">
        <v>0.38193189999999999</v>
      </c>
      <c r="Z1174">
        <v>1.8620569999999999E-2</v>
      </c>
      <c r="AA1174">
        <v>0.92400289999999996</v>
      </c>
      <c r="AB1174">
        <v>19</v>
      </c>
      <c r="AC1174">
        <v>-26.154900000000001</v>
      </c>
      <c r="AD1174">
        <v>-1.1027699771120001</v>
      </c>
      <c r="AE1174">
        <v>2.8819000000000199</v>
      </c>
      <c r="AF1174">
        <v>10.101620760585501</v>
      </c>
      <c r="AG1174">
        <v>-1.1027699771120001</v>
      </c>
      <c r="AH1174">
        <v>24.246970723859999</v>
      </c>
      <c r="AI1174">
        <v>92.404037129687296</v>
      </c>
      <c r="AJ1174">
        <v>67.382719782279906</v>
      </c>
      <c r="AK1174">
        <v>26.290196516892699</v>
      </c>
      <c r="AL1174">
        <v>95.661004239343995</v>
      </c>
      <c r="AM1174">
        <v>76.960610263088</v>
      </c>
      <c r="AN1174">
        <v>1.00000002457843</v>
      </c>
    </row>
    <row r="1175" spans="1:40" x14ac:dyDescent="0.25">
      <c r="A1175" t="str">
        <f>"20190305135603598"</f>
        <v>20190305135603598</v>
      </c>
      <c r="B1175" t="str">
        <f>"1551765363592516"</f>
        <v>1551765363592516</v>
      </c>
      <c r="C1175" t="s">
        <v>40</v>
      </c>
      <c r="D1175">
        <v>4.2481710000000001</v>
      </c>
      <c r="E1175">
        <v>0.56358869999999905</v>
      </c>
      <c r="F1175" t="s">
        <v>55</v>
      </c>
      <c r="G1175">
        <v>-227.00380000000001</v>
      </c>
      <c r="H1175" s="1">
        <v>2.1902830000000002E-6</v>
      </c>
      <c r="I1175">
        <v>286.72329999999999</v>
      </c>
      <c r="J1175">
        <v>-202.61670000000001</v>
      </c>
      <c r="K1175">
        <v>1.102841</v>
      </c>
      <c r="L1175">
        <v>283.93</v>
      </c>
      <c r="M1175">
        <v>-0.96314259999999996</v>
      </c>
      <c r="N1175">
        <v>-1.08124E-2</v>
      </c>
      <c r="O1175">
        <v>-0.26877400000000001</v>
      </c>
      <c r="P1175">
        <v>-0.99319270000000004</v>
      </c>
      <c r="Q1175">
        <v>-0.10633910000000001</v>
      </c>
      <c r="R1175">
        <v>-4.7540880000000001E-2</v>
      </c>
      <c r="S1175">
        <v>-3.0260929999999999</v>
      </c>
      <c r="T1175">
        <v>-0.1357071</v>
      </c>
      <c r="U1175">
        <v>0.33834839999999999</v>
      </c>
      <c r="V1175">
        <v>0.21970890000000001</v>
      </c>
      <c r="W1175">
        <v>-9.9151420000000004E-2</v>
      </c>
      <c r="X1175">
        <v>0.97051379999999998</v>
      </c>
      <c r="Y1175">
        <v>0.37354130000000002</v>
      </c>
      <c r="Z1175">
        <v>1.9402909999999999E-2</v>
      </c>
      <c r="AA1175">
        <v>0.92741059999999997</v>
      </c>
      <c r="AB1175">
        <v>19</v>
      </c>
      <c r="AC1175">
        <v>-24.3871</v>
      </c>
      <c r="AD1175">
        <v>-1.1028388097170001</v>
      </c>
      <c r="AE1175">
        <v>2.7932999999999799</v>
      </c>
      <c r="AF1175">
        <v>9.2268798390957603</v>
      </c>
      <c r="AG1175">
        <v>-1.1028388097170001</v>
      </c>
      <c r="AH1175">
        <v>22.693009900576399</v>
      </c>
      <c r="AI1175">
        <v>92.577667052512297</v>
      </c>
      <c r="AJ1175">
        <v>67.873553310468395</v>
      </c>
      <c r="AK1175">
        <v>24.521913941472601</v>
      </c>
      <c r="AL1175">
        <v>95.690307457461898</v>
      </c>
      <c r="AM1175">
        <v>77.244156713352794</v>
      </c>
      <c r="AN1175">
        <v>1.00000002040883</v>
      </c>
    </row>
    <row r="1176" spans="1:40" x14ac:dyDescent="0.25">
      <c r="A1176" t="str">
        <f>"20190305135603618"</f>
        <v>20190305135603618</v>
      </c>
      <c r="B1176" t="str">
        <f>"1551765363613012"</f>
        <v>1551765363613012</v>
      </c>
      <c r="C1176" t="s">
        <v>40</v>
      </c>
      <c r="D1176">
        <v>4.285641</v>
      </c>
      <c r="E1176">
        <v>0.55417629999999996</v>
      </c>
      <c r="F1176" t="s">
        <v>55</v>
      </c>
      <c r="G1176">
        <v>-224.31100000000001</v>
      </c>
      <c r="H1176" s="1">
        <v>7.5731449999999896E-7</v>
      </c>
      <c r="I1176">
        <v>286.45119999999997</v>
      </c>
      <c r="J1176">
        <v>-202.8014</v>
      </c>
      <c r="K1176">
        <v>1.1029169999999999</v>
      </c>
      <c r="L1176">
        <v>283.8922</v>
      </c>
      <c r="M1176">
        <v>-0.96614250000000002</v>
      </c>
      <c r="N1176">
        <v>-1.055086E-2</v>
      </c>
      <c r="O1176">
        <v>-0.25779279999999999</v>
      </c>
      <c r="P1176">
        <v>-0.99361849999999996</v>
      </c>
      <c r="Q1176">
        <v>-0.1048866</v>
      </c>
      <c r="R1176">
        <v>-4.1489980000000003E-2</v>
      </c>
      <c r="S1176">
        <v>-3.0209199999999998</v>
      </c>
      <c r="T1176">
        <v>-0.15356979999999901</v>
      </c>
      <c r="U1176">
        <v>0.3510742</v>
      </c>
      <c r="V1176">
        <v>0.21465380000000001</v>
      </c>
      <c r="W1176">
        <v>-9.7818649999999993E-2</v>
      </c>
      <c r="X1176">
        <v>0.97177939999999996</v>
      </c>
      <c r="Y1176">
        <v>0.36684879999999997</v>
      </c>
      <c r="Z1176">
        <v>2.149734E-2</v>
      </c>
      <c r="AA1176">
        <v>0.93003210000000003</v>
      </c>
      <c r="AB1176">
        <v>20</v>
      </c>
      <c r="AC1176">
        <v>-21.509599999999899</v>
      </c>
      <c r="AD1176">
        <v>-1.1029162426854999</v>
      </c>
      <c r="AE1176">
        <v>2.5589999999999602</v>
      </c>
      <c r="AF1176">
        <v>7.9970934844679498</v>
      </c>
      <c r="AG1176">
        <v>-1.1029162426854999</v>
      </c>
      <c r="AH1176">
        <v>20.070736124472599</v>
      </c>
      <c r="AI1176">
        <v>92.922325055086901</v>
      </c>
      <c r="AJ1176">
        <v>68.275415409338194</v>
      </c>
      <c r="AK1176">
        <v>21.633408816363399</v>
      </c>
      <c r="AL1176">
        <v>95.613572583118099</v>
      </c>
      <c r="AM1176">
        <v>77.544094901998406</v>
      </c>
      <c r="AN1176">
        <v>0.99999997220331005</v>
      </c>
    </row>
    <row r="1177" spans="1:40" x14ac:dyDescent="0.25">
      <c r="A1177" t="str">
        <f>"20190305135603653"</f>
        <v>20190305135603653</v>
      </c>
      <c r="B1177" t="str">
        <f>"1551765363643268"</f>
        <v>1551765363643268</v>
      </c>
      <c r="C1177" t="s">
        <v>40</v>
      </c>
      <c r="D1177">
        <v>4.3127000000000004</v>
      </c>
      <c r="E1177">
        <v>0.55309280000000005</v>
      </c>
      <c r="F1177" t="s">
        <v>55</v>
      </c>
      <c r="G1177">
        <v>-218.8098</v>
      </c>
      <c r="H1177" s="1">
        <v>3.1513210000000002E-6</v>
      </c>
      <c r="I1177">
        <v>285.48450000000003</v>
      </c>
      <c r="J1177">
        <v>-203.0966</v>
      </c>
      <c r="K1177">
        <v>1.103046</v>
      </c>
      <c r="L1177">
        <v>283.83550000000002</v>
      </c>
      <c r="M1177">
        <v>-0.97053089999999997</v>
      </c>
      <c r="N1177">
        <v>-1.0169299999999999E-2</v>
      </c>
      <c r="O1177">
        <v>-0.24076220000000001</v>
      </c>
      <c r="P1177">
        <v>-0.99396459999999998</v>
      </c>
      <c r="Q1177">
        <v>-0.1044346</v>
      </c>
      <c r="R1177">
        <v>-3.358394E-2</v>
      </c>
      <c r="S1177">
        <v>-3.0098720000000001</v>
      </c>
      <c r="T1177">
        <v>-0.20736859999999999</v>
      </c>
      <c r="U1177">
        <v>0.29937740000000002</v>
      </c>
      <c r="V1177">
        <v>0.205344</v>
      </c>
      <c r="W1177">
        <v>-9.750064E-2</v>
      </c>
      <c r="X1177">
        <v>0.97382100000000005</v>
      </c>
      <c r="Y1177">
        <v>0.33434720000000001</v>
      </c>
      <c r="Z1177">
        <v>2.7184779999999999E-2</v>
      </c>
      <c r="AA1177">
        <v>0.94205779999999995</v>
      </c>
      <c r="AB1177">
        <v>20</v>
      </c>
      <c r="AC1177">
        <v>-15.713200000000001</v>
      </c>
      <c r="AD1177">
        <v>-1.103042848679</v>
      </c>
      <c r="AE1177">
        <v>1.649</v>
      </c>
      <c r="AF1177">
        <v>5.3577139430052201</v>
      </c>
      <c r="AG1177">
        <v>-1.103042848679</v>
      </c>
      <c r="AH1177">
        <v>14.781847846215801</v>
      </c>
      <c r="AI1177">
        <v>94.013032348962994</v>
      </c>
      <c r="AJ1177">
        <v>70.076837729517607</v>
      </c>
      <c r="AK1177">
        <v>15.761498278075299</v>
      </c>
      <c r="AL1177">
        <v>95.595264636309395</v>
      </c>
      <c r="AM1177">
        <v>78.092804718369905</v>
      </c>
      <c r="AN1177">
        <v>0.99999993658870201</v>
      </c>
    </row>
    <row r="1178" spans="1:40" x14ac:dyDescent="0.25">
      <c r="A1178" t="str">
        <f>"20190305135603675"</f>
        <v>20190305135603675</v>
      </c>
      <c r="B1178" t="str">
        <f>"1551765363662791"</f>
        <v>1551765363662791</v>
      </c>
      <c r="C1178" t="s">
        <v>40</v>
      </c>
      <c r="D1178">
        <v>4.2604800000000003</v>
      </c>
      <c r="E1178">
        <v>0.55296469999999998</v>
      </c>
      <c r="F1178" t="s">
        <v>55</v>
      </c>
      <c r="G1178">
        <v>-219.26990000000001</v>
      </c>
      <c r="H1178" s="1">
        <v>3.396215E-6</v>
      </c>
      <c r="I1178">
        <v>285.52620000000002</v>
      </c>
      <c r="J1178">
        <v>-203.30269999999999</v>
      </c>
      <c r="K1178">
        <v>1.103159</v>
      </c>
      <c r="L1178">
        <v>283.7987</v>
      </c>
      <c r="M1178">
        <v>-0.97331230000000002</v>
      </c>
      <c r="N1178">
        <v>-9.9288669999999992E-3</v>
      </c>
      <c r="O1178">
        <v>-0.22926949999999999</v>
      </c>
      <c r="P1178">
        <v>-0.99411709999999998</v>
      </c>
      <c r="Q1178">
        <v>-0.1042382</v>
      </c>
      <c r="R1178">
        <v>-2.9416959999999999E-2</v>
      </c>
      <c r="S1178">
        <v>-3.0072939999999999</v>
      </c>
      <c r="T1178">
        <v>-0.20510149999999999</v>
      </c>
      <c r="U1178">
        <v>0.31436160000000002</v>
      </c>
      <c r="V1178">
        <v>0.19794700000000001</v>
      </c>
      <c r="W1178">
        <v>-9.7356129999999999E-2</v>
      </c>
      <c r="X1178">
        <v>0.97536590000000001</v>
      </c>
      <c r="Y1178">
        <v>0.32798719999999998</v>
      </c>
      <c r="Z1178">
        <v>2.6017220000000001E-2</v>
      </c>
      <c r="AA1178">
        <v>0.94432380000000005</v>
      </c>
      <c r="AB1178">
        <v>20</v>
      </c>
      <c r="AC1178">
        <v>-15.9672</v>
      </c>
      <c r="AD1178">
        <v>-1.1031556037850001</v>
      </c>
      <c r="AE1178">
        <v>1.72750000000002</v>
      </c>
      <c r="AF1178">
        <v>5.3173649514910002</v>
      </c>
      <c r="AG1178">
        <v>-1.1031556037850001</v>
      </c>
      <c r="AH1178">
        <v>15.074633483905099</v>
      </c>
      <c r="AI1178">
        <v>93.9478423998019</v>
      </c>
      <c r="AJ1178">
        <v>70.570422678013998</v>
      </c>
      <c r="AK1178">
        <v>16.0229802779502</v>
      </c>
      <c r="AL1178">
        <v>95.586945253112404</v>
      </c>
      <c r="AM1178">
        <v>78.527836423734698</v>
      </c>
      <c r="AN1178">
        <v>0.99999993487019101</v>
      </c>
    </row>
    <row r="1179" spans="1:40" x14ac:dyDescent="0.25">
      <c r="A1179" t="str">
        <f>"20190305135603698"</f>
        <v>20190305135603698</v>
      </c>
      <c r="B1179" t="str">
        <f>"1551765363692575"</f>
        <v>1551765363692575</v>
      </c>
      <c r="C1179" t="s">
        <v>40</v>
      </c>
      <c r="D1179">
        <v>4.3403309999999999</v>
      </c>
      <c r="E1179">
        <v>0.55235889999999999</v>
      </c>
      <c r="F1179" t="s">
        <v>55</v>
      </c>
      <c r="G1179">
        <v>-219.59440000000001</v>
      </c>
      <c r="H1179" s="1">
        <v>3.568883E-6</v>
      </c>
      <c r="I1179">
        <v>285.56380000000001</v>
      </c>
      <c r="J1179">
        <v>-203.50569999999999</v>
      </c>
      <c r="K1179">
        <v>1.103272</v>
      </c>
      <c r="L1179">
        <v>283.7645</v>
      </c>
      <c r="M1179">
        <v>-0.97585469999999996</v>
      </c>
      <c r="N1179">
        <v>-9.7122440000000001E-3</v>
      </c>
      <c r="O1179">
        <v>-0.2182046</v>
      </c>
      <c r="P1179">
        <v>-0.99449880000000002</v>
      </c>
      <c r="Q1179">
        <v>-0.101726</v>
      </c>
      <c r="R1179">
        <v>-2.4979410000000001E-2</v>
      </c>
      <c r="S1179">
        <v>-3.0060419999999999</v>
      </c>
      <c r="T1179">
        <v>-0.2035477</v>
      </c>
      <c r="U1179">
        <v>0.32568360000000002</v>
      </c>
      <c r="V1179">
        <v>0.19134470000000001</v>
      </c>
      <c r="W1179">
        <v>-9.4894129999999993E-2</v>
      </c>
      <c r="X1179">
        <v>0.97692500000000004</v>
      </c>
      <c r="Y1179">
        <v>0.3208685</v>
      </c>
      <c r="Z1179">
        <v>2.4935700000000002E-2</v>
      </c>
      <c r="AA1179">
        <v>0.94679550000000001</v>
      </c>
      <c r="AB1179">
        <v>20</v>
      </c>
      <c r="AC1179">
        <v>-16.088699999999999</v>
      </c>
      <c r="AD1179">
        <v>-1.103268431117</v>
      </c>
      <c r="AE1179">
        <v>1.7993000000000099</v>
      </c>
      <c r="AF1179">
        <v>5.2423848705287197</v>
      </c>
      <c r="AG1179">
        <v>-1.103268431117</v>
      </c>
      <c r="AH1179">
        <v>15.2375720308957</v>
      </c>
      <c r="AI1179">
        <v>93.916687235920307</v>
      </c>
      <c r="AJ1179">
        <v>71.014563553087598</v>
      </c>
      <c r="AK1179">
        <v>16.151885393308799</v>
      </c>
      <c r="AL1179">
        <v>95.445225982052804</v>
      </c>
      <c r="AM1179">
        <v>78.918093823864197</v>
      </c>
      <c r="AN1179">
        <v>1.0000000728757701</v>
      </c>
    </row>
    <row r="1180" spans="1:40" x14ac:dyDescent="0.25">
      <c r="A1180" t="str">
        <f>"20190305135603720"</f>
        <v>20190305135603720</v>
      </c>
      <c r="B1180" t="str">
        <f>"1551765363713071"</f>
        <v>1551765363713071</v>
      </c>
      <c r="C1180" t="s">
        <v>40</v>
      </c>
      <c r="D1180">
        <v>4.2971360000000001</v>
      </c>
      <c r="E1180">
        <v>0.55218500000000004</v>
      </c>
      <c r="F1180" t="s">
        <v>55</v>
      </c>
      <c r="G1180">
        <v>-220.49109999999999</v>
      </c>
      <c r="H1180" s="1">
        <v>-1.275464E-6</v>
      </c>
      <c r="I1180">
        <v>285.65230000000003</v>
      </c>
      <c r="J1180">
        <v>-203.70939999999999</v>
      </c>
      <c r="K1180">
        <v>1.1033839999999999</v>
      </c>
      <c r="L1180">
        <v>283.73219999999998</v>
      </c>
      <c r="M1180">
        <v>-0.97821550000000002</v>
      </c>
      <c r="N1180">
        <v>-9.5026009999999994E-3</v>
      </c>
      <c r="O1180">
        <v>-0.20737420000000001</v>
      </c>
      <c r="P1180">
        <v>-0.99503580000000003</v>
      </c>
      <c r="Q1180">
        <v>-9.7460340000000006E-2</v>
      </c>
      <c r="R1180">
        <v>-2.013119E-2</v>
      </c>
      <c r="S1180">
        <v>-3.0050349999999999</v>
      </c>
      <c r="T1180">
        <v>-0.19518959999999999</v>
      </c>
      <c r="U1180">
        <v>0.33398440000000001</v>
      </c>
      <c r="V1180">
        <v>0.1854499</v>
      </c>
      <c r="W1180">
        <v>-9.0685219999999997E-2</v>
      </c>
      <c r="X1180">
        <v>0.97846029999999995</v>
      </c>
      <c r="Y1180">
        <v>0.31311129999999998</v>
      </c>
      <c r="Z1180">
        <v>2.303262E-2</v>
      </c>
      <c r="AA1180">
        <v>0.94943710000000003</v>
      </c>
      <c r="AB1180">
        <v>20</v>
      </c>
      <c r="AC1180">
        <v>-16.781700000000001</v>
      </c>
      <c r="AD1180">
        <v>-1.1033852754639999</v>
      </c>
      <c r="AE1180">
        <v>1.9201000000000401</v>
      </c>
      <c r="AF1180">
        <v>5.3358367367864599</v>
      </c>
      <c r="AG1180">
        <v>-1.1033852754639999</v>
      </c>
      <c r="AH1180">
        <v>15.9506007405804</v>
      </c>
      <c r="AI1180">
        <v>93.753332193358801</v>
      </c>
      <c r="AJ1180">
        <v>71.503746121012597</v>
      </c>
      <c r="AK1180">
        <v>16.855571088905702</v>
      </c>
      <c r="AL1180">
        <v>95.203028423255503</v>
      </c>
      <c r="AM1180">
        <v>79.2678947961099</v>
      </c>
      <c r="AN1180">
        <v>1.0000000166062699</v>
      </c>
    </row>
    <row r="1181" spans="1:40" x14ac:dyDescent="0.25">
      <c r="A1181" t="str">
        <f>"20190305135603743"</f>
        <v>20190305135603743</v>
      </c>
      <c r="B1181" t="str">
        <f>"1551765363732590"</f>
        <v>1551765363732590</v>
      </c>
      <c r="C1181" t="s">
        <v>40</v>
      </c>
      <c r="D1181">
        <v>4.3884420000000004</v>
      </c>
      <c r="E1181">
        <v>0.52880019999999905</v>
      </c>
      <c r="F1181" t="s">
        <v>55</v>
      </c>
      <c r="G1181">
        <v>-221.749</v>
      </c>
      <c r="H1181" s="1">
        <v>-6.0604049999999995E-7</v>
      </c>
      <c r="I1181">
        <v>285.81959999999998</v>
      </c>
      <c r="J1181">
        <v>-203.91489999999999</v>
      </c>
      <c r="K1181">
        <v>1.1034870000000001</v>
      </c>
      <c r="L1181">
        <v>283.70150000000001</v>
      </c>
      <c r="M1181">
        <v>-0.98040740000000004</v>
      </c>
      <c r="N1181">
        <v>-9.2811530000000003E-3</v>
      </c>
      <c r="O1181">
        <v>-0.19676150000000001</v>
      </c>
      <c r="P1181">
        <v>-0.99532050000000005</v>
      </c>
      <c r="Q1181">
        <v>-9.5291529999999999E-2</v>
      </c>
      <c r="R1181">
        <v>-1.601547E-2</v>
      </c>
      <c r="S1181">
        <v>-3.004013</v>
      </c>
      <c r="T1181">
        <v>-0.1837387</v>
      </c>
      <c r="U1181">
        <v>0.34759519999999999</v>
      </c>
      <c r="V1181">
        <v>0.17898939999999999</v>
      </c>
      <c r="W1181">
        <v>-8.8579030000000003E-2</v>
      </c>
      <c r="X1181">
        <v>0.97985540000000004</v>
      </c>
      <c r="Y1181">
        <v>0.30724649999999998</v>
      </c>
      <c r="Z1181">
        <v>2.0924580000000002E-2</v>
      </c>
      <c r="AA1181">
        <v>0.95139989999999997</v>
      </c>
      <c r="AB1181">
        <v>20</v>
      </c>
      <c r="AC1181">
        <v>-17.834099999999999</v>
      </c>
      <c r="AD1181">
        <v>-1.1034876060404999</v>
      </c>
      <c r="AE1181">
        <v>2.1180999999999699</v>
      </c>
      <c r="AF1181">
        <v>5.5648970029632201</v>
      </c>
      <c r="AG1181">
        <v>-1.1034876060404999</v>
      </c>
      <c r="AH1181">
        <v>17.004462478657999</v>
      </c>
      <c r="AI1181">
        <v>93.529263229471496</v>
      </c>
      <c r="AJ1181">
        <v>71.878747865879603</v>
      </c>
      <c r="AK1181">
        <v>17.925889315132</v>
      </c>
      <c r="AL1181">
        <v>95.081864859122504</v>
      </c>
      <c r="AM1181">
        <v>79.647961287314601</v>
      </c>
      <c r="AN1181">
        <v>1.00000002738863</v>
      </c>
    </row>
    <row r="1182" spans="1:40" x14ac:dyDescent="0.25">
      <c r="A1182" t="str">
        <f>"20190305135603765"</f>
        <v>20190305135603765</v>
      </c>
      <c r="B1182" t="str">
        <f>"1551765363762846"</f>
        <v>1551765363762846</v>
      </c>
      <c r="C1182" t="s">
        <v>40</v>
      </c>
      <c r="D1182">
        <v>4.2224349999999999</v>
      </c>
      <c r="E1182">
        <v>0.52569119999999903</v>
      </c>
      <c r="F1182" t="s">
        <v>55</v>
      </c>
      <c r="G1182">
        <v>-215.60730000000001</v>
      </c>
      <c r="H1182" s="1">
        <v>1.447119E-6</v>
      </c>
      <c r="I1182">
        <v>284.41379999999998</v>
      </c>
      <c r="J1182">
        <v>-204.11789999999999</v>
      </c>
      <c r="K1182">
        <v>1.1035870000000001</v>
      </c>
      <c r="L1182">
        <v>283.67290000000003</v>
      </c>
      <c r="M1182">
        <v>-0.98239339999999997</v>
      </c>
      <c r="N1182">
        <v>-9.0374819999999995E-3</v>
      </c>
      <c r="O1182">
        <v>-0.18660579999999999</v>
      </c>
      <c r="P1182">
        <v>-0.99521079999999995</v>
      </c>
      <c r="Q1182">
        <v>-9.6741869999999994E-2</v>
      </c>
      <c r="R1182">
        <v>-1.402451E-2</v>
      </c>
      <c r="S1182">
        <v>-2.990005</v>
      </c>
      <c r="T1182">
        <v>-0.28218690000000002</v>
      </c>
      <c r="U1182">
        <v>0.1821594</v>
      </c>
      <c r="V1182">
        <v>0.17079220000000001</v>
      </c>
      <c r="W1182">
        <v>-9.0091560000000001E-2</v>
      </c>
      <c r="X1182">
        <v>0.98117969999999999</v>
      </c>
      <c r="Y1182">
        <v>0.24415200000000001</v>
      </c>
      <c r="Z1182">
        <v>2.8408369999999999E-2</v>
      </c>
      <c r="AA1182">
        <v>0.96932079999999998</v>
      </c>
      <c r="AB1182">
        <v>20</v>
      </c>
      <c r="AC1182">
        <v>-11.4894</v>
      </c>
      <c r="AD1182">
        <v>-1.1035855528809999</v>
      </c>
      <c r="AE1182">
        <v>0.74089999999995304</v>
      </c>
      <c r="AF1182">
        <v>2.8458139748892699</v>
      </c>
      <c r="AG1182">
        <v>-1.1035855528809999</v>
      </c>
      <c r="AH1182">
        <v>11.047802905563501</v>
      </c>
      <c r="AI1182">
        <v>95.525263969684303</v>
      </c>
      <c r="AJ1182">
        <v>75.555148319764498</v>
      </c>
      <c r="AK1182">
        <v>11.4616974001401</v>
      </c>
      <c r="AL1182">
        <v>95.168874313158994</v>
      </c>
      <c r="AM1182">
        <v>80.125563562122593</v>
      </c>
      <c r="AN1182">
        <v>1.0000000342280799</v>
      </c>
    </row>
    <row r="1183" spans="1:40" x14ac:dyDescent="0.25">
      <c r="A1183" t="str">
        <f>"20190305135603787"</f>
        <v>20190305135603787</v>
      </c>
      <c r="B1183" t="str">
        <f>"1551765363782873"</f>
        <v>1551765363782873</v>
      </c>
      <c r="C1183" t="s">
        <v>40</v>
      </c>
      <c r="D1183">
        <v>4.2663070000000003</v>
      </c>
      <c r="E1183">
        <v>0.5260203</v>
      </c>
      <c r="F1183" t="s">
        <v>55</v>
      </c>
      <c r="G1183">
        <v>-215.07660000000001</v>
      </c>
      <c r="H1183" s="1">
        <v>1.164699E-6</v>
      </c>
      <c r="I1183">
        <v>284.27640000000002</v>
      </c>
      <c r="J1183">
        <v>-204.3211</v>
      </c>
      <c r="K1183">
        <v>1.103691</v>
      </c>
      <c r="L1183">
        <v>283.64600000000002</v>
      </c>
      <c r="M1183">
        <v>-0.98420989999999997</v>
      </c>
      <c r="N1183">
        <v>-8.7623660000000006E-3</v>
      </c>
      <c r="O1183">
        <v>-0.17678869999999999</v>
      </c>
      <c r="P1183">
        <v>-0.99508269999999999</v>
      </c>
      <c r="Q1183">
        <v>-9.8167950000000004E-2</v>
      </c>
      <c r="R1183">
        <v>-1.3182579999999999E-2</v>
      </c>
      <c r="S1183">
        <v>-2.9875029999999998</v>
      </c>
      <c r="T1183">
        <v>-0.30085610000000002</v>
      </c>
      <c r="U1183">
        <v>0.16452030000000001</v>
      </c>
      <c r="V1183">
        <v>0.16181499999999999</v>
      </c>
      <c r="W1183">
        <v>-9.1598860000000004E-2</v>
      </c>
      <c r="X1183">
        <v>0.98256069999999995</v>
      </c>
      <c r="Y1183">
        <v>0.22865379999999999</v>
      </c>
      <c r="Z1183">
        <v>2.862843E-2</v>
      </c>
      <c r="AA1183">
        <v>0.97308680000000003</v>
      </c>
      <c r="AB1183">
        <v>20</v>
      </c>
      <c r="AC1183">
        <v>-10.7555</v>
      </c>
      <c r="AD1183">
        <v>-1.1036898353010001</v>
      </c>
      <c r="AE1183">
        <v>0.63040000000006502</v>
      </c>
      <c r="AF1183">
        <v>2.4958023182680198</v>
      </c>
      <c r="AG1183">
        <v>-1.1036898353010001</v>
      </c>
      <c r="AH1183">
        <v>10.3658435487815</v>
      </c>
      <c r="AI1183">
        <v>95.909953580546301</v>
      </c>
      <c r="AJ1183">
        <v>76.462464132748906</v>
      </c>
      <c r="AK1183">
        <v>10.7190425385028</v>
      </c>
      <c r="AL1183">
        <v>95.255595081710297</v>
      </c>
      <c r="AM1183">
        <v>80.648072582093306</v>
      </c>
      <c r="AN1183">
        <v>0.99999998728139405</v>
      </c>
    </row>
    <row r="1184" spans="1:40" x14ac:dyDescent="0.25">
      <c r="A1184" t="str">
        <f>"20190305135603810"</f>
        <v>20190305135603810</v>
      </c>
      <c r="B1184" t="str">
        <f>"1551765363803370"</f>
        <v>1551765363803370</v>
      </c>
      <c r="C1184" t="s">
        <v>40</v>
      </c>
      <c r="D1184">
        <v>4.2372509999999997</v>
      </c>
      <c r="E1184">
        <v>0.52637400000000001</v>
      </c>
      <c r="F1184" t="s">
        <v>55</v>
      </c>
      <c r="G1184">
        <v>-215.46719999999999</v>
      </c>
      <c r="H1184" s="1">
        <v>1.3725640000000001E-6</v>
      </c>
      <c r="I1184">
        <v>284.27659999999997</v>
      </c>
      <c r="J1184">
        <v>-204.52619999999999</v>
      </c>
      <c r="K1184">
        <v>1.103818</v>
      </c>
      <c r="L1184">
        <v>283.62049999999999</v>
      </c>
      <c r="M1184">
        <v>-0.98587650000000004</v>
      </c>
      <c r="N1184">
        <v>-8.4439990000000006E-3</v>
      </c>
      <c r="O1184">
        <v>-0.167261299999999</v>
      </c>
      <c r="P1184">
        <v>-0.99512319999999999</v>
      </c>
      <c r="Q1184">
        <v>-9.785895E-2</v>
      </c>
      <c r="R1184">
        <v>-1.2390399999999999E-2</v>
      </c>
      <c r="S1184">
        <v>-2.9878689999999999</v>
      </c>
      <c r="T1184">
        <v>-0.2958615</v>
      </c>
      <c r="U1184">
        <v>0.16903689999999999</v>
      </c>
      <c r="V1184">
        <v>0.15313979999999999</v>
      </c>
      <c r="W1184">
        <v>-9.141473E-2</v>
      </c>
      <c r="X1184">
        <v>0.98396719999999904</v>
      </c>
      <c r="Y1184">
        <v>0.22083920000000001</v>
      </c>
      <c r="Z1184">
        <v>2.6892349999999999E-2</v>
      </c>
      <c r="AA1184">
        <v>0.97493940000000001</v>
      </c>
      <c r="AB1184">
        <v>20</v>
      </c>
      <c r="AC1184">
        <v>-10.941000000000001</v>
      </c>
      <c r="AD1184">
        <v>-1.103816627436</v>
      </c>
      <c r="AE1184">
        <v>0.65609999999998003</v>
      </c>
      <c r="AF1184">
        <v>2.4520589893238398</v>
      </c>
      <c r="AG1184">
        <v>-1.103816627436</v>
      </c>
      <c r="AH1184">
        <v>10.569915267167801</v>
      </c>
      <c r="AI1184">
        <v>95.808634151111605</v>
      </c>
      <c r="AJ1184">
        <v>76.939278883295501</v>
      </c>
      <c r="AK1184">
        <v>10.906608693321401</v>
      </c>
      <c r="AL1184">
        <v>95.245000951837298</v>
      </c>
      <c r="AM1184">
        <v>81.153737517307206</v>
      </c>
      <c r="AN1184">
        <v>0.99999995094042504</v>
      </c>
    </row>
    <row r="1185" spans="1:40" x14ac:dyDescent="0.25">
      <c r="A1185" t="str">
        <f>"20190305135603834"</f>
        <v>20190305135603834</v>
      </c>
      <c r="B1185" t="str">
        <f>"1551765363822890"</f>
        <v>1551765363822890</v>
      </c>
      <c r="C1185" t="s">
        <v>40</v>
      </c>
      <c r="D1185">
        <v>4.2001080000000002</v>
      </c>
      <c r="E1185">
        <v>0.52641329999999997</v>
      </c>
      <c r="F1185" t="s">
        <v>55</v>
      </c>
      <c r="G1185">
        <v>-215.89920000000001</v>
      </c>
      <c r="H1185" s="1">
        <v>1.6024610000000001E-6</v>
      </c>
      <c r="I1185">
        <v>284.28129999999999</v>
      </c>
      <c r="J1185">
        <v>-204.75020000000001</v>
      </c>
      <c r="K1185">
        <v>1.1039760000000001</v>
      </c>
      <c r="L1185">
        <v>283.59429999999998</v>
      </c>
      <c r="M1185">
        <v>-0.98750669999999996</v>
      </c>
      <c r="N1185">
        <v>-8.0288990000000008E-3</v>
      </c>
      <c r="O1185">
        <v>-0.15737329999999999</v>
      </c>
      <c r="P1185">
        <v>-0.99551210000000001</v>
      </c>
      <c r="Q1185">
        <v>-9.414836E-2</v>
      </c>
      <c r="R1185">
        <v>-9.5916339999999999E-3</v>
      </c>
      <c r="S1185">
        <v>-2.9883419999999998</v>
      </c>
      <c r="T1185">
        <v>-0.29003600000000002</v>
      </c>
      <c r="U1185">
        <v>0.17364499999999999</v>
      </c>
      <c r="V1185">
        <v>0.14619279999999901</v>
      </c>
      <c r="W1185">
        <v>-8.7936440000000005E-2</v>
      </c>
      <c r="X1185">
        <v>0.98533990000000005</v>
      </c>
      <c r="Y1185">
        <v>0.21270210000000001</v>
      </c>
      <c r="Z1185">
        <v>2.5078630000000001E-2</v>
      </c>
      <c r="AA1185">
        <v>0.97679519999999997</v>
      </c>
      <c r="AB1185">
        <v>20</v>
      </c>
      <c r="AC1185">
        <v>-11.148999999999999</v>
      </c>
      <c r="AD1185">
        <v>-1.103974397539</v>
      </c>
      <c r="AE1185">
        <v>0.68700000000001105</v>
      </c>
      <c r="AF1185">
        <v>2.40951423668196</v>
      </c>
      <c r="AG1185">
        <v>-1.103974397539</v>
      </c>
      <c r="AH1185">
        <v>10.7964877051168</v>
      </c>
      <c r="AI1185">
        <v>95.699131813557599</v>
      </c>
      <c r="AJ1185">
        <v>77.419140690131599</v>
      </c>
      <c r="AK1185">
        <v>11.1170439008727</v>
      </c>
      <c r="AL1185">
        <v>95.044903392264004</v>
      </c>
      <c r="AM1185">
        <v>81.560711593609199</v>
      </c>
      <c r="AN1185">
        <v>0.99999993539185905</v>
      </c>
    </row>
    <row r="1186" spans="1:40" x14ac:dyDescent="0.25">
      <c r="A1186" t="str">
        <f>"20190305135603854"</f>
        <v>20190305135603854</v>
      </c>
      <c r="B1186" t="str">
        <f>"1551765363843386"</f>
        <v>1551765363843386</v>
      </c>
      <c r="C1186" t="s">
        <v>40</v>
      </c>
      <c r="D1186">
        <v>4.2136329999999997</v>
      </c>
      <c r="E1186">
        <v>0.52655319999999906</v>
      </c>
      <c r="F1186" t="s">
        <v>55</v>
      </c>
      <c r="G1186">
        <v>-216.64099999999999</v>
      </c>
      <c r="H1186" s="1">
        <v>1.997228E-6</v>
      </c>
      <c r="I1186">
        <v>284.31869999999998</v>
      </c>
      <c r="J1186">
        <v>-204.94489999999999</v>
      </c>
      <c r="K1186">
        <v>1.104095</v>
      </c>
      <c r="L1186">
        <v>283.57279999999997</v>
      </c>
      <c r="M1186">
        <v>-0.98877879999999996</v>
      </c>
      <c r="N1186">
        <v>-7.625443E-3</v>
      </c>
      <c r="O1186">
        <v>-0.14919279999999999</v>
      </c>
      <c r="P1186">
        <v>-0.99573020000000001</v>
      </c>
      <c r="Q1186">
        <v>-9.1989139999999997E-2</v>
      </c>
      <c r="R1186">
        <v>-7.7185980000000001E-3</v>
      </c>
      <c r="S1186">
        <v>-2.9890439999999998</v>
      </c>
      <c r="T1186">
        <v>-0.27751100000000001</v>
      </c>
      <c r="U1186">
        <v>0.18209839999999999</v>
      </c>
      <c r="V1186">
        <v>0.13998450000000001</v>
      </c>
      <c r="W1186">
        <v>-8.6023989999999995E-2</v>
      </c>
      <c r="X1186">
        <v>0.9864098</v>
      </c>
      <c r="Y1186">
        <v>0.20754880000000001</v>
      </c>
      <c r="Z1186">
        <v>2.3048530000000001E-2</v>
      </c>
      <c r="AA1186">
        <v>0.97795310000000002</v>
      </c>
      <c r="AB1186">
        <v>21</v>
      </c>
      <c r="AC1186">
        <v>-11.696099999999999</v>
      </c>
      <c r="AD1186">
        <v>-1.104093002772</v>
      </c>
      <c r="AE1186">
        <v>0.745900000000006</v>
      </c>
      <c r="AF1186">
        <v>2.4607370566346001</v>
      </c>
      <c r="AG1186">
        <v>-1.104093002772</v>
      </c>
      <c r="AH1186">
        <v>11.353146211207701</v>
      </c>
      <c r="AI1186">
        <v>95.429259580937</v>
      </c>
      <c r="AJ1186">
        <v>77.770593454866102</v>
      </c>
      <c r="AK1186">
        <v>11.6691120962019</v>
      </c>
      <c r="AL1186">
        <v>94.934910669173206</v>
      </c>
      <c r="AM1186">
        <v>81.922910954670002</v>
      </c>
      <c r="AN1186">
        <v>1.0000000403159</v>
      </c>
    </row>
    <row r="1187" spans="1:40" x14ac:dyDescent="0.25">
      <c r="A1187" t="str">
        <f>"20190305135603879"</f>
        <v>20190305135603879</v>
      </c>
      <c r="B1187" t="str">
        <f>"1551765363873174"</f>
        <v>1551765363873174</v>
      </c>
      <c r="C1187" t="s">
        <v>40</v>
      </c>
      <c r="D1187">
        <v>4.1958739999999999</v>
      </c>
      <c r="E1187">
        <v>0.52697859999999996</v>
      </c>
      <c r="F1187" t="s">
        <v>55</v>
      </c>
      <c r="G1187">
        <v>-217.0061</v>
      </c>
      <c r="H1187" s="1">
        <v>2.1914829999999999E-6</v>
      </c>
      <c r="I1187">
        <v>284.33580000000001</v>
      </c>
      <c r="J1187">
        <v>-205.17580000000001</v>
      </c>
      <c r="K1187">
        <v>1.1042080000000001</v>
      </c>
      <c r="L1187">
        <v>283.54880000000003</v>
      </c>
      <c r="M1187">
        <v>-0.99013010000000001</v>
      </c>
      <c r="N1187">
        <v>-7.1303010000000003E-3</v>
      </c>
      <c r="O1187">
        <v>-0.1399715</v>
      </c>
      <c r="P1187">
        <v>-0.99554710000000002</v>
      </c>
      <c r="Q1187">
        <v>-9.4136549999999999E-2</v>
      </c>
      <c r="R1187">
        <v>-4.9660750000000004E-3</v>
      </c>
      <c r="S1187">
        <v>-2.9890750000000001</v>
      </c>
      <c r="T1187">
        <v>-0.27362370000000003</v>
      </c>
      <c r="U1187">
        <v>0.1890869</v>
      </c>
      <c r="V1187">
        <v>0.13350890000000001</v>
      </c>
      <c r="W1187">
        <v>-8.8512869999999993E-2</v>
      </c>
      <c r="X1187">
        <v>0.9870871</v>
      </c>
      <c r="Y1187">
        <v>0.20080999999999999</v>
      </c>
      <c r="Z1187">
        <v>2.1640880000000001E-2</v>
      </c>
      <c r="AA1187">
        <v>0.97939120000000002</v>
      </c>
      <c r="AB1187">
        <v>21</v>
      </c>
      <c r="AC1187">
        <v>-11.8302999999999</v>
      </c>
      <c r="AD1187">
        <v>-1.1042058085169999</v>
      </c>
      <c r="AE1187">
        <v>0.78699999999997705</v>
      </c>
      <c r="AF1187">
        <v>2.4142586484024902</v>
      </c>
      <c r="AG1187">
        <v>-1.1042058085169999</v>
      </c>
      <c r="AH1187">
        <v>11.503892564819999</v>
      </c>
      <c r="AI1187">
        <v>95.366560172400099</v>
      </c>
      <c r="AJ1187">
        <v>78.147656807851106</v>
      </c>
      <c r="AK1187">
        <v>11.8062466276065</v>
      </c>
      <c r="AL1187">
        <v>95.078059113453406</v>
      </c>
      <c r="AM1187">
        <v>82.297179045105494</v>
      </c>
      <c r="AN1187">
        <v>1.00000004876062</v>
      </c>
    </row>
    <row r="1188" spans="1:40" x14ac:dyDescent="0.25">
      <c r="A1188" t="str">
        <f>"20190305135603898"</f>
        <v>20190305135603898</v>
      </c>
      <c r="B1188" t="str">
        <f>"1551765363892694"</f>
        <v>1551765363892694</v>
      </c>
      <c r="C1188" t="s">
        <v>40</v>
      </c>
      <c r="D1188">
        <v>4.1891980000000002</v>
      </c>
      <c r="E1188">
        <v>0.52731459999999997</v>
      </c>
      <c r="F1188" t="s">
        <v>41</v>
      </c>
      <c r="G1188">
        <v>-206.02449999999999</v>
      </c>
      <c r="H1188">
        <v>1.0248710000000001</v>
      </c>
      <c r="I1188">
        <v>283.60590000000002</v>
      </c>
      <c r="J1188">
        <v>-205.3681</v>
      </c>
      <c r="K1188">
        <v>1.104276</v>
      </c>
      <c r="L1188">
        <v>283.52999999999997</v>
      </c>
      <c r="M1188">
        <v>-0.99113609999999996</v>
      </c>
      <c r="N1188">
        <v>-6.7101130000000002E-3</v>
      </c>
      <c r="O1188">
        <v>-0.13268089999999999</v>
      </c>
      <c r="P1188">
        <v>-0.99508399999999997</v>
      </c>
      <c r="Q1188">
        <v>-9.8940390000000003E-2</v>
      </c>
      <c r="R1188">
        <v>-4.3350999999999997E-3</v>
      </c>
      <c r="S1188">
        <v>-2.9880369999999998</v>
      </c>
      <c r="T1188">
        <v>-0.27921509999999999</v>
      </c>
      <c r="U1188">
        <v>0.20068359999999999</v>
      </c>
      <c r="V1188">
        <v>0.1267924</v>
      </c>
      <c r="W1188">
        <v>-9.3606579999999995E-2</v>
      </c>
      <c r="X1188">
        <v>0.98750260000000001</v>
      </c>
      <c r="Y1188">
        <v>0.1973905</v>
      </c>
      <c r="Z1188">
        <v>2.131197E-2</v>
      </c>
      <c r="AA1188">
        <v>0.9800932</v>
      </c>
      <c r="AB1188">
        <v>21</v>
      </c>
      <c r="AC1188">
        <v>-0.65639999999998999</v>
      </c>
      <c r="AD1188">
        <v>-7.9405000000000101E-2</v>
      </c>
      <c r="AE1188">
        <v>7.5900000000046902E-2</v>
      </c>
      <c r="AF1188">
        <v>0.16001193057455501</v>
      </c>
      <c r="AG1188">
        <v>-7.9405000000000101E-2</v>
      </c>
      <c r="AH1188">
        <v>0.63140765893036299</v>
      </c>
      <c r="AI1188">
        <v>96.950353352207699</v>
      </c>
      <c r="AJ1188">
        <v>75.779429152081306</v>
      </c>
      <c r="AK1188">
        <v>0.65618945717461696</v>
      </c>
      <c r="AL1188">
        <v>95.371125632683402</v>
      </c>
      <c r="AM1188">
        <v>82.683423420535902</v>
      </c>
      <c r="AN1188">
        <v>0.99999994476190601</v>
      </c>
    </row>
    <row r="1189" spans="1:40" x14ac:dyDescent="0.25">
      <c r="A1189" t="str">
        <f>"20190305135603920"</f>
        <v>20190305135603920</v>
      </c>
      <c r="B1189" t="str">
        <f>"1551765363913190"</f>
        <v>1551765363913190</v>
      </c>
      <c r="C1189" t="s">
        <v>40</v>
      </c>
      <c r="D1189">
        <v>4.2382289999999996</v>
      </c>
      <c r="E1189">
        <v>0.52744360000000001</v>
      </c>
      <c r="F1189" t="s">
        <v>41</v>
      </c>
      <c r="G1189">
        <v>-206.2114</v>
      </c>
      <c r="H1189">
        <v>1.021541</v>
      </c>
      <c r="I1189">
        <v>283.58800000000002</v>
      </c>
      <c r="J1189">
        <v>-205.5829</v>
      </c>
      <c r="K1189">
        <v>1.1043620000000001</v>
      </c>
      <c r="L1189">
        <v>283.51010000000002</v>
      </c>
      <c r="M1189">
        <v>-0.99213779999999996</v>
      </c>
      <c r="N1189">
        <v>-6.2284330000000002E-3</v>
      </c>
      <c r="O1189">
        <v>-0.1249948</v>
      </c>
      <c r="P1189">
        <v>-0.99477490000000002</v>
      </c>
      <c r="Q1189">
        <v>-0.1020529</v>
      </c>
      <c r="R1189">
        <v>-2.8822560000000001E-3</v>
      </c>
      <c r="S1189">
        <v>-2.9865569999999999</v>
      </c>
      <c r="T1189">
        <v>-0.29295660000000001</v>
      </c>
      <c r="U1189">
        <v>0.20523069999999999</v>
      </c>
      <c r="V1189">
        <v>0.1205495</v>
      </c>
      <c r="W1189">
        <v>-9.7074250000000001E-2</v>
      </c>
      <c r="X1189">
        <v>0.98794959999999998</v>
      </c>
      <c r="Y1189">
        <v>0.1912257</v>
      </c>
      <c r="Z1189">
        <v>2.1372889999999999E-2</v>
      </c>
      <c r="AA1189">
        <v>0.9813134</v>
      </c>
      <c r="AB1189">
        <v>21</v>
      </c>
      <c r="AC1189">
        <v>-0.62850000000000195</v>
      </c>
      <c r="AD1189">
        <v>-8.2821000000000006E-2</v>
      </c>
      <c r="AE1189">
        <v>7.7899999999942696E-2</v>
      </c>
      <c r="AF1189">
        <v>0.15322925590539399</v>
      </c>
      <c r="AG1189">
        <v>-8.2821000000000006E-2</v>
      </c>
      <c r="AH1189">
        <v>0.60351212772212404</v>
      </c>
      <c r="AI1189">
        <v>97.576524411821097</v>
      </c>
      <c r="AJ1189">
        <v>75.753861662796197</v>
      </c>
      <c r="AK1189">
        <v>0.62814441907415397</v>
      </c>
      <c r="AL1189">
        <v>95.570717479304804</v>
      </c>
      <c r="AM1189">
        <v>83.043165778638894</v>
      </c>
      <c r="AN1189">
        <v>1.0000000020517299</v>
      </c>
    </row>
    <row r="1190" spans="1:40" x14ac:dyDescent="0.25">
      <c r="A1190" t="str">
        <f>"20190305135603944"</f>
        <v>20190305135603944</v>
      </c>
      <c r="B1190" t="str">
        <f>"1551765363932709"</f>
        <v>1551765363932709</v>
      </c>
      <c r="C1190" t="s">
        <v>40</v>
      </c>
      <c r="D1190">
        <v>4.1774909999999998</v>
      </c>
      <c r="E1190">
        <v>0.52752089999999996</v>
      </c>
      <c r="F1190" t="s">
        <v>41</v>
      </c>
      <c r="G1190">
        <v>-206.40270000000001</v>
      </c>
      <c r="H1190">
        <v>1.021296</v>
      </c>
      <c r="I1190">
        <v>283.56790000000001</v>
      </c>
      <c r="J1190">
        <v>-205.81290000000001</v>
      </c>
      <c r="K1190">
        <v>1.1044769999999999</v>
      </c>
      <c r="L1190">
        <v>283.48989999999998</v>
      </c>
      <c r="M1190">
        <v>-0.99308010000000002</v>
      </c>
      <c r="N1190">
        <v>-5.7007500000000001E-3</v>
      </c>
      <c r="O1190">
        <v>-0.1173019</v>
      </c>
      <c r="P1190">
        <v>-0.99466220000000005</v>
      </c>
      <c r="Q1190">
        <v>-0.10317469999999999</v>
      </c>
      <c r="R1190">
        <v>-1.5253E-3</v>
      </c>
      <c r="S1190">
        <v>-2.9853360000000002</v>
      </c>
      <c r="T1190">
        <v>-0.30238369999999998</v>
      </c>
      <c r="U1190">
        <v>0.21063229999999999</v>
      </c>
      <c r="V1190">
        <v>0.11426219999999999</v>
      </c>
      <c r="W1190">
        <v>-9.8594319999999999E-2</v>
      </c>
      <c r="X1190">
        <v>0.98854609999999998</v>
      </c>
      <c r="Y1190">
        <v>0.1853774</v>
      </c>
      <c r="Z1190">
        <v>2.104485E-2</v>
      </c>
      <c r="AA1190">
        <v>0.98244200000000004</v>
      </c>
      <c r="AB1190">
        <v>21</v>
      </c>
      <c r="AC1190">
        <v>-0.58979999999999599</v>
      </c>
      <c r="AD1190">
        <v>-8.3181000000000102E-2</v>
      </c>
      <c r="AE1190">
        <v>7.8000000000031294E-2</v>
      </c>
      <c r="AF1190">
        <v>0.143835529366518</v>
      </c>
      <c r="AG1190">
        <v>-8.3181000000000102E-2</v>
      </c>
      <c r="AH1190">
        <v>0.56552335745962401</v>
      </c>
      <c r="AI1190">
        <v>98.112762687190695</v>
      </c>
      <c r="AJ1190">
        <v>75.729929850259893</v>
      </c>
      <c r="AK1190">
        <v>0.58942718473239097</v>
      </c>
      <c r="AL1190">
        <v>95.658230688473495</v>
      </c>
      <c r="AM1190">
        <v>83.406662398873607</v>
      </c>
      <c r="AN1190">
        <v>1.0000000410551499</v>
      </c>
    </row>
    <row r="1191" spans="1:40" x14ac:dyDescent="0.25">
      <c r="A1191" t="str">
        <f>"20190305135603968"</f>
        <v>20190305135603968</v>
      </c>
      <c r="B1191" t="str">
        <f>"1551765363962966"</f>
        <v>1551765363962966</v>
      </c>
      <c r="C1191" t="s">
        <v>40</v>
      </c>
      <c r="D1191">
        <v>4.2017049999999996</v>
      </c>
      <c r="E1191">
        <v>0.52779949999999998</v>
      </c>
      <c r="F1191" t="s">
        <v>41</v>
      </c>
      <c r="G1191">
        <v>-206.59729999999999</v>
      </c>
      <c r="H1191">
        <v>1.023936</v>
      </c>
      <c r="I1191">
        <v>283.54649999999998</v>
      </c>
      <c r="J1191">
        <v>-206.0463</v>
      </c>
      <c r="K1191">
        <v>1.104633</v>
      </c>
      <c r="L1191">
        <v>283.47070000000002</v>
      </c>
      <c r="M1191">
        <v>-0.99391169999999995</v>
      </c>
      <c r="N1191">
        <v>-5.1690149999999999E-3</v>
      </c>
      <c r="O1191">
        <v>-0.110058</v>
      </c>
      <c r="P1191">
        <v>-0.99457399999999996</v>
      </c>
      <c r="Q1191">
        <v>-0.1040171</v>
      </c>
      <c r="R1191">
        <v>-1.689755E-3</v>
      </c>
      <c r="S1191">
        <v>-2.9846339999999998</v>
      </c>
      <c r="T1191">
        <v>-0.30651040000000002</v>
      </c>
      <c r="U1191">
        <v>0.21536250000000001</v>
      </c>
      <c r="V1191">
        <v>0.10692500000000001</v>
      </c>
      <c r="W1191">
        <v>-9.9831909999999996E-2</v>
      </c>
      <c r="X1191">
        <v>0.98924239999999997</v>
      </c>
      <c r="Y1191">
        <v>0.17979779999999901</v>
      </c>
      <c r="Z1191">
        <v>2.0348040000000001E-2</v>
      </c>
      <c r="AA1191">
        <v>0.98349310000000001</v>
      </c>
      <c r="AB1191">
        <v>21</v>
      </c>
      <c r="AC1191">
        <v>-0.55099999999998694</v>
      </c>
      <c r="AD1191">
        <v>-8.0697000000000005E-2</v>
      </c>
      <c r="AE1191">
        <v>7.5799999999958304E-2</v>
      </c>
      <c r="AF1191">
        <v>0.13317876051480901</v>
      </c>
      <c r="AG1191">
        <v>-8.0697000000000005E-2</v>
      </c>
      <c r="AH1191">
        <v>0.52819129966133005</v>
      </c>
      <c r="AI1191">
        <v>98.426697958245896</v>
      </c>
      <c r="AJ1191">
        <v>75.848352496527198</v>
      </c>
      <c r="AK1191">
        <v>0.55066744692162894</v>
      </c>
      <c r="AL1191">
        <v>95.729491504278499</v>
      </c>
      <c r="AM1191">
        <v>83.830977019985198</v>
      </c>
      <c r="AN1191">
        <v>0.99999994591850205</v>
      </c>
    </row>
    <row r="1192" spans="1:40" x14ac:dyDescent="0.25">
      <c r="A1192" t="str">
        <f>"20190305135603988"</f>
        <v>20190305135603988</v>
      </c>
      <c r="B1192" t="str">
        <f>"1551765363982486"</f>
        <v>1551765363982486</v>
      </c>
      <c r="C1192" t="s">
        <v>40</v>
      </c>
      <c r="D1192">
        <v>4.2197769999999997</v>
      </c>
      <c r="E1192">
        <v>0.52800769999999997</v>
      </c>
      <c r="F1192" t="s">
        <v>41</v>
      </c>
      <c r="G1192">
        <v>-206.79400000000001</v>
      </c>
      <c r="H1192">
        <v>1.0274920000000001</v>
      </c>
      <c r="I1192">
        <v>283.52510000000001</v>
      </c>
      <c r="J1192">
        <v>-206.2406</v>
      </c>
      <c r="K1192">
        <v>1.1047819999999999</v>
      </c>
      <c r="L1192">
        <v>283.4556</v>
      </c>
      <c r="M1192">
        <v>-0.99451500000000004</v>
      </c>
      <c r="N1192">
        <v>-4.7462399999999997E-3</v>
      </c>
      <c r="O1192">
        <v>-0.1044863</v>
      </c>
      <c r="P1192">
        <v>-0.99450919999999998</v>
      </c>
      <c r="Q1192">
        <v>-0.10456020000000001</v>
      </c>
      <c r="R1192">
        <v>-4.311507E-3</v>
      </c>
      <c r="S1192">
        <v>-2.9845280000000001</v>
      </c>
      <c r="T1192">
        <v>-0.30792619999999998</v>
      </c>
      <c r="U1192">
        <v>0.2169189</v>
      </c>
      <c r="V1192">
        <v>9.8808969999999996E-2</v>
      </c>
      <c r="W1192">
        <v>-0.1006708</v>
      </c>
      <c r="X1192">
        <v>0.99000109999999997</v>
      </c>
      <c r="Y1192">
        <v>0.174836299999999</v>
      </c>
      <c r="Z1192">
        <v>1.9639130000000001E-2</v>
      </c>
      <c r="AA1192">
        <v>0.98440159999999999</v>
      </c>
      <c r="AB1192">
        <v>22</v>
      </c>
      <c r="AC1192">
        <v>-0.55340000000001</v>
      </c>
      <c r="AD1192">
        <v>-7.7289999999999803E-2</v>
      </c>
      <c r="AE1192">
        <v>6.9500000000005002E-2</v>
      </c>
      <c r="AF1192">
        <v>0.124551168658152</v>
      </c>
      <c r="AG1192">
        <v>-7.7289999999999803E-2</v>
      </c>
      <c r="AH1192">
        <v>0.53287603356540303</v>
      </c>
      <c r="AI1192">
        <v>98.039079254156405</v>
      </c>
      <c r="AJ1192">
        <v>76.844216405746195</v>
      </c>
      <c r="AK1192">
        <v>0.55266952590359797</v>
      </c>
      <c r="AL1192">
        <v>95.777799419747595</v>
      </c>
      <c r="AM1192">
        <v>84.300359670127193</v>
      </c>
      <c r="AN1192">
        <v>1.0000000002631499</v>
      </c>
    </row>
    <row r="1193" spans="1:40" x14ac:dyDescent="0.25">
      <c r="A1193" t="str">
        <f>"20190305135604010"</f>
        <v>20190305135604010</v>
      </c>
      <c r="B1193" t="str">
        <f>"1551765364002982"</f>
        <v>1551765364002982</v>
      </c>
      <c r="C1193" t="s">
        <v>40</v>
      </c>
      <c r="D1193">
        <v>4.205622</v>
      </c>
      <c r="E1193">
        <v>0.52841349999999998</v>
      </c>
      <c r="F1193" t="s">
        <v>41</v>
      </c>
      <c r="G1193">
        <v>-206.9913</v>
      </c>
      <c r="H1193">
        <v>1.027255</v>
      </c>
      <c r="I1193">
        <v>283.5086</v>
      </c>
      <c r="J1193">
        <v>-206.46549999999999</v>
      </c>
      <c r="K1193">
        <v>1.104975</v>
      </c>
      <c r="L1193">
        <v>283.43880000000001</v>
      </c>
      <c r="M1193">
        <v>-0.99512619999999896</v>
      </c>
      <c r="N1193">
        <v>-4.2908779999999997E-3</v>
      </c>
      <c r="O1193">
        <v>-9.8516969999999995E-2</v>
      </c>
      <c r="P1193">
        <v>-0.99455669999999996</v>
      </c>
      <c r="Q1193">
        <v>-0.10402119999999999</v>
      </c>
      <c r="R1193">
        <v>-6.0665789999999999E-3</v>
      </c>
      <c r="S1193">
        <v>-2.985077</v>
      </c>
      <c r="T1193">
        <v>-0.30829780000000001</v>
      </c>
      <c r="U1193">
        <v>0.21066280000000001</v>
      </c>
      <c r="V1193">
        <v>9.1186749999999997E-2</v>
      </c>
      <c r="W1193">
        <v>-0.100464</v>
      </c>
      <c r="X1193">
        <v>0.9907532</v>
      </c>
      <c r="Y1193">
        <v>0.1669272</v>
      </c>
      <c r="Z1193">
        <v>1.8656619999999999E-2</v>
      </c>
      <c r="AA1193">
        <v>0.98579269999999997</v>
      </c>
      <c r="AB1193">
        <v>22</v>
      </c>
      <c r="AC1193">
        <v>-0.52580000000000304</v>
      </c>
      <c r="AD1193">
        <v>-7.7719999999999997E-2</v>
      </c>
      <c r="AE1193">
        <v>6.9799999999986498E-2</v>
      </c>
      <c r="AF1193">
        <v>0.11871235100057299</v>
      </c>
      <c r="AG1193">
        <v>-7.7719999999999997E-2</v>
      </c>
      <c r="AH1193">
        <v>0.50551209836641198</v>
      </c>
      <c r="AI1193">
        <v>98.512462767217897</v>
      </c>
      <c r="AJ1193">
        <v>76.784363343254896</v>
      </c>
      <c r="AK1193">
        <v>0.52504809520166495</v>
      </c>
      <c r="AL1193">
        <v>95.765890445471499</v>
      </c>
      <c r="AM1193">
        <v>84.741437168685394</v>
      </c>
      <c r="AN1193">
        <v>0.99999997099089999</v>
      </c>
    </row>
    <row r="1194" spans="1:40" x14ac:dyDescent="0.25">
      <c r="A1194" t="str">
        <f>"20190305135604032"</f>
        <v>20190305135604032</v>
      </c>
      <c r="B1194" t="str">
        <f>"1551765364022502"</f>
        <v>1551765364022502</v>
      </c>
      <c r="C1194" t="s">
        <v>40</v>
      </c>
      <c r="D1194">
        <v>4.2221229999999998</v>
      </c>
      <c r="E1194">
        <v>0.5286689</v>
      </c>
      <c r="F1194" t="s">
        <v>41</v>
      </c>
      <c r="G1194">
        <v>-207.38630000000001</v>
      </c>
      <c r="H1194">
        <v>1.011161</v>
      </c>
      <c r="I1194">
        <v>283.50319999999999</v>
      </c>
      <c r="J1194">
        <v>-206.69329999999999</v>
      </c>
      <c r="K1194">
        <v>1.10517</v>
      </c>
      <c r="L1194">
        <v>283.42259999999999</v>
      </c>
      <c r="M1194">
        <v>-0.99565740000000003</v>
      </c>
      <c r="N1194">
        <v>-3.8772569999999998E-3</v>
      </c>
      <c r="O1194">
        <v>-9.3012300000000006E-2</v>
      </c>
      <c r="P1194">
        <v>-0.99465510000000001</v>
      </c>
      <c r="Q1194">
        <v>-0.1028225</v>
      </c>
      <c r="R1194">
        <v>-9.4239779999999995E-3</v>
      </c>
      <c r="S1194">
        <v>-2.9858699999999998</v>
      </c>
      <c r="T1194">
        <v>-0.30414770000000002</v>
      </c>
      <c r="U1194">
        <v>0.2085571</v>
      </c>
      <c r="V1194">
        <v>8.2436339999999997E-2</v>
      </c>
      <c r="W1194">
        <v>-9.9559079999999994E-2</v>
      </c>
      <c r="X1194">
        <v>0.99161089999999996</v>
      </c>
      <c r="Y1194">
        <v>0.1608588</v>
      </c>
      <c r="Z1194">
        <v>1.755133E-2</v>
      </c>
      <c r="AA1194">
        <v>0.98682139999999996</v>
      </c>
      <c r="AB1194">
        <v>22</v>
      </c>
      <c r="AC1194">
        <v>-0.69300000000001205</v>
      </c>
      <c r="AD1194">
        <v>-9.4008999999999995E-2</v>
      </c>
      <c r="AE1194">
        <v>8.0600000000004002E-2</v>
      </c>
      <c r="AF1194">
        <v>0.14212802292271901</v>
      </c>
      <c r="AG1194">
        <v>-9.4008999999999995E-2</v>
      </c>
      <c r="AH1194">
        <v>0.67032797641154196</v>
      </c>
      <c r="AI1194">
        <v>97.811833620170006</v>
      </c>
      <c r="AJ1194">
        <v>78.029001034485404</v>
      </c>
      <c r="AK1194">
        <v>0.691648511124627</v>
      </c>
      <c r="AL1194">
        <v>95.713781096088198</v>
      </c>
      <c r="AM1194">
        <v>85.247714494027804</v>
      </c>
      <c r="AN1194">
        <v>0.99999996878092501</v>
      </c>
    </row>
    <row r="1195" spans="1:40" x14ac:dyDescent="0.25">
      <c r="A1195" t="str">
        <f>"20190305135604054"</f>
        <v>20190305135604054</v>
      </c>
      <c r="B1195" t="str">
        <f>"1551765364043001"</f>
        <v>1551765364043001</v>
      </c>
      <c r="C1195" t="s">
        <v>40</v>
      </c>
      <c r="D1195">
        <v>4.2341819999999997</v>
      </c>
      <c r="E1195">
        <v>0.52890349999999997</v>
      </c>
      <c r="F1195" t="s">
        <v>41</v>
      </c>
      <c r="G1195">
        <v>-207.5899</v>
      </c>
      <c r="H1195">
        <v>1.015368</v>
      </c>
      <c r="I1195">
        <v>283.4828</v>
      </c>
      <c r="J1195">
        <v>-206.91929999999999</v>
      </c>
      <c r="K1195">
        <v>1.105334</v>
      </c>
      <c r="L1195">
        <v>283.40719999999999</v>
      </c>
      <c r="M1195">
        <v>-0.99611899999999998</v>
      </c>
      <c r="N1195">
        <v>-3.5103360000000002E-3</v>
      </c>
      <c r="O1195">
        <v>-8.7946990000000003E-2</v>
      </c>
      <c r="P1195">
        <v>-0.99465060000000005</v>
      </c>
      <c r="Q1195">
        <v>-0.1021463</v>
      </c>
      <c r="R1195">
        <v>-1.537855E-2</v>
      </c>
      <c r="S1195">
        <v>-2.9870610000000002</v>
      </c>
      <c r="T1195">
        <v>-0.29914380000000002</v>
      </c>
      <c r="U1195">
        <v>0.20047000000000001</v>
      </c>
      <c r="V1195">
        <v>7.1507810000000005E-2</v>
      </c>
      <c r="W1195">
        <v>-9.9135290000000001E-2</v>
      </c>
      <c r="X1195">
        <v>0.99250130000000003</v>
      </c>
      <c r="Y1195">
        <v>0.153254</v>
      </c>
      <c r="Z1195">
        <v>1.6382259999999999E-2</v>
      </c>
      <c r="AA1195">
        <v>0.98805100000000001</v>
      </c>
      <c r="AB1195">
        <v>22</v>
      </c>
      <c r="AC1195">
        <v>-0.67060000000000697</v>
      </c>
      <c r="AD1195">
        <v>-8.9965999999999893E-2</v>
      </c>
      <c r="AE1195">
        <v>7.5600000000008494E-2</v>
      </c>
      <c r="AF1195">
        <v>0.131939790524087</v>
      </c>
      <c r="AG1195">
        <v>-8.9965999999999893E-2</v>
      </c>
      <c r="AH1195">
        <v>0.64980411492173995</v>
      </c>
      <c r="AI1195">
        <v>97.726836594343098</v>
      </c>
      <c r="AJ1195">
        <v>78.522384158162595</v>
      </c>
      <c r="AK1195">
        <v>0.66913928090403296</v>
      </c>
      <c r="AL1195">
        <v>95.689378808325401</v>
      </c>
      <c r="AM1195">
        <v>85.879069907389194</v>
      </c>
      <c r="AN1195">
        <v>1.0000000015580299</v>
      </c>
    </row>
    <row r="1196" spans="1:40" x14ac:dyDescent="0.25">
      <c r="A1196" t="str">
        <f>"20190305135604076"</f>
        <v>20190305135604076</v>
      </c>
      <c r="B1196" t="str">
        <f>"1551765364073254"</f>
        <v>1551765364073254</v>
      </c>
      <c r="C1196" t="s">
        <v>40</v>
      </c>
      <c r="D1196">
        <v>4.2989810000000004</v>
      </c>
      <c r="E1196">
        <v>0.52935310000000002</v>
      </c>
      <c r="F1196" t="s">
        <v>41</v>
      </c>
      <c r="G1196">
        <v>-207.7946</v>
      </c>
      <c r="H1196">
        <v>1.0187109999999999</v>
      </c>
      <c r="I1196">
        <v>283.46140000000003</v>
      </c>
      <c r="J1196">
        <v>-207.13749999999999</v>
      </c>
      <c r="K1196">
        <v>1.105451</v>
      </c>
      <c r="L1196">
        <v>283.3931</v>
      </c>
      <c r="M1196">
        <v>-0.99651210000000001</v>
      </c>
      <c r="N1196">
        <v>-3.1961960000000001E-3</v>
      </c>
      <c r="O1196">
        <v>-8.3388660000000003E-2</v>
      </c>
      <c r="P1196">
        <v>-0.99471960000000004</v>
      </c>
      <c r="Q1196">
        <v>-0.1003419</v>
      </c>
      <c r="R1196">
        <v>-2.1553309999999999E-2</v>
      </c>
      <c r="S1196">
        <v>-2.9886020000000002</v>
      </c>
      <c r="T1196">
        <v>-0.29569630000000002</v>
      </c>
      <c r="U1196">
        <v>0.18417359999999999</v>
      </c>
      <c r="V1196">
        <v>6.0862579999999999E-2</v>
      </c>
      <c r="W1196">
        <v>-9.7549419999999998E-2</v>
      </c>
      <c r="X1196">
        <v>0.99336789999999997</v>
      </c>
      <c r="Y1196">
        <v>0.14342469999999999</v>
      </c>
      <c r="Z1196">
        <v>1.5256499999999999E-2</v>
      </c>
      <c r="AA1196">
        <v>0.98954359999999997</v>
      </c>
      <c r="AB1196">
        <v>23</v>
      </c>
      <c r="AC1196">
        <v>-0.65710000000001401</v>
      </c>
      <c r="AD1196">
        <v>-8.6739999999999803E-2</v>
      </c>
      <c r="AE1196">
        <v>6.8300000000021996E-2</v>
      </c>
      <c r="AF1196">
        <v>0.12077505065830201</v>
      </c>
      <c r="AG1196">
        <v>-8.6739999999999803E-2</v>
      </c>
      <c r="AH1196">
        <v>0.63811549433994796</v>
      </c>
      <c r="AI1196">
        <v>97.607421317404103</v>
      </c>
      <c r="AJ1196">
        <v>79.282499582940105</v>
      </c>
      <c r="AK1196">
        <v>0.65521128239540505</v>
      </c>
      <c r="AL1196">
        <v>95.598072758255299</v>
      </c>
      <c r="AM1196">
        <v>86.493932113350397</v>
      </c>
      <c r="AN1196">
        <v>0.99999996386849999</v>
      </c>
    </row>
    <row r="1197" spans="1:40" x14ac:dyDescent="0.25">
      <c r="A1197" t="str">
        <f>"20190305135604099"</f>
        <v>20190305135604099</v>
      </c>
      <c r="B1197" t="str">
        <f>"1551765364092774"</f>
        <v>1551765364092774</v>
      </c>
      <c r="C1197" t="s">
        <v>40</v>
      </c>
      <c r="D1197">
        <v>4.2694150000000004</v>
      </c>
      <c r="E1197">
        <v>0.52959219999999996</v>
      </c>
      <c r="F1197" t="s">
        <v>41</v>
      </c>
      <c r="G1197">
        <v>-208.00129999999999</v>
      </c>
      <c r="H1197">
        <v>1.021957</v>
      </c>
      <c r="I1197">
        <v>283.44209999999998</v>
      </c>
      <c r="J1197">
        <v>-207.38030000000001</v>
      </c>
      <c r="K1197">
        <v>1.105561</v>
      </c>
      <c r="L1197">
        <v>283.37810000000002</v>
      </c>
      <c r="M1197">
        <v>-0.9968958</v>
      </c>
      <c r="N1197">
        <v>-2.8901729999999998E-3</v>
      </c>
      <c r="O1197">
        <v>-7.8679570000000004E-2</v>
      </c>
      <c r="P1197">
        <v>-0.99467139999999998</v>
      </c>
      <c r="Q1197">
        <v>-0.10007249999999999</v>
      </c>
      <c r="R1197">
        <v>-2.478437E-2</v>
      </c>
      <c r="S1197">
        <v>-2.9904329999999999</v>
      </c>
      <c r="T1197">
        <v>-0.28896090000000002</v>
      </c>
      <c r="U1197">
        <v>0.16918949999999999</v>
      </c>
      <c r="V1197">
        <v>5.2975380000000002E-2</v>
      </c>
      <c r="W1197">
        <v>-9.7516599999999995E-2</v>
      </c>
      <c r="X1197">
        <v>0.99382300000000001</v>
      </c>
      <c r="Y1197">
        <v>0.13388120000000001</v>
      </c>
      <c r="Z1197">
        <v>1.3992859999999999E-2</v>
      </c>
      <c r="AA1197">
        <v>0.99089859999999996</v>
      </c>
      <c r="AB1197">
        <v>23</v>
      </c>
      <c r="AC1197">
        <v>-0.62099999999998001</v>
      </c>
      <c r="AD1197">
        <v>-8.3603999999999998E-2</v>
      </c>
      <c r="AE1197">
        <v>6.3999999999964502E-2</v>
      </c>
      <c r="AF1197">
        <v>0.110676907187731</v>
      </c>
      <c r="AG1197">
        <v>-8.3603999999999998E-2</v>
      </c>
      <c r="AH1197">
        <v>0.60322104577115598</v>
      </c>
      <c r="AI1197">
        <v>97.762735731246195</v>
      </c>
      <c r="AJ1197">
        <v>79.603204353476102</v>
      </c>
      <c r="AK1197">
        <v>0.61896254867470701</v>
      </c>
      <c r="AL1197">
        <v>95.596183005472795</v>
      </c>
      <c r="AM1197">
        <v>86.948756672844297</v>
      </c>
      <c r="AN1197">
        <v>1.00000001674535</v>
      </c>
    </row>
    <row r="1198" spans="1:40" x14ac:dyDescent="0.25">
      <c r="A1198" t="str">
        <f>"20190305135604121"</f>
        <v>20190305135604121</v>
      </c>
      <c r="B1198" t="str">
        <f>"1551765364113270"</f>
        <v>1551765364113270</v>
      </c>
      <c r="C1198" t="s">
        <v>40</v>
      </c>
      <c r="D1198">
        <v>4.2777799999999999</v>
      </c>
      <c r="E1198">
        <v>0.52991599999999905</v>
      </c>
      <c r="F1198" t="s">
        <v>41</v>
      </c>
      <c r="G1198">
        <v>-208.2099</v>
      </c>
      <c r="H1198">
        <v>1.0254989999999999</v>
      </c>
      <c r="I1198">
        <v>283.42309999999998</v>
      </c>
      <c r="J1198">
        <v>-207.6063</v>
      </c>
      <c r="K1198">
        <v>1.1056469999999901</v>
      </c>
      <c r="L1198">
        <v>283.36489999999998</v>
      </c>
      <c r="M1198">
        <v>-0.99720850000000005</v>
      </c>
      <c r="N1198">
        <v>-2.6411949999999998E-3</v>
      </c>
      <c r="O1198">
        <v>-7.4621080000000006E-2</v>
      </c>
      <c r="P1198">
        <v>-0.99415690000000001</v>
      </c>
      <c r="Q1198">
        <v>-0.1040431</v>
      </c>
      <c r="R1198">
        <v>-2.8758019999999999E-2</v>
      </c>
      <c r="S1198">
        <v>-2.9910429999999999</v>
      </c>
      <c r="T1198">
        <v>-0.28868640000000001</v>
      </c>
      <c r="U1198">
        <v>0.16140750000000001</v>
      </c>
      <c r="V1198">
        <v>4.493399E-2</v>
      </c>
      <c r="W1198">
        <v>-0.101674</v>
      </c>
      <c r="X1198">
        <v>0.99380250000000003</v>
      </c>
      <c r="Y1198">
        <v>0.12731419999999999</v>
      </c>
      <c r="Z1198">
        <v>1.3276329999999999E-2</v>
      </c>
      <c r="AA1198">
        <v>0.99177360000000003</v>
      </c>
      <c r="AB1198">
        <v>23</v>
      </c>
      <c r="AC1198">
        <v>-0.60360000000000003</v>
      </c>
      <c r="AD1198">
        <v>-8.0147999999999803E-2</v>
      </c>
      <c r="AE1198">
        <v>5.8199999999999301E-2</v>
      </c>
      <c r="AF1198">
        <v>0.101309401011212</v>
      </c>
      <c r="AG1198">
        <v>-8.0147999999999803E-2</v>
      </c>
      <c r="AH1198">
        <v>0.58731437477265303</v>
      </c>
      <c r="AI1198">
        <v>97.659140414684501</v>
      </c>
      <c r="AJ1198">
        <v>80.213016942532803</v>
      </c>
      <c r="AK1198">
        <v>0.60135303395912398</v>
      </c>
      <c r="AL1198">
        <v>95.835574782738206</v>
      </c>
      <c r="AM1198">
        <v>87.4111800459346</v>
      </c>
      <c r="AN1198">
        <v>1.0000000373697799</v>
      </c>
    </row>
    <row r="1199" spans="1:40" x14ac:dyDescent="0.25">
      <c r="A1199" t="str">
        <f>"20190305135604147"</f>
        <v>20190305135604147</v>
      </c>
      <c r="B1199" t="str">
        <f>"1551765364142550"</f>
        <v>1551765364142550</v>
      </c>
      <c r="C1199" t="s">
        <v>40</v>
      </c>
      <c r="D1199">
        <v>4.3164089999999904</v>
      </c>
      <c r="E1199">
        <v>0.53041430000000001</v>
      </c>
      <c r="F1199" t="s">
        <v>41</v>
      </c>
      <c r="G1199">
        <v>-208.4179</v>
      </c>
      <c r="H1199">
        <v>1.024049</v>
      </c>
      <c r="I1199">
        <v>283.40629999999999</v>
      </c>
      <c r="J1199">
        <v>-207.8613</v>
      </c>
      <c r="K1199">
        <v>1.1057699999999999</v>
      </c>
      <c r="L1199">
        <v>283.35059999999999</v>
      </c>
      <c r="M1199">
        <v>-0.99751540000000005</v>
      </c>
      <c r="N1199">
        <v>-2.3961759999999999E-3</v>
      </c>
      <c r="O1199">
        <v>-7.0407140000000007E-2</v>
      </c>
      <c r="P1199">
        <v>-0.99350260000000001</v>
      </c>
      <c r="Q1199">
        <v>-0.10901520000000001</v>
      </c>
      <c r="R1199">
        <v>-3.2684869999999998E-2</v>
      </c>
      <c r="S1199">
        <v>-2.9905849999999998</v>
      </c>
      <c r="T1199">
        <v>-0.30061579999999999</v>
      </c>
      <c r="U1199">
        <v>0.15206910000000001</v>
      </c>
      <c r="V1199">
        <v>3.6781950000000001E-2</v>
      </c>
      <c r="W1199">
        <v>-0.1068306</v>
      </c>
      <c r="X1199">
        <v>0.9935967</v>
      </c>
      <c r="Y1199">
        <v>0.12001870000000001</v>
      </c>
      <c r="Z1199">
        <v>1.3043030000000001E-2</v>
      </c>
      <c r="AA1199">
        <v>0.99268590000000001</v>
      </c>
      <c r="AB1199">
        <v>23</v>
      </c>
      <c r="AC1199">
        <v>-0.55660000000000298</v>
      </c>
      <c r="AD1199">
        <v>-8.1721000000000099E-2</v>
      </c>
      <c r="AE1199">
        <v>5.5700000000001602E-2</v>
      </c>
      <c r="AF1199">
        <v>9.2770508117610395E-2</v>
      </c>
      <c r="AG1199">
        <v>-8.1721000000000099E-2</v>
      </c>
      <c r="AH1199">
        <v>0.539776612562611</v>
      </c>
      <c r="AI1199">
        <v>98.486499296772706</v>
      </c>
      <c r="AJ1199">
        <v>80.247945931971799</v>
      </c>
      <c r="AK1199">
        <v>0.55375398913864804</v>
      </c>
      <c r="AL1199">
        <v>96.132645251573805</v>
      </c>
      <c r="AM1199">
        <v>87.879935993626304</v>
      </c>
      <c r="AN1199">
        <v>1.0000000455965199</v>
      </c>
    </row>
    <row r="1200" spans="1:40" x14ac:dyDescent="0.25">
      <c r="A1200" t="str">
        <f>"20190305135604168"</f>
        <v>20190305135604168</v>
      </c>
      <c r="B1200" t="str">
        <f>"1551765364163046"</f>
        <v>1551765364163046</v>
      </c>
      <c r="C1200" t="s">
        <v>40</v>
      </c>
      <c r="D1200">
        <v>4.3066950000000004</v>
      </c>
      <c r="E1200">
        <v>0.53080419999999995</v>
      </c>
      <c r="F1200" t="s">
        <v>41</v>
      </c>
      <c r="G1200">
        <v>-208.62860000000001</v>
      </c>
      <c r="H1200">
        <v>1.024964</v>
      </c>
      <c r="I1200">
        <v>283.38780000000003</v>
      </c>
      <c r="J1200">
        <v>-208.10839999999999</v>
      </c>
      <c r="K1200">
        <v>1.105917</v>
      </c>
      <c r="L1200">
        <v>283.3374</v>
      </c>
      <c r="M1200">
        <v>-0.99777130000000003</v>
      </c>
      <c r="N1200">
        <v>-2.1911470000000001E-3</v>
      </c>
      <c r="O1200">
        <v>-6.6692840000000003E-2</v>
      </c>
      <c r="P1200">
        <v>-0.99309780000000003</v>
      </c>
      <c r="Q1200">
        <v>-0.1115912</v>
      </c>
      <c r="R1200">
        <v>-3.6117980000000001E-2</v>
      </c>
      <c r="S1200">
        <v>-2.989792</v>
      </c>
      <c r="T1200">
        <v>-0.31485639999999998</v>
      </c>
      <c r="U1200">
        <v>0.14392089999999999</v>
      </c>
      <c r="V1200">
        <v>2.9659830000000002E-2</v>
      </c>
      <c r="W1200">
        <v>-0.1095607</v>
      </c>
      <c r="X1200">
        <v>0.99353749999999996</v>
      </c>
      <c r="Y1200">
        <v>0.1135975</v>
      </c>
      <c r="Z1200">
        <v>1.293975E-2</v>
      </c>
      <c r="AA1200">
        <v>0.99344259999999995</v>
      </c>
      <c r="AB1200">
        <v>23</v>
      </c>
      <c r="AC1200">
        <v>-0.52020000000001598</v>
      </c>
      <c r="AD1200">
        <v>-8.0952999999999997E-2</v>
      </c>
      <c r="AE1200">
        <v>5.0400000000024599E-2</v>
      </c>
      <c r="AF1200">
        <v>8.2990370011876494E-2</v>
      </c>
      <c r="AG1200">
        <v>-8.0952999999999997E-2</v>
      </c>
      <c r="AH1200">
        <v>0.50359811433363499</v>
      </c>
      <c r="AI1200">
        <v>99.012602844005002</v>
      </c>
      <c r="AJ1200">
        <v>80.642058613416296</v>
      </c>
      <c r="AK1200">
        <v>0.51677059754217902</v>
      </c>
      <c r="AL1200">
        <v>96.289992425378898</v>
      </c>
      <c r="AM1200">
        <v>88.290071057006102</v>
      </c>
      <c r="AN1200">
        <v>1.0000000082031799</v>
      </c>
    </row>
    <row r="1201" spans="1:40" x14ac:dyDescent="0.25">
      <c r="A1201" t="str">
        <f>"20190305135604187"</f>
        <v>20190305135604187</v>
      </c>
      <c r="B1201" t="str">
        <f>"1551765364182566"</f>
        <v>1551765364182566</v>
      </c>
      <c r="C1201" t="s">
        <v>40</v>
      </c>
      <c r="D1201">
        <v>4.3103400000000001</v>
      </c>
      <c r="E1201">
        <v>0.53099200000000002</v>
      </c>
      <c r="F1201" t="s">
        <v>41</v>
      </c>
      <c r="G1201">
        <v>-208.8416</v>
      </c>
      <c r="H1201">
        <v>1.0270239999999999</v>
      </c>
      <c r="I1201">
        <v>283.37099999999998</v>
      </c>
      <c r="J1201">
        <v>-208.30879999999999</v>
      </c>
      <c r="K1201">
        <v>1.1060540000000001</v>
      </c>
      <c r="L1201">
        <v>283.32709999999997</v>
      </c>
      <c r="M1201">
        <v>-0.99794919999999998</v>
      </c>
      <c r="N1201">
        <v>-2.047765E-3</v>
      </c>
      <c r="O1201">
        <v>-6.398036E-2</v>
      </c>
      <c r="P1201">
        <v>-0.99284870000000003</v>
      </c>
      <c r="Q1201">
        <v>-0.11304989999999999</v>
      </c>
      <c r="R1201">
        <v>-3.83574E-2</v>
      </c>
      <c r="S1201">
        <v>-2.9897</v>
      </c>
      <c r="T1201">
        <v>-0.32167449999999997</v>
      </c>
      <c r="U1201">
        <v>0.13677979999999901</v>
      </c>
      <c r="V1201">
        <v>2.474088E-2</v>
      </c>
      <c r="W1201">
        <v>-0.11112900000000001</v>
      </c>
      <c r="X1201">
        <v>0.99349799999999999</v>
      </c>
      <c r="Y1201">
        <v>0.1085305</v>
      </c>
      <c r="Z1201">
        <v>1.265924E-2</v>
      </c>
      <c r="AA1201">
        <v>0.99401249999999997</v>
      </c>
      <c r="AB1201">
        <v>24</v>
      </c>
      <c r="AC1201">
        <v>-0.53280000000000804</v>
      </c>
      <c r="AD1201">
        <v>-7.90300000000001E-2</v>
      </c>
      <c r="AE1201">
        <v>4.3900000000007801E-2</v>
      </c>
      <c r="AF1201">
        <v>7.6232916796903E-2</v>
      </c>
      <c r="AG1201">
        <v>-7.90300000000001E-2</v>
      </c>
      <c r="AH1201">
        <v>0.51758860822407604</v>
      </c>
      <c r="AI1201">
        <v>98.590107178778197</v>
      </c>
      <c r="AJ1201">
        <v>81.621442803244193</v>
      </c>
      <c r="AK1201">
        <v>0.52910789624300603</v>
      </c>
      <c r="AL1201">
        <v>96.380401419539595</v>
      </c>
      <c r="AM1201">
        <v>88.573469615505402</v>
      </c>
      <c r="AN1201">
        <v>1.00000002089408</v>
      </c>
    </row>
    <row r="1202" spans="1:40" x14ac:dyDescent="0.25">
      <c r="A1202" t="str">
        <f>"20190305135604211"</f>
        <v>20190305135604211</v>
      </c>
      <c r="B1202" t="str">
        <f>"1551765364203062"</f>
        <v>1551765364203062</v>
      </c>
      <c r="C1202" t="s">
        <v>40</v>
      </c>
      <c r="D1202">
        <v>4.3337300000000001</v>
      </c>
      <c r="E1202">
        <v>0.54181190000000001</v>
      </c>
      <c r="F1202" t="s">
        <v>41</v>
      </c>
      <c r="G1202">
        <v>-209.05459999999999</v>
      </c>
      <c r="H1202">
        <v>1.0247520000000001</v>
      </c>
      <c r="I1202">
        <v>283.36</v>
      </c>
      <c r="J1202">
        <v>-208.5641</v>
      </c>
      <c r="K1202">
        <v>1.1062430000000001</v>
      </c>
      <c r="L1202">
        <v>283.3143</v>
      </c>
      <c r="M1202">
        <v>-0.99814340000000001</v>
      </c>
      <c r="N1202">
        <v>-1.8885099999999999E-3</v>
      </c>
      <c r="O1202">
        <v>-6.0878450000000001E-2</v>
      </c>
      <c r="P1202">
        <v>-0.99298260000000005</v>
      </c>
      <c r="Q1202">
        <v>-0.11232880000000001</v>
      </c>
      <c r="R1202">
        <v>-3.6985959999999998E-2</v>
      </c>
      <c r="S1202">
        <v>-2.9895939999999999</v>
      </c>
      <c r="T1202">
        <v>-0.3259358</v>
      </c>
      <c r="U1202">
        <v>0.13150020000000001</v>
      </c>
      <c r="V1202">
        <v>2.3087110000000001E-2</v>
      </c>
      <c r="W1202">
        <v>-0.1105469</v>
      </c>
      <c r="X1202">
        <v>0.99360280000000001</v>
      </c>
      <c r="Y1202">
        <v>0.1037097</v>
      </c>
      <c r="Z1202">
        <v>1.2231199999999999E-2</v>
      </c>
      <c r="AA1202">
        <v>0.99453239999999998</v>
      </c>
      <c r="AB1202">
        <v>24</v>
      </c>
      <c r="AC1202">
        <v>-0.49049999999999699</v>
      </c>
      <c r="AD1202">
        <v>-8.1490999999999897E-2</v>
      </c>
      <c r="AE1202">
        <v>4.5700000000010697E-2</v>
      </c>
      <c r="AF1202">
        <v>7.3465812297920097E-2</v>
      </c>
      <c r="AG1202">
        <v>-8.1490999999999897E-2</v>
      </c>
      <c r="AH1202">
        <v>0.47384162045579598</v>
      </c>
      <c r="AI1202">
        <v>99.645199270732903</v>
      </c>
      <c r="AJ1202">
        <v>81.186862773774706</v>
      </c>
      <c r="AK1202">
        <v>0.48637834032136701</v>
      </c>
      <c r="AL1202">
        <v>96.346842410985104</v>
      </c>
      <c r="AM1202">
        <v>88.668928889583</v>
      </c>
      <c r="AN1202">
        <v>1.00000007795779</v>
      </c>
    </row>
    <row r="1203" spans="1:40" x14ac:dyDescent="0.25">
      <c r="A1203" t="str">
        <f>"20190305135604234"</f>
        <v>20190305135604234</v>
      </c>
      <c r="B1203" t="str">
        <f>"1551765364223558"</f>
        <v>1551765364223558</v>
      </c>
      <c r="C1203" t="s">
        <v>40</v>
      </c>
      <c r="D1203">
        <v>4.3049410000000004</v>
      </c>
      <c r="E1203">
        <v>0.54200780000000004</v>
      </c>
      <c r="F1203" t="s">
        <v>41</v>
      </c>
      <c r="G1203">
        <v>-209.48589999999999</v>
      </c>
      <c r="H1203">
        <v>1.0155670000000001</v>
      </c>
      <c r="I1203">
        <v>283.38200000000001</v>
      </c>
      <c r="J1203">
        <v>-208.81270000000001</v>
      </c>
      <c r="K1203">
        <v>1.106447</v>
      </c>
      <c r="L1203">
        <v>283.30220000000003</v>
      </c>
      <c r="M1203">
        <v>-0.99829950000000001</v>
      </c>
      <c r="N1203">
        <v>-1.758127E-3</v>
      </c>
      <c r="O1203">
        <v>-5.8267119999999999E-2</v>
      </c>
      <c r="P1203">
        <v>-0.99315960000000003</v>
      </c>
      <c r="Q1203">
        <v>-0.1110039</v>
      </c>
      <c r="R1203">
        <v>-3.6228660000000003E-2</v>
      </c>
      <c r="S1203">
        <v>-2.9960629999999999</v>
      </c>
      <c r="T1203">
        <v>-0.29473880000000002</v>
      </c>
      <c r="U1203">
        <v>0.21966550000000001</v>
      </c>
      <c r="V1203">
        <v>2.131189E-2</v>
      </c>
      <c r="W1203">
        <v>-0.1093336</v>
      </c>
      <c r="X1203">
        <v>0.99377660000000001</v>
      </c>
      <c r="Y1203">
        <v>0.13020180000000001</v>
      </c>
      <c r="Z1203">
        <v>1.2104490000000001E-2</v>
      </c>
      <c r="AA1203">
        <v>0.99141369999999895</v>
      </c>
      <c r="AB1203">
        <v>24</v>
      </c>
      <c r="AC1203">
        <v>-0.67319999999998004</v>
      </c>
      <c r="AD1203">
        <v>-9.0879999999999794E-2</v>
      </c>
      <c r="AE1203">
        <v>7.9799999999977403E-2</v>
      </c>
      <c r="AF1203">
        <v>0.11679097752343701</v>
      </c>
      <c r="AG1203">
        <v>-9.0879999999999794E-2</v>
      </c>
      <c r="AH1203">
        <v>0.65562386831185804</v>
      </c>
      <c r="AI1203">
        <v>97.771020577917596</v>
      </c>
      <c r="AJ1203">
        <v>79.899442702607004</v>
      </c>
      <c r="AK1203">
        <v>0.67211752211282605</v>
      </c>
      <c r="AL1203">
        <v>96.276902081070503</v>
      </c>
      <c r="AM1203">
        <v>88.771460095734795</v>
      </c>
      <c r="AN1203">
        <v>0.99999998172594495</v>
      </c>
    </row>
    <row r="1204" spans="1:40" x14ac:dyDescent="0.25">
      <c r="A1204" t="str">
        <f>"20190305135604256"</f>
        <v>20190305135604256</v>
      </c>
      <c r="B1204" t="str">
        <f>"1551765364252838"</f>
        <v>1551765364252838</v>
      </c>
      <c r="C1204" t="s">
        <v>40</v>
      </c>
      <c r="D1204">
        <v>4.38375</v>
      </c>
      <c r="E1204">
        <v>0.54218489999999997</v>
      </c>
      <c r="F1204" t="s">
        <v>41</v>
      </c>
      <c r="G1204">
        <v>-209.70660000000001</v>
      </c>
      <c r="H1204">
        <v>1.0200929999999999</v>
      </c>
      <c r="I1204">
        <v>283.3689</v>
      </c>
      <c r="J1204">
        <v>-209.05940000000001</v>
      </c>
      <c r="K1204">
        <v>1.1066240000000001</v>
      </c>
      <c r="L1204">
        <v>283.29039999999998</v>
      </c>
      <c r="M1204">
        <v>-0.99843020000000005</v>
      </c>
      <c r="N1204">
        <v>-1.6476399999999999E-3</v>
      </c>
      <c r="O1204">
        <v>-5.5986719999999997E-2</v>
      </c>
      <c r="P1204">
        <v>-0.9933767</v>
      </c>
      <c r="Q1204">
        <v>-0.1089886</v>
      </c>
      <c r="R1204">
        <v>-3.6389749999999998E-2</v>
      </c>
      <c r="S1204">
        <v>-2.9964599999999999</v>
      </c>
      <c r="T1204">
        <v>-0.28955910000000001</v>
      </c>
      <c r="U1204">
        <v>0.22332759999999999</v>
      </c>
      <c r="V1204">
        <v>1.8944579999999999E-2</v>
      </c>
      <c r="W1204">
        <v>-0.1074112</v>
      </c>
      <c r="X1204">
        <v>0.99403419999999998</v>
      </c>
      <c r="Y1204">
        <v>0.12917970000000001</v>
      </c>
      <c r="Z1204">
        <v>1.1624310000000001E-2</v>
      </c>
      <c r="AA1204">
        <v>0.99155309999999997</v>
      </c>
      <c r="AB1204">
        <v>24</v>
      </c>
      <c r="AC1204">
        <v>-0.647199999999997</v>
      </c>
      <c r="AD1204">
        <v>-8.65309999999999E-2</v>
      </c>
      <c r="AE1204">
        <v>7.8500000000019499E-2</v>
      </c>
      <c r="AF1204">
        <v>0.11262740656933801</v>
      </c>
      <c r="AG1204">
        <v>-8.65309999999999E-2</v>
      </c>
      <c r="AH1204">
        <v>0.63067943933880399</v>
      </c>
      <c r="AI1204">
        <v>97.692162583378504</v>
      </c>
      <c r="AJ1204">
        <v>79.874793226356402</v>
      </c>
      <c r="AK1204">
        <v>0.64647436289171101</v>
      </c>
      <c r="AL1204">
        <v>96.166103815789597</v>
      </c>
      <c r="AM1204">
        <v>88.908173290577906</v>
      </c>
      <c r="AN1204">
        <v>1.0000000268832201</v>
      </c>
    </row>
    <row r="1205" spans="1:40" x14ac:dyDescent="0.25">
      <c r="A1205" t="str">
        <f>"20190305135604279"</f>
        <v>20190305135604279</v>
      </c>
      <c r="B1205" t="str">
        <f>"1551765364273335"</f>
        <v>1551765364273335</v>
      </c>
      <c r="C1205" t="s">
        <v>40</v>
      </c>
      <c r="D1205">
        <v>4.4065269999999996</v>
      </c>
      <c r="E1205">
        <v>0.54179129999999998</v>
      </c>
      <c r="F1205" t="s">
        <v>41</v>
      </c>
      <c r="G1205">
        <v>-209.92840000000001</v>
      </c>
      <c r="H1205">
        <v>1.0236430000000001</v>
      </c>
      <c r="I1205">
        <v>283.35570000000001</v>
      </c>
      <c r="J1205">
        <v>-209.29429999999999</v>
      </c>
      <c r="K1205">
        <v>1.1067769999999999</v>
      </c>
      <c r="L1205">
        <v>283.27940000000001</v>
      </c>
      <c r="M1205">
        <v>-0.99853449999999999</v>
      </c>
      <c r="N1205">
        <v>-1.5583490000000001E-3</v>
      </c>
      <c r="O1205">
        <v>-5.4095850000000001E-2</v>
      </c>
      <c r="P1205">
        <v>-0.99340870000000003</v>
      </c>
      <c r="Q1205">
        <v>-0.1082248</v>
      </c>
      <c r="R1205">
        <v>-3.7768349999999999E-2</v>
      </c>
      <c r="S1205">
        <v>-2.9968110000000001</v>
      </c>
      <c r="T1205">
        <v>-0.28625</v>
      </c>
      <c r="U1205">
        <v>0.22445680000000001</v>
      </c>
      <c r="V1205">
        <v>1.5728309999999999E-2</v>
      </c>
      <c r="W1205">
        <v>-0.10672</v>
      </c>
      <c r="X1205">
        <v>0.99416470000000001</v>
      </c>
      <c r="Y1205">
        <v>0.1276997</v>
      </c>
      <c r="Z1205">
        <v>1.1241360000000001E-2</v>
      </c>
      <c r="AA1205">
        <v>0.9917492</v>
      </c>
      <c r="AB1205">
        <v>24</v>
      </c>
      <c r="AC1205">
        <v>-0.63410000000001698</v>
      </c>
      <c r="AD1205">
        <v>-8.3134E-2</v>
      </c>
      <c r="AE1205">
        <v>7.6300000000003296E-2</v>
      </c>
      <c r="AF1205">
        <v>0.108649611866622</v>
      </c>
      <c r="AG1205">
        <v>-8.3134E-2</v>
      </c>
      <c r="AH1205">
        <v>0.61856346955158104</v>
      </c>
      <c r="AI1205">
        <v>97.540519218340506</v>
      </c>
      <c r="AJ1205">
        <v>80.037718268546897</v>
      </c>
      <c r="AK1205">
        <v>0.63351145686440202</v>
      </c>
      <c r="AL1205">
        <v>96.126272217997695</v>
      </c>
      <c r="AM1205">
        <v>89.093620394872104</v>
      </c>
      <c r="AN1205">
        <v>0.99999999443077303</v>
      </c>
    </row>
    <row r="1206" spans="1:40" x14ac:dyDescent="0.25">
      <c r="A1206" t="str">
        <f>"20190305135604299"</f>
        <v>20190305135604299</v>
      </c>
      <c r="B1206" t="str">
        <f>"1551765364292854"</f>
        <v>1551765364292854</v>
      </c>
      <c r="C1206" t="s">
        <v>40</v>
      </c>
      <c r="D1206">
        <v>4.4524460000000001</v>
      </c>
      <c r="E1206">
        <v>0.54201709999999903</v>
      </c>
      <c r="F1206" t="s">
        <v>41</v>
      </c>
      <c r="G1206">
        <v>-210.15020000000001</v>
      </c>
      <c r="H1206">
        <v>1.0241049999999901</v>
      </c>
      <c r="I1206">
        <v>283.3417</v>
      </c>
      <c r="J1206">
        <v>-209.54050000000001</v>
      </c>
      <c r="K1206">
        <v>1.1069260000000001</v>
      </c>
      <c r="L1206">
        <v>283.2681</v>
      </c>
      <c r="M1206">
        <v>-0.99862390000000001</v>
      </c>
      <c r="N1206">
        <v>-1.4794750000000001E-3</v>
      </c>
      <c r="O1206">
        <v>-5.2425050000000001E-2</v>
      </c>
      <c r="P1206">
        <v>-0.99335949999999995</v>
      </c>
      <c r="Q1206">
        <v>-0.1084825</v>
      </c>
      <c r="R1206">
        <v>-3.8324539999999997E-2</v>
      </c>
      <c r="S1206">
        <v>-2.9966430000000002</v>
      </c>
      <c r="T1206">
        <v>-0.28947209999999901</v>
      </c>
      <c r="U1206">
        <v>0.21774289999999999</v>
      </c>
      <c r="V1206">
        <v>1.354757E-2</v>
      </c>
      <c r="W1206">
        <v>-0.10704470000000001</v>
      </c>
      <c r="X1206">
        <v>0.99416190000000004</v>
      </c>
      <c r="Y1206">
        <v>0.12384050000000001</v>
      </c>
      <c r="Z1206">
        <v>1.102089E-2</v>
      </c>
      <c r="AA1206">
        <v>0.99224089999999998</v>
      </c>
      <c r="AB1206">
        <v>25</v>
      </c>
      <c r="AC1206">
        <v>-0.60970000000000302</v>
      </c>
      <c r="AD1206">
        <v>-8.28210000000002E-2</v>
      </c>
      <c r="AE1206">
        <v>7.3599999999999E-2</v>
      </c>
      <c r="AF1206">
        <v>0.10357857009525399</v>
      </c>
      <c r="AG1206">
        <v>-8.28210000000002E-2</v>
      </c>
      <c r="AH1206">
        <v>0.59419632722653004</v>
      </c>
      <c r="AI1206">
        <v>97.818539100531297</v>
      </c>
      <c r="AJ1206">
        <v>80.111724494221207</v>
      </c>
      <c r="AK1206">
        <v>0.60881615740178496</v>
      </c>
      <c r="AL1206">
        <v>96.144983344276</v>
      </c>
      <c r="AM1206">
        <v>89.219271487422205</v>
      </c>
      <c r="AN1206">
        <v>0.99999999393130201</v>
      </c>
    </row>
    <row r="1207" spans="1:40" x14ac:dyDescent="0.25">
      <c r="A1207" t="str">
        <f>"20190305135604457"</f>
        <v>20190305135604457</v>
      </c>
      <c r="B1207" t="str">
        <f>"1551765364452919"</f>
        <v>1551765364452919</v>
      </c>
      <c r="C1207" t="s">
        <v>40</v>
      </c>
      <c r="D1207">
        <v>4.2155860000000001</v>
      </c>
      <c r="E1207">
        <v>0.546548699999999</v>
      </c>
      <c r="F1207" t="s">
        <v>41</v>
      </c>
      <c r="G1207">
        <v>-211.88140000000001</v>
      </c>
      <c r="H1207">
        <v>0.78911589999999998</v>
      </c>
      <c r="I1207">
        <v>283.28149999999999</v>
      </c>
      <c r="J1207">
        <v>-211.3545</v>
      </c>
      <c r="K1207">
        <v>1.1083499999999999</v>
      </c>
      <c r="L1207">
        <v>283.18200000000002</v>
      </c>
      <c r="M1207">
        <v>-0.99877740000000004</v>
      </c>
      <c r="N1207">
        <v>-1.207442E-3</v>
      </c>
      <c r="O1207">
        <v>-4.9420119999999998E-2</v>
      </c>
      <c r="P1207">
        <v>-0.99273440000000002</v>
      </c>
      <c r="Q1207">
        <v>-0.1111346</v>
      </c>
      <c r="R1207">
        <v>-4.6127269999999998E-2</v>
      </c>
      <c r="S1207">
        <v>-2.907349</v>
      </c>
      <c r="T1207">
        <v>-1.153268</v>
      </c>
      <c r="U1207">
        <v>0.30987550000000003</v>
      </c>
      <c r="V1207">
        <v>3.0734920000000002E-3</v>
      </c>
      <c r="W1207">
        <v>-0.1099323</v>
      </c>
      <c r="X1207">
        <v>0.99393430000000005</v>
      </c>
      <c r="Y1207">
        <v>0.14071020000000001</v>
      </c>
      <c r="Z1207">
        <v>4.5697700000000001E-2</v>
      </c>
      <c r="AA1207">
        <v>0.98899559999999997</v>
      </c>
      <c r="AB1207">
        <v>26</v>
      </c>
      <c r="AC1207">
        <v>-0.52690000000001103</v>
      </c>
      <c r="AD1207">
        <v>-0.31923409999999902</v>
      </c>
      <c r="AE1207">
        <v>9.9499999999977704E-2</v>
      </c>
      <c r="AF1207">
        <v>9.2597495289576795E-2</v>
      </c>
      <c r="AG1207">
        <v>-0.31923409999999902</v>
      </c>
      <c r="AH1207">
        <v>0.38491055825378601</v>
      </c>
      <c r="AI1207">
        <v>128.88154986314001</v>
      </c>
      <c r="AJ1207">
        <v>76.473452395234702</v>
      </c>
      <c r="AK1207">
        <v>0.50856744350376404</v>
      </c>
      <c r="AL1207">
        <v>96.311413136687406</v>
      </c>
      <c r="AM1207">
        <v>89.8228277677036</v>
      </c>
      <c r="AN1207">
        <v>0.999999974826426</v>
      </c>
    </row>
    <row r="1208" spans="1:40" x14ac:dyDescent="0.25">
      <c r="A1208" t="str">
        <f>"20190305135604478"</f>
        <v>20190305135604478</v>
      </c>
      <c r="B1208" t="str">
        <f>"1551765364473414"</f>
        <v>1551765364473414</v>
      </c>
      <c r="C1208" t="s">
        <v>40</v>
      </c>
      <c r="D1208">
        <v>4.2347839999999897</v>
      </c>
      <c r="E1208">
        <v>0.54400029999999999</v>
      </c>
      <c r="F1208" t="s">
        <v>41</v>
      </c>
      <c r="G1208">
        <v>-212.19120000000001</v>
      </c>
      <c r="H1208">
        <v>0.96891519999999998</v>
      </c>
      <c r="I1208">
        <v>283.25229999999999</v>
      </c>
      <c r="J1208">
        <v>-211.5985</v>
      </c>
      <c r="K1208">
        <v>1.108511</v>
      </c>
      <c r="L1208">
        <v>283.16950000000003</v>
      </c>
      <c r="M1208">
        <v>-0.99875119999999895</v>
      </c>
      <c r="N1208">
        <v>-1.1945669999999999E-3</v>
      </c>
      <c r="O1208">
        <v>-4.9949199999999999E-2</v>
      </c>
      <c r="P1208">
        <v>-0.99226709999999996</v>
      </c>
      <c r="Q1208">
        <v>-0.11184180000000001</v>
      </c>
      <c r="R1208">
        <v>-5.3831730000000001E-2</v>
      </c>
      <c r="S1208">
        <v>-2.9779209999999998</v>
      </c>
      <c r="T1208">
        <v>-0.4965001</v>
      </c>
      <c r="U1208">
        <v>0.2489624</v>
      </c>
      <c r="V1208">
        <v>-4.0882260000000004E-3</v>
      </c>
      <c r="W1208">
        <v>-0.1106589</v>
      </c>
      <c r="X1208">
        <v>0.99385009999999996</v>
      </c>
      <c r="Y1208">
        <v>0.1305045</v>
      </c>
      <c r="Z1208">
        <v>1.906416E-2</v>
      </c>
      <c r="AA1208">
        <v>0.99126440000000005</v>
      </c>
      <c r="AB1208">
        <v>26</v>
      </c>
      <c r="AC1208">
        <v>-0.592700000000007</v>
      </c>
      <c r="AD1208">
        <v>-0.13959579999999999</v>
      </c>
      <c r="AE1208">
        <v>8.2799999999963306E-2</v>
      </c>
      <c r="AF1208">
        <v>0.106506506246933</v>
      </c>
      <c r="AG1208">
        <v>-0.13959579999999999</v>
      </c>
      <c r="AH1208">
        <v>0.55749113338582601</v>
      </c>
      <c r="AI1208">
        <v>103.81773603113</v>
      </c>
      <c r="AJ1208">
        <v>79.184195308895795</v>
      </c>
      <c r="AK1208">
        <v>0.58448865434187902</v>
      </c>
      <c r="AL1208">
        <v>96.353299244169406</v>
      </c>
      <c r="AM1208">
        <v>90.2356862210126</v>
      </c>
      <c r="AN1208">
        <v>1.00000006350552</v>
      </c>
    </row>
    <row r="1209" spans="1:40" x14ac:dyDescent="0.25">
      <c r="A1209" t="str">
        <f>"20190305135604501"</f>
        <v>20190305135604501</v>
      </c>
      <c r="B1209" t="str">
        <f>"1551765364492934"</f>
        <v>1551765364492934</v>
      </c>
      <c r="C1209" t="s">
        <v>40</v>
      </c>
      <c r="D1209">
        <v>4.2529050000000002</v>
      </c>
      <c r="E1209">
        <v>0.54435940000000005</v>
      </c>
      <c r="F1209" t="s">
        <v>41</v>
      </c>
      <c r="G1209">
        <v>-212.4265</v>
      </c>
      <c r="H1209">
        <v>0.96646310000000002</v>
      </c>
      <c r="I1209">
        <v>283.22730000000001</v>
      </c>
      <c r="J1209">
        <v>-211.87649999999999</v>
      </c>
      <c r="K1209">
        <v>1.1086670000000001</v>
      </c>
      <c r="L1209">
        <v>283.15499999999997</v>
      </c>
      <c r="M1209">
        <v>-0.99871279999999996</v>
      </c>
      <c r="N1209">
        <v>-1.180927E-3</v>
      </c>
      <c r="O1209">
        <v>-5.0707179999999998E-2</v>
      </c>
      <c r="P1209">
        <v>-0.99218689999999998</v>
      </c>
      <c r="Q1209">
        <v>-0.1089815</v>
      </c>
      <c r="R1209">
        <v>-6.0730630000000001E-2</v>
      </c>
      <c r="S1209">
        <v>-2.977112</v>
      </c>
      <c r="T1209">
        <v>-0.5107642</v>
      </c>
      <c r="U1209">
        <v>0.20785519999999999</v>
      </c>
      <c r="V1209">
        <v>-1.0203729999999999E-2</v>
      </c>
      <c r="W1209">
        <v>-0.10782070000000001</v>
      </c>
      <c r="X1209">
        <v>0.99411799999999995</v>
      </c>
      <c r="Y1209">
        <v>0.11769060000000001</v>
      </c>
      <c r="Z1209">
        <v>1.8648430000000001E-2</v>
      </c>
      <c r="AA1209">
        <v>0.99287519999999996</v>
      </c>
      <c r="AB1209">
        <v>26</v>
      </c>
      <c r="AC1209">
        <v>-0.55000000000001104</v>
      </c>
      <c r="AD1209">
        <v>-0.14220389999999999</v>
      </c>
      <c r="AE1209">
        <v>7.2300000000041095E-2</v>
      </c>
      <c r="AF1209">
        <v>9.3923860970923895E-2</v>
      </c>
      <c r="AG1209">
        <v>-0.14220389999999999</v>
      </c>
      <c r="AH1209">
        <v>0.51198201087766804</v>
      </c>
      <c r="AI1209">
        <v>105.27993748982099</v>
      </c>
      <c r="AJ1209">
        <v>79.604592779827996</v>
      </c>
      <c r="AK1209">
        <v>0.53960098248357202</v>
      </c>
      <c r="AL1209">
        <v>96.189703604252003</v>
      </c>
      <c r="AM1209">
        <v>90.588069157739696</v>
      </c>
      <c r="AN1209">
        <v>1.0000000086892</v>
      </c>
    </row>
    <row r="1210" spans="1:40" x14ac:dyDescent="0.25">
      <c r="A1210" t="str">
        <f>"20190305135604524"</f>
        <v>20190305135604524</v>
      </c>
      <c r="B1210" t="str">
        <f>"1551765364513431"</f>
        <v>1551765364513431</v>
      </c>
      <c r="C1210" t="s">
        <v>40</v>
      </c>
      <c r="D1210">
        <v>4.3666499999999999</v>
      </c>
      <c r="E1210">
        <v>0.54226300000000005</v>
      </c>
      <c r="F1210" t="s">
        <v>41</v>
      </c>
      <c r="G1210">
        <v>-212.6695</v>
      </c>
      <c r="H1210">
        <v>0.97626020000000002</v>
      </c>
      <c r="I1210">
        <v>283.20569999999998</v>
      </c>
      <c r="J1210">
        <v>-212.14490000000001</v>
      </c>
      <c r="K1210">
        <v>1.1087800000000001</v>
      </c>
      <c r="L1210">
        <v>283.14049999999997</v>
      </c>
      <c r="M1210">
        <v>-0.99866960000000005</v>
      </c>
      <c r="N1210">
        <v>-1.169022E-3</v>
      </c>
      <c r="O1210">
        <v>-5.1553700000000001E-2</v>
      </c>
      <c r="P1210">
        <v>-0.99219270000000004</v>
      </c>
      <c r="Q1210">
        <v>-0.10504040000000001</v>
      </c>
      <c r="R1210">
        <v>-6.7233459999999995E-2</v>
      </c>
      <c r="S1210">
        <v>-2.9805760000000001</v>
      </c>
      <c r="T1210">
        <v>-0.49775049999999998</v>
      </c>
      <c r="U1210">
        <v>0.1900635</v>
      </c>
      <c r="V1210">
        <v>-1.583884E-2</v>
      </c>
      <c r="W1210">
        <v>-0.10390149999999999</v>
      </c>
      <c r="X1210">
        <v>0.9944615</v>
      </c>
      <c r="Y1210">
        <v>0.11273420000000001</v>
      </c>
      <c r="Z1210">
        <v>1.78880999999999E-2</v>
      </c>
      <c r="AA1210">
        <v>0.99346420000000002</v>
      </c>
      <c r="AB1210">
        <v>27</v>
      </c>
      <c r="AC1210">
        <v>-0.52459999999999196</v>
      </c>
      <c r="AD1210">
        <v>-0.13251979999999899</v>
      </c>
      <c r="AE1210">
        <v>6.5200000000004296E-2</v>
      </c>
      <c r="AF1210">
        <v>8.6709420602279097E-2</v>
      </c>
      <c r="AG1210">
        <v>-0.13251979999999899</v>
      </c>
      <c r="AH1210">
        <v>0.489763531581828</v>
      </c>
      <c r="AI1210">
        <v>104.91906354908301</v>
      </c>
      <c r="AJ1210">
        <v>79.960192580934702</v>
      </c>
      <c r="AK1210">
        <v>0.51473132591744197</v>
      </c>
      <c r="AL1210">
        <v>95.963880778557495</v>
      </c>
      <c r="AM1210">
        <v>90.912475707403999</v>
      </c>
      <c r="AN1210">
        <v>1.0000000327685199</v>
      </c>
    </row>
    <row r="1211" spans="1:40" x14ac:dyDescent="0.25">
      <c r="A1211" t="str">
        <f>"20190305135604547"</f>
        <v>20190305135604547</v>
      </c>
      <c r="B1211" t="str">
        <f>"1551765364542710"</f>
        <v>1551765364542710</v>
      </c>
      <c r="C1211" t="s">
        <v>40</v>
      </c>
      <c r="D1211">
        <v>4.4415420000000001</v>
      </c>
      <c r="E1211">
        <v>0.53803529999999999</v>
      </c>
      <c r="F1211" t="s">
        <v>41</v>
      </c>
      <c r="G1211">
        <v>-212.91120000000001</v>
      </c>
      <c r="H1211">
        <v>0.98024670000000003</v>
      </c>
      <c r="I1211">
        <v>283.18049999999999</v>
      </c>
      <c r="J1211">
        <v>-212.42359999999999</v>
      </c>
      <c r="K1211">
        <v>1.1088530000000001</v>
      </c>
      <c r="L1211">
        <v>283.12520000000001</v>
      </c>
      <c r="M1211">
        <v>-0.99861979999999995</v>
      </c>
      <c r="N1211">
        <v>-1.158924E-3</v>
      </c>
      <c r="O1211">
        <v>-5.2510929999999997E-2</v>
      </c>
      <c r="P1211">
        <v>-0.9920523</v>
      </c>
      <c r="Q1211">
        <v>-0.10115</v>
      </c>
      <c r="R1211">
        <v>-7.4841379999999999E-2</v>
      </c>
      <c r="S1211">
        <v>-2.9811550000000002</v>
      </c>
      <c r="T1211">
        <v>-0.50012650000000003</v>
      </c>
      <c r="U1211">
        <v>0.15487670000000001</v>
      </c>
      <c r="V1211">
        <v>-2.247998E-2</v>
      </c>
      <c r="W1211">
        <v>-0.10003430000000001</v>
      </c>
      <c r="X1211">
        <v>0.99473</v>
      </c>
      <c r="Y1211">
        <v>0.10209500000000001</v>
      </c>
      <c r="Z1211">
        <v>1.7240430000000001E-2</v>
      </c>
      <c r="AA1211">
        <v>0.99462530000000005</v>
      </c>
      <c r="AB1211">
        <v>27</v>
      </c>
      <c r="AC1211">
        <v>-0.48760000000001402</v>
      </c>
      <c r="AD1211">
        <v>-0.12860630000000001</v>
      </c>
      <c r="AE1211">
        <v>5.5299999999988303E-2</v>
      </c>
      <c r="AF1211">
        <v>7.5633354444451795E-2</v>
      </c>
      <c r="AG1211">
        <v>-0.12860630000000001</v>
      </c>
      <c r="AH1211">
        <v>0.45291598489401302</v>
      </c>
      <c r="AI1211">
        <v>105.646152505329</v>
      </c>
      <c r="AJ1211">
        <v>80.519541291443801</v>
      </c>
      <c r="AK1211">
        <v>0.47685728900450303</v>
      </c>
      <c r="AL1211">
        <v>95.741145673769495</v>
      </c>
      <c r="AM1211">
        <v>91.294611376918496</v>
      </c>
      <c r="AN1211">
        <v>0.99999999178864496</v>
      </c>
    </row>
    <row r="1212" spans="1:40" x14ac:dyDescent="0.25">
      <c r="A1212" t="str">
        <f>"20190305135604571"</f>
        <v>20190305135604571</v>
      </c>
      <c r="B1212" t="str">
        <f>"1551765364563207"</f>
        <v>1551765364563207</v>
      </c>
      <c r="C1212" t="s">
        <v>40</v>
      </c>
      <c r="D1212">
        <v>4.432868</v>
      </c>
      <c r="E1212">
        <v>0.53652049999999996</v>
      </c>
      <c r="F1212" t="s">
        <v>41</v>
      </c>
      <c r="G1212">
        <v>-213.15289999999999</v>
      </c>
      <c r="H1212">
        <v>0.98128749999999998</v>
      </c>
      <c r="I1212">
        <v>283.15019999999998</v>
      </c>
      <c r="J1212">
        <v>-212.70760000000001</v>
      </c>
      <c r="K1212">
        <v>1.108873</v>
      </c>
      <c r="L1212">
        <v>283.10930000000002</v>
      </c>
      <c r="M1212">
        <v>-0.99856529999999999</v>
      </c>
      <c r="N1212">
        <v>-1.1513889999999901E-3</v>
      </c>
      <c r="O1212">
        <v>-5.3535439999999997E-2</v>
      </c>
      <c r="P1212">
        <v>-0.99189879999999997</v>
      </c>
      <c r="Q1212">
        <v>-9.5508960000000004E-2</v>
      </c>
      <c r="R1212">
        <v>-8.3755339999999998E-2</v>
      </c>
      <c r="S1212">
        <v>-2.978561</v>
      </c>
      <c r="T1212">
        <v>-0.52112890000000001</v>
      </c>
      <c r="U1212">
        <v>0.1014404</v>
      </c>
      <c r="V1212">
        <v>-3.0368300000000001E-2</v>
      </c>
      <c r="W1212">
        <v>-9.4416539999999993E-2</v>
      </c>
      <c r="X1212">
        <v>0.99506950000000005</v>
      </c>
      <c r="Y1212">
        <v>8.5386580000000004E-2</v>
      </c>
      <c r="Z1212">
        <v>1.6691649999999999E-2</v>
      </c>
      <c r="AA1212">
        <v>0.99620810000000004</v>
      </c>
      <c r="AB1212">
        <v>27</v>
      </c>
      <c r="AC1212">
        <v>-0.44529999999997399</v>
      </c>
      <c r="AD1212">
        <v>-0.12758549999999999</v>
      </c>
      <c r="AE1212">
        <v>4.0899999999964999E-2</v>
      </c>
      <c r="AF1212">
        <v>5.9811743960925097E-2</v>
      </c>
      <c r="AG1212">
        <v>-0.12758549999999999</v>
      </c>
      <c r="AH1212">
        <v>0.40916399073444298</v>
      </c>
      <c r="AI1212">
        <v>107.147130356009</v>
      </c>
      <c r="AJ1212">
        <v>81.683386272333493</v>
      </c>
      <c r="AK1212">
        <v>0.43274782014428798</v>
      </c>
      <c r="AL1212">
        <v>95.417739001324804</v>
      </c>
      <c r="AM1212">
        <v>91.748054302655007</v>
      </c>
      <c r="AN1212">
        <v>1.0000000132503499</v>
      </c>
    </row>
    <row r="1213" spans="1:40" x14ac:dyDescent="0.25">
      <c r="A1213" t="str">
        <f>"20190305135604591"</f>
        <v>20190305135604591</v>
      </c>
      <c r="B1213" t="str">
        <f>"1551765364582726"</f>
        <v>1551765364582726</v>
      </c>
      <c r="C1213" t="s">
        <v>40</v>
      </c>
      <c r="D1213">
        <v>4.4155790000000001</v>
      </c>
      <c r="E1213">
        <v>0.53554969999999902</v>
      </c>
      <c r="F1213" t="s">
        <v>41</v>
      </c>
      <c r="G1213">
        <v>-213.62729999999999</v>
      </c>
      <c r="H1213">
        <v>0.95012929999999995</v>
      </c>
      <c r="I1213">
        <v>283.12939999999998</v>
      </c>
      <c r="J1213">
        <v>-212.9691</v>
      </c>
      <c r="K1213">
        <v>1.108865</v>
      </c>
      <c r="L1213">
        <v>283.09440000000001</v>
      </c>
      <c r="M1213">
        <v>-0.99851310000000004</v>
      </c>
      <c r="N1213">
        <v>-1.1473729999999999E-3</v>
      </c>
      <c r="O1213">
        <v>-5.4500399999999997E-2</v>
      </c>
      <c r="P1213">
        <v>-0.99194550000000004</v>
      </c>
      <c r="Q1213">
        <v>-8.8721800000000003E-2</v>
      </c>
      <c r="R1213">
        <v>-9.0402979999999994E-2</v>
      </c>
      <c r="S1213">
        <v>-2.9804080000000002</v>
      </c>
      <c r="T1213">
        <v>-0.51450309999999999</v>
      </c>
      <c r="U1213">
        <v>6.4544679999999993E-2</v>
      </c>
      <c r="V1213">
        <v>-3.6048900000000002E-2</v>
      </c>
      <c r="W1213">
        <v>-8.7644799999999995E-2</v>
      </c>
      <c r="X1213">
        <v>0.99549929999999998</v>
      </c>
      <c r="Y1213">
        <v>7.4207239999999994E-2</v>
      </c>
      <c r="Z1213">
        <v>1.5674250000000001E-2</v>
      </c>
      <c r="AA1213">
        <v>0.99711970000000005</v>
      </c>
      <c r="AB1213">
        <v>27</v>
      </c>
      <c r="AC1213">
        <v>-0.65819999999999301</v>
      </c>
      <c r="AD1213">
        <v>-0.15873570000000001</v>
      </c>
      <c r="AE1213">
        <v>3.4999999999968098E-2</v>
      </c>
      <c r="AF1213">
        <v>6.6937952452009494E-2</v>
      </c>
      <c r="AG1213">
        <v>-0.15873570000000001</v>
      </c>
      <c r="AH1213">
        <v>0.61939126122161803</v>
      </c>
      <c r="AI1213">
        <v>104.29443494175</v>
      </c>
      <c r="AJ1213">
        <v>83.8319521406587</v>
      </c>
      <c r="AK1213">
        <v>0.64290220594633496</v>
      </c>
      <c r="AL1213">
        <v>95.028128581106699</v>
      </c>
      <c r="AM1213">
        <v>92.073881646629502</v>
      </c>
      <c r="AN1213">
        <v>0.99999999522937</v>
      </c>
    </row>
    <row r="1214" spans="1:40" x14ac:dyDescent="0.25">
      <c r="A1214" t="str">
        <f>"20190305135604613"</f>
        <v>20190305135604613</v>
      </c>
      <c r="B1214" t="str">
        <f>"1551765364603223"</f>
        <v>1551765364603223</v>
      </c>
      <c r="C1214" t="s">
        <v>40</v>
      </c>
      <c r="D1214">
        <v>4.3971589999999896</v>
      </c>
      <c r="E1214">
        <v>0.53564429999999996</v>
      </c>
      <c r="F1214" t="s">
        <v>41</v>
      </c>
      <c r="G1214">
        <v>-213.8766</v>
      </c>
      <c r="H1214">
        <v>0.9558702</v>
      </c>
      <c r="I1214">
        <v>283.10640000000001</v>
      </c>
      <c r="J1214">
        <v>-213.23650000000001</v>
      </c>
      <c r="K1214">
        <v>1.1088039999999999</v>
      </c>
      <c r="L1214">
        <v>283.0788</v>
      </c>
      <c r="M1214">
        <v>-0.99845839999999997</v>
      </c>
      <c r="N1214">
        <v>-1.1459529999999999E-3</v>
      </c>
      <c r="O1214">
        <v>-5.5492739999999999E-2</v>
      </c>
      <c r="P1214">
        <v>-0.99216950000000004</v>
      </c>
      <c r="Q1214">
        <v>-8.3631620000000004E-2</v>
      </c>
      <c r="R1214">
        <v>-9.2766609999999999E-2</v>
      </c>
      <c r="S1214">
        <v>-2.9829249999999998</v>
      </c>
      <c r="T1214">
        <v>-0.50303220000000004</v>
      </c>
      <c r="U1214">
        <v>3.9001460000000002E-2</v>
      </c>
      <c r="V1214">
        <v>-3.7414240000000001E-2</v>
      </c>
      <c r="W1214">
        <v>-8.2559080000000007E-2</v>
      </c>
      <c r="X1214">
        <v>0.99588359999999998</v>
      </c>
      <c r="Y1214">
        <v>6.6819379999999998E-2</v>
      </c>
      <c r="Z1214">
        <v>1.485915E-2</v>
      </c>
      <c r="AA1214">
        <v>0.99765440000000005</v>
      </c>
      <c r="AB1214">
        <v>28</v>
      </c>
      <c r="AC1214">
        <v>-0.64009999999998901</v>
      </c>
      <c r="AD1214">
        <v>-0.15293380000000001</v>
      </c>
      <c r="AE1214">
        <v>2.7600000000006699E-2</v>
      </c>
      <c r="AF1214">
        <v>5.9678080729867203E-2</v>
      </c>
      <c r="AG1214">
        <v>-0.15293380000000001</v>
      </c>
      <c r="AH1214">
        <v>0.60321242833616295</v>
      </c>
      <c r="AI1214">
        <v>104.160231892913</v>
      </c>
      <c r="AJ1214">
        <v>84.349898746827805</v>
      </c>
      <c r="AK1214">
        <v>0.62515234479385196</v>
      </c>
      <c r="AL1214">
        <v>94.7356770677236</v>
      </c>
      <c r="AM1214">
        <v>92.151526899900801</v>
      </c>
      <c r="AN1214">
        <v>0.99999998589709105</v>
      </c>
    </row>
    <row r="1215" spans="1:40" x14ac:dyDescent="0.25">
      <c r="A1215" t="str">
        <f>"20190305135604636"</f>
        <v>20190305135604636</v>
      </c>
      <c r="B1215" t="str">
        <f>"1551765364633478"</f>
        <v>1551765364633478</v>
      </c>
      <c r="C1215" t="s">
        <v>40</v>
      </c>
      <c r="D1215">
        <v>4.3832399999999998</v>
      </c>
      <c r="E1215">
        <v>0.53629320000000003</v>
      </c>
      <c r="F1215" t="s">
        <v>41</v>
      </c>
      <c r="G1215">
        <v>-214.12780000000001</v>
      </c>
      <c r="H1215">
        <v>0.96183529999999995</v>
      </c>
      <c r="I1215">
        <v>283.08879999999999</v>
      </c>
      <c r="J1215">
        <v>-213.5145</v>
      </c>
      <c r="K1215">
        <v>1.1087199999999999</v>
      </c>
      <c r="L1215">
        <v>283.06240000000003</v>
      </c>
      <c r="M1215">
        <v>-0.99840070000000003</v>
      </c>
      <c r="N1215">
        <v>-1.1475260000000001E-3</v>
      </c>
      <c r="O1215">
        <v>-5.6522370000000002E-2</v>
      </c>
      <c r="P1215">
        <v>-0.99165309999999995</v>
      </c>
      <c r="Q1215">
        <v>-8.9282619999999993E-2</v>
      </c>
      <c r="R1215">
        <v>-9.3019599999999994E-2</v>
      </c>
      <c r="S1215">
        <v>-2.9852599999999998</v>
      </c>
      <c r="T1215">
        <v>-0.49230550000000001</v>
      </c>
      <c r="U1215">
        <v>3.3142089999999999E-2</v>
      </c>
      <c r="V1215">
        <v>-3.6657990000000001E-2</v>
      </c>
      <c r="W1215">
        <v>-8.8208120000000001E-2</v>
      </c>
      <c r="X1215">
        <v>0.99542730000000001</v>
      </c>
      <c r="Y1215">
        <v>6.5953029999999996E-2</v>
      </c>
      <c r="Z1215">
        <v>1.463064E-2</v>
      </c>
      <c r="AA1215">
        <v>0.99771549999999998</v>
      </c>
      <c r="AB1215">
        <v>28</v>
      </c>
      <c r="AC1215">
        <v>-0.61330000000000895</v>
      </c>
      <c r="AD1215">
        <v>-0.14688470000000001</v>
      </c>
      <c r="AE1215">
        <v>2.6399999999966801E-2</v>
      </c>
      <c r="AF1215">
        <v>5.7718397377142398E-2</v>
      </c>
      <c r="AG1215">
        <v>-0.14688470000000001</v>
      </c>
      <c r="AH1215">
        <v>0.57774909748352099</v>
      </c>
      <c r="AI1215">
        <v>104.19665930318099</v>
      </c>
      <c r="AJ1215">
        <v>84.294955798526303</v>
      </c>
      <c r="AK1215">
        <v>0.59891614449177999</v>
      </c>
      <c r="AL1215">
        <v>95.060529932193901</v>
      </c>
      <c r="AM1215">
        <v>92.109043421882802</v>
      </c>
      <c r="AN1215">
        <v>0.99999999512503202</v>
      </c>
    </row>
    <row r="1216" spans="1:40" x14ac:dyDescent="0.25">
      <c r="A1216" t="str">
        <f>"20190305135604657"</f>
        <v>20190305135604657</v>
      </c>
      <c r="B1216" t="str">
        <f>"1551765364652999"</f>
        <v>1551765364652999</v>
      </c>
      <c r="C1216" t="s">
        <v>40</v>
      </c>
      <c r="D1216">
        <v>4.3755230000000003</v>
      </c>
      <c r="E1216">
        <v>0.53614280000000003</v>
      </c>
      <c r="F1216" t="s">
        <v>41</v>
      </c>
      <c r="G1216">
        <v>-214.3777</v>
      </c>
      <c r="H1216">
        <v>0.96151540000000002</v>
      </c>
      <c r="I1216">
        <v>283.07319999999999</v>
      </c>
      <c r="J1216">
        <v>-213.78800000000001</v>
      </c>
      <c r="K1216">
        <v>1.108606</v>
      </c>
      <c r="L1216">
        <v>283.04590000000002</v>
      </c>
      <c r="M1216">
        <v>-0.99834369999999995</v>
      </c>
      <c r="N1216">
        <v>-1.151565E-3</v>
      </c>
      <c r="O1216">
        <v>-5.7522539999999997E-2</v>
      </c>
      <c r="P1216">
        <v>-0.99019250000000003</v>
      </c>
      <c r="Q1216">
        <v>-0.1030494</v>
      </c>
      <c r="R1216">
        <v>-9.433954E-2</v>
      </c>
      <c r="S1216">
        <v>-2.9828800000000002</v>
      </c>
      <c r="T1216">
        <v>-0.50879750000000001</v>
      </c>
      <c r="U1216">
        <v>3.668213E-2</v>
      </c>
      <c r="V1216">
        <v>-3.7036689999999997E-2</v>
      </c>
      <c r="W1216">
        <v>-0.10197299999999999</v>
      </c>
      <c r="X1216">
        <v>0.99409749999999997</v>
      </c>
      <c r="Y1216">
        <v>6.7986829999999998E-2</v>
      </c>
      <c r="Z1216">
        <v>1.5468050000000001E-2</v>
      </c>
      <c r="AA1216">
        <v>0.99756630000000002</v>
      </c>
      <c r="AB1216">
        <v>28</v>
      </c>
      <c r="AC1216">
        <v>-0.58970000000002099</v>
      </c>
      <c r="AD1216">
        <v>-0.14709059999999899</v>
      </c>
      <c r="AE1216">
        <v>2.7299999999968301E-2</v>
      </c>
      <c r="AF1216">
        <v>5.7599842799904002E-2</v>
      </c>
      <c r="AG1216">
        <v>-0.14709059999999899</v>
      </c>
      <c r="AH1216">
        <v>0.55283137843288199</v>
      </c>
      <c r="AI1216">
        <v>104.822696742845</v>
      </c>
      <c r="AJ1216">
        <v>84.051779387053102</v>
      </c>
      <c r="AK1216">
        <v>0.57495731970202202</v>
      </c>
      <c r="AL1216">
        <v>95.8527958030663</v>
      </c>
      <c r="AM1216">
        <v>92.133658924659102</v>
      </c>
      <c r="AN1216">
        <v>1.0000000243206999</v>
      </c>
    </row>
    <row r="1217" spans="1:40" x14ac:dyDescent="0.25">
      <c r="A1217" t="str">
        <f>"20190305135604680"</f>
        <v>20190305135604680</v>
      </c>
      <c r="B1217" t="str">
        <f>"1551765364673494"</f>
        <v>1551765364673494</v>
      </c>
      <c r="C1217" t="s">
        <v>40</v>
      </c>
      <c r="D1217">
        <v>4.3741050000000001</v>
      </c>
      <c r="E1217">
        <v>0.53601619999999905</v>
      </c>
      <c r="F1217" t="s">
        <v>41</v>
      </c>
      <c r="G1217">
        <v>-214.6242</v>
      </c>
      <c r="H1217">
        <v>0.9509881</v>
      </c>
      <c r="I1217">
        <v>283.05509999999998</v>
      </c>
      <c r="J1217">
        <v>-214.08</v>
      </c>
      <c r="K1217">
        <v>1.1085039999999999</v>
      </c>
      <c r="L1217">
        <v>283.02800000000002</v>
      </c>
      <c r="M1217">
        <v>-0.99828349999999999</v>
      </c>
      <c r="N1217">
        <v>-1.158379E-3</v>
      </c>
      <c r="O1217">
        <v>-5.8557600000000001E-2</v>
      </c>
      <c r="P1217">
        <v>-0.98887910000000001</v>
      </c>
      <c r="Q1217">
        <v>-0.11255030000000001</v>
      </c>
      <c r="R1217">
        <v>-9.7216789999999997E-2</v>
      </c>
      <c r="S1217">
        <v>-2.974396</v>
      </c>
      <c r="T1217">
        <v>-0.56076309999999996</v>
      </c>
      <c r="U1217">
        <v>3.1921390000000001E-2</v>
      </c>
      <c r="V1217">
        <v>-3.8941120000000003E-2</v>
      </c>
      <c r="W1217">
        <v>-0.111471</v>
      </c>
      <c r="X1217">
        <v>0.99300440000000001</v>
      </c>
      <c r="Y1217">
        <v>6.7060380000000003E-2</v>
      </c>
      <c r="Z1217">
        <v>1.717728E-2</v>
      </c>
      <c r="AA1217">
        <v>0.99760099999999996</v>
      </c>
      <c r="AB1217">
        <v>28</v>
      </c>
      <c r="AC1217">
        <v>-0.54419999999998903</v>
      </c>
      <c r="AD1217">
        <v>-0.15751589999999999</v>
      </c>
      <c r="AE1217">
        <v>2.70999999999617E-2</v>
      </c>
      <c r="AF1217">
        <v>5.43762752870076E-2</v>
      </c>
      <c r="AG1217">
        <v>-0.15751589999999999</v>
      </c>
      <c r="AH1217">
        <v>0.49990190839531201</v>
      </c>
      <c r="AI1217">
        <v>107.392953158654</v>
      </c>
      <c r="AJ1217">
        <v>83.792121771349201</v>
      </c>
      <c r="AK1217">
        <v>0.52694397812687199</v>
      </c>
      <c r="AL1217">
        <v>96.400119433865697</v>
      </c>
      <c r="AM1217">
        <v>92.245729371886696</v>
      </c>
      <c r="AN1217">
        <v>0.99999996654360601</v>
      </c>
    </row>
    <row r="1218" spans="1:40" x14ac:dyDescent="0.25">
      <c r="A1218" t="str">
        <f>"20190305135604703"</f>
        <v>20190305135604703</v>
      </c>
      <c r="B1218" t="str">
        <f>"1551765364693015"</f>
        <v>1551765364693015</v>
      </c>
      <c r="C1218" t="s">
        <v>40</v>
      </c>
      <c r="D1218">
        <v>4.3467659999999997</v>
      </c>
      <c r="E1218">
        <v>0.53585169999999904</v>
      </c>
      <c r="F1218" t="s">
        <v>41</v>
      </c>
      <c r="G1218">
        <v>-214.87649999999999</v>
      </c>
      <c r="H1218">
        <v>0.94926540000000004</v>
      </c>
      <c r="I1218">
        <v>283.03399999999999</v>
      </c>
      <c r="J1218">
        <v>-214.3646</v>
      </c>
      <c r="K1218">
        <v>1.1084309999999999</v>
      </c>
      <c r="L1218">
        <v>283.0104</v>
      </c>
      <c r="M1218">
        <v>-0.99822719999999998</v>
      </c>
      <c r="N1218">
        <v>-1.167141E-3</v>
      </c>
      <c r="O1218">
        <v>-5.9506900000000001E-2</v>
      </c>
      <c r="P1218">
        <v>-0.98851230000000001</v>
      </c>
      <c r="Q1218">
        <v>-0.11398079999999999</v>
      </c>
      <c r="R1218">
        <v>-9.9256579999999997E-2</v>
      </c>
      <c r="S1218">
        <v>-2.9683380000000001</v>
      </c>
      <c r="T1218">
        <v>-0.59356119999999901</v>
      </c>
      <c r="U1218">
        <v>2.191162E-2</v>
      </c>
      <c r="V1218">
        <v>-4.0059659999999997E-2</v>
      </c>
      <c r="W1218">
        <v>-0.1128924</v>
      </c>
      <c r="X1218">
        <v>0.99279930000000005</v>
      </c>
      <c r="Y1218">
        <v>6.4427360000000003E-2</v>
      </c>
      <c r="Z1218">
        <v>1.8125349999999998E-2</v>
      </c>
      <c r="AA1218">
        <v>0.99775780000000003</v>
      </c>
      <c r="AB1218">
        <v>28</v>
      </c>
      <c r="AC1218">
        <v>-0.51189999999999702</v>
      </c>
      <c r="AD1218">
        <v>-0.15916559999999899</v>
      </c>
      <c r="AE1218">
        <v>2.35999999999876E-2</v>
      </c>
      <c r="AF1218">
        <v>4.9266856907134997E-2</v>
      </c>
      <c r="AG1218">
        <v>-0.15916559999999899</v>
      </c>
      <c r="AH1218">
        <v>0.464752406127663</v>
      </c>
      <c r="AI1218">
        <v>108.807085579473</v>
      </c>
      <c r="AJ1218">
        <v>83.948863817235207</v>
      </c>
      <c r="AK1218">
        <v>0.493716224580801</v>
      </c>
      <c r="AL1218">
        <v>96.482077045978997</v>
      </c>
      <c r="AM1218">
        <v>92.310643248985599</v>
      </c>
      <c r="AN1218">
        <v>0.99999996020878201</v>
      </c>
    </row>
    <row r="1219" spans="1:40" x14ac:dyDescent="0.25">
      <c r="A1219" t="str">
        <f>"20190305135604725"</f>
        <v>20190305135604725</v>
      </c>
      <c r="B1219" t="str">
        <f>"1551765364713514"</f>
        <v>1551765364713514</v>
      </c>
      <c r="C1219" t="s">
        <v>40</v>
      </c>
      <c r="D1219">
        <v>4.2597699999999996</v>
      </c>
      <c r="E1219">
        <v>0.53557849999999996</v>
      </c>
      <c r="F1219" t="s">
        <v>41</v>
      </c>
      <c r="G1219">
        <v>-215.1327</v>
      </c>
      <c r="H1219">
        <v>0.95255350000000005</v>
      </c>
      <c r="I1219">
        <v>283.01389999999998</v>
      </c>
      <c r="J1219">
        <v>-214.65180000000001</v>
      </c>
      <c r="K1219">
        <v>1.1083829999999999</v>
      </c>
      <c r="L1219">
        <v>282.9923</v>
      </c>
      <c r="M1219">
        <v>-0.99817500000000003</v>
      </c>
      <c r="N1219">
        <v>-1.177661E-3</v>
      </c>
      <c r="O1219">
        <v>-6.0377199999999902E-2</v>
      </c>
      <c r="P1219">
        <v>-0.98923700000000003</v>
      </c>
      <c r="Q1219">
        <v>-0.1068018</v>
      </c>
      <c r="R1219">
        <v>-0.1000167</v>
      </c>
      <c r="S1219">
        <v>-2.9667509999999999</v>
      </c>
      <c r="T1219">
        <v>-0.60211530000000002</v>
      </c>
      <c r="U1219">
        <v>1.318359E-2</v>
      </c>
      <c r="V1219">
        <v>-3.9934740000000003E-2</v>
      </c>
      <c r="W1219">
        <v>-0.105697</v>
      </c>
      <c r="X1219">
        <v>0.99359620000000004</v>
      </c>
      <c r="Y1219">
        <v>6.2318569999999997E-2</v>
      </c>
      <c r="Z1219">
        <v>1.8351639999999999E-2</v>
      </c>
      <c r="AA1219">
        <v>0.99788759999999999</v>
      </c>
      <c r="AB1219">
        <v>28</v>
      </c>
      <c r="AC1219">
        <v>-0.480899999999991</v>
      </c>
      <c r="AD1219">
        <v>-0.15582949999999901</v>
      </c>
      <c r="AE1219">
        <v>2.1599999999978001E-2</v>
      </c>
      <c r="AF1219">
        <v>4.57969986764417E-2</v>
      </c>
      <c r="AG1219">
        <v>-0.15582949999999901</v>
      </c>
      <c r="AH1219">
        <v>0.43331227475826001</v>
      </c>
      <c r="AI1219">
        <v>109.678680771613</v>
      </c>
      <c r="AJ1219">
        <v>83.966777542877296</v>
      </c>
      <c r="AK1219">
        <v>0.46275233723256098</v>
      </c>
      <c r="AL1219">
        <v>96.067325041506294</v>
      </c>
      <c r="AM1219">
        <v>92.301600171516895</v>
      </c>
      <c r="AN1219">
        <v>1.00000002396115</v>
      </c>
    </row>
    <row r="1220" spans="1:40" x14ac:dyDescent="0.25">
      <c r="A1220" t="str">
        <f>"20190305135604747"</f>
        <v>20190305135604747</v>
      </c>
      <c r="B1220" t="str">
        <f>"1551765364742791"</f>
        <v>1551765364742791</v>
      </c>
      <c r="C1220" t="s">
        <v>40</v>
      </c>
      <c r="D1220">
        <v>4.3013240000000001</v>
      </c>
      <c r="E1220">
        <v>0.53497980000000001</v>
      </c>
      <c r="F1220" t="s">
        <v>41</v>
      </c>
      <c r="G1220">
        <v>-215.3939</v>
      </c>
      <c r="H1220">
        <v>0.96260069999999998</v>
      </c>
      <c r="I1220">
        <v>282.99430000000001</v>
      </c>
      <c r="J1220">
        <v>-214.92689999999999</v>
      </c>
      <c r="K1220">
        <v>1.1083510000000001</v>
      </c>
      <c r="L1220">
        <v>282.97489999999999</v>
      </c>
      <c r="M1220">
        <v>-0.99813099999999999</v>
      </c>
      <c r="N1220">
        <v>-1.189364E-3</v>
      </c>
      <c r="O1220">
        <v>-6.1098079999999999E-2</v>
      </c>
      <c r="P1220">
        <v>-0.99014389999999997</v>
      </c>
      <c r="Q1220">
        <v>-9.9150180000000004E-2</v>
      </c>
      <c r="R1220">
        <v>-9.8916249999999997E-2</v>
      </c>
      <c r="S1220">
        <v>-2.970367</v>
      </c>
      <c r="T1220">
        <v>-0.58362480000000005</v>
      </c>
      <c r="U1220">
        <v>7.385254E-3</v>
      </c>
      <c r="V1220">
        <v>-3.8092340000000002E-2</v>
      </c>
      <c r="W1220">
        <v>-9.8023239999999998E-2</v>
      </c>
      <c r="X1220">
        <v>0.99445490000000003</v>
      </c>
      <c r="Y1220">
        <v>6.1248240000000002E-2</v>
      </c>
      <c r="Z1220">
        <v>1.781048E-2</v>
      </c>
      <c r="AA1220">
        <v>0.99796370000000001</v>
      </c>
      <c r="AB1220">
        <v>29</v>
      </c>
      <c r="AC1220">
        <v>-0.46700000000001302</v>
      </c>
      <c r="AD1220">
        <v>-0.1457503</v>
      </c>
      <c r="AE1220">
        <v>1.9400000000018701E-2</v>
      </c>
      <c r="AF1220">
        <v>4.3651950063577603E-2</v>
      </c>
      <c r="AG1220">
        <v>-0.1457503</v>
      </c>
      <c r="AH1220">
        <v>0.42373869720309498</v>
      </c>
      <c r="AI1220">
        <v>108.888482555002</v>
      </c>
      <c r="AJ1220">
        <v>84.118354009857697</v>
      </c>
      <c r="AK1220">
        <v>0.45022563920974001</v>
      </c>
      <c r="AL1220">
        <v>95.625350809433698</v>
      </c>
      <c r="AM1220">
        <v>92.193627695790497</v>
      </c>
      <c r="AN1220">
        <v>1.00000006504038</v>
      </c>
    </row>
    <row r="1221" spans="1:40" x14ac:dyDescent="0.25">
      <c r="A1221" t="str">
        <f>"20190305135604772"</f>
        <v>20190305135604772</v>
      </c>
      <c r="B1221" t="str">
        <f>"1551765364763286"</f>
        <v>1551765364763286</v>
      </c>
      <c r="C1221" t="s">
        <v>40</v>
      </c>
      <c r="D1221">
        <v>4.2504869999999997</v>
      </c>
      <c r="E1221">
        <v>0.52408049999999995</v>
      </c>
      <c r="F1221" t="s">
        <v>41</v>
      </c>
      <c r="G1221">
        <v>-215.6567</v>
      </c>
      <c r="H1221">
        <v>0.97266260000000004</v>
      </c>
      <c r="I1221">
        <v>282.97609999999997</v>
      </c>
      <c r="J1221">
        <v>-215.24469999999999</v>
      </c>
      <c r="K1221">
        <v>1.108279</v>
      </c>
      <c r="L1221">
        <v>282.9547</v>
      </c>
      <c r="M1221">
        <v>-0.99809029999999999</v>
      </c>
      <c r="N1221">
        <v>-1.204737E-3</v>
      </c>
      <c r="O1221">
        <v>-6.1761509999999999E-2</v>
      </c>
      <c r="P1221">
        <v>-0.99079019999999995</v>
      </c>
      <c r="Q1221">
        <v>-9.4064880000000003E-2</v>
      </c>
      <c r="R1221">
        <v>-9.7402890000000006E-2</v>
      </c>
      <c r="S1221">
        <v>-2.9748839999999999</v>
      </c>
      <c r="T1221">
        <v>-0.553122</v>
      </c>
      <c r="U1221">
        <v>4.0283200000000002E-3</v>
      </c>
      <c r="V1221">
        <v>-3.591254E-2</v>
      </c>
      <c r="W1221">
        <v>-9.2909359999999996E-2</v>
      </c>
      <c r="X1221">
        <v>0.99502670000000004</v>
      </c>
      <c r="Y1221">
        <v>6.1016580000000001E-2</v>
      </c>
      <c r="Z1221">
        <v>1.6967900000000001E-2</v>
      </c>
      <c r="AA1221">
        <v>0.99799249999999995</v>
      </c>
      <c r="AB1221">
        <v>29</v>
      </c>
      <c r="AC1221">
        <v>-0.41200000000000597</v>
      </c>
      <c r="AD1221">
        <v>-0.135616399999999</v>
      </c>
      <c r="AE1221">
        <v>2.13999999999714E-2</v>
      </c>
      <c r="AF1221">
        <v>4.2240454312035103E-2</v>
      </c>
      <c r="AG1221">
        <v>-0.135616399999999</v>
      </c>
      <c r="AH1221">
        <v>0.36991880987992998</v>
      </c>
      <c r="AI1221">
        <v>110.01386255788501</v>
      </c>
      <c r="AJ1221">
        <v>83.485699477788302</v>
      </c>
      <c r="AK1221">
        <v>0.39625243195774901</v>
      </c>
      <c r="AL1221">
        <v>95.331002733282105</v>
      </c>
      <c r="AM1221">
        <v>92.067024152417801</v>
      </c>
      <c r="AN1221">
        <v>0.99999999670887496</v>
      </c>
    </row>
    <row r="1222" spans="1:40" x14ac:dyDescent="0.25">
      <c r="A1222" t="str">
        <f>"20190305135604793"</f>
        <v>20190305135604793</v>
      </c>
      <c r="B1222" t="str">
        <f>"1551765364782806"</f>
        <v>1551765364782806</v>
      </c>
      <c r="C1222" t="s">
        <v>40</v>
      </c>
      <c r="D1222">
        <v>4.2670969999999997</v>
      </c>
      <c r="E1222">
        <v>0.52449630000000003</v>
      </c>
      <c r="F1222" t="s">
        <v>55</v>
      </c>
      <c r="G1222">
        <v>-240.99369999999999</v>
      </c>
      <c r="H1222" s="1">
        <v>-1.0080069999999999E-6</v>
      </c>
      <c r="I1222">
        <v>281.98340000000002</v>
      </c>
      <c r="J1222">
        <v>-215.53219999999999</v>
      </c>
      <c r="K1222">
        <v>1.1082069999999999</v>
      </c>
      <c r="L1222">
        <v>282.93650000000002</v>
      </c>
      <c r="M1222">
        <v>-0.99806399999999995</v>
      </c>
      <c r="N1222">
        <v>-1.220395E-3</v>
      </c>
      <c r="O1222">
        <v>-6.2186430000000001E-2</v>
      </c>
      <c r="P1222">
        <v>-0.99161049999999995</v>
      </c>
      <c r="Q1222">
        <v>-8.7760840000000007E-2</v>
      </c>
      <c r="R1222">
        <v>-9.4903790000000002E-2</v>
      </c>
      <c r="S1222">
        <v>-3.004486</v>
      </c>
      <c r="T1222">
        <v>-0.12931819999999999</v>
      </c>
      <c r="U1222">
        <v>-0.11334230000000001</v>
      </c>
      <c r="V1222">
        <v>-3.2974879999999998E-2</v>
      </c>
      <c r="W1222">
        <v>-8.6576379999999994E-2</v>
      </c>
      <c r="X1222">
        <v>0.99569929999999995</v>
      </c>
      <c r="Y1222">
        <v>2.4440280000000002E-2</v>
      </c>
      <c r="Z1222">
        <v>3.136925E-3</v>
      </c>
      <c r="AA1222">
        <v>0.99969640000000004</v>
      </c>
      <c r="AB1222">
        <v>29</v>
      </c>
      <c r="AC1222">
        <v>-25.461500000000001</v>
      </c>
      <c r="AD1222">
        <v>-1.108208008007</v>
      </c>
      <c r="AE1222">
        <v>-0.95310000000000605</v>
      </c>
      <c r="AF1222">
        <v>0.63091180173188099</v>
      </c>
      <c r="AG1222">
        <v>-1.108208008007</v>
      </c>
      <c r="AH1222">
        <v>25.423395418422199</v>
      </c>
      <c r="AI1222">
        <v>92.495180713990806</v>
      </c>
      <c r="AJ1222">
        <v>88.578428844393898</v>
      </c>
      <c r="AK1222">
        <v>25.4553571825662</v>
      </c>
      <c r="AL1222">
        <v>94.966679234179793</v>
      </c>
      <c r="AM1222">
        <v>91.896788719108699</v>
      </c>
      <c r="AN1222">
        <v>0.99999995415270304</v>
      </c>
    </row>
    <row r="1223" spans="1:40" x14ac:dyDescent="0.25">
      <c r="A1223" t="str">
        <f>"20190305135604815"</f>
        <v>20190305135604815</v>
      </c>
      <c r="B1223" t="str">
        <f>"1551765364813062"</f>
        <v>1551765364813062</v>
      </c>
      <c r="C1223" t="s">
        <v>40</v>
      </c>
      <c r="D1223">
        <v>4.3344310000000004</v>
      </c>
      <c r="E1223">
        <v>0.52427869999999999</v>
      </c>
      <c r="F1223" t="s">
        <v>55</v>
      </c>
      <c r="G1223">
        <v>-250.89009999999999</v>
      </c>
      <c r="H1223" s="1">
        <v>-1.063099E-6</v>
      </c>
      <c r="I1223">
        <v>281.72039999999998</v>
      </c>
      <c r="J1223">
        <v>-215.8287</v>
      </c>
      <c r="K1223">
        <v>1.1081449999999999</v>
      </c>
      <c r="L1223">
        <v>282.91759999999999</v>
      </c>
      <c r="M1223">
        <v>-0.99804530000000002</v>
      </c>
      <c r="N1223">
        <v>-1.237962E-3</v>
      </c>
      <c r="O1223">
        <v>-6.2483480000000001E-2</v>
      </c>
      <c r="P1223">
        <v>-0.99247739999999995</v>
      </c>
      <c r="Q1223">
        <v>-8.0415529999999999E-2</v>
      </c>
      <c r="R1223">
        <v>-9.231636E-2</v>
      </c>
      <c r="S1223">
        <v>-3.0071560000000002</v>
      </c>
      <c r="T1223">
        <v>-9.4251989999999994E-2</v>
      </c>
      <c r="U1223">
        <v>-0.1034241</v>
      </c>
      <c r="V1223">
        <v>-3.006998E-2</v>
      </c>
      <c r="W1223">
        <v>-7.9202030000000007E-2</v>
      </c>
      <c r="X1223">
        <v>0.99640490000000004</v>
      </c>
      <c r="Y1223">
        <v>2.80989E-2</v>
      </c>
      <c r="Z1223">
        <v>2.3359909999999999E-3</v>
      </c>
      <c r="AA1223">
        <v>0.9996024</v>
      </c>
      <c r="AB1223">
        <v>29</v>
      </c>
      <c r="AC1223">
        <v>-35.0613999999999</v>
      </c>
      <c r="AD1223">
        <v>-1.1081460630990001</v>
      </c>
      <c r="AE1223">
        <v>-1.1972</v>
      </c>
      <c r="AF1223">
        <v>0.99490646105287095</v>
      </c>
      <c r="AG1223">
        <v>-1.1081460630990001</v>
      </c>
      <c r="AH1223">
        <v>35.032740606393901</v>
      </c>
      <c r="AI1223">
        <v>91.811030631609995</v>
      </c>
      <c r="AJ1223">
        <v>88.373275322618099</v>
      </c>
      <c r="AK1223">
        <v>35.064379945441601</v>
      </c>
      <c r="AL1223">
        <v>94.542700130421593</v>
      </c>
      <c r="AM1223">
        <v>91.728574595198097</v>
      </c>
      <c r="AN1223">
        <v>0.99999994499866396</v>
      </c>
    </row>
    <row r="1224" spans="1:40" x14ac:dyDescent="0.25">
      <c r="A1224" t="str">
        <f>"20190305135604839"</f>
        <v>20190305135604839</v>
      </c>
      <c r="B1224" t="str">
        <f>"1551765364833560"</f>
        <v>1551765364833560</v>
      </c>
      <c r="C1224" t="s">
        <v>40</v>
      </c>
      <c r="D1224">
        <v>4.2741150000000001</v>
      </c>
      <c r="E1224">
        <v>0.52433569999999996</v>
      </c>
      <c r="F1224" t="s">
        <v>55</v>
      </c>
      <c r="G1224">
        <v>-256.06990000000002</v>
      </c>
      <c r="H1224" s="1">
        <v>1.6933130000000001E-6</v>
      </c>
      <c r="I1224">
        <v>281.62790000000001</v>
      </c>
      <c r="J1224">
        <v>-216.13</v>
      </c>
      <c r="K1224">
        <v>1.1080890000000001</v>
      </c>
      <c r="L1224">
        <v>282.89850000000001</v>
      </c>
      <c r="M1224">
        <v>-0.99803419999999998</v>
      </c>
      <c r="N1224">
        <v>-1.2569860000000001E-3</v>
      </c>
      <c r="O1224">
        <v>-6.2659229999999996E-2</v>
      </c>
      <c r="P1224">
        <v>-0.99318439999999997</v>
      </c>
      <c r="Q1224">
        <v>-7.3779230000000001E-2</v>
      </c>
      <c r="R1224">
        <v>-9.0229649999999995E-2</v>
      </c>
      <c r="S1224">
        <v>-3.00705</v>
      </c>
      <c r="T1224">
        <v>-8.2806710000000006E-2</v>
      </c>
      <c r="U1224">
        <v>-9.6374509999999997E-2</v>
      </c>
      <c r="V1224">
        <v>-2.7788710000000001E-2</v>
      </c>
      <c r="W1224">
        <v>-7.2538060000000001E-2</v>
      </c>
      <c r="X1224">
        <v>0.99697849999999999</v>
      </c>
      <c r="Y1224">
        <v>3.0623290000000001E-2</v>
      </c>
      <c r="Z1224">
        <v>2.085356E-3</v>
      </c>
      <c r="AA1224">
        <v>0.9995288</v>
      </c>
      <c r="AB1224">
        <v>29</v>
      </c>
      <c r="AC1224">
        <v>-39.939900000000002</v>
      </c>
      <c r="AD1224">
        <v>-1.1080873066869901</v>
      </c>
      <c r="AE1224">
        <v>-1.2706</v>
      </c>
      <c r="AF1224">
        <v>1.2335535529349799</v>
      </c>
      <c r="AG1224">
        <v>-1.1080873066869901</v>
      </c>
      <c r="AH1224">
        <v>39.910343228331499</v>
      </c>
      <c r="AI1224">
        <v>91.5896164752874</v>
      </c>
      <c r="AJ1224">
        <v>88.229658949449203</v>
      </c>
      <c r="AK1224">
        <v>39.944774482407901</v>
      </c>
      <c r="AL1224">
        <v>94.159777878000796</v>
      </c>
      <c r="AM1224">
        <v>91.596587762607498</v>
      </c>
      <c r="AN1224">
        <v>1.00000005600713</v>
      </c>
    </row>
    <row r="1225" spans="1:40" x14ac:dyDescent="0.25">
      <c r="A1225" t="str">
        <f>"20190305135604859"</f>
        <v>20190305135604859</v>
      </c>
      <c r="B1225" t="str">
        <f>"1551765364853079"</f>
        <v>1551765364853079</v>
      </c>
      <c r="C1225" t="s">
        <v>40</v>
      </c>
      <c r="D1225">
        <v>4.2603739999999997</v>
      </c>
      <c r="E1225">
        <v>0.52449469999999898</v>
      </c>
      <c r="F1225" t="s">
        <v>55</v>
      </c>
      <c r="G1225">
        <v>-262.08690000000001</v>
      </c>
      <c r="H1225" s="1">
        <v>-4.2623160000000001E-7</v>
      </c>
      <c r="I1225">
        <v>281.54230000000001</v>
      </c>
      <c r="J1225">
        <v>-216.4093</v>
      </c>
      <c r="K1225">
        <v>1.108047</v>
      </c>
      <c r="L1225">
        <v>282.8809</v>
      </c>
      <c r="M1225">
        <v>-0.99803050000000004</v>
      </c>
      <c r="N1225">
        <v>-1.2741499999999999E-3</v>
      </c>
      <c r="O1225">
        <v>-6.2720849999999995E-2</v>
      </c>
      <c r="P1225">
        <v>-0.99364090000000005</v>
      </c>
      <c r="Q1225">
        <v>-6.7997799999999997E-2</v>
      </c>
      <c r="R1225">
        <v>-8.9746640000000003E-2</v>
      </c>
      <c r="S1225">
        <v>-3.0071409999999998</v>
      </c>
      <c r="T1225">
        <v>-7.2506550000000003E-2</v>
      </c>
      <c r="U1225">
        <v>-8.8745119999999997E-2</v>
      </c>
      <c r="V1225">
        <v>-2.7231660000000001E-2</v>
      </c>
      <c r="W1225">
        <v>-6.6733639999999997E-2</v>
      </c>
      <c r="X1225">
        <v>0.99739920000000004</v>
      </c>
      <c r="Y1225">
        <v>3.322659E-2</v>
      </c>
      <c r="Z1225">
        <v>1.8523039999999999E-3</v>
      </c>
      <c r="AA1225">
        <v>0.99944619999999995</v>
      </c>
      <c r="AB1225">
        <v>30</v>
      </c>
      <c r="AC1225">
        <v>-45.677599999999998</v>
      </c>
      <c r="AD1225">
        <v>-1.1080474262316</v>
      </c>
      <c r="AE1225">
        <v>-1.33859999999998</v>
      </c>
      <c r="AF1225">
        <v>1.5280767739127801</v>
      </c>
      <c r="AG1225">
        <v>-1.1080474262316</v>
      </c>
      <c r="AH1225">
        <v>45.644787202749598</v>
      </c>
      <c r="AI1225">
        <v>91.389829007303703</v>
      </c>
      <c r="AJ1225">
        <v>88.082592356829295</v>
      </c>
      <c r="AK1225">
        <v>45.683797855586</v>
      </c>
      <c r="AL1225">
        <v>93.826399379644997</v>
      </c>
      <c r="AM1225">
        <v>91.563939162437606</v>
      </c>
      <c r="AN1225">
        <v>1.0000000530873201</v>
      </c>
    </row>
    <row r="1226" spans="1:40" x14ac:dyDescent="0.25">
      <c r="A1226" t="str">
        <f>"20190305135604884"</f>
        <v>20190305135604884</v>
      </c>
      <c r="B1226" t="str">
        <f>"1551765364873575"</f>
        <v>1551765364873575</v>
      </c>
      <c r="C1226" t="s">
        <v>40</v>
      </c>
      <c r="D1226">
        <v>4.2521339999999999</v>
      </c>
      <c r="E1226">
        <v>0.52449889999999999</v>
      </c>
      <c r="F1226" t="s">
        <v>55</v>
      </c>
      <c r="G1226">
        <v>-268.56479999999999</v>
      </c>
      <c r="H1226" s="1">
        <v>3.020986E-6</v>
      </c>
      <c r="I1226">
        <v>281.4042</v>
      </c>
      <c r="J1226">
        <v>-216.72989999999999</v>
      </c>
      <c r="K1226">
        <v>1.1080000000000001</v>
      </c>
      <c r="L1226">
        <v>282.86070000000001</v>
      </c>
      <c r="M1226">
        <v>-0.99803260000000005</v>
      </c>
      <c r="N1226">
        <v>-1.2911540000000001E-3</v>
      </c>
      <c r="O1226">
        <v>-6.2684959999999998E-2</v>
      </c>
      <c r="P1226">
        <v>-0.99391249999999998</v>
      </c>
      <c r="Q1226">
        <v>-6.4261310000000002E-2</v>
      </c>
      <c r="R1226">
        <v>-8.9491909999999994E-2</v>
      </c>
      <c r="S1226">
        <v>-3.0071409999999998</v>
      </c>
      <c r="T1226">
        <v>-6.3886760000000001E-2</v>
      </c>
      <c r="U1226">
        <v>-8.5144040000000004E-2</v>
      </c>
      <c r="V1226">
        <v>-2.7009040000000002E-2</v>
      </c>
      <c r="W1226">
        <v>-6.2974710000000003E-2</v>
      </c>
      <c r="X1226">
        <v>0.99764960000000003</v>
      </c>
      <c r="Y1226">
        <v>3.4392270000000003E-2</v>
      </c>
      <c r="Z1226">
        <v>1.636834E-3</v>
      </c>
      <c r="AA1226">
        <v>0.99940709999999999</v>
      </c>
      <c r="AB1226">
        <v>30</v>
      </c>
      <c r="AC1226">
        <v>-51.834899999999998</v>
      </c>
      <c r="AD1226">
        <v>-1.1079969790139901</v>
      </c>
      <c r="AE1226">
        <v>-1.4564999999999999</v>
      </c>
      <c r="AF1226">
        <v>1.7948160943424301</v>
      </c>
      <c r="AG1226">
        <v>-1.1079969790139901</v>
      </c>
      <c r="AH1226">
        <v>51.8006105299946</v>
      </c>
      <c r="AI1226">
        <v>91.224615231144199</v>
      </c>
      <c r="AJ1226">
        <v>88.015578123074604</v>
      </c>
      <c r="AK1226">
        <v>51.843536466932903</v>
      </c>
      <c r="AL1226">
        <v>93.610574215516195</v>
      </c>
      <c r="AM1226">
        <v>91.550771028628901</v>
      </c>
      <c r="AN1226">
        <v>1.0000000133607301</v>
      </c>
    </row>
    <row r="1227" spans="1:40" x14ac:dyDescent="0.25">
      <c r="A1227" t="str">
        <f>"20190305135604905"</f>
        <v>20190305135604905</v>
      </c>
      <c r="B1227" t="str">
        <f>"1551765364893095"</f>
        <v>1551765364893095</v>
      </c>
      <c r="C1227" t="s">
        <v>40</v>
      </c>
      <c r="D1227">
        <v>4.2769490000000001</v>
      </c>
      <c r="E1227">
        <v>0.52435480000000001</v>
      </c>
      <c r="F1227" t="s">
        <v>55</v>
      </c>
      <c r="G1227">
        <v>-273.92579999999998</v>
      </c>
      <c r="H1227" s="1">
        <v>6.9834289999999897E-7</v>
      </c>
      <c r="I1227">
        <v>281.27609999999999</v>
      </c>
      <c r="J1227">
        <v>-217.024</v>
      </c>
      <c r="K1227">
        <v>1.107947</v>
      </c>
      <c r="L1227">
        <v>282.84230000000002</v>
      </c>
      <c r="M1227">
        <v>-0.99803980000000003</v>
      </c>
      <c r="N1227">
        <v>-1.3051250000000001E-3</v>
      </c>
      <c r="O1227">
        <v>-6.2569479999999997E-2</v>
      </c>
      <c r="P1227">
        <v>-0.99416599999999999</v>
      </c>
      <c r="Q1227">
        <v>-6.1202239999999998E-2</v>
      </c>
      <c r="R1227">
        <v>-8.8817569999999998E-2</v>
      </c>
      <c r="S1227">
        <v>-3.0071110000000001</v>
      </c>
      <c r="T1227">
        <v>-5.8253770000000003E-2</v>
      </c>
      <c r="U1227">
        <v>-8.3312990000000003E-2</v>
      </c>
      <c r="V1227">
        <v>-2.6445090000000001E-2</v>
      </c>
      <c r="W1227">
        <v>-5.9897279999999997E-2</v>
      </c>
      <c r="X1227">
        <v>0.99785420000000002</v>
      </c>
      <c r="Y1227">
        <v>3.4887929999999998E-2</v>
      </c>
      <c r="Z1227">
        <v>1.489799E-3</v>
      </c>
      <c r="AA1227">
        <v>0.99939009999999995</v>
      </c>
      <c r="AB1227">
        <v>30</v>
      </c>
      <c r="AC1227">
        <v>-56.901799999999902</v>
      </c>
      <c r="AD1227">
        <v>-1.1079463016571001</v>
      </c>
      <c r="AE1227">
        <v>-1.56620000000003</v>
      </c>
      <c r="AF1227">
        <v>1.99643138855309</v>
      </c>
      <c r="AG1227">
        <v>-1.1079463016571001</v>
      </c>
      <c r="AH1227">
        <v>56.866759990379002</v>
      </c>
      <c r="AI1227">
        <v>91.115476723105701</v>
      </c>
      <c r="AJ1227">
        <v>87.989332734369995</v>
      </c>
      <c r="AK1227">
        <v>56.912579234295102</v>
      </c>
      <c r="AL1227">
        <v>93.433916686851205</v>
      </c>
      <c r="AM1227">
        <v>91.518094989870406</v>
      </c>
      <c r="AN1227">
        <v>1.0000000156970701</v>
      </c>
    </row>
    <row r="1228" spans="1:40" x14ac:dyDescent="0.25">
      <c r="A1228" t="str">
        <f>"20190305135604929"</f>
        <v>20190305135604929</v>
      </c>
      <c r="B1228" t="str">
        <f>"1551765364923350"</f>
        <v>1551765364923350</v>
      </c>
      <c r="C1228" t="s">
        <v>40</v>
      </c>
      <c r="D1228">
        <v>4.3027179999999996</v>
      </c>
      <c r="E1228">
        <v>0.52403549999999999</v>
      </c>
      <c r="F1228" t="s">
        <v>55</v>
      </c>
      <c r="G1228">
        <v>-278.77969999999999</v>
      </c>
      <c r="H1228" s="1">
        <v>3.286331E-6</v>
      </c>
      <c r="I1228">
        <v>281.16199999999998</v>
      </c>
      <c r="J1228">
        <v>-217.35130000000001</v>
      </c>
      <c r="K1228">
        <v>1.107874</v>
      </c>
      <c r="L1228">
        <v>282.82190000000003</v>
      </c>
      <c r="M1228">
        <v>-0.9980523</v>
      </c>
      <c r="N1228">
        <v>-1.320309E-3</v>
      </c>
      <c r="O1228">
        <v>-6.2371030000000001E-2</v>
      </c>
      <c r="P1228">
        <v>-0.99444699999999997</v>
      </c>
      <c r="Q1228">
        <v>-5.8277309999999999E-2</v>
      </c>
      <c r="R1228">
        <v>-8.7631020000000004E-2</v>
      </c>
      <c r="S1228">
        <v>-3.0069729999999999</v>
      </c>
      <c r="T1228">
        <v>-5.3947330000000002E-2</v>
      </c>
      <c r="U1228">
        <v>-8.1817630000000002E-2</v>
      </c>
      <c r="V1228">
        <v>-2.5450259999999999E-2</v>
      </c>
      <c r="W1228">
        <v>-5.6953160000000003E-2</v>
      </c>
      <c r="X1228">
        <v>0.99805239999999995</v>
      </c>
      <c r="Y1228">
        <v>3.5187059999999999E-2</v>
      </c>
      <c r="Z1228">
        <v>1.3743099999999999E-3</v>
      </c>
      <c r="AA1228">
        <v>0.99937980000000004</v>
      </c>
      <c r="AB1228">
        <v>30</v>
      </c>
      <c r="AC1228">
        <v>-61.428399999999897</v>
      </c>
      <c r="AD1228">
        <v>-1.107870713669</v>
      </c>
      <c r="AE1228">
        <v>-1.6598999999999899</v>
      </c>
      <c r="AF1228">
        <v>2.1739805473974401</v>
      </c>
      <c r="AG1228">
        <v>-1.107870713669</v>
      </c>
      <c r="AH1228">
        <v>61.392376109711897</v>
      </c>
      <c r="AI1228">
        <v>91.0331849529165</v>
      </c>
      <c r="AJ1228">
        <v>87.971932462865894</v>
      </c>
      <c r="AK1228">
        <v>61.440844829274504</v>
      </c>
      <c r="AL1228">
        <v>93.264942431508899</v>
      </c>
      <c r="AM1228">
        <v>91.460721448528503</v>
      </c>
      <c r="AN1228">
        <v>0.99999998565690595</v>
      </c>
    </row>
    <row r="1229" spans="1:40" x14ac:dyDescent="0.25">
      <c r="A1229" t="str">
        <f>"20190305135604948"</f>
        <v>20190305135604948</v>
      </c>
      <c r="B1229" t="str">
        <f>"1551765364942871"</f>
        <v>1551765364942871</v>
      </c>
      <c r="C1229" t="s">
        <v>40</v>
      </c>
      <c r="D1229">
        <v>4.4230559999999999</v>
      </c>
      <c r="E1229">
        <v>0.52086319999999997</v>
      </c>
      <c r="F1229" t="s">
        <v>55</v>
      </c>
      <c r="G1229">
        <v>-279.92540000000002</v>
      </c>
      <c r="H1229" s="1">
        <v>3.8963430000000004E-6</v>
      </c>
      <c r="I1229">
        <v>281.15460000000002</v>
      </c>
      <c r="J1229">
        <v>-217.6122</v>
      </c>
      <c r="K1229">
        <v>1.107831</v>
      </c>
      <c r="L1229">
        <v>282.80579999999998</v>
      </c>
      <c r="M1229">
        <v>-0.99806490000000003</v>
      </c>
      <c r="N1229">
        <v>-1.3329889999999999E-3</v>
      </c>
      <c r="O1229">
        <v>-6.2167859999999998E-2</v>
      </c>
      <c r="P1229">
        <v>-0.99461279999999996</v>
      </c>
      <c r="Q1229">
        <v>-5.6537709999999998E-2</v>
      </c>
      <c r="R1229">
        <v>-8.688717E-2</v>
      </c>
      <c r="S1229">
        <v>-3.0065770000000001</v>
      </c>
      <c r="T1229">
        <v>-5.3231239999999999E-2</v>
      </c>
      <c r="U1229">
        <v>-8.0108639999999995E-2</v>
      </c>
      <c r="V1229">
        <v>-2.4905900000000002E-2</v>
      </c>
      <c r="W1229">
        <v>-5.5198299999999999E-2</v>
      </c>
      <c r="X1229">
        <v>0.99816470000000002</v>
      </c>
      <c r="Y1229">
        <v>3.5548049999999998E-2</v>
      </c>
      <c r="Z1229">
        <v>1.355036E-3</v>
      </c>
      <c r="AA1229">
        <v>0.99936709999999995</v>
      </c>
      <c r="AB1229">
        <v>30</v>
      </c>
      <c r="AC1229">
        <v>-62.313200000000002</v>
      </c>
      <c r="AD1229">
        <v>-1.107827103657</v>
      </c>
      <c r="AE1229">
        <v>-1.65119999999996</v>
      </c>
      <c r="AF1229">
        <v>2.2251725078322702</v>
      </c>
      <c r="AG1229">
        <v>-1.107827103657</v>
      </c>
      <c r="AH1229">
        <v>62.275649845045201</v>
      </c>
      <c r="AI1229">
        <v>91.018482445245198</v>
      </c>
      <c r="AJ1229">
        <v>87.953633912876796</v>
      </c>
      <c r="AK1229">
        <v>62.325237562354197</v>
      </c>
      <c r="AL1229">
        <v>93.1642379627433</v>
      </c>
      <c r="AM1229">
        <v>91.429330170704901</v>
      </c>
      <c r="AN1229">
        <v>0.99999996225189403</v>
      </c>
    </row>
    <row r="1230" spans="1:40" x14ac:dyDescent="0.25">
      <c r="A1230" t="str">
        <f>"20190305135604974"</f>
        <v>20190305135604974</v>
      </c>
      <c r="B1230" t="str">
        <f>"1551765364963367"</f>
        <v>1551765364963367</v>
      </c>
      <c r="C1230" t="s">
        <v>40</v>
      </c>
      <c r="D1230">
        <v>4.2616290000000001</v>
      </c>
      <c r="E1230">
        <v>0.51343409999999901</v>
      </c>
      <c r="F1230" t="s">
        <v>55</v>
      </c>
      <c r="G1230">
        <v>-240.18510000000001</v>
      </c>
      <c r="H1230" s="1">
        <v>-1.43829E-6</v>
      </c>
      <c r="I1230">
        <v>282.08170000000001</v>
      </c>
      <c r="J1230">
        <v>-217.95230000000001</v>
      </c>
      <c r="K1230">
        <v>1.1077619999999999</v>
      </c>
      <c r="L1230">
        <v>282.78489999999999</v>
      </c>
      <c r="M1230">
        <v>-0.99808419999999998</v>
      </c>
      <c r="N1230">
        <v>-1.3503860000000001E-3</v>
      </c>
      <c r="O1230">
        <v>-6.1855479999999997E-2</v>
      </c>
      <c r="P1230">
        <v>-0.99461489999999997</v>
      </c>
      <c r="Q1230">
        <v>-5.7902500000000003E-2</v>
      </c>
      <c r="R1230">
        <v>-8.5957480000000003E-2</v>
      </c>
      <c r="S1230">
        <v>-2.999466</v>
      </c>
      <c r="T1230">
        <v>-0.1472077</v>
      </c>
      <c r="U1230">
        <v>-9.6221920000000002E-2</v>
      </c>
      <c r="V1230">
        <v>-2.4297220000000001E-2</v>
      </c>
      <c r="W1230">
        <v>-5.6543110000000001E-2</v>
      </c>
      <c r="X1230">
        <v>0.99810449999999995</v>
      </c>
      <c r="Y1230">
        <v>2.9715020000000002E-2</v>
      </c>
      <c r="Z1230">
        <v>3.6960439999999999E-3</v>
      </c>
      <c r="AA1230">
        <v>0.99955159999999998</v>
      </c>
      <c r="AB1230">
        <v>31</v>
      </c>
      <c r="AC1230">
        <v>-22.232800000000001</v>
      </c>
      <c r="AD1230">
        <v>-1.1077634382899999</v>
      </c>
      <c r="AE1230">
        <v>-0.70319999999998095</v>
      </c>
      <c r="AF1230">
        <v>0.67170242422485504</v>
      </c>
      <c r="AG1230">
        <v>-1.1077634382899999</v>
      </c>
      <c r="AH1230">
        <v>22.178717783058399</v>
      </c>
      <c r="AI1230">
        <v>92.858075610143004</v>
      </c>
      <c r="AJ1230">
        <v>88.265276017274005</v>
      </c>
      <c r="AK1230">
        <v>22.216521925865699</v>
      </c>
      <c r="AL1230">
        <v>93.241410213411399</v>
      </c>
      <c r="AM1230">
        <v>91.394496534418494</v>
      </c>
      <c r="AN1230">
        <v>1.00000003555422</v>
      </c>
    </row>
    <row r="1231" spans="1:40" x14ac:dyDescent="0.25">
      <c r="A1231" t="str">
        <f>"20190305135604995"</f>
        <v>20190305135604995</v>
      </c>
      <c r="B1231" t="str">
        <f>"1551765364982887"</f>
        <v>1551765364982887</v>
      </c>
      <c r="C1231" t="s">
        <v>40</v>
      </c>
      <c r="D1231">
        <v>4.236084</v>
      </c>
      <c r="E1231">
        <v>0.49927169999999998</v>
      </c>
      <c r="F1231" t="s">
        <v>55</v>
      </c>
      <c r="G1231">
        <v>-241.58070000000001</v>
      </c>
      <c r="H1231" s="1">
        <v>-6.9562500000000001E-7</v>
      </c>
      <c r="I1231">
        <v>281.57740000000001</v>
      </c>
      <c r="J1231">
        <v>-218.2654</v>
      </c>
      <c r="K1231">
        <v>1.1076919999999999</v>
      </c>
      <c r="L1231">
        <v>282.76569999999998</v>
      </c>
      <c r="M1231">
        <v>-0.99810500000000002</v>
      </c>
      <c r="N1231">
        <v>-1.3675339999999999E-3</v>
      </c>
      <c r="O1231">
        <v>-6.1521550000000001E-2</v>
      </c>
      <c r="P1231">
        <v>-0.99459169999999997</v>
      </c>
      <c r="Q1231">
        <v>-6.0854310000000002E-2</v>
      </c>
      <c r="R1231">
        <v>-8.4168839999999995E-2</v>
      </c>
      <c r="S1231">
        <v>-2.9948429999999999</v>
      </c>
      <c r="T1231">
        <v>-0.14040629999999901</v>
      </c>
      <c r="U1231">
        <v>-0.15304570000000001</v>
      </c>
      <c r="V1231">
        <v>-2.2855009999999999E-2</v>
      </c>
      <c r="W1231">
        <v>-5.9476380000000002E-2</v>
      </c>
      <c r="X1231">
        <v>0.99796799999999997</v>
      </c>
      <c r="Y1231">
        <v>1.042646E-2</v>
      </c>
      <c r="Z1231">
        <v>3.0454879999999998E-3</v>
      </c>
      <c r="AA1231">
        <v>0.99994099999999997</v>
      </c>
      <c r="AB1231">
        <v>31</v>
      </c>
      <c r="AC1231">
        <v>-23.315300000000001</v>
      </c>
      <c r="AD1231">
        <v>-1.1076926956249999</v>
      </c>
      <c r="AE1231">
        <v>-1.1882999999999599</v>
      </c>
      <c r="AF1231">
        <v>0.24778757073483601</v>
      </c>
      <c r="AG1231">
        <v>-1.1076926956249999</v>
      </c>
      <c r="AH1231">
        <v>23.291804741887301</v>
      </c>
      <c r="AI1231">
        <v>92.722620774807893</v>
      </c>
      <c r="AJ1231">
        <v>89.390487486000893</v>
      </c>
      <c r="AK1231">
        <v>23.3194457464656</v>
      </c>
      <c r="AL1231">
        <v>93.409758011519997</v>
      </c>
      <c r="AM1231">
        <v>91.311932597678805</v>
      </c>
      <c r="AN1231">
        <v>0.99999996014200099</v>
      </c>
    </row>
    <row r="1232" spans="1:40" x14ac:dyDescent="0.25">
      <c r="A1232" t="str">
        <f>"20190305135605019"</f>
        <v>20190305135605019</v>
      </c>
      <c r="B1232" t="str">
        <f>"1551765365013144"</f>
        <v>1551765365013144</v>
      </c>
      <c r="C1232" t="s">
        <v>40</v>
      </c>
      <c r="D1232">
        <v>4.1981669999999998</v>
      </c>
      <c r="E1232">
        <v>0.4994169</v>
      </c>
      <c r="F1232" t="s">
        <v>62</v>
      </c>
      <c r="G1232">
        <v>-383.28699999999998</v>
      </c>
      <c r="H1232">
        <v>1.76032099999999</v>
      </c>
      <c r="I1232">
        <v>267.85000000000002</v>
      </c>
      <c r="J1232">
        <v>-218.60470000000001</v>
      </c>
      <c r="K1232">
        <v>1.1076060000000001</v>
      </c>
      <c r="L1232">
        <v>282.74520000000001</v>
      </c>
      <c r="M1232">
        <v>-0.99812979999999996</v>
      </c>
      <c r="N1232">
        <v>-1.387461E-3</v>
      </c>
      <c r="O1232">
        <v>-6.1115129999999997E-2</v>
      </c>
      <c r="P1232">
        <v>-0.99457969999999896</v>
      </c>
      <c r="Q1232">
        <v>-6.5474610000000003E-2</v>
      </c>
      <c r="R1232">
        <v>-8.0774470000000001E-2</v>
      </c>
      <c r="S1232">
        <v>-2.9941409999999999</v>
      </c>
      <c r="T1232">
        <v>1.1842490000000001E-2</v>
      </c>
      <c r="U1232">
        <v>-0.27062989999999998</v>
      </c>
      <c r="V1232">
        <v>-1.9883629999999999E-2</v>
      </c>
      <c r="W1232">
        <v>-6.4076809999999998E-2</v>
      </c>
      <c r="X1232">
        <v>0.99774689999999999</v>
      </c>
      <c r="Y1232">
        <v>-2.8984920000000001E-2</v>
      </c>
      <c r="Z1232">
        <v>-2.8861719999999998E-4</v>
      </c>
      <c r="AA1232">
        <v>0.99957980000000002</v>
      </c>
      <c r="AB1232">
        <v>31</v>
      </c>
      <c r="AC1232">
        <v>-164.682299999999</v>
      </c>
      <c r="AD1232">
        <v>0.65271499999999905</v>
      </c>
      <c r="AE1232">
        <v>-14.8951999999999</v>
      </c>
      <c r="AF1232">
        <v>-4.8026924159606796</v>
      </c>
      <c r="AG1232">
        <v>0.65271499999999905</v>
      </c>
      <c r="AH1232">
        <v>165.282210198375</v>
      </c>
      <c r="AI1232">
        <v>89.7738302127363</v>
      </c>
      <c r="AJ1232">
        <v>91.664405369553194</v>
      </c>
      <c r="AK1232">
        <v>165.35326092754701</v>
      </c>
      <c r="AL1232">
        <v>93.6738476116264</v>
      </c>
      <c r="AM1232">
        <v>91.141669596022894</v>
      </c>
      <c r="AN1232">
        <v>1.00000003639068</v>
      </c>
    </row>
    <row r="1233" spans="1:40" x14ac:dyDescent="0.25">
      <c r="A1233" t="str">
        <f>"20190305135605039"</f>
        <v>20190305135605039</v>
      </c>
      <c r="B1233" t="str">
        <f>"1551765365032663"</f>
        <v>1551765365032663</v>
      </c>
      <c r="C1233" t="s">
        <v>40</v>
      </c>
      <c r="D1233">
        <v>4.2040519999999999</v>
      </c>
      <c r="E1233">
        <v>0.49963299999999999</v>
      </c>
      <c r="F1233" t="s">
        <v>62</v>
      </c>
      <c r="G1233">
        <v>-385.31319999999999</v>
      </c>
      <c r="H1233">
        <v>0.52083400000000002</v>
      </c>
      <c r="I1233">
        <v>268.36099999999999</v>
      </c>
      <c r="J1233">
        <v>-218.8801</v>
      </c>
      <c r="K1233">
        <v>1.1075429999999999</v>
      </c>
      <c r="L1233">
        <v>282.72859999999997</v>
      </c>
      <c r="M1233">
        <v>-0.99815279999999995</v>
      </c>
      <c r="N1233">
        <v>-1.40474E-3</v>
      </c>
      <c r="O1233">
        <v>-6.0737810000000003E-2</v>
      </c>
      <c r="P1233">
        <v>-0.99457709999999999</v>
      </c>
      <c r="Q1233">
        <v>-7.0297780000000004E-2</v>
      </c>
      <c r="R1233">
        <v>-7.6645039999999998E-2</v>
      </c>
      <c r="S1233">
        <v>-2.9946899999999999</v>
      </c>
      <c r="T1233">
        <v>-1.053929E-2</v>
      </c>
      <c r="U1233">
        <v>-0.25839230000000002</v>
      </c>
      <c r="V1233">
        <v>-1.614881E-2</v>
      </c>
      <c r="W1233">
        <v>-6.8884059999999997E-2</v>
      </c>
      <c r="X1233">
        <v>0.99749399999999999</v>
      </c>
      <c r="Y1233">
        <v>-2.5292269999999999E-2</v>
      </c>
      <c r="Z1233" s="1">
        <v>6.5642659999999998E-5</v>
      </c>
      <c r="AA1233">
        <v>0.99968009999999996</v>
      </c>
      <c r="AB1233">
        <v>31</v>
      </c>
      <c r="AC1233">
        <v>-166.4331</v>
      </c>
      <c r="AD1233">
        <v>-0.58670899999999904</v>
      </c>
      <c r="AE1233">
        <v>-14.3675999999999</v>
      </c>
      <c r="AF1233">
        <v>-4.2322299928939904</v>
      </c>
      <c r="AG1233">
        <v>-0.58670899999999904</v>
      </c>
      <c r="AH1233">
        <v>166.99642059784901</v>
      </c>
      <c r="AI1233">
        <v>90.201231984387107</v>
      </c>
      <c r="AJ1233">
        <v>91.451749806460796</v>
      </c>
      <c r="AK1233">
        <v>167.05107150406801</v>
      </c>
      <c r="AL1233">
        <v>93.949893686394702</v>
      </c>
      <c r="AM1233">
        <v>90.927502154723499</v>
      </c>
      <c r="AN1233">
        <v>1.00000003891124</v>
      </c>
    </row>
    <row r="1234" spans="1:40" x14ac:dyDescent="0.25">
      <c r="A1234" t="str">
        <f>"20190305135605060"</f>
        <v>20190305135605060</v>
      </c>
      <c r="B1234" t="str">
        <f>"1551765365053159"</f>
        <v>1551765365053159</v>
      </c>
      <c r="C1234" t="s">
        <v>40</v>
      </c>
      <c r="D1234">
        <v>4.1963109999999997</v>
      </c>
      <c r="E1234">
        <v>0.49947380000000002</v>
      </c>
      <c r="F1234" t="s">
        <v>43</v>
      </c>
      <c r="G1234">
        <v>-356.91109999999998</v>
      </c>
      <c r="H1234">
        <v>-0.05</v>
      </c>
      <c r="I1234">
        <v>271.48259999999999</v>
      </c>
      <c r="J1234">
        <v>-219.1874</v>
      </c>
      <c r="K1234">
        <v>1.1074600000000001</v>
      </c>
      <c r="L1234">
        <v>282.71030000000002</v>
      </c>
      <c r="M1234">
        <v>-0.99818300000000004</v>
      </c>
      <c r="N1234">
        <v>-1.425475E-3</v>
      </c>
      <c r="O1234">
        <v>-6.0237930000000002E-2</v>
      </c>
      <c r="P1234">
        <v>-0.99465289999999995</v>
      </c>
      <c r="Q1234">
        <v>-7.2220019999999996E-2</v>
      </c>
      <c r="R1234">
        <v>-7.3823410000000006E-2</v>
      </c>
      <c r="S1234">
        <v>-2.9957889999999998</v>
      </c>
      <c r="T1234">
        <v>-2.5122999999999999E-2</v>
      </c>
      <c r="U1234">
        <v>-0.24407960000000001</v>
      </c>
      <c r="V1234">
        <v>-1.383911E-2</v>
      </c>
      <c r="W1234">
        <v>-7.0785520000000005E-2</v>
      </c>
      <c r="X1234">
        <v>0.99739560000000005</v>
      </c>
      <c r="Y1234">
        <v>-2.1019240000000002E-2</v>
      </c>
      <c r="Z1234">
        <v>3.1496980000000001E-4</v>
      </c>
      <c r="AA1234">
        <v>0.99977899999999997</v>
      </c>
      <c r="AB1234">
        <v>31</v>
      </c>
      <c r="AC1234">
        <v>-137.72369999999901</v>
      </c>
      <c r="AD1234">
        <v>-1.1574599999999999</v>
      </c>
      <c r="AE1234">
        <v>-11.2277</v>
      </c>
      <c r="AF1234">
        <v>-2.9109074691604402</v>
      </c>
      <c r="AG1234">
        <v>-1.1574599999999999</v>
      </c>
      <c r="AH1234">
        <v>138.14024128166801</v>
      </c>
      <c r="AI1234">
        <v>90.479956475765803</v>
      </c>
      <c r="AJ1234">
        <v>91.207164775615297</v>
      </c>
      <c r="AK1234">
        <v>138.17575531656499</v>
      </c>
      <c r="AL1234">
        <v>94.059105933543194</v>
      </c>
      <c r="AM1234">
        <v>90.794942063064397</v>
      </c>
      <c r="AN1234">
        <v>1.0000000468533099</v>
      </c>
    </row>
    <row r="1235" spans="1:40" x14ac:dyDescent="0.25">
      <c r="A1235" t="str">
        <f>"20190305135605082"</f>
        <v>20190305135605082</v>
      </c>
      <c r="B1235" t="str">
        <f>"1551765365072679"</f>
        <v>1551765365072679</v>
      </c>
      <c r="C1235" t="s">
        <v>40</v>
      </c>
      <c r="D1235">
        <v>4.222353</v>
      </c>
      <c r="E1235">
        <v>0.4993765</v>
      </c>
      <c r="F1235" t="s">
        <v>55</v>
      </c>
      <c r="G1235">
        <v>-320.03480000000002</v>
      </c>
      <c r="H1235">
        <v>8.0001879999999997E-2</v>
      </c>
      <c r="I1235">
        <v>274.73149999999998</v>
      </c>
      <c r="J1235">
        <v>-219.4941</v>
      </c>
      <c r="K1235">
        <v>1.107359</v>
      </c>
      <c r="L1235">
        <v>282.69240000000002</v>
      </c>
      <c r="M1235">
        <v>-0.99822</v>
      </c>
      <c r="N1235">
        <v>-1.447945E-3</v>
      </c>
      <c r="O1235">
        <v>-5.962361E-2</v>
      </c>
      <c r="P1235">
        <v>-0.99444239999999995</v>
      </c>
      <c r="Q1235">
        <v>-7.6014689999999996E-2</v>
      </c>
      <c r="R1235">
        <v>-7.2845820000000006E-2</v>
      </c>
      <c r="S1235">
        <v>-2.9963069999999998</v>
      </c>
      <c r="T1235">
        <v>-3.052711E-2</v>
      </c>
      <c r="U1235">
        <v>-0.23706050000000001</v>
      </c>
      <c r="V1235">
        <v>-1.3509129999999999E-2</v>
      </c>
      <c r="W1235">
        <v>-7.4555700000000003E-2</v>
      </c>
      <c r="X1235">
        <v>0.99712529999999999</v>
      </c>
      <c r="Y1235">
        <v>-1.9293979999999999E-2</v>
      </c>
      <c r="Z1235">
        <v>4.0746510000000001E-4</v>
      </c>
      <c r="AA1235">
        <v>0.99981379999999997</v>
      </c>
      <c r="AB1235">
        <v>32</v>
      </c>
      <c r="AC1235">
        <v>-100.5407</v>
      </c>
      <c r="AD1235">
        <v>-1.02735712</v>
      </c>
      <c r="AE1235">
        <v>-7.9609000000000298</v>
      </c>
      <c r="AF1235">
        <v>-1.9519293852978199</v>
      </c>
      <c r="AG1235">
        <v>-1.02735712</v>
      </c>
      <c r="AH1235">
        <v>100.826026700356</v>
      </c>
      <c r="AI1235">
        <v>90.5836802821958</v>
      </c>
      <c r="AJ1235">
        <v>91.109072238724195</v>
      </c>
      <c r="AK1235">
        <v>100.85015196398101</v>
      </c>
      <c r="AL1235">
        <v>94.275694503358395</v>
      </c>
      <c r="AM1235">
        <v>90.776200124621099</v>
      </c>
      <c r="AN1235">
        <v>0.99999995644796702</v>
      </c>
    </row>
    <row r="1236" spans="1:40" x14ac:dyDescent="0.25">
      <c r="A1236" t="str">
        <f>"20190305135605104"</f>
        <v>20190305135605104</v>
      </c>
      <c r="B1236" t="str">
        <f>"1551765365093178"</f>
        <v>1551765365093178</v>
      </c>
      <c r="C1236" t="s">
        <v>40</v>
      </c>
      <c r="D1236">
        <v>4.2207540000000003</v>
      </c>
      <c r="E1236">
        <v>0.49915549999999997</v>
      </c>
      <c r="F1236" t="s">
        <v>61</v>
      </c>
      <c r="G1236">
        <v>-304.32819999999998</v>
      </c>
      <c r="H1236" s="1">
        <v>4.7133390000000003E-6</v>
      </c>
      <c r="I1236">
        <v>276.01459999999997</v>
      </c>
      <c r="J1236">
        <v>-219.81129999999999</v>
      </c>
      <c r="K1236">
        <v>1.1072299999999999</v>
      </c>
      <c r="L1236">
        <v>282.67399999999998</v>
      </c>
      <c r="M1236">
        <v>-0.99826649999999995</v>
      </c>
      <c r="N1236">
        <v>-1.4731200000000001E-3</v>
      </c>
      <c r="O1236">
        <v>-5.8837059999999997E-2</v>
      </c>
      <c r="P1236">
        <v>-0.9941065</v>
      </c>
      <c r="Q1236">
        <v>-7.8789799999999993E-2</v>
      </c>
      <c r="R1236">
        <v>-7.4464600000000006E-2</v>
      </c>
      <c r="S1236">
        <v>-2.996521</v>
      </c>
      <c r="T1236">
        <v>-3.9114120000000002E-2</v>
      </c>
      <c r="U1236">
        <v>-0.23587040000000001</v>
      </c>
      <c r="V1236">
        <v>-1.5954869999999999E-2</v>
      </c>
      <c r="W1236">
        <v>-7.7298790000000006E-2</v>
      </c>
      <c r="X1236">
        <v>0.99688030000000005</v>
      </c>
      <c r="Y1236">
        <v>-1.9682439999999999E-2</v>
      </c>
      <c r="Z1236">
        <v>5.3661650000000002E-4</v>
      </c>
      <c r="AA1236">
        <v>0.99980619999999998</v>
      </c>
      <c r="AB1236">
        <v>32</v>
      </c>
      <c r="AC1236">
        <v>-84.516899999999893</v>
      </c>
      <c r="AD1236">
        <v>-1.107225286661</v>
      </c>
      <c r="AE1236">
        <v>-6.6594000000000602</v>
      </c>
      <c r="AF1236">
        <v>-1.6748461777966499</v>
      </c>
      <c r="AG1236">
        <v>-1.107225286661</v>
      </c>
      <c r="AH1236">
        <v>84.747847263270998</v>
      </c>
      <c r="AI1236">
        <v>90.748377049618398</v>
      </c>
      <c r="AJ1236">
        <v>91.132171851995594</v>
      </c>
      <c r="AK1236">
        <v>84.771626581736697</v>
      </c>
      <c r="AL1236">
        <v>94.433316861274307</v>
      </c>
      <c r="AM1236">
        <v>90.916929215749093</v>
      </c>
      <c r="AN1236">
        <v>0.99999999667013495</v>
      </c>
    </row>
    <row r="1237" spans="1:40" x14ac:dyDescent="0.25">
      <c r="A1237" t="str">
        <f>"20190305135605127"</f>
        <v>20190305135605127</v>
      </c>
      <c r="B1237" t="str">
        <f>"1551765365123431"</f>
        <v>1551765365123431</v>
      </c>
      <c r="C1237" t="s">
        <v>40</v>
      </c>
      <c r="D1237">
        <v>4.2696040000000002</v>
      </c>
      <c r="E1237">
        <v>0.4893305</v>
      </c>
      <c r="F1237" t="s">
        <v>61</v>
      </c>
      <c r="G1237">
        <v>-288.66329999999999</v>
      </c>
      <c r="H1237">
        <v>8.0001399999999903E-2</v>
      </c>
      <c r="I1237">
        <v>277.08159999999998</v>
      </c>
      <c r="J1237">
        <v>-220.13740000000001</v>
      </c>
      <c r="K1237">
        <v>1.1070819999999999</v>
      </c>
      <c r="L1237">
        <v>282.65559999999999</v>
      </c>
      <c r="M1237">
        <v>-0.99832480000000001</v>
      </c>
      <c r="N1237">
        <v>-1.5012490000000001E-3</v>
      </c>
      <c r="O1237">
        <v>-5.784181E-2</v>
      </c>
      <c r="P1237">
        <v>-0.99386719999999895</v>
      </c>
      <c r="Q1237">
        <v>-7.955748E-2</v>
      </c>
      <c r="R1237">
        <v>-7.6803389999999999E-2</v>
      </c>
      <c r="S1237">
        <v>-2.9960019999999998</v>
      </c>
      <c r="T1237">
        <v>-4.4698479999999999E-2</v>
      </c>
      <c r="U1237">
        <v>-0.24334720000000001</v>
      </c>
      <c r="V1237">
        <v>-1.9325800000000001E-2</v>
      </c>
      <c r="W1237">
        <v>-7.8027009999999994E-2</v>
      </c>
      <c r="X1237">
        <v>0.99676390000000004</v>
      </c>
      <c r="Y1237">
        <v>-2.3172160000000001E-2</v>
      </c>
      <c r="Z1237">
        <v>5.8387019999999997E-4</v>
      </c>
      <c r="AA1237">
        <v>0.99973129999999999</v>
      </c>
      <c r="AB1237">
        <v>32</v>
      </c>
      <c r="AC1237">
        <v>-68.525899999999893</v>
      </c>
      <c r="AD1237">
        <v>-1.0270805999999999</v>
      </c>
      <c r="AE1237">
        <v>-5.5740000000000096</v>
      </c>
      <c r="AF1237">
        <v>-1.60064466761683</v>
      </c>
      <c r="AG1237">
        <v>-1.0270805999999999</v>
      </c>
      <c r="AH1237">
        <v>68.718245760439302</v>
      </c>
      <c r="AI1237">
        <v>90.856061553440298</v>
      </c>
      <c r="AJ1237">
        <v>91.334341444872805</v>
      </c>
      <c r="AK1237">
        <v>68.744558026821295</v>
      </c>
      <c r="AL1237">
        <v>94.475167241701598</v>
      </c>
      <c r="AM1237">
        <v>91.110742532113804</v>
      </c>
      <c r="AN1237">
        <v>0.99999998658919498</v>
      </c>
    </row>
    <row r="1238" spans="1:40" x14ac:dyDescent="0.25">
      <c r="A1238" t="str">
        <f>"20190305135605147"</f>
        <v>20190305135605147</v>
      </c>
      <c r="B1238" t="str">
        <f>"1551765365142951"</f>
        <v>1551765365142951</v>
      </c>
      <c r="C1238" t="s">
        <v>40</v>
      </c>
      <c r="D1238">
        <v>4.195252</v>
      </c>
      <c r="E1238">
        <v>0.49163119999999999</v>
      </c>
      <c r="F1238" t="s">
        <v>55</v>
      </c>
      <c r="G1238">
        <v>-246.66749999999999</v>
      </c>
      <c r="H1238" s="1">
        <v>2.0113429999999998E-6</v>
      </c>
      <c r="I1238">
        <v>279.77800000000002</v>
      </c>
      <c r="J1238">
        <v>-220.43109999999999</v>
      </c>
      <c r="K1238">
        <v>1.1069359999999999</v>
      </c>
      <c r="L1238">
        <v>282.6395</v>
      </c>
      <c r="M1238">
        <v>-0.99838689999999997</v>
      </c>
      <c r="N1238">
        <v>-1.528349E-3</v>
      </c>
      <c r="O1238">
        <v>-5.6758410000000002E-2</v>
      </c>
      <c r="P1238">
        <v>-0.99375060000000004</v>
      </c>
      <c r="Q1238">
        <v>-7.7083289999999999E-2</v>
      </c>
      <c r="R1238">
        <v>-8.0736929999999998E-2</v>
      </c>
      <c r="S1238">
        <v>-2.9835210000000001</v>
      </c>
      <c r="T1238">
        <v>-0.1244996</v>
      </c>
      <c r="U1238">
        <v>-0.32360840000000002</v>
      </c>
      <c r="V1238">
        <v>-2.436412E-2</v>
      </c>
      <c r="W1238">
        <v>-7.5507950000000004E-2</v>
      </c>
      <c r="X1238">
        <v>0.9968475</v>
      </c>
      <c r="Y1238">
        <v>-5.1231039999999999E-2</v>
      </c>
      <c r="Z1238">
        <v>1.166605E-3</v>
      </c>
      <c r="AA1238">
        <v>0.99868610000000002</v>
      </c>
      <c r="AB1238">
        <v>32</v>
      </c>
      <c r="AC1238">
        <v>-26.2364</v>
      </c>
      <c r="AD1238">
        <v>-1.106933988657</v>
      </c>
      <c r="AE1238">
        <v>-2.8614999999999702</v>
      </c>
      <c r="AF1238">
        <v>-1.3653473579823601</v>
      </c>
      <c r="AG1238">
        <v>-1.106933988657</v>
      </c>
      <c r="AH1238">
        <v>26.310236399159699</v>
      </c>
      <c r="AI1238">
        <v>92.405914836544099</v>
      </c>
      <c r="AJ1238">
        <v>92.970651039695497</v>
      </c>
      <c r="AK1238">
        <v>26.368883473572801</v>
      </c>
      <c r="AL1238">
        <v>94.330408458390806</v>
      </c>
      <c r="AM1238">
        <v>91.400097184669804</v>
      </c>
      <c r="AN1238">
        <v>0.99999999955641306</v>
      </c>
    </row>
    <row r="1239" spans="1:40" x14ac:dyDescent="0.25">
      <c r="A1239" t="str">
        <f>"20190305135605174"</f>
        <v>20190305135605174</v>
      </c>
      <c r="B1239" t="str">
        <f>"1551765365163447"</f>
        <v>1551765365163447</v>
      </c>
      <c r="C1239" t="s">
        <v>40</v>
      </c>
      <c r="D1239">
        <v>4.2003139999999997</v>
      </c>
      <c r="E1239">
        <v>0.4924673</v>
      </c>
      <c r="F1239" t="s">
        <v>55</v>
      </c>
      <c r="G1239">
        <v>-264.6268</v>
      </c>
      <c r="H1239">
        <v>8.0000100000000005E-2</v>
      </c>
      <c r="I1239">
        <v>277.89949999999999</v>
      </c>
      <c r="J1239">
        <v>-220.80670000000001</v>
      </c>
      <c r="K1239">
        <v>1.106717</v>
      </c>
      <c r="L1239">
        <v>282.61959999999999</v>
      </c>
      <c r="M1239">
        <v>-0.99847929999999996</v>
      </c>
      <c r="N1239">
        <v>-1.564899E-3</v>
      </c>
      <c r="O1239">
        <v>-5.5108890000000001E-2</v>
      </c>
      <c r="P1239">
        <v>-0.99354160000000002</v>
      </c>
      <c r="Q1239">
        <v>-7.518917E-2</v>
      </c>
      <c r="R1239">
        <v>-8.4983119999999995E-2</v>
      </c>
      <c r="S1239">
        <v>-2.987457</v>
      </c>
      <c r="T1239">
        <v>-6.941688E-2</v>
      </c>
      <c r="U1239">
        <v>-0.32040410000000002</v>
      </c>
      <c r="V1239">
        <v>-3.0294560000000002E-2</v>
      </c>
      <c r="W1239">
        <v>-7.3549899999999904E-2</v>
      </c>
      <c r="X1239">
        <v>0.99683129999999998</v>
      </c>
      <c r="Y1239">
        <v>-5.1679500000000003E-2</v>
      </c>
      <c r="Z1239">
        <v>5.5000399999999999E-4</v>
      </c>
      <c r="AA1239">
        <v>0.99866350000000004</v>
      </c>
      <c r="AB1239">
        <v>32</v>
      </c>
      <c r="AC1239">
        <v>-43.820099999999996</v>
      </c>
      <c r="AD1239">
        <v>-1.0267169</v>
      </c>
      <c r="AE1239">
        <v>-4.7201000000000004</v>
      </c>
      <c r="AF1239">
        <v>-2.2968010528857801</v>
      </c>
      <c r="AG1239">
        <v>-1.0267169</v>
      </c>
      <c r="AH1239">
        <v>43.989755997449599</v>
      </c>
      <c r="AI1239">
        <v>91.335217451163203</v>
      </c>
      <c r="AJ1239">
        <v>92.988823562062606</v>
      </c>
      <c r="AK1239">
        <v>44.0616394995061</v>
      </c>
      <c r="AL1239">
        <v>94.217907579072801</v>
      </c>
      <c r="AM1239">
        <v>91.740732202062503</v>
      </c>
      <c r="AN1239">
        <v>0.99999999440764598</v>
      </c>
    </row>
    <row r="1240" spans="1:40" x14ac:dyDescent="0.25">
      <c r="A1240" t="str">
        <f>"20190305135605217"</f>
        <v>20190305135605217</v>
      </c>
      <c r="B1240" t="str">
        <f>"1551765365213223"</f>
        <v>1551765365213223</v>
      </c>
      <c r="C1240" t="s">
        <v>40</v>
      </c>
      <c r="D1240">
        <v>4.2753750000000004</v>
      </c>
      <c r="E1240">
        <v>0.49330800000000002</v>
      </c>
      <c r="F1240" t="s">
        <v>61</v>
      </c>
      <c r="G1240">
        <v>-300.28429999999997</v>
      </c>
      <c r="H1240" s="1">
        <v>6.3433239999999997E-6</v>
      </c>
      <c r="I1240">
        <v>273.89909999999998</v>
      </c>
      <c r="J1240">
        <v>-221.4539</v>
      </c>
      <c r="K1240">
        <v>1.106358</v>
      </c>
      <c r="L1240">
        <v>282.58730000000003</v>
      </c>
      <c r="M1240">
        <v>-0.9986621</v>
      </c>
      <c r="N1240">
        <v>-1.6289410000000001E-3</v>
      </c>
      <c r="O1240">
        <v>-5.1684340000000002E-2</v>
      </c>
      <c r="P1240">
        <v>-0.99282550000000003</v>
      </c>
      <c r="Q1240">
        <v>-7.757609E-2</v>
      </c>
      <c r="R1240">
        <v>-9.0990379999999996E-2</v>
      </c>
      <c r="S1240">
        <v>-2.9882970000000002</v>
      </c>
      <c r="T1240">
        <v>-4.1611429999999998E-2</v>
      </c>
      <c r="U1240">
        <v>-0.32788089999999998</v>
      </c>
      <c r="V1240">
        <v>-3.9814629999999997E-2</v>
      </c>
      <c r="W1240">
        <v>-7.5817750000000003E-2</v>
      </c>
      <c r="X1240">
        <v>0.9963265</v>
      </c>
      <c r="Y1240">
        <v>-5.7542950000000002E-2</v>
      </c>
      <c r="Z1240">
        <v>1.863081E-4</v>
      </c>
      <c r="AA1240">
        <v>0.99834299999999998</v>
      </c>
      <c r="AB1240">
        <v>33</v>
      </c>
      <c r="AC1240">
        <v>-78.830399999999898</v>
      </c>
      <c r="AD1240">
        <v>-1.1063516566760001</v>
      </c>
      <c r="AE1240">
        <v>-8.6882000000000499</v>
      </c>
      <c r="AF1240">
        <v>-4.6013897080523298</v>
      </c>
      <c r="AG1240">
        <v>-1.1063516566760001</v>
      </c>
      <c r="AH1240">
        <v>79.158680399515504</v>
      </c>
      <c r="AI1240">
        <v>90.799386123457097</v>
      </c>
      <c r="AJ1240">
        <v>93.326784473895501</v>
      </c>
      <c r="AK1240">
        <v>79.3000219661145</v>
      </c>
      <c r="AL1240">
        <v>94.348209650482005</v>
      </c>
      <c r="AM1240">
        <v>92.288403574360402</v>
      </c>
      <c r="AN1240">
        <v>1.00000001528967</v>
      </c>
    </row>
    <row r="1241" spans="1:40" x14ac:dyDescent="0.25">
      <c r="A1241" t="str">
        <f>"20190305135605238"</f>
        <v>20190305135605238</v>
      </c>
      <c r="B1241" t="str">
        <f>"1551765365232743"</f>
        <v>1551765365232743</v>
      </c>
      <c r="C1241" t="s">
        <v>40</v>
      </c>
      <c r="D1241">
        <v>4.2873380000000001</v>
      </c>
      <c r="E1241">
        <v>0.49335770000000001</v>
      </c>
      <c r="F1241" t="s">
        <v>61</v>
      </c>
      <c r="G1241">
        <v>-289.8562</v>
      </c>
      <c r="H1241">
        <v>8.0002039999999996E-2</v>
      </c>
      <c r="I1241">
        <v>274.82409999999999</v>
      </c>
      <c r="J1241">
        <v>-221.7576</v>
      </c>
      <c r="K1241">
        <v>1.1062259999999999</v>
      </c>
      <c r="L1241">
        <v>282.57310000000001</v>
      </c>
      <c r="M1241">
        <v>-0.99875320000000001</v>
      </c>
      <c r="N1241">
        <v>-1.6578719999999999E-3</v>
      </c>
      <c r="O1241">
        <v>-4.9893260000000002E-2</v>
      </c>
      <c r="P1241">
        <v>-0.99277649999999995</v>
      </c>
      <c r="Q1241">
        <v>-7.8271530000000006E-2</v>
      </c>
      <c r="R1241">
        <v>-9.0932139999999995E-2</v>
      </c>
      <c r="S1241">
        <v>-2.9871059999999998</v>
      </c>
      <c r="T1241">
        <v>-4.482067E-2</v>
      </c>
      <c r="U1241">
        <v>-0.33901979999999998</v>
      </c>
      <c r="V1241">
        <v>-4.1569849999999998E-2</v>
      </c>
      <c r="W1241">
        <v>-7.6466300000000001E-2</v>
      </c>
      <c r="X1241">
        <v>0.99620520000000001</v>
      </c>
      <c r="Y1241">
        <v>-6.3051499999999996E-2</v>
      </c>
      <c r="Z1241">
        <v>1.3897549999999901E-4</v>
      </c>
      <c r="AA1241">
        <v>0.99801030000000002</v>
      </c>
      <c r="AB1241">
        <v>33</v>
      </c>
      <c r="AC1241">
        <v>-68.098600000000005</v>
      </c>
      <c r="AD1241">
        <v>-1.0262239599999901</v>
      </c>
      <c r="AE1241">
        <v>-7.7490000000000201</v>
      </c>
      <c r="AF1241">
        <v>-4.3407101165822599</v>
      </c>
      <c r="AG1241">
        <v>-1.0262239599999901</v>
      </c>
      <c r="AH1241">
        <v>68.385078749055694</v>
      </c>
      <c r="AI1241">
        <v>90.858020833470604</v>
      </c>
      <c r="AJ1241">
        <v>93.631949662728402</v>
      </c>
      <c r="AK1241">
        <v>68.530386657648606</v>
      </c>
      <c r="AL1241">
        <v>94.385477197695593</v>
      </c>
      <c r="AM1241">
        <v>92.3894635214033</v>
      </c>
      <c r="AN1241">
        <v>0.99999997398587503</v>
      </c>
    </row>
    <row r="1242" spans="1:40" x14ac:dyDescent="0.25">
      <c r="A1242" t="str">
        <f>"20190305135605261"</f>
        <v>20190305135605261</v>
      </c>
      <c r="B1242" t="str">
        <f>"1551765365253239"</f>
        <v>1551765365253239</v>
      </c>
      <c r="C1242" t="s">
        <v>40</v>
      </c>
      <c r="D1242">
        <v>4.6718799999999998</v>
      </c>
      <c r="E1242">
        <v>0.49346030000000002</v>
      </c>
      <c r="F1242" t="s">
        <v>55</v>
      </c>
      <c r="G1242">
        <v>-271.70359999999999</v>
      </c>
      <c r="H1242">
        <v>8.0001299999999997E-2</v>
      </c>
      <c r="I1242">
        <v>276.93380000000002</v>
      </c>
      <c r="J1242">
        <v>-222.10640000000001</v>
      </c>
      <c r="K1242">
        <v>1.1061000000000001</v>
      </c>
      <c r="L1242">
        <v>282.55759999999998</v>
      </c>
      <c r="M1242">
        <v>-0.99885849999999998</v>
      </c>
      <c r="N1242">
        <v>-1.690155E-3</v>
      </c>
      <c r="O1242">
        <v>-4.774051E-2</v>
      </c>
      <c r="P1242">
        <v>-0.99308649999999998</v>
      </c>
      <c r="Q1242">
        <v>-7.8504409999999997E-2</v>
      </c>
      <c r="R1242">
        <v>-8.7272870000000002E-2</v>
      </c>
      <c r="S1242">
        <v>-2.9861149999999999</v>
      </c>
      <c r="T1242">
        <v>-6.1354760000000001E-2</v>
      </c>
      <c r="U1242">
        <v>-0.33715820000000002</v>
      </c>
      <c r="V1242">
        <v>-4.0069069999999998E-2</v>
      </c>
      <c r="W1242">
        <v>-7.6661419999999994E-2</v>
      </c>
      <c r="X1242">
        <v>0.99625169999999996</v>
      </c>
      <c r="Y1242">
        <v>-6.4622509999999994E-2</v>
      </c>
      <c r="Z1242">
        <v>1.7975519999999999E-4</v>
      </c>
      <c r="AA1242">
        <v>0.99790979999999996</v>
      </c>
      <c r="AB1242">
        <v>33</v>
      </c>
      <c r="AC1242">
        <v>-49.597200000000001</v>
      </c>
      <c r="AD1242">
        <v>-1.0260986999999999</v>
      </c>
      <c r="AE1242">
        <v>-5.6237999999999504</v>
      </c>
      <c r="AF1242">
        <v>-3.2482162850547098</v>
      </c>
      <c r="AG1242">
        <v>-1.0260986999999999</v>
      </c>
      <c r="AH1242">
        <v>49.788091369389697</v>
      </c>
      <c r="AI1242">
        <v>91.1781559451981</v>
      </c>
      <c r="AJ1242">
        <v>93.732734110213997</v>
      </c>
      <c r="AK1242">
        <v>49.904487070636598</v>
      </c>
      <c r="AL1242">
        <v>94.3966896506372</v>
      </c>
      <c r="AM1242">
        <v>92.303184912593196</v>
      </c>
      <c r="AN1242">
        <v>0.99999997671998497</v>
      </c>
    </row>
    <row r="1243" spans="1:40" x14ac:dyDescent="0.25">
      <c r="A1243" t="str">
        <f>"20190305135605284"</f>
        <v>20190305135605284</v>
      </c>
      <c r="B1243" t="str">
        <f>"1551765365273735"</f>
        <v>1551765365273735</v>
      </c>
      <c r="C1243" t="s">
        <v>40</v>
      </c>
      <c r="D1243">
        <v>4.2512619999999997</v>
      </c>
      <c r="E1243">
        <v>0.49339230000000001</v>
      </c>
      <c r="F1243" t="s">
        <v>55</v>
      </c>
      <c r="G1243">
        <v>-267.40640000000002</v>
      </c>
      <c r="H1243">
        <v>8.0000760000000004E-2</v>
      </c>
      <c r="I1243">
        <v>277.64109999999999</v>
      </c>
      <c r="J1243">
        <v>-222.4571</v>
      </c>
      <c r="K1243">
        <v>1.1059909999999999</v>
      </c>
      <c r="L1243">
        <v>282.54270000000002</v>
      </c>
      <c r="M1243">
        <v>-0.99896249999999998</v>
      </c>
      <c r="N1243">
        <v>-1.721902E-3</v>
      </c>
      <c r="O1243">
        <v>-4.5509510000000003E-2</v>
      </c>
      <c r="P1243">
        <v>-0.99327010000000004</v>
      </c>
      <c r="Q1243">
        <v>-8.0903829999999996E-2</v>
      </c>
      <c r="R1243">
        <v>-8.2882709999999998E-2</v>
      </c>
      <c r="S1243">
        <v>-2.9870450000000002</v>
      </c>
      <c r="T1243">
        <v>-6.7660090000000006E-2</v>
      </c>
      <c r="U1243">
        <v>-0.32418819999999998</v>
      </c>
      <c r="V1243">
        <v>-3.7927059999999999E-2</v>
      </c>
      <c r="W1243">
        <v>-7.9029559999999999E-2</v>
      </c>
      <c r="X1243">
        <v>0.9961506</v>
      </c>
      <c r="Y1243">
        <v>-6.2534900000000004E-2</v>
      </c>
      <c r="Z1243">
        <v>1.8851849999999999E-4</v>
      </c>
      <c r="AA1243">
        <v>0.99804280000000001</v>
      </c>
      <c r="AB1243">
        <v>33</v>
      </c>
      <c r="AC1243">
        <v>-44.949300000000001</v>
      </c>
      <c r="AD1243">
        <v>-1.0259902400000001</v>
      </c>
      <c r="AE1243">
        <v>-4.9016000000000304</v>
      </c>
      <c r="AF1243">
        <v>-2.84943085761999</v>
      </c>
      <c r="AG1243">
        <v>-1.0259902400000001</v>
      </c>
      <c r="AH1243">
        <v>45.102575422630999</v>
      </c>
      <c r="AI1243">
        <v>91.3005437026886</v>
      </c>
      <c r="AJ1243">
        <v>93.614952642671994</v>
      </c>
      <c r="AK1243">
        <v>45.204139433674001</v>
      </c>
      <c r="AL1243">
        <v>94.532786661160401</v>
      </c>
      <c r="AM1243">
        <v>92.180404605911704</v>
      </c>
      <c r="AN1243">
        <v>1.0000000755571901</v>
      </c>
    </row>
    <row r="1244" spans="1:40" x14ac:dyDescent="0.25">
      <c r="A1244" t="str">
        <f>"20190305135605305"</f>
        <v>20190305135605305</v>
      </c>
      <c r="B1244" t="str">
        <f>"1551765365293255"</f>
        <v>1551765365293255</v>
      </c>
      <c r="C1244" t="s">
        <v>40</v>
      </c>
      <c r="D1244">
        <v>4.2430320000000004</v>
      </c>
      <c r="E1244">
        <v>0.49347160000000001</v>
      </c>
      <c r="F1244" t="s">
        <v>55</v>
      </c>
      <c r="G1244">
        <v>-259.65980000000002</v>
      </c>
      <c r="H1244">
        <v>8.0000089999999996E-2</v>
      </c>
      <c r="I1244">
        <v>278.67349999999999</v>
      </c>
      <c r="J1244">
        <v>-222.7893</v>
      </c>
      <c r="K1244">
        <v>1.1058969999999999</v>
      </c>
      <c r="L1244">
        <v>282.52940000000001</v>
      </c>
      <c r="M1244">
        <v>-0.999058</v>
      </c>
      <c r="N1244">
        <v>-1.751627E-3</v>
      </c>
      <c r="O1244">
        <v>-4.3362020000000001E-2</v>
      </c>
      <c r="P1244">
        <v>-0.99310929999999997</v>
      </c>
      <c r="Q1244">
        <v>-8.7212120000000004E-2</v>
      </c>
      <c r="R1244">
        <v>-7.8285140000000003E-2</v>
      </c>
      <c r="S1244">
        <v>-2.9876860000000001</v>
      </c>
      <c r="T1244">
        <v>-8.2395670000000004E-2</v>
      </c>
      <c r="U1244">
        <v>-0.31073000000000001</v>
      </c>
      <c r="V1244">
        <v>-3.5522079999999998E-2</v>
      </c>
      <c r="W1244">
        <v>-8.5313310000000003E-2</v>
      </c>
      <c r="X1244">
        <v>0.99572070000000001</v>
      </c>
      <c r="Y1244">
        <v>-6.020905E-2</v>
      </c>
      <c r="Z1244">
        <v>2.3493719999999999E-4</v>
      </c>
      <c r="AA1244">
        <v>0.99818580000000001</v>
      </c>
      <c r="AB1244">
        <v>33</v>
      </c>
      <c r="AC1244">
        <v>-36.8705</v>
      </c>
      <c r="AD1244">
        <v>-1.0258969099999999</v>
      </c>
      <c r="AE1244">
        <v>-3.8559000000000201</v>
      </c>
      <c r="AF1244">
        <v>-2.2517671496673</v>
      </c>
      <c r="AG1244">
        <v>-1.0258969099999999</v>
      </c>
      <c r="AH1244">
        <v>36.974704411862902</v>
      </c>
      <c r="AI1244">
        <v>91.586378346876302</v>
      </c>
      <c r="AJ1244">
        <v>93.485020625442203</v>
      </c>
      <c r="AK1244">
        <v>37.057410677365198</v>
      </c>
      <c r="AL1244">
        <v>94.894041921291603</v>
      </c>
      <c r="AM1244">
        <v>92.043145737057699</v>
      </c>
      <c r="AN1244">
        <v>0.99999994571958395</v>
      </c>
    </row>
    <row r="1245" spans="1:40" x14ac:dyDescent="0.25">
      <c r="A1245" t="str">
        <f>"20190305135605327"</f>
        <v>20190305135605327</v>
      </c>
      <c r="B1245" t="str">
        <f>"1551765365323511"</f>
        <v>1551765365323511</v>
      </c>
      <c r="C1245" t="s">
        <v>40</v>
      </c>
      <c r="D1245">
        <v>4.1412089999999999</v>
      </c>
      <c r="E1245">
        <v>0.49396630000000002</v>
      </c>
      <c r="F1245" t="s">
        <v>55</v>
      </c>
      <c r="G1245">
        <v>-252.19380000000001</v>
      </c>
      <c r="H1245">
        <v>5.0827810000000001E-2</v>
      </c>
      <c r="I1245">
        <v>279.6155</v>
      </c>
      <c r="J1245">
        <v>-223.11449999999999</v>
      </c>
      <c r="K1245">
        <v>1.1058209999999999</v>
      </c>
      <c r="L1245">
        <v>282.51710000000003</v>
      </c>
      <c r="M1245">
        <v>-0.99914740000000002</v>
      </c>
      <c r="N1245">
        <v>-1.780638E-3</v>
      </c>
      <c r="O1245">
        <v>-4.1246669999999999E-2</v>
      </c>
      <c r="P1245">
        <v>-0.99330700000000005</v>
      </c>
      <c r="Q1245">
        <v>-8.9147630000000005E-2</v>
      </c>
      <c r="R1245">
        <v>-7.3442259999999995E-2</v>
      </c>
      <c r="S1245">
        <v>-2.988083</v>
      </c>
      <c r="T1245">
        <v>-0.10721609999999999</v>
      </c>
      <c r="U1245">
        <v>-0.29611209999999999</v>
      </c>
      <c r="V1245">
        <v>-3.2803029999999997E-2</v>
      </c>
      <c r="W1245">
        <v>-8.7227810000000003E-2</v>
      </c>
      <c r="X1245">
        <v>0.99564810000000004</v>
      </c>
      <c r="Y1245">
        <v>-5.747033E-2</v>
      </c>
      <c r="Z1245">
        <v>3.2201730000000001E-4</v>
      </c>
      <c r="AA1245">
        <v>0.99834719999999999</v>
      </c>
      <c r="AB1245">
        <v>34</v>
      </c>
      <c r="AC1245">
        <v>-29.0793</v>
      </c>
      <c r="AD1245">
        <v>-1.05499319</v>
      </c>
      <c r="AE1245">
        <v>-2.9016000000000299</v>
      </c>
      <c r="AF1245">
        <v>-1.69749225001695</v>
      </c>
      <c r="AG1245">
        <v>-1.05499319</v>
      </c>
      <c r="AH1245">
        <v>29.1362628678304</v>
      </c>
      <c r="AI1245">
        <v>92.070206085351998</v>
      </c>
      <c r="AJ1245">
        <v>93.334309689632903</v>
      </c>
      <c r="AK1245">
        <v>29.204730857741701</v>
      </c>
      <c r="AL1245">
        <v>95.004145264690806</v>
      </c>
      <c r="AM1245">
        <v>91.887007649980603</v>
      </c>
      <c r="AN1245">
        <v>0.99999993432409096</v>
      </c>
    </row>
    <row r="1246" spans="1:40" x14ac:dyDescent="0.25">
      <c r="A1246" t="str">
        <f>"20190305135605350"</f>
        <v>20190305135605350</v>
      </c>
      <c r="B1246" t="str">
        <f>"1551765365343031"</f>
        <v>1551765365343031</v>
      </c>
      <c r="C1246" t="s">
        <v>40</v>
      </c>
      <c r="D1246">
        <v>4.5154639999999997</v>
      </c>
      <c r="E1246">
        <v>0.49418210000000001</v>
      </c>
      <c r="F1246" t="s">
        <v>55</v>
      </c>
      <c r="G1246">
        <v>-253.48740000000001</v>
      </c>
      <c r="H1246" s="1">
        <v>3.190215E-7</v>
      </c>
      <c r="I1246">
        <v>279.69159999999999</v>
      </c>
      <c r="J1246">
        <v>-223.46</v>
      </c>
      <c r="K1246">
        <v>1.1057680000000001</v>
      </c>
      <c r="L1246">
        <v>282.50470000000001</v>
      </c>
      <c r="M1246">
        <v>-0.99923779999999995</v>
      </c>
      <c r="N1246">
        <v>-1.8116409999999999E-3</v>
      </c>
      <c r="O1246">
        <v>-3.8998379999999999E-2</v>
      </c>
      <c r="P1246">
        <v>-0.99384459999999997</v>
      </c>
      <c r="Q1246">
        <v>-8.789015E-2</v>
      </c>
      <c r="R1246">
        <v>-6.7442080000000001E-2</v>
      </c>
      <c r="S1246">
        <v>-2.9898989999999999</v>
      </c>
      <c r="T1246">
        <v>-0.1088566</v>
      </c>
      <c r="U1246">
        <v>-0.27813719999999997</v>
      </c>
      <c r="V1246">
        <v>-2.902977E-2</v>
      </c>
      <c r="W1246">
        <v>-8.5952769999999998E-2</v>
      </c>
      <c r="X1246">
        <v>0.99587619999999999</v>
      </c>
      <c r="Y1246">
        <v>-5.3710550000000003E-2</v>
      </c>
      <c r="Z1246">
        <v>3.20804E-4</v>
      </c>
      <c r="AA1246">
        <v>0.99855649999999996</v>
      </c>
      <c r="AB1246">
        <v>34</v>
      </c>
      <c r="AC1246">
        <v>-30.0274</v>
      </c>
      <c r="AD1246">
        <v>-1.1057676809785</v>
      </c>
      <c r="AE1246">
        <v>-2.8131000000000199</v>
      </c>
      <c r="AF1246">
        <v>-1.63773669992895</v>
      </c>
      <c r="AG1246">
        <v>-1.1057676809785</v>
      </c>
      <c r="AH1246">
        <v>30.073835452890599</v>
      </c>
      <c r="AI1246">
        <v>92.102614583194097</v>
      </c>
      <c r="AJ1246">
        <v>93.117088497891004</v>
      </c>
      <c r="AK1246">
        <v>30.138687471589201</v>
      </c>
      <c r="AL1246">
        <v>94.9308150635065</v>
      </c>
      <c r="AM1246">
        <v>91.6696979325516</v>
      </c>
      <c r="AN1246">
        <v>1.00000000597168</v>
      </c>
    </row>
    <row r="1247" spans="1:40" x14ac:dyDescent="0.25">
      <c r="A1247" t="str">
        <f>"20190305135605375"</f>
        <v>20190305135605375</v>
      </c>
      <c r="B1247" t="str">
        <f>"1551765365363527"</f>
        <v>1551765365363527</v>
      </c>
      <c r="C1247" t="s">
        <v>40</v>
      </c>
      <c r="D1247">
        <v>4.2561249999999999</v>
      </c>
      <c r="E1247">
        <v>0.49407190000000001</v>
      </c>
      <c r="F1247" t="s">
        <v>55</v>
      </c>
      <c r="G1247">
        <v>-253.9145</v>
      </c>
      <c r="H1247" s="1">
        <v>5.4630329999999997E-7</v>
      </c>
      <c r="I1247">
        <v>279.8716</v>
      </c>
      <c r="J1247">
        <v>-223.84549999999999</v>
      </c>
      <c r="K1247">
        <v>1.105728</v>
      </c>
      <c r="L1247">
        <v>282.49180000000001</v>
      </c>
      <c r="M1247">
        <v>-0.9993322</v>
      </c>
      <c r="N1247">
        <v>-1.846662E-3</v>
      </c>
      <c r="O1247">
        <v>-3.649579E-2</v>
      </c>
      <c r="P1247">
        <v>-0.99416490000000002</v>
      </c>
      <c r="Q1247">
        <v>-8.7597999999999995E-2</v>
      </c>
      <c r="R1247">
        <v>-6.2952309999999997E-2</v>
      </c>
      <c r="S1247">
        <v>-2.9914399999999999</v>
      </c>
      <c r="T1247">
        <v>-0.1086159</v>
      </c>
      <c r="U1247">
        <v>-0.25863649999999999</v>
      </c>
      <c r="V1247">
        <v>-2.703268E-2</v>
      </c>
      <c r="W1247">
        <v>-8.5632059999999996E-2</v>
      </c>
      <c r="X1247">
        <v>0.99596010000000001</v>
      </c>
      <c r="Y1247">
        <v>-4.9707260000000003E-2</v>
      </c>
      <c r="Z1247">
        <v>3.0776419999999999E-4</v>
      </c>
      <c r="AA1247">
        <v>0.99876379999999998</v>
      </c>
      <c r="AB1247">
        <v>34</v>
      </c>
      <c r="AC1247">
        <v>-30.068999999999999</v>
      </c>
      <c r="AD1247">
        <v>-1.1057274536966999</v>
      </c>
      <c r="AE1247">
        <v>-2.6202000000000099</v>
      </c>
      <c r="AF1247">
        <v>-1.51902213967595</v>
      </c>
      <c r="AG1247">
        <v>-1.1057274536966999</v>
      </c>
      <c r="AH1247">
        <v>30.1041928663515</v>
      </c>
      <c r="AI1247">
        <v>92.100858833610005</v>
      </c>
      <c r="AJ1247">
        <v>92.888627688513495</v>
      </c>
      <c r="AK1247">
        <v>30.1627666104615</v>
      </c>
      <c r="AL1247">
        <v>94.912371428014396</v>
      </c>
      <c r="AM1247">
        <v>91.554759362095496</v>
      </c>
      <c r="AN1247">
        <v>1.0000000681399099</v>
      </c>
    </row>
    <row r="1248" spans="1:40" x14ac:dyDescent="0.25">
      <c r="A1248" t="str">
        <f>"20190305135605396"</f>
        <v>20190305135605396</v>
      </c>
      <c r="B1248" t="str">
        <f>"1551765365393314"</f>
        <v>1551765365393314</v>
      </c>
      <c r="C1248" t="s">
        <v>40</v>
      </c>
      <c r="D1248">
        <v>4.2893749999999997</v>
      </c>
      <c r="E1248">
        <v>0.49366500000000002</v>
      </c>
      <c r="F1248" t="s">
        <v>55</v>
      </c>
      <c r="G1248">
        <v>-253.22810000000001</v>
      </c>
      <c r="H1248" s="1">
        <v>1.8101970000000001E-7</v>
      </c>
      <c r="I1248">
        <v>280.07850000000002</v>
      </c>
      <c r="J1248">
        <v>-224.1644</v>
      </c>
      <c r="K1248">
        <v>1.1056999999999999</v>
      </c>
      <c r="L1248">
        <v>282.4819</v>
      </c>
      <c r="M1248">
        <v>-0.9994054</v>
      </c>
      <c r="N1248">
        <v>-1.876129E-3</v>
      </c>
      <c r="O1248">
        <v>-3.443032E-2</v>
      </c>
      <c r="P1248">
        <v>-0.99441089999999999</v>
      </c>
      <c r="Q1248">
        <v>-8.6238620000000002E-2</v>
      </c>
      <c r="R1248">
        <v>-6.0909570000000003E-2</v>
      </c>
      <c r="S1248">
        <v>-2.9921419999999999</v>
      </c>
      <c r="T1248">
        <v>-0.1126006</v>
      </c>
      <c r="U1248">
        <v>-0.24575810000000001</v>
      </c>
      <c r="V1248">
        <v>-2.704113E-2</v>
      </c>
      <c r="W1248">
        <v>-8.4241010000000005E-2</v>
      </c>
      <c r="X1248">
        <v>0.99607840000000003</v>
      </c>
      <c r="Y1248">
        <v>-4.7482290000000003E-2</v>
      </c>
      <c r="Z1248">
        <v>2.9166009999999999E-4</v>
      </c>
      <c r="AA1248">
        <v>0.99887199999999998</v>
      </c>
      <c r="AB1248">
        <v>34</v>
      </c>
      <c r="AC1248">
        <v>-29.063700000000001</v>
      </c>
      <c r="AD1248">
        <v>-1.1056998189803</v>
      </c>
      <c r="AE1248">
        <v>-2.4033999999999698</v>
      </c>
      <c r="AF1248">
        <v>-1.3992893269267701</v>
      </c>
      <c r="AG1248">
        <v>-1.1056998189803</v>
      </c>
      <c r="AH1248">
        <v>29.087404435021401</v>
      </c>
      <c r="AI1248">
        <v>92.174424759919305</v>
      </c>
      <c r="AJ1248">
        <v>92.754168469160007</v>
      </c>
      <c r="AK1248">
        <v>29.142026001577999</v>
      </c>
      <c r="AL1248">
        <v>94.832381529264893</v>
      </c>
      <c r="AM1248">
        <v>91.555060498155299</v>
      </c>
      <c r="AN1248">
        <v>0.99999997471202795</v>
      </c>
    </row>
    <row r="1249" spans="1:40" x14ac:dyDescent="0.25">
      <c r="A1249" t="str">
        <f>"20190305135605418"</f>
        <v>20190305135605418</v>
      </c>
      <c r="B1249" t="str">
        <f>"1551765365412835"</f>
        <v>1551765365412835</v>
      </c>
      <c r="C1249" t="s">
        <v>40</v>
      </c>
      <c r="D1249">
        <v>4.2965679999999997</v>
      </c>
      <c r="E1249">
        <v>0.49334850000000002</v>
      </c>
      <c r="F1249" t="s">
        <v>55</v>
      </c>
      <c r="G1249">
        <v>-252.95590000000001</v>
      </c>
      <c r="H1249" s="1">
        <v>3.6196069999999998E-8</v>
      </c>
      <c r="I1249">
        <v>280.14640000000003</v>
      </c>
      <c r="J1249">
        <v>-224.52600000000001</v>
      </c>
      <c r="K1249">
        <v>1.1056809999999999</v>
      </c>
      <c r="L1249">
        <v>282.47140000000002</v>
      </c>
      <c r="M1249">
        <v>-0.99948309999999996</v>
      </c>
      <c r="N1249">
        <v>-1.910176E-3</v>
      </c>
      <c r="O1249">
        <v>-3.2091620000000001E-2</v>
      </c>
      <c r="P1249">
        <v>-0.99466259999999995</v>
      </c>
      <c r="Q1249">
        <v>-8.3782140000000005E-2</v>
      </c>
      <c r="R1249">
        <v>-6.022483E-2</v>
      </c>
      <c r="S1249">
        <v>-2.992035</v>
      </c>
      <c r="T1249">
        <v>-0.1149054</v>
      </c>
      <c r="U1249">
        <v>-0.24270630000000001</v>
      </c>
      <c r="V1249">
        <v>-2.867337E-2</v>
      </c>
      <c r="W1249">
        <v>-8.1740110000000005E-2</v>
      </c>
      <c r="X1249">
        <v>0.99624120000000005</v>
      </c>
      <c r="Y1249">
        <v>-4.8807330000000003E-2</v>
      </c>
      <c r="Z1249">
        <v>1.8618009999999999E-4</v>
      </c>
      <c r="AA1249">
        <v>0.99880820000000003</v>
      </c>
      <c r="AB1249">
        <v>35</v>
      </c>
      <c r="AC1249">
        <v>-28.4299</v>
      </c>
      <c r="AD1249">
        <v>-1.10568096380393</v>
      </c>
      <c r="AE1249">
        <v>-2.3249999999999802</v>
      </c>
      <c r="AF1249">
        <v>-1.40932173938573</v>
      </c>
      <c r="AG1249">
        <v>-1.10568096380393</v>
      </c>
      <c r="AH1249">
        <v>28.4471279743635</v>
      </c>
      <c r="AI1249">
        <v>92.223124100461803</v>
      </c>
      <c r="AJ1249">
        <v>92.836216799643296</v>
      </c>
      <c r="AK1249">
        <v>28.503470107140199</v>
      </c>
      <c r="AL1249">
        <v>94.688594015685894</v>
      </c>
      <c r="AM1249">
        <v>91.648606455564703</v>
      </c>
      <c r="AN1249">
        <v>1.0000000681537</v>
      </c>
    </row>
    <row r="1250" spans="1:40" x14ac:dyDescent="0.25">
      <c r="A1250" t="str">
        <f>"20190305135605439"</f>
        <v>20190305135605439</v>
      </c>
      <c r="B1250" t="str">
        <f>"1551765365433331"</f>
        <v>1551765365433331</v>
      </c>
      <c r="C1250" t="s">
        <v>40</v>
      </c>
      <c r="D1250">
        <v>4.3892720000000001</v>
      </c>
      <c r="E1250">
        <v>0.49345</v>
      </c>
      <c r="F1250" t="s">
        <v>55</v>
      </c>
      <c r="G1250">
        <v>-253.7217</v>
      </c>
      <c r="H1250" s="1">
        <v>4.4373610000000002E-7</v>
      </c>
      <c r="I1250">
        <v>280.10300000000001</v>
      </c>
      <c r="J1250">
        <v>-224.8356</v>
      </c>
      <c r="K1250">
        <v>1.105664</v>
      </c>
      <c r="L1250">
        <v>282.4631</v>
      </c>
      <c r="M1250">
        <v>-0.99954549999999998</v>
      </c>
      <c r="N1250">
        <v>-1.9399109999999999E-3</v>
      </c>
      <c r="O1250">
        <v>-3.0084670000000001E-2</v>
      </c>
      <c r="P1250">
        <v>-0.99477519999999997</v>
      </c>
      <c r="Q1250">
        <v>-8.1524079999999999E-2</v>
      </c>
      <c r="R1250">
        <v>-6.1449169999999997E-2</v>
      </c>
      <c r="S1250">
        <v>-2.9918520000000002</v>
      </c>
      <c r="T1250">
        <v>-0.1133054</v>
      </c>
      <c r="U1250">
        <v>-0.24270630000000001</v>
      </c>
      <c r="V1250">
        <v>-3.1888100000000003E-2</v>
      </c>
      <c r="W1250">
        <v>-7.9434199999999996E-2</v>
      </c>
      <c r="X1250">
        <v>0.99633000000000005</v>
      </c>
      <c r="Y1250">
        <v>-5.0815230000000003E-2</v>
      </c>
      <c r="Z1250" s="1">
        <v>6.8639350000000002E-5</v>
      </c>
      <c r="AA1250">
        <v>0.99870809999999999</v>
      </c>
      <c r="AB1250">
        <v>35</v>
      </c>
      <c r="AC1250">
        <v>-28.886099999999999</v>
      </c>
      <c r="AD1250">
        <v>-1.1056635562638999</v>
      </c>
      <c r="AE1250">
        <v>-2.3600999999999801</v>
      </c>
      <c r="AF1250">
        <v>-1.48783593149143</v>
      </c>
      <c r="AG1250">
        <v>-1.1056635562638999</v>
      </c>
      <c r="AH1250">
        <v>28.901964170649201</v>
      </c>
      <c r="AI1250">
        <v>92.1879248876932</v>
      </c>
      <c r="AJ1250">
        <v>92.946911689888907</v>
      </c>
      <c r="AK1250">
        <v>28.9613480449405</v>
      </c>
      <c r="AL1250">
        <v>94.556044029117302</v>
      </c>
      <c r="AM1250">
        <v>91.833157767821106</v>
      </c>
      <c r="AN1250">
        <v>1.0000000559756199</v>
      </c>
    </row>
    <row r="1251" spans="1:40" x14ac:dyDescent="0.25">
      <c r="A1251" t="str">
        <f>"20190305135605461"</f>
        <v>20190305135605461</v>
      </c>
      <c r="B1251" t="str">
        <f>"1551765365452850"</f>
        <v>1551765365452850</v>
      </c>
      <c r="C1251" t="s">
        <v>40</v>
      </c>
      <c r="D1251">
        <v>4.1662759999999999</v>
      </c>
      <c r="E1251">
        <v>0.49358780000000002</v>
      </c>
      <c r="F1251" t="s">
        <v>55</v>
      </c>
      <c r="G1251">
        <v>-255.553</v>
      </c>
      <c r="H1251" s="1">
        <v>1.4182239999999899E-6</v>
      </c>
      <c r="I1251">
        <v>279.94330000000002</v>
      </c>
      <c r="J1251">
        <v>-225.202</v>
      </c>
      <c r="K1251">
        <v>1.1056269999999999</v>
      </c>
      <c r="L1251">
        <v>282.45409999999998</v>
      </c>
      <c r="M1251">
        <v>-0.99961449999999996</v>
      </c>
      <c r="N1251">
        <v>-1.9757680000000001E-3</v>
      </c>
      <c r="O1251">
        <v>-2.7696269999999999E-2</v>
      </c>
      <c r="P1251">
        <v>-0.9948787</v>
      </c>
      <c r="Q1251">
        <v>-7.8951980000000005E-2</v>
      </c>
      <c r="R1251">
        <v>-6.3110630000000001E-2</v>
      </c>
      <c r="S1251">
        <v>-2.9917760000000002</v>
      </c>
      <c r="T1251">
        <v>-0.10768809999999999</v>
      </c>
      <c r="U1251">
        <v>-0.24542240000000001</v>
      </c>
      <c r="V1251">
        <v>-3.5920670000000002E-2</v>
      </c>
      <c r="W1251">
        <v>-7.6802919999999997E-2</v>
      </c>
      <c r="X1251">
        <v>0.99639900000000003</v>
      </c>
      <c r="Y1251">
        <v>-5.4101969999999999E-2</v>
      </c>
      <c r="Z1251" s="1">
        <v>-8.5384930000000005E-5</v>
      </c>
      <c r="AA1251">
        <v>0.99853539999999996</v>
      </c>
      <c r="AB1251">
        <v>35</v>
      </c>
      <c r="AC1251">
        <v>-30.350999999999999</v>
      </c>
      <c r="AD1251">
        <v>-1.1056255817759999</v>
      </c>
      <c r="AE1251">
        <v>-2.5107999999999602</v>
      </c>
      <c r="AF1251">
        <v>-1.66702863352001</v>
      </c>
      <c r="AG1251">
        <v>-1.1056255817759999</v>
      </c>
      <c r="AH1251">
        <v>30.368871269141302</v>
      </c>
      <c r="AI1251">
        <v>92.0818888743852</v>
      </c>
      <c r="AJ1251">
        <v>93.141965438775998</v>
      </c>
      <c r="AK1251">
        <v>30.434679800413999</v>
      </c>
      <c r="AL1251">
        <v>94.404820983920501</v>
      </c>
      <c r="AM1251">
        <v>92.064646679610206</v>
      </c>
      <c r="AN1251">
        <v>0.99999997512738703</v>
      </c>
    </row>
    <row r="1252" spans="1:40" x14ac:dyDescent="0.25">
      <c r="A1252" t="str">
        <f>"20190305135605484"</f>
        <v>20190305135605484</v>
      </c>
      <c r="B1252" t="str">
        <f>"1551765365473346"</f>
        <v>1551765365473346</v>
      </c>
      <c r="C1252" t="s">
        <v>40</v>
      </c>
      <c r="D1252">
        <v>4.3663119999999997</v>
      </c>
      <c r="E1252">
        <v>0.49368230000000002</v>
      </c>
      <c r="F1252" t="s">
        <v>55</v>
      </c>
      <c r="G1252">
        <v>-259.23910000000001</v>
      </c>
      <c r="H1252">
        <v>1.3330979999999999E-2</v>
      </c>
      <c r="I1252">
        <v>279.61630000000002</v>
      </c>
      <c r="J1252">
        <v>-225.5556</v>
      </c>
      <c r="K1252">
        <v>1.105599</v>
      </c>
      <c r="L1252">
        <v>282.44619999999998</v>
      </c>
      <c r="M1252">
        <v>-0.99967600000000001</v>
      </c>
      <c r="N1252">
        <v>-2.0109490000000002E-3</v>
      </c>
      <c r="O1252">
        <v>-2.5374399999999998E-2</v>
      </c>
      <c r="P1252">
        <v>-0.99502539999999995</v>
      </c>
      <c r="Q1252">
        <v>-7.6244850000000003E-2</v>
      </c>
      <c r="R1252">
        <v>-6.4117419999999994E-2</v>
      </c>
      <c r="S1252">
        <v>-2.9920200000000001</v>
      </c>
      <c r="T1252">
        <v>-9.6018080000000006E-2</v>
      </c>
      <c r="U1252">
        <v>-0.2494507</v>
      </c>
      <c r="V1252">
        <v>-3.923078E-2</v>
      </c>
      <c r="W1252">
        <v>-7.4040149999999999E-2</v>
      </c>
      <c r="X1252">
        <v>0.99648329999999996</v>
      </c>
      <c r="Y1252">
        <v>-5.7750309999999999E-2</v>
      </c>
      <c r="Z1252">
        <v>-2.215273E-4</v>
      </c>
      <c r="AA1252">
        <v>0.99833099999999997</v>
      </c>
      <c r="AB1252">
        <v>35</v>
      </c>
      <c r="AC1252">
        <v>-33.683500000000002</v>
      </c>
      <c r="AD1252">
        <v>-1.0922680199999999</v>
      </c>
      <c r="AE1252">
        <v>-2.8298999999999501</v>
      </c>
      <c r="AF1252">
        <v>-1.9722291593061501</v>
      </c>
      <c r="AG1252">
        <v>-1.0922680199999999</v>
      </c>
      <c r="AH1252">
        <v>33.709263586959302</v>
      </c>
      <c r="AI1252">
        <v>91.852717221583404</v>
      </c>
      <c r="AJ1252">
        <v>93.348389225616899</v>
      </c>
      <c r="AK1252">
        <v>33.784570277856602</v>
      </c>
      <c r="AL1252">
        <v>94.2460736825998</v>
      </c>
      <c r="AM1252">
        <v>92.254526398824694</v>
      </c>
      <c r="AN1252">
        <v>0.99999998254515998</v>
      </c>
    </row>
    <row r="1253" spans="1:40" x14ac:dyDescent="0.25">
      <c r="A1253" t="str">
        <f>"20190305135605516"</f>
        <v>20190305135605516</v>
      </c>
      <c r="B1253" t="str">
        <f>"1551765365512891"</f>
        <v>1551765365512891</v>
      </c>
      <c r="C1253" t="s">
        <v>40</v>
      </c>
      <c r="D1253">
        <v>4.2688620000000004</v>
      </c>
      <c r="E1253">
        <v>0.54901350000000004</v>
      </c>
      <c r="F1253" t="s">
        <v>55</v>
      </c>
      <c r="G1253">
        <v>-259.60969999999998</v>
      </c>
      <c r="H1253">
        <v>8.0000109999999999E-2</v>
      </c>
      <c r="I1253">
        <v>279.5822</v>
      </c>
      <c r="J1253">
        <v>-226.06890000000001</v>
      </c>
      <c r="K1253">
        <v>1.1055569999999999</v>
      </c>
      <c r="L1253">
        <v>282.43619999999999</v>
      </c>
      <c r="M1253">
        <v>-0.99975650000000005</v>
      </c>
      <c r="N1253">
        <v>-2.0625209999999999E-3</v>
      </c>
      <c r="O1253">
        <v>-2.197764E-2</v>
      </c>
      <c r="P1253">
        <v>-0.99544250000000001</v>
      </c>
      <c r="Q1253">
        <v>-7.1512220000000001E-2</v>
      </c>
      <c r="R1253">
        <v>-6.3089259999999994E-2</v>
      </c>
      <c r="S1253">
        <v>-2.9918819999999999</v>
      </c>
      <c r="T1253">
        <v>-9.0105770000000002E-2</v>
      </c>
      <c r="U1253">
        <v>-0.25161739999999999</v>
      </c>
      <c r="V1253">
        <v>-4.1562870000000002E-2</v>
      </c>
      <c r="W1253">
        <v>-6.9238030000000006E-2</v>
      </c>
      <c r="X1253">
        <v>0.99673400000000001</v>
      </c>
      <c r="Y1253">
        <v>-6.186241E-2</v>
      </c>
      <c r="Z1253">
        <v>-3.7848580000000002E-4</v>
      </c>
      <c r="AA1253">
        <v>0.99808459999999999</v>
      </c>
      <c r="AB1253">
        <v>35</v>
      </c>
      <c r="AC1253">
        <v>-33.540799999999898</v>
      </c>
      <c r="AD1253">
        <v>-1.0255568899999901</v>
      </c>
      <c r="AE1253">
        <v>-2.8539999999999801</v>
      </c>
      <c r="AF1253">
        <v>-2.1141991846554902</v>
      </c>
      <c r="AG1253">
        <v>-1.0255568899999901</v>
      </c>
      <c r="AH1253">
        <v>33.564268704898097</v>
      </c>
      <c r="AI1253">
        <v>91.746669620859507</v>
      </c>
      <c r="AJ1253">
        <v>93.604275234616495</v>
      </c>
      <c r="AK1253">
        <v>33.646422377745097</v>
      </c>
      <c r="AL1253">
        <v>93.970223278640603</v>
      </c>
      <c r="AM1253">
        <v>92.387796762609895</v>
      </c>
      <c r="AN1253">
        <v>1.0000000218584499</v>
      </c>
    </row>
    <row r="1254" spans="1:40" x14ac:dyDescent="0.25">
      <c r="A1254" t="str">
        <f>"20190305135605539"</f>
        <v>20190305135605539</v>
      </c>
      <c r="B1254" t="str">
        <f>"1551765365533388"</f>
        <v>1551765365533388</v>
      </c>
      <c r="C1254" t="s">
        <v>40</v>
      </c>
      <c r="D1254">
        <v>4.2758279999999997</v>
      </c>
      <c r="E1254">
        <v>0.54934759999999905</v>
      </c>
      <c r="F1254" t="s">
        <v>55</v>
      </c>
      <c r="G1254">
        <v>-259.65300000000002</v>
      </c>
      <c r="H1254" s="1">
        <v>3.6000299999999998E-6</v>
      </c>
      <c r="I1254">
        <v>284.59370000000001</v>
      </c>
      <c r="J1254">
        <v>-226.4333</v>
      </c>
      <c r="K1254">
        <v>1.1055109999999999</v>
      </c>
      <c r="L1254">
        <v>282.43020000000001</v>
      </c>
      <c r="M1254">
        <v>-0.99980670000000005</v>
      </c>
      <c r="N1254">
        <v>-2.0991120000000002E-3</v>
      </c>
      <c r="O1254">
        <v>-1.9550970000000001E-2</v>
      </c>
      <c r="P1254">
        <v>-0.99571359999999998</v>
      </c>
      <c r="Q1254">
        <v>-6.9663329999999996E-2</v>
      </c>
      <c r="R1254">
        <v>-6.0841199999999901E-2</v>
      </c>
      <c r="S1254">
        <v>-3.018875</v>
      </c>
      <c r="T1254">
        <v>-9.9378350000000004E-2</v>
      </c>
      <c r="U1254">
        <v>0.19393920000000001</v>
      </c>
      <c r="V1254">
        <v>-4.1724169999999998E-2</v>
      </c>
      <c r="W1254">
        <v>-6.7348000000000005E-2</v>
      </c>
      <c r="X1254">
        <v>0.99685670000000004</v>
      </c>
      <c r="Y1254">
        <v>8.355137E-2</v>
      </c>
      <c r="Z1254">
        <v>2.0630840000000002E-3</v>
      </c>
      <c r="AA1254">
        <v>0.99650130000000003</v>
      </c>
      <c r="AB1254">
        <v>35</v>
      </c>
      <c r="AC1254">
        <v>-33.219700000000003</v>
      </c>
      <c r="AD1254">
        <v>-1.10550739997</v>
      </c>
      <c r="AE1254">
        <v>2.1634999999999902</v>
      </c>
      <c r="AF1254">
        <v>2.80946697330916</v>
      </c>
      <c r="AG1254">
        <v>-1.10550739997</v>
      </c>
      <c r="AH1254">
        <v>33.134511311132897</v>
      </c>
      <c r="AI1254">
        <v>91.904093380854206</v>
      </c>
      <c r="AJ1254">
        <v>85.153497245860294</v>
      </c>
      <c r="AK1254">
        <v>33.271776194142298</v>
      </c>
      <c r="AL1254">
        <v>93.861679306033693</v>
      </c>
      <c r="AM1254">
        <v>92.396757995940007</v>
      </c>
      <c r="AN1254">
        <v>0.99999996990053897</v>
      </c>
    </row>
    <row r="1255" spans="1:40" x14ac:dyDescent="0.25">
      <c r="A1255" t="str">
        <f>"20190305135605562"</f>
        <v>20190305135605562</v>
      </c>
      <c r="B1255" t="str">
        <f>"1551765365552909"</f>
        <v>1551765365552909</v>
      </c>
      <c r="C1255" t="s">
        <v>40</v>
      </c>
      <c r="D1255">
        <v>4.275773</v>
      </c>
      <c r="E1255">
        <v>0.54917660000000001</v>
      </c>
      <c r="F1255" t="s">
        <v>55</v>
      </c>
      <c r="G1255">
        <v>-254.8312</v>
      </c>
      <c r="H1255" s="1">
        <v>1.034118E-6</v>
      </c>
      <c r="I1255">
        <v>284.3569</v>
      </c>
      <c r="J1255">
        <v>-226.80889999999999</v>
      </c>
      <c r="K1255">
        <v>1.105461</v>
      </c>
      <c r="L1255">
        <v>282.42489999999998</v>
      </c>
      <c r="M1255">
        <v>-0.99985259999999998</v>
      </c>
      <c r="N1255">
        <v>-2.136752E-3</v>
      </c>
      <c r="O1255">
        <v>-1.7042620000000001E-2</v>
      </c>
      <c r="P1255">
        <v>-0.99562039999999996</v>
      </c>
      <c r="Q1255">
        <v>-7.3747309999999996E-2</v>
      </c>
      <c r="R1255">
        <v>-5.7460669999999998E-2</v>
      </c>
      <c r="S1255">
        <v>-3.0172270000000001</v>
      </c>
      <c r="T1255">
        <v>-0.1174587</v>
      </c>
      <c r="U1255">
        <v>0.2047119</v>
      </c>
      <c r="V1255">
        <v>-4.0873649999999997E-2</v>
      </c>
      <c r="W1255">
        <v>-7.1396570000000006E-2</v>
      </c>
      <c r="X1255">
        <v>0.9966102</v>
      </c>
      <c r="Y1255">
        <v>8.4607000000000002E-2</v>
      </c>
      <c r="Z1255">
        <v>2.3610290000000002E-3</v>
      </c>
      <c r="AA1255">
        <v>0.99641159999999995</v>
      </c>
      <c r="AB1255">
        <v>36</v>
      </c>
      <c r="AC1255">
        <v>-28.022300000000001</v>
      </c>
      <c r="AD1255">
        <v>-1.1054599658819999</v>
      </c>
      <c r="AE1255">
        <v>1.9320000000000099</v>
      </c>
      <c r="AF1255">
        <v>2.4055679001624899</v>
      </c>
      <c r="AG1255">
        <v>-1.1054599658819999</v>
      </c>
      <c r="AH1255">
        <v>27.942024758327801</v>
      </c>
      <c r="AI1255">
        <v>92.257249208520193</v>
      </c>
      <c r="AJ1255">
        <v>85.079459031284102</v>
      </c>
      <c r="AK1255">
        <v>28.0671613501164</v>
      </c>
      <c r="AL1255">
        <v>94.094205484825494</v>
      </c>
      <c r="AM1255">
        <v>92.348536983367396</v>
      </c>
      <c r="AN1255">
        <v>1.00000000810806</v>
      </c>
    </row>
    <row r="1256" spans="1:40" x14ac:dyDescent="0.25">
      <c r="A1256" t="str">
        <f>"20190305135605586"</f>
        <v>20190305135605586</v>
      </c>
      <c r="B1256" t="str">
        <f>"1551765365582694"</f>
        <v>1551765365582694</v>
      </c>
      <c r="C1256" t="s">
        <v>40</v>
      </c>
      <c r="D1256">
        <v>4.3129540000000004</v>
      </c>
      <c r="E1256">
        <v>0.54913219999999996</v>
      </c>
      <c r="F1256" t="s">
        <v>55</v>
      </c>
      <c r="G1256">
        <v>-250.14359999999999</v>
      </c>
      <c r="H1256" s="1">
        <v>-1.46039899999999E-6</v>
      </c>
      <c r="I1256">
        <v>284.08550000000002</v>
      </c>
      <c r="J1256">
        <v>-227.19319999999999</v>
      </c>
      <c r="K1256">
        <v>1.1054060000000001</v>
      </c>
      <c r="L1256">
        <v>282.4205</v>
      </c>
      <c r="M1256">
        <v>-0.99989300000000003</v>
      </c>
      <c r="N1256">
        <v>-2.1752199999999998E-3</v>
      </c>
      <c r="O1256">
        <v>-1.4471909999999999E-2</v>
      </c>
      <c r="P1256">
        <v>-0.99544889999999997</v>
      </c>
      <c r="Q1256">
        <v>-7.7647540000000001E-2</v>
      </c>
      <c r="R1256">
        <v>-5.5248970000000001E-2</v>
      </c>
      <c r="S1256">
        <v>-3.015015</v>
      </c>
      <c r="T1256">
        <v>-0.14283419999999999</v>
      </c>
      <c r="U1256">
        <v>0.21456910000000001</v>
      </c>
      <c r="V1256">
        <v>-4.1252539999999997E-2</v>
      </c>
      <c r="W1256">
        <v>-7.5254210000000002E-2</v>
      </c>
      <c r="X1256">
        <v>0.99631069999999999</v>
      </c>
      <c r="Y1256">
        <v>8.5301009999999997E-2</v>
      </c>
      <c r="Z1256">
        <v>2.7628029999999999E-3</v>
      </c>
      <c r="AA1256">
        <v>0.9963514</v>
      </c>
      <c r="AB1256">
        <v>36</v>
      </c>
      <c r="AC1256">
        <v>-22.950399999999998</v>
      </c>
      <c r="AD1256">
        <v>-1.1054074603989901</v>
      </c>
      <c r="AE1256">
        <v>1.66500000000002</v>
      </c>
      <c r="AF1256">
        <v>1.99236467934365</v>
      </c>
      <c r="AG1256">
        <v>-1.1054074603989901</v>
      </c>
      <c r="AH1256">
        <v>22.871120446886799</v>
      </c>
      <c r="AI1256">
        <v>92.756643919219599</v>
      </c>
      <c r="AJ1256">
        <v>85.0213791229896</v>
      </c>
      <c r="AK1256">
        <v>22.984333646312301</v>
      </c>
      <c r="AL1256">
        <v>94.315828788271205</v>
      </c>
      <c r="AM1256">
        <v>92.370994418140498</v>
      </c>
      <c r="AN1256">
        <v>0.999999989556832</v>
      </c>
    </row>
    <row r="1257" spans="1:40" x14ac:dyDescent="0.25">
      <c r="A1257" t="str">
        <f>"20190305135605609"</f>
        <v>20190305135605609</v>
      </c>
      <c r="B1257" t="str">
        <f>"1551765365603191"</f>
        <v>1551765365603191</v>
      </c>
      <c r="C1257" t="s">
        <v>40</v>
      </c>
      <c r="D1257">
        <v>4.3165430000000002</v>
      </c>
      <c r="E1257">
        <v>0.54901099999999903</v>
      </c>
      <c r="F1257" t="s">
        <v>55</v>
      </c>
      <c r="G1257">
        <v>-247.7499</v>
      </c>
      <c r="H1257" s="1">
        <v>2.5873230000000002E-6</v>
      </c>
      <c r="I1257">
        <v>283.9298</v>
      </c>
      <c r="J1257">
        <v>-227.5515</v>
      </c>
      <c r="K1257">
        <v>1.1053649999999999</v>
      </c>
      <c r="L1257">
        <v>282.41719999999998</v>
      </c>
      <c r="M1257">
        <v>-0.99992479999999995</v>
      </c>
      <c r="N1257">
        <v>-2.2111869999999999E-3</v>
      </c>
      <c r="O1257">
        <v>-1.2073560000000001E-2</v>
      </c>
      <c r="P1257">
        <v>-0.99541679999999999</v>
      </c>
      <c r="Q1257">
        <v>-7.8864190000000001E-2</v>
      </c>
      <c r="R1257">
        <v>-5.4093090000000003E-2</v>
      </c>
      <c r="S1257">
        <v>-3.0133510000000001</v>
      </c>
      <c r="T1257">
        <v>-0.16203799999999999</v>
      </c>
      <c r="U1257">
        <v>0.22125239999999999</v>
      </c>
      <c r="V1257">
        <v>-4.2497689999999998E-2</v>
      </c>
      <c r="W1257">
        <v>-7.6425919999999994E-2</v>
      </c>
      <c r="X1257">
        <v>0.99616910000000003</v>
      </c>
      <c r="Y1257">
        <v>8.5119399999999998E-2</v>
      </c>
      <c r="Z1257">
        <v>2.9994790000000002E-3</v>
      </c>
      <c r="AA1257">
        <v>0.99636630000000004</v>
      </c>
      <c r="AB1257">
        <v>36</v>
      </c>
      <c r="AC1257">
        <v>-20.1983999999999</v>
      </c>
      <c r="AD1257">
        <v>-1.1053624126770001</v>
      </c>
      <c r="AE1257">
        <v>1.5126000000000199</v>
      </c>
      <c r="AF1257">
        <v>1.75114174275364</v>
      </c>
      <c r="AG1257">
        <v>-1.1053624126770001</v>
      </c>
      <c r="AH1257">
        <v>20.118748593054001</v>
      </c>
      <c r="AI1257">
        <v>93.132956105627997</v>
      </c>
      <c r="AJ1257">
        <v>85.025495670813697</v>
      </c>
      <c r="AK1257">
        <v>20.225043100500098</v>
      </c>
      <c r="AL1257">
        <v>94.383157017523601</v>
      </c>
      <c r="AM1257">
        <v>92.442820917146705</v>
      </c>
      <c r="AN1257">
        <v>0.99999992534899296</v>
      </c>
    </row>
    <row r="1258" spans="1:40" x14ac:dyDescent="0.25">
      <c r="A1258" t="str">
        <f>"20190305135605629"</f>
        <v>20190305135605629</v>
      </c>
      <c r="B1258" t="str">
        <f>"1551765365622710"</f>
        <v>1551765365622710</v>
      </c>
      <c r="C1258" t="s">
        <v>40</v>
      </c>
      <c r="D1258">
        <v>4.3189260000000003</v>
      </c>
      <c r="E1258">
        <v>0.54857630000000002</v>
      </c>
      <c r="F1258" t="s">
        <v>55</v>
      </c>
      <c r="G1258">
        <v>-247.42339999999999</v>
      </c>
      <c r="H1258" s="1">
        <v>2.413584E-6</v>
      </c>
      <c r="I1258">
        <v>283.89409999999998</v>
      </c>
      <c r="J1258">
        <v>-227.8896</v>
      </c>
      <c r="K1258">
        <v>1.1053470000000001</v>
      </c>
      <c r="L1258">
        <v>282.41489999999999</v>
      </c>
      <c r="M1258">
        <v>-0.99994950000000005</v>
      </c>
      <c r="N1258">
        <v>-2.2451049999999998E-3</v>
      </c>
      <c r="O1258">
        <v>-9.8115909999999997E-3</v>
      </c>
      <c r="P1258">
        <v>-0.9956083</v>
      </c>
      <c r="Q1258">
        <v>-7.6877390000000004E-2</v>
      </c>
      <c r="R1258">
        <v>-5.3426420000000002E-2</v>
      </c>
      <c r="S1258">
        <v>-3.0127259999999998</v>
      </c>
      <c r="T1258">
        <v>-0.16758110000000001</v>
      </c>
      <c r="U1258">
        <v>0.22390750000000001</v>
      </c>
      <c r="V1258">
        <v>-4.4074820000000001E-2</v>
      </c>
      <c r="W1258">
        <v>-7.4393899999999999E-2</v>
      </c>
      <c r="X1258">
        <v>0.99625439999999998</v>
      </c>
      <c r="Y1258">
        <v>8.3749309999999993E-2</v>
      </c>
      <c r="Z1258">
        <v>2.9411300000000001E-3</v>
      </c>
      <c r="AA1258">
        <v>0.99648250000000005</v>
      </c>
      <c r="AB1258">
        <v>36</v>
      </c>
      <c r="AC1258">
        <v>-19.5337999999999</v>
      </c>
      <c r="AD1258">
        <v>-1.1053445864160001</v>
      </c>
      <c r="AE1258">
        <v>1.4791999999999901</v>
      </c>
      <c r="AF1258">
        <v>1.6654844260149799</v>
      </c>
      <c r="AG1258">
        <v>-1.1053445864160001</v>
      </c>
      <c r="AH1258">
        <v>19.456402124689401</v>
      </c>
      <c r="AI1258">
        <v>93.239733225113199</v>
      </c>
      <c r="AJ1258">
        <v>85.107359984947095</v>
      </c>
      <c r="AK1258">
        <v>19.558814091494298</v>
      </c>
      <c r="AL1258">
        <v>94.266398317277407</v>
      </c>
      <c r="AM1258">
        <v>92.533143717050706</v>
      </c>
      <c r="AN1258">
        <v>0.99999993581729896</v>
      </c>
    </row>
    <row r="1259" spans="1:40" x14ac:dyDescent="0.25">
      <c r="A1259" t="str">
        <f>"20190305135605651"</f>
        <v>20190305135605651</v>
      </c>
      <c r="B1259" t="str">
        <f>"1551765365643207"</f>
        <v>1551765365643207</v>
      </c>
      <c r="C1259" t="s">
        <v>40</v>
      </c>
      <c r="D1259">
        <v>4.3460970000000003</v>
      </c>
      <c r="E1259">
        <v>0.54837019999999903</v>
      </c>
      <c r="F1259" t="s">
        <v>55</v>
      </c>
      <c r="G1259">
        <v>-248.02709999999999</v>
      </c>
      <c r="H1259" s="1">
        <v>2.734828E-6</v>
      </c>
      <c r="I1259">
        <v>283.90410000000003</v>
      </c>
      <c r="J1259">
        <v>-228.26900000000001</v>
      </c>
      <c r="K1259">
        <v>1.1053269999999999</v>
      </c>
      <c r="L1259">
        <v>282.41309999999999</v>
      </c>
      <c r="M1259">
        <v>-0.9999709</v>
      </c>
      <c r="N1259">
        <v>-2.283228E-3</v>
      </c>
      <c r="O1259">
        <v>-7.2818609999999997E-3</v>
      </c>
      <c r="P1259">
        <v>-0.9958612</v>
      </c>
      <c r="Q1259">
        <v>-7.3712150000000004E-2</v>
      </c>
      <c r="R1259">
        <v>-5.3171280000000001E-2</v>
      </c>
      <c r="S1259">
        <v>-3.0124360000000001</v>
      </c>
      <c r="T1259">
        <v>-0.16535229999999901</v>
      </c>
      <c r="U1259">
        <v>0.22277830000000001</v>
      </c>
      <c r="V1259">
        <v>-4.6323099999999999E-2</v>
      </c>
      <c r="W1259">
        <v>-7.1175169999999996E-2</v>
      </c>
      <c r="X1259">
        <v>0.99638760000000004</v>
      </c>
      <c r="Y1259">
        <v>8.0875399999999903E-2</v>
      </c>
      <c r="Z1259">
        <v>2.6897520000000001E-3</v>
      </c>
      <c r="AA1259">
        <v>0.99672059999999996</v>
      </c>
      <c r="AB1259">
        <v>36</v>
      </c>
      <c r="AC1259">
        <v>-19.758099999999899</v>
      </c>
      <c r="AD1259">
        <v>-1.1053242651720001</v>
      </c>
      <c r="AE1259">
        <v>1.4910000000000401</v>
      </c>
      <c r="AF1259">
        <v>1.6297649448888201</v>
      </c>
      <c r="AG1259">
        <v>-1.1053242651720001</v>
      </c>
      <c r="AH1259">
        <v>19.685460065087</v>
      </c>
      <c r="AI1259">
        <v>93.202807099683497</v>
      </c>
      <c r="AJ1259">
        <v>85.267259213921506</v>
      </c>
      <c r="AK1259">
        <v>19.7837108116981</v>
      </c>
      <c r="AL1259">
        <v>94.081487910862407</v>
      </c>
      <c r="AM1259">
        <v>92.661823954002799</v>
      </c>
      <c r="AN1259">
        <v>0.99999999192594902</v>
      </c>
    </row>
    <row r="1260" spans="1:40" x14ac:dyDescent="0.25">
      <c r="A1260" t="str">
        <f>"20190305135605674"</f>
        <v>20190305135605674</v>
      </c>
      <c r="B1260" t="str">
        <f>"1551765365662727"</f>
        <v>1551765365662727</v>
      </c>
      <c r="C1260" t="s">
        <v>40</v>
      </c>
      <c r="D1260">
        <v>4.3116830000000004</v>
      </c>
      <c r="E1260">
        <v>0.54840049999999996</v>
      </c>
      <c r="F1260" t="s">
        <v>41</v>
      </c>
      <c r="G1260">
        <v>-229.2895</v>
      </c>
      <c r="H1260">
        <v>1.0519529999999999</v>
      </c>
      <c r="I1260">
        <v>282.48860000000002</v>
      </c>
      <c r="J1260">
        <v>-228.63069999999999</v>
      </c>
      <c r="K1260">
        <v>1.105318</v>
      </c>
      <c r="L1260">
        <v>282.41239999999999</v>
      </c>
      <c r="M1260">
        <v>-0.99998549999999997</v>
      </c>
      <c r="N1260">
        <v>-2.3193210000000001E-3</v>
      </c>
      <c r="O1260">
        <v>-4.8866949999999999E-3</v>
      </c>
      <c r="P1260">
        <v>-0.99596519999999999</v>
      </c>
      <c r="Q1260">
        <v>-7.1846149999999998E-2</v>
      </c>
      <c r="R1260">
        <v>-5.3776659999999997E-2</v>
      </c>
      <c r="S1260">
        <v>-3.0126499999999998</v>
      </c>
      <c r="T1260">
        <v>-0.15764739999999999</v>
      </c>
      <c r="U1260">
        <v>0.2220154</v>
      </c>
      <c r="V1260">
        <v>-4.9306170000000003E-2</v>
      </c>
      <c r="W1260">
        <v>-6.9254380000000004E-2</v>
      </c>
      <c r="X1260">
        <v>0.99637980000000004</v>
      </c>
      <c r="Y1260">
        <v>7.8250390000000003E-2</v>
      </c>
      <c r="Z1260">
        <v>2.3780229999999999E-3</v>
      </c>
      <c r="AA1260">
        <v>0.99693089999999995</v>
      </c>
      <c r="AB1260">
        <v>37</v>
      </c>
      <c r="AC1260">
        <v>-0.65880000000001304</v>
      </c>
      <c r="AD1260">
        <v>-5.3364999999999801E-2</v>
      </c>
      <c r="AE1260">
        <v>7.6200000000028398E-2</v>
      </c>
      <c r="AF1260">
        <v>7.8907533329349799E-2</v>
      </c>
      <c r="AG1260">
        <v>-5.3364999999999801E-2</v>
      </c>
      <c r="AH1260">
        <v>0.65418397966754804</v>
      </c>
      <c r="AI1260">
        <v>94.630158622553694</v>
      </c>
      <c r="AJ1260">
        <v>83.122221990781995</v>
      </c>
      <c r="AK1260">
        <v>0.66108312737112895</v>
      </c>
      <c r="AL1260">
        <v>93.971162458535602</v>
      </c>
      <c r="AM1260">
        <v>92.832988834302597</v>
      </c>
      <c r="AN1260">
        <v>0.99999998669864598</v>
      </c>
    </row>
    <row r="1261" spans="1:40" x14ac:dyDescent="0.25">
      <c r="A1261" t="str">
        <f>"20190305135605697"</f>
        <v>20190305135605697</v>
      </c>
      <c r="B1261" t="str">
        <f>"1551765365693489"</f>
        <v>1551765365693489</v>
      </c>
      <c r="C1261" t="s">
        <v>40</v>
      </c>
      <c r="D1261">
        <v>4.3512250000000003</v>
      </c>
      <c r="E1261">
        <v>0.54805859999999995</v>
      </c>
      <c r="F1261" t="s">
        <v>41</v>
      </c>
      <c r="G1261">
        <v>-229.6234</v>
      </c>
      <c r="H1261">
        <v>1.0551219999999999</v>
      </c>
      <c r="I1261">
        <v>282.48509999999999</v>
      </c>
      <c r="J1261">
        <v>-229.00829999999999</v>
      </c>
      <c r="K1261">
        <v>1.105315</v>
      </c>
      <c r="L1261">
        <v>282.41250000000002</v>
      </c>
      <c r="M1261">
        <v>-0.99999439999999995</v>
      </c>
      <c r="N1261">
        <v>-2.3566170000000001E-3</v>
      </c>
      <c r="O1261">
        <v>-2.4074639999999998E-3</v>
      </c>
      <c r="P1261">
        <v>-0.99618269999999998</v>
      </c>
      <c r="Q1261">
        <v>-6.8457450000000003E-2</v>
      </c>
      <c r="R1261">
        <v>-5.4161059999999997E-2</v>
      </c>
      <c r="S1261">
        <v>-3.0130620000000001</v>
      </c>
      <c r="T1261">
        <v>-0.15240000000000001</v>
      </c>
      <c r="U1261">
        <v>0.22055050000000001</v>
      </c>
      <c r="V1261">
        <v>-5.2141729999999997E-2</v>
      </c>
      <c r="W1261">
        <v>-6.5810679999999996E-2</v>
      </c>
      <c r="X1261">
        <v>0.99646880000000004</v>
      </c>
      <c r="Y1261">
        <v>7.5300660000000005E-2</v>
      </c>
      <c r="Z1261">
        <v>2.105366E-3</v>
      </c>
      <c r="AA1261">
        <v>0.99715860000000001</v>
      </c>
      <c r="AB1261">
        <v>37</v>
      </c>
      <c r="AC1261">
        <v>-0.61510000000001197</v>
      </c>
      <c r="AD1261">
        <v>-5.0193000000000099E-2</v>
      </c>
      <c r="AE1261">
        <v>7.2599999999965803E-2</v>
      </c>
      <c r="AF1261">
        <v>7.3597289676274394E-2</v>
      </c>
      <c r="AG1261">
        <v>-5.0193000000000099E-2</v>
      </c>
      <c r="AH1261">
        <v>0.61091140032746705</v>
      </c>
      <c r="AI1261">
        <v>94.663352037353206</v>
      </c>
      <c r="AJ1261">
        <v>83.130607986685007</v>
      </c>
      <c r="AK1261">
        <v>0.61737236522763095</v>
      </c>
      <c r="AL1261">
        <v>93.773401592567097</v>
      </c>
      <c r="AM1261">
        <v>92.995356082079894</v>
      </c>
      <c r="AN1261">
        <v>0.999999937491445</v>
      </c>
    </row>
    <row r="1262" spans="1:40" x14ac:dyDescent="0.25">
      <c r="A1262" t="str">
        <f>"20190305135605718"</f>
        <v>20190305135605718</v>
      </c>
      <c r="B1262" t="str">
        <f>"1551765365713010"</f>
        <v>1551765365713010</v>
      </c>
      <c r="C1262" t="s">
        <v>40</v>
      </c>
      <c r="D1262">
        <v>4.2630739999999996</v>
      </c>
      <c r="E1262">
        <v>0.54776169999999902</v>
      </c>
      <c r="F1262" t="s">
        <v>55</v>
      </c>
      <c r="G1262">
        <v>-251.8546</v>
      </c>
      <c r="H1262" s="1">
        <v>-5.4986839999999995E-7</v>
      </c>
      <c r="I1262">
        <v>284.05689999999998</v>
      </c>
      <c r="J1262">
        <v>-229.3613</v>
      </c>
      <c r="K1262">
        <v>1.105326</v>
      </c>
      <c r="L1262">
        <v>282.4135</v>
      </c>
      <c r="M1262">
        <v>-0.99999720000000003</v>
      </c>
      <c r="N1262">
        <v>-2.3913519999999998E-3</v>
      </c>
      <c r="O1262">
        <v>-1.2370330000000001E-4</v>
      </c>
      <c r="P1262">
        <v>-0.99649940000000004</v>
      </c>
      <c r="Q1262">
        <v>-6.4396780000000001E-2</v>
      </c>
      <c r="R1262">
        <v>-5.3308769999999998E-2</v>
      </c>
      <c r="S1262">
        <v>-3.01329</v>
      </c>
      <c r="T1262">
        <v>-0.14578469999999999</v>
      </c>
      <c r="U1262">
        <v>0.21688840000000001</v>
      </c>
      <c r="V1262">
        <v>-5.3541770000000002E-2</v>
      </c>
      <c r="W1262">
        <v>-6.1706629999999998E-2</v>
      </c>
      <c r="X1262">
        <v>0.99665720000000002</v>
      </c>
      <c r="Y1262">
        <v>7.1827059999999998E-2</v>
      </c>
      <c r="Z1262">
        <v>1.8259859999999999E-3</v>
      </c>
      <c r="AA1262">
        <v>0.99741539999999995</v>
      </c>
      <c r="AB1262">
        <v>37</v>
      </c>
      <c r="AC1262">
        <v>-22.493300000000001</v>
      </c>
      <c r="AD1262">
        <v>-1.1053265498684</v>
      </c>
      <c r="AE1262">
        <v>1.64339999999998</v>
      </c>
      <c r="AF1262">
        <v>1.64223792829828</v>
      </c>
      <c r="AG1262">
        <v>-1.1053265498684</v>
      </c>
      <c r="AH1262">
        <v>22.439198850723301</v>
      </c>
      <c r="AI1262">
        <v>92.812528167308699</v>
      </c>
      <c r="AJ1262">
        <v>85.814206814601704</v>
      </c>
      <c r="AK1262">
        <v>22.526347623555999</v>
      </c>
      <c r="AL1262">
        <v>93.537777024554799</v>
      </c>
      <c r="AM1262">
        <v>93.075050700546001</v>
      </c>
      <c r="AN1262">
        <v>1.00000000181626</v>
      </c>
    </row>
    <row r="1263" spans="1:40" x14ac:dyDescent="0.25">
      <c r="A1263" t="str">
        <f>"20190305135605741"</f>
        <v>20190305135605741</v>
      </c>
      <c r="B1263" t="str">
        <f>"1551765365733506"</f>
        <v>1551765365733506</v>
      </c>
      <c r="C1263" t="s">
        <v>40</v>
      </c>
      <c r="D1263">
        <v>4.3180259999999997</v>
      </c>
      <c r="E1263">
        <v>0.54764119999999905</v>
      </c>
      <c r="F1263" t="s">
        <v>55</v>
      </c>
      <c r="G1263">
        <v>-253.50649999999999</v>
      </c>
      <c r="H1263" s="1">
        <v>3.2917220000000002E-7</v>
      </c>
      <c r="I1263">
        <v>284.15699999999998</v>
      </c>
      <c r="J1263">
        <v>-229.74950000000001</v>
      </c>
      <c r="K1263">
        <v>1.1053679999999999</v>
      </c>
      <c r="L1263">
        <v>282.4153</v>
      </c>
      <c r="M1263">
        <v>-0.9999943</v>
      </c>
      <c r="N1263">
        <v>-2.4290850000000001E-3</v>
      </c>
      <c r="O1263">
        <v>2.327553E-3</v>
      </c>
      <c r="P1263">
        <v>-0.99704990000000004</v>
      </c>
      <c r="Q1263">
        <v>-5.7757349999999999E-2</v>
      </c>
      <c r="R1263">
        <v>-5.055494E-2</v>
      </c>
      <c r="S1263">
        <v>-3.013245</v>
      </c>
      <c r="T1263">
        <v>-0.1379416</v>
      </c>
      <c r="U1263">
        <v>0.21759029999999999</v>
      </c>
      <c r="V1263">
        <v>-5.3190920000000003E-2</v>
      </c>
      <c r="W1263">
        <v>-5.5032249999999998E-2</v>
      </c>
      <c r="X1263">
        <v>0.99706680000000003</v>
      </c>
      <c r="Y1263">
        <v>6.9627820000000007E-2</v>
      </c>
      <c r="Z1263">
        <v>1.5748349999999999E-3</v>
      </c>
      <c r="AA1263">
        <v>0.99757180000000001</v>
      </c>
      <c r="AB1263">
        <v>37</v>
      </c>
      <c r="AC1263">
        <v>-23.756999999999898</v>
      </c>
      <c r="AD1263">
        <v>-1.1053676708278</v>
      </c>
      <c r="AE1263">
        <v>1.74169999999998</v>
      </c>
      <c r="AF1263">
        <v>1.68277593721112</v>
      </c>
      <c r="AG1263">
        <v>-1.1053676708278</v>
      </c>
      <c r="AH1263">
        <v>23.709935216455602</v>
      </c>
      <c r="AI1263">
        <v>92.662534089979303</v>
      </c>
      <c r="AJ1263">
        <v>85.940328140570898</v>
      </c>
      <c r="AK1263">
        <v>23.795264245456298</v>
      </c>
      <c r="AL1263">
        <v>93.1547093543941</v>
      </c>
      <c r="AM1263">
        <v>93.053686108231204</v>
      </c>
      <c r="AN1263">
        <v>1.00000001308637</v>
      </c>
    </row>
    <row r="1264" spans="1:40" x14ac:dyDescent="0.25">
      <c r="A1264" t="str">
        <f>"20190305135605762"</f>
        <v>20190305135605762</v>
      </c>
      <c r="B1264" t="str">
        <f>"1551765365753025"</f>
        <v>1551765365753025</v>
      </c>
      <c r="C1264" t="s">
        <v>40</v>
      </c>
      <c r="D1264">
        <v>4.2967510000000004</v>
      </c>
      <c r="E1264">
        <v>0.54749890000000001</v>
      </c>
      <c r="F1264" t="s">
        <v>55</v>
      </c>
      <c r="G1264">
        <v>-257.42020000000002</v>
      </c>
      <c r="H1264" s="1">
        <v>2.4118700000000002E-6</v>
      </c>
      <c r="I1264">
        <v>284.48289999999997</v>
      </c>
      <c r="J1264">
        <v>-230.1103</v>
      </c>
      <c r="K1264">
        <v>1.1054219999999999</v>
      </c>
      <c r="L1264">
        <v>282.4178</v>
      </c>
      <c r="M1264">
        <v>-0.99998670000000001</v>
      </c>
      <c r="N1264">
        <v>-2.4634600000000002E-3</v>
      </c>
      <c r="O1264">
        <v>4.5270379999999997E-3</v>
      </c>
      <c r="P1264">
        <v>-0.99739409999999895</v>
      </c>
      <c r="Q1264">
        <v>-5.3504969999999999E-2</v>
      </c>
      <c r="R1264">
        <v>-4.8398509999999999E-2</v>
      </c>
      <c r="S1264">
        <v>-3.013306</v>
      </c>
      <c r="T1264">
        <v>-0.12037299999999999</v>
      </c>
      <c r="U1264">
        <v>0.22515869999999999</v>
      </c>
      <c r="V1264">
        <v>-5.320014E-2</v>
      </c>
      <c r="W1264">
        <v>-5.0748929999999998E-2</v>
      </c>
      <c r="X1264">
        <v>0.99729350000000005</v>
      </c>
      <c r="Y1264">
        <v>6.9942790000000005E-2</v>
      </c>
      <c r="Z1264">
        <v>1.311439E-3</v>
      </c>
      <c r="AA1264">
        <v>0.9975501</v>
      </c>
      <c r="AB1264">
        <v>37</v>
      </c>
      <c r="AC1264">
        <v>-27.309899999999999</v>
      </c>
      <c r="AD1264">
        <v>-1.10541958813</v>
      </c>
      <c r="AE1264">
        <v>2.06509999999997</v>
      </c>
      <c r="AF1264">
        <v>1.9382879129575801</v>
      </c>
      <c r="AG1264">
        <v>-1.10541958813</v>
      </c>
      <c r="AH1264">
        <v>27.2745370267284</v>
      </c>
      <c r="AI1264">
        <v>92.315058970479598</v>
      </c>
      <c r="AJ1264">
        <v>85.935061175099094</v>
      </c>
      <c r="AK1264">
        <v>27.365658817607901</v>
      </c>
      <c r="AL1264">
        <v>92.908949010795993</v>
      </c>
      <c r="AM1264">
        <v>93.053521470118397</v>
      </c>
      <c r="AN1264">
        <v>1.0000000169672001</v>
      </c>
    </row>
    <row r="1265" spans="1:40" x14ac:dyDescent="0.25">
      <c r="A1265" t="str">
        <f>"20190305135605788"</f>
        <v>20190305135605788</v>
      </c>
      <c r="B1265" t="str">
        <f>"1551765365782813"</f>
        <v>1551765365782813</v>
      </c>
      <c r="C1265" t="s">
        <v>40</v>
      </c>
      <c r="D1265">
        <v>4.3336430000000004</v>
      </c>
      <c r="E1265">
        <v>0.54724819999999996</v>
      </c>
      <c r="F1265" t="s">
        <v>55</v>
      </c>
      <c r="G1265">
        <v>-259.96910000000003</v>
      </c>
      <c r="H1265" s="1">
        <v>-1.5532129999999999E-6</v>
      </c>
      <c r="I1265">
        <v>284.70330000000001</v>
      </c>
      <c r="J1265">
        <v>-230.5367</v>
      </c>
      <c r="K1265">
        <v>1.1054900000000001</v>
      </c>
      <c r="L1265">
        <v>282.42169999999999</v>
      </c>
      <c r="M1265">
        <v>-0.99997250000000004</v>
      </c>
      <c r="N1265">
        <v>-2.5033080000000001E-3</v>
      </c>
      <c r="O1265">
        <v>7.0056390000000001E-3</v>
      </c>
      <c r="P1265">
        <v>-0.99764209999999998</v>
      </c>
      <c r="Q1265">
        <v>-5.1348129999999999E-2</v>
      </c>
      <c r="R1265">
        <v>-4.5539980000000001E-2</v>
      </c>
      <c r="S1265">
        <v>-3.0130309999999998</v>
      </c>
      <c r="T1265">
        <v>-0.11154749999999999</v>
      </c>
      <c r="U1265">
        <v>0.2306213</v>
      </c>
      <c r="V1265">
        <v>-5.2795969999999998E-2</v>
      </c>
      <c r="W1265">
        <v>-4.8561979999999998E-2</v>
      </c>
      <c r="X1265">
        <v>0.99742379999999997</v>
      </c>
      <c r="Y1265">
        <v>6.9284739999999997E-2</v>
      </c>
      <c r="Z1265">
        <v>1.1257210000000001E-3</v>
      </c>
      <c r="AA1265">
        <v>0.99759629999999999</v>
      </c>
      <c r="AB1265">
        <v>37</v>
      </c>
      <c r="AC1265">
        <v>-29.432400000000001</v>
      </c>
      <c r="AD1265">
        <v>-1.1054915532130001</v>
      </c>
      <c r="AE1265">
        <v>2.2816000000000201</v>
      </c>
      <c r="AF1265">
        <v>2.0724443305788198</v>
      </c>
      <c r="AG1265">
        <v>-1.1054915532130001</v>
      </c>
      <c r="AH1265">
        <v>29.406423644648601</v>
      </c>
      <c r="AI1265">
        <v>92.147615477808003</v>
      </c>
      <c r="AJ1265">
        <v>85.968693549258802</v>
      </c>
      <c r="AK1265">
        <v>29.500082858292501</v>
      </c>
      <c r="AL1265">
        <v>92.7834913815052</v>
      </c>
      <c r="AM1265">
        <v>93.029971641368206</v>
      </c>
      <c r="AN1265">
        <v>0.99999995857809898</v>
      </c>
    </row>
    <row r="1266" spans="1:40" x14ac:dyDescent="0.25">
      <c r="A1266" t="str">
        <f>"20190305135605812"</f>
        <v>20190305135605812</v>
      </c>
      <c r="B1266" t="str">
        <f>"1551765365803309"</f>
        <v>1551765365803309</v>
      </c>
      <c r="C1266" t="s">
        <v>40</v>
      </c>
      <c r="D1266">
        <v>4.3323029999999996</v>
      </c>
      <c r="E1266">
        <v>0.5470353</v>
      </c>
      <c r="F1266" t="s">
        <v>55</v>
      </c>
      <c r="G1266">
        <v>-261.33690000000001</v>
      </c>
      <c r="H1266" s="1">
        <v>-8.2532889999999997E-7</v>
      </c>
      <c r="I1266">
        <v>284.85149999999999</v>
      </c>
      <c r="J1266">
        <v>-230.9273</v>
      </c>
      <c r="K1266">
        <v>1.105577</v>
      </c>
      <c r="L1266">
        <v>282.42610000000002</v>
      </c>
      <c r="M1266">
        <v>-0.99995509999999999</v>
      </c>
      <c r="N1266">
        <v>-2.5393199999999999E-3</v>
      </c>
      <c r="O1266">
        <v>9.1321790000000007E-3</v>
      </c>
      <c r="P1266">
        <v>-0.9978165</v>
      </c>
      <c r="Q1266">
        <v>-4.9723330000000003E-2</v>
      </c>
      <c r="R1266">
        <v>-4.3473280000000003E-2</v>
      </c>
      <c r="S1266">
        <v>-3.012375</v>
      </c>
      <c r="T1266">
        <v>-0.10812089999999901</v>
      </c>
      <c r="U1266">
        <v>0.2376404</v>
      </c>
      <c r="V1266">
        <v>-5.2833440000000002E-2</v>
      </c>
      <c r="W1266">
        <v>-4.6910439999999998E-2</v>
      </c>
      <c r="X1266">
        <v>0.99750090000000002</v>
      </c>
      <c r="Y1266">
        <v>6.9493959999999994E-2</v>
      </c>
      <c r="Z1266">
        <v>1.029236E-3</v>
      </c>
      <c r="AA1266">
        <v>0.99758179999999996</v>
      </c>
      <c r="AB1266">
        <v>38</v>
      </c>
      <c r="AC1266">
        <v>-30.409600000000001</v>
      </c>
      <c r="AD1266">
        <v>-1.1055778253288999</v>
      </c>
      <c r="AE1266">
        <v>2.4253999999999598</v>
      </c>
      <c r="AF1266">
        <v>2.1447750743462701</v>
      </c>
      <c r="AG1266">
        <v>-1.1055778253288999</v>
      </c>
      <c r="AH1266">
        <v>30.3905656464256</v>
      </c>
      <c r="AI1266">
        <v>92.078278719355097</v>
      </c>
      <c r="AJ1266">
        <v>85.963117289681307</v>
      </c>
      <c r="AK1266">
        <v>30.486207418389998</v>
      </c>
      <c r="AL1266">
        <v>92.688756974562907</v>
      </c>
      <c r="AM1266">
        <v>93.0318841164395</v>
      </c>
      <c r="AN1266">
        <v>1.00000000363201</v>
      </c>
    </row>
    <row r="1267" spans="1:40" x14ac:dyDescent="0.25">
      <c r="A1267" t="str">
        <f>"20190305135605832"</f>
        <v>20190305135605832</v>
      </c>
      <c r="B1267" t="str">
        <f>"1551765365822829"</f>
        <v>1551765365822829</v>
      </c>
      <c r="C1267" t="s">
        <v>40</v>
      </c>
      <c r="D1267">
        <v>4.3054739999999896</v>
      </c>
      <c r="E1267">
        <v>0.54690380000000005</v>
      </c>
      <c r="F1267" t="s">
        <v>55</v>
      </c>
      <c r="G1267">
        <v>-262.08769999999998</v>
      </c>
      <c r="H1267" s="1">
        <v>-4.2582230000000002E-7</v>
      </c>
      <c r="I1267">
        <v>284.93270000000001</v>
      </c>
      <c r="J1267">
        <v>-231.28960000000001</v>
      </c>
      <c r="K1267">
        <v>1.1056539999999999</v>
      </c>
      <c r="L1267">
        <v>282.43079999999998</v>
      </c>
      <c r="M1267">
        <v>-0.99993659999999995</v>
      </c>
      <c r="N1267">
        <v>-2.5726529999999998E-3</v>
      </c>
      <c r="O1267">
        <v>1.0972910000000001E-2</v>
      </c>
      <c r="P1267">
        <v>-0.99800040000000001</v>
      </c>
      <c r="Q1267">
        <v>-4.7457869999999999E-2</v>
      </c>
      <c r="R1267">
        <v>-4.1754609999999998E-2</v>
      </c>
      <c r="S1267">
        <v>-3.0118260000000001</v>
      </c>
      <c r="T1267">
        <v>-0.1068602</v>
      </c>
      <c r="U1267">
        <v>0.2422791</v>
      </c>
      <c r="V1267">
        <v>-5.2932220000000002E-2</v>
      </c>
      <c r="W1267">
        <v>-4.4621460000000002E-2</v>
      </c>
      <c r="X1267">
        <v>0.99760070000000001</v>
      </c>
      <c r="Y1267">
        <v>6.9200650000000002E-2</v>
      </c>
      <c r="Z1267">
        <v>9.5410799999999995E-4</v>
      </c>
      <c r="AA1267">
        <v>0.99760230000000005</v>
      </c>
      <c r="AB1267">
        <v>38</v>
      </c>
      <c r="AC1267">
        <v>-30.798099999999899</v>
      </c>
      <c r="AD1267">
        <v>-1.1056544258223</v>
      </c>
      <c r="AE1267">
        <v>2.5019000000000302</v>
      </c>
      <c r="AF1267">
        <v>2.1610365953913999</v>
      </c>
      <c r="AG1267">
        <v>-1.1056544258223</v>
      </c>
      <c r="AH1267">
        <v>30.784283851791201</v>
      </c>
      <c r="AI1267">
        <v>92.051917050155197</v>
      </c>
      <c r="AJ1267">
        <v>85.984461222610307</v>
      </c>
      <c r="AK1267">
        <v>30.879842667079998</v>
      </c>
      <c r="AL1267">
        <v>92.557470433200905</v>
      </c>
      <c r="AM1267">
        <v>93.037238763876701</v>
      </c>
      <c r="AN1267">
        <v>1.0000000256235699</v>
      </c>
    </row>
    <row r="1268" spans="1:40" x14ac:dyDescent="0.25">
      <c r="A1268" t="str">
        <f>"20190305135605854"</f>
        <v>20190305135605854</v>
      </c>
      <c r="B1268" t="str">
        <f>"1551765365843326"</f>
        <v>1551765365843326</v>
      </c>
      <c r="C1268" t="s">
        <v>40</v>
      </c>
      <c r="D1268">
        <v>4.3130889999999997</v>
      </c>
      <c r="E1268">
        <v>0.54668689999999998</v>
      </c>
      <c r="F1268" t="s">
        <v>55</v>
      </c>
      <c r="G1268">
        <v>-263.32549999999998</v>
      </c>
      <c r="H1268" s="1">
        <v>2.3288670000000001E-7</v>
      </c>
      <c r="I1268">
        <v>285.05529999999999</v>
      </c>
      <c r="J1268">
        <v>-231.6627</v>
      </c>
      <c r="K1268">
        <v>1.1057319999999999</v>
      </c>
      <c r="L1268">
        <v>282.43619999999999</v>
      </c>
      <c r="M1268">
        <v>-0.9999152</v>
      </c>
      <c r="N1268">
        <v>-2.6072740000000001E-3</v>
      </c>
      <c r="O1268">
        <v>1.2754420000000001E-2</v>
      </c>
      <c r="P1268">
        <v>-0.99809519999999996</v>
      </c>
      <c r="Q1268">
        <v>-4.6225000000000002E-2</v>
      </c>
      <c r="R1268">
        <v>-4.0857400000000002E-2</v>
      </c>
      <c r="S1268">
        <v>-3.0113979999999998</v>
      </c>
      <c r="T1268">
        <v>-0.10393230000000001</v>
      </c>
      <c r="U1268">
        <v>0.24670410000000001</v>
      </c>
      <c r="V1268">
        <v>-5.379809E-2</v>
      </c>
      <c r="W1268">
        <v>-4.3360450000000002E-2</v>
      </c>
      <c r="X1268">
        <v>0.99761</v>
      </c>
      <c r="Y1268">
        <v>6.8893999999999997E-2</v>
      </c>
      <c r="Z1268">
        <v>8.7045419999999996E-4</v>
      </c>
      <c r="AA1268">
        <v>0.99762360000000005</v>
      </c>
      <c r="AB1268">
        <v>38</v>
      </c>
      <c r="AC1268">
        <v>-31.662799999999901</v>
      </c>
      <c r="AD1268">
        <v>-1.1057317671133</v>
      </c>
      <c r="AE1268">
        <v>2.6191</v>
      </c>
      <c r="AF1268">
        <v>2.2123651498461601</v>
      </c>
      <c r="AG1268">
        <v>-1.1057317671133</v>
      </c>
      <c r="AH1268">
        <v>31.655286750933001</v>
      </c>
      <c r="AI1268">
        <v>91.995686915026099</v>
      </c>
      <c r="AJ1268">
        <v>86.002140052593703</v>
      </c>
      <c r="AK1268">
        <v>31.751761865774501</v>
      </c>
      <c r="AL1268">
        <v>92.485149838095097</v>
      </c>
      <c r="AM1268">
        <v>93.086798154916394</v>
      </c>
      <c r="AN1268">
        <v>1.0000000376059199</v>
      </c>
    </row>
    <row r="1269" spans="1:40" x14ac:dyDescent="0.25">
      <c r="A1269" t="str">
        <f>"20190305135605876"</f>
        <v>20190305135605876</v>
      </c>
      <c r="B1269" t="str">
        <f>"1551765365872606"</f>
        <v>1551765365872606</v>
      </c>
      <c r="C1269" t="s">
        <v>40</v>
      </c>
      <c r="D1269">
        <v>4.3091039999999996</v>
      </c>
      <c r="E1269">
        <v>0.54640859999999902</v>
      </c>
      <c r="F1269" t="s">
        <v>55</v>
      </c>
      <c r="G1269">
        <v>-263.50240000000002</v>
      </c>
      <c r="H1269" s="1">
        <v>3.2703939999999999E-7</v>
      </c>
      <c r="I1269">
        <v>285.05849999999998</v>
      </c>
      <c r="J1269">
        <v>-232.03989999999999</v>
      </c>
      <c r="K1269">
        <v>1.105799</v>
      </c>
      <c r="L1269">
        <v>282.44229999999999</v>
      </c>
      <c r="M1269">
        <v>-0.99989220000000001</v>
      </c>
      <c r="N1269">
        <v>-2.6429180000000002E-3</v>
      </c>
      <c r="O1269">
        <v>1.443911E-2</v>
      </c>
      <c r="P1269">
        <v>-0.99805880000000002</v>
      </c>
      <c r="Q1269">
        <v>-4.7875149999999998E-2</v>
      </c>
      <c r="R1269">
        <v>-3.9830989999999997E-2</v>
      </c>
      <c r="S1269">
        <v>-3.011047</v>
      </c>
      <c r="T1269">
        <v>-0.1045678</v>
      </c>
      <c r="U1269">
        <v>0.24798580000000001</v>
      </c>
      <c r="V1269">
        <v>-5.445063E-2</v>
      </c>
      <c r="W1269">
        <v>-4.4983139999999998E-2</v>
      </c>
      <c r="X1269">
        <v>0.99750269999999996</v>
      </c>
      <c r="Y1269">
        <v>6.7645559999999993E-2</v>
      </c>
      <c r="Z1269">
        <v>7.9956910000000001E-4</v>
      </c>
      <c r="AA1269">
        <v>0.99770910000000002</v>
      </c>
      <c r="AB1269">
        <v>38</v>
      </c>
      <c r="AC1269">
        <v>-31.462499999999999</v>
      </c>
      <c r="AD1269">
        <v>-1.1057986729606</v>
      </c>
      <c r="AE1269">
        <v>2.6161999999999899</v>
      </c>
      <c r="AF1269">
        <v>2.1589865089416902</v>
      </c>
      <c r="AG1269">
        <v>-1.1057986729606</v>
      </c>
      <c r="AH1269">
        <v>31.458402653917599</v>
      </c>
      <c r="AI1269">
        <v>92.008462446573702</v>
      </c>
      <c r="AJ1269">
        <v>86.073953577094898</v>
      </c>
      <c r="AK1269">
        <v>31.551784592744099</v>
      </c>
      <c r="AL1269">
        <v>92.578214077859499</v>
      </c>
      <c r="AM1269">
        <v>93.124500918006504</v>
      </c>
      <c r="AN1269">
        <v>0.99999999524947303</v>
      </c>
    </row>
    <row r="1270" spans="1:40" x14ac:dyDescent="0.25">
      <c r="A1270" t="str">
        <f>"20190305135605899"</f>
        <v>20190305135605899</v>
      </c>
      <c r="B1270" t="str">
        <f>"1551765365892634"</f>
        <v>1551765365892634</v>
      </c>
      <c r="C1270" t="s">
        <v>40</v>
      </c>
      <c r="D1270">
        <v>4.2878210000000001</v>
      </c>
      <c r="E1270">
        <v>0.54621960000000003</v>
      </c>
      <c r="F1270" t="s">
        <v>55</v>
      </c>
      <c r="G1270">
        <v>-260.78629999999998</v>
      </c>
      <c r="H1270" s="1">
        <v>-1.118332E-6</v>
      </c>
      <c r="I1270">
        <v>284.82299999999998</v>
      </c>
      <c r="J1270">
        <v>-232.44560000000001</v>
      </c>
      <c r="K1270">
        <v>1.1058760000000001</v>
      </c>
      <c r="L1270">
        <v>282.44940000000003</v>
      </c>
      <c r="M1270">
        <v>-0.9998667</v>
      </c>
      <c r="N1270">
        <v>-2.6818279999999998E-3</v>
      </c>
      <c r="O1270">
        <v>1.6120499999999999E-2</v>
      </c>
      <c r="P1270">
        <v>-0.99802769999999996</v>
      </c>
      <c r="Q1270">
        <v>-4.8819969999999997E-2</v>
      </c>
      <c r="R1270">
        <v>-3.9471079999999999E-2</v>
      </c>
      <c r="S1270">
        <v>-3.010208</v>
      </c>
      <c r="T1270">
        <v>-0.1157947</v>
      </c>
      <c r="U1270">
        <v>0.24929809999999999</v>
      </c>
      <c r="V1270">
        <v>-5.5761060000000001E-2</v>
      </c>
      <c r="W1270">
        <v>-4.5895539999999999E-2</v>
      </c>
      <c r="X1270">
        <v>0.99738870000000002</v>
      </c>
      <c r="Y1270">
        <v>6.6416790000000003E-2</v>
      </c>
      <c r="Z1270">
        <v>7.8848310000000001E-4</v>
      </c>
      <c r="AA1270">
        <v>0.9977916</v>
      </c>
      <c r="AB1270">
        <v>38</v>
      </c>
      <c r="AC1270">
        <v>-28.340699999999899</v>
      </c>
      <c r="AD1270">
        <v>-1.105877118332</v>
      </c>
      <c r="AE1270">
        <v>2.37359999999995</v>
      </c>
      <c r="AF1270">
        <v>1.91353048393445</v>
      </c>
      <c r="AG1270">
        <v>-1.105877118332</v>
      </c>
      <c r="AH1270">
        <v>28.3324418715276</v>
      </c>
      <c r="AI1270">
        <v>92.230169331320496</v>
      </c>
      <c r="AJ1270">
        <v>86.136196998146801</v>
      </c>
      <c r="AK1270">
        <v>28.418512021520201</v>
      </c>
      <c r="AL1270">
        <v>92.630544900569404</v>
      </c>
      <c r="AM1270">
        <v>93.199906914341199</v>
      </c>
      <c r="AN1270">
        <v>0.99999995764595095</v>
      </c>
    </row>
    <row r="1271" spans="1:40" x14ac:dyDescent="0.25">
      <c r="A1271" t="str">
        <f>"20190305135605919"</f>
        <v>20190305135605919</v>
      </c>
      <c r="B1271" t="str">
        <f>"1551765365913130"</f>
        <v>1551765365913130</v>
      </c>
      <c r="C1271" t="s">
        <v>40</v>
      </c>
      <c r="D1271">
        <v>4.3292380000000001</v>
      </c>
      <c r="E1271">
        <v>0.54639179999999998</v>
      </c>
      <c r="F1271" t="s">
        <v>55</v>
      </c>
      <c r="G1271">
        <v>-259.71480000000003</v>
      </c>
      <c r="H1271" s="1">
        <v>3.632976E-6</v>
      </c>
      <c r="I1271">
        <v>284.7056</v>
      </c>
      <c r="J1271">
        <v>-232.80439999999999</v>
      </c>
      <c r="K1271">
        <v>1.1059429999999999</v>
      </c>
      <c r="L1271">
        <v>282.45620000000002</v>
      </c>
      <c r="M1271">
        <v>-0.99984320000000004</v>
      </c>
      <c r="N1271">
        <v>-2.7164020000000001E-3</v>
      </c>
      <c r="O1271">
        <v>1.7500849999999998E-2</v>
      </c>
      <c r="P1271">
        <v>-0.9979538</v>
      </c>
      <c r="Q1271">
        <v>-5.0049120000000002E-2</v>
      </c>
      <c r="R1271">
        <v>-3.9791680000000003E-2</v>
      </c>
      <c r="S1271">
        <v>-3.0097809999999998</v>
      </c>
      <c r="T1271">
        <v>-0.122058</v>
      </c>
      <c r="U1271">
        <v>0.24902340000000001</v>
      </c>
      <c r="V1271">
        <v>-5.7453249999999997E-2</v>
      </c>
      <c r="W1271">
        <v>-4.7094579999999997E-2</v>
      </c>
      <c r="X1271">
        <v>0.99723680000000003</v>
      </c>
      <c r="Y1271">
        <v>6.4958219999999997E-2</v>
      </c>
      <c r="Z1271">
        <v>7.4216259999999997E-4</v>
      </c>
      <c r="AA1271">
        <v>0.99788770000000004</v>
      </c>
      <c r="AB1271">
        <v>39</v>
      </c>
      <c r="AC1271">
        <v>-26.910399999999999</v>
      </c>
      <c r="AD1271">
        <v>-1.1059393670240001</v>
      </c>
      <c r="AE1271">
        <v>2.2493999999999801</v>
      </c>
      <c r="AF1271">
        <v>1.7751215793466899</v>
      </c>
      <c r="AG1271">
        <v>-1.1059393670240001</v>
      </c>
      <c r="AH1271">
        <v>26.900526179782201</v>
      </c>
      <c r="AI1271">
        <v>92.349125520821502</v>
      </c>
      <c r="AJ1271">
        <v>86.224619101943802</v>
      </c>
      <c r="AK1271">
        <v>26.9817061590653</v>
      </c>
      <c r="AL1271">
        <v>92.699319088328593</v>
      </c>
      <c r="AM1271">
        <v>93.2973050211356</v>
      </c>
      <c r="AN1271">
        <v>1.0000000053375799</v>
      </c>
    </row>
    <row r="1272" spans="1:40" x14ac:dyDescent="0.25">
      <c r="A1272" t="str">
        <f>"20190305135605943"</f>
        <v>20190305135605943</v>
      </c>
      <c r="B1272" t="str">
        <f>"1551765365932650"</f>
        <v>1551765365932650</v>
      </c>
      <c r="C1272" t="s">
        <v>40</v>
      </c>
      <c r="D1272">
        <v>4.2893819999999998</v>
      </c>
      <c r="E1272">
        <v>0.54677609999999999</v>
      </c>
      <c r="F1272" t="s">
        <v>55</v>
      </c>
      <c r="G1272">
        <v>-258.96929999999998</v>
      </c>
      <c r="H1272" s="1">
        <v>3.236246E-6</v>
      </c>
      <c r="I1272">
        <v>284.6259</v>
      </c>
      <c r="J1272">
        <v>-233.2011</v>
      </c>
      <c r="K1272">
        <v>1.106025</v>
      </c>
      <c r="L1272">
        <v>282.46420000000001</v>
      </c>
      <c r="M1272">
        <v>-0.99981739999999997</v>
      </c>
      <c r="N1272">
        <v>-2.7548300000000002E-3</v>
      </c>
      <c r="O1272">
        <v>1.8915209999999998E-2</v>
      </c>
      <c r="P1272">
        <v>-0.99786909999999895</v>
      </c>
      <c r="Q1272">
        <v>-5.0866189999999999E-2</v>
      </c>
      <c r="R1272">
        <v>-4.0865930000000002E-2</v>
      </c>
      <c r="S1272">
        <v>-3.0097200000000002</v>
      </c>
      <c r="T1272">
        <v>-0.12721470000000001</v>
      </c>
      <c r="U1272">
        <v>0.24957280000000001</v>
      </c>
      <c r="V1272">
        <v>-5.9928769999999999E-2</v>
      </c>
      <c r="W1272">
        <v>-4.7876719999999998E-2</v>
      </c>
      <c r="X1272">
        <v>0.99705390000000005</v>
      </c>
      <c r="Y1272">
        <v>6.3727710000000007E-2</v>
      </c>
      <c r="Z1272">
        <v>6.8630579999999996E-4</v>
      </c>
      <c r="AA1272">
        <v>0.9979671</v>
      </c>
      <c r="AB1272">
        <v>39</v>
      </c>
      <c r="AC1272">
        <v>-25.768199999999901</v>
      </c>
      <c r="AD1272">
        <v>-1.106021763754</v>
      </c>
      <c r="AE1272">
        <v>2.16169999999999</v>
      </c>
      <c r="AF1272">
        <v>1.6708438614327199</v>
      </c>
      <c r="AG1272">
        <v>-1.106021763754</v>
      </c>
      <c r="AH1272">
        <v>25.757357939058402</v>
      </c>
      <c r="AI1272">
        <v>92.453621526324497</v>
      </c>
      <c r="AJ1272">
        <v>86.288502832607904</v>
      </c>
      <c r="AK1272">
        <v>25.835179336555001</v>
      </c>
      <c r="AL1272">
        <v>92.744182873916699</v>
      </c>
      <c r="AM1272">
        <v>93.439673204226395</v>
      </c>
      <c r="AN1272">
        <v>1.0000000586484299</v>
      </c>
    </row>
    <row r="1273" spans="1:40" x14ac:dyDescent="0.25">
      <c r="A1273" t="str">
        <f>"20190305135605963"</f>
        <v>20190305135605963</v>
      </c>
      <c r="B1273" t="str">
        <f>"1551765365953149"</f>
        <v>1551765365953149</v>
      </c>
      <c r="C1273" t="s">
        <v>40</v>
      </c>
      <c r="D1273">
        <v>4.2693779999999997</v>
      </c>
      <c r="E1273">
        <v>0.54712439999999996</v>
      </c>
      <c r="F1273" t="s">
        <v>55</v>
      </c>
      <c r="G1273">
        <v>-258.77980000000002</v>
      </c>
      <c r="H1273" s="1">
        <v>3.1354160000000001E-6</v>
      </c>
      <c r="I1273">
        <v>284.58269999999999</v>
      </c>
      <c r="J1273">
        <v>-233.57759999999999</v>
      </c>
      <c r="K1273">
        <v>1.1061049999999999</v>
      </c>
      <c r="L1273">
        <v>282.47219999999999</v>
      </c>
      <c r="M1273">
        <v>-0.99979309999999999</v>
      </c>
      <c r="N1273">
        <v>-2.7914659999999998E-3</v>
      </c>
      <c r="O1273">
        <v>2.0156500000000001E-2</v>
      </c>
      <c r="P1273">
        <v>-0.99782470000000001</v>
      </c>
      <c r="Q1273">
        <v>-5.0575679999999998E-2</v>
      </c>
      <c r="R1273">
        <v>-4.2287470000000001E-2</v>
      </c>
      <c r="S1273">
        <v>-3.009979</v>
      </c>
      <c r="T1273">
        <v>-0.13015119999999999</v>
      </c>
      <c r="U1273">
        <v>0.24929809999999999</v>
      </c>
      <c r="V1273">
        <v>-6.2574829999999998E-2</v>
      </c>
      <c r="W1273">
        <v>-4.7552820000000003E-2</v>
      </c>
      <c r="X1273">
        <v>0.99690679999999998</v>
      </c>
      <c r="Y1273">
        <v>6.2391389999999998E-2</v>
      </c>
      <c r="Z1273">
        <v>6.1995559999999895E-4</v>
      </c>
      <c r="AA1273">
        <v>0.99805160000000004</v>
      </c>
      <c r="AB1273">
        <v>39</v>
      </c>
      <c r="AC1273">
        <v>-25.202200000000001</v>
      </c>
      <c r="AD1273">
        <v>-1.1061018645839999</v>
      </c>
      <c r="AE1273">
        <v>2.1105</v>
      </c>
      <c r="AF1273">
        <v>1.5990225071728399</v>
      </c>
      <c r="AG1273">
        <v>-1.1061018645839999</v>
      </c>
      <c r="AH1273">
        <v>25.191433115854501</v>
      </c>
      <c r="AI1273">
        <v>92.509077061946499</v>
      </c>
      <c r="AJ1273">
        <v>86.368031406150095</v>
      </c>
      <c r="AK1273">
        <v>25.2663538474362</v>
      </c>
      <c r="AL1273">
        <v>92.725603704802296</v>
      </c>
      <c r="AM1273">
        <v>93.591685970972406</v>
      </c>
      <c r="AN1273">
        <v>1.0000000239628599</v>
      </c>
    </row>
    <row r="1274" spans="1:40" x14ac:dyDescent="0.25">
      <c r="A1274" t="str">
        <f>"20190305135605988"</f>
        <v>20190305135605988</v>
      </c>
      <c r="B1274" t="str">
        <f>"1551765365982933"</f>
        <v>1551765365982933</v>
      </c>
      <c r="C1274" t="s">
        <v>40</v>
      </c>
      <c r="D1274">
        <v>4.2669839999999999</v>
      </c>
      <c r="E1274">
        <v>0.5476297</v>
      </c>
      <c r="F1274" t="s">
        <v>55</v>
      </c>
      <c r="G1274">
        <v>-259.24540000000002</v>
      </c>
      <c r="H1274" s="1">
        <v>3.383129E-6</v>
      </c>
      <c r="I1274">
        <v>284.58530000000002</v>
      </c>
      <c r="J1274">
        <v>-233.99879999999999</v>
      </c>
      <c r="K1274">
        <v>1.106209</v>
      </c>
      <c r="L1274">
        <v>282.48160000000001</v>
      </c>
      <c r="M1274">
        <v>-0.99976620000000005</v>
      </c>
      <c r="N1274">
        <v>-2.8327259999999998E-3</v>
      </c>
      <c r="O1274">
        <v>2.1437339999999999E-2</v>
      </c>
      <c r="P1274">
        <v>-0.99784640000000002</v>
      </c>
      <c r="Q1274">
        <v>-4.9147179999999999E-2</v>
      </c>
      <c r="R1274">
        <v>-4.3443849999999999E-2</v>
      </c>
      <c r="S1274">
        <v>-3.0104829999999998</v>
      </c>
      <c r="T1274">
        <v>-0.12973109999999999</v>
      </c>
      <c r="U1274">
        <v>0.24783330000000001</v>
      </c>
      <c r="V1274">
        <v>-6.4991560000000004E-2</v>
      </c>
      <c r="W1274">
        <v>-4.6089749999999999E-2</v>
      </c>
      <c r="X1274">
        <v>0.99682090000000001</v>
      </c>
      <c r="Y1274">
        <v>6.0619560000000003E-2</v>
      </c>
      <c r="Z1274">
        <v>5.2843589999999896E-4</v>
      </c>
      <c r="AA1274">
        <v>0.99816079999999996</v>
      </c>
      <c r="AB1274">
        <v>39</v>
      </c>
      <c r="AC1274">
        <v>-25.246600000000001</v>
      </c>
      <c r="AD1274">
        <v>-1.1062056168709999</v>
      </c>
      <c r="AE1274">
        <v>2.1036999999999999</v>
      </c>
      <c r="AF1274">
        <v>1.5590220032442701</v>
      </c>
      <c r="AG1274">
        <v>-1.1062056168709999</v>
      </c>
      <c r="AH1274">
        <v>25.237777545726999</v>
      </c>
      <c r="AI1274">
        <v>92.504975629202306</v>
      </c>
      <c r="AJ1274">
        <v>86.46513961318</v>
      </c>
      <c r="AK1274">
        <v>25.3100702472553</v>
      </c>
      <c r="AL1274">
        <v>92.641683891568306</v>
      </c>
      <c r="AM1274">
        <v>93.730338223724601</v>
      </c>
      <c r="AN1274">
        <v>1.0000000373015501</v>
      </c>
    </row>
    <row r="1275" spans="1:40" x14ac:dyDescent="0.25">
      <c r="A1275" t="str">
        <f>"20190305135606011"</f>
        <v>20190305135606011</v>
      </c>
      <c r="B1275" t="str">
        <f>"1551765366003429"</f>
        <v>1551765366003429</v>
      </c>
      <c r="C1275" t="s">
        <v>40</v>
      </c>
      <c r="D1275">
        <v>4.2499630000000002</v>
      </c>
      <c r="E1275">
        <v>0.54789129999999997</v>
      </c>
      <c r="F1275" t="s">
        <v>55</v>
      </c>
      <c r="G1275">
        <v>-260.30410000000001</v>
      </c>
      <c r="H1275" s="1">
        <v>-1.3749519999999999E-6</v>
      </c>
      <c r="I1275">
        <v>284.65309999999999</v>
      </c>
      <c r="J1275">
        <v>-234.39160000000001</v>
      </c>
      <c r="K1275">
        <v>1.1063320000000001</v>
      </c>
      <c r="L1275">
        <v>282.49079999999998</v>
      </c>
      <c r="M1275">
        <v>-0.99974220000000003</v>
      </c>
      <c r="N1275">
        <v>-2.87126E-3</v>
      </c>
      <c r="O1275">
        <v>2.2522940000000002E-2</v>
      </c>
      <c r="P1275">
        <v>-0.99797309999999995</v>
      </c>
      <c r="Q1275">
        <v>-4.4497549999999997E-2</v>
      </c>
      <c r="R1275">
        <v>-4.549537E-2</v>
      </c>
      <c r="S1275">
        <v>-3.011063</v>
      </c>
      <c r="T1275">
        <v>-0.1266235</v>
      </c>
      <c r="U1275">
        <v>0.2485657</v>
      </c>
      <c r="V1275">
        <v>-6.8101480000000006E-2</v>
      </c>
      <c r="W1275">
        <v>-4.140576E-2</v>
      </c>
      <c r="X1275">
        <v>0.9968188</v>
      </c>
      <c r="Y1275">
        <v>5.9764530000000003E-2</v>
      </c>
      <c r="Z1275">
        <v>4.5963589999999999E-4</v>
      </c>
      <c r="AA1275">
        <v>0.9982124</v>
      </c>
      <c r="AB1275">
        <v>39</v>
      </c>
      <c r="AC1275">
        <v>-25.912499999999898</v>
      </c>
      <c r="AD1275">
        <v>-1.1063333749519999</v>
      </c>
      <c r="AE1275">
        <v>2.1623000000000099</v>
      </c>
      <c r="AF1275">
        <v>1.5752717430142</v>
      </c>
      <c r="AG1275">
        <v>-1.1063333749519999</v>
      </c>
      <c r="AH1275">
        <v>25.907728586421701</v>
      </c>
      <c r="AI1275">
        <v>92.440704407599299</v>
      </c>
      <c r="AJ1275">
        <v>86.520519291739106</v>
      </c>
      <c r="AK1275">
        <v>25.979142693871999</v>
      </c>
      <c r="AL1275">
        <v>92.373053737674994</v>
      </c>
      <c r="AM1275">
        <v>93.908306734916394</v>
      </c>
      <c r="AN1275">
        <v>0.99999998428640302</v>
      </c>
    </row>
    <row r="1276" spans="1:40" x14ac:dyDescent="0.25">
      <c r="A1276" t="str">
        <f>"20190305135606032"</f>
        <v>20190305135606032</v>
      </c>
      <c r="B1276" t="str">
        <f>"1551765366022949"</f>
        <v>1551765366022949</v>
      </c>
      <c r="C1276" t="s">
        <v>40</v>
      </c>
      <c r="D1276">
        <v>4.2121309999999896</v>
      </c>
      <c r="E1276">
        <v>0.54816529999999997</v>
      </c>
      <c r="F1276" t="s">
        <v>55</v>
      </c>
      <c r="G1276">
        <v>-263.9853</v>
      </c>
      <c r="H1276" s="1">
        <v>5.8397859999999896E-7</v>
      </c>
      <c r="I1276">
        <v>284.89269999999999</v>
      </c>
      <c r="J1276">
        <v>-234.78450000000001</v>
      </c>
      <c r="K1276">
        <v>1.106482</v>
      </c>
      <c r="L1276">
        <v>282.50049999999999</v>
      </c>
      <c r="M1276">
        <v>-0.99971949999999998</v>
      </c>
      <c r="N1276">
        <v>-2.909876E-3</v>
      </c>
      <c r="O1276">
        <v>2.3504489999999999E-2</v>
      </c>
      <c r="P1276">
        <v>-0.99832460000000001</v>
      </c>
      <c r="Q1276">
        <v>-3.343318E-2</v>
      </c>
      <c r="R1276">
        <v>-4.7227819999999997E-2</v>
      </c>
      <c r="S1276">
        <v>-3.012222</v>
      </c>
      <c r="T1276">
        <v>-0.112609</v>
      </c>
      <c r="U1276">
        <v>0.24447630000000001</v>
      </c>
      <c r="V1276">
        <v>-7.0776019999999995E-2</v>
      </c>
      <c r="W1276">
        <v>-3.0309220000000001E-2</v>
      </c>
      <c r="X1276">
        <v>0.99703160000000002</v>
      </c>
      <c r="Y1276">
        <v>5.7416469999999997E-2</v>
      </c>
      <c r="Z1276">
        <v>3.4640760000000001E-4</v>
      </c>
      <c r="AA1276">
        <v>0.99835030000000002</v>
      </c>
      <c r="AB1276">
        <v>39</v>
      </c>
      <c r="AC1276">
        <v>-29.200799999999902</v>
      </c>
      <c r="AD1276">
        <v>-1.1064814160214</v>
      </c>
      <c r="AE1276">
        <v>2.3921999999999999</v>
      </c>
      <c r="AF1276">
        <v>1.7027577415755899</v>
      </c>
      <c r="AG1276">
        <v>-1.1064814160214</v>
      </c>
      <c r="AH1276">
        <v>29.207303604024499</v>
      </c>
      <c r="AI1276">
        <v>92.165865963498106</v>
      </c>
      <c r="AJ1276">
        <v>86.663487698262401</v>
      </c>
      <c r="AK1276">
        <v>29.277811886617499</v>
      </c>
      <c r="AL1276">
        <v>91.736856464758702</v>
      </c>
      <c r="AM1276">
        <v>94.060429248241803</v>
      </c>
      <c r="AN1276">
        <v>0.99999995261130303</v>
      </c>
    </row>
    <row r="1277" spans="1:40" x14ac:dyDescent="0.25">
      <c r="A1277" t="str">
        <f>"20190305135606054"</f>
        <v>20190305135606054</v>
      </c>
      <c r="B1277" t="str">
        <f>"1551765366043445"</f>
        <v>1551765366043445</v>
      </c>
      <c r="C1277" t="s">
        <v>40</v>
      </c>
      <c r="D1277">
        <v>4.2251450000000004</v>
      </c>
      <c r="E1277">
        <v>0.54848850000000005</v>
      </c>
      <c r="F1277" t="s">
        <v>55</v>
      </c>
      <c r="G1277">
        <v>-277.07069999999999</v>
      </c>
      <c r="H1277" s="1">
        <v>2.1702669999999999E-6</v>
      </c>
      <c r="I1277">
        <v>285.88909999999998</v>
      </c>
      <c r="J1277">
        <v>-235.1679</v>
      </c>
      <c r="K1277">
        <v>1.1066579999999999</v>
      </c>
      <c r="L1277">
        <v>282.51010000000002</v>
      </c>
      <c r="M1277">
        <v>-0.99969850000000005</v>
      </c>
      <c r="N1277">
        <v>-2.9477539999999999E-3</v>
      </c>
      <c r="O1277">
        <v>2.4381099999999999E-2</v>
      </c>
      <c r="P1277">
        <v>-0.99868760000000001</v>
      </c>
      <c r="Q1277">
        <v>-1.6898429999999999E-2</v>
      </c>
      <c r="R1277">
        <v>-4.8351329999999998E-2</v>
      </c>
      <c r="S1277">
        <v>-3.0137939999999999</v>
      </c>
      <c r="T1277">
        <v>-7.8860280000000005E-2</v>
      </c>
      <c r="U1277">
        <v>0.24151610000000001</v>
      </c>
      <c r="V1277">
        <v>-7.2726929999999995E-2</v>
      </c>
      <c r="W1277">
        <v>-1.374501E-2</v>
      </c>
      <c r="X1277">
        <v>0.99725719999999995</v>
      </c>
      <c r="Y1277">
        <v>5.55393E-2</v>
      </c>
      <c r="Z1277">
        <v>2.4248330000000001E-4</v>
      </c>
      <c r="AA1277">
        <v>0.99845649999999997</v>
      </c>
      <c r="AB1277">
        <v>40</v>
      </c>
      <c r="AC1277">
        <v>-41.9027999999999</v>
      </c>
      <c r="AD1277">
        <v>-1.106655829733</v>
      </c>
      <c r="AE1277">
        <v>3.37899999999996</v>
      </c>
      <c r="AF1277">
        <v>2.3547230659327001</v>
      </c>
      <c r="AG1277">
        <v>-1.106655829733</v>
      </c>
      <c r="AH1277">
        <v>41.943661470984402</v>
      </c>
      <c r="AI1277">
        <v>91.508985720865596</v>
      </c>
      <c r="AJ1277">
        <v>86.786779749804893</v>
      </c>
      <c r="AK1277">
        <v>42.024280427334602</v>
      </c>
      <c r="AL1277">
        <v>90.787555840395996</v>
      </c>
      <c r="AM1277">
        <v>94.171022830729896</v>
      </c>
      <c r="AN1277">
        <v>1.00000002729948</v>
      </c>
    </row>
    <row r="1278" spans="1:40" x14ac:dyDescent="0.25">
      <c r="A1278" t="str">
        <f>"20190305135606076"</f>
        <v>20190305135606076</v>
      </c>
      <c r="B1278" t="str">
        <f>"1551765366072725"</f>
        <v>1551765366072725</v>
      </c>
      <c r="C1278" t="s">
        <v>40</v>
      </c>
      <c r="D1278">
        <v>4.1818689999999998</v>
      </c>
      <c r="E1278">
        <v>0.55774219999999997</v>
      </c>
      <c r="F1278" t="s">
        <v>55</v>
      </c>
      <c r="G1278">
        <v>-339.27089999999998</v>
      </c>
      <c r="H1278">
        <v>8.0001000000000003E-2</v>
      </c>
      <c r="I1278">
        <v>290.82060000000001</v>
      </c>
      <c r="J1278">
        <v>-235.55529999999999</v>
      </c>
      <c r="K1278">
        <v>1.106803</v>
      </c>
      <c r="L1278">
        <v>282.52010000000001</v>
      </c>
      <c r="M1278">
        <v>-0.99967839999999997</v>
      </c>
      <c r="N1278">
        <v>-2.986065E-3</v>
      </c>
      <c r="O1278">
        <v>2.5184370000000001E-2</v>
      </c>
      <c r="P1278">
        <v>-0.99877950000000004</v>
      </c>
      <c r="Q1278">
        <v>-4.5798269999999999E-3</v>
      </c>
      <c r="R1278">
        <v>-4.9184100000000001E-2</v>
      </c>
      <c r="S1278">
        <v>-3.015091</v>
      </c>
      <c r="T1278">
        <v>-2.9734610000000002E-2</v>
      </c>
      <c r="U1278">
        <v>0.24069209999999999</v>
      </c>
      <c r="V1278">
        <v>-7.4326340000000005E-2</v>
      </c>
      <c r="W1278">
        <v>-1.3989129999999999E-3</v>
      </c>
      <c r="X1278">
        <v>0.99723300000000004</v>
      </c>
      <c r="Y1278">
        <v>5.4443320000000003E-2</v>
      </c>
      <c r="Z1278">
        <v>1.7666509999999901E-4</v>
      </c>
      <c r="AA1278">
        <v>0.99851690000000004</v>
      </c>
      <c r="AB1278">
        <v>40</v>
      </c>
      <c r="AC1278">
        <v>-103.71559999999999</v>
      </c>
      <c r="AD1278">
        <v>-1.026802</v>
      </c>
      <c r="AE1278">
        <v>8.3004999999999995</v>
      </c>
      <c r="AF1278">
        <v>5.6852899691671102</v>
      </c>
      <c r="AG1278">
        <v>-1.026802</v>
      </c>
      <c r="AH1278">
        <v>103.881630353407</v>
      </c>
      <c r="AI1278">
        <v>90.565466720562199</v>
      </c>
      <c r="AJ1278">
        <v>86.867410731801797</v>
      </c>
      <c r="AK1278">
        <v>104.04215477037501</v>
      </c>
      <c r="AL1278">
        <v>90.080151836224303</v>
      </c>
      <c r="AM1278">
        <v>94.262520533479602</v>
      </c>
      <c r="AN1278">
        <v>1.0000000090321799</v>
      </c>
    </row>
    <row r="1279" spans="1:40" x14ac:dyDescent="0.25">
      <c r="A1279" t="str">
        <f>"20190305135606098"</f>
        <v>20190305135606098</v>
      </c>
      <c r="B1279" t="str">
        <f>"1551765366092753"</f>
        <v>1551765366092753</v>
      </c>
      <c r="C1279" t="s">
        <v>40</v>
      </c>
      <c r="D1279">
        <v>4.1481669999999999</v>
      </c>
      <c r="E1279">
        <v>0.55830199999999996</v>
      </c>
      <c r="F1279" t="s">
        <v>61</v>
      </c>
      <c r="G1279">
        <v>-286.1293</v>
      </c>
      <c r="H1279" s="1">
        <v>5.0184869999999997E-6</v>
      </c>
      <c r="I1279">
        <v>287.83789999999999</v>
      </c>
      <c r="J1279">
        <v>-235.9511</v>
      </c>
      <c r="K1279">
        <v>1.1069249999999999</v>
      </c>
      <c r="L1279">
        <v>282.53059999999999</v>
      </c>
      <c r="M1279">
        <v>-0.99965970000000004</v>
      </c>
      <c r="N1279">
        <v>-3.0252719999999999E-3</v>
      </c>
      <c r="O1279">
        <v>2.591137E-2</v>
      </c>
      <c r="P1279">
        <v>-0.99873060000000002</v>
      </c>
      <c r="Q1279">
        <v>1.0756439999999999E-3</v>
      </c>
      <c r="R1279">
        <v>-5.0363339999999999E-2</v>
      </c>
      <c r="S1279">
        <v>-3.0189970000000002</v>
      </c>
      <c r="T1279">
        <v>-6.6069959999999997E-2</v>
      </c>
      <c r="U1279">
        <v>0.3174438</v>
      </c>
      <c r="V1279">
        <v>-7.6214340000000005E-2</v>
      </c>
      <c r="W1279">
        <v>4.2841939999999998E-3</v>
      </c>
      <c r="X1279">
        <v>0.99708220000000003</v>
      </c>
      <c r="Y1279">
        <v>7.8751070000000006E-2</v>
      </c>
      <c r="Z1279">
        <v>4.9171869999999995E-4</v>
      </c>
      <c r="AA1279">
        <v>0.99689419999999995</v>
      </c>
      <c r="AB1279">
        <v>40</v>
      </c>
      <c r="AC1279">
        <v>-50.178199999999997</v>
      </c>
      <c r="AD1279">
        <v>-1.106919981513</v>
      </c>
      <c r="AE1279">
        <v>5.3072999999999899</v>
      </c>
      <c r="AF1279">
        <v>4.0033995778917904</v>
      </c>
      <c r="AG1279">
        <v>-1.106919981513</v>
      </c>
      <c r="AH1279">
        <v>50.274677567447</v>
      </c>
      <c r="AI1279">
        <v>91.257324148192694</v>
      </c>
      <c r="AJ1279">
        <v>85.447113403123794</v>
      </c>
      <c r="AK1279">
        <v>50.445967971052902</v>
      </c>
      <c r="AL1279">
        <v>89.754533001212593</v>
      </c>
      <c r="AM1279">
        <v>94.371039013011099</v>
      </c>
      <c r="AN1279">
        <v>0.99999994674835102</v>
      </c>
    </row>
    <row r="1280" spans="1:40" x14ac:dyDescent="0.25">
      <c r="A1280" t="str">
        <f>"20190305135606121"</f>
        <v>20190305135606121</v>
      </c>
      <c r="B1280" t="str">
        <f>"1551765366113250"</f>
        <v>1551765366113250</v>
      </c>
      <c r="C1280" t="s">
        <v>40</v>
      </c>
      <c r="D1280">
        <v>4.2076609999999999</v>
      </c>
      <c r="E1280">
        <v>0.55874709999999905</v>
      </c>
      <c r="F1280" t="s">
        <v>61</v>
      </c>
      <c r="G1280">
        <v>-306.74020000000002</v>
      </c>
      <c r="H1280" s="1">
        <v>2.2047050000000002E-6</v>
      </c>
      <c r="I1280">
        <v>289.97609999999997</v>
      </c>
      <c r="J1280">
        <v>-236.3578</v>
      </c>
      <c r="K1280">
        <v>1.1070230000000001</v>
      </c>
      <c r="L1280">
        <v>282.54169999999999</v>
      </c>
      <c r="M1280">
        <v>-0.9996427</v>
      </c>
      <c r="N1280">
        <v>-3.065697E-3</v>
      </c>
      <c r="O1280">
        <v>2.655476E-2</v>
      </c>
      <c r="P1280">
        <v>-0.99865040000000005</v>
      </c>
      <c r="Q1280">
        <v>-1.41507E-4</v>
      </c>
      <c r="R1280">
        <v>-5.1939840000000001E-2</v>
      </c>
      <c r="S1280">
        <v>-3.019882</v>
      </c>
      <c r="T1280">
        <v>-4.7221659999999999E-2</v>
      </c>
      <c r="U1280">
        <v>0.31762699999999999</v>
      </c>
      <c r="V1280">
        <v>-7.8433859999999994E-2</v>
      </c>
      <c r="W1280">
        <v>3.0935400000000001E-3</v>
      </c>
      <c r="X1280">
        <v>0.99691450000000004</v>
      </c>
      <c r="Y1280">
        <v>7.8146259999999995E-2</v>
      </c>
      <c r="Z1280">
        <v>3.967207E-4</v>
      </c>
      <c r="AA1280">
        <v>0.99694179999999999</v>
      </c>
      <c r="AB1280">
        <v>40</v>
      </c>
      <c r="AC1280">
        <v>-70.382400000000004</v>
      </c>
      <c r="AD1280">
        <v>-1.107020795295</v>
      </c>
      <c r="AE1280">
        <v>7.4343999999999797</v>
      </c>
      <c r="AF1280">
        <v>5.5614212005517398</v>
      </c>
      <c r="AG1280">
        <v>-1.107020795295</v>
      </c>
      <c r="AH1280">
        <v>70.537741929172896</v>
      </c>
      <c r="AI1280">
        <v>90.896346162517105</v>
      </c>
      <c r="AJ1280">
        <v>85.491943108333999</v>
      </c>
      <c r="AK1280">
        <v>70.765301788925896</v>
      </c>
      <c r="AL1280">
        <v>89.822752928052097</v>
      </c>
      <c r="AM1280">
        <v>94.4985712883594</v>
      </c>
      <c r="AN1280">
        <v>0.99999998034724003</v>
      </c>
    </row>
    <row r="1281" spans="1:40" x14ac:dyDescent="0.25">
      <c r="A1281" t="str">
        <f>"20190305135606143"</f>
        <v>20190305135606143</v>
      </c>
      <c r="B1281" t="str">
        <f>"1551765366132770"</f>
        <v>1551765366132770</v>
      </c>
      <c r="C1281" t="s">
        <v>40</v>
      </c>
      <c r="D1281">
        <v>4.1662839999999903</v>
      </c>
      <c r="E1281">
        <v>0.55914160000000002</v>
      </c>
      <c r="F1281" t="s">
        <v>61</v>
      </c>
      <c r="G1281">
        <v>-311.14490000000001</v>
      </c>
      <c r="H1281">
        <v>3.012753E-2</v>
      </c>
      <c r="I1281">
        <v>290.35629999999998</v>
      </c>
      <c r="J1281">
        <v>-236.7628</v>
      </c>
      <c r="K1281">
        <v>1.1070960000000001</v>
      </c>
      <c r="L1281">
        <v>282.55279999999999</v>
      </c>
      <c r="M1281">
        <v>-0.99962819999999997</v>
      </c>
      <c r="N1281">
        <v>-3.1059630000000002E-3</v>
      </c>
      <c r="O1281">
        <v>2.7087300000000002E-2</v>
      </c>
      <c r="P1281">
        <v>-0.99854620000000005</v>
      </c>
      <c r="Q1281">
        <v>-5.5854210000000001E-3</v>
      </c>
      <c r="R1281">
        <v>-5.3613899999999999E-2</v>
      </c>
      <c r="S1281">
        <v>-3.0204469999999999</v>
      </c>
      <c r="T1281">
        <v>-4.3492910000000003E-2</v>
      </c>
      <c r="U1281">
        <v>0.31561280000000003</v>
      </c>
      <c r="V1281">
        <v>-8.0647140000000006E-2</v>
      </c>
      <c r="W1281">
        <v>-2.325981E-3</v>
      </c>
      <c r="X1281">
        <v>0.99673999999999996</v>
      </c>
      <c r="Y1281">
        <v>7.6939469999999996E-2</v>
      </c>
      <c r="Z1281">
        <v>3.6737659999999998E-4</v>
      </c>
      <c r="AA1281">
        <v>0.99703569999999997</v>
      </c>
      <c r="AB1281">
        <v>40</v>
      </c>
      <c r="AC1281">
        <v>-74.382099999999994</v>
      </c>
      <c r="AD1281">
        <v>-1.07696847</v>
      </c>
      <c r="AE1281">
        <v>7.8034999999999801</v>
      </c>
      <c r="AF1281">
        <v>5.7846171069174002</v>
      </c>
      <c r="AG1281">
        <v>-1.07696847</v>
      </c>
      <c r="AH1281">
        <v>74.5507251254229</v>
      </c>
      <c r="AI1281">
        <v>90.825163990996799</v>
      </c>
      <c r="AJ1281">
        <v>85.563136570554704</v>
      </c>
      <c r="AK1281">
        <v>74.782566637454906</v>
      </c>
      <c r="AL1281">
        <v>90.133269014764295</v>
      </c>
      <c r="AM1281">
        <v>94.625776864522706</v>
      </c>
      <c r="AN1281">
        <v>0.99999999948889595</v>
      </c>
    </row>
    <row r="1282" spans="1:40" x14ac:dyDescent="0.25">
      <c r="A1282" t="str">
        <f>"20190305135606165"</f>
        <v>20190305135606165</v>
      </c>
      <c r="B1282" t="str">
        <f>"1551765366163026"</f>
        <v>1551765366163026</v>
      </c>
      <c r="C1282" t="s">
        <v>40</v>
      </c>
      <c r="D1282">
        <v>4.2083769999999996</v>
      </c>
      <c r="E1282">
        <v>0.55950549999999999</v>
      </c>
      <c r="F1282" t="s">
        <v>61</v>
      </c>
      <c r="G1282">
        <v>-283.92419999999998</v>
      </c>
      <c r="H1282" s="1">
        <v>6.0756120000000002E-6</v>
      </c>
      <c r="I1282">
        <v>287.45440000000002</v>
      </c>
      <c r="J1282">
        <v>-237.1763</v>
      </c>
      <c r="K1282">
        <v>1.1071599999999999</v>
      </c>
      <c r="L1282">
        <v>282.56439999999998</v>
      </c>
      <c r="M1282">
        <v>-0.99961630000000001</v>
      </c>
      <c r="N1282">
        <v>-3.147122E-3</v>
      </c>
      <c r="O1282">
        <v>2.7520909999999999E-2</v>
      </c>
      <c r="P1282">
        <v>-0.99839549999999999</v>
      </c>
      <c r="Q1282">
        <v>-1.227669E-2</v>
      </c>
      <c r="R1282">
        <v>-5.5279689999999999E-2</v>
      </c>
      <c r="S1282">
        <v>-3.0208439999999999</v>
      </c>
      <c r="T1282">
        <v>-7.0912840000000005E-2</v>
      </c>
      <c r="U1282">
        <v>0.31396479999999999</v>
      </c>
      <c r="V1282">
        <v>-8.2751710000000006E-2</v>
      </c>
      <c r="W1282">
        <v>-8.9944280000000005E-3</v>
      </c>
      <c r="X1282">
        <v>0.99652960000000002</v>
      </c>
      <c r="Y1282">
        <v>7.5945390000000002E-2</v>
      </c>
      <c r="Z1282">
        <v>4.5120149999999999E-4</v>
      </c>
      <c r="AA1282">
        <v>0.99711190000000005</v>
      </c>
      <c r="AB1282">
        <v>40</v>
      </c>
      <c r="AC1282">
        <v>-46.747899999999902</v>
      </c>
      <c r="AD1282">
        <v>-1.107153924388</v>
      </c>
      <c r="AE1282">
        <v>4.8900000000000396</v>
      </c>
      <c r="AF1282">
        <v>3.5995995086405101</v>
      </c>
      <c r="AG1282">
        <v>-1.107153924388</v>
      </c>
      <c r="AH1282">
        <v>46.838783043498204</v>
      </c>
      <c r="AI1282">
        <v>91.350099985004306</v>
      </c>
      <c r="AJ1282">
        <v>85.605409572668705</v>
      </c>
      <c r="AK1282">
        <v>46.989940449321601</v>
      </c>
      <c r="AL1282">
        <v>90.515349715158095</v>
      </c>
      <c r="AM1282">
        <v>94.7469442666616</v>
      </c>
      <c r="AN1282">
        <v>0.999999994459565</v>
      </c>
    </row>
    <row r="1283" spans="1:40" x14ac:dyDescent="0.25">
      <c r="A1283" t="str">
        <f>"20190305135606188"</f>
        <v>20190305135606188</v>
      </c>
      <c r="B1283" t="str">
        <f>"1551765366183053"</f>
        <v>1551765366183053</v>
      </c>
      <c r="C1283" t="s">
        <v>40</v>
      </c>
      <c r="D1283">
        <v>4.1348710000000004</v>
      </c>
      <c r="E1283">
        <v>0.55971009999999999</v>
      </c>
      <c r="F1283" t="s">
        <v>55</v>
      </c>
      <c r="G1283">
        <v>-267.6429</v>
      </c>
      <c r="H1283" s="1">
        <v>2.5303510000000001E-6</v>
      </c>
      <c r="I1283">
        <v>285.71980000000002</v>
      </c>
      <c r="J1283">
        <v>-237.58459999999999</v>
      </c>
      <c r="K1283">
        <v>1.107205</v>
      </c>
      <c r="L1283">
        <v>282.57580000000002</v>
      </c>
      <c r="M1283">
        <v>-0.99960709999999997</v>
      </c>
      <c r="N1283">
        <v>-3.1879429999999999E-3</v>
      </c>
      <c r="O1283">
        <v>2.7848020000000001E-2</v>
      </c>
      <c r="P1283">
        <v>-0.99824270000000004</v>
      </c>
      <c r="Q1283">
        <v>-1.902067E-2</v>
      </c>
      <c r="R1283">
        <v>-5.612462E-2</v>
      </c>
      <c r="S1283">
        <v>-3.0207980000000001</v>
      </c>
      <c r="T1283">
        <v>-0.1097761</v>
      </c>
      <c r="U1283">
        <v>0.31286619999999998</v>
      </c>
      <c r="V1283">
        <v>-8.3925979999999997E-2</v>
      </c>
      <c r="W1283">
        <v>-1.5717579999999998E-2</v>
      </c>
      <c r="X1283">
        <v>0.99634800000000001</v>
      </c>
      <c r="Y1283">
        <v>7.5241379999999997E-2</v>
      </c>
      <c r="Z1283">
        <v>5.6338779999999999E-4</v>
      </c>
      <c r="AA1283">
        <v>0.99716519999999997</v>
      </c>
      <c r="AB1283">
        <v>40</v>
      </c>
      <c r="AC1283">
        <v>-30.058299999999999</v>
      </c>
      <c r="AD1283">
        <v>-1.1072024696489999</v>
      </c>
      <c r="AE1283">
        <v>3.1440000000000001</v>
      </c>
      <c r="AF1283">
        <v>2.3026218111775099</v>
      </c>
      <c r="AG1283">
        <v>-1.1072024696489999</v>
      </c>
      <c r="AH1283">
        <v>30.093806675914699</v>
      </c>
      <c r="AI1283">
        <v>92.100923614770593</v>
      </c>
      <c r="AJ1283">
        <v>85.624549909631</v>
      </c>
      <c r="AK1283">
        <v>30.202072193169698</v>
      </c>
      <c r="AL1283">
        <v>90.900588104038505</v>
      </c>
      <c r="AM1283">
        <v>94.814863670109503</v>
      </c>
      <c r="AN1283">
        <v>0.99999997477200797</v>
      </c>
    </row>
    <row r="1284" spans="1:40" x14ac:dyDescent="0.25">
      <c r="A1284" t="str">
        <f>"20190305135606212"</f>
        <v>20190305135606212</v>
      </c>
      <c r="B1284" t="str">
        <f>"1551765366203548"</f>
        <v>1551765366203548</v>
      </c>
      <c r="C1284" t="s">
        <v>40</v>
      </c>
      <c r="D1284">
        <v>4.2183029999999997</v>
      </c>
      <c r="E1284">
        <v>0.55953120000000001</v>
      </c>
      <c r="F1284" t="s">
        <v>55</v>
      </c>
      <c r="G1284">
        <v>-262.8861</v>
      </c>
      <c r="H1284" s="1">
        <v>-9.6980560000000003E-10</v>
      </c>
      <c r="I1284">
        <v>285.18950000000001</v>
      </c>
      <c r="J1284">
        <v>-238.01060000000001</v>
      </c>
      <c r="K1284">
        <v>1.107246</v>
      </c>
      <c r="L1284">
        <v>282.58780000000002</v>
      </c>
      <c r="M1284">
        <v>-0.99960009999999999</v>
      </c>
      <c r="N1284">
        <v>-3.2306700000000002E-3</v>
      </c>
      <c r="O1284">
        <v>2.809625E-2</v>
      </c>
      <c r="P1284">
        <v>-0.99803109999999995</v>
      </c>
      <c r="Q1284">
        <v>-2.586488E-2</v>
      </c>
      <c r="R1284">
        <v>-5.7139639999999998E-2</v>
      </c>
      <c r="S1284">
        <v>-3.0202789999999999</v>
      </c>
      <c r="T1284">
        <v>-0.13216900000000001</v>
      </c>
      <c r="U1284">
        <v>0.3120117</v>
      </c>
      <c r="V1284">
        <v>-8.5187089999999993E-2</v>
      </c>
      <c r="W1284">
        <v>-2.253842E-2</v>
      </c>
      <c r="X1284">
        <v>0.99611000000000005</v>
      </c>
      <c r="Y1284">
        <v>7.4717329999999998E-2</v>
      </c>
      <c r="Z1284">
        <v>6.1623139999999999E-4</v>
      </c>
      <c r="AA1284">
        <v>0.99720450000000005</v>
      </c>
      <c r="AB1284">
        <v>41</v>
      </c>
      <c r="AC1284">
        <v>-24.875499999999899</v>
      </c>
      <c r="AD1284">
        <v>-1.1072460009698</v>
      </c>
      <c r="AE1284">
        <v>2.6016999999999899</v>
      </c>
      <c r="AF1284">
        <v>1.89804120167878</v>
      </c>
      <c r="AG1284">
        <v>-1.1072460009698</v>
      </c>
      <c r="AH1284">
        <v>24.889997685279099</v>
      </c>
      <c r="AI1284">
        <v>92.539792418277401</v>
      </c>
      <c r="AJ1284">
        <v>85.639224839850996</v>
      </c>
      <c r="AK1284">
        <v>24.9868072967143</v>
      </c>
      <c r="AL1284">
        <v>91.291465729003704</v>
      </c>
      <c r="AM1284">
        <v>94.888028163032004</v>
      </c>
      <c r="AN1284">
        <v>0.99999997638938198</v>
      </c>
    </row>
    <row r="1285" spans="1:40" x14ac:dyDescent="0.25">
      <c r="A1285" t="str">
        <f>"20190305135606232"</f>
        <v>20190305135606232</v>
      </c>
      <c r="B1285" t="str">
        <f>"1551765366223069"</f>
        <v>1551765366223069</v>
      </c>
      <c r="C1285" t="s">
        <v>40</v>
      </c>
      <c r="D1285">
        <v>4.1985250000000001</v>
      </c>
      <c r="E1285">
        <v>0.55939559999999999</v>
      </c>
      <c r="F1285" t="s">
        <v>41</v>
      </c>
      <c r="G1285">
        <v>-239.07320000000001</v>
      </c>
      <c r="H1285">
        <v>1.051372</v>
      </c>
      <c r="I1285">
        <v>282.69650000000001</v>
      </c>
      <c r="J1285">
        <v>-238.40690000000001</v>
      </c>
      <c r="K1285">
        <v>1.107259</v>
      </c>
      <c r="L1285">
        <v>282.59910000000002</v>
      </c>
      <c r="M1285">
        <v>-0.99959509999999996</v>
      </c>
      <c r="N1285">
        <v>-3.2704209999999999E-3</v>
      </c>
      <c r="O1285">
        <v>2.8265820000000001E-2</v>
      </c>
      <c r="P1285">
        <v>-0.99776759999999998</v>
      </c>
      <c r="Q1285">
        <v>-3.3290130000000001E-2</v>
      </c>
      <c r="R1285">
        <v>-5.7896580000000003E-2</v>
      </c>
      <c r="S1285">
        <v>-3.0194549999999998</v>
      </c>
      <c r="T1285">
        <v>-0.158957399999999</v>
      </c>
      <c r="U1285">
        <v>0.30813600000000002</v>
      </c>
      <c r="V1285">
        <v>-8.6108409999999996E-2</v>
      </c>
      <c r="W1285">
        <v>-2.9939980000000001E-2</v>
      </c>
      <c r="X1285">
        <v>0.99583580000000005</v>
      </c>
      <c r="Y1285">
        <v>7.3289800000000002E-2</v>
      </c>
      <c r="Z1285">
        <v>6.527751E-4</v>
      </c>
      <c r="AA1285">
        <v>0.99731049999999999</v>
      </c>
      <c r="AB1285">
        <v>41</v>
      </c>
      <c r="AC1285">
        <v>-0.666300000000006</v>
      </c>
      <c r="AD1285">
        <v>-5.5886999999999999E-2</v>
      </c>
      <c r="AE1285">
        <v>9.73999999999932E-2</v>
      </c>
      <c r="AF1285">
        <v>7.7990261500340899E-2</v>
      </c>
      <c r="AG1285">
        <v>-5.5886999999999999E-2</v>
      </c>
      <c r="AH1285">
        <v>0.66421172065138701</v>
      </c>
      <c r="AI1285">
        <v>94.776894585531394</v>
      </c>
      <c r="AJ1285">
        <v>83.303121261349503</v>
      </c>
      <c r="AK1285">
        <v>0.67110583927467604</v>
      </c>
      <c r="AL1285">
        <v>91.715690881681198</v>
      </c>
      <c r="AM1285">
        <v>94.941986797803807</v>
      </c>
      <c r="AN1285">
        <v>1.00000000061838</v>
      </c>
    </row>
    <row r="1286" spans="1:40" x14ac:dyDescent="0.25">
      <c r="A1286" t="str">
        <f>"20190305135606256"</f>
        <v>20190305135606256</v>
      </c>
      <c r="B1286" t="str">
        <f>"1551765366253325"</f>
        <v>1551765366253325</v>
      </c>
      <c r="C1286" t="s">
        <v>40</v>
      </c>
      <c r="D1286">
        <v>4.0374829999999999</v>
      </c>
      <c r="E1286">
        <v>0.57264250000000005</v>
      </c>
      <c r="F1286" t="s">
        <v>41</v>
      </c>
      <c r="G1286">
        <v>-239.43790000000001</v>
      </c>
      <c r="H1286">
        <v>1.0449520000000001</v>
      </c>
      <c r="I1286">
        <v>282.70339999999999</v>
      </c>
      <c r="J1286">
        <v>-238.82730000000001</v>
      </c>
      <c r="K1286">
        <v>1.1072879999999901</v>
      </c>
      <c r="L1286">
        <v>282.61110000000002</v>
      </c>
      <c r="M1286">
        <v>-0.99959120000000001</v>
      </c>
      <c r="N1286">
        <v>-3.3125400000000001E-3</v>
      </c>
      <c r="O1286">
        <v>2.8400350000000001E-2</v>
      </c>
      <c r="P1286">
        <v>-0.99747629999999998</v>
      </c>
      <c r="Q1286">
        <v>-3.9824739999999997E-2</v>
      </c>
      <c r="R1286">
        <v>-5.8780060000000002E-2</v>
      </c>
      <c r="S1286">
        <v>-3.0183110000000002</v>
      </c>
      <c r="T1286">
        <v>-0.1824991</v>
      </c>
      <c r="U1286">
        <v>0.30499270000000001</v>
      </c>
      <c r="V1286">
        <v>-8.7119009999999997E-2</v>
      </c>
      <c r="W1286">
        <v>-3.6446720000000002E-2</v>
      </c>
      <c r="X1286">
        <v>0.99553100000000005</v>
      </c>
      <c r="Y1286">
        <v>7.2146619999999995E-2</v>
      </c>
      <c r="Z1286">
        <v>6.7683800000000003E-4</v>
      </c>
      <c r="AA1286">
        <v>0.9973938</v>
      </c>
      <c r="AB1286">
        <v>41</v>
      </c>
      <c r="AC1286">
        <v>-0.61060000000000503</v>
      </c>
      <c r="AD1286">
        <v>-6.2335999999999697E-2</v>
      </c>
      <c r="AE1286">
        <v>9.2299999999966006E-2</v>
      </c>
      <c r="AF1286">
        <v>7.4165710224563697E-2</v>
      </c>
      <c r="AG1286">
        <v>-6.2335999999999697E-2</v>
      </c>
      <c r="AH1286">
        <v>0.606792165707426</v>
      </c>
      <c r="AI1286">
        <v>95.822413416678302</v>
      </c>
      <c r="AJ1286">
        <v>83.031536415136799</v>
      </c>
      <c r="AK1286">
        <v>0.614477877415471</v>
      </c>
      <c r="AL1286">
        <v>92.088705774158001</v>
      </c>
      <c r="AM1286">
        <v>95.001218466968595</v>
      </c>
      <c r="AN1286">
        <v>1.00000002863156</v>
      </c>
    </row>
    <row r="1287" spans="1:40" x14ac:dyDescent="0.25">
      <c r="A1287" t="str">
        <f>"20190305135606277"</f>
        <v>20190305135606277</v>
      </c>
      <c r="B1287" t="str">
        <f>"1551765366272846"</f>
        <v>1551765366272846</v>
      </c>
      <c r="C1287" t="s">
        <v>40</v>
      </c>
      <c r="D1287">
        <v>4.0150360000000003</v>
      </c>
      <c r="E1287">
        <v>0.57372000000000001</v>
      </c>
      <c r="F1287" t="s">
        <v>55</v>
      </c>
      <c r="G1287">
        <v>-321.51569999999998</v>
      </c>
      <c r="H1287">
        <v>8.0000080000000001E-2</v>
      </c>
      <c r="I1287">
        <v>293.46769999999998</v>
      </c>
      <c r="J1287">
        <v>-239.22470000000001</v>
      </c>
      <c r="K1287">
        <v>1.1073109999999999</v>
      </c>
      <c r="L1287">
        <v>282.6225</v>
      </c>
      <c r="M1287">
        <v>-0.99958820000000004</v>
      </c>
      <c r="N1287">
        <v>-3.3522299999999999E-3</v>
      </c>
      <c r="O1287">
        <v>2.8499690000000001E-2</v>
      </c>
      <c r="P1287">
        <v>-0.99719749999999996</v>
      </c>
      <c r="Q1287">
        <v>-4.5153600000000002E-2</v>
      </c>
      <c r="R1287">
        <v>-5.96536999999999E-2</v>
      </c>
      <c r="S1287">
        <v>-3.029541</v>
      </c>
      <c r="T1287">
        <v>-3.7637829999999997E-2</v>
      </c>
      <c r="U1287">
        <v>0.39776610000000001</v>
      </c>
      <c r="V1287">
        <v>-8.8082850000000004E-2</v>
      </c>
      <c r="W1287">
        <v>-4.1747149999999997E-2</v>
      </c>
      <c r="X1287">
        <v>0.99523790000000001</v>
      </c>
      <c r="Y1287">
        <v>0.1018597</v>
      </c>
      <c r="Z1287">
        <v>5.4431029999999999E-4</v>
      </c>
      <c r="AA1287">
        <v>0.99479859999999998</v>
      </c>
      <c r="AB1287">
        <v>41</v>
      </c>
      <c r="AC1287">
        <v>-82.290999999999897</v>
      </c>
      <c r="AD1287">
        <v>-1.0273109199999999</v>
      </c>
      <c r="AE1287">
        <v>10.845199999999901</v>
      </c>
      <c r="AF1287">
        <v>8.4942123244628593</v>
      </c>
      <c r="AG1287">
        <v>-1.0273109199999999</v>
      </c>
      <c r="AH1287">
        <v>82.554013533441804</v>
      </c>
      <c r="AI1287">
        <v>90.709214042115804</v>
      </c>
      <c r="AJ1287">
        <v>84.125350988883199</v>
      </c>
      <c r="AK1287">
        <v>82.9962177524922</v>
      </c>
      <c r="AL1287">
        <v>92.392630965440006</v>
      </c>
      <c r="AM1287">
        <v>95.057745473345605</v>
      </c>
      <c r="AN1287">
        <v>0.99999994529682601</v>
      </c>
    </row>
    <row r="1288" spans="1:40" x14ac:dyDescent="0.25">
      <c r="A1288" t="str">
        <f>"20190305135606299"</f>
        <v>20190305135606299</v>
      </c>
      <c r="B1288" t="str">
        <f>"1551765366292875"</f>
        <v>1551765366292875</v>
      </c>
      <c r="C1288" t="s">
        <v>40</v>
      </c>
      <c r="D1288">
        <v>4.151637</v>
      </c>
      <c r="E1288">
        <v>0.56966930000000005</v>
      </c>
      <c r="F1288" t="s">
        <v>61</v>
      </c>
      <c r="G1288">
        <v>-314.12580000000003</v>
      </c>
      <c r="H1288">
        <v>7.9999860000000006E-2</v>
      </c>
      <c r="I1288">
        <v>292.57159999999999</v>
      </c>
      <c r="J1288">
        <v>-239.63499999999999</v>
      </c>
      <c r="K1288">
        <v>1.10734</v>
      </c>
      <c r="L1288">
        <v>282.6343</v>
      </c>
      <c r="M1288">
        <v>-0.99958559999999996</v>
      </c>
      <c r="N1288">
        <v>-3.3933919999999998E-3</v>
      </c>
      <c r="O1288">
        <v>2.8583770000000001E-2</v>
      </c>
      <c r="P1288">
        <v>-0.9971295</v>
      </c>
      <c r="Q1288">
        <v>-4.704237E-2</v>
      </c>
      <c r="R1288">
        <v>-5.9327869999999998E-2</v>
      </c>
      <c r="S1288">
        <v>-3.030624</v>
      </c>
      <c r="T1288">
        <v>-4.1566730000000003E-2</v>
      </c>
      <c r="U1288">
        <v>0.40255740000000001</v>
      </c>
      <c r="V1288">
        <v>-8.7835750000000004E-2</v>
      </c>
      <c r="W1288">
        <v>-4.36046E-2</v>
      </c>
      <c r="X1288">
        <v>0.99518010000000001</v>
      </c>
      <c r="Y1288">
        <v>0.103274</v>
      </c>
      <c r="Z1288">
        <v>5.8764129999999996E-4</v>
      </c>
      <c r="AA1288">
        <v>0.99465269999999995</v>
      </c>
      <c r="AB1288">
        <v>41</v>
      </c>
      <c r="AC1288">
        <v>-74.490799999999993</v>
      </c>
      <c r="AD1288">
        <v>-1.02734014</v>
      </c>
      <c r="AE1288">
        <v>9.9372999999999898</v>
      </c>
      <c r="AF1288">
        <v>7.8025412004455301</v>
      </c>
      <c r="AG1288">
        <v>-1.02734014</v>
      </c>
      <c r="AH1288">
        <v>74.730444283342706</v>
      </c>
      <c r="AI1288">
        <v>90.783353689311994</v>
      </c>
      <c r="AJ1288">
        <v>84.039393884427895</v>
      </c>
      <c r="AK1288">
        <v>75.143691549814704</v>
      </c>
      <c r="AL1288">
        <v>92.499152050072695</v>
      </c>
      <c r="AM1288">
        <v>95.043921620765204</v>
      </c>
      <c r="AN1288">
        <v>0.99999995577761502</v>
      </c>
    </row>
    <row r="1289" spans="1:40" x14ac:dyDescent="0.25">
      <c r="A1289" t="str">
        <f>"20190305135606323"</f>
        <v>20190305135606323</v>
      </c>
      <c r="B1289" t="str">
        <f>"1551765366313371"</f>
        <v>1551765366313371</v>
      </c>
      <c r="C1289" t="s">
        <v>40</v>
      </c>
      <c r="D1289">
        <v>4.1208220000000004</v>
      </c>
      <c r="E1289">
        <v>0.56783589999999995</v>
      </c>
      <c r="F1289" t="s">
        <v>55</v>
      </c>
      <c r="G1289">
        <v>-271.83999999999997</v>
      </c>
      <c r="H1289" s="1">
        <v>-6.4564319999999896E-7</v>
      </c>
      <c r="I1289">
        <v>286.62939999999998</v>
      </c>
      <c r="J1289">
        <v>-240.06970000000001</v>
      </c>
      <c r="K1289">
        <v>1.1073839999999999</v>
      </c>
      <c r="L1289">
        <v>282.64679999999998</v>
      </c>
      <c r="M1289">
        <v>-0.99958340000000001</v>
      </c>
      <c r="N1289">
        <v>-3.4372119999999998E-3</v>
      </c>
      <c r="O1289">
        <v>2.8661010000000001E-2</v>
      </c>
      <c r="P1289">
        <v>-0.99716939999999998</v>
      </c>
      <c r="Q1289">
        <v>-4.6433120000000001E-2</v>
      </c>
      <c r="R1289">
        <v>-5.9139450000000003E-2</v>
      </c>
      <c r="S1289">
        <v>-3.0260769999999999</v>
      </c>
      <c r="T1289">
        <v>-0.10404910000000001</v>
      </c>
      <c r="U1289">
        <v>0.37539670000000003</v>
      </c>
      <c r="V1289">
        <v>-8.7720989999999999E-2</v>
      </c>
      <c r="W1289">
        <v>-4.295976E-2</v>
      </c>
      <c r="X1289">
        <v>0.9952183</v>
      </c>
      <c r="Y1289">
        <v>9.4569440000000005E-2</v>
      </c>
      <c r="Z1289">
        <v>8.9963130000000001E-4</v>
      </c>
      <c r="AA1289">
        <v>0.99551780000000001</v>
      </c>
      <c r="AB1289">
        <v>42</v>
      </c>
      <c r="AC1289">
        <v>-31.770299999999899</v>
      </c>
      <c r="AD1289">
        <v>-1.1073846456431999</v>
      </c>
      <c r="AE1289">
        <v>3.9825999999999899</v>
      </c>
      <c r="AF1289">
        <v>3.06672149420088</v>
      </c>
      <c r="AG1289">
        <v>-1.1073846456431999</v>
      </c>
      <c r="AH1289">
        <v>31.833317076661501</v>
      </c>
      <c r="AI1289">
        <v>91.983169103641501</v>
      </c>
      <c r="AJ1289">
        <v>84.497286327421804</v>
      </c>
      <c r="AK1289">
        <v>31.999861836884101</v>
      </c>
      <c r="AL1289">
        <v>92.462170700209995</v>
      </c>
      <c r="AM1289">
        <v>95.037173159920002</v>
      </c>
      <c r="AN1289">
        <v>0.99999998886036301</v>
      </c>
    </row>
    <row r="1290" spans="1:40" x14ac:dyDescent="0.25">
      <c r="A1290" t="str">
        <f>"20190305135606344"</f>
        <v>20190305135606344</v>
      </c>
      <c r="B1290" t="str">
        <f>"1551765366332894"</f>
        <v>1551765366332894</v>
      </c>
      <c r="C1290" t="s">
        <v>40</v>
      </c>
      <c r="D1290">
        <v>4.1115449999999996</v>
      </c>
      <c r="E1290">
        <v>0.56684699999999999</v>
      </c>
      <c r="F1290" t="s">
        <v>55</v>
      </c>
      <c r="G1290">
        <v>-266.96159999999998</v>
      </c>
      <c r="H1290" s="1">
        <v>2.1678159999999998E-6</v>
      </c>
      <c r="I1290">
        <v>285.87349999999998</v>
      </c>
      <c r="J1290">
        <v>-240.47130000000001</v>
      </c>
      <c r="K1290">
        <v>1.1074250000000001</v>
      </c>
      <c r="L1290">
        <v>282.65839999999997</v>
      </c>
      <c r="M1290">
        <v>-0.99958130000000001</v>
      </c>
      <c r="N1290">
        <v>-3.47782E-3</v>
      </c>
      <c r="O1290">
        <v>2.8726939999999999E-2</v>
      </c>
      <c r="P1290">
        <v>-0.99719869999999999</v>
      </c>
      <c r="Q1290">
        <v>-4.544778E-2</v>
      </c>
      <c r="R1290">
        <v>-5.9408170000000003E-2</v>
      </c>
      <c r="S1290">
        <v>-3.0242610000000001</v>
      </c>
      <c r="T1290">
        <v>-0.1245363</v>
      </c>
      <c r="U1290">
        <v>0.3628845</v>
      </c>
      <c r="V1290">
        <v>-8.8052240000000004E-2</v>
      </c>
      <c r="W1290">
        <v>-4.1940060000000001E-2</v>
      </c>
      <c r="X1290">
        <v>0.99523260000000002</v>
      </c>
      <c r="Y1290">
        <v>9.0502920000000001E-2</v>
      </c>
      <c r="Z1290">
        <v>9.3595099999999997E-4</v>
      </c>
      <c r="AA1290">
        <v>0.99589570000000005</v>
      </c>
      <c r="AB1290">
        <v>42</v>
      </c>
      <c r="AC1290">
        <v>-26.490299999999898</v>
      </c>
      <c r="AD1290">
        <v>-1.1074228321840001</v>
      </c>
      <c r="AE1290">
        <v>3.2151000000000001</v>
      </c>
      <c r="AF1290">
        <v>2.4485661760442801</v>
      </c>
      <c r="AG1290">
        <v>-1.1074228321840001</v>
      </c>
      <c r="AH1290">
        <v>26.5260426208268</v>
      </c>
      <c r="AI1290">
        <v>92.380516644140499</v>
      </c>
      <c r="AJ1290">
        <v>84.726086061385303</v>
      </c>
      <c r="AK1290">
        <v>26.661822870344601</v>
      </c>
      <c r="AL1290">
        <v>92.403693339579107</v>
      </c>
      <c r="AM1290">
        <v>95.056023734729393</v>
      </c>
      <c r="AN1290">
        <v>1.0000000468522801</v>
      </c>
    </row>
    <row r="1291" spans="1:40" x14ac:dyDescent="0.25">
      <c r="A1291" t="str">
        <f>"20190305135606368"</f>
        <v>20190305135606368</v>
      </c>
      <c r="B1291" t="str">
        <f>"1551765366363146"</f>
        <v>1551765366363146</v>
      </c>
      <c r="C1291" t="s">
        <v>40</v>
      </c>
      <c r="D1291">
        <v>4.1219999999999999</v>
      </c>
      <c r="E1291">
        <v>0.51761769999999996</v>
      </c>
      <c r="F1291" t="s">
        <v>55</v>
      </c>
      <c r="G1291">
        <v>-266.30529999999999</v>
      </c>
      <c r="H1291" s="1">
        <v>1.818561E-6</v>
      </c>
      <c r="I1291">
        <v>285.68709999999999</v>
      </c>
      <c r="J1291">
        <v>-240.90440000000001</v>
      </c>
      <c r="K1291">
        <v>1.107459</v>
      </c>
      <c r="L1291">
        <v>282.67090000000002</v>
      </c>
      <c r="M1291">
        <v>-0.99957929999999995</v>
      </c>
      <c r="N1291">
        <v>-3.521494E-3</v>
      </c>
      <c r="O1291">
        <v>2.8795379999999999E-2</v>
      </c>
      <c r="P1291">
        <v>-0.99718119999999999</v>
      </c>
      <c r="Q1291">
        <v>-4.4703880000000001E-2</v>
      </c>
      <c r="R1291">
        <v>-6.026401E-2</v>
      </c>
      <c r="S1291">
        <v>-3.0236360000000002</v>
      </c>
      <c r="T1291">
        <v>-0.12961410000000001</v>
      </c>
      <c r="U1291">
        <v>0.35449219999999998</v>
      </c>
      <c r="V1291">
        <v>-8.8972430000000005E-2</v>
      </c>
      <c r="W1291">
        <v>-4.1158220000000002E-2</v>
      </c>
      <c r="X1291">
        <v>0.99518329999999999</v>
      </c>
      <c r="Y1291">
        <v>8.7730810000000006E-2</v>
      </c>
      <c r="Z1291">
        <v>9.002964E-4</v>
      </c>
      <c r="AA1291">
        <v>0.99614380000000002</v>
      </c>
      <c r="AB1291">
        <v>42</v>
      </c>
      <c r="AC1291">
        <v>-25.400899999999901</v>
      </c>
      <c r="AD1291">
        <v>-1.107457181439</v>
      </c>
      <c r="AE1291">
        <v>3.01619999999996</v>
      </c>
      <c r="AF1291">
        <v>2.2792439354473801</v>
      </c>
      <c r="AG1291">
        <v>-1.107457181439</v>
      </c>
      <c r="AH1291">
        <v>25.429553420303101</v>
      </c>
      <c r="AI1291">
        <v>92.483711860459906</v>
      </c>
      <c r="AJ1291">
        <v>84.878280745214198</v>
      </c>
      <c r="AK1291">
        <v>25.555500415410499</v>
      </c>
      <c r="AL1291">
        <v>92.358858728550004</v>
      </c>
      <c r="AM1291">
        <v>95.108835292150502</v>
      </c>
      <c r="AN1291">
        <v>0.99999994648627999</v>
      </c>
    </row>
    <row r="1292" spans="1:40" x14ac:dyDescent="0.25">
      <c r="A1292" t="str">
        <f>"20190305135606388"</f>
        <v>20190305135606388</v>
      </c>
      <c r="B1292" t="str">
        <f>"1551765366383174"</f>
        <v>1551765366383174</v>
      </c>
      <c r="C1292" t="s">
        <v>40</v>
      </c>
      <c r="D1292">
        <v>4.0282539999999996</v>
      </c>
      <c r="E1292">
        <v>0.5104282</v>
      </c>
      <c r="F1292" t="s">
        <v>61</v>
      </c>
      <c r="G1292">
        <v>-318.48719999999997</v>
      </c>
      <c r="H1292" s="1">
        <v>6.255381E-6</v>
      </c>
      <c r="I1292">
        <v>281.47430000000003</v>
      </c>
      <c r="J1292">
        <v>-241.29419999999999</v>
      </c>
      <c r="K1292">
        <v>1.107472</v>
      </c>
      <c r="L1292">
        <v>282.68220000000002</v>
      </c>
      <c r="M1292">
        <v>-0.9995773</v>
      </c>
      <c r="N1292">
        <v>-3.560817E-3</v>
      </c>
      <c r="O1292">
        <v>2.885592E-2</v>
      </c>
      <c r="P1292">
        <v>-0.99707330000000005</v>
      </c>
      <c r="Q1292">
        <v>-4.6152550000000001E-2</v>
      </c>
      <c r="R1292">
        <v>-6.0951869999999998E-2</v>
      </c>
      <c r="S1292">
        <v>-3.0037690000000001</v>
      </c>
      <c r="T1292">
        <v>-4.2877199999999997E-2</v>
      </c>
      <c r="U1292">
        <v>-4.6325680000000001E-2</v>
      </c>
      <c r="V1292">
        <v>-8.9715429999999999E-2</v>
      </c>
      <c r="W1292">
        <v>-4.2572350000000002E-2</v>
      </c>
      <c r="X1292">
        <v>0.99505719999999998</v>
      </c>
      <c r="Y1292">
        <v>-4.4259649999999998E-2</v>
      </c>
      <c r="Z1292">
        <v>-7.0375820000000003E-4</v>
      </c>
      <c r="AA1292">
        <v>0.99901980000000001</v>
      </c>
      <c r="AB1292">
        <v>42</v>
      </c>
      <c r="AC1292">
        <v>-77.192999999999898</v>
      </c>
      <c r="AD1292">
        <v>-1.1074657446189999</v>
      </c>
      <c r="AE1292">
        <v>-1.20789999999999</v>
      </c>
      <c r="AF1292">
        <v>-3.43417934184433</v>
      </c>
      <c r="AG1292">
        <v>-1.1074657446189999</v>
      </c>
      <c r="AH1292">
        <v>77.110132147769704</v>
      </c>
      <c r="AI1292">
        <v>90.822018159740693</v>
      </c>
      <c r="AJ1292">
        <v>92.550041615251203</v>
      </c>
      <c r="AK1292">
        <v>77.194511125947002</v>
      </c>
      <c r="AL1292">
        <v>92.4399532728726</v>
      </c>
      <c r="AM1292">
        <v>95.151919370829205</v>
      </c>
      <c r="AN1292">
        <v>1.00000004731822</v>
      </c>
    </row>
    <row r="1293" spans="1:40" x14ac:dyDescent="0.25">
      <c r="A1293" t="str">
        <f>"20190305135606413"</f>
        <v>20190305135606413</v>
      </c>
      <c r="B1293" t="str">
        <f>"1551765366402694"</f>
        <v>1551765366402694</v>
      </c>
      <c r="C1293" t="s">
        <v>40</v>
      </c>
      <c r="D1293">
        <v>3.9786450000000002</v>
      </c>
      <c r="E1293">
        <v>0.5101057</v>
      </c>
      <c r="F1293" t="s">
        <v>61</v>
      </c>
      <c r="G1293">
        <v>-289.08749999999998</v>
      </c>
      <c r="H1293" s="1">
        <v>5.1153510000000003E-6</v>
      </c>
      <c r="I1293">
        <v>281.0204</v>
      </c>
      <c r="J1293">
        <v>-241.76820000000001</v>
      </c>
      <c r="K1293">
        <v>1.1074759999999999</v>
      </c>
      <c r="L1293">
        <v>282.69589999999999</v>
      </c>
      <c r="M1293">
        <v>-0.99957510000000005</v>
      </c>
      <c r="N1293">
        <v>-3.608375E-3</v>
      </c>
      <c r="O1293">
        <v>2.8927999999999999E-2</v>
      </c>
      <c r="P1293">
        <v>-0.99699689999999996</v>
      </c>
      <c r="Q1293">
        <v>-4.7849580000000003E-2</v>
      </c>
      <c r="R1293">
        <v>-6.0893259999999998E-2</v>
      </c>
      <c r="S1293">
        <v>-2.9992220000000001</v>
      </c>
      <c r="T1293">
        <v>-6.949806E-2</v>
      </c>
      <c r="U1293">
        <v>-0.1042786</v>
      </c>
      <c r="V1293">
        <v>-8.9725589999999994E-2</v>
      </c>
      <c r="W1293">
        <v>-4.4226790000000002E-2</v>
      </c>
      <c r="X1293">
        <v>0.99498410000000004</v>
      </c>
      <c r="Y1293">
        <v>-6.361849E-2</v>
      </c>
      <c r="Z1293">
        <v>-1.4173E-3</v>
      </c>
      <c r="AA1293">
        <v>0.99797329999999995</v>
      </c>
      <c r="AB1293">
        <v>42</v>
      </c>
      <c r="AC1293">
        <v>-47.319299999999899</v>
      </c>
      <c r="AD1293">
        <v>-1.107470884649</v>
      </c>
      <c r="AE1293">
        <v>-1.67549999999999</v>
      </c>
      <c r="AF1293">
        <v>-3.0419960666918202</v>
      </c>
      <c r="AG1293">
        <v>-1.107470884649</v>
      </c>
      <c r="AH1293">
        <v>47.225191800745598</v>
      </c>
      <c r="AI1293">
        <v>91.340611128886394</v>
      </c>
      <c r="AJ1293">
        <v>93.6855979834274</v>
      </c>
      <c r="AK1293">
        <v>47.336021933062</v>
      </c>
      <c r="AL1293">
        <v>92.534835163868806</v>
      </c>
      <c r="AM1293">
        <v>95.152876178440806</v>
      </c>
      <c r="AN1293">
        <v>1.00000002485368</v>
      </c>
    </row>
    <row r="1294" spans="1:40" x14ac:dyDescent="0.25">
      <c r="A1294" t="str">
        <f>"20190305135606434"</f>
        <v>20190305135606434</v>
      </c>
      <c r="B1294" t="str">
        <f>"1551765366424166"</f>
        <v>1551765366424166</v>
      </c>
      <c r="C1294" t="s">
        <v>40</v>
      </c>
      <c r="D1294">
        <v>3.9537650000000002</v>
      </c>
      <c r="E1294">
        <v>0.50999280000000002</v>
      </c>
      <c r="F1294" t="s">
        <v>61</v>
      </c>
      <c r="G1294">
        <v>-285.22460000000001</v>
      </c>
      <c r="H1294" s="1">
        <v>6.8010919999999998E-6</v>
      </c>
      <c r="I1294">
        <v>281.15249999999997</v>
      </c>
      <c r="J1294">
        <v>-242.1824</v>
      </c>
      <c r="K1294">
        <v>1.1074679999999999</v>
      </c>
      <c r="L1294">
        <v>282.7079</v>
      </c>
      <c r="M1294">
        <v>-0.99957309999999999</v>
      </c>
      <c r="N1294">
        <v>-3.6498780000000001E-3</v>
      </c>
      <c r="O1294">
        <v>2.898951E-2</v>
      </c>
      <c r="P1294">
        <v>-0.99692530000000001</v>
      </c>
      <c r="Q1294">
        <v>-5.0742250000000003E-2</v>
      </c>
      <c r="R1294">
        <v>-5.9709730000000003E-2</v>
      </c>
      <c r="S1294">
        <v>-2.998856</v>
      </c>
      <c r="T1294">
        <v>-7.6424599999999995E-2</v>
      </c>
      <c r="U1294">
        <v>-0.1065063</v>
      </c>
      <c r="V1294">
        <v>-8.860092E-2</v>
      </c>
      <c r="W1294">
        <v>-4.708176E-2</v>
      </c>
      <c r="X1294">
        <v>0.99495389999999995</v>
      </c>
      <c r="Y1294">
        <v>-6.4419019999999994E-2</v>
      </c>
      <c r="Z1294">
        <v>-1.570767E-3</v>
      </c>
      <c r="AA1294">
        <v>0.99792170000000002</v>
      </c>
      <c r="AB1294">
        <v>42</v>
      </c>
      <c r="AC1294">
        <v>-43.042200000000001</v>
      </c>
      <c r="AD1294">
        <v>-1.1074611989080001</v>
      </c>
      <c r="AE1294">
        <v>-1.5554000000000101</v>
      </c>
      <c r="AF1294">
        <v>-2.8006751481630601</v>
      </c>
      <c r="AG1294">
        <v>-1.1074611989080001</v>
      </c>
      <c r="AH1294">
        <v>42.950622330854799</v>
      </c>
      <c r="AI1294">
        <v>91.473888198818898</v>
      </c>
      <c r="AJ1294">
        <v>93.730796063271896</v>
      </c>
      <c r="AK1294">
        <v>43.056082151077703</v>
      </c>
      <c r="AL1294">
        <v>92.698583649466102</v>
      </c>
      <c r="AM1294">
        <v>95.088782075453196</v>
      </c>
      <c r="AN1294">
        <v>1.00000003913737</v>
      </c>
    </row>
    <row r="1295" spans="1:40" x14ac:dyDescent="0.25">
      <c r="A1295" t="str">
        <f>"20190305135606456"</f>
        <v>20190305135606456</v>
      </c>
      <c r="B1295" t="str">
        <f>"1551765366453447"</f>
        <v>1551765366453447</v>
      </c>
      <c r="C1295" t="s">
        <v>40</v>
      </c>
      <c r="D1295">
        <v>3.9533420000000001</v>
      </c>
      <c r="E1295">
        <v>0.51020489999999996</v>
      </c>
      <c r="F1295" t="s">
        <v>61</v>
      </c>
      <c r="G1295">
        <v>-280.96420000000001</v>
      </c>
      <c r="H1295" s="1">
        <v>8.6465519999999999E-6</v>
      </c>
      <c r="I1295">
        <v>281.3648</v>
      </c>
      <c r="J1295">
        <v>-242.5926</v>
      </c>
      <c r="K1295">
        <v>1.107443</v>
      </c>
      <c r="L1295">
        <v>282.7199</v>
      </c>
      <c r="M1295">
        <v>-0.99957119999999999</v>
      </c>
      <c r="N1295">
        <v>-3.6911140000000001E-3</v>
      </c>
      <c r="O1295">
        <v>2.9049350000000002E-2</v>
      </c>
      <c r="P1295">
        <v>-0.99683189999999999</v>
      </c>
      <c r="Q1295">
        <v>-5.4158789999999998E-2</v>
      </c>
      <c r="R1295">
        <v>-5.8250250000000003E-2</v>
      </c>
      <c r="S1295">
        <v>-2.998672</v>
      </c>
      <c r="T1295">
        <v>-8.5630769999999995E-2</v>
      </c>
      <c r="U1295">
        <v>-0.10385129999999999</v>
      </c>
      <c r="V1295">
        <v>-8.7198239999999996E-2</v>
      </c>
      <c r="W1295">
        <v>-5.0460339999999999E-2</v>
      </c>
      <c r="X1295">
        <v>0.99491209999999997</v>
      </c>
      <c r="Y1295">
        <v>-6.3590999999999995E-2</v>
      </c>
      <c r="Z1295">
        <v>-1.7468939999999999E-3</v>
      </c>
      <c r="AA1295">
        <v>0.99797449999999999</v>
      </c>
      <c r="AB1295">
        <v>43</v>
      </c>
      <c r="AC1295">
        <v>-38.371600000000001</v>
      </c>
      <c r="AD1295">
        <v>-1.107434353448</v>
      </c>
      <c r="AE1295">
        <v>-1.35509999999999</v>
      </c>
      <c r="AF1295">
        <v>-2.4671532597395198</v>
      </c>
      <c r="AG1295">
        <v>-1.107434353448</v>
      </c>
      <c r="AH1295">
        <v>38.284192208494801</v>
      </c>
      <c r="AI1295">
        <v>91.653486376451497</v>
      </c>
      <c r="AJ1295">
        <v>93.687220893049698</v>
      </c>
      <c r="AK1295">
        <v>38.379586098748</v>
      </c>
      <c r="AL1295">
        <v>92.892393053129098</v>
      </c>
      <c r="AM1295">
        <v>95.008841766017994</v>
      </c>
      <c r="AN1295">
        <v>0.99999993284920896</v>
      </c>
    </row>
    <row r="1296" spans="1:40" x14ac:dyDescent="0.25">
      <c r="A1296" t="str">
        <f>"20190305135606477"</f>
        <v>20190305135606477</v>
      </c>
      <c r="B1296" t="str">
        <f>"1551765366472967"</f>
        <v>1551765366472967</v>
      </c>
      <c r="C1296" t="s">
        <v>40</v>
      </c>
      <c r="D1296">
        <v>3.927489</v>
      </c>
      <c r="E1296">
        <v>0.51044709999999904</v>
      </c>
      <c r="F1296" t="s">
        <v>55</v>
      </c>
      <c r="G1296">
        <v>-277.51400000000001</v>
      </c>
      <c r="H1296" s="1">
        <v>2.594495E-6</v>
      </c>
      <c r="I1296">
        <v>281.58080000000001</v>
      </c>
      <c r="J1296">
        <v>-243.00210000000001</v>
      </c>
      <c r="K1296">
        <v>1.1074200000000001</v>
      </c>
      <c r="L1296">
        <v>282.73180000000002</v>
      </c>
      <c r="M1296">
        <v>-0.99956940000000005</v>
      </c>
      <c r="N1296">
        <v>-3.732211E-3</v>
      </c>
      <c r="O1296">
        <v>2.910807E-2</v>
      </c>
      <c r="P1296">
        <v>-0.99667660000000002</v>
      </c>
      <c r="Q1296">
        <v>-5.8119780000000003E-2</v>
      </c>
      <c r="R1296">
        <v>-5.7079190000000002E-2</v>
      </c>
      <c r="S1296">
        <v>-2.9986419999999998</v>
      </c>
      <c r="T1296">
        <v>-9.509397E-2</v>
      </c>
      <c r="U1296">
        <v>-9.7808839999999994E-2</v>
      </c>
      <c r="V1296">
        <v>-8.608217E-2</v>
      </c>
      <c r="W1296">
        <v>-5.4383109999999998E-2</v>
      </c>
      <c r="X1296">
        <v>0.99480270000000004</v>
      </c>
      <c r="Y1296">
        <v>-6.1633380000000001E-2</v>
      </c>
      <c r="Z1296">
        <v>-1.905878E-3</v>
      </c>
      <c r="AA1296">
        <v>0.99809709999999996</v>
      </c>
      <c r="AB1296">
        <v>43</v>
      </c>
      <c r="AC1296">
        <v>-34.511899999999997</v>
      </c>
      <c r="AD1296">
        <v>-1.1074174055049999</v>
      </c>
      <c r="AE1296">
        <v>-1.15100000000001</v>
      </c>
      <c r="AF1296">
        <v>-2.1528797544655398</v>
      </c>
      <c r="AG1296">
        <v>-1.1074174055049999</v>
      </c>
      <c r="AH1296">
        <v>34.428363067777099</v>
      </c>
      <c r="AI1296">
        <v>91.8387429684295</v>
      </c>
      <c r="AJ1296">
        <v>93.578169579476807</v>
      </c>
      <c r="AK1296">
        <v>34.513380710586397</v>
      </c>
      <c r="AL1296">
        <v>93.117460513142703</v>
      </c>
      <c r="AM1296">
        <v>94.945593521222904</v>
      </c>
      <c r="AN1296">
        <v>1.0000000372862301</v>
      </c>
    </row>
    <row r="1297" spans="1:40" x14ac:dyDescent="0.25">
      <c r="A1297" t="str">
        <f>"20190305135606501"</f>
        <v>20190305135606501</v>
      </c>
      <c r="B1297" t="str">
        <f>"1551765366493463"</f>
        <v>1551765366493463</v>
      </c>
      <c r="C1297" t="s">
        <v>40</v>
      </c>
      <c r="D1297">
        <v>3.9917739999999999</v>
      </c>
      <c r="E1297">
        <v>0.51055850000000003</v>
      </c>
      <c r="F1297" t="s">
        <v>55</v>
      </c>
      <c r="G1297">
        <v>-274.66210000000001</v>
      </c>
      <c r="H1297" s="1">
        <v>1.0692920000000001E-6</v>
      </c>
      <c r="I1297">
        <v>281.75360000000001</v>
      </c>
      <c r="J1297">
        <v>-243.46350000000001</v>
      </c>
      <c r="K1297">
        <v>1.1073980000000001</v>
      </c>
      <c r="L1297">
        <v>282.74540000000002</v>
      </c>
      <c r="M1297">
        <v>-0.99956730000000005</v>
      </c>
      <c r="N1297">
        <v>-3.7784519999999999E-3</v>
      </c>
      <c r="O1297">
        <v>2.9172389999999999E-2</v>
      </c>
      <c r="P1297">
        <v>-0.99652969999999996</v>
      </c>
      <c r="Q1297">
        <v>-6.1741230000000001E-2</v>
      </c>
      <c r="R1297">
        <v>-5.5826809999999998E-2</v>
      </c>
      <c r="S1297">
        <v>-2.9985659999999998</v>
      </c>
      <c r="T1297">
        <v>-0.104885199999999</v>
      </c>
      <c r="U1297">
        <v>-9.2651369999999997E-2</v>
      </c>
      <c r="V1297">
        <v>-8.4889530000000005E-2</v>
      </c>
      <c r="W1297">
        <v>-5.7960919999999999E-2</v>
      </c>
      <c r="X1297">
        <v>0.99470309999999995</v>
      </c>
      <c r="Y1297">
        <v>-5.9974560000000003E-2</v>
      </c>
      <c r="Z1297">
        <v>-2.0713960000000001E-3</v>
      </c>
      <c r="AA1297">
        <v>0.99819769999999997</v>
      </c>
      <c r="AB1297">
        <v>43</v>
      </c>
      <c r="AC1297">
        <v>-31.198599999999999</v>
      </c>
      <c r="AD1297">
        <v>-1.1073969307079901</v>
      </c>
      <c r="AE1297">
        <v>-0.99180000000001201</v>
      </c>
      <c r="AF1297">
        <v>-1.8991317584874901</v>
      </c>
      <c r="AG1297">
        <v>-1.1073969307079901</v>
      </c>
      <c r="AH1297">
        <v>31.117223117704501</v>
      </c>
      <c r="AI1297">
        <v>92.034394682072005</v>
      </c>
      <c r="AJ1297">
        <v>93.492517061351094</v>
      </c>
      <c r="AK1297">
        <v>31.194784883939199</v>
      </c>
      <c r="AL1297">
        <v>93.322778398374496</v>
      </c>
      <c r="AM1297">
        <v>94.877892824403204</v>
      </c>
      <c r="AN1297">
        <v>0.99999997885023795</v>
      </c>
    </row>
    <row r="1298" spans="1:40" x14ac:dyDescent="0.25">
      <c r="A1298" t="str">
        <f>"20190305135606523"</f>
        <v>20190305135606523</v>
      </c>
      <c r="B1298" t="str">
        <f>"1551765366512983"</f>
        <v>1551765366512983</v>
      </c>
      <c r="C1298" t="s">
        <v>40</v>
      </c>
      <c r="D1298">
        <v>3.9496069999999999</v>
      </c>
      <c r="E1298">
        <v>0.51051749999999996</v>
      </c>
      <c r="F1298" t="s">
        <v>55</v>
      </c>
      <c r="G1298">
        <v>-272.64999999999998</v>
      </c>
      <c r="H1298" s="1">
        <v>-7.2923850000000004E-9</v>
      </c>
      <c r="I1298">
        <v>281.88749999999999</v>
      </c>
      <c r="J1298">
        <v>-243.881</v>
      </c>
      <c r="K1298">
        <v>1.1073809999999999</v>
      </c>
      <c r="L1298">
        <v>282.75760000000002</v>
      </c>
      <c r="M1298">
        <v>-0.9995655</v>
      </c>
      <c r="N1298">
        <v>-3.8202980000000002E-3</v>
      </c>
      <c r="O1298">
        <v>2.922963E-2</v>
      </c>
      <c r="P1298">
        <v>-0.99646959999999996</v>
      </c>
      <c r="Q1298">
        <v>-6.3231590000000004E-2</v>
      </c>
      <c r="R1298">
        <v>-5.52300999999999E-2</v>
      </c>
      <c r="S1298">
        <v>-2.9984440000000001</v>
      </c>
      <c r="T1298">
        <v>-0.1137673</v>
      </c>
      <c r="U1298">
        <v>-8.8134770000000001E-2</v>
      </c>
      <c r="V1298">
        <v>-8.4347770000000002E-2</v>
      </c>
      <c r="W1298">
        <v>-5.9411020000000002E-2</v>
      </c>
      <c r="X1298">
        <v>0.99466370000000004</v>
      </c>
      <c r="Y1298">
        <v>-5.8522159999999997E-2</v>
      </c>
      <c r="Z1298">
        <v>-2.2182339999999999E-3</v>
      </c>
      <c r="AA1298">
        <v>0.99828360000000005</v>
      </c>
      <c r="AB1298">
        <v>43</v>
      </c>
      <c r="AC1298">
        <v>-28.768999999999998</v>
      </c>
      <c r="AD1298">
        <v>-1.10738100729238</v>
      </c>
      <c r="AE1298">
        <v>-0.87010000000003596</v>
      </c>
      <c r="AF1298">
        <v>-1.70811301100502</v>
      </c>
      <c r="AG1298">
        <v>-1.10738100729238</v>
      </c>
      <c r="AH1298">
        <v>28.688806783271499</v>
      </c>
      <c r="AI1298">
        <v>92.206602037513306</v>
      </c>
      <c r="AJ1298">
        <v>93.407331218925194</v>
      </c>
      <c r="AK1298">
        <v>28.760938395705399</v>
      </c>
      <c r="AL1298">
        <v>93.406006233051698</v>
      </c>
      <c r="AM1298">
        <v>94.847102254766398</v>
      </c>
      <c r="AN1298">
        <v>1.0000000458495499</v>
      </c>
    </row>
    <row r="1299" spans="1:40" x14ac:dyDescent="0.25">
      <c r="A1299" t="str">
        <f>"20190305135606545"</f>
        <v>20190305135606545</v>
      </c>
      <c r="B1299" t="str">
        <f>"1551765366533482"</f>
        <v>1551765366533482</v>
      </c>
      <c r="C1299" t="s">
        <v>40</v>
      </c>
      <c r="D1299">
        <v>3.9520209999999998</v>
      </c>
      <c r="E1299">
        <v>0.51062719999999995</v>
      </c>
      <c r="F1299" t="s">
        <v>55</v>
      </c>
      <c r="G1299">
        <v>-272.96820000000002</v>
      </c>
      <c r="H1299" s="1">
        <v>1.60929E-7</v>
      </c>
      <c r="I1299">
        <v>281.91269999999997</v>
      </c>
      <c r="J1299">
        <v>-244.303</v>
      </c>
      <c r="K1299">
        <v>1.1073789999999999</v>
      </c>
      <c r="L1299">
        <v>282.77</v>
      </c>
      <c r="M1299">
        <v>-0.9995638</v>
      </c>
      <c r="N1299">
        <v>-3.8624979999999998E-3</v>
      </c>
      <c r="O1299">
        <v>2.9283650000000001E-2</v>
      </c>
      <c r="P1299">
        <v>-0.99641389999999996</v>
      </c>
      <c r="Q1299">
        <v>-6.346425E-2</v>
      </c>
      <c r="R1299">
        <v>-5.5961730000000001E-2</v>
      </c>
      <c r="S1299">
        <v>-2.998535</v>
      </c>
      <c r="T1299">
        <v>-0.11415739999999901</v>
      </c>
      <c r="U1299">
        <v>-8.7097170000000002E-2</v>
      </c>
      <c r="V1299">
        <v>-8.5130769999999995E-2</v>
      </c>
      <c r="W1299">
        <v>-5.9602889999999999E-2</v>
      </c>
      <c r="X1299">
        <v>0.99458550000000001</v>
      </c>
      <c r="Y1299">
        <v>-5.822985E-2</v>
      </c>
      <c r="Z1299">
        <v>-2.2215E-3</v>
      </c>
      <c r="AA1299">
        <v>0.99830070000000004</v>
      </c>
      <c r="AB1299">
        <v>43</v>
      </c>
      <c r="AC1299">
        <v>-28.665199999999999</v>
      </c>
      <c r="AD1299">
        <v>-1.107378839071</v>
      </c>
      <c r="AE1299">
        <v>-0.85730000000000905</v>
      </c>
      <c r="AF1299">
        <v>-1.6938345753139701</v>
      </c>
      <c r="AG1299">
        <v>-1.107378839071</v>
      </c>
      <c r="AH1299">
        <v>28.585179332739699</v>
      </c>
      <c r="AI1299">
        <v>92.214626309585796</v>
      </c>
      <c r="AJ1299">
        <v>93.391135732121199</v>
      </c>
      <c r="AK1299">
        <v>28.6567241838044</v>
      </c>
      <c r="AL1299">
        <v>93.417019128062805</v>
      </c>
      <c r="AM1299">
        <v>94.892263292754805</v>
      </c>
      <c r="AN1299">
        <v>1.0000000346536899</v>
      </c>
    </row>
    <row r="1300" spans="1:40" x14ac:dyDescent="0.25">
      <c r="A1300" t="str">
        <f>"20190305135606567"</f>
        <v>20190305135606567</v>
      </c>
      <c r="B1300" t="str">
        <f>"1551765366563735"</f>
        <v>1551765366563735</v>
      </c>
      <c r="C1300" t="s">
        <v>40</v>
      </c>
      <c r="D1300">
        <v>3.968226</v>
      </c>
      <c r="E1300">
        <v>0.51075000000000004</v>
      </c>
      <c r="F1300" t="s">
        <v>55</v>
      </c>
      <c r="G1300">
        <v>-273.7953</v>
      </c>
      <c r="H1300" s="1">
        <v>6.0161349999999898E-7</v>
      </c>
      <c r="I1300">
        <v>281.89949999999999</v>
      </c>
      <c r="J1300">
        <v>-244.73050000000001</v>
      </c>
      <c r="K1300">
        <v>1.1073869999999999</v>
      </c>
      <c r="L1300">
        <v>282.78250000000003</v>
      </c>
      <c r="M1300">
        <v>-0.99956230000000001</v>
      </c>
      <c r="N1300">
        <v>-3.9051009999999998E-3</v>
      </c>
      <c r="O1300">
        <v>2.9329549999999999E-2</v>
      </c>
      <c r="P1300">
        <v>-0.99631239999999999</v>
      </c>
      <c r="Q1300">
        <v>-6.4101469999999994E-2</v>
      </c>
      <c r="R1300">
        <v>-5.7036860000000002E-2</v>
      </c>
      <c r="S1300">
        <v>-2.9986570000000001</v>
      </c>
      <c r="T1300">
        <v>-0.112593899999999</v>
      </c>
      <c r="U1300">
        <v>-8.8500980000000007E-2</v>
      </c>
      <c r="V1300">
        <v>-8.6247320000000002E-2</v>
      </c>
      <c r="W1300">
        <v>-6.0199669999999997E-2</v>
      </c>
      <c r="X1300">
        <v>0.99445329999999998</v>
      </c>
      <c r="Y1300">
        <v>-5.8742750000000003E-2</v>
      </c>
      <c r="Z1300">
        <v>-2.2031469999999999E-3</v>
      </c>
      <c r="AA1300">
        <v>0.99827080000000001</v>
      </c>
      <c r="AB1300">
        <v>43</v>
      </c>
      <c r="AC1300">
        <v>-29.064799999999899</v>
      </c>
      <c r="AD1300">
        <v>-1.1073863983865</v>
      </c>
      <c r="AE1300">
        <v>-0.88300000000003798</v>
      </c>
      <c r="AF1300">
        <v>-1.7325712386036101</v>
      </c>
      <c r="AG1300">
        <v>-1.1073863983865</v>
      </c>
      <c r="AH1300">
        <v>28.984361317200602</v>
      </c>
      <c r="AI1300">
        <v>92.184103061700498</v>
      </c>
      <c r="AJ1300">
        <v>93.420846025166</v>
      </c>
      <c r="AK1300">
        <v>29.0572075172099</v>
      </c>
      <c r="AL1300">
        <v>93.451273791128898</v>
      </c>
      <c r="AM1300">
        <v>94.956766800825207</v>
      </c>
      <c r="AN1300">
        <v>0.99999998317809002</v>
      </c>
    </row>
    <row r="1301" spans="1:40" x14ac:dyDescent="0.25">
      <c r="A1301" t="str">
        <f>"20190305135606590"</f>
        <v>20190305135606590</v>
      </c>
      <c r="B1301" t="str">
        <f>"1551765366583255"</f>
        <v>1551765366583255</v>
      </c>
      <c r="C1301" t="s">
        <v>40</v>
      </c>
      <c r="D1301">
        <v>3.9357039999999999</v>
      </c>
      <c r="E1301">
        <v>0.5108935</v>
      </c>
      <c r="F1301" t="s">
        <v>55</v>
      </c>
      <c r="G1301">
        <v>-275.06150000000002</v>
      </c>
      <c r="H1301" s="1">
        <v>1.2772020000000001E-6</v>
      </c>
      <c r="I1301">
        <v>281.8596</v>
      </c>
      <c r="J1301">
        <v>-245.16640000000001</v>
      </c>
      <c r="K1301">
        <v>1.1073999999999999</v>
      </c>
      <c r="L1301">
        <v>282.7953</v>
      </c>
      <c r="M1301">
        <v>-0.99956109999999998</v>
      </c>
      <c r="N1301">
        <v>-3.9484869999999997E-3</v>
      </c>
      <c r="O1301">
        <v>2.9365120000000001E-2</v>
      </c>
      <c r="P1301">
        <v>-0.99619690000000005</v>
      </c>
      <c r="Q1301">
        <v>-6.5030169999999998E-2</v>
      </c>
      <c r="R1301">
        <v>-5.7993999999999997E-2</v>
      </c>
      <c r="S1301">
        <v>-2.99884</v>
      </c>
      <c r="T1301">
        <v>-0.1094875</v>
      </c>
      <c r="U1301">
        <v>-9.1247560000000005E-2</v>
      </c>
      <c r="V1301">
        <v>-8.7234590000000001E-2</v>
      </c>
      <c r="W1301">
        <v>-6.108773E-2</v>
      </c>
      <c r="X1301">
        <v>0.99431309999999995</v>
      </c>
      <c r="Y1301">
        <v>-5.9692589999999997E-2</v>
      </c>
      <c r="Z1301">
        <v>-2.1626229999999998E-3</v>
      </c>
      <c r="AA1301">
        <v>0.9982145</v>
      </c>
      <c r="AB1301">
        <v>43</v>
      </c>
      <c r="AC1301">
        <v>-29.895099999999999</v>
      </c>
      <c r="AD1301">
        <v>-1.107398722798</v>
      </c>
      <c r="AE1301">
        <v>-0.93569999999999698</v>
      </c>
      <c r="AF1301">
        <v>-1.8106942391894001</v>
      </c>
      <c r="AG1301">
        <v>-1.107398722798</v>
      </c>
      <c r="AH1301">
        <v>29.813860787821401</v>
      </c>
      <c r="AI1301">
        <v>92.123293725589804</v>
      </c>
      <c r="AJ1301">
        <v>93.475492971560797</v>
      </c>
      <c r="AK1301">
        <v>29.8893164966127</v>
      </c>
      <c r="AL1301">
        <v>93.502249427336096</v>
      </c>
      <c r="AM1301">
        <v>95.013922478786398</v>
      </c>
      <c r="AN1301">
        <v>1.0000000626403101</v>
      </c>
    </row>
    <row r="1302" spans="1:40" x14ac:dyDescent="0.25">
      <c r="A1302" t="str">
        <f>"20190305135606613"</f>
        <v>20190305135606613</v>
      </c>
      <c r="B1302" t="str">
        <f>"1551765366603750"</f>
        <v>1551765366603750</v>
      </c>
      <c r="C1302" t="s">
        <v>40</v>
      </c>
      <c r="D1302">
        <v>3.940957</v>
      </c>
      <c r="E1302">
        <v>0.51096399999999997</v>
      </c>
      <c r="F1302" t="s">
        <v>55</v>
      </c>
      <c r="G1302">
        <v>-275.66829999999999</v>
      </c>
      <c r="H1302" s="1">
        <v>1.600608E-6</v>
      </c>
      <c r="I1302">
        <v>281.84769999999997</v>
      </c>
      <c r="J1302">
        <v>-245.62559999999999</v>
      </c>
      <c r="K1302">
        <v>1.10741</v>
      </c>
      <c r="L1302">
        <v>282.80880000000002</v>
      </c>
      <c r="M1302">
        <v>-0.99956020000000001</v>
      </c>
      <c r="N1302">
        <v>-3.9941020000000002E-3</v>
      </c>
      <c r="O1302">
        <v>2.9389060000000002E-2</v>
      </c>
      <c r="P1302">
        <v>-0.99607880000000004</v>
      </c>
      <c r="Q1302">
        <v>-6.6391329999999998E-2</v>
      </c>
      <c r="R1302">
        <v>-5.8476880000000002E-2</v>
      </c>
      <c r="S1302">
        <v>-2.9989319999999999</v>
      </c>
      <c r="T1302">
        <v>-0.10887869999999999</v>
      </c>
      <c r="U1302">
        <v>-9.3170169999999997E-2</v>
      </c>
      <c r="V1302">
        <v>-8.7735670000000002E-2</v>
      </c>
      <c r="W1302">
        <v>-6.2406410000000002E-2</v>
      </c>
      <c r="X1302">
        <v>0.99418709999999999</v>
      </c>
      <c r="Y1302">
        <v>-6.0355069999999997E-2</v>
      </c>
      <c r="Z1302">
        <v>-2.1646740000000001E-3</v>
      </c>
      <c r="AA1302">
        <v>0.99817460000000002</v>
      </c>
      <c r="AB1302">
        <v>43</v>
      </c>
      <c r="AC1302">
        <v>-30.0427</v>
      </c>
      <c r="AD1302">
        <v>-1.1074083993920001</v>
      </c>
      <c r="AE1302">
        <v>-0.96110000000004403</v>
      </c>
      <c r="AF1302">
        <v>-1.8411194313322801</v>
      </c>
      <c r="AG1302">
        <v>-1.1074083993920001</v>
      </c>
      <c r="AH1302">
        <v>29.960809297843699</v>
      </c>
      <c r="AI1302">
        <v>92.112815332241993</v>
      </c>
      <c r="AJ1302">
        <v>93.516456771536696</v>
      </c>
      <c r="AK1302">
        <v>30.037745719431602</v>
      </c>
      <c r="AL1302">
        <v>93.577948723343795</v>
      </c>
      <c r="AM1302">
        <v>95.043210425310804</v>
      </c>
      <c r="AN1302">
        <v>1.0000000488029199</v>
      </c>
    </row>
    <row r="1303" spans="1:40" x14ac:dyDescent="0.25">
      <c r="A1303" t="str">
        <f>"20190305135606635"</f>
        <v>20190305135606635</v>
      </c>
      <c r="B1303" t="str">
        <f>"1551765366633031"</f>
        <v>1551765366633031</v>
      </c>
      <c r="C1303" t="s">
        <v>40</v>
      </c>
      <c r="D1303">
        <v>3.9413299999999998</v>
      </c>
      <c r="E1303">
        <v>0.51113359999999997</v>
      </c>
      <c r="F1303" t="s">
        <v>55</v>
      </c>
      <c r="G1303">
        <v>-275.9538</v>
      </c>
      <c r="H1303" s="1">
        <v>1.7520130000000001E-6</v>
      </c>
      <c r="I1303">
        <v>281.85950000000003</v>
      </c>
      <c r="J1303">
        <v>-246.0676</v>
      </c>
      <c r="K1303">
        <v>1.1074360000000001</v>
      </c>
      <c r="L1303">
        <v>282.8218</v>
      </c>
      <c r="M1303">
        <v>-0.99955989999999995</v>
      </c>
      <c r="N1303">
        <v>-4.0379229999999997E-3</v>
      </c>
      <c r="O1303">
        <v>2.939104E-2</v>
      </c>
      <c r="P1303">
        <v>-0.99603209999999998</v>
      </c>
      <c r="Q1303">
        <v>-6.7853880000000005E-2</v>
      </c>
      <c r="R1303">
        <v>-5.7584330000000003E-2</v>
      </c>
      <c r="S1303">
        <v>-2.9990079999999999</v>
      </c>
      <c r="T1303">
        <v>-0.1095064</v>
      </c>
      <c r="U1303">
        <v>-9.3872070000000002E-2</v>
      </c>
      <c r="V1303">
        <v>-8.6842730000000007E-2</v>
      </c>
      <c r="W1303">
        <v>-6.3828990000000002E-2</v>
      </c>
      <c r="X1303">
        <v>0.99417509999999998</v>
      </c>
      <c r="Y1303">
        <v>-6.0588799999999998E-2</v>
      </c>
      <c r="Z1303">
        <v>-2.1819019999999999E-3</v>
      </c>
      <c r="AA1303">
        <v>0.99816039999999995</v>
      </c>
      <c r="AB1303">
        <v>44</v>
      </c>
      <c r="AC1303">
        <v>-29.886199999999999</v>
      </c>
      <c r="AD1303">
        <v>-1.1074342479870001</v>
      </c>
      <c r="AE1303">
        <v>-0.96229999999996996</v>
      </c>
      <c r="AF1303">
        <v>-1.8377571066419101</v>
      </c>
      <c r="AG1303">
        <v>-1.1074342479870001</v>
      </c>
      <c r="AH1303">
        <v>29.804124492053798</v>
      </c>
      <c r="AI1303">
        <v>92.123934748375504</v>
      </c>
      <c r="AJ1303">
        <v>93.528457322645806</v>
      </c>
      <c r="AK1303">
        <v>29.8812583157817</v>
      </c>
      <c r="AL1303">
        <v>93.6596197089317</v>
      </c>
      <c r="AM1303">
        <v>94.992203215553104</v>
      </c>
      <c r="AN1303">
        <v>0.99999996458913998</v>
      </c>
    </row>
    <row r="1304" spans="1:40" x14ac:dyDescent="0.25">
      <c r="A1304" t="str">
        <f>"20190305135606658"</f>
        <v>20190305135606658</v>
      </c>
      <c r="B1304" t="str">
        <f>"1551765366653526"</f>
        <v>1551765366653526</v>
      </c>
      <c r="C1304" t="s">
        <v>40</v>
      </c>
      <c r="D1304">
        <v>4.1747439999999996</v>
      </c>
      <c r="E1304">
        <v>0.51120089999999996</v>
      </c>
      <c r="F1304" t="s">
        <v>55</v>
      </c>
      <c r="G1304">
        <v>-276.29790000000003</v>
      </c>
      <c r="H1304" s="1">
        <v>1.9327379999999999E-6</v>
      </c>
      <c r="I1304">
        <v>281.91410000000002</v>
      </c>
      <c r="J1304">
        <v>-246.51070000000001</v>
      </c>
      <c r="K1304">
        <v>1.1074550000000001</v>
      </c>
      <c r="L1304">
        <v>282.83479999999997</v>
      </c>
      <c r="M1304">
        <v>-0.99956040000000002</v>
      </c>
      <c r="N1304">
        <v>-4.0818119999999998E-3</v>
      </c>
      <c r="O1304">
        <v>2.9365820000000001E-2</v>
      </c>
      <c r="P1304">
        <v>-0.99598880000000001</v>
      </c>
      <c r="Q1304">
        <v>-6.9429550000000007E-2</v>
      </c>
      <c r="R1304">
        <v>-5.6442449999999998E-2</v>
      </c>
      <c r="S1304">
        <v>-2.9992519999999998</v>
      </c>
      <c r="T1304">
        <v>-0.1098726</v>
      </c>
      <c r="U1304">
        <v>-9.0057369999999998E-2</v>
      </c>
      <c r="V1304">
        <v>-8.5671720000000007E-2</v>
      </c>
      <c r="W1304">
        <v>-6.5365409999999999E-2</v>
      </c>
      <c r="X1304">
        <v>0.99417690000000003</v>
      </c>
      <c r="Y1304">
        <v>-5.929326E-2</v>
      </c>
      <c r="Z1304">
        <v>-2.161895E-3</v>
      </c>
      <c r="AA1304">
        <v>0.99823830000000002</v>
      </c>
      <c r="AB1304">
        <v>44</v>
      </c>
      <c r="AC1304">
        <v>-29.787199999999999</v>
      </c>
      <c r="AD1304">
        <v>-1.10745306726199</v>
      </c>
      <c r="AE1304">
        <v>-0.920699999999954</v>
      </c>
      <c r="AF1304">
        <v>-1.7925603339832299</v>
      </c>
      <c r="AG1304">
        <v>-1.10745306726199</v>
      </c>
      <c r="AH1304">
        <v>29.706293387751099</v>
      </c>
      <c r="AI1304">
        <v>92.131129793025707</v>
      </c>
      <c r="AJ1304">
        <v>93.453199372488996</v>
      </c>
      <c r="AK1304">
        <v>29.780926642505701</v>
      </c>
      <c r="AL1304">
        <v>93.747834233648206</v>
      </c>
      <c r="AM1304">
        <v>94.925211543381707</v>
      </c>
      <c r="AN1304">
        <v>0.99999999446291798</v>
      </c>
    </row>
    <row r="1305" spans="1:40" x14ac:dyDescent="0.25">
      <c r="A1305" t="str">
        <f>"20190305135606679"</f>
        <v>20190305135606679</v>
      </c>
      <c r="B1305" t="str">
        <f>"1551765366673047"</f>
        <v>1551765366673047</v>
      </c>
      <c r="C1305" t="s">
        <v>40</v>
      </c>
      <c r="D1305">
        <v>4.0144869999999999</v>
      </c>
      <c r="E1305">
        <v>0.533556699999999</v>
      </c>
      <c r="F1305" t="s">
        <v>55</v>
      </c>
      <c r="G1305">
        <v>-275.673</v>
      </c>
      <c r="H1305" s="1">
        <v>1.596621E-6</v>
      </c>
      <c r="I1305">
        <v>281.9966</v>
      </c>
      <c r="J1305">
        <v>-246.934</v>
      </c>
      <c r="K1305">
        <v>1.1074759999999999</v>
      </c>
      <c r="L1305">
        <v>282.84719999999999</v>
      </c>
      <c r="M1305">
        <v>-0.99956230000000001</v>
      </c>
      <c r="N1305">
        <v>-4.1237169999999998E-3</v>
      </c>
      <c r="O1305">
        <v>2.9300139999999999E-2</v>
      </c>
      <c r="P1305">
        <v>-0.99596390000000001</v>
      </c>
      <c r="Q1305">
        <v>-7.1397879999999997E-2</v>
      </c>
      <c r="R1305">
        <v>-5.4394449999999997E-2</v>
      </c>
      <c r="S1305">
        <v>-2.9992519999999998</v>
      </c>
      <c r="T1305">
        <v>-0.113898</v>
      </c>
      <c r="U1305">
        <v>-8.6212159999999996E-2</v>
      </c>
      <c r="V1305">
        <v>-8.3553589999999997E-2</v>
      </c>
      <c r="W1305">
        <v>-6.7298109999999994E-2</v>
      </c>
      <c r="X1305">
        <v>0.99422820000000001</v>
      </c>
      <c r="Y1305">
        <v>-5.7945589999999998E-2</v>
      </c>
      <c r="Z1305">
        <v>-2.2104730000000001E-3</v>
      </c>
      <c r="AA1305">
        <v>0.99831729999999996</v>
      </c>
      <c r="AB1305">
        <v>44</v>
      </c>
      <c r="AC1305">
        <v>-28.738999999999901</v>
      </c>
      <c r="AD1305">
        <v>-1.107474403379</v>
      </c>
      <c r="AE1305">
        <v>-0.85059999999998503</v>
      </c>
      <c r="AF1305">
        <v>-1.6897914248899499</v>
      </c>
      <c r="AG1305">
        <v>-1.107474403379</v>
      </c>
      <c r="AH1305">
        <v>28.6592165918006</v>
      </c>
      <c r="AI1305">
        <v>92.209139466728502</v>
      </c>
      <c r="AJ1305">
        <v>93.374340516699803</v>
      </c>
      <c r="AK1305">
        <v>28.7303426758107</v>
      </c>
      <c r="AL1305">
        <v>93.858814296543201</v>
      </c>
      <c r="AM1305">
        <v>94.803771981439098</v>
      </c>
      <c r="AN1305">
        <v>0.99999997584334899</v>
      </c>
    </row>
    <row r="1306" spans="1:40" x14ac:dyDescent="0.25">
      <c r="A1306" t="str">
        <f>"20190305135606702"</f>
        <v>20190305135606702</v>
      </c>
      <c r="B1306" t="str">
        <f>"1551765366693543"</f>
        <v>1551765366693543</v>
      </c>
      <c r="C1306" t="s">
        <v>40</v>
      </c>
      <c r="D1306">
        <v>3.9965259999999998</v>
      </c>
      <c r="E1306">
        <v>0.59128769999999997</v>
      </c>
      <c r="F1306" t="s">
        <v>55</v>
      </c>
      <c r="G1306">
        <v>-332.51310000000001</v>
      </c>
      <c r="H1306" s="1">
        <v>-2.3756990000000001E-7</v>
      </c>
      <c r="I1306">
        <v>285.488</v>
      </c>
      <c r="J1306">
        <v>-247.38310000000001</v>
      </c>
      <c r="K1306">
        <v>1.107499</v>
      </c>
      <c r="L1306">
        <v>282.86040000000003</v>
      </c>
      <c r="M1306">
        <v>-0.99956599999999995</v>
      </c>
      <c r="N1306">
        <v>-4.1682220000000001E-3</v>
      </c>
      <c r="O1306">
        <v>2.916593E-2</v>
      </c>
      <c r="P1306">
        <v>-0.99595270000000002</v>
      </c>
      <c r="Q1306">
        <v>-7.3430670000000003E-2</v>
      </c>
      <c r="R1306">
        <v>-5.1829590000000002E-2</v>
      </c>
      <c r="S1306">
        <v>-3.0144500000000001</v>
      </c>
      <c r="T1306">
        <v>-3.9009929999999998E-2</v>
      </c>
      <c r="U1306">
        <v>9.3017580000000002E-2</v>
      </c>
      <c r="V1306">
        <v>-8.0848450000000002E-2</v>
      </c>
      <c r="W1306">
        <v>-6.9295480000000007E-2</v>
      </c>
      <c r="X1306">
        <v>0.9943147</v>
      </c>
      <c r="Y1306">
        <v>1.6780530000000001E-3</v>
      </c>
      <c r="Z1306">
        <v>-2.4132959999999999E-4</v>
      </c>
      <c r="AA1306">
        <v>0.99999859999999896</v>
      </c>
      <c r="AB1306">
        <v>44</v>
      </c>
      <c r="AC1306">
        <v>-85.13</v>
      </c>
      <c r="AD1306">
        <v>-1.10749923756989</v>
      </c>
      <c r="AE1306">
        <v>2.62759999999997</v>
      </c>
      <c r="AF1306">
        <v>0.14354096171771699</v>
      </c>
      <c r="AG1306">
        <v>-1.10749923756989</v>
      </c>
      <c r="AH1306">
        <v>85.156022045829502</v>
      </c>
      <c r="AI1306">
        <v>90.745118937651696</v>
      </c>
      <c r="AJ1306">
        <v>89.903420999398406</v>
      </c>
      <c r="AK1306">
        <v>85.163344516515494</v>
      </c>
      <c r="AL1306">
        <v>93.973522817562895</v>
      </c>
      <c r="AM1306">
        <v>94.648534926573902</v>
      </c>
      <c r="AN1306">
        <v>1.0000000290259601</v>
      </c>
    </row>
    <row r="1307" spans="1:40" x14ac:dyDescent="0.25">
      <c r="A1307" t="str">
        <f>"20190305135606724"</f>
        <v>20190305135606724</v>
      </c>
      <c r="B1307" t="str">
        <f>"1551765366713062"</f>
        <v>1551765366713062</v>
      </c>
      <c r="C1307" t="s">
        <v>40</v>
      </c>
      <c r="D1307">
        <v>3.9473440000000002</v>
      </c>
      <c r="E1307">
        <v>0.59312430000000005</v>
      </c>
      <c r="F1307" t="s">
        <v>55</v>
      </c>
      <c r="G1307">
        <v>-269.04239999999999</v>
      </c>
      <c r="H1307" s="1">
        <v>3.2751210000000001E-6</v>
      </c>
      <c r="I1307">
        <v>286.92570000000001</v>
      </c>
      <c r="J1307">
        <v>-247.82509999999999</v>
      </c>
      <c r="K1307">
        <v>1.107542</v>
      </c>
      <c r="L1307">
        <v>282.87299999999999</v>
      </c>
      <c r="M1307">
        <v>-0.99957180000000001</v>
      </c>
      <c r="N1307">
        <v>-4.2121349999999997E-3</v>
      </c>
      <c r="O1307">
        <v>2.8955709999999999E-2</v>
      </c>
      <c r="P1307">
        <v>-0.99593849999999995</v>
      </c>
      <c r="Q1307">
        <v>-7.5472769999999995E-2</v>
      </c>
      <c r="R1307">
        <v>-4.9096750000000002E-2</v>
      </c>
      <c r="S1307">
        <v>-3.0303960000000001</v>
      </c>
      <c r="T1307">
        <v>-0.15495200000000001</v>
      </c>
      <c r="U1307">
        <v>0.56878660000000003</v>
      </c>
      <c r="V1307">
        <v>-7.789604E-2</v>
      </c>
      <c r="W1307">
        <v>-7.1304720000000002E-2</v>
      </c>
      <c r="X1307">
        <v>0.99440830000000002</v>
      </c>
      <c r="Y1307">
        <v>0.155754</v>
      </c>
      <c r="Z1307">
        <v>2.9314150000000001E-3</v>
      </c>
      <c r="AA1307">
        <v>0.98779150000000004</v>
      </c>
      <c r="AB1307">
        <v>44</v>
      </c>
      <c r="AC1307">
        <v>-21.217299999999899</v>
      </c>
      <c r="AD1307">
        <v>-1.1075387248790001</v>
      </c>
      <c r="AE1307">
        <v>4.0527000000000104</v>
      </c>
      <c r="AF1307">
        <v>3.42762231469997</v>
      </c>
      <c r="AG1307">
        <v>-1.1075387248790001</v>
      </c>
      <c r="AH1307">
        <v>21.269836815742998</v>
      </c>
      <c r="AI1307">
        <v>92.942849863573002</v>
      </c>
      <c r="AJ1307">
        <v>80.845520380747402</v>
      </c>
      <c r="AK1307">
        <v>21.5726955878878</v>
      </c>
      <c r="AL1307">
        <v>94.088929405978504</v>
      </c>
      <c r="AM1307">
        <v>94.479064489919395</v>
      </c>
      <c r="AN1307">
        <v>1.00000001162542</v>
      </c>
    </row>
    <row r="1308" spans="1:40" x14ac:dyDescent="0.25">
      <c r="A1308" t="str">
        <f>"20190305135606747"</f>
        <v>20190305135606747</v>
      </c>
      <c r="B1308" t="str">
        <f>"1551765366743319"</f>
        <v>1551765366743319</v>
      </c>
      <c r="C1308" t="s">
        <v>40</v>
      </c>
      <c r="D1308">
        <v>3.9794429999999998</v>
      </c>
      <c r="E1308">
        <v>0.59289740000000002</v>
      </c>
      <c r="F1308" t="s">
        <v>55</v>
      </c>
      <c r="G1308">
        <v>-270.01080000000002</v>
      </c>
      <c r="H1308" s="1">
        <v>-1.6439080000000001E-6</v>
      </c>
      <c r="I1308">
        <v>287.19830000000002</v>
      </c>
      <c r="J1308">
        <v>-248.27590000000001</v>
      </c>
      <c r="K1308">
        <v>1.107594</v>
      </c>
      <c r="L1308">
        <v>282.88589999999999</v>
      </c>
      <c r="M1308">
        <v>-0.99958029999999998</v>
      </c>
      <c r="N1308">
        <v>-4.2570689999999996E-3</v>
      </c>
      <c r="O1308">
        <v>2.8657479999999999E-2</v>
      </c>
      <c r="P1308">
        <v>-0.99579850000000003</v>
      </c>
      <c r="Q1308">
        <v>-7.8453060000000005E-2</v>
      </c>
      <c r="R1308">
        <v>-4.7230519999999998E-2</v>
      </c>
      <c r="S1308">
        <v>-3.0298919999999998</v>
      </c>
      <c r="T1308">
        <v>-0.15125720000000001</v>
      </c>
      <c r="U1308">
        <v>0.59069819999999995</v>
      </c>
      <c r="V1308">
        <v>-7.5716350000000002E-2</v>
      </c>
      <c r="W1308">
        <v>-7.4253280000000005E-2</v>
      </c>
      <c r="X1308">
        <v>0.99436089999999999</v>
      </c>
      <c r="Y1308">
        <v>0.16296379999999999</v>
      </c>
      <c r="Z1308">
        <v>3.0832590000000001E-3</v>
      </c>
      <c r="AA1308">
        <v>0.98662720000000004</v>
      </c>
      <c r="AB1308">
        <v>44</v>
      </c>
      <c r="AC1308">
        <v>-21.7349</v>
      </c>
      <c r="AD1308">
        <v>-1.1075956439079999</v>
      </c>
      <c r="AE1308">
        <v>4.3124000000000198</v>
      </c>
      <c r="AF1308">
        <v>3.67856488437346</v>
      </c>
      <c r="AG1308">
        <v>-1.1075956439079999</v>
      </c>
      <c r="AH1308">
        <v>21.7951017577027</v>
      </c>
      <c r="AI1308">
        <v>92.8686830305966</v>
      </c>
      <c r="AJ1308">
        <v>80.419937477615093</v>
      </c>
      <c r="AK1308">
        <v>22.1310882775241</v>
      </c>
      <c r="AL1308">
        <v>94.258318519907505</v>
      </c>
      <c r="AM1308">
        <v>94.3544267929597</v>
      </c>
      <c r="AN1308">
        <v>1.00000005734844</v>
      </c>
    </row>
    <row r="1309" spans="1:40" x14ac:dyDescent="0.25">
      <c r="A1309" t="str">
        <f>"20190305135606768"</f>
        <v>20190305135606768</v>
      </c>
      <c r="B1309" t="str">
        <f>"1551765366762838"</f>
        <v>1551765366762838</v>
      </c>
      <c r="C1309" t="s">
        <v>40</v>
      </c>
      <c r="D1309">
        <v>3.9674230000000001</v>
      </c>
      <c r="E1309">
        <v>0.592674699999999</v>
      </c>
      <c r="F1309" t="s">
        <v>55</v>
      </c>
      <c r="G1309">
        <v>-270.8116</v>
      </c>
      <c r="H1309" s="1">
        <v>-1.222508E-6</v>
      </c>
      <c r="I1309">
        <v>287.3064</v>
      </c>
      <c r="J1309">
        <v>-248.6951</v>
      </c>
      <c r="K1309">
        <v>1.10764</v>
      </c>
      <c r="L1309">
        <v>282.89769999999999</v>
      </c>
      <c r="M1309">
        <v>-0.99959019999999998</v>
      </c>
      <c r="N1309">
        <v>-4.2987879999999996E-3</v>
      </c>
      <c r="O1309">
        <v>2.8307809999999999E-2</v>
      </c>
      <c r="P1309">
        <v>-0.99559319999999896</v>
      </c>
      <c r="Q1309">
        <v>-8.1835920000000006E-2</v>
      </c>
      <c r="R1309">
        <v>-4.5797060000000001E-2</v>
      </c>
      <c r="S1309">
        <v>-3.0291139999999999</v>
      </c>
      <c r="T1309">
        <v>-0.14887639999999999</v>
      </c>
      <c r="U1309">
        <v>0.59417719999999996</v>
      </c>
      <c r="V1309">
        <v>-7.3915910000000001E-2</v>
      </c>
      <c r="W1309">
        <v>-7.7606930000000005E-2</v>
      </c>
      <c r="X1309">
        <v>0.99424020000000002</v>
      </c>
      <c r="Y1309">
        <v>0.16445070000000001</v>
      </c>
      <c r="Z1309">
        <v>3.1021030000000002E-3</v>
      </c>
      <c r="AA1309">
        <v>0.98638049999999999</v>
      </c>
      <c r="AB1309">
        <v>45</v>
      </c>
      <c r="AC1309">
        <v>-22.116499999999998</v>
      </c>
      <c r="AD1309">
        <v>-1.1076412225079999</v>
      </c>
      <c r="AE1309">
        <v>4.4086999999999996</v>
      </c>
      <c r="AF1309">
        <v>3.7717590098357698</v>
      </c>
      <c r="AG1309">
        <v>-1.1076412225079999</v>
      </c>
      <c r="AH1309">
        <v>22.178934921090399</v>
      </c>
      <c r="AI1309">
        <v>92.818639880268407</v>
      </c>
      <c r="AJ1309">
        <v>80.348590087464402</v>
      </c>
      <c r="AK1309">
        <v>22.524612967597101</v>
      </c>
      <c r="AL1309">
        <v>94.451025224599604</v>
      </c>
      <c r="AM1309">
        <v>94.251782393706605</v>
      </c>
      <c r="AN1309">
        <v>0.99999998631559595</v>
      </c>
    </row>
    <row r="1310" spans="1:40" x14ac:dyDescent="0.25">
      <c r="A1310" t="str">
        <f>"20190305135606792"</f>
        <v>20190305135606792</v>
      </c>
      <c r="B1310" t="str">
        <f>"1551765366783335"</f>
        <v>1551765366783335</v>
      </c>
      <c r="C1310" t="s">
        <v>40</v>
      </c>
      <c r="D1310">
        <v>3.984553</v>
      </c>
      <c r="E1310">
        <v>0.59249890000000005</v>
      </c>
      <c r="F1310" t="s">
        <v>55</v>
      </c>
      <c r="G1310">
        <v>-270.61759999999998</v>
      </c>
      <c r="H1310" s="1">
        <v>-1.321692E-6</v>
      </c>
      <c r="I1310">
        <v>287.21440000000001</v>
      </c>
      <c r="J1310">
        <v>-249.16309999999999</v>
      </c>
      <c r="K1310">
        <v>1.107694</v>
      </c>
      <c r="L1310">
        <v>282.91070000000002</v>
      </c>
      <c r="M1310">
        <v>-0.99960280000000001</v>
      </c>
      <c r="N1310">
        <v>-4.3448890000000002E-3</v>
      </c>
      <c r="O1310">
        <v>2.7850860000000002E-2</v>
      </c>
      <c r="P1310">
        <v>-0.99536789999999997</v>
      </c>
      <c r="Q1310">
        <v>-8.5394579999999998E-2</v>
      </c>
      <c r="R1310">
        <v>-4.4170250000000001E-2</v>
      </c>
      <c r="S1310">
        <v>-3.0281370000000001</v>
      </c>
      <c r="T1310">
        <v>-0.15299769999999999</v>
      </c>
      <c r="U1310">
        <v>0.59625240000000002</v>
      </c>
      <c r="V1310">
        <v>-7.1811910000000007E-2</v>
      </c>
      <c r="W1310">
        <v>-8.1131789999999995E-2</v>
      </c>
      <c r="X1310">
        <v>0.99411300000000002</v>
      </c>
      <c r="Y1310">
        <v>0.16560050000000001</v>
      </c>
      <c r="Z1310">
        <v>3.2326189999999999E-3</v>
      </c>
      <c r="AA1310">
        <v>0.98618760000000005</v>
      </c>
      <c r="AB1310">
        <v>45</v>
      </c>
      <c r="AC1310">
        <v>-21.454499999999999</v>
      </c>
      <c r="AD1310">
        <v>-1.107695321692</v>
      </c>
      <c r="AE1310">
        <v>4.3036999999999903</v>
      </c>
      <c r="AF1310">
        <v>3.69503003070015</v>
      </c>
      <c r="AG1310">
        <v>-1.107695321692</v>
      </c>
      <c r="AH1310">
        <v>21.510917685237199</v>
      </c>
      <c r="AI1310">
        <v>92.905340310814594</v>
      </c>
      <c r="AJ1310">
        <v>80.2531606500539</v>
      </c>
      <c r="AK1310">
        <v>21.8540571865849</v>
      </c>
      <c r="AL1310">
        <v>94.653624074959794</v>
      </c>
      <c r="AM1310">
        <v>94.1317082454662</v>
      </c>
      <c r="AN1310">
        <v>0.99999998726772599</v>
      </c>
    </row>
    <row r="1311" spans="1:40" x14ac:dyDescent="0.25">
      <c r="A1311" t="str">
        <f>"20190305135606815"</f>
        <v>20190305135606815</v>
      </c>
      <c r="B1311" t="str">
        <f>"1551765366803831"</f>
        <v>1551765366803831</v>
      </c>
      <c r="C1311" t="s">
        <v>40</v>
      </c>
      <c r="D1311">
        <v>4.0074110000000003</v>
      </c>
      <c r="E1311">
        <v>0.59216409999999997</v>
      </c>
      <c r="F1311" t="s">
        <v>55</v>
      </c>
      <c r="G1311">
        <v>-269.95420000000001</v>
      </c>
      <c r="H1311" s="1">
        <v>3.7603299999999998E-6</v>
      </c>
      <c r="I1311">
        <v>287.02910000000003</v>
      </c>
      <c r="J1311">
        <v>-249.6472</v>
      </c>
      <c r="K1311">
        <v>1.107748</v>
      </c>
      <c r="L1311">
        <v>282.92380000000003</v>
      </c>
      <c r="M1311">
        <v>-0.99961730000000004</v>
      </c>
      <c r="N1311">
        <v>-4.392455E-3</v>
      </c>
      <c r="O1311">
        <v>2.731985E-2</v>
      </c>
      <c r="P1311">
        <v>-0.99525439999999998</v>
      </c>
      <c r="Q1311">
        <v>-8.7582270000000004E-2</v>
      </c>
      <c r="R1311">
        <v>-4.2407019999999997E-2</v>
      </c>
      <c r="S1311">
        <v>-3.0267179999999998</v>
      </c>
      <c r="T1311">
        <v>-0.16125539999999999</v>
      </c>
      <c r="U1311">
        <v>0.59954830000000003</v>
      </c>
      <c r="V1311">
        <v>-6.9504099999999999E-2</v>
      </c>
      <c r="W1311">
        <v>-8.3281240000000006E-2</v>
      </c>
      <c r="X1311">
        <v>0.99409930000000002</v>
      </c>
      <c r="Y1311">
        <v>0.16722190000000001</v>
      </c>
      <c r="Z1311">
        <v>3.4591650000000002E-3</v>
      </c>
      <c r="AA1311">
        <v>0.98591320000000005</v>
      </c>
      <c r="AB1311">
        <v>45</v>
      </c>
      <c r="AC1311">
        <v>-20.306999999999999</v>
      </c>
      <c r="AD1311">
        <v>-1.1077442396699999</v>
      </c>
      <c r="AE1311">
        <v>4.1052999999999997</v>
      </c>
      <c r="AF1311">
        <v>3.53886113933416</v>
      </c>
      <c r="AG1311">
        <v>-1.1077442396699999</v>
      </c>
      <c r="AH1311">
        <v>20.3533901011544</v>
      </c>
      <c r="AI1311">
        <v>93.069321217533997</v>
      </c>
      <c r="AJ1311">
        <v>80.136539876738695</v>
      </c>
      <c r="AK1311">
        <v>20.688429715031099</v>
      </c>
      <c r="AL1311">
        <v>94.777196700219093</v>
      </c>
      <c r="AM1311">
        <v>93.999421007878794</v>
      </c>
      <c r="AN1311">
        <v>1.00000000155661</v>
      </c>
    </row>
    <row r="1312" spans="1:40" x14ac:dyDescent="0.25">
      <c r="A1312" t="str">
        <f>"20190305135606860"</f>
        <v>20190305135606860</v>
      </c>
      <c r="B1312" t="str">
        <f>"1551765366853607"</f>
        <v>1551765366853607</v>
      </c>
      <c r="C1312" t="s">
        <v>40</v>
      </c>
      <c r="D1312">
        <v>4.0707709999999997</v>
      </c>
      <c r="E1312">
        <v>0.59142019999999995</v>
      </c>
      <c r="F1312" t="s">
        <v>55</v>
      </c>
      <c r="G1312">
        <v>-269.7758</v>
      </c>
      <c r="H1312" s="1">
        <v>3.6654129999999998E-6</v>
      </c>
      <c r="I1312">
        <v>286.93029999999999</v>
      </c>
      <c r="J1312">
        <v>-250.536</v>
      </c>
      <c r="K1312">
        <v>1.107831</v>
      </c>
      <c r="L1312">
        <v>282.94729999999998</v>
      </c>
      <c r="M1312">
        <v>-0.99964520000000001</v>
      </c>
      <c r="N1312">
        <v>-4.4895320000000001E-3</v>
      </c>
      <c r="O1312">
        <v>2.6253439999999999E-2</v>
      </c>
      <c r="P1312">
        <v>-0.99542160000000002</v>
      </c>
      <c r="Q1312">
        <v>-8.7427030000000003E-2</v>
      </c>
      <c r="R1312">
        <v>-3.8638079999999998E-2</v>
      </c>
      <c r="S1312">
        <v>-3.0253139999999998</v>
      </c>
      <c r="T1312">
        <v>-0.1664928</v>
      </c>
      <c r="U1312">
        <v>0.60217290000000001</v>
      </c>
      <c r="V1312">
        <v>-6.466247E-2</v>
      </c>
      <c r="W1312">
        <v>-8.3037639999999996E-2</v>
      </c>
      <c r="X1312">
        <v>0.99444630000000001</v>
      </c>
      <c r="Y1312">
        <v>0.1691648</v>
      </c>
      <c r="Z1312">
        <v>3.6780200000000002E-3</v>
      </c>
      <c r="AA1312">
        <v>0.98558089999999998</v>
      </c>
      <c r="AB1312">
        <v>45</v>
      </c>
      <c r="AC1312">
        <v>-19.239799999999999</v>
      </c>
      <c r="AD1312">
        <v>-1.107827334587</v>
      </c>
      <c r="AE1312">
        <v>3.9830000000000001</v>
      </c>
      <c r="AF1312">
        <v>3.4654935529822599</v>
      </c>
      <c r="AG1312">
        <v>-1.107827334587</v>
      </c>
      <c r="AH1312">
        <v>19.276453008252101</v>
      </c>
      <c r="AI1312">
        <v>93.237410833212095</v>
      </c>
      <c r="AJ1312">
        <v>79.808314456792004</v>
      </c>
      <c r="AK1312">
        <v>19.616792998560499</v>
      </c>
      <c r="AL1312">
        <v>94.763191114585396</v>
      </c>
      <c r="AM1312">
        <v>93.720339978761302</v>
      </c>
      <c r="AN1312">
        <v>0.99999996413347902</v>
      </c>
    </row>
    <row r="1313" spans="1:40" x14ac:dyDescent="0.25">
      <c r="A1313" t="str">
        <f>"20190305135606881"</f>
        <v>20190305135606881</v>
      </c>
      <c r="B1313" t="str">
        <f>"1551765366873127"</f>
        <v>1551765366873127</v>
      </c>
      <c r="C1313" t="s">
        <v>40</v>
      </c>
      <c r="D1313">
        <v>4.0763439999999997</v>
      </c>
      <c r="E1313">
        <v>0.59118219999999899</v>
      </c>
      <c r="F1313" t="s">
        <v>55</v>
      </c>
      <c r="G1313">
        <v>-270.61720000000003</v>
      </c>
      <c r="H1313" s="1">
        <v>-1.311921E-6</v>
      </c>
      <c r="I1313">
        <v>286.9853</v>
      </c>
      <c r="J1313">
        <v>-250.98929999999999</v>
      </c>
      <c r="K1313">
        <v>1.1078779999999999</v>
      </c>
      <c r="L1313">
        <v>282.95890000000003</v>
      </c>
      <c r="M1313">
        <v>-0.99965979999999999</v>
      </c>
      <c r="N1313">
        <v>-4.5524320000000004E-3</v>
      </c>
      <c r="O1313">
        <v>2.5683950000000001E-2</v>
      </c>
      <c r="P1313">
        <v>-0.99548049999999999</v>
      </c>
      <c r="Q1313">
        <v>-8.7766410000000003E-2</v>
      </c>
      <c r="R1313">
        <v>-3.6274540000000001E-2</v>
      </c>
      <c r="S1313">
        <v>-3.0227200000000001</v>
      </c>
      <c r="T1313">
        <v>-0.1667565</v>
      </c>
      <c r="U1313">
        <v>0.60781859999999999</v>
      </c>
      <c r="V1313">
        <v>-6.1727419999999998E-2</v>
      </c>
      <c r="W1313">
        <v>-8.3315979999999998E-2</v>
      </c>
      <c r="X1313">
        <v>0.99460950000000004</v>
      </c>
      <c r="Y1313">
        <v>0.17165169999999999</v>
      </c>
      <c r="Z1313">
        <v>3.794272E-3</v>
      </c>
      <c r="AA1313">
        <v>0.98515039999999998</v>
      </c>
      <c r="AB1313">
        <v>45</v>
      </c>
      <c r="AC1313">
        <v>-19.6279</v>
      </c>
      <c r="AD1313">
        <v>-1.107879311921</v>
      </c>
      <c r="AE1313">
        <v>4.0263999999999598</v>
      </c>
      <c r="AF1313">
        <v>3.5102127992411001</v>
      </c>
      <c r="AG1313">
        <v>-1.107879311921</v>
      </c>
      <c r="AH1313">
        <v>19.6647191721163</v>
      </c>
      <c r="AI1313">
        <v>93.174472273244206</v>
      </c>
      <c r="AJ1313">
        <v>79.879123854156703</v>
      </c>
      <c r="AK1313">
        <v>20.006253287008398</v>
      </c>
      <c r="AL1313">
        <v>94.779194381639002</v>
      </c>
      <c r="AM1313">
        <v>93.551333795166997</v>
      </c>
      <c r="AN1313">
        <v>0.99999994219673105</v>
      </c>
    </row>
    <row r="1314" spans="1:40" x14ac:dyDescent="0.25">
      <c r="A1314" t="str">
        <f>"20190305135606904"</f>
        <v>20190305135606904</v>
      </c>
      <c r="B1314" t="str">
        <f>"1551765366893623"</f>
        <v>1551765366893623</v>
      </c>
      <c r="C1314" t="s">
        <v>40</v>
      </c>
      <c r="D1314">
        <v>4.0494070000000004</v>
      </c>
      <c r="E1314">
        <v>0.59106539999999996</v>
      </c>
      <c r="F1314" t="s">
        <v>55</v>
      </c>
      <c r="G1314">
        <v>-270.96039999999999</v>
      </c>
      <c r="H1314" s="1">
        <v>-1.130446E-6</v>
      </c>
      <c r="I1314">
        <v>287.01229999999998</v>
      </c>
      <c r="J1314">
        <v>-251.45410000000001</v>
      </c>
      <c r="K1314">
        <v>1.1079300000000001</v>
      </c>
      <c r="L1314">
        <v>282.97059999999999</v>
      </c>
      <c r="M1314">
        <v>-0.99967430000000002</v>
      </c>
      <c r="N1314">
        <v>-4.652921E-3</v>
      </c>
      <c r="O1314">
        <v>2.5092429999999999E-2</v>
      </c>
      <c r="P1314">
        <v>-0.99551829999999997</v>
      </c>
      <c r="Q1314">
        <v>-8.8200710000000002E-2</v>
      </c>
      <c r="R1314">
        <v>-3.411877E-2</v>
      </c>
      <c r="S1314">
        <v>-3.02121</v>
      </c>
      <c r="T1314">
        <v>-0.16759859999999999</v>
      </c>
      <c r="U1314">
        <v>0.61318969999999995</v>
      </c>
      <c r="V1314">
        <v>-5.8977620000000001E-2</v>
      </c>
      <c r="W1314">
        <v>-8.3651299999999998E-2</v>
      </c>
      <c r="X1314">
        <v>0.99474819999999997</v>
      </c>
      <c r="Y1314">
        <v>0.174004399999999</v>
      </c>
      <c r="Z1314">
        <v>3.9229720000000003E-3</v>
      </c>
      <c r="AA1314">
        <v>0.98473699999999997</v>
      </c>
      <c r="AB1314">
        <v>45</v>
      </c>
      <c r="AC1314">
        <v>-19.5062999999999</v>
      </c>
      <c r="AD1314">
        <v>-1.10793113044599</v>
      </c>
      <c r="AE1314">
        <v>4.0416999999999899</v>
      </c>
      <c r="AF1314">
        <v>3.54001135306682</v>
      </c>
      <c r="AG1314">
        <v>-1.10793113044599</v>
      </c>
      <c r="AH1314">
        <v>19.541128927105099</v>
      </c>
      <c r="AI1314">
        <v>93.193183782995305</v>
      </c>
      <c r="AJ1314">
        <v>79.731831136507907</v>
      </c>
      <c r="AK1314">
        <v>19.8900706764807</v>
      </c>
      <c r="AL1314">
        <v>94.798474114330105</v>
      </c>
      <c r="AM1314">
        <v>93.393037126653397</v>
      </c>
      <c r="AN1314">
        <v>0.99999994052789498</v>
      </c>
    </row>
    <row r="1315" spans="1:40" x14ac:dyDescent="0.25">
      <c r="A1315" t="str">
        <f>"20190305135606925"</f>
        <v>20190305135606925</v>
      </c>
      <c r="B1315" t="str">
        <f>"1551765366922903"</f>
        <v>1551765366922903</v>
      </c>
      <c r="C1315" t="s">
        <v>40</v>
      </c>
      <c r="D1315">
        <v>4.0986320000000003</v>
      </c>
      <c r="E1315">
        <v>0.59075809999999995</v>
      </c>
      <c r="F1315" t="s">
        <v>55</v>
      </c>
      <c r="G1315">
        <v>-271.41910000000001</v>
      </c>
      <c r="H1315" s="1">
        <v>-8.8851450000000002E-7</v>
      </c>
      <c r="I1315">
        <v>287.0616</v>
      </c>
      <c r="J1315">
        <v>-251.8914</v>
      </c>
      <c r="K1315">
        <v>1.1080019999999999</v>
      </c>
      <c r="L1315">
        <v>282.9812</v>
      </c>
      <c r="M1315">
        <v>-0.99968710000000005</v>
      </c>
      <c r="N1315">
        <v>-4.8478690000000003E-3</v>
      </c>
      <c r="O1315">
        <v>2.4538890000000001E-2</v>
      </c>
      <c r="P1315">
        <v>-0.99554140000000002</v>
      </c>
      <c r="Q1315">
        <v>-8.8232759999999993E-2</v>
      </c>
      <c r="R1315">
        <v>-3.3351270000000002E-2</v>
      </c>
      <c r="S1315">
        <v>-3.0198360000000002</v>
      </c>
      <c r="T1315">
        <v>-0.16758219999999999</v>
      </c>
      <c r="U1315">
        <v>0.61880489999999999</v>
      </c>
      <c r="V1315">
        <v>-5.7654480000000001E-2</v>
      </c>
      <c r="W1315">
        <v>-8.3491499999999996E-2</v>
      </c>
      <c r="X1315">
        <v>0.99483929999999998</v>
      </c>
      <c r="Y1315">
        <v>0.17638860000000001</v>
      </c>
      <c r="Z1315">
        <v>4.044527E-3</v>
      </c>
      <c r="AA1315">
        <v>0.98431230000000003</v>
      </c>
      <c r="AB1315">
        <v>46</v>
      </c>
      <c r="AC1315">
        <v>-19.527699999999999</v>
      </c>
      <c r="AD1315">
        <v>-1.1080028885144999</v>
      </c>
      <c r="AE1315">
        <v>4.0803999999999903</v>
      </c>
      <c r="AF1315">
        <v>3.58890666763237</v>
      </c>
      <c r="AG1315">
        <v>-1.1080028885144999</v>
      </c>
      <c r="AH1315">
        <v>19.561606636288499</v>
      </c>
      <c r="AI1315">
        <v>93.188756889787797</v>
      </c>
      <c r="AJ1315">
        <v>79.603740281585701</v>
      </c>
      <c r="AK1315">
        <v>19.9189451443298</v>
      </c>
      <c r="AL1315">
        <v>94.789285575217704</v>
      </c>
      <c r="AM1315">
        <v>93.316784501963497</v>
      </c>
      <c r="AN1315">
        <v>1.0000000512303999</v>
      </c>
    </row>
    <row r="1316" spans="1:40" x14ac:dyDescent="0.25">
      <c r="A1316" t="str">
        <f>"20190305135606948"</f>
        <v>20190305135606948</v>
      </c>
      <c r="B1316" t="str">
        <f>"1551765366943399"</f>
        <v>1551765366943399</v>
      </c>
      <c r="C1316" t="s">
        <v>40</v>
      </c>
      <c r="D1316">
        <v>4.0747619999999998</v>
      </c>
      <c r="E1316">
        <v>0.59044140000000001</v>
      </c>
      <c r="F1316" t="s">
        <v>55</v>
      </c>
      <c r="G1316">
        <v>-272.35210000000001</v>
      </c>
      <c r="H1316" s="1">
        <v>-3.968007E-7</v>
      </c>
      <c r="I1316">
        <v>287.17059999999998</v>
      </c>
      <c r="J1316">
        <v>-252.33850000000001</v>
      </c>
      <c r="K1316">
        <v>1.108112</v>
      </c>
      <c r="L1316">
        <v>282.99189999999999</v>
      </c>
      <c r="M1316">
        <v>-0.9996988</v>
      </c>
      <c r="N1316">
        <v>-5.2147859999999999E-3</v>
      </c>
      <c r="O1316">
        <v>2.3983750000000002E-2</v>
      </c>
      <c r="P1316">
        <v>-0.99543079999999995</v>
      </c>
      <c r="Q1316">
        <v>-8.9699269999999998E-2</v>
      </c>
      <c r="R1316">
        <v>-3.2738360000000001E-2</v>
      </c>
      <c r="S1316">
        <v>-3.0196529999999999</v>
      </c>
      <c r="T1316">
        <v>-0.16352329999999901</v>
      </c>
      <c r="U1316">
        <v>0.61828609999999995</v>
      </c>
      <c r="V1316">
        <v>-5.6480299999999997E-2</v>
      </c>
      <c r="W1316">
        <v>-8.4595299999999998E-2</v>
      </c>
      <c r="X1316">
        <v>0.99481339999999996</v>
      </c>
      <c r="Y1316">
        <v>0.17679249999999999</v>
      </c>
      <c r="Z1316">
        <v>4.040592E-3</v>
      </c>
      <c r="AA1316">
        <v>0.98423989999999995</v>
      </c>
      <c r="AB1316">
        <v>46</v>
      </c>
      <c r="AC1316">
        <v>-20.0136</v>
      </c>
      <c r="AD1316">
        <v>-1.1081123968007001</v>
      </c>
      <c r="AE1316">
        <v>4.1786999999999903</v>
      </c>
      <c r="AF1316">
        <v>3.68666052456244</v>
      </c>
      <c r="AG1316">
        <v>-1.1081123968007001</v>
      </c>
      <c r="AH1316">
        <v>20.049169698563698</v>
      </c>
      <c r="AI1316">
        <v>93.111444200016294</v>
      </c>
      <c r="AJ1316">
        <v>79.580788880185196</v>
      </c>
      <c r="AK1316">
        <v>20.415400669815799</v>
      </c>
      <c r="AL1316">
        <v>94.8527532296782</v>
      </c>
      <c r="AM1316">
        <v>93.249466170726393</v>
      </c>
      <c r="AN1316">
        <v>1.0000000449448601</v>
      </c>
    </row>
    <row r="1317" spans="1:40" x14ac:dyDescent="0.25">
      <c r="A1317" t="str">
        <f>"20190305135606972"</f>
        <v>20190305135606972</v>
      </c>
      <c r="B1317" t="str">
        <f>"1551765366962919"</f>
        <v>1551765366962919</v>
      </c>
      <c r="C1317" t="s">
        <v>40</v>
      </c>
      <c r="D1317">
        <v>4.1111209999999998</v>
      </c>
      <c r="E1317">
        <v>0.59029069999999995</v>
      </c>
      <c r="F1317" t="s">
        <v>55</v>
      </c>
      <c r="G1317">
        <v>-272.43939999999998</v>
      </c>
      <c r="H1317" s="1">
        <v>-3.4738929999999899E-7</v>
      </c>
      <c r="I1317">
        <v>287.1035</v>
      </c>
      <c r="J1317">
        <v>-252.84119999999999</v>
      </c>
      <c r="K1317">
        <v>1.1082669999999999</v>
      </c>
      <c r="L1317">
        <v>283.00360000000001</v>
      </c>
      <c r="M1317">
        <v>-0.99970959999999998</v>
      </c>
      <c r="N1317">
        <v>-5.8821389999999998E-3</v>
      </c>
      <c r="O1317">
        <v>2.3372150000000001E-2</v>
      </c>
      <c r="P1317">
        <v>-0.99525030000000003</v>
      </c>
      <c r="Q1317">
        <v>-9.1665449999999996E-2</v>
      </c>
      <c r="R1317">
        <v>-3.2777729999999998E-2</v>
      </c>
      <c r="S1317">
        <v>-3.0190890000000001</v>
      </c>
      <c r="T1317">
        <v>-0.166435</v>
      </c>
      <c r="U1317">
        <v>0.61755369999999998</v>
      </c>
      <c r="V1317">
        <v>-5.5899560000000001E-2</v>
      </c>
      <c r="W1317">
        <v>-8.5901249999999998E-2</v>
      </c>
      <c r="X1317">
        <v>0.99473420000000001</v>
      </c>
      <c r="Y1317">
        <v>0.17718780000000001</v>
      </c>
      <c r="Z1317">
        <v>4.2198560000000001E-3</v>
      </c>
      <c r="AA1317">
        <v>0.98416800000000004</v>
      </c>
      <c r="AB1317">
        <v>46</v>
      </c>
      <c r="AC1317">
        <v>-19.598199999999899</v>
      </c>
      <c r="AD1317">
        <v>-1.1082673473893001</v>
      </c>
      <c r="AE1317">
        <v>4.0998999999999901</v>
      </c>
      <c r="AF1317">
        <v>3.6295998290484501</v>
      </c>
      <c r="AG1317">
        <v>-1.1082673473893001</v>
      </c>
      <c r="AH1317">
        <v>19.628534295947698</v>
      </c>
      <c r="AI1317">
        <v>93.177845477045807</v>
      </c>
      <c r="AJ1317">
        <v>79.523520795011507</v>
      </c>
      <c r="AK1317">
        <v>19.992038666417098</v>
      </c>
      <c r="AL1317">
        <v>94.927852468123106</v>
      </c>
      <c r="AM1317">
        <v>93.216380638652495</v>
      </c>
      <c r="AN1317">
        <v>0.99999995710469702</v>
      </c>
    </row>
    <row r="1318" spans="1:40" x14ac:dyDescent="0.25">
      <c r="A1318" t="str">
        <f>"20190305135606993"</f>
        <v>20190305135606993</v>
      </c>
      <c r="B1318" t="str">
        <f>"1551765366983415"</f>
        <v>1551765366983415</v>
      </c>
      <c r="C1318" t="s">
        <v>40</v>
      </c>
      <c r="D1318">
        <v>4.1195040000000001</v>
      </c>
      <c r="E1318">
        <v>0.59016939999999996</v>
      </c>
      <c r="F1318" t="s">
        <v>55</v>
      </c>
      <c r="G1318">
        <v>-272.51229999999998</v>
      </c>
      <c r="H1318" s="1">
        <v>-3.0484999999999998E-7</v>
      </c>
      <c r="I1318">
        <v>287.01819999999998</v>
      </c>
      <c r="J1318">
        <v>-253.2576</v>
      </c>
      <c r="K1318">
        <v>1.1084240000000001</v>
      </c>
      <c r="L1318">
        <v>283.01310000000001</v>
      </c>
      <c r="M1318">
        <v>-0.9997161</v>
      </c>
      <c r="N1318">
        <v>-6.6162230000000001E-3</v>
      </c>
      <c r="O1318">
        <v>2.2889969999999999E-2</v>
      </c>
      <c r="P1318">
        <v>-0.99499769999999998</v>
      </c>
      <c r="Q1318">
        <v>-9.4593220000000006E-2</v>
      </c>
      <c r="R1318">
        <v>-3.2116800000000001E-2</v>
      </c>
      <c r="S1318">
        <v>-3.0189360000000001</v>
      </c>
      <c r="T1318">
        <v>-0.17008690000000001</v>
      </c>
      <c r="U1318">
        <v>0.61611939999999998</v>
      </c>
      <c r="V1318">
        <v>-5.4746320000000001E-2</v>
      </c>
      <c r="W1318">
        <v>-8.8100670000000006E-2</v>
      </c>
      <c r="X1318">
        <v>0.99460599999999999</v>
      </c>
      <c r="Y1318">
        <v>0.17720739999999999</v>
      </c>
      <c r="Z1318">
        <v>4.4051560000000003E-3</v>
      </c>
      <c r="AA1318">
        <v>0.98416360000000003</v>
      </c>
      <c r="AB1318">
        <v>46</v>
      </c>
      <c r="AC1318">
        <v>-19.2546999999999</v>
      </c>
      <c r="AD1318">
        <v>-1.10842430485</v>
      </c>
      <c r="AE1318">
        <v>4.0050999999999704</v>
      </c>
      <c r="AF1318">
        <v>3.55201858691651</v>
      </c>
      <c r="AG1318">
        <v>-1.10842430485</v>
      </c>
      <c r="AH1318">
        <v>19.280091068868899</v>
      </c>
      <c r="AI1318">
        <v>93.236007067944001</v>
      </c>
      <c r="AJ1318">
        <v>79.561309247714107</v>
      </c>
      <c r="AK1318">
        <v>19.635869018336301</v>
      </c>
      <c r="AL1318">
        <v>95.054349457662099</v>
      </c>
      <c r="AM1318">
        <v>93.150565128701402</v>
      </c>
      <c r="AN1318">
        <v>0.99999999142199503</v>
      </c>
    </row>
    <row r="1319" spans="1:40" x14ac:dyDescent="0.25">
      <c r="A1319" t="str">
        <f>"20190305135607016"</f>
        <v>20190305135607016</v>
      </c>
      <c r="B1319" t="str">
        <f>"1551765367013670"</f>
        <v>1551765367013670</v>
      </c>
      <c r="C1319" t="s">
        <v>40</v>
      </c>
      <c r="D1319">
        <v>4.0978820000000002</v>
      </c>
      <c r="E1319">
        <v>0.59014549999999999</v>
      </c>
      <c r="F1319" t="s">
        <v>55</v>
      </c>
      <c r="G1319">
        <v>-272.0788</v>
      </c>
      <c r="H1319" s="1">
        <v>-5.2867739999999999E-7</v>
      </c>
      <c r="I1319">
        <v>286.8612</v>
      </c>
      <c r="J1319">
        <v>-253.73599999999999</v>
      </c>
      <c r="K1319">
        <v>1.108595</v>
      </c>
      <c r="L1319">
        <v>283.02359999999999</v>
      </c>
      <c r="M1319">
        <v>-0.99972179999999999</v>
      </c>
      <c r="N1319">
        <v>-7.5559009999999899E-3</v>
      </c>
      <c r="O1319">
        <v>2.234506E-2</v>
      </c>
      <c r="P1319">
        <v>-0.99476059999999999</v>
      </c>
      <c r="Q1319">
        <v>-9.7041349999999998E-2</v>
      </c>
      <c r="R1319">
        <v>-3.2159930000000003E-2</v>
      </c>
      <c r="S1319">
        <v>-3.0180660000000001</v>
      </c>
      <c r="T1319">
        <v>-0.1777406</v>
      </c>
      <c r="U1319">
        <v>0.61706539999999999</v>
      </c>
      <c r="V1319">
        <v>-5.4238130000000002E-2</v>
      </c>
      <c r="W1319">
        <v>-8.9616050000000003E-2</v>
      </c>
      <c r="X1319">
        <v>0.9944984</v>
      </c>
      <c r="Y1319">
        <v>0.17806350000000001</v>
      </c>
      <c r="Z1319">
        <v>4.7320139999999997E-3</v>
      </c>
      <c r="AA1319">
        <v>0.98400759999999998</v>
      </c>
      <c r="AB1319">
        <v>46</v>
      </c>
      <c r="AC1319">
        <v>-18.3428</v>
      </c>
      <c r="AD1319">
        <v>-1.1085955286773901</v>
      </c>
      <c r="AE1319">
        <v>3.8376000000000001</v>
      </c>
      <c r="AF1319">
        <v>3.4148088877349898</v>
      </c>
      <c r="AG1319">
        <v>-1.1085955286773901</v>
      </c>
      <c r="AH1319">
        <v>18.359723321027101</v>
      </c>
      <c r="AI1319">
        <v>93.397310690435106</v>
      </c>
      <c r="AJ1319">
        <v>79.463692639425702</v>
      </c>
      <c r="AK1319">
        <v>18.707467605494401</v>
      </c>
      <c r="AL1319">
        <v>95.1415194332737</v>
      </c>
      <c r="AM1319">
        <v>93.121714739685999</v>
      </c>
      <c r="AN1319">
        <v>0.999999939383027</v>
      </c>
    </row>
    <row r="1320" spans="1:40" x14ac:dyDescent="0.25">
      <c r="A1320" t="str">
        <f>"20190305135607040"</f>
        <v>20190305135607040</v>
      </c>
      <c r="B1320" t="str">
        <f>"1551765367033191"</f>
        <v>1551765367033191</v>
      </c>
      <c r="C1320" t="s">
        <v>40</v>
      </c>
      <c r="D1320">
        <v>4.1371370000000001</v>
      </c>
      <c r="E1320">
        <v>0.59015919999999999</v>
      </c>
      <c r="F1320" t="s">
        <v>55</v>
      </c>
      <c r="G1320">
        <v>-272.22980000000001</v>
      </c>
      <c r="H1320" s="1">
        <v>-4.457261E-7</v>
      </c>
      <c r="I1320">
        <v>286.80119999999999</v>
      </c>
      <c r="J1320">
        <v>-254.23679999999999</v>
      </c>
      <c r="K1320">
        <v>1.1087400000000001</v>
      </c>
      <c r="L1320">
        <v>283.03440000000001</v>
      </c>
      <c r="M1320">
        <v>-0.99972669999999997</v>
      </c>
      <c r="N1320">
        <v>-8.5338399999999991E-3</v>
      </c>
      <c r="O1320">
        <v>2.1774120000000001E-2</v>
      </c>
      <c r="P1320">
        <v>-0.9944904</v>
      </c>
      <c r="Q1320">
        <v>-9.9698709999999996E-2</v>
      </c>
      <c r="R1320">
        <v>-3.2399829999999998E-2</v>
      </c>
      <c r="S1320">
        <v>-3.0180660000000001</v>
      </c>
      <c r="T1320">
        <v>-0.18091570000000001</v>
      </c>
      <c r="U1320">
        <v>0.61648559999999997</v>
      </c>
      <c r="V1320">
        <v>-5.3901209999999998E-2</v>
      </c>
      <c r="W1320">
        <v>-9.1302480000000005E-2</v>
      </c>
      <c r="X1320">
        <v>0.99436340000000001</v>
      </c>
      <c r="Y1320">
        <v>0.1784259</v>
      </c>
      <c r="Z1320">
        <v>4.952339E-3</v>
      </c>
      <c r="AA1320">
        <v>0.98394090000000001</v>
      </c>
      <c r="AB1320">
        <v>46</v>
      </c>
      <c r="AC1320">
        <v>-17.992999999999999</v>
      </c>
      <c r="AD1320">
        <v>-1.1087404457261001</v>
      </c>
      <c r="AE1320">
        <v>3.7667999999999799</v>
      </c>
      <c r="AF1320">
        <v>3.3618815169403198</v>
      </c>
      <c r="AG1320">
        <v>-1.1087404457261001</v>
      </c>
      <c r="AH1320">
        <v>18.005258227304001</v>
      </c>
      <c r="AI1320">
        <v>93.464033715867401</v>
      </c>
      <c r="AJ1320">
        <v>79.423709144612502</v>
      </c>
      <c r="AK1320">
        <v>18.3499557640293</v>
      </c>
      <c r="AL1320">
        <v>95.238542090351999</v>
      </c>
      <c r="AM1320">
        <v>93.1027814336055</v>
      </c>
      <c r="AN1320">
        <v>1.0000000272765801</v>
      </c>
    </row>
    <row r="1321" spans="1:40" x14ac:dyDescent="0.25">
      <c r="A1321" t="str">
        <f>"20190305135607059"</f>
        <v>20190305135607059</v>
      </c>
      <c r="B1321" t="str">
        <f>"1551765367053687"</f>
        <v>1551765367053687</v>
      </c>
      <c r="C1321" t="s">
        <v>40</v>
      </c>
      <c r="D1321">
        <v>4.1088690000000003</v>
      </c>
      <c r="E1321">
        <v>0.59016230000000003</v>
      </c>
      <c r="F1321" t="s">
        <v>55</v>
      </c>
      <c r="G1321">
        <v>-272.28609999999998</v>
      </c>
      <c r="H1321" s="1">
        <v>-4.1208939999999997E-7</v>
      </c>
      <c r="I1321">
        <v>286.71730000000002</v>
      </c>
      <c r="J1321">
        <v>-254.62649999999999</v>
      </c>
      <c r="K1321">
        <v>1.108822</v>
      </c>
      <c r="L1321">
        <v>283.04250000000002</v>
      </c>
      <c r="M1321">
        <v>-0.99972989999999995</v>
      </c>
      <c r="N1321">
        <v>-9.2492340000000003E-3</v>
      </c>
      <c r="O1321">
        <v>2.132858E-2</v>
      </c>
      <c r="P1321">
        <v>-0.99418879999999998</v>
      </c>
      <c r="Q1321">
        <v>-0.1025264</v>
      </c>
      <c r="R1321">
        <v>-3.2822829999999997E-2</v>
      </c>
      <c r="S1321">
        <v>-3.0181269999999998</v>
      </c>
      <c r="T1321">
        <v>-0.1853986</v>
      </c>
      <c r="U1321">
        <v>0.61584469999999902</v>
      </c>
      <c r="V1321">
        <v>-5.387161E-2</v>
      </c>
      <c r="W1321">
        <v>-9.3421219999999999E-2</v>
      </c>
      <c r="X1321">
        <v>0.99416819999999895</v>
      </c>
      <c r="Y1321">
        <v>0.1786392</v>
      </c>
      <c r="Z1321">
        <v>5.1616550000000002E-3</v>
      </c>
      <c r="AA1321">
        <v>0.98390109999999997</v>
      </c>
      <c r="AB1321">
        <v>46</v>
      </c>
      <c r="AC1321">
        <v>-17.659599999999902</v>
      </c>
      <c r="AD1321">
        <v>-1.1088224120893999</v>
      </c>
      <c r="AE1321">
        <v>3.6747999999999998</v>
      </c>
      <c r="AF1321">
        <v>3.2848808811856598</v>
      </c>
      <c r="AG1321">
        <v>-1.1088224120893999</v>
      </c>
      <c r="AH1321">
        <v>17.667203472144401</v>
      </c>
      <c r="AI1321">
        <v>93.530909087020007</v>
      </c>
      <c r="AJ1321">
        <v>79.467213087801198</v>
      </c>
      <c r="AK1321">
        <v>18.004166408675601</v>
      </c>
      <c r="AL1321">
        <v>95.360458018538594</v>
      </c>
      <c r="AM1321">
        <v>93.101688552196705</v>
      </c>
      <c r="AN1321">
        <v>1.00000004230075</v>
      </c>
    </row>
    <row r="1322" spans="1:40" x14ac:dyDescent="0.25">
      <c r="A1322" t="str">
        <f>"20190305135607081"</f>
        <v>20190305135607081</v>
      </c>
      <c r="B1322" t="str">
        <f>"1551765367073207"</f>
        <v>1551765367073207</v>
      </c>
      <c r="C1322" t="s">
        <v>40</v>
      </c>
      <c r="D1322">
        <v>4.4575800000000001</v>
      </c>
      <c r="E1322">
        <v>0.59019889999999997</v>
      </c>
      <c r="F1322" t="s">
        <v>55</v>
      </c>
      <c r="G1322">
        <v>-272.21839999999997</v>
      </c>
      <c r="H1322" s="1">
        <v>-4.4396049999999997E-7</v>
      </c>
      <c r="I1322">
        <v>286.62189999999998</v>
      </c>
      <c r="J1322">
        <v>-255.06059999999999</v>
      </c>
      <c r="K1322">
        <v>1.108886</v>
      </c>
      <c r="L1322">
        <v>283.05130000000003</v>
      </c>
      <c r="M1322">
        <v>-0.99973319999999999</v>
      </c>
      <c r="N1322">
        <v>-9.9843090000000002E-3</v>
      </c>
      <c r="O1322">
        <v>2.0833150000000002E-2</v>
      </c>
      <c r="P1322">
        <v>-0.99386560000000002</v>
      </c>
      <c r="Q1322">
        <v>-0.1052295</v>
      </c>
      <c r="R1322">
        <v>-3.4032109999999997E-2</v>
      </c>
      <c r="S1322">
        <v>-3.0181879999999999</v>
      </c>
      <c r="T1322">
        <v>-0.1902374</v>
      </c>
      <c r="U1322">
        <v>0.61410520000000002</v>
      </c>
      <c r="V1322">
        <v>-5.4579509999999998E-2</v>
      </c>
      <c r="W1322">
        <v>-9.5397579999999996E-2</v>
      </c>
      <c r="X1322">
        <v>0.99394179999999999</v>
      </c>
      <c r="Y1322">
        <v>0.1785561</v>
      </c>
      <c r="Z1322">
        <v>5.3742869999999898E-3</v>
      </c>
      <c r="AA1322">
        <v>0.98391499999999998</v>
      </c>
      <c r="AB1322">
        <v>45</v>
      </c>
      <c r="AC1322">
        <v>-17.157799999999899</v>
      </c>
      <c r="AD1322">
        <v>-1.1088864439605</v>
      </c>
      <c r="AE1322">
        <v>3.57059999999995</v>
      </c>
      <c r="AF1322">
        <v>3.19954682085993</v>
      </c>
      <c r="AG1322">
        <v>-1.1088864439605</v>
      </c>
      <c r="AH1322">
        <v>17.159767394516699</v>
      </c>
      <c r="AI1322">
        <v>93.634913240246803</v>
      </c>
      <c r="AJ1322">
        <v>79.438124032627897</v>
      </c>
      <c r="AK1322">
        <v>17.490693126299799</v>
      </c>
      <c r="AL1322">
        <v>95.474203610886207</v>
      </c>
      <c r="AM1322">
        <v>93.143079475835293</v>
      </c>
      <c r="AN1322">
        <v>0.99999996148446701</v>
      </c>
    </row>
    <row r="1323" spans="1:40" x14ac:dyDescent="0.25">
      <c r="A1323" t="str">
        <f>"20190305135607104"</f>
        <v>20190305135607104</v>
      </c>
      <c r="B1323" t="str">
        <f>"1551765367093703"</f>
        <v>1551765367093703</v>
      </c>
      <c r="C1323" t="s">
        <v>40</v>
      </c>
      <c r="D1323">
        <v>5.5231379999999897</v>
      </c>
      <c r="E1323">
        <v>0.55844090000000002</v>
      </c>
      <c r="F1323" t="s">
        <v>55</v>
      </c>
      <c r="G1323">
        <v>-272.21660000000003</v>
      </c>
      <c r="H1323" s="1">
        <v>-4.4044199999999999E-7</v>
      </c>
      <c r="I1323">
        <v>286.5204</v>
      </c>
      <c r="J1323">
        <v>-255.53299999999999</v>
      </c>
      <c r="K1323">
        <v>1.1089439999999999</v>
      </c>
      <c r="L1323">
        <v>283.0607</v>
      </c>
      <c r="M1323">
        <v>-0.99973679999999998</v>
      </c>
      <c r="N1323">
        <v>-1.0708179999999999E-2</v>
      </c>
      <c r="O1323">
        <v>2.0296120000000001E-2</v>
      </c>
      <c r="P1323">
        <v>-0.99359819999999999</v>
      </c>
      <c r="Q1323">
        <v>-0.107206</v>
      </c>
      <c r="R1323">
        <v>-3.5636670000000002E-2</v>
      </c>
      <c r="S1323">
        <v>-3.0187680000000001</v>
      </c>
      <c r="T1323">
        <v>-0.1951194</v>
      </c>
      <c r="U1323">
        <v>0.61041259999999997</v>
      </c>
      <c r="V1323">
        <v>-5.5643329999999998E-2</v>
      </c>
      <c r="W1323">
        <v>-9.6658590000000003E-2</v>
      </c>
      <c r="X1323">
        <v>0.99376100000000001</v>
      </c>
      <c r="Y1323">
        <v>0.1778701</v>
      </c>
      <c r="Z1323">
        <v>5.5664679999999998E-3</v>
      </c>
      <c r="AA1323">
        <v>0.98403819999999997</v>
      </c>
      <c r="AB1323">
        <v>45</v>
      </c>
      <c r="AC1323">
        <v>-16.683599999999998</v>
      </c>
      <c r="AD1323">
        <v>-1.1089444404419999</v>
      </c>
      <c r="AE1323">
        <v>3.45969999999999</v>
      </c>
      <c r="AF1323">
        <v>3.10719351709557</v>
      </c>
      <c r="AG1323">
        <v>-1.1089444404419999</v>
      </c>
      <c r="AH1323">
        <v>16.679730389435299</v>
      </c>
      <c r="AI1323">
        <v>93.739541830856396</v>
      </c>
      <c r="AJ1323">
        <v>79.447576602444002</v>
      </c>
      <c r="AK1323">
        <v>17.0028766739314</v>
      </c>
      <c r="AL1323">
        <v>95.546789434946405</v>
      </c>
      <c r="AM1323">
        <v>93.204797166172398</v>
      </c>
      <c r="AN1323">
        <v>0.99999999415763796</v>
      </c>
    </row>
    <row r="1324" spans="1:40" x14ac:dyDescent="0.25">
      <c r="A1324" t="str">
        <f>"20190305135607127"</f>
        <v>20190305135607127</v>
      </c>
      <c r="B1324" t="str">
        <f>"1551765367122983"</f>
        <v>1551765367122983</v>
      </c>
      <c r="C1324" t="s">
        <v>40</v>
      </c>
      <c r="D1324">
        <v>4.2127780000000001</v>
      </c>
      <c r="E1324">
        <v>0.48503230000000003</v>
      </c>
      <c r="F1324" t="s">
        <v>63</v>
      </c>
      <c r="G1324">
        <v>-440.87150000000003</v>
      </c>
      <c r="H1324">
        <v>1.2964230000000001</v>
      </c>
      <c r="I1324">
        <v>303.79090000000002</v>
      </c>
      <c r="J1324">
        <v>-255.99170000000001</v>
      </c>
      <c r="K1324">
        <v>1.1089830000000001</v>
      </c>
      <c r="L1324">
        <v>283.06959999999998</v>
      </c>
      <c r="M1324">
        <v>-0.99974019999999997</v>
      </c>
      <c r="N1324">
        <v>-1.1337E-2</v>
      </c>
      <c r="O1324">
        <v>1.9777110000000001E-2</v>
      </c>
      <c r="P1324">
        <v>-0.9934016</v>
      </c>
      <c r="Q1324">
        <v>-0.1083665</v>
      </c>
      <c r="R1324">
        <v>-3.7548900000000003E-2</v>
      </c>
      <c r="S1324">
        <v>-3.0318299999999998</v>
      </c>
      <c r="T1324">
        <v>3.067017E-3</v>
      </c>
      <c r="U1324">
        <v>0.3391113</v>
      </c>
      <c r="V1324">
        <v>-5.7036249999999997E-2</v>
      </c>
      <c r="W1324">
        <v>-9.7198090000000001E-2</v>
      </c>
      <c r="X1324">
        <v>0.9936294</v>
      </c>
      <c r="Y1324">
        <v>9.1481629999999994E-2</v>
      </c>
      <c r="Z1324">
        <v>7.1759690000000001E-4</v>
      </c>
      <c r="AA1324">
        <v>0.99580650000000004</v>
      </c>
      <c r="AB1324">
        <v>45</v>
      </c>
      <c r="AC1324">
        <v>-184.87979999999999</v>
      </c>
      <c r="AD1324">
        <v>0.187439999999999</v>
      </c>
      <c r="AE1324">
        <v>20.721299999999999</v>
      </c>
      <c r="AF1324">
        <v>17.060606459816601</v>
      </c>
      <c r="AG1324">
        <v>0.187439999999999</v>
      </c>
      <c r="AH1324">
        <v>185.25328110873701</v>
      </c>
      <c r="AI1324">
        <v>89.942272207582207</v>
      </c>
      <c r="AJ1324">
        <v>84.738277996911194</v>
      </c>
      <c r="AK1324">
        <v>186.037301603961</v>
      </c>
      <c r="AL1324">
        <v>95.577846749692895</v>
      </c>
      <c r="AM1324">
        <v>93.285283446252606</v>
      </c>
      <c r="AN1324">
        <v>0.99999999352903501</v>
      </c>
    </row>
    <row r="1325" spans="1:40" x14ac:dyDescent="0.25">
      <c r="A1325" t="str">
        <f>"20190305135607148"</f>
        <v>20190305135607148</v>
      </c>
      <c r="B1325" t="str">
        <f>"1551765367143479"</f>
        <v>1551765367143479</v>
      </c>
      <c r="C1325" t="s">
        <v>40</v>
      </c>
      <c r="D1325">
        <v>3.2039689999999998</v>
      </c>
      <c r="E1325">
        <v>0.47102559999999899</v>
      </c>
      <c r="F1325" t="s">
        <v>55</v>
      </c>
      <c r="G1325">
        <v>-279.81169999999997</v>
      </c>
      <c r="H1325" s="1">
        <v>3.8369889999999998E-6</v>
      </c>
      <c r="I1325">
        <v>281.1277</v>
      </c>
      <c r="J1325">
        <v>-256.4151</v>
      </c>
      <c r="K1325">
        <v>1.109005</v>
      </c>
      <c r="L1325">
        <v>283.07760000000002</v>
      </c>
      <c r="M1325">
        <v>-0.99974359999999995</v>
      </c>
      <c r="N1325">
        <v>-1.185377E-2</v>
      </c>
      <c r="O1325">
        <v>1.9297330000000001E-2</v>
      </c>
      <c r="P1325">
        <v>-0.99318700000000004</v>
      </c>
      <c r="Q1325">
        <v>-0.1095163</v>
      </c>
      <c r="R1325">
        <v>-3.9826359999999998E-2</v>
      </c>
      <c r="S1325">
        <v>-2.9954830000000001</v>
      </c>
      <c r="T1325">
        <v>-0.13946</v>
      </c>
      <c r="U1325">
        <v>-0.24420169999999999</v>
      </c>
      <c r="V1325">
        <v>-5.8832879999999997E-2</v>
      </c>
      <c r="W1325">
        <v>-9.7839090000000004E-2</v>
      </c>
      <c r="X1325">
        <v>0.9934617</v>
      </c>
      <c r="Y1325">
        <v>-0.10032629999999999</v>
      </c>
      <c r="Z1325">
        <v>-3.594674E-3</v>
      </c>
      <c r="AA1325">
        <v>0.9949481</v>
      </c>
      <c r="AB1325">
        <v>45</v>
      </c>
      <c r="AC1325">
        <v>-23.3965999999999</v>
      </c>
      <c r="AD1325">
        <v>-1.1090011630109999</v>
      </c>
      <c r="AE1325">
        <v>-1.94990000000001</v>
      </c>
      <c r="AF1325">
        <v>-2.39571496316676</v>
      </c>
      <c r="AG1325">
        <v>-1.1090011630109999</v>
      </c>
      <c r="AH1325">
        <v>23.3026177159295</v>
      </c>
      <c r="AI1325">
        <v>92.710457853117902</v>
      </c>
      <c r="AJ1325">
        <v>95.869889366764397</v>
      </c>
      <c r="AK1325">
        <v>23.451680668537499</v>
      </c>
      <c r="AL1325">
        <v>95.6147493528197</v>
      </c>
      <c r="AM1325">
        <v>93.389102386192107</v>
      </c>
      <c r="AN1325">
        <v>0.99999997233400595</v>
      </c>
    </row>
    <row r="1326" spans="1:40" x14ac:dyDescent="0.25">
      <c r="A1326" t="str">
        <f>"20190305135607169"</f>
        <v>20190305135607169</v>
      </c>
      <c r="B1326" t="str">
        <f>"1551765367162999"</f>
        <v>1551765367162999</v>
      </c>
      <c r="C1326" t="s">
        <v>40</v>
      </c>
      <c r="D1326">
        <v>3.185279</v>
      </c>
      <c r="E1326">
        <v>0.4639414</v>
      </c>
      <c r="F1326" t="s">
        <v>62</v>
      </c>
      <c r="G1326">
        <v>-371.16899999999998</v>
      </c>
      <c r="H1326">
        <v>10.86591</v>
      </c>
      <c r="I1326">
        <v>268.36970000000002</v>
      </c>
      <c r="J1326">
        <v>-256.8535</v>
      </c>
      <c r="K1326">
        <v>1.1090180000000001</v>
      </c>
      <c r="L1326">
        <v>283.0856</v>
      </c>
      <c r="M1326">
        <v>-0.99974730000000001</v>
      </c>
      <c r="N1326">
        <v>-1.23304E-2</v>
      </c>
      <c r="O1326">
        <v>1.8800250000000001E-2</v>
      </c>
      <c r="P1326">
        <v>-0.99292639999999999</v>
      </c>
      <c r="Q1326">
        <v>-0.1108905</v>
      </c>
      <c r="R1326">
        <v>-4.2435750000000001E-2</v>
      </c>
      <c r="S1326">
        <v>-3.0334469999999998</v>
      </c>
      <c r="T1326">
        <v>0.25791950000000002</v>
      </c>
      <c r="U1326">
        <v>-0.38879390000000003</v>
      </c>
      <c r="V1326">
        <v>-6.0943839999999999E-2</v>
      </c>
      <c r="W1326">
        <v>-9.8745559999999996E-2</v>
      </c>
      <c r="X1326">
        <v>0.99324480000000004</v>
      </c>
      <c r="Y1326">
        <v>-0.14522829999999901</v>
      </c>
      <c r="Z1326">
        <v>7.0574590000000003E-3</v>
      </c>
      <c r="AA1326">
        <v>0.98937299999999995</v>
      </c>
      <c r="AB1326">
        <v>45</v>
      </c>
      <c r="AC1326">
        <v>-114.3155</v>
      </c>
      <c r="AD1326">
        <v>9.7568920000000006</v>
      </c>
      <c r="AE1326">
        <v>-14.7158999999999</v>
      </c>
      <c r="AF1326">
        <v>-16.742644685917501</v>
      </c>
      <c r="AG1326">
        <v>9.7568920000000006</v>
      </c>
      <c r="AH1326">
        <v>113.20736889963899</v>
      </c>
      <c r="AI1326">
        <v>85.126824263447901</v>
      </c>
      <c r="AJ1326">
        <v>98.412696864928705</v>
      </c>
      <c r="AK1326">
        <v>114.853913584856</v>
      </c>
      <c r="AL1326">
        <v>95.666938629004306</v>
      </c>
      <c r="AM1326">
        <v>93.511171296760807</v>
      </c>
      <c r="AN1326">
        <v>1.00000003499034</v>
      </c>
    </row>
    <row r="1327" spans="1:40" x14ac:dyDescent="0.25">
      <c r="A1327" t="str">
        <f>"20190305135607193"</f>
        <v>20190305135607193</v>
      </c>
      <c r="B1327" t="str">
        <f>"1551765367183496"</f>
        <v>1551765367183496</v>
      </c>
      <c r="C1327" t="s">
        <v>40</v>
      </c>
      <c r="D1327">
        <v>3.189457</v>
      </c>
      <c r="E1327">
        <v>0.45935999999999999</v>
      </c>
      <c r="F1327" t="s">
        <v>62</v>
      </c>
      <c r="G1327">
        <v>-351.48700000000002</v>
      </c>
      <c r="H1327">
        <v>13.82912</v>
      </c>
      <c r="I1327">
        <v>268.6814</v>
      </c>
      <c r="J1327">
        <v>-257.32499999999999</v>
      </c>
      <c r="K1327">
        <v>1.1090260000000001</v>
      </c>
      <c r="L1327">
        <v>283.09399999999999</v>
      </c>
      <c r="M1327">
        <v>-0.99975170000000002</v>
      </c>
      <c r="N1327">
        <v>-1.2775709999999999E-2</v>
      </c>
      <c r="O1327">
        <v>1.826291E-2</v>
      </c>
      <c r="P1327">
        <v>-0.99267649999999996</v>
      </c>
      <c r="Q1327">
        <v>-0.1122166</v>
      </c>
      <c r="R1327">
        <v>-4.473481E-2</v>
      </c>
      <c r="S1327">
        <v>-3.0473330000000001</v>
      </c>
      <c r="T1327">
        <v>0.40960800000000003</v>
      </c>
      <c r="U1327">
        <v>-0.46383669999999999</v>
      </c>
      <c r="V1327">
        <v>-6.2705230000000001E-2</v>
      </c>
      <c r="W1327">
        <v>-9.9634169999999994E-2</v>
      </c>
      <c r="X1327">
        <v>0.99304630000000005</v>
      </c>
      <c r="Y1327">
        <v>-0.16699040000000001</v>
      </c>
      <c r="Z1327">
        <v>1.269414E-2</v>
      </c>
      <c r="AA1327">
        <v>0.9858768</v>
      </c>
      <c r="AB1327">
        <v>45</v>
      </c>
      <c r="AC1327">
        <v>-94.161999999999907</v>
      </c>
      <c r="AD1327">
        <v>12.720094</v>
      </c>
      <c r="AE1327">
        <v>-14.4125999999999</v>
      </c>
      <c r="AF1327">
        <v>-15.8474349361782</v>
      </c>
      <c r="AG1327">
        <v>12.720094</v>
      </c>
      <c r="AH1327">
        <v>92.238367080837904</v>
      </c>
      <c r="AI1327">
        <v>82.260172594577298</v>
      </c>
      <c r="AJ1327">
        <v>99.748784059424096</v>
      </c>
      <c r="AK1327">
        <v>94.450295643606296</v>
      </c>
      <c r="AL1327">
        <v>95.718105135451395</v>
      </c>
      <c r="AM1327">
        <v>93.613105874310705</v>
      </c>
      <c r="AN1327">
        <v>0.999999933822313</v>
      </c>
    </row>
    <row r="1328" spans="1:40" x14ac:dyDescent="0.25">
      <c r="A1328" t="str">
        <f>"20190305135607216"</f>
        <v>20190305135607216</v>
      </c>
      <c r="B1328" t="str">
        <f>"1551765367213751"</f>
        <v>1551765367213751</v>
      </c>
      <c r="C1328" t="s">
        <v>40</v>
      </c>
      <c r="D1328">
        <v>4.0739199999999904</v>
      </c>
      <c r="E1328">
        <v>0.46573999999999999</v>
      </c>
      <c r="F1328" t="s">
        <v>62</v>
      </c>
      <c r="G1328">
        <v>-352.08690000000001</v>
      </c>
      <c r="H1328">
        <v>16.01295</v>
      </c>
      <c r="I1328">
        <v>267.17059999999998</v>
      </c>
      <c r="J1328">
        <v>-257.8073</v>
      </c>
      <c r="K1328">
        <v>1.109035</v>
      </c>
      <c r="L1328">
        <v>283.10230000000001</v>
      </c>
      <c r="M1328">
        <v>-0.99975650000000005</v>
      </c>
      <c r="N1328">
        <v>-1.3172039999999999E-2</v>
      </c>
      <c r="O1328">
        <v>1.7712840000000001E-2</v>
      </c>
      <c r="P1328">
        <v>-0.99241659999999998</v>
      </c>
      <c r="Q1328">
        <v>-0.1133783</v>
      </c>
      <c r="R1328">
        <v>-4.7483659999999997E-2</v>
      </c>
      <c r="S1328">
        <v>-3.0532840000000001</v>
      </c>
      <c r="T1328">
        <v>0.48021599999999998</v>
      </c>
      <c r="U1328">
        <v>-0.51306149999999995</v>
      </c>
      <c r="V1328">
        <v>-6.490377E-2</v>
      </c>
      <c r="W1328">
        <v>-0.1004082</v>
      </c>
      <c r="X1328">
        <v>0.99282709999999996</v>
      </c>
      <c r="Y1328">
        <v>-0.18092929999999999</v>
      </c>
      <c r="Z1328">
        <v>1.5819059999999999E-2</v>
      </c>
      <c r="AA1328">
        <v>0.98336889999999999</v>
      </c>
      <c r="AB1328">
        <v>45</v>
      </c>
      <c r="AC1328">
        <v>-94.279600000000002</v>
      </c>
      <c r="AD1328">
        <v>14.903915</v>
      </c>
      <c r="AE1328">
        <v>-15.931699999999999</v>
      </c>
      <c r="AF1328">
        <v>-17.181851295371299</v>
      </c>
      <c r="AG1328">
        <v>14.903915</v>
      </c>
      <c r="AH1328">
        <v>91.753333044486396</v>
      </c>
      <c r="AI1328">
        <v>80.928755369186902</v>
      </c>
      <c r="AJ1328">
        <v>100.606444419094</v>
      </c>
      <c r="AK1328">
        <v>94.530507356281205</v>
      </c>
      <c r="AL1328">
        <v>95.762677050675606</v>
      </c>
      <c r="AM1328">
        <v>93.740256711041098</v>
      </c>
      <c r="AN1328">
        <v>0.99999997824093101</v>
      </c>
    </row>
    <row r="1329" spans="1:40" x14ac:dyDescent="0.25">
      <c r="A1329" t="str">
        <f>"20190305135607239"</f>
        <v>20190305135607239</v>
      </c>
      <c r="B1329" t="str">
        <f>"1551765367233271"</f>
        <v>1551765367233271</v>
      </c>
      <c r="C1329" t="s">
        <v>40</v>
      </c>
      <c r="D1329">
        <v>4.0410170000000001</v>
      </c>
      <c r="E1329">
        <v>0.4715549</v>
      </c>
      <c r="F1329" t="s">
        <v>62</v>
      </c>
      <c r="G1329">
        <v>-351.48700000000002</v>
      </c>
      <c r="H1329">
        <v>13.35406</v>
      </c>
      <c r="I1329">
        <v>268.77659999999997</v>
      </c>
      <c r="J1329">
        <v>-258.24689999999998</v>
      </c>
      <c r="K1329">
        <v>1.109038</v>
      </c>
      <c r="L1329">
        <v>283.10969999999998</v>
      </c>
      <c r="M1329">
        <v>-0.99976089999999995</v>
      </c>
      <c r="N1329">
        <v>-1.3486710000000001E-2</v>
      </c>
      <c r="O1329">
        <v>1.721145E-2</v>
      </c>
      <c r="P1329">
        <v>-0.99220620000000004</v>
      </c>
      <c r="Q1329">
        <v>-0.11395429999999999</v>
      </c>
      <c r="R1329">
        <v>-5.0411240000000003E-2</v>
      </c>
      <c r="S1329">
        <v>-3.0461119999999999</v>
      </c>
      <c r="T1329">
        <v>0.39816459999999998</v>
      </c>
      <c r="U1329">
        <v>-0.46582030000000002</v>
      </c>
      <c r="V1329">
        <v>-6.7330829999999994E-2</v>
      </c>
      <c r="W1329">
        <v>-0.10067760000000001</v>
      </c>
      <c r="X1329">
        <v>0.99263820000000003</v>
      </c>
      <c r="Y1329">
        <v>-0.16674369999999999</v>
      </c>
      <c r="Z1329">
        <v>1.211228E-2</v>
      </c>
      <c r="AA1329">
        <v>0.98592590000000002</v>
      </c>
      <c r="AB1329">
        <v>45</v>
      </c>
      <c r="AC1329">
        <v>-93.240099999999899</v>
      </c>
      <c r="AD1329">
        <v>12.245022000000001</v>
      </c>
      <c r="AE1329">
        <v>-14.3331</v>
      </c>
      <c r="AF1329">
        <v>-15.671866757753</v>
      </c>
      <c r="AG1329">
        <v>12.245022000000001</v>
      </c>
      <c r="AH1329">
        <v>91.438928806061298</v>
      </c>
      <c r="AI1329">
        <v>82.480982826405807</v>
      </c>
      <c r="AJ1329">
        <v>99.7255221967484</v>
      </c>
      <c r="AK1329">
        <v>93.5768436775531</v>
      </c>
      <c r="AL1329">
        <v>95.778190976002406</v>
      </c>
      <c r="AM1329">
        <v>93.8804392353466</v>
      </c>
      <c r="AN1329">
        <v>1.00000000795474</v>
      </c>
    </row>
    <row r="1330" spans="1:40" x14ac:dyDescent="0.25">
      <c r="A1330" t="str">
        <f>"20190305135607259"</f>
        <v>20190305135607259</v>
      </c>
      <c r="B1330" t="str">
        <f>"1551765367252792"</f>
        <v>1551765367252792</v>
      </c>
      <c r="C1330" t="s">
        <v>40</v>
      </c>
      <c r="D1330">
        <v>3.2368960000000002</v>
      </c>
      <c r="E1330">
        <v>0.47144560000000002</v>
      </c>
      <c r="F1330" t="s">
        <v>62</v>
      </c>
      <c r="G1330">
        <v>-367.64449999999999</v>
      </c>
      <c r="H1330">
        <v>12.65279</v>
      </c>
      <c r="I1330">
        <v>267.85419999999999</v>
      </c>
      <c r="J1330">
        <v>-258.66090000000003</v>
      </c>
      <c r="K1330">
        <v>1.1090390000000001</v>
      </c>
      <c r="L1330">
        <v>283.1164</v>
      </c>
      <c r="M1330">
        <v>-0.99976549999999997</v>
      </c>
      <c r="N1330">
        <v>-1.374624E-2</v>
      </c>
      <c r="O1330">
        <v>1.6739210000000001E-2</v>
      </c>
      <c r="P1330">
        <v>-0.99192610000000003</v>
      </c>
      <c r="Q1330">
        <v>-0.1152214</v>
      </c>
      <c r="R1330">
        <v>-5.2985119999999997E-2</v>
      </c>
      <c r="S1330">
        <v>-3.0388489999999999</v>
      </c>
      <c r="T1330">
        <v>0.32066480000000003</v>
      </c>
      <c r="U1330">
        <v>-0.42376710000000001</v>
      </c>
      <c r="V1330">
        <v>-6.9430720000000001E-2</v>
      </c>
      <c r="W1330">
        <v>-0.1016933</v>
      </c>
      <c r="X1330">
        <v>0.99238999999999999</v>
      </c>
      <c r="Y1330">
        <v>-0.15383079999999999</v>
      </c>
      <c r="Z1330">
        <v>8.9719409999999902E-3</v>
      </c>
      <c r="AA1330">
        <v>0.9880565</v>
      </c>
      <c r="AB1330">
        <v>45</v>
      </c>
      <c r="AC1330">
        <v>-108.983599999999</v>
      </c>
      <c r="AD1330">
        <v>11.543751</v>
      </c>
      <c r="AE1330">
        <v>-15.2622</v>
      </c>
      <c r="AF1330">
        <v>-16.898586588387399</v>
      </c>
      <c r="AG1330">
        <v>11.543751</v>
      </c>
      <c r="AH1330">
        <v>107.529607696593</v>
      </c>
      <c r="AI1330">
        <v>83.9462640526542</v>
      </c>
      <c r="AJ1330">
        <v>98.931150035699005</v>
      </c>
      <c r="AK1330">
        <v>109.45975035244</v>
      </c>
      <c r="AL1330">
        <v>95.836686383481904</v>
      </c>
      <c r="AM1330">
        <v>94.002071281849894</v>
      </c>
      <c r="AN1330">
        <v>1.0000000321222999</v>
      </c>
    </row>
    <row r="1331" spans="1:40" x14ac:dyDescent="0.25">
      <c r="A1331" t="str">
        <f>"20190305135607282"</f>
        <v>20190305135607282</v>
      </c>
      <c r="B1331" t="str">
        <f>"1551765367273286"</f>
        <v>1551765367273286</v>
      </c>
      <c r="C1331" t="s">
        <v>40</v>
      </c>
      <c r="D1331">
        <v>4.0004280000000003</v>
      </c>
      <c r="E1331">
        <v>0.47439310000000001</v>
      </c>
      <c r="F1331" t="s">
        <v>62</v>
      </c>
      <c r="G1331">
        <v>-365.88990000000001</v>
      </c>
      <c r="H1331">
        <v>11.86403</v>
      </c>
      <c r="I1331">
        <v>267.85000000000002</v>
      </c>
      <c r="J1331">
        <v>-259.12450000000001</v>
      </c>
      <c r="K1331">
        <v>1.1090409999999999</v>
      </c>
      <c r="L1331">
        <v>283.12369999999999</v>
      </c>
      <c r="M1331">
        <v>-0.99977059999999995</v>
      </c>
      <c r="N1331">
        <v>-1.3999060000000001E-2</v>
      </c>
      <c r="O1331">
        <v>1.621102E-2</v>
      </c>
      <c r="P1331">
        <v>-0.99160420000000005</v>
      </c>
      <c r="Q1331">
        <v>-0.1166865</v>
      </c>
      <c r="R1331">
        <v>-5.5727190000000003E-2</v>
      </c>
      <c r="S1331">
        <v>-3.0367130000000002</v>
      </c>
      <c r="T1331">
        <v>0.30458220000000003</v>
      </c>
      <c r="U1331">
        <v>-0.43234250000000002</v>
      </c>
      <c r="V1331">
        <v>-7.1643219999999994E-2</v>
      </c>
      <c r="W1331">
        <v>-0.1029147</v>
      </c>
      <c r="X1331">
        <v>0.99210670000000001</v>
      </c>
      <c r="Y1331">
        <v>-0.15621969999999999</v>
      </c>
      <c r="Z1331">
        <v>8.513942E-3</v>
      </c>
      <c r="AA1331">
        <v>0.98768560000000005</v>
      </c>
      <c r="AB1331">
        <v>45</v>
      </c>
      <c r="AC1331">
        <v>-106.7654</v>
      </c>
      <c r="AD1331">
        <v>10.754989</v>
      </c>
      <c r="AE1331">
        <v>-15.2736999999999</v>
      </c>
      <c r="AF1331">
        <v>-16.835228905359699</v>
      </c>
      <c r="AG1331">
        <v>10.754989</v>
      </c>
      <c r="AH1331">
        <v>105.455097110373</v>
      </c>
      <c r="AI1331">
        <v>84.249067813667395</v>
      </c>
      <c r="AJ1331">
        <v>99.070364017214303</v>
      </c>
      <c r="AK1331">
        <v>107.33066769215699</v>
      </c>
      <c r="AL1331">
        <v>95.907037080087505</v>
      </c>
      <c r="AM1331">
        <v>94.130343155039995</v>
      </c>
      <c r="AN1331">
        <v>0.99999994531647196</v>
      </c>
    </row>
    <row r="1332" spans="1:40" x14ac:dyDescent="0.25">
      <c r="A1332" t="str">
        <f>"20190305135607528"</f>
        <v>20190305135607528</v>
      </c>
      <c r="B1332" t="str">
        <f>"1551765367523143"</f>
        <v>1551765367523143</v>
      </c>
      <c r="C1332" t="s">
        <v>40</v>
      </c>
      <c r="D1332">
        <v>4.1181150000000004</v>
      </c>
      <c r="E1332">
        <v>0.47130329999999898</v>
      </c>
      <c r="F1332" t="s">
        <v>62</v>
      </c>
      <c r="G1332">
        <v>-371.28949999999998</v>
      </c>
      <c r="H1332">
        <v>0.180975</v>
      </c>
      <c r="I1332">
        <v>268.36970000000002</v>
      </c>
      <c r="J1332">
        <v>-264.01499999999999</v>
      </c>
      <c r="K1332">
        <v>1.10917</v>
      </c>
      <c r="L1332">
        <v>283.1859</v>
      </c>
      <c r="M1332">
        <v>-0.99982789999999999</v>
      </c>
      <c r="N1332">
        <v>-1.5208940000000001E-2</v>
      </c>
      <c r="O1332">
        <v>1.0628210000000001E-2</v>
      </c>
      <c r="P1332">
        <v>-0.98972550000000004</v>
      </c>
      <c r="Q1332">
        <v>-0.1225552</v>
      </c>
      <c r="R1332">
        <v>-7.3644680000000004E-2</v>
      </c>
      <c r="S1332">
        <v>-3.0002749999999998</v>
      </c>
      <c r="T1332">
        <v>-2.4822710000000001E-2</v>
      </c>
      <c r="U1332">
        <v>-0.39465329999999998</v>
      </c>
      <c r="V1332">
        <v>-8.4005769999999994E-2</v>
      </c>
      <c r="W1332">
        <v>-0.1076225</v>
      </c>
      <c r="X1332">
        <v>0.99063639999999997</v>
      </c>
      <c r="Y1332">
        <v>-0.14093310000000001</v>
      </c>
      <c r="Z1332">
        <v>-1.5835560000000001E-3</v>
      </c>
      <c r="AA1332">
        <v>0.99001779999999995</v>
      </c>
      <c r="AB1332">
        <v>44</v>
      </c>
      <c r="AC1332">
        <v>-107.2745</v>
      </c>
      <c r="AD1332">
        <v>-0.92819499999999999</v>
      </c>
      <c r="AE1332">
        <v>-14.816199999999901</v>
      </c>
      <c r="AF1332">
        <v>-15.9544586248774</v>
      </c>
      <c r="AG1332">
        <v>-0.92819499999999999</v>
      </c>
      <c r="AH1332">
        <v>107.103083431907</v>
      </c>
      <c r="AI1332">
        <v>90.4911152288213</v>
      </c>
      <c r="AJ1332">
        <v>98.4726809532294</v>
      </c>
      <c r="AK1332">
        <v>108.288858044552</v>
      </c>
      <c r="AL1332">
        <v>96.178281016723901</v>
      </c>
      <c r="AM1332">
        <v>94.847074473245101</v>
      </c>
      <c r="AN1332">
        <v>1.00000002445225</v>
      </c>
    </row>
    <row r="1333" spans="1:40" x14ac:dyDescent="0.25">
      <c r="A1333" t="str">
        <f>"20190305135607549"</f>
        <v>20190305135607549</v>
      </c>
      <c r="B1333" t="str">
        <f>"1551765367543639"</f>
        <v>1551765367543639</v>
      </c>
      <c r="C1333" t="s">
        <v>40</v>
      </c>
      <c r="D1333">
        <v>4.1460819999999998</v>
      </c>
      <c r="E1333">
        <v>0.47151520000000002</v>
      </c>
      <c r="F1333" t="s">
        <v>62</v>
      </c>
      <c r="G1333">
        <v>-359.83600000000001</v>
      </c>
      <c r="H1333">
        <v>1.8320559999999999</v>
      </c>
      <c r="I1333">
        <v>267.85000000000002</v>
      </c>
      <c r="J1333">
        <v>-264.4434</v>
      </c>
      <c r="K1333">
        <v>1.109192</v>
      </c>
      <c r="L1333">
        <v>283.19</v>
      </c>
      <c r="M1333">
        <v>-0.99983250000000001</v>
      </c>
      <c r="N1333">
        <v>-1.5245399999999999E-2</v>
      </c>
      <c r="O1333">
        <v>1.0138110000000001E-2</v>
      </c>
      <c r="P1333">
        <v>-0.98968400000000001</v>
      </c>
      <c r="Q1333">
        <v>-0.1222324</v>
      </c>
      <c r="R1333">
        <v>-7.4733190000000005E-2</v>
      </c>
      <c r="S1333">
        <v>-2.99823</v>
      </c>
      <c r="T1333">
        <v>2.2621269999999999E-2</v>
      </c>
      <c r="U1333">
        <v>-0.47985840000000002</v>
      </c>
      <c r="V1333">
        <v>-8.4609450000000003E-2</v>
      </c>
      <c r="W1333">
        <v>-0.1072645</v>
      </c>
      <c r="X1333">
        <v>0.99062380000000005</v>
      </c>
      <c r="Y1333">
        <v>-0.168042</v>
      </c>
      <c r="Z1333">
        <v>-4.2960250000000002E-4</v>
      </c>
      <c r="AA1333">
        <v>0.98577979999999998</v>
      </c>
      <c r="AB1333">
        <v>44</v>
      </c>
      <c r="AC1333">
        <v>-95.392600000000002</v>
      </c>
      <c r="AD1333">
        <v>0.72286399999999995</v>
      </c>
      <c r="AE1333">
        <v>-15.3399999999999</v>
      </c>
      <c r="AF1333">
        <v>-16.305511726881502</v>
      </c>
      <c r="AG1333">
        <v>0.72286399999999995</v>
      </c>
      <c r="AH1333">
        <v>95.226829439499795</v>
      </c>
      <c r="AI1333">
        <v>89.571316477764896</v>
      </c>
      <c r="AJ1333">
        <v>99.716421478921504</v>
      </c>
      <c r="AK1333">
        <v>96.615429876068802</v>
      </c>
      <c r="AL1333">
        <v>96.157650018086798</v>
      </c>
      <c r="AM1333">
        <v>94.881800447948905</v>
      </c>
      <c r="AN1333">
        <v>0.999999972557996</v>
      </c>
    </row>
    <row r="1334" spans="1:40" x14ac:dyDescent="0.25">
      <c r="A1334" t="str">
        <f>"20190305135607573"</f>
        <v>20190305135607573</v>
      </c>
      <c r="B1334" t="str">
        <f>"1551765367563160"</f>
        <v>1551765367563160</v>
      </c>
      <c r="C1334" t="s">
        <v>40</v>
      </c>
      <c r="D1334">
        <v>4.1145820000000004</v>
      </c>
      <c r="E1334">
        <v>0.47107870000000002</v>
      </c>
      <c r="F1334" t="s">
        <v>62</v>
      </c>
      <c r="G1334">
        <v>-360.08859999999999</v>
      </c>
      <c r="H1334">
        <v>1.7432989999999999</v>
      </c>
      <c r="I1334">
        <v>267.85000000000002</v>
      </c>
      <c r="J1334">
        <v>-264.9049</v>
      </c>
      <c r="K1334">
        <v>1.1091979999999999</v>
      </c>
      <c r="L1334">
        <v>283.1943</v>
      </c>
      <c r="M1334">
        <v>-0.99983789999999995</v>
      </c>
      <c r="N1334">
        <v>-1.523008E-2</v>
      </c>
      <c r="O1334">
        <v>9.6061770000000005E-3</v>
      </c>
      <c r="P1334">
        <v>-0.98963820000000002</v>
      </c>
      <c r="Q1334">
        <v>-0.1221491</v>
      </c>
      <c r="R1334">
        <v>-7.5472949999999997E-2</v>
      </c>
      <c r="S1334">
        <v>-2.9974370000000001</v>
      </c>
      <c r="T1334">
        <v>1.987469E-2</v>
      </c>
      <c r="U1334">
        <v>-0.48074339999999999</v>
      </c>
      <c r="V1334">
        <v>-8.4822629999999996E-2</v>
      </c>
      <c r="W1334">
        <v>-0.10719679999999999</v>
      </c>
      <c r="X1334">
        <v>0.99061290000000002</v>
      </c>
      <c r="Y1334">
        <v>-0.1678422</v>
      </c>
      <c r="Z1334">
        <v>-5.2474049999999995E-4</v>
      </c>
      <c r="AA1334">
        <v>0.98581370000000001</v>
      </c>
      <c r="AB1334">
        <v>44</v>
      </c>
      <c r="AC1334">
        <v>-95.183700000000002</v>
      </c>
      <c r="AD1334">
        <v>0.63410100000000003</v>
      </c>
      <c r="AE1334">
        <v>-15.344299999999899</v>
      </c>
      <c r="AF1334">
        <v>-16.2573461159696</v>
      </c>
      <c r="AG1334">
        <v>0.63410100000000003</v>
      </c>
      <c r="AH1334">
        <v>95.027779461924595</v>
      </c>
      <c r="AI1334">
        <v>89.623157462797195</v>
      </c>
      <c r="AJ1334">
        <v>99.708172175024799</v>
      </c>
      <c r="AK1334">
        <v>96.410488310540202</v>
      </c>
      <c r="AL1334">
        <v>96.153748583282606</v>
      </c>
      <c r="AM1334">
        <v>94.894094441158103</v>
      </c>
      <c r="AN1334">
        <v>0.99999997506838301</v>
      </c>
    </row>
    <row r="1335" spans="1:40" x14ac:dyDescent="0.25">
      <c r="A1335" t="str">
        <f>"20190305135607594"</f>
        <v>20190305135607594</v>
      </c>
      <c r="B1335" t="str">
        <f>"1551765367583655"</f>
        <v>1551765367583655</v>
      </c>
      <c r="C1335" t="s">
        <v>40</v>
      </c>
      <c r="D1335">
        <v>4.1977419999999999</v>
      </c>
      <c r="E1335">
        <v>0.47107870000000002</v>
      </c>
      <c r="F1335" t="s">
        <v>62</v>
      </c>
      <c r="G1335">
        <v>-359.66669999999999</v>
      </c>
      <c r="H1335">
        <v>1.1974180000000001</v>
      </c>
      <c r="I1335">
        <v>267.85000000000002</v>
      </c>
      <c r="J1335">
        <v>-265.33330000000001</v>
      </c>
      <c r="K1335">
        <v>1.109181</v>
      </c>
      <c r="L1335">
        <v>283.1979</v>
      </c>
      <c r="M1335">
        <v>-0.99984439999999997</v>
      </c>
      <c r="N1335">
        <v>-1.511886E-2</v>
      </c>
      <c r="O1335">
        <v>9.105663E-3</v>
      </c>
      <c r="P1335">
        <v>-0.98954470000000005</v>
      </c>
      <c r="Q1335">
        <v>-0.1222883</v>
      </c>
      <c r="R1335">
        <v>-7.646551E-2</v>
      </c>
      <c r="S1335">
        <v>-2.9947509999999999</v>
      </c>
      <c r="T1335">
        <v>2.79057E-3</v>
      </c>
      <c r="U1335">
        <v>-0.48492429999999997</v>
      </c>
      <c r="V1335">
        <v>-8.5318160000000004E-2</v>
      </c>
      <c r="W1335">
        <v>-0.10744860000000001</v>
      </c>
      <c r="X1335">
        <v>0.99054310000000001</v>
      </c>
      <c r="Y1335">
        <v>-0.16882559999999999</v>
      </c>
      <c r="Z1335">
        <v>-1.0612130000000001E-3</v>
      </c>
      <c r="AA1335">
        <v>0.9856454</v>
      </c>
      <c r="AB1335">
        <v>44</v>
      </c>
      <c r="AC1335">
        <v>-94.333399999999898</v>
      </c>
      <c r="AD1335">
        <v>8.8237000000000093E-2</v>
      </c>
      <c r="AE1335">
        <v>-15.3478999999999</v>
      </c>
      <c r="AF1335">
        <v>-16.2063159589399</v>
      </c>
      <c r="AG1335">
        <v>8.8237000000000093E-2</v>
      </c>
      <c r="AH1335">
        <v>94.189639247066694</v>
      </c>
      <c r="AI1335">
        <v>89.947102538978399</v>
      </c>
      <c r="AJ1335">
        <v>99.762747750571194</v>
      </c>
      <c r="AK1335">
        <v>95.573744324588105</v>
      </c>
      <c r="AL1335">
        <v>96.168259246720098</v>
      </c>
      <c r="AM1335">
        <v>94.922890609823796</v>
      </c>
      <c r="AN1335">
        <v>1.0000000115126699</v>
      </c>
    </row>
    <row r="1336" spans="1:40" x14ac:dyDescent="0.25">
      <c r="A1336" t="str">
        <f>"20190305135607618"</f>
        <v>20190305135607618</v>
      </c>
      <c r="B1336" t="str">
        <f>"1551765367612935"</f>
        <v>1551765367612935</v>
      </c>
      <c r="C1336" t="s">
        <v>40</v>
      </c>
      <c r="D1336">
        <v>4.1527500000000002</v>
      </c>
      <c r="E1336">
        <v>0.50522789999999995</v>
      </c>
      <c r="F1336" t="s">
        <v>62</v>
      </c>
      <c r="G1336">
        <v>-359.58909999999997</v>
      </c>
      <c r="H1336">
        <v>1.1910879999999999</v>
      </c>
      <c r="I1336">
        <v>267.85000000000002</v>
      </c>
      <c r="J1336">
        <v>-265.79730000000001</v>
      </c>
      <c r="K1336">
        <v>1.109138</v>
      </c>
      <c r="L1336">
        <v>283.20170000000002</v>
      </c>
      <c r="M1336">
        <v>-0.99985230000000003</v>
      </c>
      <c r="N1336">
        <v>-1.490914E-2</v>
      </c>
      <c r="O1336">
        <v>8.5648269999999901E-3</v>
      </c>
      <c r="P1336">
        <v>-0.98948840000000005</v>
      </c>
      <c r="Q1336">
        <v>-0.1220212</v>
      </c>
      <c r="R1336">
        <v>-7.7611299999999994E-2</v>
      </c>
      <c r="S1336">
        <v>-2.994354</v>
      </c>
      <c r="T1336">
        <v>2.604365E-3</v>
      </c>
      <c r="U1336">
        <v>-0.48757929999999999</v>
      </c>
      <c r="V1336">
        <v>-8.5926550000000004E-2</v>
      </c>
      <c r="W1336">
        <v>-0.1073921</v>
      </c>
      <c r="X1336">
        <v>0.99049659999999995</v>
      </c>
      <c r="Y1336">
        <v>-0.1691646</v>
      </c>
      <c r="Z1336">
        <v>-1.062035E-3</v>
      </c>
      <c r="AA1336">
        <v>0.9855872</v>
      </c>
      <c r="AB1336">
        <v>44</v>
      </c>
      <c r="AC1336">
        <v>-93.791799999999895</v>
      </c>
      <c r="AD1336">
        <v>8.1949999999999898E-2</v>
      </c>
      <c r="AE1336">
        <v>-15.3516999999999</v>
      </c>
      <c r="AF1336">
        <v>-16.154524514077401</v>
      </c>
      <c r="AG1336">
        <v>8.1949999999999898E-2</v>
      </c>
      <c r="AH1336">
        <v>93.656790177028995</v>
      </c>
      <c r="AI1336">
        <v>89.950595559786606</v>
      </c>
      <c r="AJ1336">
        <v>99.786448110117504</v>
      </c>
      <c r="AK1336">
        <v>95.039832303842303</v>
      </c>
      <c r="AL1336">
        <v>96.165003421450606</v>
      </c>
      <c r="AM1336">
        <v>94.958052184762707</v>
      </c>
      <c r="AN1336">
        <v>0.99999997487443504</v>
      </c>
    </row>
    <row r="1337" spans="1:40" x14ac:dyDescent="0.25">
      <c r="A1337" t="str">
        <f>"20190305135607641"</f>
        <v>20190305135607641</v>
      </c>
      <c r="B1337" t="str">
        <f>"1551765367633431"</f>
        <v>1551765367633431</v>
      </c>
      <c r="C1337" t="s">
        <v>40</v>
      </c>
      <c r="D1337">
        <v>4.1387070000000001</v>
      </c>
      <c r="E1337">
        <v>0.50517559999999995</v>
      </c>
      <c r="F1337" t="s">
        <v>61</v>
      </c>
      <c r="G1337">
        <v>-302.85910000000001</v>
      </c>
      <c r="H1337" s="1">
        <v>3.8095340000000002E-6</v>
      </c>
      <c r="I1337">
        <v>280.58890000000002</v>
      </c>
      <c r="J1337">
        <v>-266.23770000000002</v>
      </c>
      <c r="K1337">
        <v>1.109089</v>
      </c>
      <c r="L1337">
        <v>283.20499999999998</v>
      </c>
      <c r="M1337">
        <v>-0.99986039999999998</v>
      </c>
      <c r="N1337">
        <v>-1.4640709999999999E-2</v>
      </c>
      <c r="O1337">
        <v>8.0562009999999903E-3</v>
      </c>
      <c r="P1337">
        <v>-0.98935770000000001</v>
      </c>
      <c r="Q1337">
        <v>-0.1224016</v>
      </c>
      <c r="R1337">
        <v>-7.8673309999999996E-2</v>
      </c>
      <c r="S1337">
        <v>-3.004181</v>
      </c>
      <c r="T1337">
        <v>-8.9905020000000002E-2</v>
      </c>
      <c r="U1337">
        <v>-0.21179200000000001</v>
      </c>
      <c r="V1337">
        <v>-8.648293E-2</v>
      </c>
      <c r="W1337">
        <v>-0.108040899999999</v>
      </c>
      <c r="X1337">
        <v>0.99037770000000003</v>
      </c>
      <c r="Y1337">
        <v>-7.8306379999999995E-2</v>
      </c>
      <c r="Z1337">
        <v>-1.8671429999999999E-3</v>
      </c>
      <c r="AA1337">
        <v>0.99692760000000002</v>
      </c>
      <c r="AB1337">
        <v>44</v>
      </c>
      <c r="AC1337">
        <v>-36.621400000000001</v>
      </c>
      <c r="AD1337">
        <v>-1.109085190466</v>
      </c>
      <c r="AE1337">
        <v>-2.6160999999999599</v>
      </c>
      <c r="AF1337">
        <v>-2.9084220230075899</v>
      </c>
      <c r="AG1337">
        <v>-1.109085190466</v>
      </c>
      <c r="AH1337">
        <v>36.565765709717098</v>
      </c>
      <c r="AI1337">
        <v>91.731853349019801</v>
      </c>
      <c r="AJ1337">
        <v>94.547702295951495</v>
      </c>
      <c r="AK1337">
        <v>36.698013714117401</v>
      </c>
      <c r="AL1337">
        <v>96.202393943035204</v>
      </c>
      <c r="AM1337">
        <v>94.9905903704975</v>
      </c>
      <c r="AN1337">
        <v>1.00000006095574</v>
      </c>
    </row>
    <row r="1338" spans="1:40" x14ac:dyDescent="0.25">
      <c r="A1338" t="str">
        <f>"20190305135607661"</f>
        <v>20190305135607661</v>
      </c>
      <c r="B1338" t="str">
        <f>"1551765367652952"</f>
        <v>1551765367652952</v>
      </c>
      <c r="C1338" t="s">
        <v>40</v>
      </c>
      <c r="D1338">
        <v>4.1521540000000003</v>
      </c>
      <c r="E1338">
        <v>0.50419069999999999</v>
      </c>
      <c r="F1338" t="s">
        <v>61</v>
      </c>
      <c r="G1338">
        <v>-300.94349999999997</v>
      </c>
      <c r="H1338" s="1">
        <v>4.1379809999999997E-6</v>
      </c>
      <c r="I1338">
        <v>280.71870000000001</v>
      </c>
      <c r="J1338">
        <v>-266.6574</v>
      </c>
      <c r="K1338">
        <v>1.109027</v>
      </c>
      <c r="L1338">
        <v>283.20800000000003</v>
      </c>
      <c r="M1338">
        <v>-0.99986850000000005</v>
      </c>
      <c r="N1338">
        <v>-1.434473E-2</v>
      </c>
      <c r="O1338">
        <v>7.5664900000000004E-3</v>
      </c>
      <c r="P1338">
        <v>-0.98928380000000005</v>
      </c>
      <c r="Q1338">
        <v>-0.12221369999999999</v>
      </c>
      <c r="R1338">
        <v>-7.9885059999999994E-2</v>
      </c>
      <c r="S1338">
        <v>-3.0032649999999999</v>
      </c>
      <c r="T1338">
        <v>-9.5974799999999999E-2</v>
      </c>
      <c r="U1338">
        <v>-0.2151489</v>
      </c>
      <c r="V1338">
        <v>-8.7211040000000004E-2</v>
      </c>
      <c r="W1338">
        <v>-0.108146699999999</v>
      </c>
      <c r="X1338">
        <v>0.99030229999999997</v>
      </c>
      <c r="Y1338">
        <v>-7.8941750000000005E-2</v>
      </c>
      <c r="Z1338">
        <v>-1.9596510000000002E-3</v>
      </c>
      <c r="AA1338">
        <v>0.99687729999999997</v>
      </c>
      <c r="AB1338">
        <v>44</v>
      </c>
      <c r="AC1338">
        <v>-34.286099999999898</v>
      </c>
      <c r="AD1338">
        <v>-1.1090228620189999</v>
      </c>
      <c r="AE1338">
        <v>-2.4892999999999499</v>
      </c>
      <c r="AF1338">
        <v>-2.7458230339315199</v>
      </c>
      <c r="AG1338">
        <v>-1.1090228620189999</v>
      </c>
      <c r="AH1338">
        <v>34.230654319118798</v>
      </c>
      <c r="AI1338">
        <v>91.8497126146342</v>
      </c>
      <c r="AJ1338">
        <v>94.586179762263498</v>
      </c>
      <c r="AK1338">
        <v>34.358509440270502</v>
      </c>
      <c r="AL1338">
        <v>96.208491571120902</v>
      </c>
      <c r="AM1338">
        <v>95.032773068839901</v>
      </c>
      <c r="AN1338">
        <v>1.00000005980202</v>
      </c>
    </row>
    <row r="1339" spans="1:40" x14ac:dyDescent="0.25">
      <c r="A1339" t="str">
        <f>"20190305135607683"</f>
        <v>20190305135607683</v>
      </c>
      <c r="B1339" t="str">
        <f>"1551765367673447"</f>
        <v>1551765367673447</v>
      </c>
      <c r="C1339" t="s">
        <v>40</v>
      </c>
      <c r="D1339">
        <v>4.1500629999999896</v>
      </c>
      <c r="E1339">
        <v>0.50410739999999998</v>
      </c>
      <c r="F1339" t="s">
        <v>61</v>
      </c>
      <c r="G1339">
        <v>-303.69409999999999</v>
      </c>
      <c r="H1339" s="1">
        <v>3.6770530000000001E-6</v>
      </c>
      <c r="I1339">
        <v>280.4101</v>
      </c>
      <c r="J1339">
        <v>-267.0951</v>
      </c>
      <c r="K1339">
        <v>1.108973</v>
      </c>
      <c r="L1339">
        <v>283.21089999999998</v>
      </c>
      <c r="M1339">
        <v>-0.99987680000000001</v>
      </c>
      <c r="N1339">
        <v>-1.4024999999999999E-2</v>
      </c>
      <c r="O1339">
        <v>7.0486919999999996E-3</v>
      </c>
      <c r="P1339">
        <v>-0.98923799999999995</v>
      </c>
      <c r="Q1339">
        <v>-0.1216256</v>
      </c>
      <c r="R1339">
        <v>-8.1336399999999906E-2</v>
      </c>
      <c r="S1339">
        <v>-3.0031129999999999</v>
      </c>
      <c r="T1339">
        <v>-8.9925050000000006E-2</v>
      </c>
      <c r="U1339">
        <v>-0.22686770000000001</v>
      </c>
      <c r="V1339">
        <v>-8.8153350000000005E-2</v>
      </c>
      <c r="W1339">
        <v>-0.1078747</v>
      </c>
      <c r="X1339">
        <v>0.99024840000000003</v>
      </c>
      <c r="Y1339">
        <v>-8.2302180000000003E-2</v>
      </c>
      <c r="Z1339">
        <v>-1.920408E-3</v>
      </c>
      <c r="AA1339">
        <v>0.99660559999999998</v>
      </c>
      <c r="AB1339">
        <v>44</v>
      </c>
      <c r="AC1339">
        <v>-36.598999999999897</v>
      </c>
      <c r="AD1339">
        <v>-1.1089693229469999</v>
      </c>
      <c r="AE1339">
        <v>-2.8007999999999802</v>
      </c>
      <c r="AF1339">
        <v>-3.0559414691076801</v>
      </c>
      <c r="AG1339">
        <v>-1.1089693229469999</v>
      </c>
      <c r="AH1339">
        <v>36.544989273495098</v>
      </c>
      <c r="AI1339">
        <v>91.732083699878004</v>
      </c>
      <c r="AJ1339">
        <v>94.780029834132606</v>
      </c>
      <c r="AK1339">
        <v>36.689301331883101</v>
      </c>
      <c r="AL1339">
        <v>96.192816224312097</v>
      </c>
      <c r="AM1339">
        <v>95.087143513350597</v>
      </c>
      <c r="AN1339">
        <v>0.99999992885943301</v>
      </c>
    </row>
    <row r="1340" spans="1:40" x14ac:dyDescent="0.25">
      <c r="A1340" t="str">
        <f>"20190305135607705"</f>
        <v>20190305135607705</v>
      </c>
      <c r="B1340" t="str">
        <f>"1551765367692967"</f>
        <v>1551765367692967</v>
      </c>
      <c r="C1340" t="s">
        <v>40</v>
      </c>
      <c r="D1340">
        <v>4.1739870000000003</v>
      </c>
      <c r="E1340">
        <v>0.50410880000000002</v>
      </c>
      <c r="F1340" t="s">
        <v>61</v>
      </c>
      <c r="G1340">
        <v>-307.96629999999999</v>
      </c>
      <c r="H1340" s="1">
        <v>2.950801E-6</v>
      </c>
      <c r="I1340">
        <v>280.04899999999998</v>
      </c>
      <c r="J1340">
        <v>-267.52089999999998</v>
      </c>
      <c r="K1340">
        <v>1.1089279999999999</v>
      </c>
      <c r="L1340">
        <v>283.21350000000001</v>
      </c>
      <c r="M1340">
        <v>-0.99988440000000001</v>
      </c>
      <c r="N1340">
        <v>-1.3724729999999999E-2</v>
      </c>
      <c r="O1340">
        <v>6.5458979999999996E-3</v>
      </c>
      <c r="P1340">
        <v>-0.98919710000000005</v>
      </c>
      <c r="Q1340">
        <v>-0.12147280000000001</v>
      </c>
      <c r="R1340">
        <v>-8.2060380000000002E-2</v>
      </c>
      <c r="S1340">
        <v>-3.0035400000000001</v>
      </c>
      <c r="T1340">
        <v>-8.1495880000000007E-2</v>
      </c>
      <c r="U1340">
        <v>-0.23236080000000001</v>
      </c>
      <c r="V1340">
        <v>-8.8381909999999994E-2</v>
      </c>
      <c r="W1340">
        <v>-0.1080174</v>
      </c>
      <c r="X1340">
        <v>0.9902126</v>
      </c>
      <c r="Y1340">
        <v>-8.3610480000000001E-2</v>
      </c>
      <c r="Z1340">
        <v>-1.7948479999999999E-3</v>
      </c>
      <c r="AA1340">
        <v>0.99649690000000002</v>
      </c>
      <c r="AB1340">
        <v>44</v>
      </c>
      <c r="AC1340">
        <v>-40.445399999999999</v>
      </c>
      <c r="AD1340">
        <v>-1.1089250491989999</v>
      </c>
      <c r="AE1340">
        <v>-3.1644999999999701</v>
      </c>
      <c r="AF1340">
        <v>-3.4266483205870699</v>
      </c>
      <c r="AG1340">
        <v>-1.1089250491989999</v>
      </c>
      <c r="AH1340">
        <v>40.393636216832498</v>
      </c>
      <c r="AI1340">
        <v>91.566918874199104</v>
      </c>
      <c r="AJ1340">
        <v>94.848871457254006</v>
      </c>
      <c r="AK1340">
        <v>40.553883664767902</v>
      </c>
      <c r="AL1340">
        <v>96.201039591000907</v>
      </c>
      <c r="AM1340">
        <v>95.100447172853094</v>
      </c>
      <c r="AN1340">
        <v>1.00000005695838</v>
      </c>
    </row>
    <row r="1341" spans="1:40" x14ac:dyDescent="0.25">
      <c r="A1341" t="str">
        <f>"20190305135607727"</f>
        <v>20190305135607727</v>
      </c>
      <c r="B1341" t="str">
        <f>"1551765367723224"</f>
        <v>1551765367723224</v>
      </c>
      <c r="C1341" t="s">
        <v>40</v>
      </c>
      <c r="D1341">
        <v>4.2083539999999999</v>
      </c>
      <c r="E1341">
        <v>0.50386969999999998</v>
      </c>
      <c r="F1341" t="s">
        <v>61</v>
      </c>
      <c r="G1341">
        <v>-311.29180000000002</v>
      </c>
      <c r="H1341" s="1">
        <v>3.2113679999999998E-6</v>
      </c>
      <c r="I1341">
        <v>279.79480000000001</v>
      </c>
      <c r="J1341">
        <v>-267.95339999999999</v>
      </c>
      <c r="K1341">
        <v>1.1088849999999999</v>
      </c>
      <c r="L1341">
        <v>283.21589999999998</v>
      </c>
      <c r="M1341">
        <v>-0.99989150000000004</v>
      </c>
      <c r="N1341">
        <v>-1.344073E-2</v>
      </c>
      <c r="O1341">
        <v>6.0483109999999998E-3</v>
      </c>
      <c r="P1341">
        <v>-0.98912849999999997</v>
      </c>
      <c r="Q1341">
        <v>-0.12151530000000001</v>
      </c>
      <c r="R1341">
        <v>-8.2817109999999999E-2</v>
      </c>
      <c r="S1341">
        <v>-3.0039370000000001</v>
      </c>
      <c r="T1341">
        <v>-7.6104039999999998E-2</v>
      </c>
      <c r="U1341">
        <v>-0.2346191</v>
      </c>
      <c r="V1341">
        <v>-8.8649339999999993E-2</v>
      </c>
      <c r="W1341">
        <v>-0.1083394</v>
      </c>
      <c r="X1341">
        <v>0.99015350000000002</v>
      </c>
      <c r="Y1341">
        <v>-8.3854380000000006E-2</v>
      </c>
      <c r="Z1341">
        <v>-1.6968040000000001E-3</v>
      </c>
      <c r="AA1341">
        <v>0.99647660000000005</v>
      </c>
      <c r="AB1341">
        <v>44</v>
      </c>
      <c r="AC1341">
        <v>-43.3384</v>
      </c>
      <c r="AD1341">
        <v>-1.1088817886319999</v>
      </c>
      <c r="AE1341">
        <v>-3.4210999999999601</v>
      </c>
      <c r="AF1341">
        <v>-3.6807903887600699</v>
      </c>
      <c r="AG1341">
        <v>-1.1088817886319999</v>
      </c>
      <c r="AH1341">
        <v>43.288748910106897</v>
      </c>
      <c r="AI1341">
        <v>91.462090523238302</v>
      </c>
      <c r="AJ1341">
        <v>94.860101217194796</v>
      </c>
      <c r="AK1341">
        <v>43.4591028313911</v>
      </c>
      <c r="AL1341">
        <v>96.219597830984199</v>
      </c>
      <c r="AM1341">
        <v>95.116102295926694</v>
      </c>
      <c r="AN1341">
        <v>1.00000004231852</v>
      </c>
    </row>
    <row r="1342" spans="1:40" x14ac:dyDescent="0.25">
      <c r="A1342" t="str">
        <f>"20190305135607750"</f>
        <v>20190305135607750</v>
      </c>
      <c r="B1342" t="str">
        <f>"1551765367743719"</f>
        <v>1551765367743719</v>
      </c>
      <c r="C1342" t="s">
        <v>40</v>
      </c>
      <c r="D1342">
        <v>4.1789829999999997</v>
      </c>
      <c r="E1342">
        <v>0.50388650000000001</v>
      </c>
      <c r="F1342" t="s">
        <v>61</v>
      </c>
      <c r="G1342">
        <v>-311.75979999999998</v>
      </c>
      <c r="H1342" s="1">
        <v>3.423985E-6</v>
      </c>
      <c r="I1342">
        <v>279.73680000000002</v>
      </c>
      <c r="J1342">
        <v>-268.404</v>
      </c>
      <c r="K1342">
        <v>1.1088519999999999</v>
      </c>
      <c r="L1342">
        <v>283.2183</v>
      </c>
      <c r="M1342">
        <v>-0.99989799999999995</v>
      </c>
      <c r="N1342">
        <v>-1.3170400000000001E-2</v>
      </c>
      <c r="O1342">
        <v>5.5566969999999898E-3</v>
      </c>
      <c r="P1342">
        <v>-0.98904639999999999</v>
      </c>
      <c r="Q1342">
        <v>-0.1217907</v>
      </c>
      <c r="R1342">
        <v>-8.3393850000000005E-2</v>
      </c>
      <c r="S1342">
        <v>-3.0036619999999998</v>
      </c>
      <c r="T1342">
        <v>-7.60324E-2</v>
      </c>
      <c r="U1342">
        <v>-0.23855589999999999</v>
      </c>
      <c r="V1342">
        <v>-8.8742260000000003E-2</v>
      </c>
      <c r="W1342">
        <v>-0.10888</v>
      </c>
      <c r="X1342">
        <v>0.99008580000000002</v>
      </c>
      <c r="Y1342">
        <v>-8.4669419999999995E-2</v>
      </c>
      <c r="Z1342">
        <v>-1.6957329999999901E-3</v>
      </c>
      <c r="AA1342">
        <v>0.99640759999999995</v>
      </c>
      <c r="AB1342">
        <v>44</v>
      </c>
      <c r="AC1342">
        <v>-43.355799999999903</v>
      </c>
      <c r="AD1342">
        <v>-1.108848576015</v>
      </c>
      <c r="AE1342">
        <v>-3.4814999999999801</v>
      </c>
      <c r="AF1342">
        <v>-3.71996446823184</v>
      </c>
      <c r="AG1342">
        <v>-1.108848576015</v>
      </c>
      <c r="AH1342">
        <v>43.307636799430398</v>
      </c>
      <c r="AI1342">
        <v>91.461301873184595</v>
      </c>
      <c r="AJ1342">
        <v>94.909443183693696</v>
      </c>
      <c r="AK1342">
        <v>43.481249820593</v>
      </c>
      <c r="AL1342">
        <v>96.250756718204201</v>
      </c>
      <c r="AM1342">
        <v>95.121784692125701</v>
      </c>
      <c r="AN1342">
        <v>0.999999967235773</v>
      </c>
    </row>
    <row r="1343" spans="1:40" x14ac:dyDescent="0.25">
      <c r="A1343" t="str">
        <f>"20190305135607773"</f>
        <v>20190305135607773</v>
      </c>
      <c r="B1343" t="str">
        <f>"1551765367763239"</f>
        <v>1551765367763239</v>
      </c>
      <c r="C1343" t="s">
        <v>40</v>
      </c>
      <c r="D1343">
        <v>4.1930949999999996</v>
      </c>
      <c r="E1343">
        <v>0.50352750000000002</v>
      </c>
      <c r="F1343" t="s">
        <v>61</v>
      </c>
      <c r="G1343">
        <v>-313.54360000000003</v>
      </c>
      <c r="H1343">
        <v>1.8697490000000001E-2</v>
      </c>
      <c r="I1343">
        <v>279.60109999999997</v>
      </c>
      <c r="J1343">
        <v>-268.8596</v>
      </c>
      <c r="K1343">
        <v>1.1088199999999999</v>
      </c>
      <c r="L1343">
        <v>283.22050000000002</v>
      </c>
      <c r="M1343">
        <v>-0.99990349999999995</v>
      </c>
      <c r="N1343">
        <v>-1.292344E-2</v>
      </c>
      <c r="O1343">
        <v>5.0976540000000001E-3</v>
      </c>
      <c r="P1343">
        <v>-0.98898759999999997</v>
      </c>
      <c r="Q1343">
        <v>-0.1222712</v>
      </c>
      <c r="R1343">
        <v>-8.3386989999999994E-2</v>
      </c>
      <c r="S1343">
        <v>-3.0039980000000002</v>
      </c>
      <c r="T1343">
        <v>-7.2548870000000001E-2</v>
      </c>
      <c r="U1343">
        <v>-0.24072270000000001</v>
      </c>
      <c r="V1343">
        <v>-8.8285299999999997E-2</v>
      </c>
      <c r="W1343">
        <v>-0.1096008</v>
      </c>
      <c r="X1343">
        <v>0.99004720000000002</v>
      </c>
      <c r="Y1343">
        <v>-8.492065E-2</v>
      </c>
      <c r="Z1343">
        <v>-1.630551E-3</v>
      </c>
      <c r="AA1343">
        <v>0.99638640000000001</v>
      </c>
      <c r="AB1343">
        <v>44</v>
      </c>
      <c r="AC1343">
        <v>-44.683999999999997</v>
      </c>
      <c r="AD1343">
        <v>-1.09012251</v>
      </c>
      <c r="AE1343">
        <v>-3.6194000000000401</v>
      </c>
      <c r="AF1343">
        <v>-3.8448820877862699</v>
      </c>
      <c r="AG1343">
        <v>-1.09012251</v>
      </c>
      <c r="AH1343">
        <v>44.638572628322599</v>
      </c>
      <c r="AI1343">
        <v>91.393788552992604</v>
      </c>
      <c r="AJ1343">
        <v>94.9229427557093</v>
      </c>
      <c r="AK1343">
        <v>44.8171133792641</v>
      </c>
      <c r="AL1343">
        <v>96.292303680620094</v>
      </c>
      <c r="AM1343">
        <v>95.095747936232897</v>
      </c>
      <c r="AN1343">
        <v>1.00000004389228</v>
      </c>
    </row>
    <row r="1344" spans="1:40" x14ac:dyDescent="0.25">
      <c r="A1344" t="str">
        <f>"20190305135607795"</f>
        <v>20190305135607795</v>
      </c>
      <c r="B1344" t="str">
        <f>"1551765367783739"</f>
        <v>1551765367783739</v>
      </c>
      <c r="C1344" t="s">
        <v>40</v>
      </c>
      <c r="D1344">
        <v>4.2173259999999999</v>
      </c>
      <c r="E1344">
        <v>0.50355399999999995</v>
      </c>
      <c r="F1344" t="s">
        <v>61</v>
      </c>
      <c r="G1344">
        <v>-313.55950000000001</v>
      </c>
      <c r="H1344">
        <v>6.1168960000000001E-2</v>
      </c>
      <c r="I1344">
        <v>279.59109999999998</v>
      </c>
      <c r="J1344">
        <v>-269.29930000000002</v>
      </c>
      <c r="K1344">
        <v>1.1087990000000001</v>
      </c>
      <c r="L1344">
        <v>283.22239999999999</v>
      </c>
      <c r="M1344">
        <v>-0.99990829999999997</v>
      </c>
      <c r="N1344">
        <v>-1.270603E-2</v>
      </c>
      <c r="O1344">
        <v>4.684143E-3</v>
      </c>
      <c r="P1344">
        <v>-0.98894000000000004</v>
      </c>
      <c r="Q1344">
        <v>-0.12287770000000001</v>
      </c>
      <c r="R1344">
        <v>-8.3059809999999998E-2</v>
      </c>
      <c r="S1344">
        <v>-3.004181</v>
      </c>
      <c r="T1344">
        <v>-7.041037E-2</v>
      </c>
      <c r="U1344">
        <v>-0.243927</v>
      </c>
      <c r="V1344">
        <v>-8.7552649999999996E-2</v>
      </c>
      <c r="W1344">
        <v>-0.1104176</v>
      </c>
      <c r="X1344">
        <v>0.9900215</v>
      </c>
      <c r="Y1344">
        <v>-8.5561440000000002E-2</v>
      </c>
      <c r="Z1344">
        <v>-1.5956690000000001E-3</v>
      </c>
      <c r="AA1344">
        <v>0.99633159999999998</v>
      </c>
      <c r="AB1344">
        <v>44</v>
      </c>
      <c r="AC1344">
        <v>-44.260199999999998</v>
      </c>
      <c r="AD1344">
        <v>-1.04763003999999</v>
      </c>
      <c r="AE1344">
        <v>-3.6313</v>
      </c>
      <c r="AF1344">
        <v>-3.8364629570705602</v>
      </c>
      <c r="AG1344">
        <v>-1.04763003999999</v>
      </c>
      <c r="AH1344">
        <v>44.218095496266997</v>
      </c>
      <c r="AI1344">
        <v>91.352139226382306</v>
      </c>
      <c r="AJ1344">
        <v>94.958695057150706</v>
      </c>
      <c r="AK1344">
        <v>44.396575836866901</v>
      </c>
      <c r="AL1344">
        <v>96.339388665634104</v>
      </c>
      <c r="AM1344">
        <v>95.053810443973106</v>
      </c>
      <c r="AN1344">
        <v>1.0000000416870101</v>
      </c>
    </row>
    <row r="1345" spans="1:40" x14ac:dyDescent="0.25">
      <c r="A1345" t="str">
        <f>"20190305135607818"</f>
        <v>20190305135607818</v>
      </c>
      <c r="B1345" t="str">
        <f>"1551765367813016"</f>
        <v>1551765367813016</v>
      </c>
      <c r="C1345" t="s">
        <v>40</v>
      </c>
      <c r="D1345">
        <v>4.2251329999999996</v>
      </c>
      <c r="E1345">
        <v>0.50351489999999999</v>
      </c>
      <c r="F1345" t="s">
        <v>61</v>
      </c>
      <c r="G1345">
        <v>-314.5641</v>
      </c>
      <c r="H1345">
        <v>8.0001610000000001E-2</v>
      </c>
      <c r="I1345">
        <v>279.56240000000003</v>
      </c>
      <c r="J1345">
        <v>-269.76350000000002</v>
      </c>
      <c r="K1345">
        <v>1.1087610000000001</v>
      </c>
      <c r="L1345">
        <v>283.2244</v>
      </c>
      <c r="M1345">
        <v>-0.99991269999999999</v>
      </c>
      <c r="N1345">
        <v>-1.249599E-2</v>
      </c>
      <c r="O1345">
        <v>4.2829629999999999E-3</v>
      </c>
      <c r="P1345">
        <v>-0.98893759999999997</v>
      </c>
      <c r="Q1345">
        <v>-0.123417899999999</v>
      </c>
      <c r="R1345">
        <v>-8.2283980000000007E-2</v>
      </c>
      <c r="S1345">
        <v>-3.0046689999999998</v>
      </c>
      <c r="T1345">
        <v>-6.829143E-2</v>
      </c>
      <c r="U1345">
        <v>-0.24295040000000001</v>
      </c>
      <c r="V1345">
        <v>-8.6385509999999999E-2</v>
      </c>
      <c r="W1345">
        <v>-0.11115899999999999</v>
      </c>
      <c r="X1345">
        <v>0.99004099999999995</v>
      </c>
      <c r="Y1345">
        <v>-8.4829210000000002E-2</v>
      </c>
      <c r="Z1345">
        <v>-1.537074E-3</v>
      </c>
      <c r="AA1345">
        <v>0.99639429999999996</v>
      </c>
      <c r="AB1345">
        <v>44</v>
      </c>
      <c r="AC1345">
        <v>-44.800599999999903</v>
      </c>
      <c r="AD1345">
        <v>-1.0287593900000001</v>
      </c>
      <c r="AE1345">
        <v>-3.6619999999999702</v>
      </c>
      <c r="AF1345">
        <v>-3.8518431048853099</v>
      </c>
      <c r="AG1345">
        <v>-1.0287593900000001</v>
      </c>
      <c r="AH1345">
        <v>44.761057619581898</v>
      </c>
      <c r="AI1345">
        <v>91.311771290347394</v>
      </c>
      <c r="AJ1345">
        <v>94.918382431092695</v>
      </c>
      <c r="AK1345">
        <v>44.938261208136403</v>
      </c>
      <c r="AL1345">
        <v>96.382131266794701</v>
      </c>
      <c r="AM1345">
        <v>94.986683773271395</v>
      </c>
      <c r="AN1345">
        <v>0.99999998064997897</v>
      </c>
    </row>
    <row r="1346" spans="1:40" x14ac:dyDescent="0.25">
      <c r="A1346" t="str">
        <f>"20190305135607842"</f>
        <v>20190305135607842</v>
      </c>
      <c r="B1346" t="str">
        <f>"1551765367833511"</f>
        <v>1551765367833511</v>
      </c>
      <c r="C1346" t="s">
        <v>40</v>
      </c>
      <c r="D1346">
        <v>4.2241530000000003</v>
      </c>
      <c r="E1346">
        <v>0.50324239999999998</v>
      </c>
      <c r="F1346" t="s">
        <v>61</v>
      </c>
      <c r="G1346">
        <v>-315.37419999999997</v>
      </c>
      <c r="H1346">
        <v>8.0001639999999999E-2</v>
      </c>
      <c r="I1346">
        <v>279.5684</v>
      </c>
      <c r="J1346">
        <v>-270.22410000000002</v>
      </c>
      <c r="K1346">
        <v>1.1087209999999901</v>
      </c>
      <c r="L1346">
        <v>283.22609999999997</v>
      </c>
      <c r="M1346">
        <v>-0.99991669999999999</v>
      </c>
      <c r="N1346">
        <v>-1.230497E-2</v>
      </c>
      <c r="O1346">
        <v>3.9228850000000001E-3</v>
      </c>
      <c r="P1346">
        <v>-0.98899999999999999</v>
      </c>
      <c r="Q1346">
        <v>-0.1236593</v>
      </c>
      <c r="R1346">
        <v>-8.116408E-2</v>
      </c>
      <c r="S1346">
        <v>-3.0050659999999998</v>
      </c>
      <c r="T1346">
        <v>-6.7779779999999998E-2</v>
      </c>
      <c r="U1346">
        <v>-0.24087520000000001</v>
      </c>
      <c r="V1346">
        <v>-8.4917430000000002E-2</v>
      </c>
      <c r="W1346">
        <v>-0.1115806</v>
      </c>
      <c r="X1346">
        <v>0.99012060000000002</v>
      </c>
      <c r="Y1346">
        <v>-8.3777160000000003E-2</v>
      </c>
      <c r="Z1346">
        <v>-1.499696E-3</v>
      </c>
      <c r="AA1346">
        <v>0.99648340000000002</v>
      </c>
      <c r="AB1346">
        <v>44</v>
      </c>
      <c r="AC1346">
        <v>-45.150099999999902</v>
      </c>
      <c r="AD1346">
        <v>-1.02871935999999</v>
      </c>
      <c r="AE1346">
        <v>-3.65769999999997</v>
      </c>
      <c r="AF1346">
        <v>-3.8328271301194601</v>
      </c>
      <c r="AG1346">
        <v>-1.02871935999999</v>
      </c>
      <c r="AH1346">
        <v>45.112136334982701</v>
      </c>
      <c r="AI1346">
        <v>91.301636041406994</v>
      </c>
      <c r="AJ1346">
        <v>94.856313651292197</v>
      </c>
      <c r="AK1346">
        <v>45.286351940039197</v>
      </c>
      <c r="AL1346">
        <v>96.406438248487305</v>
      </c>
      <c r="AM1346">
        <v>94.901961840567395</v>
      </c>
      <c r="AN1346">
        <v>1.00000000137926</v>
      </c>
    </row>
    <row r="1347" spans="1:40" x14ac:dyDescent="0.25">
      <c r="A1347" t="str">
        <f>"20190305135607887"</f>
        <v>20190305135607887</v>
      </c>
      <c r="B1347" t="str">
        <f>"1551765367883288"</f>
        <v>1551765367883288</v>
      </c>
      <c r="C1347" t="s">
        <v>40</v>
      </c>
      <c r="D1347">
        <v>4.2430539999999999</v>
      </c>
      <c r="E1347">
        <v>0.50271869999999996</v>
      </c>
      <c r="F1347" t="s">
        <v>61</v>
      </c>
      <c r="G1347">
        <v>-315.65359999999998</v>
      </c>
      <c r="H1347">
        <v>6.1894659999999997E-2</v>
      </c>
      <c r="I1347">
        <v>279.6044</v>
      </c>
      <c r="J1347">
        <v>-271.11340000000001</v>
      </c>
      <c r="K1347">
        <v>1.1086320000000001</v>
      </c>
      <c r="L1347">
        <v>283.22899999999998</v>
      </c>
      <c r="M1347">
        <v>-0.9999228</v>
      </c>
      <c r="N1347">
        <v>-1.1983300000000001E-2</v>
      </c>
      <c r="O1347">
        <v>3.3381589999999998E-3</v>
      </c>
      <c r="P1347">
        <v>-0.98889819999999995</v>
      </c>
      <c r="Q1347">
        <v>-0.12556249999999999</v>
      </c>
      <c r="R1347">
        <v>-7.9465740000000007E-2</v>
      </c>
      <c r="S1347">
        <v>-3.0050349999999999</v>
      </c>
      <c r="T1347">
        <v>-6.9244620000000007E-2</v>
      </c>
      <c r="U1347">
        <v>-0.239563</v>
      </c>
      <c r="V1347">
        <v>-8.2655690000000004E-2</v>
      </c>
      <c r="W1347">
        <v>-0.1137869</v>
      </c>
      <c r="X1347">
        <v>0.99006090000000002</v>
      </c>
      <c r="Y1347">
        <v>-8.2762329999999995E-2</v>
      </c>
      <c r="Z1347">
        <v>-1.485545E-3</v>
      </c>
      <c r="AA1347">
        <v>0.99656820000000002</v>
      </c>
      <c r="AB1347">
        <v>44</v>
      </c>
      <c r="AC1347">
        <v>-44.540199999999899</v>
      </c>
      <c r="AD1347">
        <v>-1.04673734</v>
      </c>
      <c r="AE1347">
        <v>-3.62460000000004</v>
      </c>
      <c r="AF1347">
        <v>-3.7712036077322502</v>
      </c>
      <c r="AG1347">
        <v>-1.04673734</v>
      </c>
      <c r="AH1347">
        <v>44.503434120870601</v>
      </c>
      <c r="AI1347">
        <v>91.3425597103912</v>
      </c>
      <c r="AJ1347">
        <v>94.843650308810794</v>
      </c>
      <c r="AK1347">
        <v>44.675197640979597</v>
      </c>
      <c r="AL1347">
        <v>96.533660227512698</v>
      </c>
      <c r="AM1347">
        <v>94.772297705080902</v>
      </c>
      <c r="AN1347">
        <v>1.00000000370489</v>
      </c>
    </row>
    <row r="1348" spans="1:40" x14ac:dyDescent="0.25">
      <c r="A1348" t="str">
        <f>"20190305135607907"</f>
        <v>20190305135607907</v>
      </c>
      <c r="B1348" t="str">
        <f>"1551765367902808"</f>
        <v>1551765367902808</v>
      </c>
      <c r="C1348" t="s">
        <v>40</v>
      </c>
      <c r="D1348">
        <v>4.4172200000000004</v>
      </c>
      <c r="E1348">
        <v>0.50275709999999996</v>
      </c>
      <c r="F1348" t="s">
        <v>61</v>
      </c>
      <c r="G1348">
        <v>-312.78339999999997</v>
      </c>
      <c r="H1348" s="1">
        <v>3.8614960000000001E-6</v>
      </c>
      <c r="I1348">
        <v>279.92450000000002</v>
      </c>
      <c r="J1348">
        <v>-271.5367</v>
      </c>
      <c r="K1348">
        <v>1.1085860000000001</v>
      </c>
      <c r="L1348">
        <v>283.2303</v>
      </c>
      <c r="M1348">
        <v>-0.99992499999999995</v>
      </c>
      <c r="N1348">
        <v>-1.1851850000000001E-2</v>
      </c>
      <c r="O1348">
        <v>3.1045510000000001E-3</v>
      </c>
      <c r="P1348">
        <v>-0.98887020000000003</v>
      </c>
      <c r="Q1348">
        <v>-0.12645979999999901</v>
      </c>
      <c r="R1348">
        <v>-7.8381419999999993E-2</v>
      </c>
      <c r="S1348">
        <v>-3.0043639999999998</v>
      </c>
      <c r="T1348">
        <v>-7.9930899999999999E-2</v>
      </c>
      <c r="U1348">
        <v>-0.23825070000000001</v>
      </c>
      <c r="V1348">
        <v>-8.1348690000000001E-2</v>
      </c>
      <c r="W1348">
        <v>-0.1148068</v>
      </c>
      <c r="X1348">
        <v>0.99005140000000003</v>
      </c>
      <c r="Y1348">
        <v>-8.2105899999999996E-2</v>
      </c>
      <c r="Z1348">
        <v>-1.623485E-3</v>
      </c>
      <c r="AA1348">
        <v>0.99662229999999996</v>
      </c>
      <c r="AB1348">
        <v>45</v>
      </c>
      <c r="AC1348">
        <v>-41.246699999999898</v>
      </c>
      <c r="AD1348">
        <v>-1.108582138504</v>
      </c>
      <c r="AE1348">
        <v>-3.3057999999999699</v>
      </c>
      <c r="AF1348">
        <v>-3.4313826439542598</v>
      </c>
      <c r="AG1348">
        <v>-1.108582138504</v>
      </c>
      <c r="AH1348">
        <v>41.206661144786899</v>
      </c>
      <c r="AI1348">
        <v>91.535742808172401</v>
      </c>
      <c r="AJ1348">
        <v>94.760181534977505</v>
      </c>
      <c r="AK1348">
        <v>41.364142247946297</v>
      </c>
      <c r="AL1348">
        <v>96.592481746586401</v>
      </c>
      <c r="AM1348">
        <v>94.697220575003698</v>
      </c>
      <c r="AN1348">
        <v>0.999999992666458</v>
      </c>
    </row>
    <row r="1349" spans="1:40" x14ac:dyDescent="0.25">
      <c r="A1349" t="str">
        <f>"20190305135607929"</f>
        <v>20190305135607929</v>
      </c>
      <c r="B1349" t="str">
        <f>"1551765367923304"</f>
        <v>1551765367923304</v>
      </c>
      <c r="C1349" t="s">
        <v>40</v>
      </c>
      <c r="D1349">
        <v>4.2727079999999997</v>
      </c>
      <c r="E1349">
        <v>0.52398559999999905</v>
      </c>
      <c r="F1349" t="s">
        <v>61</v>
      </c>
      <c r="G1349">
        <v>-311.45800000000003</v>
      </c>
      <c r="H1349" s="1">
        <v>3.2569979999999998E-6</v>
      </c>
      <c r="I1349">
        <v>280.1157</v>
      </c>
      <c r="J1349">
        <v>-271.96019999999999</v>
      </c>
      <c r="K1349">
        <v>1.1085419999999999</v>
      </c>
      <c r="L1349">
        <v>283.23149999999998</v>
      </c>
      <c r="M1349">
        <v>-0.99992700000000001</v>
      </c>
      <c r="N1349">
        <v>-1.1735010000000001E-2</v>
      </c>
      <c r="O1349">
        <v>2.8936159999999999E-3</v>
      </c>
      <c r="P1349">
        <v>-0.98887150000000001</v>
      </c>
      <c r="Q1349">
        <v>-0.12713289999999999</v>
      </c>
      <c r="R1349">
        <v>-7.7269500000000005E-2</v>
      </c>
      <c r="S1349">
        <v>-3.004486</v>
      </c>
      <c r="T1349">
        <v>-8.3432320000000004E-2</v>
      </c>
      <c r="U1349">
        <v>-0.23440549999999999</v>
      </c>
      <c r="V1349">
        <v>-8.0035980000000007E-2</v>
      </c>
      <c r="W1349">
        <v>-0.1155883</v>
      </c>
      <c r="X1349">
        <v>0.99006749999999999</v>
      </c>
      <c r="Y1349">
        <v>-8.0622490000000005E-2</v>
      </c>
      <c r="Z1349">
        <v>-1.6377329999999999E-3</v>
      </c>
      <c r="AA1349">
        <v>0.99674339999999995</v>
      </c>
      <c r="AB1349">
        <v>45</v>
      </c>
      <c r="AC1349">
        <v>-39.497799999999899</v>
      </c>
      <c r="AD1349">
        <v>-1.1085387430019999</v>
      </c>
      <c r="AE1349">
        <v>-3.1157999999999699</v>
      </c>
      <c r="AF1349">
        <v>-3.2275596879403401</v>
      </c>
      <c r="AG1349">
        <v>-1.1085387430019999</v>
      </c>
      <c r="AH1349">
        <v>39.4577297821996</v>
      </c>
      <c r="AI1349">
        <v>91.603909573600504</v>
      </c>
      <c r="AJ1349">
        <v>94.676263886682904</v>
      </c>
      <c r="AK1349">
        <v>39.605030479082302</v>
      </c>
      <c r="AL1349">
        <v>96.637558218920006</v>
      </c>
      <c r="AM1349">
        <v>94.621678542564396</v>
      </c>
      <c r="AN1349">
        <v>1.00000003387384</v>
      </c>
    </row>
    <row r="1350" spans="1:40" x14ac:dyDescent="0.25">
      <c r="A1350" t="str">
        <f>"20190305135607952"</f>
        <v>20190305135607952</v>
      </c>
      <c r="B1350" t="str">
        <f>"1551765367942824"</f>
        <v>1551765367942824</v>
      </c>
      <c r="C1350" t="s">
        <v>40</v>
      </c>
      <c r="D1350">
        <v>4.2320029999999997</v>
      </c>
      <c r="E1350">
        <v>0.5262249</v>
      </c>
      <c r="F1350" t="s">
        <v>61</v>
      </c>
      <c r="G1350">
        <v>-293.64550000000003</v>
      </c>
      <c r="H1350" s="1">
        <v>3.009439E-6</v>
      </c>
      <c r="I1350">
        <v>282.82</v>
      </c>
      <c r="J1350">
        <v>-272.42430000000002</v>
      </c>
      <c r="K1350">
        <v>1.1085160000000001</v>
      </c>
      <c r="L1350">
        <v>283.23270000000002</v>
      </c>
      <c r="M1350">
        <v>-0.9999287</v>
      </c>
      <c r="N1350">
        <v>-1.163105E-2</v>
      </c>
      <c r="O1350">
        <v>2.6844019999999998E-3</v>
      </c>
      <c r="P1350">
        <v>-0.98880230000000002</v>
      </c>
      <c r="Q1350">
        <v>-0.12814619999999999</v>
      </c>
      <c r="R1350">
        <v>-7.6476539999999996E-2</v>
      </c>
      <c r="S1350">
        <v>-3.0094910000000001</v>
      </c>
      <c r="T1350">
        <v>-0.15384320000000001</v>
      </c>
      <c r="U1350">
        <v>-5.7098389999999999E-2</v>
      </c>
      <c r="V1350">
        <v>-7.9042689999999999E-2</v>
      </c>
      <c r="W1350">
        <v>-0.116699</v>
      </c>
      <c r="X1350">
        <v>0.99001700000000004</v>
      </c>
      <c r="Y1350">
        <v>-2.1616659999999999E-2</v>
      </c>
      <c r="Z1350">
        <v>-7.838519E-4</v>
      </c>
      <c r="AA1350">
        <v>0.99976609999999999</v>
      </c>
      <c r="AB1350">
        <v>45</v>
      </c>
      <c r="AC1350">
        <v>-21.2212</v>
      </c>
      <c r="AD1350">
        <v>-1.1085129905610001</v>
      </c>
      <c r="AE1350">
        <v>-0.41270000000002899</v>
      </c>
      <c r="AF1350">
        <v>-0.46839102731391402</v>
      </c>
      <c r="AG1350">
        <v>-1.1085129905610001</v>
      </c>
      <c r="AH1350">
        <v>21.162293755420301</v>
      </c>
      <c r="AI1350">
        <v>92.997766394030094</v>
      </c>
      <c r="AJ1350">
        <v>91.267936657987505</v>
      </c>
      <c r="AK1350">
        <v>21.196482448637799</v>
      </c>
      <c r="AL1350">
        <v>96.701630268235306</v>
      </c>
      <c r="AM1350">
        <v>94.564796746712602</v>
      </c>
      <c r="AN1350">
        <v>1.0000000318662099</v>
      </c>
    </row>
    <row r="1351" spans="1:40" x14ac:dyDescent="0.25">
      <c r="A1351" t="str">
        <f>"20190305135607975"</f>
        <v>20190305135607975</v>
      </c>
      <c r="B1351" t="str">
        <f>"1551765367963321"</f>
        <v>1551765367963321</v>
      </c>
      <c r="C1351" t="s">
        <v>40</v>
      </c>
      <c r="D1351">
        <v>4.2445559999999896</v>
      </c>
      <c r="E1351">
        <v>0.52722049999999998</v>
      </c>
      <c r="F1351" t="s">
        <v>61</v>
      </c>
      <c r="G1351">
        <v>-292.17619999999999</v>
      </c>
      <c r="H1351" s="1">
        <v>2.7332450000000001E-6</v>
      </c>
      <c r="I1351">
        <v>282.9982</v>
      </c>
      <c r="J1351">
        <v>-272.87920000000003</v>
      </c>
      <c r="K1351">
        <v>1.10849</v>
      </c>
      <c r="L1351">
        <v>283.23379999999997</v>
      </c>
      <c r="M1351">
        <v>-0.99993010000000004</v>
      </c>
      <c r="N1351">
        <v>-1.155777E-2</v>
      </c>
      <c r="O1351">
        <v>2.494455E-3</v>
      </c>
      <c r="P1351">
        <v>-0.98888750000000003</v>
      </c>
      <c r="Q1351">
        <v>-0.12786710000000001</v>
      </c>
      <c r="R1351">
        <v>-7.5841510000000001E-2</v>
      </c>
      <c r="S1351">
        <v>-3.0093380000000001</v>
      </c>
      <c r="T1351">
        <v>-0.16888889999999901</v>
      </c>
      <c r="U1351">
        <v>-3.5736080000000003E-2</v>
      </c>
      <c r="V1351">
        <v>-7.8226050000000005E-2</v>
      </c>
      <c r="W1351">
        <v>-0.1164866</v>
      </c>
      <c r="X1351">
        <v>0.99010679999999995</v>
      </c>
      <c r="Y1351">
        <v>-1.433895E-2</v>
      </c>
      <c r="Z1351">
        <v>-5.9604540000000004E-4</v>
      </c>
      <c r="AA1351">
        <v>0.99989700000000004</v>
      </c>
      <c r="AB1351">
        <v>45</v>
      </c>
      <c r="AC1351">
        <v>-19.296999999999901</v>
      </c>
      <c r="AD1351">
        <v>-1.1084872667550001</v>
      </c>
      <c r="AE1351">
        <v>-0.235599999999976</v>
      </c>
      <c r="AF1351">
        <v>-0.28280493198685802</v>
      </c>
      <c r="AG1351">
        <v>-1.1084872667550001</v>
      </c>
      <c r="AH1351">
        <v>19.2328978124008</v>
      </c>
      <c r="AI1351">
        <v>93.298234939569198</v>
      </c>
      <c r="AJ1351">
        <v>90.842429545772305</v>
      </c>
      <c r="AK1351">
        <v>19.266890795153301</v>
      </c>
      <c r="AL1351">
        <v>96.689377564537594</v>
      </c>
      <c r="AM1351">
        <v>94.517423141334604</v>
      </c>
      <c r="AN1351">
        <v>0.99999995914219997</v>
      </c>
    </row>
    <row r="1352" spans="1:40" x14ac:dyDescent="0.25">
      <c r="A1352" t="str">
        <f>"20190305135607997"</f>
        <v>20190305135607997</v>
      </c>
      <c r="B1352" t="str">
        <f>"1551765367993107"</f>
        <v>1551765367993107</v>
      </c>
      <c r="C1352" t="s">
        <v>40</v>
      </c>
      <c r="D1352">
        <v>5.0904049999999996</v>
      </c>
      <c r="E1352">
        <v>0.5274877</v>
      </c>
      <c r="F1352" t="s">
        <v>61</v>
      </c>
      <c r="G1352">
        <v>-292.6216</v>
      </c>
      <c r="H1352" s="1">
        <v>2.8064489999999998E-6</v>
      </c>
      <c r="I1352">
        <v>283.06439999999998</v>
      </c>
      <c r="J1352">
        <v>-273.32240000000002</v>
      </c>
      <c r="K1352">
        <v>1.1084750000000001</v>
      </c>
      <c r="L1352">
        <v>283.23469999999998</v>
      </c>
      <c r="M1352">
        <v>-0.99993109999999996</v>
      </c>
      <c r="N1352">
        <v>-1.151018E-2</v>
      </c>
      <c r="O1352">
        <v>2.3194180000000002E-3</v>
      </c>
      <c r="P1352">
        <v>-0.98900600000000005</v>
      </c>
      <c r="Q1352">
        <v>-0.1272364</v>
      </c>
      <c r="R1352">
        <v>-7.5354779999999996E-2</v>
      </c>
      <c r="S1352">
        <v>-3.0099179999999999</v>
      </c>
      <c r="T1352">
        <v>-0.16899999999999901</v>
      </c>
      <c r="U1352">
        <v>-2.581787E-2</v>
      </c>
      <c r="V1352">
        <v>-7.7571870000000001E-2</v>
      </c>
      <c r="W1352">
        <v>-0.11589770000000001</v>
      </c>
      <c r="X1352">
        <v>0.99022739999999998</v>
      </c>
      <c r="Y1352">
        <v>-1.0873799999999999E-2</v>
      </c>
      <c r="Z1352">
        <v>-4.7111069999999998E-4</v>
      </c>
      <c r="AA1352">
        <v>0.99994079999999996</v>
      </c>
      <c r="AB1352">
        <v>45</v>
      </c>
      <c r="AC1352">
        <v>-19.2991999999999</v>
      </c>
      <c r="AD1352">
        <v>-1.108472193551</v>
      </c>
      <c r="AE1352">
        <v>-0.17029999999999701</v>
      </c>
      <c r="AF1352">
        <v>-0.214358323058216</v>
      </c>
      <c r="AG1352">
        <v>-1.108472193551</v>
      </c>
      <c r="AH1352">
        <v>19.235302390582401</v>
      </c>
      <c r="AI1352">
        <v>93.297930179741499</v>
      </c>
      <c r="AJ1352">
        <v>90.638478074384807</v>
      </c>
      <c r="AK1352">
        <v>19.268407255185402</v>
      </c>
      <c r="AL1352">
        <v>96.655405788599595</v>
      </c>
      <c r="AM1352">
        <v>94.479256387976903</v>
      </c>
      <c r="AN1352">
        <v>0.99999998779567301</v>
      </c>
    </row>
    <row r="1353" spans="1:40" x14ac:dyDescent="0.25">
      <c r="A1353" t="str">
        <f>"20190305135608017"</f>
        <v>20190305135608017</v>
      </c>
      <c r="B1353" t="str">
        <f>"1551765368013603"</f>
        <v>1551765368013603</v>
      </c>
      <c r="C1353" t="s">
        <v>40</v>
      </c>
      <c r="D1353">
        <v>4.229425</v>
      </c>
      <c r="E1353">
        <v>0.52806589999999998</v>
      </c>
      <c r="F1353" t="s">
        <v>61</v>
      </c>
      <c r="G1353">
        <v>-293.19040000000001</v>
      </c>
      <c r="H1353" s="1">
        <v>2.905408E-6</v>
      </c>
      <c r="I1353">
        <v>283.08670000000001</v>
      </c>
      <c r="J1353">
        <v>-273.73239999999998</v>
      </c>
      <c r="K1353">
        <v>1.108482</v>
      </c>
      <c r="L1353">
        <v>283.23559999999998</v>
      </c>
      <c r="M1353">
        <v>-0.99993169999999998</v>
      </c>
      <c r="N1353">
        <v>-1.1492520000000001E-2</v>
      </c>
      <c r="O1353">
        <v>2.1624359999999998E-3</v>
      </c>
      <c r="P1353">
        <v>-0.98919179999999995</v>
      </c>
      <c r="Q1353">
        <v>-0.12622849999999999</v>
      </c>
      <c r="R1353">
        <v>-7.4607809999999997E-2</v>
      </c>
      <c r="S1353">
        <v>-3.01004</v>
      </c>
      <c r="T1353">
        <v>-0.16793569999999999</v>
      </c>
      <c r="U1353">
        <v>-2.243042E-2</v>
      </c>
      <c r="V1353">
        <v>-7.6674640000000002E-2</v>
      </c>
      <c r="W1353">
        <v>-0.1149018</v>
      </c>
      <c r="X1353">
        <v>0.99041330000000005</v>
      </c>
      <c r="Y1353">
        <v>-9.5940469999999996E-3</v>
      </c>
      <c r="Z1353">
        <v>-4.1832149999999999E-4</v>
      </c>
      <c r="AA1353">
        <v>0.99995389999999995</v>
      </c>
      <c r="AB1353">
        <v>45</v>
      </c>
      <c r="AC1353">
        <v>-19.457999999999998</v>
      </c>
      <c r="AD1353">
        <v>-1.108479094592</v>
      </c>
      <c r="AE1353">
        <v>-0.148899999999969</v>
      </c>
      <c r="AF1353">
        <v>-0.19036135824120401</v>
      </c>
      <c r="AG1353">
        <v>-1.108479094592</v>
      </c>
      <c r="AH1353">
        <v>19.394694031188902</v>
      </c>
      <c r="AI1353">
        <v>93.270951619793195</v>
      </c>
      <c r="AJ1353">
        <v>90.562347215549806</v>
      </c>
      <c r="AK1353">
        <v>19.427277727805599</v>
      </c>
      <c r="AL1353">
        <v>96.5979612932436</v>
      </c>
      <c r="AM1353">
        <v>94.426826807291604</v>
      </c>
      <c r="AN1353">
        <v>0.99999996443962902</v>
      </c>
    </row>
    <row r="1354" spans="1:40" x14ac:dyDescent="0.25">
      <c r="A1354" t="str">
        <f>"20190305135608043"</f>
        <v>20190305135608043</v>
      </c>
      <c r="B1354" t="str">
        <f>"1551765368033124"</f>
        <v>1551765368033124</v>
      </c>
      <c r="C1354" t="s">
        <v>40</v>
      </c>
      <c r="D1354">
        <v>4.2085699999999999</v>
      </c>
      <c r="E1354">
        <v>0.53038229999999997</v>
      </c>
      <c r="F1354" t="s">
        <v>61</v>
      </c>
      <c r="G1354">
        <v>-295.00290000000001</v>
      </c>
      <c r="H1354" s="1">
        <v>3.2238890000000001E-6</v>
      </c>
      <c r="I1354">
        <v>283.12110000000001</v>
      </c>
      <c r="J1354">
        <v>-274.25099999999998</v>
      </c>
      <c r="K1354">
        <v>1.10849</v>
      </c>
      <c r="L1354">
        <v>283.23660000000001</v>
      </c>
      <c r="M1354">
        <v>-0.99993160000000003</v>
      </c>
      <c r="N1354">
        <v>-1.1530489999999999E-2</v>
      </c>
      <c r="O1354">
        <v>1.9657149999999998E-3</v>
      </c>
      <c r="P1354">
        <v>-0.98932189999999998</v>
      </c>
      <c r="Q1354">
        <v>-0.1254354</v>
      </c>
      <c r="R1354">
        <v>-7.4215890000000007E-2</v>
      </c>
      <c r="S1354">
        <v>-3.0115050000000001</v>
      </c>
      <c r="T1354">
        <v>-0.15693989999999999</v>
      </c>
      <c r="U1354">
        <v>-1.620483E-2</v>
      </c>
      <c r="V1354">
        <v>-7.6092629999999994E-2</v>
      </c>
      <c r="W1354">
        <v>-0.11406669999999999</v>
      </c>
      <c r="X1354">
        <v>0.99055470000000001</v>
      </c>
      <c r="Y1354">
        <v>-7.332931E-3</v>
      </c>
      <c r="Z1354">
        <v>-3.1296980000000002E-4</v>
      </c>
      <c r="AA1354">
        <v>0.99997309999999995</v>
      </c>
      <c r="AB1354">
        <v>45</v>
      </c>
      <c r="AC1354">
        <v>-20.751899999999999</v>
      </c>
      <c r="AD1354">
        <v>-1.108486776111</v>
      </c>
      <c r="AE1354">
        <v>-0.11549999999999699</v>
      </c>
      <c r="AF1354">
        <v>-0.15585013825056401</v>
      </c>
      <c r="AG1354">
        <v>-1.108486776111</v>
      </c>
      <c r="AH1354">
        <v>20.692592790624701</v>
      </c>
      <c r="AI1354">
        <v>93.066274508780495</v>
      </c>
      <c r="AJ1354">
        <v>90.431525735197596</v>
      </c>
      <c r="AK1354">
        <v>20.722847984700799</v>
      </c>
      <c r="AL1354">
        <v>96.549796955467798</v>
      </c>
      <c r="AM1354">
        <v>94.392731703445094</v>
      </c>
      <c r="AN1354">
        <v>0.99999995704064704</v>
      </c>
    </row>
    <row r="1355" spans="1:40" x14ac:dyDescent="0.25">
      <c r="A1355" t="str">
        <f>"20190305135608152"</f>
        <v>20190305135608152</v>
      </c>
      <c r="B1355" t="str">
        <f>"1551765368142944"</f>
        <v>1551765368142944</v>
      </c>
      <c r="C1355" t="s">
        <v>40</v>
      </c>
      <c r="D1355">
        <v>4.2365750000000002</v>
      </c>
      <c r="E1355">
        <v>0.53038229999999997</v>
      </c>
      <c r="F1355" t="s">
        <v>61</v>
      </c>
      <c r="G1355">
        <v>-298.41840000000002</v>
      </c>
      <c r="H1355" s="1">
        <v>3.8177529999999999E-6</v>
      </c>
      <c r="I1355">
        <v>283.25830000000002</v>
      </c>
      <c r="J1355">
        <v>-276.41739999999999</v>
      </c>
      <c r="K1355">
        <v>1.1086959999999999</v>
      </c>
      <c r="L1355">
        <v>283.23950000000002</v>
      </c>
      <c r="M1355">
        <v>-0.99991629999999998</v>
      </c>
      <c r="N1355">
        <v>-1.287601E-2</v>
      </c>
      <c r="O1355">
        <v>1.244165E-3</v>
      </c>
      <c r="P1355">
        <v>-0.98918209999999995</v>
      </c>
      <c r="Q1355">
        <v>-0.1262054</v>
      </c>
      <c r="R1355">
        <v>-7.477367E-2</v>
      </c>
      <c r="S1355">
        <v>-3.015015</v>
      </c>
      <c r="T1355">
        <v>-0.13828989999999999</v>
      </c>
      <c r="U1355">
        <v>2.7160639999999998E-3</v>
      </c>
      <c r="V1355">
        <v>-7.5955960000000003E-2</v>
      </c>
      <c r="W1355">
        <v>-0.113492</v>
      </c>
      <c r="X1355">
        <v>0.99063120000000005</v>
      </c>
      <c r="Y1355">
        <v>-3.4228550000000001E-4</v>
      </c>
      <c r="Z1355" s="1">
        <v>-5.1072629999999998E-5</v>
      </c>
      <c r="AA1355">
        <v>0.99999990000000005</v>
      </c>
      <c r="AB1355">
        <v>44</v>
      </c>
      <c r="AC1355">
        <v>-22.001000000000001</v>
      </c>
      <c r="AD1355">
        <v>-1.1086921822469999</v>
      </c>
      <c r="AE1355">
        <v>1.87999999999988E-2</v>
      </c>
      <c r="AF1355">
        <v>-8.5534379431096499E-3</v>
      </c>
      <c r="AG1355">
        <v>-1.1086921822469999</v>
      </c>
      <c r="AH1355">
        <v>21.9452777919028</v>
      </c>
      <c r="AI1355">
        <v>92.892167355638605</v>
      </c>
      <c r="AJ1355">
        <v>90.022331723220702</v>
      </c>
      <c r="AK1355">
        <v>21.973267596788101</v>
      </c>
      <c r="AL1355">
        <v>96.516653831751498</v>
      </c>
      <c r="AM1355">
        <v>94.384535419708698</v>
      </c>
      <c r="AN1355">
        <v>0.99999995816847997</v>
      </c>
    </row>
    <row r="1356" spans="1:40" x14ac:dyDescent="0.25">
      <c r="A1356" t="str">
        <f>"20190305135608175"</f>
        <v>20190305135608175</v>
      </c>
      <c r="B1356" t="str">
        <f>"1551765368163440"</f>
        <v>1551765368163440</v>
      </c>
      <c r="C1356" t="s">
        <v>40</v>
      </c>
      <c r="D1356">
        <v>4.0700349999999998</v>
      </c>
      <c r="E1356">
        <v>0.60347209999999996</v>
      </c>
      <c r="F1356" t="s">
        <v>61</v>
      </c>
      <c r="G1356">
        <v>-300.06169999999997</v>
      </c>
      <c r="H1356" s="1">
        <v>4.0728710000000003E-6</v>
      </c>
      <c r="I1356">
        <v>283.2527</v>
      </c>
      <c r="J1356">
        <v>-276.85590000000002</v>
      </c>
      <c r="K1356">
        <v>1.1087129999999901</v>
      </c>
      <c r="L1356">
        <v>283.23989999999998</v>
      </c>
      <c r="M1356">
        <v>-0.99991269999999999</v>
      </c>
      <c r="N1356">
        <v>-1.317897E-2</v>
      </c>
      <c r="O1356">
        <v>1.124625E-3</v>
      </c>
      <c r="P1356">
        <v>-0.98919880000000004</v>
      </c>
      <c r="Q1356">
        <v>-0.12627339999999901</v>
      </c>
      <c r="R1356">
        <v>-7.444046E-2</v>
      </c>
      <c r="S1356">
        <v>-3.0148619999999999</v>
      </c>
      <c r="T1356">
        <v>-0.14136840000000001</v>
      </c>
      <c r="U1356">
        <v>1.6784669999999999E-3</v>
      </c>
      <c r="V1356">
        <v>-7.5508770000000003E-2</v>
      </c>
      <c r="W1356">
        <v>-0.1132563</v>
      </c>
      <c r="X1356">
        <v>0.99069240000000003</v>
      </c>
      <c r="Y1356">
        <v>-5.6655609999999999E-4</v>
      </c>
      <c r="Z1356" s="1">
        <v>-5.4900929999999997E-5</v>
      </c>
      <c r="AA1356">
        <v>0.99999979999999999</v>
      </c>
      <c r="AB1356">
        <v>44</v>
      </c>
      <c r="AC1356">
        <v>-23.205799999999901</v>
      </c>
      <c r="AD1356">
        <v>-1.1087089271289901</v>
      </c>
      <c r="AE1356">
        <v>1.2800000000027E-2</v>
      </c>
      <c r="AF1356">
        <v>-1.3269802459704E-2</v>
      </c>
      <c r="AG1356">
        <v>-1.1087089271289901</v>
      </c>
      <c r="AH1356">
        <v>23.1529493297821</v>
      </c>
      <c r="AI1356">
        <v>92.741587768692895</v>
      </c>
      <c r="AJ1356">
        <v>90.032838304175996</v>
      </c>
      <c r="AK1356">
        <v>23.179483907978</v>
      </c>
      <c r="AL1356">
        <v>96.503061320314998</v>
      </c>
      <c r="AM1356">
        <v>94.358553056851605</v>
      </c>
      <c r="AN1356">
        <v>0.99999999762718095</v>
      </c>
    </row>
    <row r="1357" spans="1:40" x14ac:dyDescent="0.25">
      <c r="A1357" t="str">
        <f>"20190305135608195"</f>
        <v>20190305135608195</v>
      </c>
      <c r="B1357" t="str">
        <f>"1551765368182964"</f>
        <v>1551765368182964</v>
      </c>
      <c r="C1357" t="s">
        <v>40</v>
      </c>
      <c r="D1357">
        <v>4.1193839999999904</v>
      </c>
      <c r="E1357">
        <v>0.59658809999999995</v>
      </c>
      <c r="F1357" t="s">
        <v>41</v>
      </c>
      <c r="G1357">
        <v>-277.8175</v>
      </c>
      <c r="H1357">
        <v>0.88478699999999999</v>
      </c>
      <c r="I1357">
        <v>283.4402</v>
      </c>
      <c r="J1357">
        <v>-277.27719999999999</v>
      </c>
      <c r="K1357">
        <v>1.108725</v>
      </c>
      <c r="L1357">
        <v>283.24029999999999</v>
      </c>
      <c r="M1357">
        <v>-0.9999091</v>
      </c>
      <c r="N1357">
        <v>-1.344531E-2</v>
      </c>
      <c r="O1357">
        <v>1.0266839999999999E-3</v>
      </c>
      <c r="P1357">
        <v>-0.98924210000000001</v>
      </c>
      <c r="Q1357">
        <v>-0.12598290000000001</v>
      </c>
      <c r="R1357">
        <v>-7.4355249999999998E-2</v>
      </c>
      <c r="S1357">
        <v>-2.990631</v>
      </c>
      <c r="T1357">
        <v>-0.69646359999999996</v>
      </c>
      <c r="U1357">
        <v>0.6218262</v>
      </c>
      <c r="V1357">
        <v>-7.5331700000000001E-2</v>
      </c>
      <c r="W1357">
        <v>-0.1126983</v>
      </c>
      <c r="X1357">
        <v>0.99076949999999997</v>
      </c>
      <c r="Y1357">
        <v>0.197218</v>
      </c>
      <c r="Z1357">
        <v>2.356811E-2</v>
      </c>
      <c r="AA1357">
        <v>0.98007630000000001</v>
      </c>
      <c r="AB1357">
        <v>44</v>
      </c>
      <c r="AC1357">
        <v>-0.540300000000002</v>
      </c>
      <c r="AD1357">
        <v>-0.223937999999999</v>
      </c>
      <c r="AE1357">
        <v>0.19990000000001301</v>
      </c>
      <c r="AF1357">
        <v>0.17317769540202799</v>
      </c>
      <c r="AG1357">
        <v>-0.223937999999999</v>
      </c>
      <c r="AH1357">
        <v>0.46955451602563297</v>
      </c>
      <c r="AI1357">
        <v>114.106312382258</v>
      </c>
      <c r="AJ1357">
        <v>69.755382309235898</v>
      </c>
      <c r="AK1357">
        <v>0.54828841456739197</v>
      </c>
      <c r="AL1357">
        <v>96.470884332588795</v>
      </c>
      <c r="AM1357">
        <v>94.348034300722105</v>
      </c>
      <c r="AN1357">
        <v>0.99999998698901404</v>
      </c>
    </row>
    <row r="1358" spans="1:40" x14ac:dyDescent="0.25">
      <c r="A1358" t="str">
        <f>"20190305135608219"</f>
        <v>20190305135608219</v>
      </c>
      <c r="B1358" t="str">
        <f>"1551765368213217"</f>
        <v>1551765368213217</v>
      </c>
      <c r="C1358" t="s">
        <v>40</v>
      </c>
      <c r="D1358">
        <v>4.2528129999999997</v>
      </c>
      <c r="E1358">
        <v>0.58529109999999995</v>
      </c>
      <c r="F1358" t="s">
        <v>41</v>
      </c>
      <c r="G1358">
        <v>-278.21409999999997</v>
      </c>
      <c r="H1358">
        <v>0.88859560000000004</v>
      </c>
      <c r="I1358">
        <v>283.41860000000003</v>
      </c>
      <c r="J1358">
        <v>-277.72550000000001</v>
      </c>
      <c r="K1358">
        <v>1.1087279999999999</v>
      </c>
      <c r="L1358">
        <v>283.2407</v>
      </c>
      <c r="M1358">
        <v>-0.99990570000000001</v>
      </c>
      <c r="N1358">
        <v>-1.3701619999999999E-2</v>
      </c>
      <c r="O1358">
        <v>9.4487089999999998E-4</v>
      </c>
      <c r="P1358">
        <v>-0.98937390000000003</v>
      </c>
      <c r="Q1358">
        <v>-0.125246</v>
      </c>
      <c r="R1358">
        <v>-7.3844720000000003E-2</v>
      </c>
      <c r="S1358">
        <v>-2.9859309999999999</v>
      </c>
      <c r="T1358">
        <v>-0.70159510000000003</v>
      </c>
      <c r="U1358">
        <v>0.56811519999999904</v>
      </c>
      <c r="V1358">
        <v>-7.4745329999999999E-2</v>
      </c>
      <c r="W1358">
        <v>-0.111702</v>
      </c>
      <c r="X1358">
        <v>0.99092670000000005</v>
      </c>
      <c r="Y1358">
        <v>0.1809539</v>
      </c>
      <c r="Z1358">
        <v>2.1857640000000001E-2</v>
      </c>
      <c r="AA1358">
        <v>0.98324869999999998</v>
      </c>
      <c r="AB1358">
        <v>44</v>
      </c>
      <c r="AC1358">
        <v>-0.48859999999996201</v>
      </c>
      <c r="AD1358">
        <v>-0.22013240000000001</v>
      </c>
      <c r="AE1358">
        <v>0.17790000000002201</v>
      </c>
      <c r="AF1358">
        <v>0.15047032976323901</v>
      </c>
      <c r="AG1358">
        <v>-0.22013240000000001</v>
      </c>
      <c r="AH1358">
        <v>0.41448267673266498</v>
      </c>
      <c r="AI1358">
        <v>116.52940886713</v>
      </c>
      <c r="AJ1358">
        <v>70.047500563434198</v>
      </c>
      <c r="AK1358">
        <v>0.49284427863199698</v>
      </c>
      <c r="AL1358">
        <v>96.413437960166604</v>
      </c>
      <c r="AM1358">
        <v>94.313636338277703</v>
      </c>
      <c r="AN1358">
        <v>0.99999996296684801</v>
      </c>
    </row>
    <row r="1359" spans="1:40" x14ac:dyDescent="0.25">
      <c r="A1359" t="str">
        <f>"20190305135608242"</f>
        <v>20190305135608242</v>
      </c>
      <c r="B1359" t="str">
        <f>"1551765368232736"</f>
        <v>1551765368232736</v>
      </c>
      <c r="C1359" t="s">
        <v>40</v>
      </c>
      <c r="D1359">
        <v>4.3017029999999998</v>
      </c>
      <c r="E1359">
        <v>0.58021339999999999</v>
      </c>
      <c r="F1359" t="s">
        <v>41</v>
      </c>
      <c r="G1359">
        <v>-278.60860000000002</v>
      </c>
      <c r="H1359">
        <v>0.89074359999999997</v>
      </c>
      <c r="I1359">
        <v>283.38389999999998</v>
      </c>
      <c r="J1359">
        <v>-278.20240000000001</v>
      </c>
      <c r="K1359">
        <v>1.1087260000000001</v>
      </c>
      <c r="L1359">
        <v>283.24110000000002</v>
      </c>
      <c r="M1359">
        <v>-0.99990250000000003</v>
      </c>
      <c r="N1359">
        <v>-1.3944740000000001E-2</v>
      </c>
      <c r="O1359">
        <v>8.8286210000000003E-4</v>
      </c>
      <c r="P1359">
        <v>-0.98954920000000002</v>
      </c>
      <c r="Q1359">
        <v>-0.124251399999999</v>
      </c>
      <c r="R1359">
        <v>-7.3171990000000006E-2</v>
      </c>
      <c r="S1359">
        <v>-2.9752200000000002</v>
      </c>
      <c r="T1359">
        <v>-0.73442030000000003</v>
      </c>
      <c r="U1359">
        <v>0.48178100000000001</v>
      </c>
      <c r="V1359">
        <v>-7.4018070000000005E-2</v>
      </c>
      <c r="W1359">
        <v>-0.1104598</v>
      </c>
      <c r="X1359">
        <v>0.99112060000000002</v>
      </c>
      <c r="Y1359">
        <v>0.1542202</v>
      </c>
      <c r="Z1359">
        <v>1.953413E-2</v>
      </c>
      <c r="AA1359">
        <v>0.98784340000000004</v>
      </c>
      <c r="AB1359">
        <v>44</v>
      </c>
      <c r="AC1359">
        <v>-0.406200000000012</v>
      </c>
      <c r="AD1359">
        <v>-0.21798239999999999</v>
      </c>
      <c r="AE1359">
        <v>0.14279999999996501</v>
      </c>
      <c r="AF1359">
        <v>0.11338120107793501</v>
      </c>
      <c r="AG1359">
        <v>-0.21798239999999999</v>
      </c>
      <c r="AH1359">
        <v>0.32342954272846403</v>
      </c>
      <c r="AI1359">
        <v>122.457297207043</v>
      </c>
      <c r="AJ1359">
        <v>70.681415614399398</v>
      </c>
      <c r="AK1359">
        <v>0.406175199362515</v>
      </c>
      <c r="AL1359">
        <v>96.341821420918393</v>
      </c>
      <c r="AM1359">
        <v>94.270988843273102</v>
      </c>
      <c r="AN1359">
        <v>1.0000000429234599</v>
      </c>
    </row>
    <row r="1360" spans="1:40" x14ac:dyDescent="0.25">
      <c r="A1360" t="str">
        <f>"20190305135608265"</f>
        <v>20190305135608265</v>
      </c>
      <c r="B1360" t="str">
        <f>"1551765368253233"</f>
        <v>1551765368253233</v>
      </c>
      <c r="C1360" t="s">
        <v>40</v>
      </c>
      <c r="D1360">
        <v>4.3191360000000003</v>
      </c>
      <c r="E1360">
        <v>0.57719940000000003</v>
      </c>
      <c r="F1360" t="s">
        <v>41</v>
      </c>
      <c r="G1360">
        <v>-279.0095</v>
      </c>
      <c r="H1360">
        <v>0.90664359999999999</v>
      </c>
      <c r="I1360">
        <v>283.36169999999998</v>
      </c>
      <c r="J1360">
        <v>-278.65429999999998</v>
      </c>
      <c r="K1360">
        <v>1.1087180000000001</v>
      </c>
      <c r="L1360">
        <v>283.24149999999997</v>
      </c>
      <c r="M1360">
        <v>-0.99989969999999995</v>
      </c>
      <c r="N1360">
        <v>-1.4148269999999999E-2</v>
      </c>
      <c r="O1360">
        <v>8.4249800000000001E-4</v>
      </c>
      <c r="P1360">
        <v>-0.98974620000000002</v>
      </c>
      <c r="Q1360">
        <v>-0.1231275</v>
      </c>
      <c r="R1360">
        <v>-7.2405700000000003E-2</v>
      </c>
      <c r="S1360">
        <v>-2.971069</v>
      </c>
      <c r="T1360">
        <v>-0.74384939999999999</v>
      </c>
      <c r="U1360">
        <v>0.4438782</v>
      </c>
      <c r="V1360">
        <v>-7.3217909999999997E-2</v>
      </c>
      <c r="W1360">
        <v>-0.1091275</v>
      </c>
      <c r="X1360">
        <v>0.99132759999999998</v>
      </c>
      <c r="Y1360">
        <v>0.1423944</v>
      </c>
      <c r="Z1360">
        <v>1.829559E-2</v>
      </c>
      <c r="AA1360">
        <v>0.98964090000000005</v>
      </c>
      <c r="AB1360">
        <v>44</v>
      </c>
      <c r="AC1360">
        <v>-0.355200000000024</v>
      </c>
      <c r="AD1360">
        <v>-0.20207439999999999</v>
      </c>
      <c r="AE1360">
        <v>0.12020000000001101</v>
      </c>
      <c r="AF1360">
        <v>9.2917730623436695E-2</v>
      </c>
      <c r="AG1360">
        <v>-0.20207439999999999</v>
      </c>
      <c r="AH1360">
        <v>0.27534271637139002</v>
      </c>
      <c r="AI1360">
        <v>124.813742530795</v>
      </c>
      <c r="AJ1360">
        <v>71.352410847125697</v>
      </c>
      <c r="AK1360">
        <v>0.35395109726958801</v>
      </c>
      <c r="AL1360">
        <v>96.265021958021293</v>
      </c>
      <c r="AM1360">
        <v>94.2241070990829</v>
      </c>
      <c r="AN1360">
        <v>1.0000000420613799</v>
      </c>
    </row>
    <row r="1361" spans="1:40" x14ac:dyDescent="0.25">
      <c r="A1361" t="str">
        <f>"20190305135608286"</f>
        <v>20190305135608286</v>
      </c>
      <c r="B1361" t="str">
        <f>"1551765368272752"</f>
        <v>1551765368272752</v>
      </c>
      <c r="C1361" t="s">
        <v>40</v>
      </c>
      <c r="D1361">
        <v>4.319045</v>
      </c>
      <c r="E1361">
        <v>0.57503219999999899</v>
      </c>
      <c r="F1361" t="s">
        <v>41</v>
      </c>
      <c r="G1361">
        <v>-279.40879999999999</v>
      </c>
      <c r="H1361">
        <v>0.918512</v>
      </c>
      <c r="I1361">
        <v>283.34910000000002</v>
      </c>
      <c r="J1361">
        <v>-279.0675</v>
      </c>
      <c r="K1361">
        <v>1.108716</v>
      </c>
      <c r="L1361">
        <v>283.24189999999999</v>
      </c>
      <c r="M1361">
        <v>-0.99989740000000005</v>
      </c>
      <c r="N1361">
        <v>-1.4312429999999999E-2</v>
      </c>
      <c r="O1361">
        <v>8.1718440000000002E-4</v>
      </c>
      <c r="P1361">
        <v>-0.98984680000000003</v>
      </c>
      <c r="Q1361">
        <v>-0.12246659999999999</v>
      </c>
      <c r="R1361">
        <v>-7.2150130000000007E-2</v>
      </c>
      <c r="S1361">
        <v>-2.9689329999999998</v>
      </c>
      <c r="T1361">
        <v>-0.74850830000000002</v>
      </c>
      <c r="U1361">
        <v>0.42285159999999999</v>
      </c>
      <c r="V1361">
        <v>-7.2942350000000003E-2</v>
      </c>
      <c r="W1361">
        <v>-0.1082993</v>
      </c>
      <c r="X1361">
        <v>0.99143870000000001</v>
      </c>
      <c r="Y1361">
        <v>0.1358019</v>
      </c>
      <c r="Z1361">
        <v>1.7576120000000001E-2</v>
      </c>
      <c r="AA1361">
        <v>0.99058009999999996</v>
      </c>
      <c r="AB1361">
        <v>44</v>
      </c>
      <c r="AC1361">
        <v>-0.341299999999989</v>
      </c>
      <c r="AD1361">
        <v>-0.19020399999999901</v>
      </c>
      <c r="AE1361">
        <v>0.107200000000034</v>
      </c>
      <c r="AF1361">
        <v>8.3357081838879105E-2</v>
      </c>
      <c r="AG1361">
        <v>-0.19020399999999901</v>
      </c>
      <c r="AH1361">
        <v>0.26615031082784102</v>
      </c>
      <c r="AI1361">
        <v>124.293314974149</v>
      </c>
      <c r="AJ1361">
        <v>72.609678220504804</v>
      </c>
      <c r="AK1361">
        <v>0.33758251237652998</v>
      </c>
      <c r="AL1361">
        <v>96.217286871469298</v>
      </c>
      <c r="AM1361">
        <v>94.207796756845099</v>
      </c>
      <c r="AN1361">
        <v>1.00000001033085</v>
      </c>
    </row>
    <row r="1362" spans="1:40" x14ac:dyDescent="0.25">
      <c r="A1362" t="str">
        <f>"20190305135608306"</f>
        <v>20190305135608306</v>
      </c>
      <c r="B1362" t="str">
        <f>"1551765368303009"</f>
        <v>1551765368303009</v>
      </c>
      <c r="C1362" t="s">
        <v>40</v>
      </c>
      <c r="D1362">
        <v>4.3681039999999998</v>
      </c>
      <c r="E1362">
        <v>0.57211210000000001</v>
      </c>
      <c r="F1362" t="s">
        <v>41</v>
      </c>
      <c r="G1362">
        <v>-279.80439999999999</v>
      </c>
      <c r="H1362">
        <v>0.92181290000000005</v>
      </c>
      <c r="I1362">
        <v>283.34289999999999</v>
      </c>
      <c r="J1362">
        <v>-279.47000000000003</v>
      </c>
      <c r="K1362">
        <v>1.1087100000000001</v>
      </c>
      <c r="L1362">
        <v>283.24220000000003</v>
      </c>
      <c r="M1362">
        <v>-0.99989519999999998</v>
      </c>
      <c r="N1362">
        <v>-1.445366E-2</v>
      </c>
      <c r="O1362">
        <v>8.0667320000000001E-4</v>
      </c>
      <c r="P1362">
        <v>-0.98996839999999997</v>
      </c>
      <c r="Q1362">
        <v>-0.12178120000000001</v>
      </c>
      <c r="R1362">
        <v>-7.1639960000000003E-2</v>
      </c>
      <c r="S1362">
        <v>-2.9672550000000002</v>
      </c>
      <c r="T1362">
        <v>-0.75268330000000006</v>
      </c>
      <c r="U1362">
        <v>0.40631099999999998</v>
      </c>
      <c r="V1362">
        <v>-7.2426039999999997E-2</v>
      </c>
      <c r="W1362">
        <v>-0.1074691</v>
      </c>
      <c r="X1362">
        <v>0.99156690000000003</v>
      </c>
      <c r="Y1362">
        <v>0.1305857</v>
      </c>
      <c r="Z1362">
        <v>1.700629E-2</v>
      </c>
      <c r="AA1362">
        <v>0.99129120000000004</v>
      </c>
      <c r="AB1362">
        <v>44</v>
      </c>
      <c r="AC1362">
        <v>-0.33439999999995901</v>
      </c>
      <c r="AD1362">
        <v>-0.18689710000000001</v>
      </c>
      <c r="AE1362">
        <v>0.10069999999996</v>
      </c>
      <c r="AF1362">
        <v>7.8070690869154802E-2</v>
      </c>
      <c r="AG1362">
        <v>-0.18689710000000001</v>
      </c>
      <c r="AH1362">
        <v>0.260013186017926</v>
      </c>
      <c r="AI1362">
        <v>124.544903677663</v>
      </c>
      <c r="AJ1362">
        <v>73.287265386857001</v>
      </c>
      <c r="AK1362">
        <v>0.32959431983028697</v>
      </c>
      <c r="AL1362">
        <v>96.169440549264905</v>
      </c>
      <c r="AM1362">
        <v>94.177580155161394</v>
      </c>
      <c r="AN1362">
        <v>1.0000000279502499</v>
      </c>
    </row>
    <row r="1363" spans="1:40" x14ac:dyDescent="0.25">
      <c r="A1363" t="str">
        <f>"20190305135608331"</f>
        <v>20190305135608331</v>
      </c>
      <c r="B1363" t="str">
        <f>"1551765368323504"</f>
        <v>1551765368323504</v>
      </c>
      <c r="C1363" t="s">
        <v>40</v>
      </c>
      <c r="D1363">
        <v>4.3116620000000001</v>
      </c>
      <c r="E1363">
        <v>0.57149539999999999</v>
      </c>
      <c r="F1363" t="s">
        <v>41</v>
      </c>
      <c r="G1363">
        <v>-280.19929999999999</v>
      </c>
      <c r="H1363">
        <v>0.92474469999999998</v>
      </c>
      <c r="I1363">
        <v>283.33690000000001</v>
      </c>
      <c r="J1363">
        <v>-279.95100000000002</v>
      </c>
      <c r="K1363">
        <v>1.1086940000000001</v>
      </c>
      <c r="L1363">
        <v>283.24259999999998</v>
      </c>
      <c r="M1363">
        <v>-0.99989309999999998</v>
      </c>
      <c r="N1363">
        <v>-1.4600760000000001E-2</v>
      </c>
      <c r="O1363">
        <v>8.1797649999999897E-4</v>
      </c>
      <c r="P1363">
        <v>-0.99000690000000002</v>
      </c>
      <c r="Q1363">
        <v>-0.12144720000000001</v>
      </c>
      <c r="R1363">
        <v>-7.1673059999999997E-2</v>
      </c>
      <c r="S1363">
        <v>-2.9661870000000001</v>
      </c>
      <c r="T1363">
        <v>-0.74819760000000002</v>
      </c>
      <c r="U1363">
        <v>0.38430789999999998</v>
      </c>
      <c r="V1363">
        <v>-7.2476180000000001E-2</v>
      </c>
      <c r="W1363">
        <v>-0.1069848</v>
      </c>
      <c r="X1363">
        <v>0.99161560000000004</v>
      </c>
      <c r="Y1363">
        <v>0.1236593</v>
      </c>
      <c r="Z1363">
        <v>1.6025009999999999E-2</v>
      </c>
      <c r="AA1363">
        <v>0.9921953</v>
      </c>
      <c r="AB1363">
        <v>44</v>
      </c>
      <c r="AC1363">
        <v>-0.248300000000028</v>
      </c>
      <c r="AD1363">
        <v>-0.18394930000000001</v>
      </c>
      <c r="AE1363">
        <v>9.43000000000324E-2</v>
      </c>
      <c r="AF1363">
        <v>6.3593832836609895E-2</v>
      </c>
      <c r="AG1363">
        <v>-0.18394930000000001</v>
      </c>
      <c r="AH1363">
        <v>0.16786162756835499</v>
      </c>
      <c r="AI1363">
        <v>135.700727479981</v>
      </c>
      <c r="AJ1363">
        <v>69.250969718570104</v>
      </c>
      <c r="AK1363">
        <v>0.25701954508410002</v>
      </c>
      <c r="AL1363">
        <v>96.141531336951601</v>
      </c>
      <c r="AM1363">
        <v>94.180257430467407</v>
      </c>
      <c r="AN1363">
        <v>1.0000000211308899</v>
      </c>
    </row>
    <row r="1364" spans="1:40" x14ac:dyDescent="0.25">
      <c r="A1364" t="str">
        <f>"20190305135608353"</f>
        <v>20190305135608353</v>
      </c>
      <c r="B1364" t="str">
        <f>"1551765368343024"</f>
        <v>1551765368343024</v>
      </c>
      <c r="C1364" t="s">
        <v>40</v>
      </c>
      <c r="D1364">
        <v>4.2680470000000001</v>
      </c>
      <c r="E1364">
        <v>0.57149869999999903</v>
      </c>
      <c r="F1364" t="s">
        <v>41</v>
      </c>
      <c r="G1364">
        <v>-280.95639999999997</v>
      </c>
      <c r="H1364">
        <v>0.85497019999999901</v>
      </c>
      <c r="I1364">
        <v>283.37139999999999</v>
      </c>
      <c r="J1364">
        <v>-280.40050000000002</v>
      </c>
      <c r="K1364">
        <v>1.108662</v>
      </c>
      <c r="L1364">
        <v>283.24299999999999</v>
      </c>
      <c r="M1364">
        <v>-0.99989139999999999</v>
      </c>
      <c r="N1364">
        <v>-1.471769E-2</v>
      </c>
      <c r="O1364">
        <v>8.6074060000000002E-4</v>
      </c>
      <c r="P1364">
        <v>-0.98998640000000004</v>
      </c>
      <c r="Q1364">
        <v>-0.1214245</v>
      </c>
      <c r="R1364">
        <v>-7.1994210000000003E-2</v>
      </c>
      <c r="S1364">
        <v>-2.965881</v>
      </c>
      <c r="T1364">
        <v>-0.74856290000000003</v>
      </c>
      <c r="U1364">
        <v>0.37939450000000002</v>
      </c>
      <c r="V1364">
        <v>-7.2846579999999994E-2</v>
      </c>
      <c r="W1364">
        <v>-0.1068418</v>
      </c>
      <c r="X1364">
        <v>0.99160389999999998</v>
      </c>
      <c r="Y1364">
        <v>0.122059</v>
      </c>
      <c r="Z1364">
        <v>1.582254E-2</v>
      </c>
      <c r="AA1364">
        <v>0.99239670000000002</v>
      </c>
      <c r="AB1364">
        <v>44</v>
      </c>
      <c r="AC1364">
        <v>-0.55589999999995099</v>
      </c>
      <c r="AD1364">
        <v>-0.25369180000000002</v>
      </c>
      <c r="AE1364">
        <v>0.12839999999999899</v>
      </c>
      <c r="AF1364">
        <v>0.106804265445285</v>
      </c>
      <c r="AG1364">
        <v>-0.25369180000000002</v>
      </c>
      <c r="AH1364">
        <v>0.46422465215289599</v>
      </c>
      <c r="AI1364">
        <v>118.03849732243</v>
      </c>
      <c r="AJ1364">
        <v>77.043414657389206</v>
      </c>
      <c r="AK1364">
        <v>0.53969547725640998</v>
      </c>
      <c r="AL1364">
        <v>96.133290665107793</v>
      </c>
      <c r="AM1364">
        <v>94.201594325235803</v>
      </c>
      <c r="AN1364">
        <v>1.0000000444700701</v>
      </c>
    </row>
    <row r="1365" spans="1:40" x14ac:dyDescent="0.25">
      <c r="A1365" t="str">
        <f>"20190305135608374"</f>
        <v>20190305135608374</v>
      </c>
      <c r="B1365" t="str">
        <f>"1551765368363520"</f>
        <v>1551765368363520</v>
      </c>
      <c r="C1365" t="s">
        <v>40</v>
      </c>
      <c r="D1365">
        <v>4.3384910000000003</v>
      </c>
      <c r="E1365">
        <v>0.57123699999999999</v>
      </c>
      <c r="F1365" t="s">
        <v>41</v>
      </c>
      <c r="G1365">
        <v>-281.3571</v>
      </c>
      <c r="H1365">
        <v>0.87470400000000004</v>
      </c>
      <c r="I1365">
        <v>283.36470000000003</v>
      </c>
      <c r="J1365">
        <v>-280.80560000000003</v>
      </c>
      <c r="K1365">
        <v>1.108638</v>
      </c>
      <c r="L1365">
        <v>283.24340000000001</v>
      </c>
      <c r="M1365">
        <v>-0.99988999999999995</v>
      </c>
      <c r="N1365">
        <v>-1.480968E-2</v>
      </c>
      <c r="O1365">
        <v>9.2252610000000004E-4</v>
      </c>
      <c r="P1365">
        <v>-0.98989510000000003</v>
      </c>
      <c r="Q1365">
        <v>-0.12191150000000001</v>
      </c>
      <c r="R1365">
        <v>-7.2425619999999996E-2</v>
      </c>
      <c r="S1365">
        <v>-2.9687190000000001</v>
      </c>
      <c r="T1365">
        <v>-0.72605790000000003</v>
      </c>
      <c r="U1365">
        <v>0.37719730000000001</v>
      </c>
      <c r="V1365">
        <v>-7.3346079999999994E-2</v>
      </c>
      <c r="W1365">
        <v>-0.1072343</v>
      </c>
      <c r="X1365">
        <v>0.99152459999999998</v>
      </c>
      <c r="Y1365">
        <v>0.1214078</v>
      </c>
      <c r="Z1365">
        <v>1.528287E-2</v>
      </c>
      <c r="AA1365">
        <v>0.99248499999999995</v>
      </c>
      <c r="AB1365">
        <v>44</v>
      </c>
      <c r="AC1365">
        <v>-0.55149999999997501</v>
      </c>
      <c r="AD1365">
        <v>-0.233934</v>
      </c>
      <c r="AE1365">
        <v>0.121300000000019</v>
      </c>
      <c r="AF1365">
        <v>0.10309715181686301</v>
      </c>
      <c r="AG1365">
        <v>-0.233934</v>
      </c>
      <c r="AH1365">
        <v>0.47080938863363903</v>
      </c>
      <c r="AI1365">
        <v>115.890788190631</v>
      </c>
      <c r="AJ1365">
        <v>77.648416997226605</v>
      </c>
      <c r="AK1365">
        <v>0.53573838717636202</v>
      </c>
      <c r="AL1365">
        <v>96.155909864091399</v>
      </c>
      <c r="AM1365">
        <v>94.230637008660494</v>
      </c>
      <c r="AN1365">
        <v>0.99999993747650595</v>
      </c>
    </row>
    <row r="1366" spans="1:40" x14ac:dyDescent="0.25">
      <c r="A1366" t="str">
        <f>"20190305135608396"</f>
        <v>20190305135608396</v>
      </c>
      <c r="B1366" t="str">
        <f>"1551765368392801"</f>
        <v>1551765368392801</v>
      </c>
      <c r="C1366" t="s">
        <v>40</v>
      </c>
      <c r="D1366">
        <v>4.3719799999999998</v>
      </c>
      <c r="E1366">
        <v>0.57032559999999999</v>
      </c>
      <c r="F1366" t="s">
        <v>41</v>
      </c>
      <c r="G1366">
        <v>-281.75029999999998</v>
      </c>
      <c r="H1366">
        <v>0.87790429999999997</v>
      </c>
      <c r="I1366">
        <v>283.36270000000002</v>
      </c>
      <c r="J1366">
        <v>-281.23020000000002</v>
      </c>
      <c r="K1366">
        <v>1.108611</v>
      </c>
      <c r="L1366">
        <v>283.24380000000002</v>
      </c>
      <c r="M1366">
        <v>-0.99988869999999996</v>
      </c>
      <c r="N1366">
        <v>-1.4893379999999999E-2</v>
      </c>
      <c r="O1366">
        <v>1.018569E-3</v>
      </c>
      <c r="P1366">
        <v>-0.9898401</v>
      </c>
      <c r="Q1366">
        <v>-0.122</v>
      </c>
      <c r="R1366">
        <v>-7.3028389999999999E-2</v>
      </c>
      <c r="S1366">
        <v>-2.968658</v>
      </c>
      <c r="T1366">
        <v>-0.72507929999999998</v>
      </c>
      <c r="U1366">
        <v>0.37390139999999999</v>
      </c>
      <c r="V1366">
        <v>-7.405196E-2</v>
      </c>
      <c r="W1366">
        <v>-0.10723480000000001</v>
      </c>
      <c r="X1366">
        <v>0.99147209999999997</v>
      </c>
      <c r="Y1366">
        <v>0.1202753</v>
      </c>
      <c r="Z1366">
        <v>1.510448E-2</v>
      </c>
      <c r="AA1366">
        <v>0.99262570000000006</v>
      </c>
      <c r="AB1366">
        <v>44</v>
      </c>
      <c r="AC1366">
        <v>-0.52009999999995604</v>
      </c>
      <c r="AD1366">
        <v>-0.23070669999999999</v>
      </c>
      <c r="AE1366">
        <v>0.118899999999996</v>
      </c>
      <c r="AF1366">
        <v>9.9722777617171507E-2</v>
      </c>
      <c r="AG1366">
        <v>-0.23070669999999999</v>
      </c>
      <c r="AH1366">
        <v>0.43826826782521</v>
      </c>
      <c r="AI1366">
        <v>117.17077435613299</v>
      </c>
      <c r="AJ1366">
        <v>77.181270772396999</v>
      </c>
      <c r="AK1366">
        <v>0.50522201890167495</v>
      </c>
      <c r="AL1366">
        <v>96.155938538357802</v>
      </c>
      <c r="AM1366">
        <v>94.271427873875297</v>
      </c>
      <c r="AN1366">
        <v>0.99999996009464498</v>
      </c>
    </row>
    <row r="1367" spans="1:40" x14ac:dyDescent="0.25">
      <c r="A1367" t="str">
        <f>"20190305135608420"</f>
        <v>20190305135608420</v>
      </c>
      <c r="B1367" t="str">
        <f>"1551765368413297"</f>
        <v>1551765368413297</v>
      </c>
      <c r="C1367" t="s">
        <v>40</v>
      </c>
      <c r="D1367">
        <v>5.2667260000000002</v>
      </c>
      <c r="E1367">
        <v>0.5696502</v>
      </c>
      <c r="F1367" t="s">
        <v>41</v>
      </c>
      <c r="G1367">
        <v>-282.14400000000001</v>
      </c>
      <c r="H1367">
        <v>0.88326479999999996</v>
      </c>
      <c r="I1367">
        <v>283.35640000000001</v>
      </c>
      <c r="J1367">
        <v>-281.69159999999999</v>
      </c>
      <c r="K1367">
        <v>1.1085769999999999</v>
      </c>
      <c r="L1367">
        <v>283.24439999999998</v>
      </c>
      <c r="M1367">
        <v>-0.99988730000000003</v>
      </c>
      <c r="N1367">
        <v>-1.4971430000000001E-2</v>
      </c>
      <c r="O1367">
        <v>1.168512E-3</v>
      </c>
      <c r="P1367">
        <v>-0.98984799999999995</v>
      </c>
      <c r="Q1367">
        <v>-0.12169530000000001</v>
      </c>
      <c r="R1367">
        <v>-7.3427010000000001E-2</v>
      </c>
      <c r="S1367">
        <v>-2.9674990000000001</v>
      </c>
      <c r="T1367">
        <v>-0.73178299999999996</v>
      </c>
      <c r="U1367">
        <v>0.36474610000000002</v>
      </c>
      <c r="V1367">
        <v>-7.4610099999999999E-2</v>
      </c>
      <c r="W1367">
        <v>-0.1068452</v>
      </c>
      <c r="X1367">
        <v>0.99147240000000003</v>
      </c>
      <c r="Y1367">
        <v>0.1171881</v>
      </c>
      <c r="Z1367">
        <v>1.4813410000000001E-2</v>
      </c>
      <c r="AA1367">
        <v>0.99299930000000003</v>
      </c>
      <c r="AB1367">
        <v>44</v>
      </c>
      <c r="AC1367">
        <v>-0.45240000000001102</v>
      </c>
      <c r="AD1367">
        <v>-0.22531219999999999</v>
      </c>
      <c r="AE1367">
        <v>0.112000000000023</v>
      </c>
      <c r="AF1367">
        <v>9.0353979305496601E-2</v>
      </c>
      <c r="AG1367">
        <v>-0.22531219999999999</v>
      </c>
      <c r="AH1367">
        <v>0.366802615996972</v>
      </c>
      <c r="AI1367">
        <v>120.81318014359699</v>
      </c>
      <c r="AJ1367">
        <v>76.161908124557996</v>
      </c>
      <c r="AK1367">
        <v>0.43985632671066599</v>
      </c>
      <c r="AL1367">
        <v>96.133486608253506</v>
      </c>
      <c r="AM1367">
        <v>94.3035004292298</v>
      </c>
      <c r="AN1367">
        <v>1.0000000418734001</v>
      </c>
    </row>
    <row r="1368" spans="1:40" x14ac:dyDescent="0.25">
      <c r="A1368" t="str">
        <f>"20190305135608443"</f>
        <v>20190305135608443</v>
      </c>
      <c r="B1368" t="str">
        <f>"1551765368432816"</f>
        <v>1551765368432816</v>
      </c>
      <c r="C1368" t="s">
        <v>40</v>
      </c>
      <c r="D1368">
        <v>4.3593120000000001</v>
      </c>
      <c r="E1368">
        <v>0.56922030000000001</v>
      </c>
      <c r="F1368" t="s">
        <v>41</v>
      </c>
      <c r="G1368">
        <v>-282.5412</v>
      </c>
      <c r="H1368">
        <v>0.89834820000000004</v>
      </c>
      <c r="I1368">
        <v>283.34719999999999</v>
      </c>
      <c r="J1368">
        <v>-282.14879999999999</v>
      </c>
      <c r="K1368">
        <v>1.108535</v>
      </c>
      <c r="L1368">
        <v>283.24509999999998</v>
      </c>
      <c r="M1368">
        <v>-0.99988600000000005</v>
      </c>
      <c r="N1368">
        <v>-1.5037460000000001E-2</v>
      </c>
      <c r="O1368">
        <v>1.370327E-3</v>
      </c>
      <c r="P1368">
        <v>-0.98988240000000005</v>
      </c>
      <c r="Q1368">
        <v>-0.1207385</v>
      </c>
      <c r="R1368">
        <v>-7.4532509999999996E-2</v>
      </c>
      <c r="S1368">
        <v>-2.9671020000000001</v>
      </c>
      <c r="T1368">
        <v>-0.73422369999999904</v>
      </c>
      <c r="U1368">
        <v>0.35821530000000001</v>
      </c>
      <c r="V1368">
        <v>-7.592757E-2</v>
      </c>
      <c r="W1368">
        <v>-0.10581359999999999</v>
      </c>
      <c r="X1368">
        <v>0.991483</v>
      </c>
      <c r="Y1368">
        <v>0.11490110000000001</v>
      </c>
      <c r="Z1368">
        <v>1.452463E-2</v>
      </c>
      <c r="AA1368">
        <v>0.99327080000000001</v>
      </c>
      <c r="AB1368">
        <v>44</v>
      </c>
      <c r="AC1368">
        <v>-0.39240000000000902</v>
      </c>
      <c r="AD1368">
        <v>-0.21018680000000001</v>
      </c>
      <c r="AE1368">
        <v>0.102100000000007</v>
      </c>
      <c r="AF1368">
        <v>8.0050729521581696E-2</v>
      </c>
      <c r="AG1368">
        <v>-0.21018680000000001</v>
      </c>
      <c r="AH1368">
        <v>0.309397596210574</v>
      </c>
      <c r="AI1368">
        <v>123.332333043075</v>
      </c>
      <c r="AJ1368">
        <v>75.493912766738006</v>
      </c>
      <c r="AK1368">
        <v>0.382509454434866</v>
      </c>
      <c r="AL1368">
        <v>96.074043388735305</v>
      </c>
      <c r="AM1368">
        <v>94.379152228566994</v>
      </c>
      <c r="AN1368">
        <v>1.00000002656003</v>
      </c>
    </row>
    <row r="1369" spans="1:40" x14ac:dyDescent="0.25">
      <c r="A1369" t="str">
        <f>"20190305135608466"</f>
        <v>20190305135608466</v>
      </c>
      <c r="B1369" t="str">
        <f>"1551765368453312"</f>
        <v>1551765368453312</v>
      </c>
      <c r="C1369" t="s">
        <v>40</v>
      </c>
      <c r="D1369">
        <v>4.2495240000000001</v>
      </c>
      <c r="E1369">
        <v>0.56917369999999901</v>
      </c>
      <c r="F1369" t="s">
        <v>41</v>
      </c>
      <c r="G1369">
        <v>-282.93810000000002</v>
      </c>
      <c r="H1369">
        <v>0.91294339999999996</v>
      </c>
      <c r="I1369">
        <v>283.339</v>
      </c>
      <c r="J1369">
        <v>-282.5865</v>
      </c>
      <c r="K1369">
        <v>1.1084940000000001</v>
      </c>
      <c r="L1369">
        <v>283.24590000000001</v>
      </c>
      <c r="M1369">
        <v>-0.99988500000000002</v>
      </c>
      <c r="N1369">
        <v>-1.509135E-2</v>
      </c>
      <c r="O1369">
        <v>1.6206580000000001E-3</v>
      </c>
      <c r="P1369">
        <v>-0.98990789999999995</v>
      </c>
      <c r="Q1369">
        <v>-0.12014420000000001</v>
      </c>
      <c r="R1369">
        <v>-7.5153899999999996E-2</v>
      </c>
      <c r="S1369">
        <v>-2.9674680000000002</v>
      </c>
      <c r="T1369">
        <v>-0.73530769999999901</v>
      </c>
      <c r="U1369">
        <v>0.35189819999999999</v>
      </c>
      <c r="V1369">
        <v>-7.6809450000000001E-2</v>
      </c>
      <c r="W1369">
        <v>-0.10515579999999999</v>
      </c>
      <c r="X1369">
        <v>0.99148510000000001</v>
      </c>
      <c r="Y1369">
        <v>0.1126207</v>
      </c>
      <c r="Z1369">
        <v>1.419524E-2</v>
      </c>
      <c r="AA1369">
        <v>0.99353670000000005</v>
      </c>
      <c r="AB1369">
        <v>44</v>
      </c>
      <c r="AC1369">
        <v>-0.35160000000001901</v>
      </c>
      <c r="AD1369">
        <v>-0.19555059999999999</v>
      </c>
      <c r="AE1369">
        <v>9.3099999999992605E-2</v>
      </c>
      <c r="AF1369">
        <v>7.1780878318054797E-2</v>
      </c>
      <c r="AG1369">
        <v>-0.19555059999999999</v>
      </c>
      <c r="AH1369">
        <v>0.27287321167471601</v>
      </c>
      <c r="AI1369">
        <v>124.72417515494</v>
      </c>
      <c r="AJ1369">
        <v>75.261908564402702</v>
      </c>
      <c r="AK1369">
        <v>0.343296258794275</v>
      </c>
      <c r="AL1369">
        <v>96.036142519621507</v>
      </c>
      <c r="AM1369">
        <v>94.429804362627706</v>
      </c>
      <c r="AN1369">
        <v>1.0000000687024699</v>
      </c>
    </row>
    <row r="1370" spans="1:40" x14ac:dyDescent="0.25">
      <c r="A1370" t="str">
        <f>"20190305135608486"</f>
        <v>20190305135608486</v>
      </c>
      <c r="B1370" t="str">
        <f>"1551765368472833"</f>
        <v>1551765368472833</v>
      </c>
      <c r="C1370" t="s">
        <v>40</v>
      </c>
      <c r="D1370">
        <v>4.333081</v>
      </c>
      <c r="E1370">
        <v>0.56904940000000004</v>
      </c>
      <c r="F1370" t="s">
        <v>41</v>
      </c>
      <c r="G1370">
        <v>-283.3338</v>
      </c>
      <c r="H1370">
        <v>0.92437860000000005</v>
      </c>
      <c r="I1370">
        <v>283.334</v>
      </c>
      <c r="J1370">
        <v>-282.97930000000002</v>
      </c>
      <c r="K1370">
        <v>1.1084430000000001</v>
      </c>
      <c r="L1370">
        <v>283.24680000000001</v>
      </c>
      <c r="M1370">
        <v>-0.99988379999999999</v>
      </c>
      <c r="N1370">
        <v>-1.513282E-2</v>
      </c>
      <c r="O1370">
        <v>1.902609E-3</v>
      </c>
      <c r="P1370">
        <v>-0.98985829999999997</v>
      </c>
      <c r="Q1370">
        <v>-0.1199548</v>
      </c>
      <c r="R1370">
        <v>-7.6103309999999993E-2</v>
      </c>
      <c r="S1370">
        <v>-2.9683229999999998</v>
      </c>
      <c r="T1370">
        <v>-0.73138610000000004</v>
      </c>
      <c r="U1370">
        <v>0.34921259999999998</v>
      </c>
      <c r="V1370">
        <v>-7.8051490000000001E-2</v>
      </c>
      <c r="W1370">
        <v>-0.1049158</v>
      </c>
      <c r="X1370">
        <v>0.99141349999999995</v>
      </c>
      <c r="Y1370">
        <v>0.1115</v>
      </c>
      <c r="Z1370">
        <v>1.391733E-2</v>
      </c>
      <c r="AA1370">
        <v>0.99366699999999997</v>
      </c>
      <c r="AB1370">
        <v>44</v>
      </c>
      <c r="AC1370">
        <v>-0.354499999999973</v>
      </c>
      <c r="AD1370">
        <v>-0.18406439999999999</v>
      </c>
      <c r="AE1370">
        <v>8.7199999999995698E-2</v>
      </c>
      <c r="AF1370">
        <v>6.8987840879001699E-2</v>
      </c>
      <c r="AG1370">
        <v>-0.18406439999999999</v>
      </c>
      <c r="AH1370">
        <v>0.28277966133646598</v>
      </c>
      <c r="AI1370">
        <v>122.307805536365</v>
      </c>
      <c r="AJ1370">
        <v>76.289751290979098</v>
      </c>
      <c r="AK1370">
        <v>0.34438838888974299</v>
      </c>
      <c r="AL1370">
        <v>96.0223151948002</v>
      </c>
      <c r="AM1370">
        <v>94.501467802366506</v>
      </c>
      <c r="AN1370">
        <v>1.00000004408155</v>
      </c>
    </row>
    <row r="1371" spans="1:40" x14ac:dyDescent="0.25">
      <c r="A1371" t="str">
        <f>"20190305135608508"</f>
        <v>20190305135608508</v>
      </c>
      <c r="B1371" t="str">
        <f>"1551765368503089"</f>
        <v>1551765368503089</v>
      </c>
      <c r="C1371" t="s">
        <v>40</v>
      </c>
      <c r="D1371">
        <v>4.4466010000000002</v>
      </c>
      <c r="E1371">
        <v>0.56966669999999997</v>
      </c>
      <c r="F1371" t="s">
        <v>41</v>
      </c>
      <c r="G1371">
        <v>-283.72410000000002</v>
      </c>
      <c r="H1371">
        <v>0.9251509</v>
      </c>
      <c r="I1371">
        <v>283.33370000000002</v>
      </c>
      <c r="J1371">
        <v>-283.42860000000002</v>
      </c>
      <c r="K1371">
        <v>1.1083799999999999</v>
      </c>
      <c r="L1371">
        <v>283.24799999999999</v>
      </c>
      <c r="M1371">
        <v>-0.9998823</v>
      </c>
      <c r="N1371">
        <v>-1.5173529999999999E-2</v>
      </c>
      <c r="O1371">
        <v>2.2897540000000002E-3</v>
      </c>
      <c r="P1371">
        <v>-0.98973750000000005</v>
      </c>
      <c r="Q1371">
        <v>-0.1207328</v>
      </c>
      <c r="R1371">
        <v>-7.6443140000000007E-2</v>
      </c>
      <c r="S1371">
        <v>-2.96875</v>
      </c>
      <c r="T1371">
        <v>-0.73073650000000001</v>
      </c>
      <c r="U1371">
        <v>0.34551999999999999</v>
      </c>
      <c r="V1371">
        <v>-7.8791349999999996E-2</v>
      </c>
      <c r="W1371">
        <v>-0.1056424</v>
      </c>
      <c r="X1371">
        <v>0.99127779999999999</v>
      </c>
      <c r="Y1371">
        <v>0.10994379999999999</v>
      </c>
      <c r="Z1371">
        <v>1.3619559999999999E-2</v>
      </c>
      <c r="AA1371">
        <v>0.99384450000000002</v>
      </c>
      <c r="AB1371">
        <v>44</v>
      </c>
      <c r="AC1371">
        <v>-0.29550000000000398</v>
      </c>
      <c r="AD1371">
        <v>-0.18322909999999901</v>
      </c>
      <c r="AE1371">
        <v>8.5700000000031196E-2</v>
      </c>
      <c r="AF1371">
        <v>6.27638430119727E-2</v>
      </c>
      <c r="AG1371">
        <v>-0.18322909999999901</v>
      </c>
      <c r="AH1371">
        <v>0.21828173872116399</v>
      </c>
      <c r="AI1371">
        <v>128.89412113453901</v>
      </c>
      <c r="AJ1371">
        <v>73.958155178362006</v>
      </c>
      <c r="AK1371">
        <v>0.29182035661614802</v>
      </c>
      <c r="AL1371">
        <v>96.064179010607901</v>
      </c>
      <c r="AM1371">
        <v>94.544579363518295</v>
      </c>
      <c r="AN1371">
        <v>1.0000000351427101</v>
      </c>
    </row>
    <row r="1372" spans="1:40" x14ac:dyDescent="0.25">
      <c r="A1372" t="str">
        <f>"20190305135608532"</f>
        <v>20190305135608532</v>
      </c>
      <c r="B1372" t="str">
        <f>"1551765368523585"</f>
        <v>1551765368523585</v>
      </c>
      <c r="C1372" t="s">
        <v>40</v>
      </c>
      <c r="D1372">
        <v>4.2021110000000004</v>
      </c>
      <c r="E1372">
        <v>0.57040990000000003</v>
      </c>
      <c r="F1372" t="s">
        <v>41</v>
      </c>
      <c r="G1372">
        <v>-284.1198</v>
      </c>
      <c r="H1372">
        <v>0.93805899999999998</v>
      </c>
      <c r="I1372">
        <v>283.3295</v>
      </c>
      <c r="J1372">
        <v>-283.88260000000002</v>
      </c>
      <c r="K1372">
        <v>1.108312</v>
      </c>
      <c r="L1372">
        <v>283.24950000000001</v>
      </c>
      <c r="M1372">
        <v>-0.99988049999999995</v>
      </c>
      <c r="N1372">
        <v>-1.5207750000000001E-2</v>
      </c>
      <c r="O1372">
        <v>2.7599790000000001E-3</v>
      </c>
      <c r="P1372">
        <v>-0.98965720000000001</v>
      </c>
      <c r="Q1372">
        <v>-0.12110890000000001</v>
      </c>
      <c r="R1372">
        <v>-7.6885789999999996E-2</v>
      </c>
      <c r="S1372">
        <v>-2.9688110000000001</v>
      </c>
      <c r="T1372">
        <v>-0.73155059999999905</v>
      </c>
      <c r="U1372">
        <v>0.348999</v>
      </c>
      <c r="V1372">
        <v>-7.9717789999999997E-2</v>
      </c>
      <c r="W1372">
        <v>-0.10597189999999999</v>
      </c>
      <c r="X1372">
        <v>0.99116850000000001</v>
      </c>
      <c r="Y1372">
        <v>0.1106075</v>
      </c>
      <c r="Z1372">
        <v>1.361302E-2</v>
      </c>
      <c r="AA1372">
        <v>0.99377099999999996</v>
      </c>
      <c r="AB1372">
        <v>44</v>
      </c>
      <c r="AC1372">
        <v>-0.23719999999997299</v>
      </c>
      <c r="AD1372">
        <v>-0.17025299999999999</v>
      </c>
      <c r="AE1372">
        <v>7.9999999999984001E-2</v>
      </c>
      <c r="AF1372">
        <v>5.4250556775810602E-2</v>
      </c>
      <c r="AG1372">
        <v>-0.17025299999999999</v>
      </c>
      <c r="AH1372">
        <v>0.16233121908748899</v>
      </c>
      <c r="AI1372">
        <v>134.84837377376999</v>
      </c>
      <c r="AJ1372">
        <v>71.520542476441193</v>
      </c>
      <c r="AK1372">
        <v>0.241413818183458</v>
      </c>
      <c r="AL1372">
        <v>96.083164862817796</v>
      </c>
      <c r="AM1372">
        <v>94.598292238894004</v>
      </c>
      <c r="AN1372">
        <v>0.99999998251217104</v>
      </c>
    </row>
    <row r="1373" spans="1:40" x14ac:dyDescent="0.25">
      <c r="A1373" t="str">
        <f>"20190305135608553"</f>
        <v>20190305135608553</v>
      </c>
      <c r="B1373" t="str">
        <f>"1551765368543104"</f>
        <v>1551765368543104</v>
      </c>
      <c r="C1373" t="s">
        <v>40</v>
      </c>
      <c r="D1373">
        <v>4.2141789999999997</v>
      </c>
      <c r="E1373">
        <v>0.57121069999999996</v>
      </c>
      <c r="F1373" t="s">
        <v>41</v>
      </c>
      <c r="G1373">
        <v>-284.86610000000002</v>
      </c>
      <c r="H1373">
        <v>0.86572280000000001</v>
      </c>
      <c r="I1373">
        <v>283.36680000000001</v>
      </c>
      <c r="J1373">
        <v>-284.30360000000002</v>
      </c>
      <c r="K1373">
        <v>1.1082540000000001</v>
      </c>
      <c r="L1373">
        <v>283.25099999999998</v>
      </c>
      <c r="M1373">
        <v>-0.99987859999999995</v>
      </c>
      <c r="N1373">
        <v>-1.523452E-2</v>
      </c>
      <c r="O1373">
        <v>3.2576319999999999E-3</v>
      </c>
      <c r="P1373">
        <v>-0.98971900000000002</v>
      </c>
      <c r="Q1373">
        <v>-0.12073970000000001</v>
      </c>
      <c r="R1373">
        <v>-7.6672420000000005E-2</v>
      </c>
      <c r="S1373">
        <v>-2.9692080000000001</v>
      </c>
      <c r="T1373">
        <v>-0.73242089999999904</v>
      </c>
      <c r="U1373">
        <v>0.35360720000000001</v>
      </c>
      <c r="V1373">
        <v>-8.0013849999999997E-2</v>
      </c>
      <c r="W1373">
        <v>-0.105563</v>
      </c>
      <c r="X1373">
        <v>0.99118830000000002</v>
      </c>
      <c r="Y1373">
        <v>0.111594</v>
      </c>
      <c r="Z1373">
        <v>1.36407E-2</v>
      </c>
      <c r="AA1373">
        <v>0.99366030000000005</v>
      </c>
      <c r="AB1373">
        <v>43</v>
      </c>
      <c r="AC1373">
        <v>-0.5625</v>
      </c>
      <c r="AD1373">
        <v>-0.242531199999999</v>
      </c>
      <c r="AE1373">
        <v>0.115800000000035</v>
      </c>
      <c r="AF1373">
        <v>9.6717554467742398E-2</v>
      </c>
      <c r="AG1373">
        <v>-0.242531199999999</v>
      </c>
      <c r="AH1373">
        <v>0.47768162900003902</v>
      </c>
      <c r="AI1373">
        <v>116.45621798918</v>
      </c>
      <c r="AJ1373">
        <v>78.553898780283404</v>
      </c>
      <c r="AK1373">
        <v>0.544385347892273</v>
      </c>
      <c r="AL1373">
        <v>96.059604330781497</v>
      </c>
      <c r="AM1373">
        <v>94.615204173207601</v>
      </c>
      <c r="AN1373">
        <v>1.00000000460885</v>
      </c>
    </row>
    <row r="1374" spans="1:40" x14ac:dyDescent="0.25">
      <c r="A1374" t="str">
        <f>"20190305135608575"</f>
        <v>20190305135608575</v>
      </c>
      <c r="B1374" t="str">
        <f>"1551765368563604"</f>
        <v>1551765368563604</v>
      </c>
      <c r="C1374" t="s">
        <v>40</v>
      </c>
      <c r="D1374">
        <v>4.1681939999999997</v>
      </c>
      <c r="E1374">
        <v>0.57194369999999894</v>
      </c>
      <c r="F1374" t="s">
        <v>41</v>
      </c>
      <c r="G1374">
        <v>-285.2577</v>
      </c>
      <c r="H1374">
        <v>0.87362890000000004</v>
      </c>
      <c r="I1374">
        <v>283.36680000000001</v>
      </c>
      <c r="J1374">
        <v>-284.714</v>
      </c>
      <c r="K1374">
        <v>1.1082000000000001</v>
      </c>
      <c r="L1374">
        <v>283.25279999999998</v>
      </c>
      <c r="M1374">
        <v>-0.9998764</v>
      </c>
      <c r="N1374">
        <v>-1.525664E-2</v>
      </c>
      <c r="O1374">
        <v>3.7907269999999998E-3</v>
      </c>
      <c r="P1374">
        <v>-0.98984640000000002</v>
      </c>
      <c r="Q1374">
        <v>-0.1199421</v>
      </c>
      <c r="R1374">
        <v>-7.6275620000000002E-2</v>
      </c>
      <c r="S1374">
        <v>-2.9699710000000001</v>
      </c>
      <c r="T1374">
        <v>-0.73033519999999996</v>
      </c>
      <c r="U1374">
        <v>0.36022949999999998</v>
      </c>
      <c r="V1374">
        <v>-8.0159419999999995E-2</v>
      </c>
      <c r="W1374">
        <v>-0.10473059999999999</v>
      </c>
      <c r="X1374">
        <v>0.99126479999999995</v>
      </c>
      <c r="Y1374">
        <v>0.1132029</v>
      </c>
      <c r="Z1374">
        <v>1.368813E-2</v>
      </c>
      <c r="AA1374">
        <v>0.99347759999999996</v>
      </c>
      <c r="AB1374">
        <v>43</v>
      </c>
      <c r="AC1374">
        <v>-0.54370000000000096</v>
      </c>
      <c r="AD1374">
        <v>-0.2345711</v>
      </c>
      <c r="AE1374">
        <v>0.11400000000003201</v>
      </c>
      <c r="AF1374">
        <v>9.4999717218030605E-2</v>
      </c>
      <c r="AG1374">
        <v>-0.2345711</v>
      </c>
      <c r="AH1374">
        <v>0.46179196586219401</v>
      </c>
      <c r="AI1374">
        <v>116.45215416899801</v>
      </c>
      <c r="AJ1374">
        <v>78.375305162563393</v>
      </c>
      <c r="AK1374">
        <v>0.52659317025725405</v>
      </c>
      <c r="AL1374">
        <v>96.011645697077</v>
      </c>
      <c r="AM1374">
        <v>94.623209016570598</v>
      </c>
      <c r="AN1374">
        <v>0.99999996745506703</v>
      </c>
    </row>
    <row r="1375" spans="1:40" x14ac:dyDescent="0.25">
      <c r="A1375" t="str">
        <f>"20190305135608597"</f>
        <v>20190305135608597</v>
      </c>
      <c r="B1375" t="str">
        <f>"1551765368592881"</f>
        <v>1551765368592881</v>
      </c>
      <c r="C1375" t="s">
        <v>40</v>
      </c>
      <c r="D1375">
        <v>4.1463190000000001</v>
      </c>
      <c r="E1375">
        <v>0.57295529999999995</v>
      </c>
      <c r="F1375" t="s">
        <v>41</v>
      </c>
      <c r="G1375">
        <v>-285.64789999999999</v>
      </c>
      <c r="H1375">
        <v>0.87917380000000001</v>
      </c>
      <c r="I1375">
        <v>283.36829999999998</v>
      </c>
      <c r="J1375">
        <v>-285.15410000000003</v>
      </c>
      <c r="K1375">
        <v>1.1081479999999999</v>
      </c>
      <c r="L1375">
        <v>283.255</v>
      </c>
      <c r="M1375">
        <v>-0.99987369999999998</v>
      </c>
      <c r="N1375">
        <v>-1.527648E-2</v>
      </c>
      <c r="O1375">
        <v>4.4091460000000001E-3</v>
      </c>
      <c r="P1375">
        <v>-0.98988620000000005</v>
      </c>
      <c r="Q1375">
        <v>-0.1198877</v>
      </c>
      <c r="R1375">
        <v>-7.584805E-2</v>
      </c>
      <c r="S1375">
        <v>-2.9707949999999999</v>
      </c>
      <c r="T1375">
        <v>-0.72848559999999996</v>
      </c>
      <c r="U1375">
        <v>0.36679079999999997</v>
      </c>
      <c r="V1375">
        <v>-8.0358189999999996E-2</v>
      </c>
      <c r="W1375">
        <v>-0.1046451</v>
      </c>
      <c r="X1375">
        <v>0.99125779999999997</v>
      </c>
      <c r="Y1375">
        <v>0.11470569999999999</v>
      </c>
      <c r="Z1375">
        <v>1.3706009999999999E-2</v>
      </c>
      <c r="AA1375">
        <v>0.99330499999999999</v>
      </c>
      <c r="AB1375">
        <v>43</v>
      </c>
      <c r="AC1375">
        <v>-0.49379999999996399</v>
      </c>
      <c r="AD1375">
        <v>-0.22897419999999899</v>
      </c>
      <c r="AE1375">
        <v>0.113299999999981</v>
      </c>
      <c r="AF1375">
        <v>9.2273398884786806E-2</v>
      </c>
      <c r="AG1375">
        <v>-0.22897419999999899</v>
      </c>
      <c r="AH1375">
        <v>0.41045432372726398</v>
      </c>
      <c r="AI1375">
        <v>118.558199025742</v>
      </c>
      <c r="AJ1375">
        <v>77.330089870767296</v>
      </c>
      <c r="AK1375">
        <v>0.47897423341323497</v>
      </c>
      <c r="AL1375">
        <v>96.006719458585394</v>
      </c>
      <c r="AM1375">
        <v>94.6346558176824</v>
      </c>
      <c r="AN1375">
        <v>1.0000000308574599</v>
      </c>
    </row>
    <row r="1376" spans="1:40" x14ac:dyDescent="0.25">
      <c r="A1376" t="str">
        <f>"20190305135608620"</f>
        <v>20190305135608620</v>
      </c>
      <c r="B1376" t="str">
        <f>"1551765368613377"</f>
        <v>1551765368613377</v>
      </c>
      <c r="C1376" t="s">
        <v>40</v>
      </c>
      <c r="D1376">
        <v>4.1549639999999997</v>
      </c>
      <c r="E1376">
        <v>0.57361249999999997</v>
      </c>
      <c r="F1376" t="s">
        <v>41</v>
      </c>
      <c r="G1376">
        <v>-286.04039999999998</v>
      </c>
      <c r="H1376">
        <v>0.89121930000000005</v>
      </c>
      <c r="I1376">
        <v>283.36720000000003</v>
      </c>
      <c r="J1376">
        <v>-285.59730000000002</v>
      </c>
      <c r="K1376">
        <v>1.1081099999999999</v>
      </c>
      <c r="L1376">
        <v>283.25749999999999</v>
      </c>
      <c r="M1376">
        <v>-0.99987020000000004</v>
      </c>
      <c r="N1376">
        <v>-1.5293009999999999E-2</v>
      </c>
      <c r="O1376">
        <v>5.0711000000000003E-3</v>
      </c>
      <c r="P1376">
        <v>-0.99003969999999997</v>
      </c>
      <c r="Q1376">
        <v>-0.1188963</v>
      </c>
      <c r="R1376">
        <v>-7.540115E-2</v>
      </c>
      <c r="S1376">
        <v>-2.9713129999999999</v>
      </c>
      <c r="T1376">
        <v>-0.72735150000000004</v>
      </c>
      <c r="U1376">
        <v>0.37561040000000001</v>
      </c>
      <c r="V1376">
        <v>-8.05786E-2</v>
      </c>
      <c r="W1376">
        <v>-0.1036256</v>
      </c>
      <c r="X1376">
        <v>0.99134699999999998</v>
      </c>
      <c r="Y1376">
        <v>0.11689190000000001</v>
      </c>
      <c r="Z1376">
        <v>1.3814109999999999E-2</v>
      </c>
      <c r="AA1376">
        <v>0.9930485</v>
      </c>
      <c r="AB1376">
        <v>43</v>
      </c>
      <c r="AC1376">
        <v>-0.44309999999995803</v>
      </c>
      <c r="AD1376">
        <v>-0.21689069999999899</v>
      </c>
      <c r="AE1376">
        <v>0.10970000000003199</v>
      </c>
      <c r="AF1376">
        <v>8.76611231431563E-2</v>
      </c>
      <c r="AG1376">
        <v>-0.21689069999999899</v>
      </c>
      <c r="AH1376">
        <v>0.361939852985805</v>
      </c>
      <c r="AI1376">
        <v>120.216804504115</v>
      </c>
      <c r="AJ1376">
        <v>76.385246795236995</v>
      </c>
      <c r="AK1376">
        <v>0.43095998124721002</v>
      </c>
      <c r="AL1376">
        <v>95.947987125059498</v>
      </c>
      <c r="AM1376">
        <v>94.646896023250804</v>
      </c>
      <c r="AN1376">
        <v>1.00000002508115</v>
      </c>
    </row>
    <row r="1377" spans="1:40" x14ac:dyDescent="0.25">
      <c r="A1377" t="str">
        <f>"20190305135608645"</f>
        <v>20190305135608645</v>
      </c>
      <c r="B1377" t="str">
        <f>"1551765368632897"</f>
        <v>1551765368632897</v>
      </c>
      <c r="C1377" t="s">
        <v>40</v>
      </c>
      <c r="D1377">
        <v>4.067634</v>
      </c>
      <c r="E1377">
        <v>0.57395980000000002</v>
      </c>
      <c r="F1377" t="s">
        <v>41</v>
      </c>
      <c r="G1377">
        <v>-286.43290000000002</v>
      </c>
      <c r="H1377">
        <v>0.9044681</v>
      </c>
      <c r="I1377">
        <v>283.36509999999998</v>
      </c>
      <c r="J1377">
        <v>-286.06479999999999</v>
      </c>
      <c r="K1377">
        <v>1.1080779999999999</v>
      </c>
      <c r="L1377">
        <v>283.26049999999998</v>
      </c>
      <c r="M1377">
        <v>-0.99986620000000004</v>
      </c>
      <c r="N1377">
        <v>-1.530727E-2</v>
      </c>
      <c r="O1377">
        <v>5.8008679999999998E-3</v>
      </c>
      <c r="P1377">
        <v>-0.99017920000000004</v>
      </c>
      <c r="Q1377">
        <v>-0.11834069999999999</v>
      </c>
      <c r="R1377">
        <v>-7.4438389999999993E-2</v>
      </c>
      <c r="S1377">
        <v>-2.9722900000000001</v>
      </c>
      <c r="T1377">
        <v>-0.72439039999999999</v>
      </c>
      <c r="U1377">
        <v>0.3823242</v>
      </c>
      <c r="V1377">
        <v>-8.0349450000000003E-2</v>
      </c>
      <c r="W1377">
        <v>-0.1030461</v>
      </c>
      <c r="X1377">
        <v>0.99142600000000003</v>
      </c>
      <c r="Y1377">
        <v>0.1183381</v>
      </c>
      <c r="Z1377">
        <v>1.37792E-2</v>
      </c>
      <c r="AA1377">
        <v>0.99287769999999997</v>
      </c>
      <c r="AB1377">
        <v>43</v>
      </c>
      <c r="AC1377">
        <v>-0.36810000000002602</v>
      </c>
      <c r="AD1377">
        <v>-0.20360990000000001</v>
      </c>
      <c r="AE1377">
        <v>0.104600000000004</v>
      </c>
      <c r="AF1377">
        <v>7.9855501995136594E-2</v>
      </c>
      <c r="AG1377">
        <v>-0.20360990000000001</v>
      </c>
      <c r="AH1377">
        <v>0.287351182623935</v>
      </c>
      <c r="AI1377">
        <v>124.32146784195</v>
      </c>
      <c r="AJ1377">
        <v>74.469275421953697</v>
      </c>
      <c r="AK1377">
        <v>0.36111576361643299</v>
      </c>
      <c r="AL1377">
        <v>95.914605524851794</v>
      </c>
      <c r="AM1377">
        <v>94.633371151930405</v>
      </c>
      <c r="AN1377">
        <v>1.00000002315825</v>
      </c>
    </row>
    <row r="1378" spans="1:40" x14ac:dyDescent="0.25">
      <c r="A1378" t="str">
        <f>"20190305135608667"</f>
        <v>20190305135608667</v>
      </c>
      <c r="B1378" t="str">
        <f>"1551765368653392"</f>
        <v>1551765368653392</v>
      </c>
      <c r="C1378" t="s">
        <v>40</v>
      </c>
      <c r="D1378">
        <v>4.1512900000000004</v>
      </c>
      <c r="E1378">
        <v>0.57438020000000001</v>
      </c>
      <c r="F1378" t="s">
        <v>41</v>
      </c>
      <c r="G1378">
        <v>-286.82799999999997</v>
      </c>
      <c r="H1378">
        <v>0.92324390000000001</v>
      </c>
      <c r="I1378">
        <v>283.36020000000002</v>
      </c>
      <c r="J1378">
        <v>-286.48469999999998</v>
      </c>
      <c r="K1378">
        <v>1.108055</v>
      </c>
      <c r="L1378">
        <v>283.26350000000002</v>
      </c>
      <c r="M1378">
        <v>-0.99986180000000002</v>
      </c>
      <c r="N1378">
        <v>-1.5317570000000001E-2</v>
      </c>
      <c r="O1378">
        <v>6.4758139999999999E-3</v>
      </c>
      <c r="P1378">
        <v>-0.99039460000000001</v>
      </c>
      <c r="Q1378">
        <v>-0.1172265</v>
      </c>
      <c r="R1378">
        <v>-7.3326059999999998E-2</v>
      </c>
      <c r="S1378">
        <v>-2.972839</v>
      </c>
      <c r="T1378">
        <v>-0.71999480000000005</v>
      </c>
      <c r="U1378">
        <v>0.38766479999999998</v>
      </c>
      <c r="V1378">
        <v>-7.9913499999999998E-2</v>
      </c>
      <c r="W1378">
        <v>-0.1019133</v>
      </c>
      <c r="X1378">
        <v>0.99157830000000002</v>
      </c>
      <c r="Y1378">
        <v>0.11942510000000001</v>
      </c>
      <c r="Z1378">
        <v>1.3688280000000001E-2</v>
      </c>
      <c r="AA1378">
        <v>0.99274890000000005</v>
      </c>
      <c r="AB1378">
        <v>43</v>
      </c>
      <c r="AC1378">
        <v>-0.34329999999999899</v>
      </c>
      <c r="AD1378">
        <v>-0.18481110000000001</v>
      </c>
      <c r="AE1378">
        <v>9.6699999999998398E-2</v>
      </c>
      <c r="AF1378">
        <v>7.4477205766230001E-2</v>
      </c>
      <c r="AG1378">
        <v>-0.18481110000000001</v>
      </c>
      <c r="AH1378">
        <v>0.27112199581255902</v>
      </c>
      <c r="AI1378">
        <v>123.31707114834499</v>
      </c>
      <c r="AJ1378">
        <v>74.6397314795705</v>
      </c>
      <c r="AK1378">
        <v>0.33646564977028598</v>
      </c>
      <c r="AL1378">
        <v>95.849357435381904</v>
      </c>
      <c r="AM1378">
        <v>94.607635794374602</v>
      </c>
      <c r="AN1378">
        <v>1.0000000066150101</v>
      </c>
    </row>
    <row r="1379" spans="1:40" x14ac:dyDescent="0.25">
      <c r="A1379" t="str">
        <f>"20190305135608686"</f>
        <v>20190305135608686</v>
      </c>
      <c r="B1379" t="str">
        <f>"1551765368672913"</f>
        <v>1551765368672913</v>
      </c>
      <c r="C1379" t="s">
        <v>40</v>
      </c>
      <c r="D1379">
        <v>4.1645159999999999</v>
      </c>
      <c r="E1379">
        <v>0.57493799999999995</v>
      </c>
      <c r="F1379" t="s">
        <v>41</v>
      </c>
      <c r="G1379">
        <v>-287.21839999999997</v>
      </c>
      <c r="H1379">
        <v>0.93226160000000002</v>
      </c>
      <c r="I1379">
        <v>283.36099999999999</v>
      </c>
      <c r="J1379">
        <v>-286.86720000000003</v>
      </c>
      <c r="K1379">
        <v>1.1080319999999999</v>
      </c>
      <c r="L1379">
        <v>283.26650000000001</v>
      </c>
      <c r="M1379">
        <v>-0.99985729999999995</v>
      </c>
      <c r="N1379">
        <v>-1.5325129999999999E-2</v>
      </c>
      <c r="O1379">
        <v>7.1008140000000004E-3</v>
      </c>
      <c r="P1379">
        <v>-0.99052490000000004</v>
      </c>
      <c r="Q1379">
        <v>-0.116459199999999</v>
      </c>
      <c r="R1379">
        <v>-7.2784390000000004E-2</v>
      </c>
      <c r="S1379">
        <v>-2.9739070000000001</v>
      </c>
      <c r="T1379">
        <v>-0.7126403</v>
      </c>
      <c r="U1379">
        <v>0.39410400000000001</v>
      </c>
      <c r="V1379">
        <v>-7.9996510000000007E-2</v>
      </c>
      <c r="W1379">
        <v>-0.1011321</v>
      </c>
      <c r="X1379">
        <v>0.99165159999999997</v>
      </c>
      <c r="Y1379">
        <v>0.1209133</v>
      </c>
      <c r="Z1379">
        <v>1.360595E-2</v>
      </c>
      <c r="AA1379">
        <v>0.99256979999999995</v>
      </c>
      <c r="AB1379">
        <v>43</v>
      </c>
      <c r="AC1379">
        <v>-0.351199999999948</v>
      </c>
      <c r="AD1379">
        <v>-0.17577039999999899</v>
      </c>
      <c r="AE1379">
        <v>9.4499999999982195E-2</v>
      </c>
      <c r="AF1379">
        <v>7.4582890710079897E-2</v>
      </c>
      <c r="AG1379">
        <v>-0.17577039999999899</v>
      </c>
      <c r="AH1379">
        <v>0.28523804575247902</v>
      </c>
      <c r="AI1379">
        <v>120.802557913665</v>
      </c>
      <c r="AJ1379">
        <v>75.346600951373901</v>
      </c>
      <c r="AK1379">
        <v>0.34324711775559702</v>
      </c>
      <c r="AL1379">
        <v>95.8043654331033</v>
      </c>
      <c r="AM1379">
        <v>94.612061862661804</v>
      </c>
      <c r="AN1379">
        <v>1.00000001952257</v>
      </c>
    </row>
    <row r="1380" spans="1:40" x14ac:dyDescent="0.25">
      <c r="A1380" t="str">
        <f>"20190305135608711"</f>
        <v>20190305135608711</v>
      </c>
      <c r="B1380" t="str">
        <f>"1551765368703169"</f>
        <v>1551765368703169</v>
      </c>
      <c r="C1380" t="s">
        <v>40</v>
      </c>
      <c r="D1380">
        <v>4.0738859999999999</v>
      </c>
      <c r="E1380">
        <v>0.57536229999999999</v>
      </c>
      <c r="F1380" t="s">
        <v>41</v>
      </c>
      <c r="G1380">
        <v>-287.60410000000002</v>
      </c>
      <c r="H1380">
        <v>0.93230190000000002</v>
      </c>
      <c r="I1380">
        <v>283.36579999999998</v>
      </c>
      <c r="J1380">
        <v>-287.34440000000001</v>
      </c>
      <c r="K1380">
        <v>1.108017</v>
      </c>
      <c r="L1380">
        <v>283.27050000000003</v>
      </c>
      <c r="M1380">
        <v>-0.99985139999999995</v>
      </c>
      <c r="N1380">
        <v>-1.533257E-2</v>
      </c>
      <c r="O1380">
        <v>7.8881790000000004E-3</v>
      </c>
      <c r="P1380">
        <v>-0.99068900000000004</v>
      </c>
      <c r="Q1380">
        <v>-0.11572440000000001</v>
      </c>
      <c r="R1380">
        <v>-7.1716669999999996E-2</v>
      </c>
      <c r="S1380">
        <v>-2.9747309999999998</v>
      </c>
      <c r="T1380">
        <v>-0.70935700000000002</v>
      </c>
      <c r="U1380">
        <v>0.40063480000000001</v>
      </c>
      <c r="V1380">
        <v>-7.9715069999999999E-2</v>
      </c>
      <c r="W1380">
        <v>-0.1003836</v>
      </c>
      <c r="X1380">
        <v>0.99175029999999997</v>
      </c>
      <c r="Y1380">
        <v>0.12224939999999999</v>
      </c>
      <c r="Z1380">
        <v>1.3539519999999999E-2</v>
      </c>
      <c r="AA1380">
        <v>0.99240709999999999</v>
      </c>
      <c r="AB1380">
        <v>43</v>
      </c>
      <c r="AC1380">
        <v>-0.25970000000000898</v>
      </c>
      <c r="AD1380">
        <v>-0.17571510000000001</v>
      </c>
      <c r="AE1380">
        <v>9.5299999999951895E-2</v>
      </c>
      <c r="AF1380">
        <v>6.6441338835403804E-2</v>
      </c>
      <c r="AG1380">
        <v>-0.17571510000000001</v>
      </c>
      <c r="AH1380">
        <v>0.185571680995267</v>
      </c>
      <c r="AI1380">
        <v>131.71601809612201</v>
      </c>
      <c r="AJ1380">
        <v>70.300805276526702</v>
      </c>
      <c r="AK1380">
        <v>0.26405888862460197</v>
      </c>
      <c r="AL1380">
        <v>95.761260241860001</v>
      </c>
      <c r="AM1380">
        <v>94.595450124491194</v>
      </c>
      <c r="AN1380">
        <v>1.0000000085420699</v>
      </c>
    </row>
    <row r="1381" spans="1:40" x14ac:dyDescent="0.25">
      <c r="A1381" t="str">
        <f>"20190305135608733"</f>
        <v>20190305135608733</v>
      </c>
      <c r="B1381" t="str">
        <f>"1551765368723665"</f>
        <v>1551765368723665</v>
      </c>
      <c r="C1381" t="s">
        <v>40</v>
      </c>
      <c r="D1381">
        <v>4.1761429999999997</v>
      </c>
      <c r="E1381">
        <v>0.57580359999999997</v>
      </c>
      <c r="F1381" t="s">
        <v>41</v>
      </c>
      <c r="G1381">
        <v>-288.34859999999998</v>
      </c>
      <c r="H1381">
        <v>0.87212000000000001</v>
      </c>
      <c r="I1381">
        <v>283.40789999999998</v>
      </c>
      <c r="J1381">
        <v>-287.7704</v>
      </c>
      <c r="K1381">
        <v>1.1080099999999999</v>
      </c>
      <c r="L1381">
        <v>283.27449999999999</v>
      </c>
      <c r="M1381">
        <v>-0.99984550000000005</v>
      </c>
      <c r="N1381">
        <v>-1.533749E-2</v>
      </c>
      <c r="O1381">
        <v>8.5963949999999997E-3</v>
      </c>
      <c r="P1381">
        <v>-0.99077380000000004</v>
      </c>
      <c r="Q1381">
        <v>-0.1153286</v>
      </c>
      <c r="R1381">
        <v>-7.1181830000000001E-2</v>
      </c>
      <c r="S1381">
        <v>-2.9759829999999998</v>
      </c>
      <c r="T1381">
        <v>-0.69912369999999902</v>
      </c>
      <c r="U1381">
        <v>0.40682980000000002</v>
      </c>
      <c r="V1381">
        <v>-7.9886230000000003E-2</v>
      </c>
      <c r="W1381">
        <v>-9.9978520000000001E-2</v>
      </c>
      <c r="X1381">
        <v>0.99177740000000003</v>
      </c>
      <c r="Y1381">
        <v>0.1235945</v>
      </c>
      <c r="Z1381">
        <v>1.337093E-2</v>
      </c>
      <c r="AA1381">
        <v>0.99224270000000003</v>
      </c>
      <c r="AB1381">
        <v>43</v>
      </c>
      <c r="AC1381">
        <v>-0.57819999999998095</v>
      </c>
      <c r="AD1381">
        <v>-0.23588999999999899</v>
      </c>
      <c r="AE1381">
        <v>0.133399999999994</v>
      </c>
      <c r="AF1381">
        <v>0.11089871833465401</v>
      </c>
      <c r="AG1381">
        <v>-0.23588999999999899</v>
      </c>
      <c r="AH1381">
        <v>0.50026812153616396</v>
      </c>
      <c r="AI1381">
        <v>114.719056682231</v>
      </c>
      <c r="AJ1381">
        <v>77.5008792276588</v>
      </c>
      <c r="AK1381">
        <v>0.56410177384368398</v>
      </c>
      <c r="AL1381">
        <v>95.737933780028797</v>
      </c>
      <c r="AM1381">
        <v>94.605149538997694</v>
      </c>
      <c r="AN1381">
        <v>0.99999996267788105</v>
      </c>
    </row>
    <row r="1382" spans="1:40" x14ac:dyDescent="0.25">
      <c r="A1382" t="str">
        <f>"20190305135608754"</f>
        <v>20190305135608754</v>
      </c>
      <c r="B1382" t="str">
        <f>"1551765368743188"</f>
        <v>1551765368743188</v>
      </c>
      <c r="C1382" t="s">
        <v>40</v>
      </c>
      <c r="D1382">
        <v>4.0489610000000003</v>
      </c>
      <c r="E1382">
        <v>0.57572469999999998</v>
      </c>
      <c r="F1382" t="s">
        <v>41</v>
      </c>
      <c r="G1382">
        <v>-288.73649999999998</v>
      </c>
      <c r="H1382">
        <v>0.88053389999999998</v>
      </c>
      <c r="I1382">
        <v>283.40839999999997</v>
      </c>
      <c r="J1382">
        <v>-288.18509999999998</v>
      </c>
      <c r="K1382">
        <v>1.108006</v>
      </c>
      <c r="L1382">
        <v>283.27870000000001</v>
      </c>
      <c r="M1382">
        <v>-0.99983920000000004</v>
      </c>
      <c r="N1382">
        <v>-1.534104E-2</v>
      </c>
      <c r="O1382">
        <v>9.2879880000000005E-3</v>
      </c>
      <c r="P1382">
        <v>-0.99080599999999996</v>
      </c>
      <c r="Q1382">
        <v>-0.1152325</v>
      </c>
      <c r="R1382">
        <v>-7.0888439999999997E-2</v>
      </c>
      <c r="S1382">
        <v>-2.9759220000000002</v>
      </c>
      <c r="T1382">
        <v>-0.70073339999999995</v>
      </c>
      <c r="U1382">
        <v>0.4118347</v>
      </c>
      <c r="V1382">
        <v>-8.0280999999999894E-2</v>
      </c>
      <c r="W1382">
        <v>-9.9875660000000005E-2</v>
      </c>
      <c r="X1382">
        <v>0.99175590000000002</v>
      </c>
      <c r="Y1382">
        <v>0.1245246</v>
      </c>
      <c r="Z1382">
        <v>1.3363119999999999E-2</v>
      </c>
      <c r="AA1382">
        <v>0.99212650000000002</v>
      </c>
      <c r="AB1382">
        <v>43</v>
      </c>
      <c r="AC1382">
        <v>-0.551400000000001</v>
      </c>
      <c r="AD1382">
        <v>-0.22747210000000001</v>
      </c>
      <c r="AE1382">
        <v>0.12969999999995699</v>
      </c>
      <c r="AF1382">
        <v>0.107273189513321</v>
      </c>
      <c r="AG1382">
        <v>-0.22747210000000001</v>
      </c>
      <c r="AH1382">
        <v>0.47584476509422402</v>
      </c>
      <c r="AI1382">
        <v>115.00129938483001</v>
      </c>
      <c r="AJ1382">
        <v>77.295767120823101</v>
      </c>
      <c r="AK1382">
        <v>0.53821866739676405</v>
      </c>
      <c r="AL1382">
        <v>95.732010613959901</v>
      </c>
      <c r="AM1382">
        <v>94.627907871959195</v>
      </c>
      <c r="AN1382">
        <v>0.99999997580312205</v>
      </c>
    </row>
    <row r="1383" spans="1:40" x14ac:dyDescent="0.25">
      <c r="A1383" t="str">
        <f>"20190305135608776"</f>
        <v>20190305135608776</v>
      </c>
      <c r="B1383" t="str">
        <f>"1551765368773441"</f>
        <v>1551765368773441</v>
      </c>
      <c r="C1383" t="s">
        <v>40</v>
      </c>
      <c r="D1383">
        <v>4.0663859999999996</v>
      </c>
      <c r="E1383">
        <v>0.52433439999999998</v>
      </c>
      <c r="F1383" t="s">
        <v>41</v>
      </c>
      <c r="G1383">
        <v>-289.12299999999999</v>
      </c>
      <c r="H1383">
        <v>0.88694989999999996</v>
      </c>
      <c r="I1383">
        <v>283.40839999999997</v>
      </c>
      <c r="J1383">
        <v>-288.59100000000001</v>
      </c>
      <c r="K1383">
        <v>1.107999</v>
      </c>
      <c r="L1383">
        <v>283.28300000000002</v>
      </c>
      <c r="M1383">
        <v>-0.99983259999999996</v>
      </c>
      <c r="N1383">
        <v>-1.534349E-2</v>
      </c>
      <c r="O1383">
        <v>9.9657760000000008E-3</v>
      </c>
      <c r="P1383">
        <v>-0.9907861</v>
      </c>
      <c r="Q1383">
        <v>-0.115825</v>
      </c>
      <c r="R1383">
        <v>-7.0194569999999998E-2</v>
      </c>
      <c r="S1383">
        <v>-2.9757690000000001</v>
      </c>
      <c r="T1383">
        <v>-0.70130680000000001</v>
      </c>
      <c r="U1383">
        <v>0.41165160000000001</v>
      </c>
      <c r="V1383">
        <v>-8.0262500000000001E-2</v>
      </c>
      <c r="W1383">
        <v>-0.1004644</v>
      </c>
      <c r="X1383">
        <v>0.99169799999999997</v>
      </c>
      <c r="Y1383">
        <v>0.1238296</v>
      </c>
      <c r="Z1383">
        <v>1.314129E-2</v>
      </c>
      <c r="AA1383">
        <v>0.99221649999999995</v>
      </c>
      <c r="AB1383">
        <v>43</v>
      </c>
      <c r="AC1383">
        <v>-0.53199999999998204</v>
      </c>
      <c r="AD1383">
        <v>-0.2210491</v>
      </c>
      <c r="AE1383">
        <v>0.12539999999995599</v>
      </c>
      <c r="AF1383">
        <v>0.103210490828589</v>
      </c>
      <c r="AG1383">
        <v>-0.2210491</v>
      </c>
      <c r="AH1383">
        <v>0.45826989273174501</v>
      </c>
      <c r="AI1383">
        <v>115.200220821551</v>
      </c>
      <c r="AJ1383">
        <v>77.307744850312304</v>
      </c>
      <c r="AK1383">
        <v>0.51915932488230698</v>
      </c>
      <c r="AL1383">
        <v>95.765913058577098</v>
      </c>
      <c r="AM1383">
        <v>94.627115009132197</v>
      </c>
      <c r="AN1383">
        <v>1.0000000438887999</v>
      </c>
    </row>
    <row r="1384" spans="1:40" x14ac:dyDescent="0.25">
      <c r="A1384" t="str">
        <f>"20190305135608799"</f>
        <v>20190305135608799</v>
      </c>
      <c r="B1384" t="str">
        <f>"1551765368792962"</f>
        <v>1551765368792962</v>
      </c>
      <c r="C1384" t="s">
        <v>40</v>
      </c>
      <c r="D1384">
        <v>4.0374150000000002</v>
      </c>
      <c r="E1384">
        <v>0.52375490000000002</v>
      </c>
      <c r="F1384" t="s">
        <v>41</v>
      </c>
      <c r="G1384">
        <v>-289.5634</v>
      </c>
      <c r="H1384">
        <v>1.002964</v>
      </c>
      <c r="I1384">
        <v>283.27710000000002</v>
      </c>
      <c r="J1384">
        <v>-289.036</v>
      </c>
      <c r="K1384">
        <v>1.1079939999999999</v>
      </c>
      <c r="L1384">
        <v>283.28809999999999</v>
      </c>
      <c r="M1384">
        <v>-0.99982490000000002</v>
      </c>
      <c r="N1384">
        <v>-1.5345070000000001E-2</v>
      </c>
      <c r="O1384">
        <v>1.0709700000000001E-2</v>
      </c>
      <c r="P1384">
        <v>-0.99079470000000003</v>
      </c>
      <c r="Q1384">
        <v>-0.1162952</v>
      </c>
      <c r="R1384">
        <v>-6.9292229999999996E-2</v>
      </c>
      <c r="S1384">
        <v>-2.9888309999999998</v>
      </c>
      <c r="T1384">
        <v>-0.3228782</v>
      </c>
      <c r="U1384">
        <v>-1.8218990000000001E-2</v>
      </c>
      <c r="V1384">
        <v>-8.0100290000000005E-2</v>
      </c>
      <c r="W1384">
        <v>-0.1009318</v>
      </c>
      <c r="X1384">
        <v>0.99166359999999998</v>
      </c>
      <c r="Y1384">
        <v>-1.6649420000000002E-2</v>
      </c>
      <c r="Z1384">
        <v>-2.0144989999999999E-3</v>
      </c>
      <c r="AA1384">
        <v>0.99985930000000001</v>
      </c>
      <c r="AB1384">
        <v>43</v>
      </c>
      <c r="AC1384">
        <v>-0.52739999999999998</v>
      </c>
      <c r="AD1384">
        <v>-0.10503</v>
      </c>
      <c r="AE1384">
        <v>-1.0999999999967199E-2</v>
      </c>
      <c r="AF1384">
        <v>-1.60135189998355E-2</v>
      </c>
      <c r="AG1384">
        <v>-0.10503</v>
      </c>
      <c r="AH1384">
        <v>0.50714749045583196</v>
      </c>
      <c r="AI1384">
        <v>101.69485248060801</v>
      </c>
      <c r="AJ1384">
        <v>91.808551414133404</v>
      </c>
      <c r="AK1384">
        <v>0.51815664693836205</v>
      </c>
      <c r="AL1384">
        <v>95.792830235093305</v>
      </c>
      <c r="AM1384">
        <v>94.617963618138901</v>
      </c>
      <c r="AN1384">
        <v>0.99999999013714203</v>
      </c>
    </row>
    <row r="1385" spans="1:40" x14ac:dyDescent="0.25">
      <c r="A1385" t="str">
        <f>"20190305135608822"</f>
        <v>20190305135608822</v>
      </c>
      <c r="B1385" t="str">
        <f>"1551765368813457"</f>
        <v>1551765368813457</v>
      </c>
      <c r="C1385" t="s">
        <v>40</v>
      </c>
      <c r="D1385">
        <v>4.0224390000000003</v>
      </c>
      <c r="E1385">
        <v>0.52304669999999998</v>
      </c>
      <c r="F1385" t="s">
        <v>61</v>
      </c>
      <c r="G1385">
        <v>-304.20710000000003</v>
      </c>
      <c r="H1385" s="1">
        <v>3.345983E-6</v>
      </c>
      <c r="I1385">
        <v>283.15609999999998</v>
      </c>
      <c r="J1385">
        <v>-289.4785</v>
      </c>
      <c r="K1385">
        <v>1.1079840000000001</v>
      </c>
      <c r="L1385">
        <v>283.29340000000002</v>
      </c>
      <c r="M1385">
        <v>-0.99981679999999995</v>
      </c>
      <c r="N1385">
        <v>-1.5345660000000001E-2</v>
      </c>
      <c r="O1385">
        <v>1.145025E-2</v>
      </c>
      <c r="P1385">
        <v>-0.99075089999999999</v>
      </c>
      <c r="Q1385">
        <v>-0.11711920000000001</v>
      </c>
      <c r="R1385">
        <v>-6.8530069999999998E-2</v>
      </c>
      <c r="S1385">
        <v>-3.0003359999999999</v>
      </c>
      <c r="T1385">
        <v>-0.21912290000000001</v>
      </c>
      <c r="U1385">
        <v>-2.6092529999999999E-2</v>
      </c>
      <c r="V1385">
        <v>-8.0074129999999993E-2</v>
      </c>
      <c r="W1385">
        <v>-0.1017551</v>
      </c>
      <c r="X1385">
        <v>0.99158159999999895</v>
      </c>
      <c r="Y1385">
        <v>-2.0063089999999999E-2</v>
      </c>
      <c r="Z1385">
        <v>-1.5454220000000001E-3</v>
      </c>
      <c r="AA1385">
        <v>0.99979750000000001</v>
      </c>
      <c r="AB1385">
        <v>43</v>
      </c>
      <c r="AC1385">
        <v>-14.7286</v>
      </c>
      <c r="AD1385">
        <v>-1.1079806540170001</v>
      </c>
      <c r="AE1385">
        <v>-0.137300000000038</v>
      </c>
      <c r="AF1385">
        <v>-0.30423546461995099</v>
      </c>
      <c r="AG1385">
        <v>-1.1079806540170001</v>
      </c>
      <c r="AH1385">
        <v>14.643202902521899</v>
      </c>
      <c r="AI1385">
        <v>94.326120471082902</v>
      </c>
      <c r="AJ1385">
        <v>91.1902382754771</v>
      </c>
      <c r="AK1385">
        <v>14.6882119943863</v>
      </c>
      <c r="AL1385">
        <v>95.840245808520095</v>
      </c>
      <c r="AM1385">
        <v>94.616842068065594</v>
      </c>
      <c r="AN1385">
        <v>1.00000001806491</v>
      </c>
    </row>
    <row r="1386" spans="1:40" x14ac:dyDescent="0.25">
      <c r="A1386" t="str">
        <f>"20190305135608846"</f>
        <v>20190305135608846</v>
      </c>
      <c r="B1386" t="str">
        <f>"1551765368842737"</f>
        <v>1551765368842737</v>
      </c>
      <c r="C1386" t="s">
        <v>40</v>
      </c>
      <c r="D1386">
        <v>4.0269279999999998</v>
      </c>
      <c r="E1386">
        <v>0.52253359999999904</v>
      </c>
      <c r="F1386" t="s">
        <v>61</v>
      </c>
      <c r="G1386">
        <v>-306.13159999999999</v>
      </c>
      <c r="H1386" s="1">
        <v>3.007539E-6</v>
      </c>
      <c r="I1386">
        <v>283.12259999999998</v>
      </c>
      <c r="J1386">
        <v>-289.92930000000001</v>
      </c>
      <c r="K1386">
        <v>1.1079779999999999</v>
      </c>
      <c r="L1386">
        <v>283.29919999999998</v>
      </c>
      <c r="M1386">
        <v>-0.99980789999999997</v>
      </c>
      <c r="N1386">
        <v>-1.5345589999999999E-2</v>
      </c>
      <c r="O1386">
        <v>1.2205799999999999E-2</v>
      </c>
      <c r="P1386">
        <v>-0.99074260000000003</v>
      </c>
      <c r="Q1386">
        <v>-0.117842</v>
      </c>
      <c r="R1386">
        <v>-6.7400920000000003E-2</v>
      </c>
      <c r="S1386">
        <v>-3.0022579999999999</v>
      </c>
      <c r="T1386">
        <v>-0.1997497</v>
      </c>
      <c r="U1386">
        <v>-3.0792239999999999E-2</v>
      </c>
      <c r="V1386">
        <v>-7.9696550000000005E-2</v>
      </c>
      <c r="W1386">
        <v>-0.10247829999999999</v>
      </c>
      <c r="X1386">
        <v>0.99153749999999996</v>
      </c>
      <c r="Y1386">
        <v>-2.2384749999999998E-2</v>
      </c>
      <c r="Z1386">
        <v>-1.5398409999999999E-3</v>
      </c>
      <c r="AA1386">
        <v>0.99974819999999998</v>
      </c>
      <c r="AB1386">
        <v>43</v>
      </c>
      <c r="AC1386">
        <v>-16.202299999999902</v>
      </c>
      <c r="AD1386">
        <v>-1.1079749924609901</v>
      </c>
      <c r="AE1386">
        <v>-0.176600000000007</v>
      </c>
      <c r="AF1386">
        <v>-0.372629795156312</v>
      </c>
      <c r="AG1386">
        <v>-1.1079749924609901</v>
      </c>
      <c r="AH1386">
        <v>16.123546635413302</v>
      </c>
      <c r="AI1386">
        <v>93.930015115564501</v>
      </c>
      <c r="AJ1386">
        <v>91.323921786664798</v>
      </c>
      <c r="AK1386">
        <v>16.165865818214201</v>
      </c>
      <c r="AL1386">
        <v>95.881900102726405</v>
      </c>
      <c r="AM1386">
        <v>94.595368853662194</v>
      </c>
      <c r="AN1386">
        <v>0.99999997797952001</v>
      </c>
    </row>
    <row r="1387" spans="1:40" x14ac:dyDescent="0.25">
      <c r="A1387" t="str">
        <f>"20190305135608879"</f>
        <v>20190305135608879</v>
      </c>
      <c r="B1387" t="str">
        <f>"1551765368872993"</f>
        <v>1551765368872993</v>
      </c>
      <c r="C1387" t="s">
        <v>40</v>
      </c>
      <c r="D1387">
        <v>4.035247</v>
      </c>
      <c r="E1387">
        <v>0.52199269999999998</v>
      </c>
      <c r="F1387" t="s">
        <v>61</v>
      </c>
      <c r="G1387">
        <v>-307.1696</v>
      </c>
      <c r="H1387" s="1">
        <v>2.824E-6</v>
      </c>
      <c r="I1387">
        <v>283.11599999999999</v>
      </c>
      <c r="J1387">
        <v>-290.5609</v>
      </c>
      <c r="K1387">
        <v>1.1079330000000001</v>
      </c>
      <c r="L1387">
        <v>283.30799999999999</v>
      </c>
      <c r="M1387">
        <v>-0.99979609999999997</v>
      </c>
      <c r="N1387">
        <v>-1.521875E-2</v>
      </c>
      <c r="O1387">
        <v>1.327796E-2</v>
      </c>
      <c r="P1387">
        <v>-0.99074030000000002</v>
      </c>
      <c r="Q1387">
        <v>-0.1184688</v>
      </c>
      <c r="R1387">
        <v>-6.632441E-2</v>
      </c>
      <c r="S1387">
        <v>-3.0028990000000002</v>
      </c>
      <c r="T1387">
        <v>-0.1929862</v>
      </c>
      <c r="U1387">
        <v>-3.1921390000000001E-2</v>
      </c>
      <c r="V1387">
        <v>-7.9685590000000001E-2</v>
      </c>
      <c r="W1387">
        <v>-0.10323</v>
      </c>
      <c r="X1387">
        <v>0.99146040000000002</v>
      </c>
      <c r="Y1387">
        <v>-2.3830629999999998E-2</v>
      </c>
      <c r="Z1387">
        <v>-1.5970310000000001E-3</v>
      </c>
      <c r="AA1387">
        <v>0.99971469999999996</v>
      </c>
      <c r="AB1387">
        <v>43</v>
      </c>
      <c r="AC1387">
        <v>-16.608699999999999</v>
      </c>
      <c r="AD1387">
        <v>-1.107930176</v>
      </c>
      <c r="AE1387">
        <v>-0.192000000000007</v>
      </c>
      <c r="AF1387">
        <v>-0.410710858356367</v>
      </c>
      <c r="AG1387">
        <v>-1.107930176</v>
      </c>
      <c r="AH1387">
        <v>16.531133230369001</v>
      </c>
      <c r="AI1387">
        <v>93.833097015071701</v>
      </c>
      <c r="AJ1387">
        <v>91.423203023814906</v>
      </c>
      <c r="AK1387">
        <v>16.5733086185068</v>
      </c>
      <c r="AL1387">
        <v>95.925198995023194</v>
      </c>
      <c r="AM1387">
        <v>94.595095372720706</v>
      </c>
      <c r="AN1387">
        <v>0.99999997546090302</v>
      </c>
    </row>
    <row r="1388" spans="1:40" x14ac:dyDescent="0.25">
      <c r="A1388" t="str">
        <f>"20190305135608901"</f>
        <v>20190305135608901</v>
      </c>
      <c r="B1388" t="str">
        <f>"1551765368893489"</f>
        <v>1551765368893489</v>
      </c>
      <c r="C1388" t="s">
        <v>40</v>
      </c>
      <c r="D1388">
        <v>4.0334560000000002</v>
      </c>
      <c r="E1388">
        <v>0.52181699999999998</v>
      </c>
      <c r="F1388" t="s">
        <v>61</v>
      </c>
      <c r="G1388">
        <v>-308.09469999999999</v>
      </c>
      <c r="H1388" s="1">
        <v>2.6601900000000001E-6</v>
      </c>
      <c r="I1388">
        <v>283.11270000000002</v>
      </c>
      <c r="J1388">
        <v>-290.97789999999998</v>
      </c>
      <c r="K1388">
        <v>1.1078650000000001</v>
      </c>
      <c r="L1388">
        <v>283.3141</v>
      </c>
      <c r="M1388">
        <v>-0.99978940000000005</v>
      </c>
      <c r="N1388">
        <v>-1.502234E-2</v>
      </c>
      <c r="O1388">
        <v>1.3991129999999999E-2</v>
      </c>
      <c r="P1388">
        <v>-0.9907646</v>
      </c>
      <c r="Q1388">
        <v>-0.1186648</v>
      </c>
      <c r="R1388">
        <v>-6.5610119999999994E-2</v>
      </c>
      <c r="S1388">
        <v>-3.0031129999999999</v>
      </c>
      <c r="T1388">
        <v>-0.1897616</v>
      </c>
      <c r="U1388">
        <v>-3.3447270000000001E-2</v>
      </c>
      <c r="V1388">
        <v>-7.9680940000000006E-2</v>
      </c>
      <c r="W1388">
        <v>-0.10361919999999999</v>
      </c>
      <c r="X1388">
        <v>0.99142019999999997</v>
      </c>
      <c r="Y1388">
        <v>-2.5049519999999999E-2</v>
      </c>
      <c r="Z1388">
        <v>-1.65214299999999E-3</v>
      </c>
      <c r="AA1388">
        <v>0.99968489999999999</v>
      </c>
      <c r="AB1388">
        <v>43</v>
      </c>
      <c r="AC1388">
        <v>-17.116800000000001</v>
      </c>
      <c r="AD1388">
        <v>-1.10786233980999</v>
      </c>
      <c r="AE1388">
        <v>-0.20139999999997801</v>
      </c>
      <c r="AF1388">
        <v>-0.43905165029846999</v>
      </c>
      <c r="AG1388">
        <v>-1.10786233980999</v>
      </c>
      <c r="AH1388">
        <v>17.040928874138199</v>
      </c>
      <c r="AI1388">
        <v>93.718439661929594</v>
      </c>
      <c r="AJ1388">
        <v>91.475872748196096</v>
      </c>
      <c r="AK1388">
        <v>17.082546127818201</v>
      </c>
      <c r="AL1388">
        <v>95.947618585822596</v>
      </c>
      <c r="AM1388">
        <v>94.595013889964093</v>
      </c>
      <c r="AN1388">
        <v>1.00000000188798</v>
      </c>
    </row>
    <row r="1389" spans="1:40" x14ac:dyDescent="0.25">
      <c r="A1389" t="str">
        <f>"20190305135608922"</f>
        <v>20190305135608922</v>
      </c>
      <c r="B1389" t="str">
        <f>"1551765368913009"</f>
        <v>1551765368913009</v>
      </c>
      <c r="C1389" t="s">
        <v>40</v>
      </c>
      <c r="D1389">
        <v>4.0744499999999997</v>
      </c>
      <c r="E1389">
        <v>0.52182439999999997</v>
      </c>
      <c r="F1389" t="s">
        <v>61</v>
      </c>
      <c r="G1389">
        <v>-308.65690000000001</v>
      </c>
      <c r="H1389" s="1">
        <v>2.5598940000000001E-6</v>
      </c>
      <c r="I1389">
        <v>283.11919999999998</v>
      </c>
      <c r="J1389">
        <v>-291.39420000000001</v>
      </c>
      <c r="K1389">
        <v>1.1078079999999999</v>
      </c>
      <c r="L1389">
        <v>283.32060000000001</v>
      </c>
      <c r="M1389">
        <v>-0.99978290000000003</v>
      </c>
      <c r="N1389">
        <v>-1.4774519999999999E-2</v>
      </c>
      <c r="O1389">
        <v>1.4699129999999999E-2</v>
      </c>
      <c r="P1389">
        <v>-0.9908072</v>
      </c>
      <c r="Q1389">
        <v>-0.1185914</v>
      </c>
      <c r="R1389">
        <v>-6.5094479999999996E-2</v>
      </c>
      <c r="S1389">
        <v>-3.0032350000000001</v>
      </c>
      <c r="T1389">
        <v>-0.18819900000000001</v>
      </c>
      <c r="U1389">
        <v>-3.311157E-2</v>
      </c>
      <c r="V1389">
        <v>-7.9869079999999995E-2</v>
      </c>
      <c r="W1389">
        <v>-0.1037898</v>
      </c>
      <c r="X1389">
        <v>0.99138720000000002</v>
      </c>
      <c r="Y1389">
        <v>-2.564427E-2</v>
      </c>
      <c r="Z1389">
        <v>-1.6955539999999999E-3</v>
      </c>
      <c r="AA1389">
        <v>0.99966969999999999</v>
      </c>
      <c r="AB1389">
        <v>43</v>
      </c>
      <c r="AC1389">
        <v>-17.262699999999899</v>
      </c>
      <c r="AD1389">
        <v>-1.10780544010599</v>
      </c>
      <c r="AE1389">
        <v>-0.201400000000035</v>
      </c>
      <c r="AF1389">
        <v>-0.45328610414201898</v>
      </c>
      <c r="AG1389">
        <v>-1.10780544010599</v>
      </c>
      <c r="AH1389">
        <v>17.187103198266399</v>
      </c>
      <c r="AI1389">
        <v>93.686655189887404</v>
      </c>
      <c r="AJ1389">
        <v>91.510746824128503</v>
      </c>
      <c r="AK1389">
        <v>17.2287323251944</v>
      </c>
      <c r="AL1389">
        <v>95.957446327447997</v>
      </c>
      <c r="AM1389">
        <v>94.605969512328898</v>
      </c>
      <c r="AN1389">
        <v>0.99999998642396304</v>
      </c>
    </row>
    <row r="1390" spans="1:40" x14ac:dyDescent="0.25">
      <c r="A1390" t="str">
        <f>"20190305135608945"</f>
        <v>20190305135608945</v>
      </c>
      <c r="B1390" t="str">
        <f>"1551765368933523"</f>
        <v>1551765368933523</v>
      </c>
      <c r="C1390" t="s">
        <v>40</v>
      </c>
      <c r="D1390">
        <v>4.0302699999999998</v>
      </c>
      <c r="E1390">
        <v>0.522289</v>
      </c>
      <c r="F1390" t="s">
        <v>61</v>
      </c>
      <c r="G1390">
        <v>-309.4357</v>
      </c>
      <c r="H1390" s="1">
        <v>2.4207430000000001E-6</v>
      </c>
      <c r="I1390">
        <v>283.13060000000002</v>
      </c>
      <c r="J1390">
        <v>-291.81810000000002</v>
      </c>
      <c r="K1390">
        <v>1.107764</v>
      </c>
      <c r="L1390">
        <v>283.32749999999999</v>
      </c>
      <c r="M1390">
        <v>-0.99977609999999995</v>
      </c>
      <c r="N1390">
        <v>-1.450427E-2</v>
      </c>
      <c r="O1390">
        <v>1.541855E-2</v>
      </c>
      <c r="P1390">
        <v>-0.99078489999999997</v>
      </c>
      <c r="Q1390">
        <v>-0.11887200000000001</v>
      </c>
      <c r="R1390">
        <v>-6.4924330000000002E-2</v>
      </c>
      <c r="S1390">
        <v>-3.0036619999999998</v>
      </c>
      <c r="T1390">
        <v>-0.18443380000000001</v>
      </c>
      <c r="U1390">
        <v>-3.1616209999999999E-2</v>
      </c>
      <c r="V1390">
        <v>-8.0411369999999996E-2</v>
      </c>
      <c r="W1390">
        <v>-0.10433870000000001</v>
      </c>
      <c r="X1390">
        <v>0.99128570000000005</v>
      </c>
      <c r="Y1390">
        <v>-2.5866190000000001E-2</v>
      </c>
      <c r="Z1390">
        <v>-1.7035170000000001E-3</v>
      </c>
      <c r="AA1390">
        <v>0.99966390000000005</v>
      </c>
      <c r="AB1390">
        <v>43</v>
      </c>
      <c r="AC1390">
        <v>-17.6175999999999</v>
      </c>
      <c r="AD1390">
        <v>-1.1077615792569999</v>
      </c>
      <c r="AE1390">
        <v>-0.19689999999997099</v>
      </c>
      <c r="AF1390">
        <v>-0.46669803044505598</v>
      </c>
      <c r="AG1390">
        <v>-1.1077615792569999</v>
      </c>
      <c r="AH1390">
        <v>17.543118245101201</v>
      </c>
      <c r="AI1390">
        <v>93.611874876061506</v>
      </c>
      <c r="AJ1390">
        <v>91.523875157025401</v>
      </c>
      <c r="AK1390">
        <v>17.584252629261901</v>
      </c>
      <c r="AL1390">
        <v>95.989067910995104</v>
      </c>
      <c r="AM1390">
        <v>94.637579637108502</v>
      </c>
      <c r="AN1390">
        <v>0.99999994588372698</v>
      </c>
    </row>
    <row r="1391" spans="1:40" x14ac:dyDescent="0.25">
      <c r="A1391" t="str">
        <f>"20190305135608965"</f>
        <v>20190305135608965</v>
      </c>
      <c r="B1391" t="str">
        <f>"1551765368963761"</f>
        <v>1551765368963761</v>
      </c>
      <c r="C1391" t="s">
        <v>40</v>
      </c>
      <c r="D1391">
        <v>4.031701</v>
      </c>
      <c r="E1391">
        <v>0.52324729999999997</v>
      </c>
      <c r="F1391" t="s">
        <v>61</v>
      </c>
      <c r="G1391">
        <v>-310.19</v>
      </c>
      <c r="H1391" s="1">
        <v>2.4287269999999998E-6</v>
      </c>
      <c r="I1391">
        <v>283.15800000000002</v>
      </c>
      <c r="J1391">
        <v>-292.21249999999998</v>
      </c>
      <c r="K1391">
        <v>1.1077399999999999</v>
      </c>
      <c r="L1391">
        <v>283.33409999999998</v>
      </c>
      <c r="M1391">
        <v>-0.99976900000000002</v>
      </c>
      <c r="N1391">
        <v>-1.425746E-2</v>
      </c>
      <c r="O1391">
        <v>1.608385E-2</v>
      </c>
      <c r="P1391">
        <v>-0.99069649999999998</v>
      </c>
      <c r="Q1391">
        <v>-0.1195013</v>
      </c>
      <c r="R1391">
        <v>-6.5115469999999995E-2</v>
      </c>
      <c r="S1391">
        <v>-3.0043950000000001</v>
      </c>
      <c r="T1391">
        <v>-0.18115500000000001</v>
      </c>
      <c r="U1391">
        <v>-2.7709959999999999E-2</v>
      </c>
      <c r="V1391">
        <v>-8.1258410000000003E-2</v>
      </c>
      <c r="W1391">
        <v>-0.1052149</v>
      </c>
      <c r="X1391">
        <v>0.991124</v>
      </c>
      <c r="Y1391">
        <v>-2.5232649999999999E-2</v>
      </c>
      <c r="Z1391">
        <v>-1.67983E-3</v>
      </c>
      <c r="AA1391">
        <v>0.99968020000000002</v>
      </c>
      <c r="AB1391">
        <v>43</v>
      </c>
      <c r="AC1391">
        <v>-17.977499999999999</v>
      </c>
      <c r="AD1391">
        <v>-1.107737571273</v>
      </c>
      <c r="AE1391">
        <v>-0.17609999999996201</v>
      </c>
      <c r="AF1391">
        <v>-0.46349440320677698</v>
      </c>
      <c r="AG1391">
        <v>-1.107737571273</v>
      </c>
      <c r="AH1391">
        <v>17.904369033120101</v>
      </c>
      <c r="AI1391">
        <v>93.539176107272795</v>
      </c>
      <c r="AJ1391">
        <v>91.482897456624798</v>
      </c>
      <c r="AK1391">
        <v>17.944590830185099</v>
      </c>
      <c r="AL1391">
        <v>96.0395483458162</v>
      </c>
      <c r="AM1391">
        <v>94.686975824121404</v>
      </c>
      <c r="AN1391">
        <v>0.99999994387686697</v>
      </c>
    </row>
    <row r="1392" spans="1:40" x14ac:dyDescent="0.25">
      <c r="A1392" t="str">
        <f>"20190305135608989"</f>
        <v>20190305135608989</v>
      </c>
      <c r="B1392" t="str">
        <f>"1551765368983281"</f>
        <v>1551765368983281</v>
      </c>
      <c r="C1392" t="s">
        <v>40</v>
      </c>
      <c r="D1392">
        <v>4.0430970000000004</v>
      </c>
      <c r="E1392">
        <v>0.52365779999999995</v>
      </c>
      <c r="F1392" t="s">
        <v>61</v>
      </c>
      <c r="G1392">
        <v>-311.08730000000003</v>
      </c>
      <c r="H1392" s="1">
        <v>2.822767E-6</v>
      </c>
      <c r="I1392">
        <v>283.20240000000001</v>
      </c>
      <c r="J1392">
        <v>-292.661</v>
      </c>
      <c r="K1392">
        <v>1.1077360000000001</v>
      </c>
      <c r="L1392">
        <v>283.34190000000001</v>
      </c>
      <c r="M1392">
        <v>-0.99976069999999995</v>
      </c>
      <c r="N1392">
        <v>-1.3992610000000001E-2</v>
      </c>
      <c r="O1392">
        <v>1.6822989999999999E-2</v>
      </c>
      <c r="P1392">
        <v>-0.99073279999999997</v>
      </c>
      <c r="Q1392">
        <v>-0.11906750000000001</v>
      </c>
      <c r="R1392">
        <v>-6.5357860000000004E-2</v>
      </c>
      <c r="S1392">
        <v>-3.0055239999999999</v>
      </c>
      <c r="T1392">
        <v>-0.17638989999999999</v>
      </c>
      <c r="U1392">
        <v>-2.0965580000000001E-2</v>
      </c>
      <c r="V1392">
        <v>-8.2227259999999996E-2</v>
      </c>
      <c r="W1392">
        <v>-0.1050461</v>
      </c>
      <c r="X1392">
        <v>0.991062</v>
      </c>
      <c r="Y1392">
        <v>-2.373138E-2</v>
      </c>
      <c r="Z1392">
        <v>-1.613172E-3</v>
      </c>
      <c r="AA1392">
        <v>0.99971710000000003</v>
      </c>
      <c r="AB1392">
        <v>43</v>
      </c>
      <c r="AC1392">
        <v>-18.426300000000001</v>
      </c>
      <c r="AD1392">
        <v>-1.1077331772329999</v>
      </c>
      <c r="AE1392">
        <v>-0.13949999999999799</v>
      </c>
      <c r="AF1392">
        <v>-0.44787746695864</v>
      </c>
      <c r="AG1392">
        <v>-1.1077331772329999</v>
      </c>
      <c r="AH1392">
        <v>18.3550127120361</v>
      </c>
      <c r="AI1392">
        <v>93.452611709178797</v>
      </c>
      <c r="AJ1392">
        <v>91.397786962299406</v>
      </c>
      <c r="AK1392">
        <v>18.393861983726001</v>
      </c>
      <c r="AL1392">
        <v>96.029822906958103</v>
      </c>
      <c r="AM1392">
        <v>94.742900904593597</v>
      </c>
      <c r="AN1392">
        <v>0.99999994662815705</v>
      </c>
    </row>
    <row r="1393" spans="1:40" x14ac:dyDescent="0.25">
      <c r="A1393" t="str">
        <f>"20190305135609012"</f>
        <v>20190305135609012</v>
      </c>
      <c r="B1393" t="str">
        <f>"1551765369003777"</f>
        <v>1551765369003777</v>
      </c>
      <c r="C1393" t="s">
        <v>40</v>
      </c>
      <c r="D1393">
        <v>3.9993690000000002</v>
      </c>
      <c r="E1393">
        <v>0.52401830000000005</v>
      </c>
      <c r="F1393" t="s">
        <v>61</v>
      </c>
      <c r="G1393">
        <v>-312.06389999999999</v>
      </c>
      <c r="H1393" s="1">
        <v>3.2542480000000002E-6</v>
      </c>
      <c r="I1393">
        <v>283.22089999999997</v>
      </c>
      <c r="J1393">
        <v>-293.10419999999999</v>
      </c>
      <c r="K1393">
        <v>1.107748</v>
      </c>
      <c r="L1393">
        <v>283.34989999999999</v>
      </c>
      <c r="M1393">
        <v>-0.99975210000000003</v>
      </c>
      <c r="N1393">
        <v>-1.3753799999999899E-2</v>
      </c>
      <c r="O1393">
        <v>1.750751E-2</v>
      </c>
      <c r="P1393">
        <v>-0.99081520000000001</v>
      </c>
      <c r="Q1393">
        <v>-0.1182903</v>
      </c>
      <c r="R1393">
        <v>-6.5517720000000002E-2</v>
      </c>
      <c r="S1393">
        <v>-3.0062259999999998</v>
      </c>
      <c r="T1393">
        <v>-0.17162849999999999</v>
      </c>
      <c r="U1393">
        <v>-1.8737790000000001E-2</v>
      </c>
      <c r="V1393">
        <v>-8.3057549999999994E-2</v>
      </c>
      <c r="W1393">
        <v>-0.10451000000000001</v>
      </c>
      <c r="X1393">
        <v>0.99104950000000003</v>
      </c>
      <c r="Y1393">
        <v>-2.367646E-2</v>
      </c>
      <c r="Z1393">
        <v>-1.5963079999999901E-3</v>
      </c>
      <c r="AA1393">
        <v>0.99971840000000001</v>
      </c>
      <c r="AB1393">
        <v>43</v>
      </c>
      <c r="AC1393">
        <v>-18.959700000000002</v>
      </c>
      <c r="AD1393">
        <v>-1.107744745752</v>
      </c>
      <c r="AE1393">
        <v>-0.12900000000001899</v>
      </c>
      <c r="AF1393">
        <v>-0.45938068876112198</v>
      </c>
      <c r="AG1393">
        <v>-1.107744745752</v>
      </c>
      <c r="AH1393">
        <v>18.8900541735544</v>
      </c>
      <c r="AI1393">
        <v>93.355088303024303</v>
      </c>
      <c r="AJ1393">
        <v>91.393081651262406</v>
      </c>
      <c r="AK1393">
        <v>18.928081670332201</v>
      </c>
      <c r="AL1393">
        <v>95.998936282123907</v>
      </c>
      <c r="AM1393">
        <v>94.7906307189687</v>
      </c>
      <c r="AN1393">
        <v>1.0000000040811201</v>
      </c>
    </row>
    <row r="1394" spans="1:40" x14ac:dyDescent="0.25">
      <c r="A1394" t="str">
        <f>"20190305135609033"</f>
        <v>20190305135609033</v>
      </c>
      <c r="B1394" t="str">
        <f>"1551765369023297"</f>
        <v>1551765369023297</v>
      </c>
      <c r="C1394" t="s">
        <v>40</v>
      </c>
      <c r="D1394">
        <v>3.9719600000000002</v>
      </c>
      <c r="E1394">
        <v>0.54588400000000004</v>
      </c>
      <c r="F1394" t="s">
        <v>61</v>
      </c>
      <c r="G1394">
        <v>-313.05959999999999</v>
      </c>
      <c r="H1394" s="1">
        <v>3.6938729999999998E-6</v>
      </c>
      <c r="I1394">
        <v>283.24259999999998</v>
      </c>
      <c r="J1394">
        <v>-293.51650000000001</v>
      </c>
      <c r="K1394">
        <v>1.1077729999999999</v>
      </c>
      <c r="L1394">
        <v>283.35770000000002</v>
      </c>
      <c r="M1394">
        <v>-0.99974470000000004</v>
      </c>
      <c r="N1394">
        <v>-1.35487E-2</v>
      </c>
      <c r="O1394">
        <v>1.8083749999999999E-2</v>
      </c>
      <c r="P1394">
        <v>-0.99092100000000005</v>
      </c>
      <c r="Q1394">
        <v>-0.1174877</v>
      </c>
      <c r="R1394">
        <v>-6.5363989999999997E-2</v>
      </c>
      <c r="S1394">
        <v>-3.0068049999999999</v>
      </c>
      <c r="T1394">
        <v>-0.16691149999999999</v>
      </c>
      <c r="U1394">
        <v>-1.6174319999999999E-2</v>
      </c>
      <c r="V1394">
        <v>-8.3464440000000001E-2</v>
      </c>
      <c r="W1394">
        <v>-0.1039171</v>
      </c>
      <c r="X1394">
        <v>0.99107769999999995</v>
      </c>
      <c r="Y1394">
        <v>-2.340269E-2</v>
      </c>
      <c r="Z1394">
        <v>-1.565908E-3</v>
      </c>
      <c r="AA1394">
        <v>0.99972490000000003</v>
      </c>
      <c r="AB1394">
        <v>43</v>
      </c>
      <c r="AC1394">
        <v>-19.5430999999999</v>
      </c>
      <c r="AD1394">
        <v>-1.107769306127</v>
      </c>
      <c r="AE1394">
        <v>-0.11510000000004</v>
      </c>
      <c r="AF1394">
        <v>-0.46702563698921401</v>
      </c>
      <c r="AG1394">
        <v>-1.107769306127</v>
      </c>
      <c r="AH1394">
        <v>19.475250054351001</v>
      </c>
      <c r="AI1394">
        <v>93.254592556177698</v>
      </c>
      <c r="AJ1394">
        <v>91.373716400349196</v>
      </c>
      <c r="AK1394">
        <v>19.512319966131699</v>
      </c>
      <c r="AL1394">
        <v>95.964779402610105</v>
      </c>
      <c r="AM1394">
        <v>94.813853143438493</v>
      </c>
      <c r="AN1394">
        <v>1.0000000419271</v>
      </c>
    </row>
    <row r="1395" spans="1:40" x14ac:dyDescent="0.25">
      <c r="A1395" t="str">
        <f>"20190305135609056"</f>
        <v>20190305135609056</v>
      </c>
      <c r="B1395" t="str">
        <f>"1551765369053553"</f>
        <v>1551765369053553</v>
      </c>
      <c r="C1395" t="s">
        <v>40</v>
      </c>
      <c r="D1395">
        <v>3.9547539999999999</v>
      </c>
      <c r="E1395">
        <v>0.54862480000000002</v>
      </c>
      <c r="F1395" t="s">
        <v>64</v>
      </c>
      <c r="G1395">
        <v>-510.95389999999998</v>
      </c>
      <c r="H1395">
        <v>0.80609489999999995</v>
      </c>
      <c r="I1395">
        <v>294.04050000000001</v>
      </c>
      <c r="J1395">
        <v>-293.94349999999997</v>
      </c>
      <c r="K1395">
        <v>1.1078049999999999</v>
      </c>
      <c r="L1395">
        <v>283.36579999999998</v>
      </c>
      <c r="M1395">
        <v>-0.99973749999999995</v>
      </c>
      <c r="N1395">
        <v>-1.3352940000000001E-2</v>
      </c>
      <c r="O1395">
        <v>1.8618220000000001E-2</v>
      </c>
      <c r="P1395">
        <v>-0.99102840000000003</v>
      </c>
      <c r="Q1395">
        <v>-0.1168305</v>
      </c>
      <c r="R1395">
        <v>-6.4911070000000001E-2</v>
      </c>
      <c r="S1395">
        <v>-3.0368040000000001</v>
      </c>
      <c r="T1395">
        <v>-4.212141E-3</v>
      </c>
      <c r="U1395">
        <v>0.14920039999999901</v>
      </c>
      <c r="V1395">
        <v>-8.3529850000000003E-2</v>
      </c>
      <c r="W1395">
        <v>-0.1034625</v>
      </c>
      <c r="X1395">
        <v>0.99111970000000005</v>
      </c>
      <c r="Y1395">
        <v>3.0466610000000002E-2</v>
      </c>
      <c r="Z1395">
        <v>4.4736340000000002E-4</v>
      </c>
      <c r="AA1395">
        <v>0.99953570000000003</v>
      </c>
      <c r="AB1395">
        <v>43</v>
      </c>
      <c r="AC1395">
        <v>-217.0104</v>
      </c>
      <c r="AD1395">
        <v>-0.30171009999999898</v>
      </c>
      <c r="AE1395">
        <v>10.6747</v>
      </c>
      <c r="AF1395">
        <v>6.6321289917005704</v>
      </c>
      <c r="AG1395">
        <v>-0.30171009999999898</v>
      </c>
      <c r="AH1395">
        <v>217.17112086059001</v>
      </c>
      <c r="AI1395">
        <v>90.079562369583101</v>
      </c>
      <c r="AJ1395">
        <v>88.250803624017607</v>
      </c>
      <c r="AK1395">
        <v>217.272575121187</v>
      </c>
      <c r="AL1395">
        <v>95.938591877653295</v>
      </c>
      <c r="AM1395">
        <v>94.8174047569008</v>
      </c>
      <c r="AN1395">
        <v>0.99999999223768099</v>
      </c>
    </row>
    <row r="1396" spans="1:40" x14ac:dyDescent="0.25">
      <c r="A1396" t="str">
        <f>"20190305135609079"</f>
        <v>20190305135609079</v>
      </c>
      <c r="B1396" t="str">
        <f>"1551765369073073"</f>
        <v>1551765369073073</v>
      </c>
      <c r="C1396" t="s">
        <v>40</v>
      </c>
      <c r="D1396">
        <v>4.0107530000000002</v>
      </c>
      <c r="E1396">
        <v>0.54932559999999997</v>
      </c>
      <c r="F1396" t="s">
        <v>50</v>
      </c>
      <c r="G1396">
        <v>-476.41019999999997</v>
      </c>
      <c r="H1396">
        <v>2.4086650000000001</v>
      </c>
      <c r="I1396">
        <v>293.64789999999999</v>
      </c>
      <c r="J1396">
        <v>-294.3861</v>
      </c>
      <c r="K1396">
        <v>1.107847</v>
      </c>
      <c r="L1396">
        <v>283.37450000000001</v>
      </c>
      <c r="M1396">
        <v>-0.99973109999999998</v>
      </c>
      <c r="N1396">
        <v>-1.3165029999999999E-2</v>
      </c>
      <c r="O1396">
        <v>1.9091219999999999E-2</v>
      </c>
      <c r="P1396">
        <v>-0.99110810000000005</v>
      </c>
      <c r="Q1396">
        <v>-0.1166601</v>
      </c>
      <c r="R1396">
        <v>-6.3995469999999999E-2</v>
      </c>
      <c r="S1396">
        <v>-3.040924</v>
      </c>
      <c r="T1396">
        <v>2.167964E-2</v>
      </c>
      <c r="U1396">
        <v>0.17135619999999999</v>
      </c>
      <c r="V1396">
        <v>-8.3069290000000004E-2</v>
      </c>
      <c r="W1396">
        <v>-0.1034901</v>
      </c>
      <c r="X1396">
        <v>0.99115560000000003</v>
      </c>
      <c r="Y1396">
        <v>3.7192620000000003E-2</v>
      </c>
      <c r="Z1396">
        <v>4.9970850000000003E-4</v>
      </c>
      <c r="AA1396">
        <v>0.99930799999999997</v>
      </c>
      <c r="AB1396">
        <v>43</v>
      </c>
      <c r="AC1396">
        <v>-182.0241</v>
      </c>
      <c r="AD1396">
        <v>1.300818</v>
      </c>
      <c r="AE1396">
        <v>10.273399999999899</v>
      </c>
      <c r="AF1396">
        <v>6.7958181298816402</v>
      </c>
      <c r="AG1396">
        <v>1.300818</v>
      </c>
      <c r="AH1396">
        <v>182.17779389319901</v>
      </c>
      <c r="AI1396">
        <v>89.591177862756993</v>
      </c>
      <c r="AJ1396">
        <v>87.863673546474203</v>
      </c>
      <c r="AK1396">
        <v>182.30914365252301</v>
      </c>
      <c r="AL1396">
        <v>95.940181338675998</v>
      </c>
      <c r="AM1396">
        <v>94.790794205473901</v>
      </c>
      <c r="AN1396">
        <v>1.0000000655752299</v>
      </c>
    </row>
    <row r="1397" spans="1:40" x14ac:dyDescent="0.25">
      <c r="A1397" t="str">
        <f>"20190305135609100"</f>
        <v>20190305135609100</v>
      </c>
      <c r="B1397" t="str">
        <f>"1551765369093569"</f>
        <v>1551765369093569</v>
      </c>
      <c r="C1397" t="s">
        <v>40</v>
      </c>
      <c r="D1397">
        <v>3.9830719999999999</v>
      </c>
      <c r="E1397">
        <v>0.54937860000000005</v>
      </c>
      <c r="F1397" t="s">
        <v>64</v>
      </c>
      <c r="G1397">
        <v>-510.9545</v>
      </c>
      <c r="H1397">
        <v>2.5495380000000001</v>
      </c>
      <c r="I1397">
        <v>296.18889999999999</v>
      </c>
      <c r="J1397">
        <v>-294.79950000000002</v>
      </c>
      <c r="K1397">
        <v>1.1079030000000001</v>
      </c>
      <c r="L1397">
        <v>283.38260000000002</v>
      </c>
      <c r="M1397">
        <v>-0.99972660000000002</v>
      </c>
      <c r="N1397">
        <v>-1.3000299999999999E-2</v>
      </c>
      <c r="O1397">
        <v>1.9442000000000001E-2</v>
      </c>
      <c r="P1397">
        <v>-0.99120909999999995</v>
      </c>
      <c r="Q1397">
        <v>-0.1164009</v>
      </c>
      <c r="R1397">
        <v>-6.2892610000000002E-2</v>
      </c>
      <c r="S1397">
        <v>-3.0408940000000002</v>
      </c>
      <c r="T1397">
        <v>2.0244359999999999E-2</v>
      </c>
      <c r="U1397">
        <v>0.1799316</v>
      </c>
      <c r="V1397">
        <v>-8.2299609999999995E-2</v>
      </c>
      <c r="W1397">
        <v>-0.10340770000000001</v>
      </c>
      <c r="X1397">
        <v>0.99122829999999995</v>
      </c>
      <c r="Y1397">
        <v>3.9651060000000002E-2</v>
      </c>
      <c r="Z1397">
        <v>5.0797709999999999E-4</v>
      </c>
      <c r="AA1397">
        <v>0.99921349999999998</v>
      </c>
      <c r="AB1397">
        <v>43</v>
      </c>
      <c r="AC1397">
        <v>-216.155</v>
      </c>
      <c r="AD1397">
        <v>1.441635</v>
      </c>
      <c r="AE1397">
        <v>12.806299999999901</v>
      </c>
      <c r="AF1397">
        <v>8.6006576890015296</v>
      </c>
      <c r="AG1397">
        <v>1.441635</v>
      </c>
      <c r="AH1397">
        <v>216.353547891901</v>
      </c>
      <c r="AI1397">
        <v>89.618526277148106</v>
      </c>
      <c r="AJ1397">
        <v>87.723531418834099</v>
      </c>
      <c r="AK1397">
        <v>216.52922968867199</v>
      </c>
      <c r="AL1397">
        <v>95.935435326013305</v>
      </c>
      <c r="AM1397">
        <v>94.746262235668695</v>
      </c>
      <c r="AN1397">
        <v>0.99999996047316497</v>
      </c>
    </row>
    <row r="1398" spans="1:40" x14ac:dyDescent="0.25">
      <c r="A1398" t="str">
        <f>"20190305135609123"</f>
        <v>20190305135609123</v>
      </c>
      <c r="B1398" t="str">
        <f>"1551765369113089"</f>
        <v>1551765369113089</v>
      </c>
      <c r="C1398" t="s">
        <v>40</v>
      </c>
      <c r="D1398">
        <v>4.0112199999999998</v>
      </c>
      <c r="E1398">
        <v>0.54954119999999995</v>
      </c>
      <c r="F1398" t="s">
        <v>64</v>
      </c>
      <c r="G1398">
        <v>-510.95440000000002</v>
      </c>
      <c r="H1398">
        <v>2.355137</v>
      </c>
      <c r="I1398">
        <v>296.48090000000002</v>
      </c>
      <c r="J1398">
        <v>-295.23790000000002</v>
      </c>
      <c r="K1398">
        <v>1.107982</v>
      </c>
      <c r="L1398">
        <v>283.39139999999998</v>
      </c>
      <c r="M1398">
        <v>-0.99972329999999998</v>
      </c>
      <c r="N1398">
        <v>-1.28369E-2</v>
      </c>
      <c r="O1398">
        <v>1.9715179999999999E-2</v>
      </c>
      <c r="P1398">
        <v>-0.9913073</v>
      </c>
      <c r="Q1398">
        <v>-0.1162673</v>
      </c>
      <c r="R1398">
        <v>-6.158102E-2</v>
      </c>
      <c r="S1398">
        <v>-3.0403440000000002</v>
      </c>
      <c r="T1398">
        <v>1.7544270000000001E-2</v>
      </c>
      <c r="U1398">
        <v>0.1842346</v>
      </c>
      <c r="V1398">
        <v>-8.123901E-2</v>
      </c>
      <c r="W1398">
        <v>-0.10345269999999999</v>
      </c>
      <c r="X1398">
        <v>0.9913111</v>
      </c>
      <c r="Y1398">
        <v>4.0797460000000001E-2</v>
      </c>
      <c r="Z1398">
        <v>5.1104480000000005E-4</v>
      </c>
      <c r="AA1398">
        <v>0.99916729999999998</v>
      </c>
      <c r="AB1398">
        <v>43</v>
      </c>
      <c r="AC1398">
        <v>-215.7165</v>
      </c>
      <c r="AD1398">
        <v>1.247155</v>
      </c>
      <c r="AE1398">
        <v>13.089499999999999</v>
      </c>
      <c r="AF1398">
        <v>8.8334215328931194</v>
      </c>
      <c r="AG1398">
        <v>1.247155</v>
      </c>
      <c r="AH1398">
        <v>215.92545799586301</v>
      </c>
      <c r="AI1398">
        <v>89.669347903093694</v>
      </c>
      <c r="AJ1398">
        <v>87.657359557870706</v>
      </c>
      <c r="AK1398">
        <v>216.109666933932</v>
      </c>
      <c r="AL1398">
        <v>95.938027497495796</v>
      </c>
      <c r="AM1398">
        <v>94.684981345840995</v>
      </c>
      <c r="AN1398">
        <v>0.99999996743313901</v>
      </c>
    </row>
    <row r="1399" spans="1:40" x14ac:dyDescent="0.25">
      <c r="A1399" t="str">
        <f>"20190305135609145"</f>
        <v>20190305135609145</v>
      </c>
      <c r="B1399" t="str">
        <f>"1551765369143345"</f>
        <v>1551765369143345</v>
      </c>
      <c r="C1399" t="s">
        <v>40</v>
      </c>
      <c r="D1399">
        <v>3.9900530000000001</v>
      </c>
      <c r="E1399">
        <v>0.54910819999999905</v>
      </c>
      <c r="F1399" t="s">
        <v>64</v>
      </c>
      <c r="G1399">
        <v>-510.9545</v>
      </c>
      <c r="H1399">
        <v>2.5807419999999999</v>
      </c>
      <c r="I1399">
        <v>296.82850000000002</v>
      </c>
      <c r="J1399">
        <v>-295.65100000000001</v>
      </c>
      <c r="K1399">
        <v>1.1080490000000001</v>
      </c>
      <c r="L1399">
        <v>283.3997</v>
      </c>
      <c r="M1399">
        <v>-0.99972179999999999</v>
      </c>
      <c r="N1399">
        <v>-1.269403E-2</v>
      </c>
      <c r="O1399">
        <v>1.9888309999999999E-2</v>
      </c>
      <c r="P1399">
        <v>-0.99140930000000005</v>
      </c>
      <c r="Q1399">
        <v>-0.1160144</v>
      </c>
      <c r="R1399">
        <v>-6.0403430000000001E-2</v>
      </c>
      <c r="S1399">
        <v>-3.0404659999999999</v>
      </c>
      <c r="T1399">
        <v>2.0759340000000001E-2</v>
      </c>
      <c r="U1399">
        <v>0.18939210000000001</v>
      </c>
      <c r="V1399">
        <v>-8.0213999999999994E-2</v>
      </c>
      <c r="W1399">
        <v>-0.1033574</v>
      </c>
      <c r="X1399">
        <v>0.99140450000000002</v>
      </c>
      <c r="Y1399">
        <v>4.2310880000000002E-2</v>
      </c>
      <c r="Z1399">
        <v>5.1241679999999997E-4</v>
      </c>
      <c r="AA1399">
        <v>0.9991044</v>
      </c>
      <c r="AB1399">
        <v>43</v>
      </c>
      <c r="AC1399">
        <v>-215.30350000000001</v>
      </c>
      <c r="AD1399">
        <v>1.47269299999999</v>
      </c>
      <c r="AE1399">
        <v>13.428800000000001</v>
      </c>
      <c r="AF1399">
        <v>9.1433503138010401</v>
      </c>
      <c r="AG1399">
        <v>1.47269299999999</v>
      </c>
      <c r="AH1399">
        <v>215.51796115545</v>
      </c>
      <c r="AI1399">
        <v>89.608840259013206</v>
      </c>
      <c r="AJ1399">
        <v>87.570683133164593</v>
      </c>
      <c r="AK1399">
        <v>215.716854372196</v>
      </c>
      <c r="AL1399">
        <v>95.932537823579807</v>
      </c>
      <c r="AM1399">
        <v>94.625694193604005</v>
      </c>
      <c r="AN1399">
        <v>0.99999996027550397</v>
      </c>
    </row>
    <row r="1400" spans="1:40" x14ac:dyDescent="0.25">
      <c r="A1400" t="str">
        <f>"20190305135609166"</f>
        <v>20190305135609166</v>
      </c>
      <c r="B1400" t="str">
        <f>"1551765369162865"</f>
        <v>1551765369162865</v>
      </c>
      <c r="C1400" t="s">
        <v>40</v>
      </c>
      <c r="D1400">
        <v>4.0100540000000002</v>
      </c>
      <c r="E1400">
        <v>0.54868930000000005</v>
      </c>
      <c r="F1400" t="s">
        <v>64</v>
      </c>
      <c r="G1400">
        <v>-510.9545</v>
      </c>
      <c r="H1400">
        <v>2.6187</v>
      </c>
      <c r="I1400">
        <v>296.8175</v>
      </c>
      <c r="J1400">
        <v>-296.06599999999997</v>
      </c>
      <c r="K1400">
        <v>1.10812</v>
      </c>
      <c r="L1400">
        <v>283.40800000000002</v>
      </c>
      <c r="M1400">
        <v>-0.99972130000000003</v>
      </c>
      <c r="N1400">
        <v>-1.256145E-2</v>
      </c>
      <c r="O1400">
        <v>1.9982199999999999E-2</v>
      </c>
      <c r="P1400">
        <v>-0.99145450000000002</v>
      </c>
      <c r="Q1400">
        <v>-0.1160931</v>
      </c>
      <c r="R1400">
        <v>-5.9500009999999999E-2</v>
      </c>
      <c r="S1400">
        <v>-3.0399780000000001</v>
      </c>
      <c r="T1400">
        <v>2.1330829999999999E-2</v>
      </c>
      <c r="U1400">
        <v>0.18945310000000001</v>
      </c>
      <c r="V1400">
        <v>-7.9384339999999998E-2</v>
      </c>
      <c r="W1400">
        <v>-0.1035837</v>
      </c>
      <c r="X1400">
        <v>0.99144770000000004</v>
      </c>
      <c r="Y1400">
        <v>4.2247029999999998E-2</v>
      </c>
      <c r="Z1400">
        <v>5.0839289999999996E-4</v>
      </c>
      <c r="AA1400">
        <v>0.99910710000000003</v>
      </c>
      <c r="AB1400">
        <v>43</v>
      </c>
      <c r="AC1400">
        <v>-214.88849999999999</v>
      </c>
      <c r="AD1400">
        <v>1.51058</v>
      </c>
      <c r="AE1400">
        <v>13.4094999999999</v>
      </c>
      <c r="AF1400">
        <v>9.1120893318419895</v>
      </c>
      <c r="AG1400">
        <v>1.51058</v>
      </c>
      <c r="AH1400">
        <v>215.10297204728801</v>
      </c>
      <c r="AI1400">
        <v>89.598002359371904</v>
      </c>
      <c r="AJ1400">
        <v>87.574313832312995</v>
      </c>
      <c r="AK1400">
        <v>215.301185801435</v>
      </c>
      <c r="AL1400">
        <v>95.945573597963403</v>
      </c>
      <c r="AM1400">
        <v>94.577856058557003</v>
      </c>
      <c r="AN1400">
        <v>0.99999999908910697</v>
      </c>
    </row>
    <row r="1401" spans="1:40" x14ac:dyDescent="0.25">
      <c r="A1401" t="str">
        <f>"20190305135609191"</f>
        <v>20190305135609191</v>
      </c>
      <c r="B1401" t="str">
        <f>"1551765369183361"</f>
        <v>1551765369183361</v>
      </c>
      <c r="C1401" t="s">
        <v>40</v>
      </c>
      <c r="D1401">
        <v>4.0582250000000002</v>
      </c>
      <c r="E1401">
        <v>0.54835019999999901</v>
      </c>
      <c r="F1401" t="s">
        <v>64</v>
      </c>
      <c r="G1401">
        <v>-510.95440000000002</v>
      </c>
      <c r="H1401">
        <v>2.519987</v>
      </c>
      <c r="I1401">
        <v>296.7439</v>
      </c>
      <c r="J1401">
        <v>-296.5147</v>
      </c>
      <c r="K1401">
        <v>1.1082019999999999</v>
      </c>
      <c r="L1401">
        <v>283.41699999999997</v>
      </c>
      <c r="M1401">
        <v>-0.99972280000000002</v>
      </c>
      <c r="N1401">
        <v>-1.2428989999999999E-2</v>
      </c>
      <c r="O1401">
        <v>1.9994040000000001E-2</v>
      </c>
      <c r="P1401">
        <v>-0.99147269999999998</v>
      </c>
      <c r="Q1401">
        <v>-0.1163631</v>
      </c>
      <c r="R1401">
        <v>-5.8665109999999999E-2</v>
      </c>
      <c r="S1401">
        <v>-3.0394899999999998</v>
      </c>
      <c r="T1401">
        <v>1.9971369999999999E-2</v>
      </c>
      <c r="U1401">
        <v>0.1886292</v>
      </c>
      <c r="V1401">
        <v>-7.8538860000000002E-2</v>
      </c>
      <c r="W1401">
        <v>-0.1040025</v>
      </c>
      <c r="X1401">
        <v>0.9914712</v>
      </c>
      <c r="Y1401">
        <v>4.1975150000000003E-2</v>
      </c>
      <c r="Z1401">
        <v>5.028837E-4</v>
      </c>
      <c r="AA1401">
        <v>0.99911850000000002</v>
      </c>
      <c r="AB1401">
        <v>43</v>
      </c>
      <c r="AC1401">
        <v>-214.43969999999999</v>
      </c>
      <c r="AD1401">
        <v>1.4117849999999901</v>
      </c>
      <c r="AE1401">
        <v>13.326899999999901</v>
      </c>
      <c r="AF1401">
        <v>9.0359980624833405</v>
      </c>
      <c r="AG1401">
        <v>1.4117849999999901</v>
      </c>
      <c r="AH1401">
        <v>214.65403775168201</v>
      </c>
      <c r="AI1401">
        <v>89.623503078943799</v>
      </c>
      <c r="AJ1401">
        <v>87.589520920026402</v>
      </c>
      <c r="AK1401">
        <v>214.84878012446799</v>
      </c>
      <c r="AL1401">
        <v>95.969699331821104</v>
      </c>
      <c r="AM1401">
        <v>94.529196815941205</v>
      </c>
      <c r="AN1401">
        <v>1.00000000648289</v>
      </c>
    </row>
    <row r="1402" spans="1:40" x14ac:dyDescent="0.25">
      <c r="A1402" t="str">
        <f>"20190305135609212"</f>
        <v>20190305135609212</v>
      </c>
      <c r="B1402" t="str">
        <f>"1551765369203860"</f>
        <v>1551765369203860</v>
      </c>
      <c r="C1402" t="s">
        <v>40</v>
      </c>
      <c r="D1402">
        <v>4.0755540000000003</v>
      </c>
      <c r="E1402">
        <v>0.54810979999999998</v>
      </c>
      <c r="F1402" t="s">
        <v>64</v>
      </c>
      <c r="G1402">
        <v>-510.95429999999999</v>
      </c>
      <c r="H1402">
        <v>2.241155</v>
      </c>
      <c r="I1402">
        <v>296.71699999999998</v>
      </c>
      <c r="J1402">
        <v>-296.94729999999998</v>
      </c>
      <c r="K1402">
        <v>1.108277</v>
      </c>
      <c r="L1402">
        <v>283.42559999999997</v>
      </c>
      <c r="M1402">
        <v>-0.999726</v>
      </c>
      <c r="N1402">
        <v>-1.230882E-2</v>
      </c>
      <c r="O1402">
        <v>1.9919470000000002E-2</v>
      </c>
      <c r="P1402">
        <v>-0.99143879999999995</v>
      </c>
      <c r="Q1402">
        <v>-0.1168145</v>
      </c>
      <c r="R1402">
        <v>-5.8344920000000002E-2</v>
      </c>
      <c r="S1402">
        <v>-3.0388489999999999</v>
      </c>
      <c r="T1402">
        <v>1.6056419999999998E-2</v>
      </c>
      <c r="U1402">
        <v>0.18847659999999999</v>
      </c>
      <c r="V1402">
        <v>-7.8123200000000004E-2</v>
      </c>
      <c r="W1402">
        <v>-0.1045894</v>
      </c>
      <c r="X1402">
        <v>0.9914423</v>
      </c>
      <c r="Y1402">
        <v>4.2012199999999902E-2</v>
      </c>
      <c r="Z1402">
        <v>4.9806169999999997E-4</v>
      </c>
      <c r="AA1402">
        <v>0.99911700000000003</v>
      </c>
      <c r="AB1402">
        <v>43</v>
      </c>
      <c r="AC1402">
        <v>-214.00700000000001</v>
      </c>
      <c r="AD1402">
        <v>1.1328780000000001</v>
      </c>
      <c r="AE1402">
        <v>13.291399999999999</v>
      </c>
      <c r="AF1402">
        <v>9.0252822827105508</v>
      </c>
      <c r="AG1402">
        <v>1.1328780000000001</v>
      </c>
      <c r="AH1402">
        <v>214.22332955359201</v>
      </c>
      <c r="AI1402">
        <v>89.697273887690898</v>
      </c>
      <c r="AJ1402">
        <v>87.587541187194802</v>
      </c>
      <c r="AK1402">
        <v>214.41635678714599</v>
      </c>
      <c r="AL1402">
        <v>96.003510626848495</v>
      </c>
      <c r="AM1402">
        <v>94.505456174071796</v>
      </c>
      <c r="AN1402">
        <v>1.0000000055999401</v>
      </c>
    </row>
    <row r="1403" spans="1:40" x14ac:dyDescent="0.25">
      <c r="A1403" t="str">
        <f>"20190305135609234"</f>
        <v>20190305135609234</v>
      </c>
      <c r="B1403" t="str">
        <f>"1551765369223377"</f>
        <v>1551765369223377</v>
      </c>
      <c r="C1403" t="s">
        <v>40</v>
      </c>
      <c r="D1403">
        <v>4.046513</v>
      </c>
      <c r="E1403">
        <v>0.54805109999999901</v>
      </c>
      <c r="F1403" t="s">
        <v>64</v>
      </c>
      <c r="G1403">
        <v>-510.95429999999999</v>
      </c>
      <c r="H1403">
        <v>1.9674560000000001</v>
      </c>
      <c r="I1403">
        <v>296.62779999999998</v>
      </c>
      <c r="J1403">
        <v>-297.36099999999999</v>
      </c>
      <c r="K1403">
        <v>1.1083400000000001</v>
      </c>
      <c r="L1403">
        <v>283.43380000000002</v>
      </c>
      <c r="M1403">
        <v>-0.99972969999999906</v>
      </c>
      <c r="N1403">
        <v>-1.220189E-2</v>
      </c>
      <c r="O1403">
        <v>1.979504E-2</v>
      </c>
      <c r="P1403">
        <v>-0.99138230000000005</v>
      </c>
      <c r="Q1403">
        <v>-0.1175151</v>
      </c>
      <c r="R1403">
        <v>-5.7892979999999997E-2</v>
      </c>
      <c r="S1403">
        <v>-3.0383610000000001</v>
      </c>
      <c r="T1403">
        <v>1.2199399999999999E-2</v>
      </c>
      <c r="U1403">
        <v>0.18743899999999999</v>
      </c>
      <c r="V1403">
        <v>-7.7528780000000005E-2</v>
      </c>
      <c r="W1403">
        <v>-0.1054103</v>
      </c>
      <c r="X1403">
        <v>0.99140200000000001</v>
      </c>
      <c r="Y1403">
        <v>4.1806030000000001E-2</v>
      </c>
      <c r="Z1403">
        <v>4.9220679999999997E-4</v>
      </c>
      <c r="AA1403">
        <v>0.99912559999999995</v>
      </c>
      <c r="AB1403">
        <v>43</v>
      </c>
      <c r="AC1403">
        <v>-213.5933</v>
      </c>
      <c r="AD1403">
        <v>0.85911599999999999</v>
      </c>
      <c r="AE1403">
        <v>13.1939999999999</v>
      </c>
      <c r="AF1403">
        <v>8.9628676433120908</v>
      </c>
      <c r="AG1403">
        <v>0.85911599999999999</v>
      </c>
      <c r="AH1403">
        <v>213.80919138236499</v>
      </c>
      <c r="AI1403">
        <v>89.769980591841701</v>
      </c>
      <c r="AJ1403">
        <v>87.599570001633495</v>
      </c>
      <c r="AK1403">
        <v>213.99869484712701</v>
      </c>
      <c r="AL1403">
        <v>96.050806301021794</v>
      </c>
      <c r="AM1403">
        <v>94.471495841149704</v>
      </c>
      <c r="AN1403">
        <v>0.99999998433918902</v>
      </c>
    </row>
    <row r="1404" spans="1:40" x14ac:dyDescent="0.25">
      <c r="A1404" t="str">
        <f>"20190305135609268"</f>
        <v>20190305135609268</v>
      </c>
      <c r="B1404" t="str">
        <f>"1551765369263393"</f>
        <v>1551765369263393</v>
      </c>
      <c r="C1404" t="s">
        <v>40</v>
      </c>
      <c r="D1404">
        <v>4.1447849999999997</v>
      </c>
      <c r="E1404">
        <v>0.54788680000000001</v>
      </c>
      <c r="F1404" t="s">
        <v>64</v>
      </c>
      <c r="G1404">
        <v>-510.95420000000001</v>
      </c>
      <c r="H1404">
        <v>1.79090999999999</v>
      </c>
      <c r="I1404">
        <v>296.62419999999997</v>
      </c>
      <c r="J1404">
        <v>-298.01080000000002</v>
      </c>
      <c r="K1404">
        <v>1.1084229999999999</v>
      </c>
      <c r="L1404">
        <v>283.44639999999998</v>
      </c>
      <c r="M1404">
        <v>-0.99973659999999998</v>
      </c>
      <c r="N1404">
        <v>-1.205288E-2</v>
      </c>
      <c r="O1404">
        <v>1.9529230000000002E-2</v>
      </c>
      <c r="P1404">
        <v>-0.99138740000000003</v>
      </c>
      <c r="Q1404">
        <v>-0.1166788</v>
      </c>
      <c r="R1404">
        <v>-5.947268E-2</v>
      </c>
      <c r="S1404">
        <v>-3.0381770000000001</v>
      </c>
      <c r="T1404">
        <v>9.7101930000000006E-3</v>
      </c>
      <c r="U1404">
        <v>0.18762210000000001</v>
      </c>
      <c r="V1404">
        <v>-7.8820669999999995E-2</v>
      </c>
      <c r="W1404">
        <v>-0.10473970000000001</v>
      </c>
      <c r="X1404">
        <v>0.99137120000000001</v>
      </c>
      <c r="Y1404">
        <v>4.2134980000000002E-2</v>
      </c>
      <c r="Z1404">
        <v>4.844607E-4</v>
      </c>
      <c r="AA1404">
        <v>0.99911179999999999</v>
      </c>
      <c r="AB1404">
        <v>43</v>
      </c>
      <c r="AC1404">
        <v>-212.9434</v>
      </c>
      <c r="AD1404">
        <v>0.68248699999999896</v>
      </c>
      <c r="AE1404">
        <v>13.1777999999999</v>
      </c>
      <c r="AF1404">
        <v>9.01627131097408</v>
      </c>
      <c r="AG1404">
        <v>0.68248699999999896</v>
      </c>
      <c r="AH1404">
        <v>213.15797265252701</v>
      </c>
      <c r="AI1404">
        <v>89.816715479401097</v>
      </c>
      <c r="AJ1404">
        <v>87.577915919032407</v>
      </c>
      <c r="AK1404">
        <v>213.34966660905201</v>
      </c>
      <c r="AL1404">
        <v>96.012169899544901</v>
      </c>
      <c r="AM1404">
        <v>94.545836892174805</v>
      </c>
      <c r="AN1404">
        <v>0.99999997948238895</v>
      </c>
    </row>
    <row r="1405" spans="1:40" x14ac:dyDescent="0.25">
      <c r="A1405" t="str">
        <f>"20190305135609292"</f>
        <v>20190305135609292</v>
      </c>
      <c r="B1405" t="str">
        <f>"1551765369283889"</f>
        <v>1551765369283889</v>
      </c>
      <c r="C1405" t="s">
        <v>40</v>
      </c>
      <c r="D1405">
        <v>4.1277470000000003</v>
      </c>
      <c r="E1405">
        <v>0.54794069999999995</v>
      </c>
      <c r="F1405" t="s">
        <v>64</v>
      </c>
      <c r="G1405">
        <v>-510.95429999999999</v>
      </c>
      <c r="H1405">
        <v>1.9060429999999999</v>
      </c>
      <c r="I1405">
        <v>296.14280000000002</v>
      </c>
      <c r="J1405">
        <v>-298.46960000000001</v>
      </c>
      <c r="K1405">
        <v>1.1084579999999999</v>
      </c>
      <c r="L1405">
        <v>283.45510000000002</v>
      </c>
      <c r="M1405">
        <v>-0.99974200000000002</v>
      </c>
      <c r="N1405">
        <v>-1.1963690000000001E-2</v>
      </c>
      <c r="O1405">
        <v>1.9306190000000001E-2</v>
      </c>
      <c r="P1405">
        <v>-0.99134230000000001</v>
      </c>
      <c r="Q1405">
        <v>-0.1165596</v>
      </c>
      <c r="R1405">
        <v>-6.0450219999999999E-2</v>
      </c>
      <c r="S1405">
        <v>-3.0382690000000001</v>
      </c>
      <c r="T1405">
        <v>1.138163E-2</v>
      </c>
      <c r="U1405">
        <v>0.18115229999999999</v>
      </c>
      <c r="V1405">
        <v>-7.9563930000000005E-2</v>
      </c>
      <c r="W1405">
        <v>-0.1047191</v>
      </c>
      <c r="X1405">
        <v>0.99131400000000003</v>
      </c>
      <c r="Y1405">
        <v>4.0236380000000002E-2</v>
      </c>
      <c r="Z1405">
        <v>4.6867270000000002E-4</v>
      </c>
      <c r="AA1405">
        <v>0.99919009999999997</v>
      </c>
      <c r="AB1405">
        <v>43</v>
      </c>
      <c r="AC1405">
        <v>-212.4847</v>
      </c>
      <c r="AD1405">
        <v>0.79758499999999999</v>
      </c>
      <c r="AE1405">
        <v>12.6877</v>
      </c>
      <c r="AF1405">
        <v>8.5826506541956302</v>
      </c>
      <c r="AG1405">
        <v>0.79758499999999999</v>
      </c>
      <c r="AH1405">
        <v>212.68707369338699</v>
      </c>
      <c r="AI1405">
        <v>89.785314275495693</v>
      </c>
      <c r="AJ1405">
        <v>87.689173159349906</v>
      </c>
      <c r="AK1405">
        <v>212.86166716987901</v>
      </c>
      <c r="AL1405">
        <v>96.010983090429704</v>
      </c>
      <c r="AM1405">
        <v>94.588784476088406</v>
      </c>
      <c r="AN1405">
        <v>0.99999997772892701</v>
      </c>
    </row>
    <row r="1406" spans="1:40" x14ac:dyDescent="0.25">
      <c r="A1406" t="str">
        <f>"20190305135609314"</f>
        <v>20190305135609314</v>
      </c>
      <c r="B1406" t="str">
        <f>"1551765369303412"</f>
        <v>1551765369303412</v>
      </c>
      <c r="C1406" t="s">
        <v>40</v>
      </c>
      <c r="D1406">
        <v>4.1912099999999999</v>
      </c>
      <c r="E1406">
        <v>0.54724890000000004</v>
      </c>
      <c r="F1406" t="s">
        <v>64</v>
      </c>
      <c r="G1406">
        <v>-510.95429999999999</v>
      </c>
      <c r="H1406">
        <v>1.908379</v>
      </c>
      <c r="I1406">
        <v>295.93579999999997</v>
      </c>
      <c r="J1406">
        <v>-298.88580000000002</v>
      </c>
      <c r="K1406">
        <v>1.1084879999999999</v>
      </c>
      <c r="L1406">
        <v>283.46300000000002</v>
      </c>
      <c r="M1406">
        <v>-0.99974680000000005</v>
      </c>
      <c r="N1406">
        <v>-1.189312E-2</v>
      </c>
      <c r="O1406">
        <v>1.9099930000000001E-2</v>
      </c>
      <c r="P1406">
        <v>-0.99131080000000005</v>
      </c>
      <c r="Q1406">
        <v>-0.1163223</v>
      </c>
      <c r="R1406">
        <v>-6.141746E-2</v>
      </c>
      <c r="S1406">
        <v>-3.0384220000000002</v>
      </c>
      <c r="T1406">
        <v>1.1439680000000001E-2</v>
      </c>
      <c r="U1406">
        <v>0.17846679999999901</v>
      </c>
      <c r="V1406">
        <v>-8.0318280000000006E-2</v>
      </c>
      <c r="W1406">
        <v>-0.1045585</v>
      </c>
      <c r="X1406">
        <v>0.99127010000000004</v>
      </c>
      <c r="Y1406">
        <v>3.9559450000000003E-2</v>
      </c>
      <c r="Z1406">
        <v>4.5989019999999998E-4</v>
      </c>
      <c r="AA1406">
        <v>0.99921709999999997</v>
      </c>
      <c r="AB1406">
        <v>43</v>
      </c>
      <c r="AC1406">
        <v>-212.0685</v>
      </c>
      <c r="AD1406">
        <v>0.79989100000000002</v>
      </c>
      <c r="AE1406">
        <v>12.472799999999999</v>
      </c>
      <c r="AF1406">
        <v>8.4196248481140596</v>
      </c>
      <c r="AG1406">
        <v>0.79989100000000002</v>
      </c>
      <c r="AH1406">
        <v>212.265045934314</v>
      </c>
      <c r="AI1406">
        <v>89.784259578133899</v>
      </c>
      <c r="AJ1406">
        <v>87.728518117068305</v>
      </c>
      <c r="AK1406">
        <v>212.43347107669101</v>
      </c>
      <c r="AL1406">
        <v>96.001730709818005</v>
      </c>
      <c r="AM1406">
        <v>94.632306800321899</v>
      </c>
      <c r="AN1406">
        <v>0.99999995858920798</v>
      </c>
    </row>
    <row r="1407" spans="1:40" x14ac:dyDescent="0.25">
      <c r="A1407" t="str">
        <f>"20190305135609335"</f>
        <v>20190305135609335</v>
      </c>
      <c r="B1407" t="str">
        <f>"1551765369322929"</f>
        <v>1551765369322929</v>
      </c>
      <c r="C1407" t="s">
        <v>40</v>
      </c>
      <c r="D1407">
        <v>4.1751139999999998</v>
      </c>
      <c r="E1407">
        <v>0.54682180000000002</v>
      </c>
      <c r="F1407" t="s">
        <v>64</v>
      </c>
      <c r="G1407">
        <v>-510.95420000000001</v>
      </c>
      <c r="H1407">
        <v>1.611585</v>
      </c>
      <c r="I1407">
        <v>295.34480000000002</v>
      </c>
      <c r="J1407">
        <v>-299.30059999999997</v>
      </c>
      <c r="K1407">
        <v>1.1085020000000001</v>
      </c>
      <c r="L1407">
        <v>283.47089999999997</v>
      </c>
      <c r="M1407">
        <v>-0.99975139999999996</v>
      </c>
      <c r="N1407">
        <v>-1.183147E-2</v>
      </c>
      <c r="O1407">
        <v>1.8901339999999999E-2</v>
      </c>
      <c r="P1407">
        <v>-0.99120490000000006</v>
      </c>
      <c r="Q1407">
        <v>-0.11680989999999999</v>
      </c>
      <c r="R1407">
        <v>-6.2198040000000003E-2</v>
      </c>
      <c r="S1407">
        <v>-3.0376889999999999</v>
      </c>
      <c r="T1407">
        <v>7.2076319999999899E-3</v>
      </c>
      <c r="U1407">
        <v>0.1701965</v>
      </c>
      <c r="V1407">
        <v>-8.0893960000000001E-2</v>
      </c>
      <c r="W1407">
        <v>-0.1051127</v>
      </c>
      <c r="X1407">
        <v>0.99116470000000001</v>
      </c>
      <c r="Y1407">
        <v>3.7059809999999999E-2</v>
      </c>
      <c r="Z1407">
        <v>4.4378799999999997E-4</v>
      </c>
      <c r="AA1407">
        <v>0.99931289999999995</v>
      </c>
      <c r="AB1407">
        <v>43</v>
      </c>
      <c r="AC1407">
        <v>-211.65360000000001</v>
      </c>
      <c r="AD1407">
        <v>0.50308299999999995</v>
      </c>
      <c r="AE1407">
        <v>11.873900000000001</v>
      </c>
      <c r="AF1407">
        <v>7.8709176682336102</v>
      </c>
      <c r="AG1407">
        <v>0.50308299999999995</v>
      </c>
      <c r="AH1407">
        <v>211.83903882074301</v>
      </c>
      <c r="AI1407">
        <v>89.864025993203995</v>
      </c>
      <c r="AJ1407">
        <v>87.872143799024698</v>
      </c>
      <c r="AK1407">
        <v>211.98580802954999</v>
      </c>
      <c r="AL1407">
        <v>96.033659801633704</v>
      </c>
      <c r="AM1407">
        <v>94.665856663661302</v>
      </c>
      <c r="AN1407">
        <v>0.99999998749593</v>
      </c>
    </row>
    <row r="1408" spans="1:40" x14ac:dyDescent="0.25">
      <c r="A1408" t="str">
        <f>"20190305135609357"</f>
        <v>20190305135609357</v>
      </c>
      <c r="B1408" t="str">
        <f>"1551765369353185"</f>
        <v>1551765369353185</v>
      </c>
      <c r="C1408" t="s">
        <v>40</v>
      </c>
      <c r="D1408">
        <v>4.3556530000000002</v>
      </c>
      <c r="E1408">
        <v>0.54742009999999997</v>
      </c>
      <c r="F1408" t="s">
        <v>64</v>
      </c>
      <c r="G1408">
        <v>-510.95409999999998</v>
      </c>
      <c r="H1408">
        <v>1.416936</v>
      </c>
      <c r="I1408">
        <v>294.93459999999999</v>
      </c>
      <c r="J1408">
        <v>-299.70499999999998</v>
      </c>
      <c r="K1408">
        <v>1.1085100000000001</v>
      </c>
      <c r="L1408">
        <v>283.47840000000002</v>
      </c>
      <c r="M1408">
        <v>-0.99975530000000001</v>
      </c>
      <c r="N1408">
        <v>-1.177861E-2</v>
      </c>
      <c r="O1408">
        <v>1.8725990000000001E-2</v>
      </c>
      <c r="P1408">
        <v>-0.99115549999999997</v>
      </c>
      <c r="Q1408">
        <v>-0.1168783</v>
      </c>
      <c r="R1408">
        <v>-6.2851749999999998E-2</v>
      </c>
      <c r="S1408">
        <v>-3.037506</v>
      </c>
      <c r="T1408">
        <v>4.4276709999999898E-3</v>
      </c>
      <c r="U1408">
        <v>0.16452030000000001</v>
      </c>
      <c r="V1408">
        <v>-8.1370700000000004E-2</v>
      </c>
      <c r="W1408">
        <v>-0.1052362</v>
      </c>
      <c r="X1408">
        <v>0.99111260000000001</v>
      </c>
      <c r="Y1408">
        <v>3.5376209999999998E-2</v>
      </c>
      <c r="Z1408">
        <v>4.3045619999999997E-4</v>
      </c>
      <c r="AA1408">
        <v>0.99937399999999998</v>
      </c>
      <c r="AB1408">
        <v>43</v>
      </c>
      <c r="AC1408">
        <v>-211.2491</v>
      </c>
      <c r="AD1408">
        <v>0.30842599999999898</v>
      </c>
      <c r="AE1408">
        <v>11.4561999999999</v>
      </c>
      <c r="AF1408">
        <v>7.49805212192559</v>
      </c>
      <c r="AG1408">
        <v>0.30842599999999898</v>
      </c>
      <c r="AH1408">
        <v>211.42614722649199</v>
      </c>
      <c r="AI1408">
        <v>89.916470155215904</v>
      </c>
      <c r="AJ1408">
        <v>87.9689041488285</v>
      </c>
      <c r="AK1408">
        <v>211.55928635552499</v>
      </c>
      <c r="AL1408">
        <v>96.040775114165598</v>
      </c>
      <c r="AM1408">
        <v>94.693477526835196</v>
      </c>
      <c r="AN1408">
        <v>1.0000000172438399</v>
      </c>
    </row>
    <row r="1409" spans="1:40" x14ac:dyDescent="0.25">
      <c r="A1409" t="str">
        <f>"20190305135609380"</f>
        <v>20190305135609380</v>
      </c>
      <c r="B1409" t="str">
        <f>"1551765369373682"</f>
        <v>1551765369373682</v>
      </c>
      <c r="C1409" t="s">
        <v>40</v>
      </c>
      <c r="D1409">
        <v>4.3588630000000004</v>
      </c>
      <c r="E1409">
        <v>0.54783709999999997</v>
      </c>
      <c r="F1409" t="s">
        <v>64</v>
      </c>
      <c r="G1409">
        <v>-510.95389999999998</v>
      </c>
      <c r="H1409">
        <v>0.76514510000000002</v>
      </c>
      <c r="I1409">
        <v>295.1352</v>
      </c>
      <c r="J1409">
        <v>-300.15879999999999</v>
      </c>
      <c r="K1409">
        <v>1.108503</v>
      </c>
      <c r="L1409">
        <v>283.48680000000002</v>
      </c>
      <c r="M1409">
        <v>-0.99975899999999995</v>
      </c>
      <c r="N1409">
        <v>-1.172719E-2</v>
      </c>
      <c r="O1409">
        <v>1.8562490000000001E-2</v>
      </c>
      <c r="P1409">
        <v>-0.99106530000000004</v>
      </c>
      <c r="Q1409">
        <v>-0.1173133</v>
      </c>
      <c r="R1409">
        <v>-6.346214E-2</v>
      </c>
      <c r="S1409">
        <v>-3.0368040000000001</v>
      </c>
      <c r="T1409">
        <v>-4.9347879999999998E-3</v>
      </c>
      <c r="U1409">
        <v>0.167572</v>
      </c>
      <c r="V1409">
        <v>-8.1817780000000007E-2</v>
      </c>
      <c r="W1409">
        <v>-0.10572289999999999</v>
      </c>
      <c r="X1409">
        <v>0.99102400000000002</v>
      </c>
      <c r="Y1409">
        <v>3.6552050000000003E-2</v>
      </c>
      <c r="Z1409">
        <v>4.3160369999999999E-4</v>
      </c>
      <c r="AA1409">
        <v>0.99933170000000004</v>
      </c>
      <c r="AB1409">
        <v>43</v>
      </c>
      <c r="AC1409">
        <v>-210.79509999999999</v>
      </c>
      <c r="AD1409">
        <v>-0.34335789999999999</v>
      </c>
      <c r="AE1409">
        <v>11.648399999999899</v>
      </c>
      <c r="AF1409">
        <v>7.7332215430569002</v>
      </c>
      <c r="AG1409">
        <v>-0.34335789999999999</v>
      </c>
      <c r="AH1409">
        <v>210.974455569333</v>
      </c>
      <c r="AI1409">
        <v>90.093185397365701</v>
      </c>
      <c r="AJ1409">
        <v>87.900775817026897</v>
      </c>
      <c r="AK1409">
        <v>211.116416966701</v>
      </c>
      <c r="AL1409">
        <v>96.068817359481898</v>
      </c>
      <c r="AM1409">
        <v>94.719569030585504</v>
      </c>
      <c r="AN1409">
        <v>1.00000002464226</v>
      </c>
    </row>
    <row r="1410" spans="1:40" x14ac:dyDescent="0.25">
      <c r="A1410" t="str">
        <f>"20190305135609402"</f>
        <v>20190305135609402</v>
      </c>
      <c r="B1410" t="str">
        <f>"1551765369393205"</f>
        <v>1551765369393205</v>
      </c>
      <c r="C1410" t="s">
        <v>40</v>
      </c>
      <c r="D1410">
        <v>4.3614069999999998</v>
      </c>
      <c r="E1410">
        <v>0.54821009999999903</v>
      </c>
      <c r="F1410" t="s">
        <v>64</v>
      </c>
      <c r="G1410">
        <v>-510.95370000000003</v>
      </c>
      <c r="H1410">
        <v>0.16114500000000001</v>
      </c>
      <c r="I1410">
        <v>295.23919999999998</v>
      </c>
      <c r="J1410">
        <v>-300.59350000000001</v>
      </c>
      <c r="K1410">
        <v>1.108484</v>
      </c>
      <c r="L1410">
        <v>283.4948</v>
      </c>
      <c r="M1410">
        <v>-0.99976160000000003</v>
      </c>
      <c r="N1410">
        <v>-1.168494E-2</v>
      </c>
      <c r="O1410">
        <v>1.844438E-2</v>
      </c>
      <c r="P1410">
        <v>-0.99098750000000002</v>
      </c>
      <c r="Q1410">
        <v>-0.11744019999999999</v>
      </c>
      <c r="R1410">
        <v>-6.4436359999999998E-2</v>
      </c>
      <c r="S1410">
        <v>-3.0362550000000001</v>
      </c>
      <c r="T1410">
        <v>-1.364434E-2</v>
      </c>
      <c r="U1410">
        <v>0.16928099999999999</v>
      </c>
      <c r="V1410">
        <v>-8.2676330000000006E-2</v>
      </c>
      <c r="W1410">
        <v>-0.1058904</v>
      </c>
      <c r="X1410">
        <v>0.9909348</v>
      </c>
      <c r="Y1410">
        <v>3.7239380000000002E-2</v>
      </c>
      <c r="Z1410">
        <v>4.339519E-4</v>
      </c>
      <c r="AA1410">
        <v>0.99930629999999998</v>
      </c>
      <c r="AB1410">
        <v>43</v>
      </c>
      <c r="AC1410">
        <v>-210.36019999999999</v>
      </c>
      <c r="AD1410">
        <v>-0.94733899999999904</v>
      </c>
      <c r="AE1410">
        <v>11.744399999999899</v>
      </c>
      <c r="AF1410">
        <v>7.8620145177877498</v>
      </c>
      <c r="AG1410">
        <v>-0.94733899999999904</v>
      </c>
      <c r="AH1410">
        <v>210.536786702922</v>
      </c>
      <c r="AI1410">
        <v>90.257628874232097</v>
      </c>
      <c r="AJ1410">
        <v>87.861413927924602</v>
      </c>
      <c r="AK1410">
        <v>210.685659879002</v>
      </c>
      <c r="AL1410">
        <v>96.078468940565003</v>
      </c>
      <c r="AM1410">
        <v>94.7692936100688</v>
      </c>
      <c r="AN1410">
        <v>0.99999996510273303</v>
      </c>
    </row>
    <row r="1411" spans="1:40" x14ac:dyDescent="0.25">
      <c r="A1411" t="str">
        <f>"20190305135609424"</f>
        <v>20190305135609424</v>
      </c>
      <c r="B1411" t="str">
        <f>"1551765369413470"</f>
        <v>1551765369413470</v>
      </c>
      <c r="C1411" t="s">
        <v>40</v>
      </c>
      <c r="D1411">
        <v>4.3636559999999998</v>
      </c>
      <c r="E1411">
        <v>0.54847630000000003</v>
      </c>
      <c r="F1411" t="s">
        <v>55</v>
      </c>
      <c r="G1411">
        <v>-459.6123</v>
      </c>
      <c r="H1411">
        <v>8.0001039999999995E-2</v>
      </c>
      <c r="I1411">
        <v>292.35669999999999</v>
      </c>
      <c r="J1411">
        <v>-301.00700000000001</v>
      </c>
      <c r="K1411">
        <v>1.108457</v>
      </c>
      <c r="L1411">
        <v>283.50229999999999</v>
      </c>
      <c r="M1411">
        <v>-0.99976350000000003</v>
      </c>
      <c r="N1411">
        <v>-1.1650550000000001E-2</v>
      </c>
      <c r="O1411">
        <v>1.8365679999999999E-2</v>
      </c>
      <c r="P1411">
        <v>-0.99087239999999999</v>
      </c>
      <c r="Q1411">
        <v>-0.1180991</v>
      </c>
      <c r="R1411">
        <v>-6.4998020000000004E-2</v>
      </c>
      <c r="S1411">
        <v>-3.0359500000000001</v>
      </c>
      <c r="T1411">
        <v>-1.963556E-2</v>
      </c>
      <c r="U1411">
        <v>0.16918949999999999</v>
      </c>
      <c r="V1411">
        <v>-8.31625E-2</v>
      </c>
      <c r="W1411">
        <v>-0.10658139999999899</v>
      </c>
      <c r="X1411">
        <v>0.99082009999999998</v>
      </c>
      <c r="Y1411">
        <v>3.7292539999999999E-2</v>
      </c>
      <c r="Z1411">
        <v>4.331049E-4</v>
      </c>
      <c r="AA1411">
        <v>0.99930430000000003</v>
      </c>
      <c r="AB1411">
        <v>43</v>
      </c>
      <c r="AC1411">
        <v>-158.6053</v>
      </c>
      <c r="AD1411">
        <v>-1.0284559600000001</v>
      </c>
      <c r="AE1411">
        <v>8.8543999999999894</v>
      </c>
      <c r="AF1411">
        <v>5.9395656520485902</v>
      </c>
      <c r="AG1411">
        <v>-1.0284559600000001</v>
      </c>
      <c r="AH1411">
        <v>158.73451999168901</v>
      </c>
      <c r="AI1411">
        <v>90.370959980236705</v>
      </c>
      <c r="AJ1411">
        <v>87.857092767717802</v>
      </c>
      <c r="AK1411">
        <v>158.848934522044</v>
      </c>
      <c r="AL1411">
        <v>96.118285231564698</v>
      </c>
      <c r="AM1411">
        <v>94.797761209962701</v>
      </c>
      <c r="AN1411">
        <v>1.0000000333981001</v>
      </c>
    </row>
    <row r="1412" spans="1:40" x14ac:dyDescent="0.25">
      <c r="A1412" t="str">
        <f>"20190305135609445"</f>
        <v>20190305135609445</v>
      </c>
      <c r="B1412" t="str">
        <f>"1551765369432990"</f>
        <v>1551765369432990</v>
      </c>
      <c r="C1412" t="s">
        <v>40</v>
      </c>
      <c r="D1412">
        <v>4.5471199999999996</v>
      </c>
      <c r="E1412">
        <v>0.54883649999999995</v>
      </c>
      <c r="F1412" t="s">
        <v>61</v>
      </c>
      <c r="G1412">
        <v>-424.65339999999998</v>
      </c>
      <c r="H1412" s="1">
        <v>2.4184049999999999E-6</v>
      </c>
      <c r="I1412">
        <v>290.4187</v>
      </c>
      <c r="J1412">
        <v>-301.42110000000002</v>
      </c>
      <c r="K1412">
        <v>1.1084290000000001</v>
      </c>
      <c r="L1412">
        <v>283.50990000000002</v>
      </c>
      <c r="M1412">
        <v>-0.99976480000000001</v>
      </c>
      <c r="N1412">
        <v>-1.162084E-2</v>
      </c>
      <c r="O1412">
        <v>1.8312470000000001E-2</v>
      </c>
      <c r="P1412">
        <v>-0.99073299999999997</v>
      </c>
      <c r="Q1412">
        <v>-0.1188655</v>
      </c>
      <c r="R1412">
        <v>-6.5721650000000006E-2</v>
      </c>
      <c r="S1412">
        <v>-3.0355530000000002</v>
      </c>
      <c r="T1412">
        <v>-2.7212859999999998E-2</v>
      </c>
      <c r="U1412">
        <v>0.169799799999999</v>
      </c>
      <c r="V1412">
        <v>-8.3835129999999994E-2</v>
      </c>
      <c r="W1412">
        <v>-0.1073756</v>
      </c>
      <c r="X1412">
        <v>0.99067760000000005</v>
      </c>
      <c r="Y1412">
        <v>3.7551840000000003E-2</v>
      </c>
      <c r="Z1412">
        <v>4.352437E-4</v>
      </c>
      <c r="AA1412">
        <v>0.99929460000000003</v>
      </c>
      <c r="AB1412">
        <v>43</v>
      </c>
      <c r="AC1412">
        <v>-123.232299999999</v>
      </c>
      <c r="AD1412">
        <v>-1.1084265815950001</v>
      </c>
      <c r="AE1412">
        <v>6.9087999999999798</v>
      </c>
      <c r="AF1412">
        <v>4.6504261340618802</v>
      </c>
      <c r="AG1412">
        <v>-1.1084265815950001</v>
      </c>
      <c r="AH1412">
        <v>123.328212083677</v>
      </c>
      <c r="AI1412">
        <v>90.514572906791798</v>
      </c>
      <c r="AJ1412">
        <v>87.84052969164</v>
      </c>
      <c r="AK1412">
        <v>123.42083684885399</v>
      </c>
      <c r="AL1412">
        <v>96.164052524513593</v>
      </c>
      <c r="AM1412">
        <v>94.837075213959594</v>
      </c>
      <c r="AN1412">
        <v>0.99999997781961802</v>
      </c>
    </row>
    <row r="1413" spans="1:40" x14ac:dyDescent="0.25">
      <c r="A1413" t="str">
        <f>"20190305135609470"</f>
        <v>20190305135609470</v>
      </c>
      <c r="B1413" t="str">
        <f>"1551765369463246"</f>
        <v>1551765369463246</v>
      </c>
      <c r="C1413" t="s">
        <v>40</v>
      </c>
      <c r="D1413">
        <v>4.4539179999999998</v>
      </c>
      <c r="E1413">
        <v>0.54936090000000004</v>
      </c>
      <c r="F1413" t="s">
        <v>55</v>
      </c>
      <c r="G1413">
        <v>-398.76990000000001</v>
      </c>
      <c r="H1413" s="1">
        <v>3.130134E-6</v>
      </c>
      <c r="I1413">
        <v>288.98140000000001</v>
      </c>
      <c r="J1413">
        <v>-301.88010000000003</v>
      </c>
      <c r="K1413">
        <v>1.1083970000000001</v>
      </c>
      <c r="L1413">
        <v>283.51830000000001</v>
      </c>
      <c r="M1413">
        <v>-0.99976580000000004</v>
      </c>
      <c r="N1413">
        <v>-1.15926E-2</v>
      </c>
      <c r="O1413">
        <v>1.828287E-2</v>
      </c>
      <c r="P1413">
        <v>-0.99055159999999998</v>
      </c>
      <c r="Q1413">
        <v>-0.12045989999999999</v>
      </c>
      <c r="R1413">
        <v>-6.5554680000000004E-2</v>
      </c>
      <c r="S1413">
        <v>-3.0352169999999998</v>
      </c>
      <c r="T1413">
        <v>-3.4559369999999999E-2</v>
      </c>
      <c r="U1413">
        <v>0.1705933</v>
      </c>
      <c r="V1413">
        <v>-8.3640320000000004E-2</v>
      </c>
      <c r="W1413">
        <v>-0.108996</v>
      </c>
      <c r="X1413">
        <v>0.99051710000000004</v>
      </c>
      <c r="Y1413">
        <v>3.7846459999999998E-2</v>
      </c>
      <c r="Z1413">
        <v>4.3870699999999999E-4</v>
      </c>
      <c r="AA1413">
        <v>0.99928349999999999</v>
      </c>
      <c r="AB1413">
        <v>43</v>
      </c>
      <c r="AC1413">
        <v>-96.889799999999894</v>
      </c>
      <c r="AD1413">
        <v>-1.1083938698660001</v>
      </c>
      <c r="AE1413">
        <v>5.4630999999999901</v>
      </c>
      <c r="AF1413">
        <v>3.6901629644113099</v>
      </c>
      <c r="AG1413">
        <v>-1.1083938698660001</v>
      </c>
      <c r="AH1413">
        <v>96.960842146298404</v>
      </c>
      <c r="AI1413">
        <v>90.654466142742805</v>
      </c>
      <c r="AJ1413">
        <v>87.820473023532898</v>
      </c>
      <c r="AK1413">
        <v>97.037367799183798</v>
      </c>
      <c r="AL1413">
        <v>96.257442751567396</v>
      </c>
      <c r="AM1413">
        <v>94.826666591625298</v>
      </c>
      <c r="AN1413">
        <v>0.99999997826905596</v>
      </c>
    </row>
    <row r="1414" spans="1:40" x14ac:dyDescent="0.25">
      <c r="A1414" t="str">
        <f>"20190305135609493"</f>
        <v>20190305135609493</v>
      </c>
      <c r="B1414" t="str">
        <f>"1551765369483742"</f>
        <v>1551765369483742</v>
      </c>
      <c r="C1414" t="s">
        <v>40</v>
      </c>
      <c r="D1414">
        <v>4.4415139999999997</v>
      </c>
      <c r="E1414">
        <v>0.54963819999999997</v>
      </c>
      <c r="F1414" t="s">
        <v>55</v>
      </c>
      <c r="G1414">
        <v>-374.07740000000001</v>
      </c>
      <c r="H1414" s="1">
        <v>6.3298999999999995E-7</v>
      </c>
      <c r="I1414">
        <v>287.69889999999998</v>
      </c>
      <c r="J1414">
        <v>-302.327</v>
      </c>
      <c r="K1414">
        <v>1.1083620000000001</v>
      </c>
      <c r="L1414">
        <v>283.5265</v>
      </c>
      <c r="M1414">
        <v>-0.99976580000000004</v>
      </c>
      <c r="N1414">
        <v>-1.156979E-2</v>
      </c>
      <c r="O1414">
        <v>1.8294339999999999E-2</v>
      </c>
      <c r="P1414">
        <v>-0.99037580000000003</v>
      </c>
      <c r="Q1414">
        <v>-0.12197570000000001</v>
      </c>
      <c r="R1414">
        <v>-6.5406199999999998E-2</v>
      </c>
      <c r="S1414">
        <v>-3.0345759999999999</v>
      </c>
      <c r="T1414">
        <v>-4.6587820000000002E-2</v>
      </c>
      <c r="U1414">
        <v>0.17572019999999999</v>
      </c>
      <c r="V1414">
        <v>-8.3505629999999997E-2</v>
      </c>
      <c r="W1414">
        <v>-0.1105318</v>
      </c>
      <c r="X1414">
        <v>0.99035830000000002</v>
      </c>
      <c r="Y1414">
        <v>3.9526499999999999E-2</v>
      </c>
      <c r="Z1414">
        <v>4.6298470000000002E-4</v>
      </c>
      <c r="AA1414">
        <v>0.99921839999999995</v>
      </c>
      <c r="AB1414">
        <v>43</v>
      </c>
      <c r="AC1414">
        <v>-71.750399999999999</v>
      </c>
      <c r="AD1414">
        <v>-1.1083613670100001</v>
      </c>
      <c r="AE1414">
        <v>4.1723999999999801</v>
      </c>
      <c r="AF1414">
        <v>2.8583079248100001</v>
      </c>
      <c r="AG1414">
        <v>-1.1083613670100001</v>
      </c>
      <c r="AH1414">
        <v>71.797652079083505</v>
      </c>
      <c r="AI1414">
        <v>90.883721555373498</v>
      </c>
      <c r="AJ1414">
        <v>87.720224272115104</v>
      </c>
      <c r="AK1414">
        <v>71.863072806428505</v>
      </c>
      <c r="AL1414">
        <v>96.345972306742794</v>
      </c>
      <c r="AM1414">
        <v>94.819699668964901</v>
      </c>
      <c r="AN1414">
        <v>1.0000000157159099</v>
      </c>
    </row>
    <row r="1415" spans="1:40" x14ac:dyDescent="0.25">
      <c r="A1415" t="str">
        <f>"20190305135609514"</f>
        <v>20190305135609514</v>
      </c>
      <c r="B1415" t="str">
        <f>"1551765369503288"</f>
        <v>1551765369503288</v>
      </c>
      <c r="C1415" t="s">
        <v>40</v>
      </c>
      <c r="D1415">
        <v>4.4138260000000002</v>
      </c>
      <c r="E1415">
        <v>0.54994670000000001</v>
      </c>
      <c r="F1415" t="s">
        <v>55</v>
      </c>
      <c r="G1415">
        <v>-362.91469999999998</v>
      </c>
      <c r="H1415" s="1">
        <v>1.427324E-8</v>
      </c>
      <c r="I1415">
        <v>287.09269999999998</v>
      </c>
      <c r="J1415">
        <v>-302.74189999999999</v>
      </c>
      <c r="K1415">
        <v>1.10832</v>
      </c>
      <c r="L1415">
        <v>283.53410000000002</v>
      </c>
      <c r="M1415">
        <v>-0.99976520000000002</v>
      </c>
      <c r="N1415">
        <v>-1.1551850000000001E-2</v>
      </c>
      <c r="O1415">
        <v>1.833893E-2</v>
      </c>
      <c r="P1415">
        <v>-0.99023309999999998</v>
      </c>
      <c r="Q1415">
        <v>-0.12337330000000001</v>
      </c>
      <c r="R1415">
        <v>-6.4945500000000003E-2</v>
      </c>
      <c r="S1415">
        <v>-3.034119</v>
      </c>
      <c r="T1415">
        <v>-5.5504680000000001E-2</v>
      </c>
      <c r="U1415">
        <v>0.17858889999999999</v>
      </c>
      <c r="V1415">
        <v>-8.309337E-2</v>
      </c>
      <c r="W1415">
        <v>-0.1119434</v>
      </c>
      <c r="X1415">
        <v>0.99023439999999996</v>
      </c>
      <c r="Y1415">
        <v>4.042958E-2</v>
      </c>
      <c r="Z1415">
        <v>4.798057E-4</v>
      </c>
      <c r="AA1415">
        <v>0.99918229999999997</v>
      </c>
      <c r="AB1415">
        <v>43</v>
      </c>
      <c r="AC1415">
        <v>-60.172800000000002</v>
      </c>
      <c r="AD1415">
        <v>-1.10831998572676</v>
      </c>
      <c r="AE1415">
        <v>3.55859999999995</v>
      </c>
      <c r="AF1415">
        <v>2.45359367893434</v>
      </c>
      <c r="AG1415">
        <v>-1.10831998572676</v>
      </c>
      <c r="AH1415">
        <v>60.207589810290102</v>
      </c>
      <c r="AI1415">
        <v>91.053724943413599</v>
      </c>
      <c r="AJ1415">
        <v>87.666360378404306</v>
      </c>
      <c r="AK1415">
        <v>60.267755606926499</v>
      </c>
      <c r="AL1415">
        <v>96.427356217623895</v>
      </c>
      <c r="AM1415">
        <v>94.796613784974596</v>
      </c>
      <c r="AN1415">
        <v>0.99999999994243804</v>
      </c>
    </row>
    <row r="1416" spans="1:40" x14ac:dyDescent="0.25">
      <c r="A1416" t="str">
        <f>"20190305135609535"</f>
        <v>20190305135609535</v>
      </c>
      <c r="B1416" t="str">
        <f>"1551765369523785"</f>
        <v>1551765369523785</v>
      </c>
      <c r="C1416" t="s">
        <v>40</v>
      </c>
      <c r="D1416">
        <v>4.4567959999999998</v>
      </c>
      <c r="E1416">
        <v>0.55023040000000001</v>
      </c>
      <c r="F1416" t="s">
        <v>55</v>
      </c>
      <c r="G1416">
        <v>-355.7654</v>
      </c>
      <c r="H1416" s="1">
        <v>1.5312489999999999E-6</v>
      </c>
      <c r="I1416">
        <v>286.72379999999998</v>
      </c>
      <c r="J1416">
        <v>-303.15030000000002</v>
      </c>
      <c r="K1416">
        <v>1.1082809999999901</v>
      </c>
      <c r="L1416">
        <v>283.54160000000002</v>
      </c>
      <c r="M1416">
        <v>-0.99976399999999999</v>
      </c>
      <c r="N1416">
        <v>-1.15368E-2</v>
      </c>
      <c r="O1416">
        <v>1.841071E-2</v>
      </c>
      <c r="P1416">
        <v>-0.99009879999999995</v>
      </c>
      <c r="Q1416">
        <v>-0.1246263</v>
      </c>
      <c r="R1416">
        <v>-6.4594540000000006E-2</v>
      </c>
      <c r="S1416">
        <v>-3.0336609999999999</v>
      </c>
      <c r="T1416">
        <v>-6.3410759999999997E-2</v>
      </c>
      <c r="U1416">
        <v>0.18249509999999999</v>
      </c>
      <c r="V1416">
        <v>-8.2818909999999996E-2</v>
      </c>
      <c r="W1416">
        <v>-0.1132068</v>
      </c>
      <c r="X1416">
        <v>0.99011369999999999</v>
      </c>
      <c r="Y1416">
        <v>4.1646009999999997E-2</v>
      </c>
      <c r="Z1416">
        <v>5.0318140000000003E-4</v>
      </c>
      <c r="AA1416">
        <v>0.99913229999999997</v>
      </c>
      <c r="AB1416">
        <v>43</v>
      </c>
      <c r="AC1416">
        <v>-52.615099999999899</v>
      </c>
      <c r="AD1416">
        <v>-1.10827946875099</v>
      </c>
      <c r="AE1416">
        <v>3.1821999999999599</v>
      </c>
      <c r="AF1416">
        <v>2.2119369725443301</v>
      </c>
      <c r="AG1416">
        <v>-1.10827946875099</v>
      </c>
      <c r="AH1416">
        <v>52.641500177366296</v>
      </c>
      <c r="AI1416">
        <v>91.205026418050807</v>
      </c>
      <c r="AJ1416">
        <v>87.593910801003901</v>
      </c>
      <c r="AK1416">
        <v>52.6996061605305</v>
      </c>
      <c r="AL1416">
        <v>96.500207163299194</v>
      </c>
      <c r="AM1416">
        <v>94.781424085233098</v>
      </c>
      <c r="AN1416">
        <v>0.99999994517375701</v>
      </c>
    </row>
    <row r="1417" spans="1:40" x14ac:dyDescent="0.25">
      <c r="A1417" t="str">
        <f>"20190305135609556"</f>
        <v>20190305135609556</v>
      </c>
      <c r="B1417" t="str">
        <f>"1551765369553065"</f>
        <v>1551765369553065</v>
      </c>
      <c r="C1417" t="s">
        <v>40</v>
      </c>
      <c r="D1417">
        <v>4.461398</v>
      </c>
      <c r="E1417">
        <v>0.55067969999999999</v>
      </c>
      <c r="F1417" t="s">
        <v>55</v>
      </c>
      <c r="G1417">
        <v>-350.55689999999998</v>
      </c>
      <c r="H1417" s="1">
        <v>-1.2404400000000001E-6</v>
      </c>
      <c r="I1417">
        <v>286.44400000000002</v>
      </c>
      <c r="J1417">
        <v>-303.57170000000002</v>
      </c>
      <c r="K1417">
        <v>1.108236</v>
      </c>
      <c r="L1417">
        <v>283.54950000000002</v>
      </c>
      <c r="M1417">
        <v>-0.99976229999999999</v>
      </c>
      <c r="N1417">
        <v>-1.152367E-2</v>
      </c>
      <c r="O1417">
        <v>1.851467E-2</v>
      </c>
      <c r="P1417">
        <v>-0.99000429999999995</v>
      </c>
      <c r="Q1417">
        <v>-0.1254847</v>
      </c>
      <c r="R1417">
        <v>-6.4385139999999993E-2</v>
      </c>
      <c r="S1417">
        <v>-3.0332029999999999</v>
      </c>
      <c r="T1417">
        <v>-7.0910929999999997E-2</v>
      </c>
      <c r="U1417">
        <v>0.18569949999999999</v>
      </c>
      <c r="V1417">
        <v>-8.2720000000000002E-2</v>
      </c>
      <c r="W1417">
        <v>-0.1140724</v>
      </c>
      <c r="X1417">
        <v>0.99002270000000003</v>
      </c>
      <c r="Y1417">
        <v>4.2600010000000001E-2</v>
      </c>
      <c r="Z1417">
        <v>5.2405729999999997E-4</v>
      </c>
      <c r="AA1417">
        <v>0.99909199999999998</v>
      </c>
      <c r="AB1417">
        <v>43</v>
      </c>
      <c r="AC1417">
        <v>-46.985199999999899</v>
      </c>
      <c r="AD1417">
        <v>-1.10823724044</v>
      </c>
      <c r="AE1417">
        <v>2.8944999999999901</v>
      </c>
      <c r="AF1417">
        <v>2.0229094737248299</v>
      </c>
      <c r="AG1417">
        <v>-1.10823724044</v>
      </c>
      <c r="AH1417">
        <v>47.004687506868102</v>
      </c>
      <c r="AI1417">
        <v>91.349373218031403</v>
      </c>
      <c r="AJ1417">
        <v>87.5357202790711</v>
      </c>
      <c r="AK1417">
        <v>47.061247328755599</v>
      </c>
      <c r="AL1417">
        <v>96.550125215841504</v>
      </c>
      <c r="AM1417">
        <v>94.776177036090601</v>
      </c>
      <c r="AN1417">
        <v>1.00000002867852</v>
      </c>
    </row>
    <row r="1418" spans="1:40" x14ac:dyDescent="0.25">
      <c r="A1418" t="str">
        <f>"20190305135609581"</f>
        <v>20190305135609581</v>
      </c>
      <c r="B1418" t="str">
        <f>"1551765369573561"</f>
        <v>1551765369573561</v>
      </c>
      <c r="C1418" t="s">
        <v>40</v>
      </c>
      <c r="D1418">
        <v>4.514392</v>
      </c>
      <c r="E1418">
        <v>0.55085419999999996</v>
      </c>
      <c r="F1418" t="s">
        <v>55</v>
      </c>
      <c r="G1418">
        <v>-346.00540000000001</v>
      </c>
      <c r="H1418" s="1">
        <v>1.6589779999999999E-6</v>
      </c>
      <c r="I1418">
        <v>286.2124</v>
      </c>
      <c r="J1418">
        <v>-304.04559999999998</v>
      </c>
      <c r="K1418">
        <v>1.1081859999999999</v>
      </c>
      <c r="L1418">
        <v>283.55840000000001</v>
      </c>
      <c r="M1418">
        <v>-0.99975939999999996</v>
      </c>
      <c r="N1418">
        <v>-1.151144E-2</v>
      </c>
      <c r="O1418">
        <v>1.867158E-2</v>
      </c>
      <c r="P1418">
        <v>-0.98984649999999996</v>
      </c>
      <c r="Q1418">
        <v>-0.12672700000000001</v>
      </c>
      <c r="R1418">
        <v>-6.4375219999999997E-2</v>
      </c>
      <c r="S1418">
        <v>-3.0326230000000001</v>
      </c>
      <c r="T1418">
        <v>-7.9202649999999999E-2</v>
      </c>
      <c r="U1418">
        <v>0.19030759999999999</v>
      </c>
      <c r="V1418">
        <v>-8.2874160000000002E-2</v>
      </c>
      <c r="W1418">
        <v>-0.11532050000000001</v>
      </c>
      <c r="X1418">
        <v>0.9898652</v>
      </c>
      <c r="Y1418">
        <v>4.3963639999999998E-2</v>
      </c>
      <c r="Z1418">
        <v>5.5456069999999997E-4</v>
      </c>
      <c r="AA1418">
        <v>0.99903299999999995</v>
      </c>
      <c r="AB1418">
        <v>43</v>
      </c>
      <c r="AC1418">
        <v>-41.959800000000001</v>
      </c>
      <c r="AD1418">
        <v>-1.108184341022</v>
      </c>
      <c r="AE1418">
        <v>2.6539999999999901</v>
      </c>
      <c r="AF1418">
        <v>1.8687313069411</v>
      </c>
      <c r="AG1418">
        <v>-1.108184341022</v>
      </c>
      <c r="AH1418">
        <v>41.972881572328198</v>
      </c>
      <c r="AI1418">
        <v>91.510898048478197</v>
      </c>
      <c r="AJ1418">
        <v>87.450740798845104</v>
      </c>
      <c r="AK1418">
        <v>42.029073469634298</v>
      </c>
      <c r="AL1418">
        <v>96.622111142924297</v>
      </c>
      <c r="AM1418">
        <v>94.785794624483302</v>
      </c>
      <c r="AN1418">
        <v>1.0000000291434901</v>
      </c>
    </row>
    <row r="1419" spans="1:40" x14ac:dyDescent="0.25">
      <c r="A1419" t="str">
        <f>"20190305135609603"</f>
        <v>20190305135609603</v>
      </c>
      <c r="B1419" t="str">
        <f>"1551765369593083"</f>
        <v>1551765369593083</v>
      </c>
      <c r="C1419" t="s">
        <v>40</v>
      </c>
      <c r="D1419">
        <v>4.5488390000000001</v>
      </c>
      <c r="E1419">
        <v>0.55109809999999904</v>
      </c>
      <c r="F1419" t="s">
        <v>55</v>
      </c>
      <c r="G1419">
        <v>-343.0865</v>
      </c>
      <c r="H1419" s="1">
        <v>1.057173E-7</v>
      </c>
      <c r="I1419">
        <v>286.02949999999998</v>
      </c>
      <c r="J1419">
        <v>-304.46030000000002</v>
      </c>
      <c r="K1419">
        <v>1.108136</v>
      </c>
      <c r="L1419">
        <v>283.56630000000001</v>
      </c>
      <c r="M1419">
        <v>-0.99975630000000004</v>
      </c>
      <c r="N1419">
        <v>-1.150265E-2</v>
      </c>
      <c r="O1419">
        <v>1.884601E-2</v>
      </c>
      <c r="P1419">
        <v>-0.98966149999999997</v>
      </c>
      <c r="Q1419">
        <v>-0.1280162</v>
      </c>
      <c r="R1419">
        <v>-6.4670080000000005E-2</v>
      </c>
      <c r="S1419">
        <v>-3.0321959999999999</v>
      </c>
      <c r="T1419">
        <v>-8.6069580000000007E-2</v>
      </c>
      <c r="U1419">
        <v>0.19192500000000001</v>
      </c>
      <c r="V1419">
        <v>-8.3348599999999995E-2</v>
      </c>
      <c r="W1419">
        <v>-0.11661290000000001</v>
      </c>
      <c r="X1419">
        <v>0.9896739</v>
      </c>
      <c r="Y1419">
        <v>4.4326129999999998E-2</v>
      </c>
      <c r="Z1419">
        <v>5.6600050000000005E-4</v>
      </c>
      <c r="AA1419">
        <v>0.99901689999999999</v>
      </c>
      <c r="AB1419">
        <v>43</v>
      </c>
      <c r="AC1419">
        <v>-38.626199999999898</v>
      </c>
      <c r="AD1419">
        <v>-1.1081358942827</v>
      </c>
      <c r="AE1419">
        <v>2.4631999999999699</v>
      </c>
      <c r="AF1419">
        <v>1.73334377416603</v>
      </c>
      <c r="AG1419">
        <v>-1.1081358942827</v>
      </c>
      <c r="AH1419">
        <v>38.6340948663779</v>
      </c>
      <c r="AI1419">
        <v>91.641305533433993</v>
      </c>
      <c r="AJ1419">
        <v>87.431110353877003</v>
      </c>
      <c r="AK1419">
        <v>38.688832134660302</v>
      </c>
      <c r="AL1419">
        <v>96.696663450246007</v>
      </c>
      <c r="AM1419">
        <v>94.813990085989602</v>
      </c>
      <c r="AN1419">
        <v>0.99999999295479003</v>
      </c>
    </row>
    <row r="1420" spans="1:40" x14ac:dyDescent="0.25">
      <c r="A1420" t="str">
        <f>"20190305135609623"</f>
        <v>20190305135609623</v>
      </c>
      <c r="B1420" t="str">
        <f>"1551765369613110"</f>
        <v>1551765369613110</v>
      </c>
      <c r="C1420" t="s">
        <v>40</v>
      </c>
      <c r="D1420">
        <v>4.4651370000000004</v>
      </c>
      <c r="E1420">
        <v>0.55111279999999996</v>
      </c>
      <c r="F1420" t="s">
        <v>55</v>
      </c>
      <c r="G1420">
        <v>-340.65620000000001</v>
      </c>
      <c r="H1420" s="1">
        <v>-1.187575E-6</v>
      </c>
      <c r="I1420">
        <v>285.87169999999998</v>
      </c>
      <c r="J1420">
        <v>-304.8716</v>
      </c>
      <c r="K1420">
        <v>1.1080840000000001</v>
      </c>
      <c r="L1420">
        <v>283.57420000000002</v>
      </c>
      <c r="M1420">
        <v>-0.99975250000000004</v>
      </c>
      <c r="N1420">
        <v>-1.1495490000000001E-2</v>
      </c>
      <c r="O1420">
        <v>1.9053270000000001E-2</v>
      </c>
      <c r="P1420">
        <v>-0.98955570000000004</v>
      </c>
      <c r="Q1420">
        <v>-0.12867480000000001</v>
      </c>
      <c r="R1420">
        <v>-6.4980189999999993E-2</v>
      </c>
      <c r="S1420">
        <v>-3.031952</v>
      </c>
      <c r="T1420">
        <v>-9.2823149999999993E-2</v>
      </c>
      <c r="U1420">
        <v>0.19311519999999999</v>
      </c>
      <c r="V1420">
        <v>-8.3872940000000007E-2</v>
      </c>
      <c r="W1420">
        <v>-0.117272</v>
      </c>
      <c r="X1420">
        <v>0.98955170000000003</v>
      </c>
      <c r="Y1420">
        <v>4.45119E-2</v>
      </c>
      <c r="Z1420">
        <v>5.7305849999999897E-4</v>
      </c>
      <c r="AA1420">
        <v>0.99900869999999997</v>
      </c>
      <c r="AB1420">
        <v>43</v>
      </c>
      <c r="AC1420">
        <v>-35.784599999999998</v>
      </c>
      <c r="AD1420">
        <v>-1.108085187575</v>
      </c>
      <c r="AE1420">
        <v>2.2974999999999501</v>
      </c>
      <c r="AF1420">
        <v>1.6136833199978</v>
      </c>
      <c r="AG1420">
        <v>-1.108085187575</v>
      </c>
      <c r="AH1420">
        <v>35.787706506855699</v>
      </c>
      <c r="AI1420">
        <v>91.771668342350495</v>
      </c>
      <c r="AJ1420">
        <v>87.418257012974706</v>
      </c>
      <c r="AK1420">
        <v>35.8412020398452</v>
      </c>
      <c r="AL1420">
        <v>96.734688088572398</v>
      </c>
      <c r="AM1420">
        <v>94.844726241543299</v>
      </c>
      <c r="AN1420">
        <v>0.99999997951056596</v>
      </c>
    </row>
    <row r="1421" spans="1:40" x14ac:dyDescent="0.25">
      <c r="A1421" t="str">
        <f>"20190305135609646"</f>
        <v>20190305135609646</v>
      </c>
      <c r="B1421" t="str">
        <f>"1551765369643362"</f>
        <v>1551765369643362</v>
      </c>
      <c r="C1421" t="s">
        <v>40</v>
      </c>
      <c r="D1421">
        <v>4.4371600000000004</v>
      </c>
      <c r="E1421">
        <v>0.55103169999999901</v>
      </c>
      <c r="F1421" t="s">
        <v>55</v>
      </c>
      <c r="G1421">
        <v>-338.77350000000001</v>
      </c>
      <c r="H1421" s="1">
        <v>3.083299E-6</v>
      </c>
      <c r="I1421">
        <v>285.73079999999999</v>
      </c>
      <c r="J1421">
        <v>-305.30040000000002</v>
      </c>
      <c r="K1421">
        <v>1.108044</v>
      </c>
      <c r="L1421">
        <v>283.58260000000001</v>
      </c>
      <c r="M1421">
        <v>-0.99974770000000002</v>
      </c>
      <c r="N1421">
        <v>-1.148951E-2</v>
      </c>
      <c r="O1421">
        <v>1.930076E-2</v>
      </c>
      <c r="P1421">
        <v>-0.98951069999999997</v>
      </c>
      <c r="Q1421">
        <v>-0.1290144</v>
      </c>
      <c r="R1421">
        <v>-6.4993060000000005E-2</v>
      </c>
      <c r="S1421">
        <v>-3.0314329999999998</v>
      </c>
      <c r="T1421">
        <v>-9.908235E-2</v>
      </c>
      <c r="U1421">
        <v>0.1928406</v>
      </c>
      <c r="V1421">
        <v>-8.4140850000000003E-2</v>
      </c>
      <c r="W1421">
        <v>-0.1176103</v>
      </c>
      <c r="X1421">
        <v>0.98948879999999995</v>
      </c>
      <c r="Y1421">
        <v>4.4182939999999997E-2</v>
      </c>
      <c r="Z1421">
        <v>5.6694630000000002E-4</v>
      </c>
      <c r="AA1421">
        <v>0.99902329999999995</v>
      </c>
      <c r="AB1421">
        <v>43</v>
      </c>
      <c r="AC1421">
        <v>-33.473099999999903</v>
      </c>
      <c r="AD1421">
        <v>-1.1080409167009999</v>
      </c>
      <c r="AE1421">
        <v>2.1481999999999699</v>
      </c>
      <c r="AF1421">
        <v>1.50006388387692</v>
      </c>
      <c r="AG1421">
        <v>-1.1080409167009999</v>
      </c>
      <c r="AH1421">
        <v>33.471801556922102</v>
      </c>
      <c r="AI1421">
        <v>91.894110892261907</v>
      </c>
      <c r="AJ1421">
        <v>87.433963681479298</v>
      </c>
      <c r="AK1421">
        <v>33.523714677743698</v>
      </c>
      <c r="AL1421">
        <v>96.754206348963393</v>
      </c>
      <c r="AM1421">
        <v>94.860434903206297</v>
      </c>
      <c r="AN1421">
        <v>0.99999997531512497</v>
      </c>
    </row>
    <row r="1422" spans="1:40" x14ac:dyDescent="0.25">
      <c r="A1422" t="str">
        <f>"20190305135609670"</f>
        <v>20190305135609670</v>
      </c>
      <c r="B1422" t="str">
        <f>"1551765369663859"</f>
        <v>1551765369663859</v>
      </c>
      <c r="C1422" t="s">
        <v>40</v>
      </c>
      <c r="D1422">
        <v>4.3884400000000001</v>
      </c>
      <c r="E1422">
        <v>0.55114209999999997</v>
      </c>
      <c r="F1422" t="s">
        <v>55</v>
      </c>
      <c r="G1422">
        <v>-338.19529999999997</v>
      </c>
      <c r="H1422" s="1">
        <v>2.7781199999999998E-6</v>
      </c>
      <c r="I1422">
        <v>285.673</v>
      </c>
      <c r="J1422">
        <v>-305.75810000000001</v>
      </c>
      <c r="K1422">
        <v>1.107999</v>
      </c>
      <c r="L1422">
        <v>283.5917</v>
      </c>
      <c r="M1422">
        <v>-0.99974220000000003</v>
      </c>
      <c r="N1422">
        <v>-1.148132E-2</v>
      </c>
      <c r="O1422">
        <v>1.9594589999999999E-2</v>
      </c>
      <c r="P1422">
        <v>-0.98940130000000004</v>
      </c>
      <c r="Q1422">
        <v>-0.12989990000000001</v>
      </c>
      <c r="R1422">
        <v>-6.4894980000000005E-2</v>
      </c>
      <c r="S1422">
        <v>-3.031158</v>
      </c>
      <c r="T1422">
        <v>-0.1021025</v>
      </c>
      <c r="U1422">
        <v>0.19262699999999999</v>
      </c>
      <c r="V1422">
        <v>-8.4341849999999996E-2</v>
      </c>
      <c r="W1422">
        <v>-0.118497699999999</v>
      </c>
      <c r="X1422">
        <v>0.98936579999999996</v>
      </c>
      <c r="Y1422">
        <v>4.3824000000000002E-2</v>
      </c>
      <c r="Z1422">
        <v>5.5478609999999996E-4</v>
      </c>
      <c r="AA1422">
        <v>0.99903909999999996</v>
      </c>
      <c r="AB1422">
        <v>43</v>
      </c>
      <c r="AC1422">
        <v>-32.437199999999898</v>
      </c>
      <c r="AD1422">
        <v>-1.1079962218799999</v>
      </c>
      <c r="AE1422">
        <v>2.0813000000000001</v>
      </c>
      <c r="AF1422">
        <v>1.4435874510026101</v>
      </c>
      <c r="AG1422">
        <v>-1.1079962218799999</v>
      </c>
      <c r="AH1422">
        <v>32.434068053922402</v>
      </c>
      <c r="AI1422">
        <v>91.954614983539003</v>
      </c>
      <c r="AJ1422">
        <v>87.451540275766007</v>
      </c>
      <c r="AK1422">
        <v>32.4850792038878</v>
      </c>
      <c r="AL1422">
        <v>96.805408716085495</v>
      </c>
      <c r="AM1422">
        <v>94.872592719409894</v>
      </c>
      <c r="AN1422">
        <v>0.99999996938817504</v>
      </c>
    </row>
    <row r="1423" spans="1:40" x14ac:dyDescent="0.25">
      <c r="A1423" t="str">
        <f>"20190305135609694"</f>
        <v>20190305135609694</v>
      </c>
      <c r="B1423" t="str">
        <f>"1551765369683378"</f>
        <v>1551765369683378</v>
      </c>
      <c r="C1423" t="s">
        <v>40</v>
      </c>
      <c r="D1423">
        <v>4.3909440000000002</v>
      </c>
      <c r="E1423">
        <v>0.55112899999999998</v>
      </c>
      <c r="F1423" t="s">
        <v>55</v>
      </c>
      <c r="G1423">
        <v>-337.28300000000002</v>
      </c>
      <c r="H1423" s="1">
        <v>2.2953630000000001E-6</v>
      </c>
      <c r="I1423">
        <v>285.61180000000002</v>
      </c>
      <c r="J1423">
        <v>-306.21249999999998</v>
      </c>
      <c r="K1423">
        <v>1.107966</v>
      </c>
      <c r="L1423">
        <v>283.60079999999999</v>
      </c>
      <c r="M1423">
        <v>-0.99973599999999996</v>
      </c>
      <c r="N1423">
        <v>-1.1470269999999999E-2</v>
      </c>
      <c r="O1423">
        <v>1.9910830000000001E-2</v>
      </c>
      <c r="P1423">
        <v>-0.98941889999999999</v>
      </c>
      <c r="Q1423">
        <v>-0.1297382</v>
      </c>
      <c r="R1423">
        <v>-6.4949240000000005E-2</v>
      </c>
      <c r="S1423">
        <v>-3.030853</v>
      </c>
      <c r="T1423">
        <v>-0.1065246</v>
      </c>
      <c r="U1423">
        <v>0.19421389999999999</v>
      </c>
      <c r="V1423">
        <v>-8.4717539999999994E-2</v>
      </c>
      <c r="W1423">
        <v>-0.1183406</v>
      </c>
      <c r="X1423">
        <v>0.98935249999999997</v>
      </c>
      <c r="Y1423">
        <v>4.4033339999999997E-2</v>
      </c>
      <c r="Z1423">
        <v>5.5512439999999997E-4</v>
      </c>
      <c r="AA1423">
        <v>0.99902990000000003</v>
      </c>
      <c r="AB1423">
        <v>43</v>
      </c>
      <c r="AC1423">
        <v>-31.070499999999999</v>
      </c>
      <c r="AD1423">
        <v>-1.1079637046369999</v>
      </c>
      <c r="AE1423">
        <v>2.0110000000000201</v>
      </c>
      <c r="AF1423">
        <v>1.39016079623661</v>
      </c>
      <c r="AG1423">
        <v>-1.1079637046369999</v>
      </c>
      <c r="AH1423">
        <v>31.065045190713199</v>
      </c>
      <c r="AI1423">
        <v>92.040600929039002</v>
      </c>
      <c r="AJ1423">
        <v>87.437723283349698</v>
      </c>
      <c r="AK1423">
        <v>31.115866745299599</v>
      </c>
      <c r="AL1423">
        <v>96.7963438003612</v>
      </c>
      <c r="AM1423">
        <v>94.894257343372601</v>
      </c>
      <c r="AN1423">
        <v>0.99999996422412996</v>
      </c>
    </row>
    <row r="1424" spans="1:40" x14ac:dyDescent="0.25">
      <c r="A1424" t="str">
        <f>"20190305135609714"</f>
        <v>20190305135609714</v>
      </c>
      <c r="B1424" t="str">
        <f>"1551765369702899"</f>
        <v>1551765369702899</v>
      </c>
      <c r="C1424" t="s">
        <v>40</v>
      </c>
      <c r="D1424">
        <v>4.3750970000000002</v>
      </c>
      <c r="E1424">
        <v>0.551172</v>
      </c>
      <c r="F1424" t="s">
        <v>55</v>
      </c>
      <c r="G1424">
        <v>-337.76799999999997</v>
      </c>
      <c r="H1424" s="1">
        <v>2.5531050000000001E-6</v>
      </c>
      <c r="I1424">
        <v>285.61970000000002</v>
      </c>
      <c r="J1424">
        <v>-306.61329999999998</v>
      </c>
      <c r="K1424">
        <v>1.1079460000000001</v>
      </c>
      <c r="L1424">
        <v>283.60899999999998</v>
      </c>
      <c r="M1424">
        <v>-0.99973040000000002</v>
      </c>
      <c r="N1424">
        <v>-1.146003E-2</v>
      </c>
      <c r="O1424">
        <v>2.020222E-2</v>
      </c>
      <c r="P1424">
        <v>-0.98945810000000001</v>
      </c>
      <c r="Q1424">
        <v>-0.1294759</v>
      </c>
      <c r="R1424">
        <v>-6.4876290000000003E-2</v>
      </c>
      <c r="S1424">
        <v>-3.030853</v>
      </c>
      <c r="T1424">
        <v>-0.106417899999999</v>
      </c>
      <c r="U1424">
        <v>0.19390869999999999</v>
      </c>
      <c r="V1424">
        <v>-8.4940020000000005E-2</v>
      </c>
      <c r="W1424">
        <v>-0.11808349999999999</v>
      </c>
      <c r="X1424">
        <v>0.98936409999999997</v>
      </c>
      <c r="Y1424">
        <v>4.3642430000000003E-2</v>
      </c>
      <c r="Z1424">
        <v>5.3864820000000004E-4</v>
      </c>
      <c r="AA1424">
        <v>0.99904700000000002</v>
      </c>
      <c r="AB1424">
        <v>43</v>
      </c>
      <c r="AC1424">
        <v>-31.154699999999998</v>
      </c>
      <c r="AD1424">
        <v>-1.10794344689499</v>
      </c>
      <c r="AE1424">
        <v>2.0106999999999799</v>
      </c>
      <c r="AF1424">
        <v>1.3791173222352799</v>
      </c>
      <c r="AG1424">
        <v>-1.10794344689499</v>
      </c>
      <c r="AH1424">
        <v>31.149732501950901</v>
      </c>
      <c r="AI1424">
        <v>92.0350636198621</v>
      </c>
      <c r="AJ1424">
        <v>87.464953083222497</v>
      </c>
      <c r="AK1424">
        <v>31.199925291787199</v>
      </c>
      <c r="AL1424">
        <v>96.781509332423298</v>
      </c>
      <c r="AM1424">
        <v>94.906990411860406</v>
      </c>
      <c r="AN1424">
        <v>0.99999992116932701</v>
      </c>
    </row>
    <row r="1425" spans="1:40" x14ac:dyDescent="0.25">
      <c r="A1425" t="str">
        <f>"20190305135609736"</f>
        <v>20190305135609736</v>
      </c>
      <c r="B1425" t="str">
        <f>"1551765369733155"</f>
        <v>1551765369733155</v>
      </c>
      <c r="C1425" t="s">
        <v>40</v>
      </c>
      <c r="D1425">
        <v>4.274737</v>
      </c>
      <c r="E1425">
        <v>0.5520718</v>
      </c>
      <c r="F1425" t="s">
        <v>55</v>
      </c>
      <c r="G1425">
        <v>-338.24860000000001</v>
      </c>
      <c r="H1425" s="1">
        <v>2.8079670000000002E-6</v>
      </c>
      <c r="I1425">
        <v>285.64</v>
      </c>
      <c r="J1425">
        <v>-307.03399999999999</v>
      </c>
      <c r="K1425">
        <v>1.1079209999999999</v>
      </c>
      <c r="L1425">
        <v>283.61779999999999</v>
      </c>
      <c r="M1425">
        <v>-0.99972399999999995</v>
      </c>
      <c r="N1425">
        <v>-1.144995E-2</v>
      </c>
      <c r="O1425">
        <v>2.0517049999999998E-2</v>
      </c>
      <c r="P1425">
        <v>-0.98953919999999995</v>
      </c>
      <c r="Q1425">
        <v>-0.1291621</v>
      </c>
      <c r="R1425">
        <v>-6.4262550000000002E-2</v>
      </c>
      <c r="S1425">
        <v>-3.0308229999999998</v>
      </c>
      <c r="T1425">
        <v>-0.1061465</v>
      </c>
      <c r="U1425">
        <v>0.19458010000000001</v>
      </c>
      <c r="V1425">
        <v>-8.4644499999999998E-2</v>
      </c>
      <c r="W1425">
        <v>-0.1177752</v>
      </c>
      <c r="X1425">
        <v>0.98942629999999998</v>
      </c>
      <c r="Y1425">
        <v>4.3549160000000003E-2</v>
      </c>
      <c r="Z1425">
        <v>5.2851009999999997E-4</v>
      </c>
      <c r="AA1425">
        <v>0.99905120000000003</v>
      </c>
      <c r="AB1425">
        <v>43</v>
      </c>
      <c r="AC1425">
        <v>-31.214600000000001</v>
      </c>
      <c r="AD1425">
        <v>-1.1079181920329999</v>
      </c>
      <c r="AE1425">
        <v>2.02219999999999</v>
      </c>
      <c r="AF1425">
        <v>1.3795701127395199</v>
      </c>
      <c r="AG1425">
        <v>-1.1079181920329999</v>
      </c>
      <c r="AH1425">
        <v>31.2103665292281</v>
      </c>
      <c r="AI1425">
        <v>92.031073456693804</v>
      </c>
      <c r="AJ1425">
        <v>87.469042037140397</v>
      </c>
      <c r="AK1425">
        <v>31.2604810472418</v>
      </c>
      <c r="AL1425">
        <v>96.763720065213207</v>
      </c>
      <c r="AM1425">
        <v>94.889695210295997</v>
      </c>
      <c r="AN1425">
        <v>1.0000000461234799</v>
      </c>
    </row>
    <row r="1426" spans="1:40" x14ac:dyDescent="0.25">
      <c r="A1426" t="str">
        <f>"20190305135609759"</f>
        <v>20190305135609759</v>
      </c>
      <c r="B1426" t="str">
        <f>"1551765369753651"</f>
        <v>1551765369753651</v>
      </c>
      <c r="C1426" t="s">
        <v>40</v>
      </c>
      <c r="D1426">
        <v>4.1990660000000002</v>
      </c>
      <c r="E1426">
        <v>0.55291000000000001</v>
      </c>
      <c r="F1426" t="s">
        <v>55</v>
      </c>
      <c r="G1426">
        <v>-341.14550000000003</v>
      </c>
      <c r="H1426" s="1">
        <v>-9.2720240000000001E-7</v>
      </c>
      <c r="I1426">
        <v>285.9058</v>
      </c>
      <c r="J1426">
        <v>-307.47550000000001</v>
      </c>
      <c r="K1426">
        <v>1.1078969999999999</v>
      </c>
      <c r="L1426">
        <v>283.62709999999998</v>
      </c>
      <c r="M1426">
        <v>-0.99971719999999997</v>
      </c>
      <c r="N1426">
        <v>-1.14406E-2</v>
      </c>
      <c r="O1426">
        <v>2.0852639999999999E-2</v>
      </c>
      <c r="P1426">
        <v>-0.98951319999999998</v>
      </c>
      <c r="Q1426">
        <v>-0.1295203</v>
      </c>
      <c r="R1426">
        <v>-6.3941129999999999E-2</v>
      </c>
      <c r="S1426">
        <v>-3.0320740000000002</v>
      </c>
      <c r="T1426">
        <v>-9.8479869999999997E-2</v>
      </c>
      <c r="U1426">
        <v>0.2033691</v>
      </c>
      <c r="V1426">
        <v>-8.4659219999999993E-2</v>
      </c>
      <c r="W1426">
        <v>-0.1181397</v>
      </c>
      <c r="X1426">
        <v>0.98938159999999997</v>
      </c>
      <c r="Y1426">
        <v>4.6072299999999997E-2</v>
      </c>
      <c r="Z1426">
        <v>5.7324220000000003E-4</v>
      </c>
      <c r="AA1426">
        <v>0.99893799999999999</v>
      </c>
      <c r="AB1426">
        <v>43</v>
      </c>
      <c r="AC1426">
        <v>-33.67</v>
      </c>
      <c r="AD1426">
        <v>-1.1078979272024001</v>
      </c>
      <c r="AE1426">
        <v>2.2787000000000099</v>
      </c>
      <c r="AF1426">
        <v>1.5743533823879099</v>
      </c>
      <c r="AG1426">
        <v>-1.1078979272024001</v>
      </c>
      <c r="AH1426">
        <v>33.67390491906</v>
      </c>
      <c r="AI1426">
        <v>91.882341786445593</v>
      </c>
      <c r="AJ1426">
        <v>87.323204214308106</v>
      </c>
      <c r="AK1426">
        <v>33.728888195249297</v>
      </c>
      <c r="AL1426">
        <v>96.784751098031407</v>
      </c>
      <c r="AM1426">
        <v>94.890761304729494</v>
      </c>
      <c r="AN1426">
        <v>1.0000000613328199</v>
      </c>
    </row>
    <row r="1427" spans="1:40" x14ac:dyDescent="0.25">
      <c r="A1427" t="str">
        <f>"20190305135609781"</f>
        <v>20190305135609781</v>
      </c>
      <c r="B1427" t="str">
        <f>"1551765369773174"</f>
        <v>1551765369773174</v>
      </c>
      <c r="C1427" t="s">
        <v>40</v>
      </c>
      <c r="D1427">
        <v>4.1585700000000001</v>
      </c>
      <c r="E1427">
        <v>0.55369109999999999</v>
      </c>
      <c r="F1427" t="s">
        <v>55</v>
      </c>
      <c r="G1427">
        <v>-343.48809999999997</v>
      </c>
      <c r="H1427" s="1">
        <v>3.1941599999999998E-7</v>
      </c>
      <c r="I1427">
        <v>286.12540000000001</v>
      </c>
      <c r="J1427">
        <v>-307.92599999999999</v>
      </c>
      <c r="K1427">
        <v>1.107877</v>
      </c>
      <c r="L1427">
        <v>283.63670000000002</v>
      </c>
      <c r="M1427">
        <v>-0.99970999999999999</v>
      </c>
      <c r="N1427">
        <v>-1.1435900000000001E-2</v>
      </c>
      <c r="O1427">
        <v>2.1198310000000001E-2</v>
      </c>
      <c r="P1427">
        <v>-0.98943320000000001</v>
      </c>
      <c r="Q1427">
        <v>-0.13015679999999999</v>
      </c>
      <c r="R1427">
        <v>-6.3884360000000001E-2</v>
      </c>
      <c r="S1427">
        <v>-3.0331730000000001</v>
      </c>
      <c r="T1427">
        <v>-9.3312980000000004E-2</v>
      </c>
      <c r="U1427">
        <v>0.21041869999999999</v>
      </c>
      <c r="V1427">
        <v>-8.4947060000000005E-2</v>
      </c>
      <c r="W1427">
        <v>-0.1187788</v>
      </c>
      <c r="X1427">
        <v>0.9892803</v>
      </c>
      <c r="Y1427">
        <v>4.8014630000000003E-2</v>
      </c>
      <c r="Z1427">
        <v>6.035821E-4</v>
      </c>
      <c r="AA1427">
        <v>0.99884649999999997</v>
      </c>
      <c r="AB1427">
        <v>43</v>
      </c>
      <c r="AC1427">
        <v>-35.562099999999901</v>
      </c>
      <c r="AD1427">
        <v>-1.1078766805839999</v>
      </c>
      <c r="AE1427">
        <v>2.4886999999999899</v>
      </c>
      <c r="AF1427">
        <v>1.73256175604741</v>
      </c>
      <c r="AG1427">
        <v>-1.1078766805839999</v>
      </c>
      <c r="AH1427">
        <v>35.5725116352965</v>
      </c>
      <c r="AI1427">
        <v>91.781742728788203</v>
      </c>
      <c r="AJ1427">
        <v>87.211608374728996</v>
      </c>
      <c r="AK1427">
        <v>35.631906278239001</v>
      </c>
      <c r="AL1427">
        <v>96.821629186302005</v>
      </c>
      <c r="AM1427">
        <v>94.907808792634697</v>
      </c>
      <c r="AN1427">
        <v>0.99999995915008499</v>
      </c>
    </row>
    <row r="1428" spans="1:40" x14ac:dyDescent="0.25">
      <c r="A1428" t="str">
        <f>"20190305135609802"</f>
        <v>20190305135609802</v>
      </c>
      <c r="B1428" t="str">
        <f>"1551765369793670"</f>
        <v>1551765369793670</v>
      </c>
      <c r="C1428" t="s">
        <v>40</v>
      </c>
      <c r="D1428">
        <v>4.1337989999999998</v>
      </c>
      <c r="E1428">
        <v>0.55436240000000003</v>
      </c>
      <c r="F1428" t="s">
        <v>55</v>
      </c>
      <c r="G1428">
        <v>-345.62079999999997</v>
      </c>
      <c r="H1428" s="1">
        <v>1.454309E-6</v>
      </c>
      <c r="I1428">
        <v>286.32279999999997</v>
      </c>
      <c r="J1428">
        <v>-308.3381</v>
      </c>
      <c r="K1428">
        <v>1.1078619999999999</v>
      </c>
      <c r="L1428">
        <v>283.64580000000001</v>
      </c>
      <c r="M1428">
        <v>-0.99970320000000001</v>
      </c>
      <c r="N1428">
        <v>-1.144362E-2</v>
      </c>
      <c r="O1428">
        <v>2.1515739999999998E-2</v>
      </c>
      <c r="P1428">
        <v>-0.98938689999999996</v>
      </c>
      <c r="Q1428">
        <v>-0.1304603</v>
      </c>
      <c r="R1428">
        <v>-6.3986440000000006E-2</v>
      </c>
      <c r="S1428">
        <v>-3.0342709999999999</v>
      </c>
      <c r="T1428">
        <v>-8.9179399999999895E-2</v>
      </c>
      <c r="U1428">
        <v>0.21621699999999999</v>
      </c>
      <c r="V1428">
        <v>-8.5365269999999993E-2</v>
      </c>
      <c r="W1428">
        <v>-0.11907280000000001</v>
      </c>
      <c r="X1428">
        <v>0.989209</v>
      </c>
      <c r="Y1428">
        <v>4.9572720000000001E-2</v>
      </c>
      <c r="Z1428">
        <v>6.2618329999999999E-4</v>
      </c>
      <c r="AA1428">
        <v>0.9987703</v>
      </c>
      <c r="AB1428">
        <v>43</v>
      </c>
      <c r="AC1428">
        <v>-37.282699999999899</v>
      </c>
      <c r="AD1428">
        <v>-1.107860545691</v>
      </c>
      <c r="AE1428">
        <v>2.6769999999999601</v>
      </c>
      <c r="AF1428">
        <v>1.8725180264758501</v>
      </c>
      <c r="AG1428">
        <v>-1.107860545691</v>
      </c>
      <c r="AH1428">
        <v>37.298904076619003</v>
      </c>
      <c r="AI1428">
        <v>91.6991734543045</v>
      </c>
      <c r="AJ1428">
        <v>87.1259910987457</v>
      </c>
      <c r="AK1428">
        <v>37.362306193073799</v>
      </c>
      <c r="AL1428">
        <v>96.838594243237097</v>
      </c>
      <c r="AM1428">
        <v>94.932205679285602</v>
      </c>
      <c r="AN1428">
        <v>1.0000000033515</v>
      </c>
    </row>
    <row r="1429" spans="1:40" x14ac:dyDescent="0.25">
      <c r="A1429" t="str">
        <f>"20190305135609826"</f>
        <v>20190305135609826</v>
      </c>
      <c r="B1429" t="str">
        <f>"1551765369813693"</f>
        <v>1551765369813693</v>
      </c>
      <c r="C1429" t="s">
        <v>40</v>
      </c>
      <c r="D1429">
        <v>4.1112840000000004</v>
      </c>
      <c r="E1429">
        <v>0.55503959999999997</v>
      </c>
      <c r="F1429" t="s">
        <v>55</v>
      </c>
      <c r="G1429">
        <v>-347.93970000000002</v>
      </c>
      <c r="H1429" s="1">
        <v>2.6883109999999998E-6</v>
      </c>
      <c r="I1429">
        <v>286.52969999999999</v>
      </c>
      <c r="J1429">
        <v>-308.77409999999998</v>
      </c>
      <c r="K1429">
        <v>1.1078479999999999</v>
      </c>
      <c r="L1429">
        <v>283.65539999999999</v>
      </c>
      <c r="M1429">
        <v>-0.99969540000000001</v>
      </c>
      <c r="N1429">
        <v>-1.147392E-2</v>
      </c>
      <c r="O1429">
        <v>2.1852420000000001E-2</v>
      </c>
      <c r="P1429">
        <v>-0.9892514</v>
      </c>
      <c r="Q1429">
        <v>-0.13148009999999999</v>
      </c>
      <c r="R1429">
        <v>-6.3991820000000005E-2</v>
      </c>
      <c r="S1429">
        <v>-3.0352779999999999</v>
      </c>
      <c r="T1429">
        <v>-8.4912299999999996E-2</v>
      </c>
      <c r="U1429">
        <v>0.22103880000000001</v>
      </c>
      <c r="V1429">
        <v>-8.5704509999999998E-2</v>
      </c>
      <c r="W1429">
        <v>-0.1200618</v>
      </c>
      <c r="X1429">
        <v>0.9890601</v>
      </c>
      <c r="Y1429">
        <v>5.0792480000000001E-2</v>
      </c>
      <c r="Z1429">
        <v>6.4146129999999996E-4</v>
      </c>
      <c r="AA1429">
        <v>0.99870899999999996</v>
      </c>
      <c r="AB1429">
        <v>43</v>
      </c>
      <c r="AC1429">
        <v>-39.165599999999998</v>
      </c>
      <c r="AD1429">
        <v>-1.1078453116889999</v>
      </c>
      <c r="AE1429">
        <v>2.8742999999999999</v>
      </c>
      <c r="AF1429">
        <v>2.0160896465001699</v>
      </c>
      <c r="AG1429">
        <v>-1.1078453116889999</v>
      </c>
      <c r="AH1429">
        <v>39.187874285286199</v>
      </c>
      <c r="AI1429">
        <v>91.617188782151402</v>
      </c>
      <c r="AJ1429">
        <v>87.054913566993605</v>
      </c>
      <c r="AK1429">
        <v>39.255336321279401</v>
      </c>
      <c r="AL1429">
        <v>96.895669313327502</v>
      </c>
      <c r="AM1429">
        <v>94.952450669812293</v>
      </c>
      <c r="AN1429">
        <v>0.99999999013279495</v>
      </c>
    </row>
    <row r="1430" spans="1:40" x14ac:dyDescent="0.25">
      <c r="A1430" t="str">
        <f>"20190305135609850"</f>
        <v>20190305135609850</v>
      </c>
      <c r="B1430" t="str">
        <f>"1551765369842973"</f>
        <v>1551765369842973</v>
      </c>
      <c r="C1430" t="s">
        <v>40</v>
      </c>
      <c r="D1430">
        <v>4.1123909999999997</v>
      </c>
      <c r="E1430">
        <v>0.55579579999999995</v>
      </c>
      <c r="F1430" t="s">
        <v>55</v>
      </c>
      <c r="G1430">
        <v>-349.2679</v>
      </c>
      <c r="H1430" s="1">
        <v>3.3951380000000001E-6</v>
      </c>
      <c r="I1430">
        <v>286.673</v>
      </c>
      <c r="J1430">
        <v>-309.25290000000001</v>
      </c>
      <c r="K1430">
        <v>1.107845</v>
      </c>
      <c r="L1430">
        <v>283.6662</v>
      </c>
      <c r="M1430">
        <v>-0.99968619999999997</v>
      </c>
      <c r="N1430">
        <v>-1.155756E-2</v>
      </c>
      <c r="O1430">
        <v>2.2225370000000001E-2</v>
      </c>
      <c r="P1430">
        <v>-0.98913289999999998</v>
      </c>
      <c r="Q1430">
        <v>-0.13244779999999901</v>
      </c>
      <c r="R1430">
        <v>-6.3826419999999995E-2</v>
      </c>
      <c r="S1430">
        <v>-3.0361940000000001</v>
      </c>
      <c r="T1430">
        <v>-8.3065269999999997E-2</v>
      </c>
      <c r="U1430">
        <v>0.22625729999999999</v>
      </c>
      <c r="V1430">
        <v>-8.5909810000000003E-2</v>
      </c>
      <c r="W1430">
        <v>-0.12094539999999999</v>
      </c>
      <c r="X1430">
        <v>0.9889346</v>
      </c>
      <c r="Y1430">
        <v>5.2105390000000001E-2</v>
      </c>
      <c r="Z1430">
        <v>6.6288570000000002E-4</v>
      </c>
      <c r="AA1430">
        <v>0.99864140000000001</v>
      </c>
      <c r="AB1430">
        <v>43</v>
      </c>
      <c r="AC1430">
        <v>-40.014999999999901</v>
      </c>
      <c r="AD1430">
        <v>-1.1078416048619999</v>
      </c>
      <c r="AE1430">
        <v>3.0067999999999899</v>
      </c>
      <c r="AF1430">
        <v>2.11503754824985</v>
      </c>
      <c r="AG1430">
        <v>-1.1078416048619999</v>
      </c>
      <c r="AH1430">
        <v>40.041426858469698</v>
      </c>
      <c r="AI1430">
        <v>91.582614982955803</v>
      </c>
      <c r="AJ1430">
        <v>86.9763762296528</v>
      </c>
      <c r="AK1430">
        <v>40.112548681355896</v>
      </c>
      <c r="AL1430">
        <v>96.946667677051096</v>
      </c>
      <c r="AM1430">
        <v>94.964881591868505</v>
      </c>
      <c r="AN1430">
        <v>0.99999996415627701</v>
      </c>
    </row>
    <row r="1431" spans="1:40" x14ac:dyDescent="0.25">
      <c r="A1431" t="str">
        <f>"20190305135609872"</f>
        <v>20190305135609872</v>
      </c>
      <c r="B1431" t="str">
        <f>"1551765369863470"</f>
        <v>1551765369863470</v>
      </c>
      <c r="C1431" t="s">
        <v>40</v>
      </c>
      <c r="D1431">
        <v>4.1026939999999996</v>
      </c>
      <c r="E1431">
        <v>0.55617530000000004</v>
      </c>
      <c r="F1431" t="s">
        <v>55</v>
      </c>
      <c r="G1431">
        <v>-351.35410000000002</v>
      </c>
      <c r="H1431" s="1">
        <v>-8.1618489999999998E-7</v>
      </c>
      <c r="I1431">
        <v>286.89</v>
      </c>
      <c r="J1431">
        <v>-309.67610000000002</v>
      </c>
      <c r="K1431">
        <v>1.1078749999999999</v>
      </c>
      <c r="L1431">
        <v>283.67590000000001</v>
      </c>
      <c r="M1431">
        <v>-0.99967720000000004</v>
      </c>
      <c r="N1431">
        <v>-1.174236E-2</v>
      </c>
      <c r="O1431">
        <v>2.2539150000000001E-2</v>
      </c>
      <c r="P1431">
        <v>-0.98898489999999994</v>
      </c>
      <c r="Q1431">
        <v>-0.1336695</v>
      </c>
      <c r="R1431">
        <v>-6.3575220000000002E-2</v>
      </c>
      <c r="S1431">
        <v>-3.0372919999999999</v>
      </c>
      <c r="T1431">
        <v>-7.9922800000000002E-2</v>
      </c>
      <c r="U1431">
        <v>0.23257449999999999</v>
      </c>
      <c r="V1431">
        <v>-8.5968119999999995E-2</v>
      </c>
      <c r="W1431">
        <v>-0.1219848</v>
      </c>
      <c r="X1431">
        <v>0.98880190000000001</v>
      </c>
      <c r="Y1431">
        <v>5.383069E-2</v>
      </c>
      <c r="Z1431">
        <v>6.9606629999999995E-4</v>
      </c>
      <c r="AA1431">
        <v>0.99854980000000004</v>
      </c>
      <c r="AB1431">
        <v>43</v>
      </c>
      <c r="AC1431">
        <v>-41.677999999999997</v>
      </c>
      <c r="AD1431">
        <v>-1.1078758161849001</v>
      </c>
      <c r="AE1431">
        <v>3.21409999999997</v>
      </c>
      <c r="AF1431">
        <v>2.2722360554045999</v>
      </c>
      <c r="AG1431">
        <v>-1.1078758161849001</v>
      </c>
      <c r="AH1431">
        <v>41.710560682591797</v>
      </c>
      <c r="AI1431">
        <v>91.519226139823601</v>
      </c>
      <c r="AJ1431">
        <v>86.881821379610301</v>
      </c>
      <c r="AK1431">
        <v>41.787095112866403</v>
      </c>
      <c r="AL1431">
        <v>97.006664879033096</v>
      </c>
      <c r="AM1431">
        <v>94.968897983529104</v>
      </c>
      <c r="AN1431">
        <v>1.0000000032654901</v>
      </c>
    </row>
    <row r="1432" spans="1:40" x14ac:dyDescent="0.25">
      <c r="A1432" t="str">
        <f>"20190305135609895"</f>
        <v>20190305135609895</v>
      </c>
      <c r="B1432" t="str">
        <f>"1551765369882989"</f>
        <v>1551765369882989</v>
      </c>
      <c r="C1432" t="s">
        <v>40</v>
      </c>
      <c r="D1432">
        <v>4.1323259999999999</v>
      </c>
      <c r="E1432">
        <v>0.55651919999999899</v>
      </c>
      <c r="F1432" t="s">
        <v>55</v>
      </c>
      <c r="G1432">
        <v>-351.726</v>
      </c>
      <c r="H1432" s="1">
        <v>-6.1831619999999997E-7</v>
      </c>
      <c r="I1432">
        <v>286.94810000000001</v>
      </c>
      <c r="J1432">
        <v>-310.12220000000002</v>
      </c>
      <c r="K1432">
        <v>1.1079349999999999</v>
      </c>
      <c r="L1432">
        <v>283.68619999999999</v>
      </c>
      <c r="M1432">
        <v>-0.99966650000000001</v>
      </c>
      <c r="N1432">
        <v>-1.202392E-2</v>
      </c>
      <c r="O1432">
        <v>2.2858050000000001E-2</v>
      </c>
      <c r="P1432">
        <v>-0.9889175</v>
      </c>
      <c r="Q1432">
        <v>-0.13424920000000001</v>
      </c>
      <c r="R1432">
        <v>-6.3401280000000004E-2</v>
      </c>
      <c r="S1432">
        <v>-3.0377809999999998</v>
      </c>
      <c r="T1432">
        <v>-8.0035449999999994E-2</v>
      </c>
      <c r="U1432">
        <v>0.23638919999999999</v>
      </c>
      <c r="V1432">
        <v>-8.6108229999999994E-2</v>
      </c>
      <c r="W1432">
        <v>-0.12228700000000001</v>
      </c>
      <c r="X1432">
        <v>0.98875239999999998</v>
      </c>
      <c r="Y1432">
        <v>5.4745559999999999E-2</v>
      </c>
      <c r="Z1432">
        <v>7.2313219999999999E-4</v>
      </c>
      <c r="AA1432">
        <v>0.99850000000000005</v>
      </c>
      <c r="AB1432">
        <v>43</v>
      </c>
      <c r="AC1432">
        <v>-41.6037999999999</v>
      </c>
      <c r="AD1432">
        <v>-1.1079356183161999</v>
      </c>
      <c r="AE1432">
        <v>3.2619000000000198</v>
      </c>
      <c r="AF1432">
        <v>2.30837012885008</v>
      </c>
      <c r="AG1432">
        <v>-1.1079356183161999</v>
      </c>
      <c r="AH1432">
        <v>41.638145299429297</v>
      </c>
      <c r="AI1432">
        <v>91.521868957279906</v>
      </c>
      <c r="AJ1432">
        <v>86.826837130668693</v>
      </c>
      <c r="AK1432">
        <v>41.716798031038898</v>
      </c>
      <c r="AL1432">
        <v>97.024110130681706</v>
      </c>
      <c r="AM1432">
        <v>94.977203512861095</v>
      </c>
      <c r="AN1432">
        <v>1.0000000230742401</v>
      </c>
    </row>
    <row r="1433" spans="1:40" x14ac:dyDescent="0.25">
      <c r="A1433" t="str">
        <f>"20190305135609917"</f>
        <v>20190305135609917</v>
      </c>
      <c r="B1433" t="str">
        <f>"1551765369913245"</f>
        <v>1551765369913245</v>
      </c>
      <c r="C1433" t="s">
        <v>40</v>
      </c>
      <c r="D1433">
        <v>4.1125699999999998</v>
      </c>
      <c r="E1433">
        <v>0.55708659999999999</v>
      </c>
      <c r="F1433" t="s">
        <v>55</v>
      </c>
      <c r="G1433">
        <v>-353.15429999999998</v>
      </c>
      <c r="H1433" s="1">
        <v>1.4177970000000001E-7</v>
      </c>
      <c r="I1433">
        <v>287.07960000000003</v>
      </c>
      <c r="J1433">
        <v>-310.54360000000003</v>
      </c>
      <c r="K1433">
        <v>1.107999</v>
      </c>
      <c r="L1433">
        <v>283.6961</v>
      </c>
      <c r="M1433">
        <v>-0.99965610000000005</v>
      </c>
      <c r="N1433">
        <v>-1.233309E-2</v>
      </c>
      <c r="O1433">
        <v>2.314853E-2</v>
      </c>
      <c r="P1433">
        <v>-0.98875489999999999</v>
      </c>
      <c r="Q1433">
        <v>-0.1355943</v>
      </c>
      <c r="R1433">
        <v>-6.307161E-2</v>
      </c>
      <c r="S1433">
        <v>-3.0383610000000001</v>
      </c>
      <c r="T1433">
        <v>-7.8227759999999993E-2</v>
      </c>
      <c r="U1433">
        <v>0.23959349999999999</v>
      </c>
      <c r="V1433">
        <v>-8.6059780000000002E-2</v>
      </c>
      <c r="W1433">
        <v>-0.1233308</v>
      </c>
      <c r="X1433">
        <v>0.98862700000000003</v>
      </c>
      <c r="Y1433">
        <v>5.5487420000000003E-2</v>
      </c>
      <c r="Z1433">
        <v>7.4619659999999996E-4</v>
      </c>
      <c r="AA1433">
        <v>0.99845910000000004</v>
      </c>
      <c r="AB1433">
        <v>43</v>
      </c>
      <c r="AC1433">
        <v>-42.610699999999902</v>
      </c>
      <c r="AD1433">
        <v>-1.1079988582203</v>
      </c>
      <c r="AE1433">
        <v>3.3835000000000202</v>
      </c>
      <c r="AF1433">
        <v>2.3945343405676498</v>
      </c>
      <c r="AG1433">
        <v>-1.1079988582203</v>
      </c>
      <c r="AH1433">
        <v>42.648952877109799</v>
      </c>
      <c r="AI1433">
        <v>91.485842470537406</v>
      </c>
      <c r="AJ1433">
        <v>86.786490326274603</v>
      </c>
      <c r="AK1433">
        <v>42.7304883858341</v>
      </c>
      <c r="AL1433">
        <v>97.084371373441599</v>
      </c>
      <c r="AM1433">
        <v>94.975044876649903</v>
      </c>
      <c r="AN1433">
        <v>1.0000000585456399</v>
      </c>
    </row>
    <row r="1434" spans="1:40" x14ac:dyDescent="0.25">
      <c r="A1434" t="str">
        <f>"20190305135609937"</f>
        <v>20190305135609937</v>
      </c>
      <c r="B1434" t="str">
        <f>"1551765369933741"</f>
        <v>1551765369933741</v>
      </c>
      <c r="C1434" t="s">
        <v>40</v>
      </c>
      <c r="D1434">
        <v>4.140307</v>
      </c>
      <c r="E1434">
        <v>0.55712669999999997</v>
      </c>
      <c r="F1434" t="s">
        <v>55</v>
      </c>
      <c r="G1434">
        <v>-354.37439999999998</v>
      </c>
      <c r="H1434" s="1">
        <v>7.9105909999999895E-7</v>
      </c>
      <c r="I1434">
        <v>287.2276</v>
      </c>
      <c r="J1434">
        <v>-310.9434</v>
      </c>
      <c r="K1434">
        <v>1.108063</v>
      </c>
      <c r="L1434">
        <v>283.7056</v>
      </c>
      <c r="M1434">
        <v>-0.99964640000000005</v>
      </c>
      <c r="N1434">
        <v>-1.263397E-2</v>
      </c>
      <c r="O1434">
        <v>2.3405220000000001E-2</v>
      </c>
      <c r="P1434">
        <v>-0.98859750000000002</v>
      </c>
      <c r="Q1434">
        <v>-0.1369243</v>
      </c>
      <c r="R1434">
        <v>-6.2666920000000001E-2</v>
      </c>
      <c r="S1434">
        <v>-3.0391849999999998</v>
      </c>
      <c r="T1434">
        <v>-7.6827530000000005E-2</v>
      </c>
      <c r="U1434">
        <v>0.24487300000000001</v>
      </c>
      <c r="V1434">
        <v>-8.5900069999999995E-2</v>
      </c>
      <c r="W1434">
        <v>-0.1243694</v>
      </c>
      <c r="X1434">
        <v>0.98851069999999996</v>
      </c>
      <c r="Y1434">
        <v>5.693293E-2</v>
      </c>
      <c r="Z1434">
        <v>7.8352239999999996E-4</v>
      </c>
      <c r="AA1434">
        <v>0.99837770000000003</v>
      </c>
      <c r="AB1434">
        <v>43</v>
      </c>
      <c r="AC1434">
        <v>-43.430999999999898</v>
      </c>
      <c r="AD1434">
        <v>-1.1080622089409</v>
      </c>
      <c r="AE1434">
        <v>3.52199999999999</v>
      </c>
      <c r="AF1434">
        <v>2.50282346298206</v>
      </c>
      <c r="AG1434">
        <v>-1.1080622089409</v>
      </c>
      <c r="AH1434">
        <v>43.473427468822003</v>
      </c>
      <c r="AI1434">
        <v>91.4576412463107</v>
      </c>
      <c r="AJ1434">
        <v>86.705042333560101</v>
      </c>
      <c r="AK1434">
        <v>43.559508985210798</v>
      </c>
      <c r="AL1434">
        <v>97.144340990046103</v>
      </c>
      <c r="AM1434">
        <v>94.966439702502001</v>
      </c>
      <c r="AN1434">
        <v>0.99999998684842695</v>
      </c>
    </row>
    <row r="1435" spans="1:40" x14ac:dyDescent="0.25">
      <c r="A1435" t="str">
        <f>"20190305135609960"</f>
        <v>20190305135609960</v>
      </c>
      <c r="B1435" t="str">
        <f>"1551765369953261"</f>
        <v>1551765369953261</v>
      </c>
      <c r="C1435" t="s">
        <v>40</v>
      </c>
      <c r="D1435">
        <v>4.1796089999999904</v>
      </c>
      <c r="E1435">
        <v>0.55692149999999996</v>
      </c>
      <c r="F1435" t="s">
        <v>55</v>
      </c>
      <c r="G1435">
        <v>-353.22120000000001</v>
      </c>
      <c r="H1435" s="1">
        <v>1.7739130000000001E-7</v>
      </c>
      <c r="I1435">
        <v>287.13240000000002</v>
      </c>
      <c r="J1435">
        <v>-311.38580000000002</v>
      </c>
      <c r="K1435">
        <v>1.1081379999999901</v>
      </c>
      <c r="L1435">
        <v>283.71620000000001</v>
      </c>
      <c r="M1435">
        <v>-0.99963639999999998</v>
      </c>
      <c r="N1435">
        <v>-1.2953060000000001E-2</v>
      </c>
      <c r="O1435">
        <v>2.365285E-2</v>
      </c>
      <c r="P1435">
        <v>-0.98842609999999997</v>
      </c>
      <c r="Q1435">
        <v>-0.13829079999999999</v>
      </c>
      <c r="R1435">
        <v>-6.2368439999999997E-2</v>
      </c>
      <c r="S1435">
        <v>-3.039215</v>
      </c>
      <c r="T1435">
        <v>-7.9654929999999999E-2</v>
      </c>
      <c r="U1435">
        <v>0.2463379</v>
      </c>
      <c r="V1435">
        <v>-8.5833839999999995E-2</v>
      </c>
      <c r="W1435">
        <v>-0.12542909999999999</v>
      </c>
      <c r="X1435">
        <v>0.9883826</v>
      </c>
      <c r="Y1435">
        <v>5.716094E-2</v>
      </c>
      <c r="Z1435">
        <v>8.0598339999999897E-4</v>
      </c>
      <c r="AA1435">
        <v>0.99836460000000005</v>
      </c>
      <c r="AB1435">
        <v>43</v>
      </c>
      <c r="AC1435">
        <v>-41.8353999999999</v>
      </c>
      <c r="AD1435">
        <v>-1.10813782260869</v>
      </c>
      <c r="AE1435">
        <v>3.4161999999999999</v>
      </c>
      <c r="AF1435">
        <v>2.42394530363556</v>
      </c>
      <c r="AG1435">
        <v>-1.10813782260869</v>
      </c>
      <c r="AH1435">
        <v>41.875317683366703</v>
      </c>
      <c r="AI1435">
        <v>91.5133205182659</v>
      </c>
      <c r="AJ1435">
        <v>86.687140790494396</v>
      </c>
      <c r="AK1435">
        <v>41.960048991294101</v>
      </c>
      <c r="AL1435">
        <v>97.205536174243704</v>
      </c>
      <c r="AM1435">
        <v>94.963269619117796</v>
      </c>
      <c r="AN1435">
        <v>1.0000000355993499</v>
      </c>
    </row>
    <row r="1436" spans="1:40" x14ac:dyDescent="0.25">
      <c r="A1436" t="str">
        <f>"20190305135609982"</f>
        <v>20190305135609982</v>
      </c>
      <c r="B1436" t="str">
        <f>"1551765369973761"</f>
        <v>1551765369973761</v>
      </c>
      <c r="C1436" t="s">
        <v>40</v>
      </c>
      <c r="D1436">
        <v>4.1961219999999999</v>
      </c>
      <c r="E1436">
        <v>0.55672809999999995</v>
      </c>
      <c r="F1436" t="s">
        <v>55</v>
      </c>
      <c r="G1436">
        <v>-351.16419999999999</v>
      </c>
      <c r="H1436" s="1">
        <v>-9.1723919999999998E-7</v>
      </c>
      <c r="I1436">
        <v>286.93239999999997</v>
      </c>
      <c r="J1436">
        <v>-311.80930000000001</v>
      </c>
      <c r="K1436">
        <v>1.108209</v>
      </c>
      <c r="L1436">
        <v>283.72629999999998</v>
      </c>
      <c r="M1436">
        <v>-0.99962830000000003</v>
      </c>
      <c r="N1436">
        <v>-1.323533E-2</v>
      </c>
      <c r="O1436">
        <v>2.3839260000000001E-2</v>
      </c>
      <c r="P1436">
        <v>-0.98833150000000003</v>
      </c>
      <c r="Q1436">
        <v>-0.13912579999999999</v>
      </c>
      <c r="R1436">
        <v>-6.2009559999999998E-2</v>
      </c>
      <c r="S1436">
        <v>-3.0387879999999998</v>
      </c>
      <c r="T1436">
        <v>-8.4653850000000003E-2</v>
      </c>
      <c r="U1436">
        <v>0.245697</v>
      </c>
      <c r="V1436">
        <v>-8.5645269999999996E-2</v>
      </c>
      <c r="W1436">
        <v>-0.12599449999999901</v>
      </c>
      <c r="X1436">
        <v>0.98832699999999996</v>
      </c>
      <c r="Y1436">
        <v>5.6774140000000001E-2</v>
      </c>
      <c r="Z1436">
        <v>8.1820220000000004E-4</v>
      </c>
      <c r="AA1436">
        <v>0.99838669999999996</v>
      </c>
      <c r="AB1436">
        <v>43</v>
      </c>
      <c r="AC1436">
        <v>-39.354900000000001</v>
      </c>
      <c r="AD1436">
        <v>-1.1082099172391999</v>
      </c>
      <c r="AE1436">
        <v>3.20609999999999</v>
      </c>
      <c r="AF1436">
        <v>2.2651306120473298</v>
      </c>
      <c r="AG1436">
        <v>-1.1082099172391999</v>
      </c>
      <c r="AH1436">
        <v>39.389123566303198</v>
      </c>
      <c r="AI1436">
        <v>91.608930376467796</v>
      </c>
      <c r="AJ1436">
        <v>86.708745151125996</v>
      </c>
      <c r="AK1436">
        <v>39.469760592532097</v>
      </c>
      <c r="AL1436">
        <v>97.238190571308493</v>
      </c>
      <c r="AM1436">
        <v>94.952697226638193</v>
      </c>
      <c r="AN1436">
        <v>0.99999999261631101</v>
      </c>
    </row>
    <row r="1437" spans="1:40" x14ac:dyDescent="0.25">
      <c r="A1437" t="str">
        <f>"20190305135610007"</f>
        <v>20190305135610007</v>
      </c>
      <c r="B1437" t="str">
        <f>"1551765370003038"</f>
        <v>1551765370003038</v>
      </c>
      <c r="C1437" t="s">
        <v>40</v>
      </c>
      <c r="D1437">
        <v>4.11517</v>
      </c>
      <c r="E1437">
        <v>0.55651830000000002</v>
      </c>
      <c r="F1437" t="s">
        <v>55</v>
      </c>
      <c r="G1437">
        <v>-350.11520000000002</v>
      </c>
      <c r="H1437" s="1">
        <v>-1.475482E-6</v>
      </c>
      <c r="I1437">
        <v>286.81889999999999</v>
      </c>
      <c r="J1437">
        <v>-312.2801</v>
      </c>
      <c r="K1437">
        <v>1.108277</v>
      </c>
      <c r="L1437">
        <v>283.73770000000002</v>
      </c>
      <c r="M1437">
        <v>-0.99962090000000003</v>
      </c>
      <c r="N1437">
        <v>-1.35204E-2</v>
      </c>
      <c r="O1437">
        <v>2.3986850000000001E-2</v>
      </c>
      <c r="P1437">
        <v>-0.98814539999999995</v>
      </c>
      <c r="Q1437">
        <v>-0.1404386</v>
      </c>
      <c r="R1437">
        <v>-6.2015599999999997E-2</v>
      </c>
      <c r="S1437">
        <v>-3.0384220000000002</v>
      </c>
      <c r="T1437">
        <v>-8.7903140000000005E-2</v>
      </c>
      <c r="U1437">
        <v>0.2453003</v>
      </c>
      <c r="V1437">
        <v>-8.5778430000000003E-2</v>
      </c>
      <c r="W1437">
        <v>-0.12703800000000001</v>
      </c>
      <c r="X1437">
        <v>0.98818189999999995</v>
      </c>
      <c r="Y1437">
        <v>5.6504890000000002E-2</v>
      </c>
      <c r="Z1437">
        <v>8.3000199999999896E-4</v>
      </c>
      <c r="AA1437">
        <v>0.99840200000000001</v>
      </c>
      <c r="AB1437">
        <v>43</v>
      </c>
      <c r="AC1437">
        <v>-37.835099999999997</v>
      </c>
      <c r="AD1437">
        <v>-1.1082784754820001</v>
      </c>
      <c r="AE1437">
        <v>3.08119999999996</v>
      </c>
      <c r="AF1437">
        <v>2.1708351252359099</v>
      </c>
      <c r="AG1437">
        <v>-1.1082784754820001</v>
      </c>
      <c r="AH1437">
        <v>37.8658505160072</v>
      </c>
      <c r="AI1437">
        <v>91.6737389771274</v>
      </c>
      <c r="AJ1437">
        <v>86.718845835578506</v>
      </c>
      <c r="AK1437">
        <v>37.944214863675597</v>
      </c>
      <c r="AL1437">
        <v>97.298462763598906</v>
      </c>
      <c r="AM1437">
        <v>94.961083938376504</v>
      </c>
      <c r="AN1437">
        <v>1.0000000299924301</v>
      </c>
    </row>
    <row r="1438" spans="1:40" x14ac:dyDescent="0.25">
      <c r="A1438" t="str">
        <f>"20190305135610027"</f>
        <v>20190305135610027</v>
      </c>
      <c r="B1438" t="str">
        <f>"1551765370023534"</f>
        <v>1551765370023534</v>
      </c>
      <c r="C1438" t="s">
        <v>40</v>
      </c>
      <c r="D1438">
        <v>4.1752180000000001</v>
      </c>
      <c r="E1438">
        <v>0.55637959999999997</v>
      </c>
      <c r="F1438" t="s">
        <v>55</v>
      </c>
      <c r="G1438">
        <v>-348.94420000000002</v>
      </c>
      <c r="H1438" s="1">
        <v>3.2228619999999999E-6</v>
      </c>
      <c r="I1438">
        <v>286.67840000000001</v>
      </c>
      <c r="J1438">
        <v>-312.66070000000002</v>
      </c>
      <c r="K1438">
        <v>1.1083259999999999</v>
      </c>
      <c r="L1438">
        <v>283.74689999999998</v>
      </c>
      <c r="M1438">
        <v>-0.99961630000000001</v>
      </c>
      <c r="N1438">
        <v>-1.3727090000000001E-2</v>
      </c>
      <c r="O1438">
        <v>2.4063640000000001E-2</v>
      </c>
      <c r="P1438">
        <v>-0.98796110000000004</v>
      </c>
      <c r="Q1438">
        <v>-0.1417813</v>
      </c>
      <c r="R1438">
        <v>-6.1899160000000002E-2</v>
      </c>
      <c r="S1438">
        <v>-3.0382389999999999</v>
      </c>
      <c r="T1438">
        <v>-9.1839080000000003E-2</v>
      </c>
      <c r="U1438">
        <v>0.24368290000000001</v>
      </c>
      <c r="V1438">
        <v>-8.5722770000000004E-2</v>
      </c>
      <c r="W1438">
        <v>-0.1281871</v>
      </c>
      <c r="X1438">
        <v>0.98803830000000004</v>
      </c>
      <c r="Y1438">
        <v>5.5902849999999997E-2</v>
      </c>
      <c r="Z1438">
        <v>8.3185559999999895E-4</v>
      </c>
      <c r="AA1438">
        <v>0.99843590000000004</v>
      </c>
      <c r="AB1438">
        <v>43</v>
      </c>
      <c r="AC1438">
        <v>-36.283499999999997</v>
      </c>
      <c r="AD1438">
        <v>-1.108322777138</v>
      </c>
      <c r="AE1438">
        <v>2.9315000000000202</v>
      </c>
      <c r="AF1438">
        <v>2.0555501778634699</v>
      </c>
      <c r="AG1438">
        <v>-1.108322777138</v>
      </c>
      <c r="AH1438">
        <v>36.309880627502501</v>
      </c>
      <c r="AI1438">
        <v>91.745560338552096</v>
      </c>
      <c r="AJ1438">
        <v>86.759868854325802</v>
      </c>
      <c r="AK1438">
        <v>36.384902048727803</v>
      </c>
      <c r="AL1438">
        <v>97.364844264781297</v>
      </c>
      <c r="AM1438">
        <v>94.958597813936294</v>
      </c>
      <c r="AN1438">
        <v>1.00000000408488</v>
      </c>
    </row>
    <row r="1439" spans="1:40" x14ac:dyDescent="0.25">
      <c r="A1439" t="str">
        <f>"20190305135610049"</f>
        <v>20190305135610049</v>
      </c>
      <c r="B1439" t="str">
        <f>"1551765370043054"</f>
        <v>1551765370043054</v>
      </c>
      <c r="C1439" t="s">
        <v>40</v>
      </c>
      <c r="D1439">
        <v>4.2449019999999997</v>
      </c>
      <c r="E1439">
        <v>0.55632360000000003</v>
      </c>
      <c r="F1439" t="s">
        <v>55</v>
      </c>
      <c r="G1439">
        <v>-347.83760000000001</v>
      </c>
      <c r="H1439" s="1">
        <v>2.6339989999999999E-6</v>
      </c>
      <c r="I1439">
        <v>286.55680000000001</v>
      </c>
      <c r="J1439">
        <v>-313.09739999999999</v>
      </c>
      <c r="K1439">
        <v>1.1083879999999999</v>
      </c>
      <c r="L1439">
        <v>283.75749999999999</v>
      </c>
      <c r="M1439">
        <v>-0.99961239999999996</v>
      </c>
      <c r="N1439">
        <v>-1.3940910000000001E-2</v>
      </c>
      <c r="O1439">
        <v>2.4101890000000001E-2</v>
      </c>
      <c r="P1439">
        <v>-0.98798459999999999</v>
      </c>
      <c r="Q1439">
        <v>-0.14170379999999999</v>
      </c>
      <c r="R1439">
        <v>-6.1697849999999999E-2</v>
      </c>
      <c r="S1439">
        <v>-3.0380250000000002</v>
      </c>
      <c r="T1439">
        <v>-9.5719460000000006E-2</v>
      </c>
      <c r="U1439">
        <v>0.2426758</v>
      </c>
      <c r="V1439">
        <v>-8.5545460000000004E-2</v>
      </c>
      <c r="W1439">
        <v>-0.12790750000000001</v>
      </c>
      <c r="X1439">
        <v>0.98808989999999997</v>
      </c>
      <c r="Y1439">
        <v>5.5539119999999997E-2</v>
      </c>
      <c r="Z1439">
        <v>8.3903119999999905E-4</v>
      </c>
      <c r="AA1439">
        <v>0.99845620000000002</v>
      </c>
      <c r="AB1439">
        <v>43</v>
      </c>
      <c r="AC1439">
        <v>-34.740200000000002</v>
      </c>
      <c r="AD1439">
        <v>-1.1083853660009999</v>
      </c>
      <c r="AE1439">
        <v>2.7993000000000099</v>
      </c>
      <c r="AF1439">
        <v>1.9591195168489199</v>
      </c>
      <c r="AG1439">
        <v>-1.1083853660009999</v>
      </c>
      <c r="AH1439">
        <v>34.762423871414804</v>
      </c>
      <c r="AI1439">
        <v>91.823341945540605</v>
      </c>
      <c r="AJ1439">
        <v>86.7743714919756</v>
      </c>
      <c r="AK1439">
        <v>34.835223277837201</v>
      </c>
      <c r="AL1439">
        <v>97.348691408002395</v>
      </c>
      <c r="AM1439">
        <v>94.948135237658406</v>
      </c>
      <c r="AN1439">
        <v>1.00000000238243</v>
      </c>
    </row>
    <row r="1440" spans="1:40" x14ac:dyDescent="0.25">
      <c r="A1440" t="str">
        <f>"20190305135610095"</f>
        <v>20190305135610095</v>
      </c>
      <c r="B1440" t="str">
        <f>"1551765370093806"</f>
        <v>1551765370093806</v>
      </c>
      <c r="C1440" t="s">
        <v>40</v>
      </c>
      <c r="D1440">
        <v>4.188796</v>
      </c>
      <c r="E1440">
        <v>0.49699520000000003</v>
      </c>
      <c r="F1440" t="s">
        <v>55</v>
      </c>
      <c r="G1440">
        <v>-349.303</v>
      </c>
      <c r="H1440" s="1">
        <v>3.41379E-6</v>
      </c>
      <c r="I1440">
        <v>286.65109999999999</v>
      </c>
      <c r="J1440">
        <v>-313.98140000000001</v>
      </c>
      <c r="K1440">
        <v>1.1085149999999999</v>
      </c>
      <c r="L1440">
        <v>283.77870000000001</v>
      </c>
      <c r="M1440">
        <v>-0.99961069999999996</v>
      </c>
      <c r="N1440">
        <v>-1.4295449999999999E-2</v>
      </c>
      <c r="O1440">
        <v>2.3965319999999998E-2</v>
      </c>
      <c r="P1440">
        <v>-0.98790299999999998</v>
      </c>
      <c r="Q1440">
        <v>-0.1424916</v>
      </c>
      <c r="R1440">
        <v>-6.1187400000000003E-2</v>
      </c>
      <c r="S1440">
        <v>-3.0383300000000002</v>
      </c>
      <c r="T1440">
        <v>-9.3014239999999998E-2</v>
      </c>
      <c r="U1440">
        <v>0.2428284</v>
      </c>
      <c r="V1440">
        <v>-8.4861839999999994E-2</v>
      </c>
      <c r="W1440">
        <v>-0.12837029999999999</v>
      </c>
      <c r="X1440">
        <v>0.98808879999999999</v>
      </c>
      <c r="Y1440">
        <v>5.5718209999999997E-2</v>
      </c>
      <c r="Z1440">
        <v>8.6039299999999999E-4</v>
      </c>
      <c r="AA1440">
        <v>0.99844619999999995</v>
      </c>
      <c r="AB1440">
        <v>43</v>
      </c>
      <c r="AC1440">
        <v>-35.321599999999997</v>
      </c>
      <c r="AD1440">
        <v>-1.1085115862099999</v>
      </c>
      <c r="AE1440">
        <v>2.8723999999999701</v>
      </c>
      <c r="AF1440">
        <v>2.0230155883406602</v>
      </c>
      <c r="AG1440">
        <v>-1.1085115862099999</v>
      </c>
      <c r="AH1440">
        <v>35.345714345808403</v>
      </c>
      <c r="AI1440">
        <v>91.7933871905025</v>
      </c>
      <c r="AJ1440">
        <v>86.7242440289277</v>
      </c>
      <c r="AK1440">
        <v>35.420910669023101</v>
      </c>
      <c r="AL1440">
        <v>97.375428538674697</v>
      </c>
      <c r="AM1440">
        <v>94.908792593785407</v>
      </c>
      <c r="AN1440">
        <v>0.999999971247857</v>
      </c>
    </row>
    <row r="1441" spans="1:40" x14ac:dyDescent="0.25">
      <c r="A1441" t="str">
        <f>"20190305135610117"</f>
        <v>20190305135610117</v>
      </c>
      <c r="B1441" t="str">
        <f>"1551765370113326"</f>
        <v>1551765370113326</v>
      </c>
      <c r="C1441" t="s">
        <v>40</v>
      </c>
      <c r="D1441">
        <v>4.1298120000000003</v>
      </c>
      <c r="E1441">
        <v>0.49456620000000001</v>
      </c>
      <c r="F1441" t="s">
        <v>55</v>
      </c>
      <c r="G1441">
        <v>-360.39190000000002</v>
      </c>
      <c r="H1441" s="1">
        <v>-1.328244E-6</v>
      </c>
      <c r="I1441">
        <v>280.23750000000001</v>
      </c>
      <c r="J1441">
        <v>-314.38529999999997</v>
      </c>
      <c r="K1441">
        <v>1.1085719999999999</v>
      </c>
      <c r="L1441">
        <v>283.78829999999999</v>
      </c>
      <c r="M1441">
        <v>-0.99961230000000001</v>
      </c>
      <c r="N1441">
        <v>-1.442834E-2</v>
      </c>
      <c r="O1441">
        <v>2.38184E-2</v>
      </c>
      <c r="P1441">
        <v>-0.98776509999999995</v>
      </c>
      <c r="Q1441">
        <v>-0.1433912</v>
      </c>
      <c r="R1441">
        <v>-6.1313579999999999E-2</v>
      </c>
      <c r="S1441">
        <v>-3.0121150000000001</v>
      </c>
      <c r="T1441">
        <v>-7.1944480000000005E-2</v>
      </c>
      <c r="U1441">
        <v>-0.2298279</v>
      </c>
      <c r="V1441">
        <v>-8.4821110000000005E-2</v>
      </c>
      <c r="W1441">
        <v>-0.12915280000000001</v>
      </c>
      <c r="X1441">
        <v>0.98799040000000005</v>
      </c>
      <c r="Y1441">
        <v>-9.9763710000000005E-2</v>
      </c>
      <c r="Z1441">
        <v>-2.13547E-3</v>
      </c>
      <c r="AA1441">
        <v>0.99500889999999997</v>
      </c>
      <c r="AB1441">
        <v>43</v>
      </c>
      <c r="AC1441">
        <v>-46.006599999999999</v>
      </c>
      <c r="AD1441">
        <v>-1.10857332824399</v>
      </c>
      <c r="AE1441">
        <v>-3.5507999999999802</v>
      </c>
      <c r="AF1441">
        <v>-4.64303012915701</v>
      </c>
      <c r="AG1441">
        <v>-1.10857332824399</v>
      </c>
      <c r="AH1441">
        <v>45.882479794307301</v>
      </c>
      <c r="AI1441">
        <v>91.377032588168305</v>
      </c>
      <c r="AJ1441">
        <v>95.778317029430895</v>
      </c>
      <c r="AK1441">
        <v>46.130126985294197</v>
      </c>
      <c r="AL1441">
        <v>97.420638261761397</v>
      </c>
      <c r="AM1441">
        <v>94.906934367520805</v>
      </c>
      <c r="AN1441">
        <v>1.00000004847081</v>
      </c>
    </row>
    <row r="1442" spans="1:40" x14ac:dyDescent="0.25">
      <c r="A1442" t="str">
        <f>"20190305135610138"</f>
        <v>20190305135610138</v>
      </c>
      <c r="B1442" t="str">
        <f>"1551765370133822"</f>
        <v>1551765370133822</v>
      </c>
      <c r="C1442" t="s">
        <v>40</v>
      </c>
      <c r="D1442">
        <v>4.1503540000000001</v>
      </c>
      <c r="E1442">
        <v>0.49693159999999997</v>
      </c>
      <c r="F1442" t="s">
        <v>55</v>
      </c>
      <c r="G1442">
        <v>-364.21859999999998</v>
      </c>
      <c r="H1442" s="1">
        <v>7.0813639999999995E-7</v>
      </c>
      <c r="I1442">
        <v>279.64229999999998</v>
      </c>
      <c r="J1442">
        <v>-314.79599999999999</v>
      </c>
      <c r="K1442">
        <v>1.108633</v>
      </c>
      <c r="L1442">
        <v>283.79790000000003</v>
      </c>
      <c r="M1442">
        <v>-0.99961540000000004</v>
      </c>
      <c r="N1442">
        <v>-1.454658E-2</v>
      </c>
      <c r="O1442">
        <v>2.361622E-2</v>
      </c>
      <c r="P1442">
        <v>-0.98760709999999996</v>
      </c>
      <c r="Q1442">
        <v>-0.14447879999999999</v>
      </c>
      <c r="R1442">
        <v>-6.1307019999999997E-2</v>
      </c>
      <c r="S1442">
        <v>-3.0118710000000002</v>
      </c>
      <c r="T1442">
        <v>-6.7000870000000004E-2</v>
      </c>
      <c r="U1442">
        <v>-0.25057980000000002</v>
      </c>
      <c r="V1442">
        <v>-8.4591050000000001E-2</v>
      </c>
      <c r="W1442">
        <v>-0.13013820000000001</v>
      </c>
      <c r="X1442">
        <v>0.9878808</v>
      </c>
      <c r="Y1442">
        <v>-0.1063812</v>
      </c>
      <c r="Z1442">
        <v>-2.137936E-3</v>
      </c>
      <c r="AA1442">
        <v>0.99432310000000002</v>
      </c>
      <c r="AB1442">
        <v>43</v>
      </c>
      <c r="AC1442">
        <v>-49.422599999999903</v>
      </c>
      <c r="AD1442">
        <v>-1.1086322918636</v>
      </c>
      <c r="AE1442">
        <v>-4.1556000000000397</v>
      </c>
      <c r="AF1442">
        <v>-5.3190814231777201</v>
      </c>
      <c r="AG1442">
        <v>-1.1086322918636</v>
      </c>
      <c r="AH1442">
        <v>49.2860374232976</v>
      </c>
      <c r="AI1442">
        <v>91.281147996297406</v>
      </c>
      <c r="AJ1442">
        <v>96.159673578457799</v>
      </c>
      <c r="AK1442">
        <v>49.584626424282398</v>
      </c>
      <c r="AL1442">
        <v>97.4775781656232</v>
      </c>
      <c r="AM1442">
        <v>94.894230317423293</v>
      </c>
      <c r="AN1442">
        <v>1.00000003592399</v>
      </c>
    </row>
    <row r="1443" spans="1:40" x14ac:dyDescent="0.25">
      <c r="A1443" t="str">
        <f>"20190305135610161"</f>
        <v>20190305135610161</v>
      </c>
      <c r="B1443" t="str">
        <f>"1551765370153341"</f>
        <v>1551765370153341</v>
      </c>
      <c r="C1443" t="s">
        <v>40</v>
      </c>
      <c r="D1443">
        <v>4.1519510000000004</v>
      </c>
      <c r="E1443">
        <v>0.49557089999999998</v>
      </c>
      <c r="F1443" t="s">
        <v>55</v>
      </c>
      <c r="G1443">
        <v>-368.9948</v>
      </c>
      <c r="H1443">
        <v>3.9521500000000001E-2</v>
      </c>
      <c r="I1443">
        <v>279.61630000000002</v>
      </c>
      <c r="J1443">
        <v>-315.23039999999997</v>
      </c>
      <c r="K1443">
        <v>1.108697</v>
      </c>
      <c r="L1443">
        <v>283.80790000000002</v>
      </c>
      <c r="M1443">
        <v>-0.99962010000000001</v>
      </c>
      <c r="N1443">
        <v>-1.465524E-2</v>
      </c>
      <c r="O1443">
        <v>2.3345000000000001E-2</v>
      </c>
      <c r="P1443">
        <v>-0.98735890000000004</v>
      </c>
      <c r="Q1443">
        <v>-0.14580799999999999</v>
      </c>
      <c r="R1443">
        <v>-6.214956E-2</v>
      </c>
      <c r="S1443">
        <v>-3.0144959999999998</v>
      </c>
      <c r="T1443">
        <v>-5.9463139999999998E-2</v>
      </c>
      <c r="U1443">
        <v>-0.23257449999999999</v>
      </c>
      <c r="V1443">
        <v>-8.5139450000000005E-2</v>
      </c>
      <c r="W1443">
        <v>-0.1313771</v>
      </c>
      <c r="X1443">
        <v>0.98766960000000004</v>
      </c>
      <c r="Y1443">
        <v>-0.1001466</v>
      </c>
      <c r="Z1443">
        <v>-1.8395270000000001E-3</v>
      </c>
      <c r="AA1443">
        <v>0.99497100000000005</v>
      </c>
      <c r="AB1443">
        <v>43</v>
      </c>
      <c r="AC1443">
        <v>-53.764400000000002</v>
      </c>
      <c r="AD1443">
        <v>-1.0691754999999901</v>
      </c>
      <c r="AE1443">
        <v>-4.1915999999999896</v>
      </c>
      <c r="AF1443">
        <v>-5.4435823256716196</v>
      </c>
      <c r="AG1443">
        <v>-1.0691754999999901</v>
      </c>
      <c r="AH1443">
        <v>53.6307999585744</v>
      </c>
      <c r="AI1443">
        <v>91.136252132888202</v>
      </c>
      <c r="AJ1443">
        <v>95.795732535305504</v>
      </c>
      <c r="AK1443">
        <v>53.916958639956597</v>
      </c>
      <c r="AL1443">
        <v>97.549177253034003</v>
      </c>
      <c r="AM1443">
        <v>94.926851915500393</v>
      </c>
      <c r="AN1443">
        <v>0.99999995355743498</v>
      </c>
    </row>
    <row r="1444" spans="1:40" x14ac:dyDescent="0.25">
      <c r="A1444" t="str">
        <f>"20190305135610183"</f>
        <v>20190305135610183</v>
      </c>
      <c r="B1444" t="str">
        <f>"1551765370172861"</f>
        <v>1551765370172861</v>
      </c>
      <c r="C1444" t="s">
        <v>40</v>
      </c>
      <c r="D1444">
        <v>4.1562710000000003</v>
      </c>
      <c r="E1444">
        <v>0.49483919999999998</v>
      </c>
      <c r="F1444" t="s">
        <v>55</v>
      </c>
      <c r="G1444">
        <v>-375.06950000000001</v>
      </c>
      <c r="H1444">
        <v>8.0001439999999993E-2</v>
      </c>
      <c r="I1444">
        <v>278.90100000000001</v>
      </c>
      <c r="J1444">
        <v>-315.65620000000001</v>
      </c>
      <c r="K1444">
        <v>1.108765</v>
      </c>
      <c r="L1444">
        <v>283.81760000000003</v>
      </c>
      <c r="M1444">
        <v>-0.99962589999999996</v>
      </c>
      <c r="N1444">
        <v>-1.4747379999999999E-2</v>
      </c>
      <c r="O1444">
        <v>2.302831E-2</v>
      </c>
      <c r="P1444">
        <v>-0.98709939999999996</v>
      </c>
      <c r="Q1444">
        <v>-0.1471683</v>
      </c>
      <c r="R1444">
        <v>-6.3056589999999996E-2</v>
      </c>
      <c r="S1444">
        <v>-3.0151979999999998</v>
      </c>
      <c r="T1444">
        <v>-5.183434E-2</v>
      </c>
      <c r="U1444">
        <v>-0.24725340000000001</v>
      </c>
      <c r="V1444">
        <v>-8.5708610000000005E-2</v>
      </c>
      <c r="W1444">
        <v>-0.13266259999999999</v>
      </c>
      <c r="X1444">
        <v>0.98744860000000001</v>
      </c>
      <c r="Y1444">
        <v>-0.1046315</v>
      </c>
      <c r="Z1444">
        <v>-1.7270079999999999E-3</v>
      </c>
      <c r="AA1444">
        <v>0.99450959999999999</v>
      </c>
      <c r="AB1444">
        <v>43</v>
      </c>
      <c r="AC1444">
        <v>-59.4132999999999</v>
      </c>
      <c r="AD1444">
        <v>-1.02876356</v>
      </c>
      <c r="AE1444">
        <v>-4.9166000000000096</v>
      </c>
      <c r="AF1444">
        <v>-6.2817621782343496</v>
      </c>
      <c r="AG1444">
        <v>-1.02876356</v>
      </c>
      <c r="AH1444">
        <v>59.266659029895997</v>
      </c>
      <c r="AI1444">
        <v>90.988914526190001</v>
      </c>
      <c r="AJ1444">
        <v>96.050276508162099</v>
      </c>
      <c r="AK1444">
        <v>59.607514317342897</v>
      </c>
      <c r="AL1444">
        <v>97.623480744620906</v>
      </c>
      <c r="AM1444">
        <v>94.960728813718504</v>
      </c>
      <c r="AN1444">
        <v>1.00000003445442</v>
      </c>
    </row>
    <row r="1445" spans="1:40" x14ac:dyDescent="0.25">
      <c r="A1445" t="str">
        <f>"20190305135610205"</f>
        <v>20190305135610205</v>
      </c>
      <c r="B1445" t="str">
        <f>"1551765370193357"</f>
        <v>1551765370193357</v>
      </c>
      <c r="C1445" t="s">
        <v>40</v>
      </c>
      <c r="D1445">
        <v>4.1119009999999996</v>
      </c>
      <c r="E1445">
        <v>0.4940254</v>
      </c>
      <c r="F1445" t="s">
        <v>55</v>
      </c>
      <c r="G1445">
        <v>-377.7226</v>
      </c>
      <c r="H1445">
        <v>8.0000660000000001E-2</v>
      </c>
      <c r="I1445">
        <v>278.5487</v>
      </c>
      <c r="J1445">
        <v>-316.06319999999999</v>
      </c>
      <c r="K1445">
        <v>1.1088229999999999</v>
      </c>
      <c r="L1445">
        <v>283.82670000000002</v>
      </c>
      <c r="M1445">
        <v>-0.99963270000000004</v>
      </c>
      <c r="N1445">
        <v>-1.482353E-2</v>
      </c>
      <c r="O1445">
        <v>2.268717E-2</v>
      </c>
      <c r="P1445">
        <v>-0.98685149999999999</v>
      </c>
      <c r="Q1445">
        <v>-0.14843149999999999</v>
      </c>
      <c r="R1445">
        <v>-6.3969730000000002E-2</v>
      </c>
      <c r="S1445">
        <v>-3.0154109999999998</v>
      </c>
      <c r="T1445">
        <v>-4.9981119999999997E-2</v>
      </c>
      <c r="U1445">
        <v>-0.25598140000000003</v>
      </c>
      <c r="V1445">
        <v>-8.6262370000000005E-2</v>
      </c>
      <c r="W1445">
        <v>-0.13386489999999901</v>
      </c>
      <c r="X1445">
        <v>0.98723799999999995</v>
      </c>
      <c r="Y1445">
        <v>-0.10714559999999999</v>
      </c>
      <c r="Z1445">
        <v>-1.72179E-3</v>
      </c>
      <c r="AA1445">
        <v>0.99424179999999995</v>
      </c>
      <c r="AB1445">
        <v>43</v>
      </c>
      <c r="AC1445">
        <v>-61.659399999999998</v>
      </c>
      <c r="AD1445">
        <v>-1.0288223399999901</v>
      </c>
      <c r="AE1445">
        <v>-5.27800000000002</v>
      </c>
      <c r="AF1445">
        <v>-6.6738277013033098</v>
      </c>
      <c r="AG1445">
        <v>-1.0288223399999901</v>
      </c>
      <c r="AH1445">
        <v>61.506770705913603</v>
      </c>
      <c r="AI1445">
        <v>90.952704952915298</v>
      </c>
      <c r="AJ1445">
        <v>96.192684394860706</v>
      </c>
      <c r="AK1445">
        <v>61.876338727043297</v>
      </c>
      <c r="AL1445">
        <v>97.6929881638914</v>
      </c>
      <c r="AM1445">
        <v>94.993678062772204</v>
      </c>
      <c r="AN1445">
        <v>0.99999993828701095</v>
      </c>
    </row>
    <row r="1446" spans="1:40" x14ac:dyDescent="0.25">
      <c r="A1446" t="str">
        <f>"20190305135610227"</f>
        <v>20190305135610227</v>
      </c>
      <c r="B1446" t="str">
        <f>"1551765370223614"</f>
        <v>1551765370223614</v>
      </c>
      <c r="C1446" t="s">
        <v>40</v>
      </c>
      <c r="D1446">
        <v>4.2308849999999998</v>
      </c>
      <c r="E1446">
        <v>0.49340309999999998</v>
      </c>
      <c r="F1446" t="s">
        <v>55</v>
      </c>
      <c r="G1446">
        <v>-366.1388</v>
      </c>
      <c r="H1446">
        <v>8.0001119999999995E-2</v>
      </c>
      <c r="I1446">
        <v>279.43099999999998</v>
      </c>
      <c r="J1446">
        <v>-316.49329999999998</v>
      </c>
      <c r="K1446">
        <v>1.1088789999999999</v>
      </c>
      <c r="L1446">
        <v>283.83609999999999</v>
      </c>
      <c r="M1446">
        <v>-0.9996408</v>
      </c>
      <c r="N1446">
        <v>-1.487518E-2</v>
      </c>
      <c r="O1446">
        <v>2.2296409999999999E-2</v>
      </c>
      <c r="P1446">
        <v>-0.98686249999999998</v>
      </c>
      <c r="Q1446">
        <v>-0.1479335</v>
      </c>
      <c r="R1446">
        <v>-6.4948539999999999E-2</v>
      </c>
      <c r="S1446">
        <v>-3.0135190000000001</v>
      </c>
      <c r="T1446">
        <v>-6.1913849999999999E-2</v>
      </c>
      <c r="U1446">
        <v>-0.26452639999999999</v>
      </c>
      <c r="V1446">
        <v>-8.684211E-2</v>
      </c>
      <c r="W1446">
        <v>-0.13332550000000001</v>
      </c>
      <c r="X1446">
        <v>0.98726020000000003</v>
      </c>
      <c r="Y1446">
        <v>-0.10959530000000001</v>
      </c>
      <c r="Z1446">
        <v>-2.0667099999999998E-3</v>
      </c>
      <c r="AA1446">
        <v>0.99397409999999997</v>
      </c>
      <c r="AB1446">
        <v>43</v>
      </c>
      <c r="AC1446">
        <v>-49.645499999999998</v>
      </c>
      <c r="AD1446">
        <v>-1.02887788</v>
      </c>
      <c r="AE1446">
        <v>-4.4051</v>
      </c>
      <c r="AF1446">
        <v>-5.5086959754460798</v>
      </c>
      <c r="AG1446">
        <v>-1.02887788</v>
      </c>
      <c r="AH1446">
        <v>49.513826534716898</v>
      </c>
      <c r="AI1446">
        <v>91.1831149047769</v>
      </c>
      <c r="AJ1446">
        <v>96.348375543179301</v>
      </c>
      <c r="AK1446">
        <v>49.829944201773699</v>
      </c>
      <c r="AL1446">
        <v>97.661803018244399</v>
      </c>
      <c r="AM1446">
        <v>95.026955007724993</v>
      </c>
      <c r="AN1446">
        <v>0.99999997176177002</v>
      </c>
    </row>
    <row r="1447" spans="1:40" x14ac:dyDescent="0.25">
      <c r="A1447" t="str">
        <f>"20190305135610250"</f>
        <v>20190305135610250</v>
      </c>
      <c r="B1447" t="str">
        <f>"1551765370243133"</f>
        <v>1551765370243133</v>
      </c>
      <c r="C1447" t="s">
        <v>40</v>
      </c>
      <c r="D1447">
        <v>4.1476369999999996</v>
      </c>
      <c r="E1447">
        <v>0.49284329999999998</v>
      </c>
      <c r="F1447" t="s">
        <v>55</v>
      </c>
      <c r="G1447">
        <v>-362.98230000000001</v>
      </c>
      <c r="H1447" s="1">
        <v>5.0224E-8</v>
      </c>
      <c r="I1447">
        <v>279.64210000000003</v>
      </c>
      <c r="J1447">
        <v>-316.93759999999997</v>
      </c>
      <c r="K1447">
        <v>1.108903</v>
      </c>
      <c r="L1447">
        <v>283.84570000000002</v>
      </c>
      <c r="M1447">
        <v>-0.99965099999999996</v>
      </c>
      <c r="N1447">
        <v>-1.4836770000000001E-2</v>
      </c>
      <c r="O1447">
        <v>2.1864689999999999E-2</v>
      </c>
      <c r="P1447">
        <v>-0.98702599999999996</v>
      </c>
      <c r="Q1447">
        <v>-0.1465166</v>
      </c>
      <c r="R1447">
        <v>-6.5672010000000003E-2</v>
      </c>
      <c r="S1447">
        <v>-3.0113219999999998</v>
      </c>
      <c r="T1447">
        <v>-7.1827530000000001E-2</v>
      </c>
      <c r="U1447">
        <v>-0.27166750000000001</v>
      </c>
      <c r="V1447">
        <v>-8.7131780000000006E-2</v>
      </c>
      <c r="W1447">
        <v>-0.1319526</v>
      </c>
      <c r="X1447">
        <v>0.98741909999999999</v>
      </c>
      <c r="Y1447">
        <v>-0.1115556</v>
      </c>
      <c r="Z1447">
        <v>-2.3538399999999998E-3</v>
      </c>
      <c r="AA1447">
        <v>0.99375539999999996</v>
      </c>
      <c r="AB1447">
        <v>43</v>
      </c>
      <c r="AC1447">
        <v>-46.044699999999999</v>
      </c>
      <c r="AD1447">
        <v>-1.1089029497759999</v>
      </c>
      <c r="AE1447">
        <v>-4.20359999999999</v>
      </c>
      <c r="AF1447">
        <v>-5.2064638341819798</v>
      </c>
      <c r="AG1447">
        <v>-1.1089029497759999</v>
      </c>
      <c r="AH1447">
        <v>45.915358805034401</v>
      </c>
      <c r="AI1447">
        <v>91.374676745623404</v>
      </c>
      <c r="AJ1447">
        <v>96.469287108090299</v>
      </c>
      <c r="AK1447">
        <v>46.222906719544497</v>
      </c>
      <c r="AL1447">
        <v>97.582440527680603</v>
      </c>
      <c r="AM1447">
        <v>95.042829082358693</v>
      </c>
      <c r="AN1447">
        <v>0.99999995738876801</v>
      </c>
    </row>
    <row r="1448" spans="1:40" x14ac:dyDescent="0.25">
      <c r="A1448" t="str">
        <f>"20190305135610272"</f>
        <v>20190305135610272</v>
      </c>
      <c r="B1448" t="str">
        <f>"1551765370263630"</f>
        <v>1551765370263630</v>
      </c>
      <c r="C1448" t="s">
        <v>40</v>
      </c>
      <c r="D1448">
        <v>4.1455199999999897</v>
      </c>
      <c r="E1448">
        <v>0.4923382</v>
      </c>
      <c r="F1448" t="s">
        <v>55</v>
      </c>
      <c r="G1448">
        <v>-361.32740000000001</v>
      </c>
      <c r="H1448" s="1">
        <v>-8.3041959999999997E-7</v>
      </c>
      <c r="I1448">
        <v>279.74810000000002</v>
      </c>
      <c r="J1448">
        <v>-317.35379999999998</v>
      </c>
      <c r="K1448">
        <v>1.1088910000000001</v>
      </c>
      <c r="L1448">
        <v>283.8544</v>
      </c>
      <c r="M1448">
        <v>-0.99966239999999995</v>
      </c>
      <c r="N1448">
        <v>-1.467457E-2</v>
      </c>
      <c r="O1448">
        <v>2.1445530000000001E-2</v>
      </c>
      <c r="P1448">
        <v>-0.98712500000000003</v>
      </c>
      <c r="Q1448">
        <v>-0.1454947</v>
      </c>
      <c r="R1448">
        <v>-6.6452259999999999E-2</v>
      </c>
      <c r="S1448">
        <v>-3.0097960000000001</v>
      </c>
      <c r="T1448">
        <v>-7.5187920000000005E-2</v>
      </c>
      <c r="U1448">
        <v>-0.27783200000000002</v>
      </c>
      <c r="V1448">
        <v>-8.7490680000000001E-2</v>
      </c>
      <c r="W1448">
        <v>-0.1310965</v>
      </c>
      <c r="X1448">
        <v>0.98750139999999997</v>
      </c>
      <c r="Y1448">
        <v>-0.11319750000000001</v>
      </c>
      <c r="Z1448">
        <v>-2.463893E-3</v>
      </c>
      <c r="AA1448">
        <v>0.99356940000000005</v>
      </c>
      <c r="AB1448">
        <v>43</v>
      </c>
      <c r="AC1448">
        <v>-43.973599999999998</v>
      </c>
      <c r="AD1448">
        <v>-1.1088918304196</v>
      </c>
      <c r="AE1448">
        <v>-4.1062999999999699</v>
      </c>
      <c r="AF1448">
        <v>-5.0453134355038003</v>
      </c>
      <c r="AG1448">
        <v>-1.1088918304196</v>
      </c>
      <c r="AH1448">
        <v>43.847771327497199</v>
      </c>
      <c r="AI1448">
        <v>91.439185655009197</v>
      </c>
      <c r="AJ1448">
        <v>96.563832820285498</v>
      </c>
      <c r="AK1448">
        <v>44.151012209716498</v>
      </c>
      <c r="AL1448">
        <v>97.532959719401802</v>
      </c>
      <c r="AM1448">
        <v>95.063073168317601</v>
      </c>
      <c r="AN1448">
        <v>0.99999996320053497</v>
      </c>
    </row>
    <row r="1449" spans="1:40" x14ac:dyDescent="0.25">
      <c r="A1449" t="str">
        <f>"20190305135610295"</f>
        <v>20190305135610295</v>
      </c>
      <c r="B1449" t="str">
        <f>"1551765370292911"</f>
        <v>1551765370292911</v>
      </c>
      <c r="C1449" t="s">
        <v>40</v>
      </c>
      <c r="D1449">
        <v>4.163354</v>
      </c>
      <c r="E1449">
        <v>0.49170510000000001</v>
      </c>
      <c r="F1449" t="s">
        <v>55</v>
      </c>
      <c r="G1449">
        <v>-359.32810000000001</v>
      </c>
      <c r="H1449" s="1">
        <v>3.4271490000000001E-6</v>
      </c>
      <c r="I1449">
        <v>279.89710000000002</v>
      </c>
      <c r="J1449">
        <v>-317.79500000000002</v>
      </c>
      <c r="K1449">
        <v>1.1088519999999999</v>
      </c>
      <c r="L1449">
        <v>283.86349999999999</v>
      </c>
      <c r="M1449">
        <v>-0.99967550000000005</v>
      </c>
      <c r="N1449">
        <v>-1.4419710000000001E-2</v>
      </c>
      <c r="O1449">
        <v>2.1001079999999998E-2</v>
      </c>
      <c r="P1449">
        <v>-0.98707619999999896</v>
      </c>
      <c r="Q1449">
        <v>-0.145512</v>
      </c>
      <c r="R1449">
        <v>-6.7134860000000005E-2</v>
      </c>
      <c r="S1449">
        <v>-3.008362</v>
      </c>
      <c r="T1449">
        <v>-7.947564E-2</v>
      </c>
      <c r="U1449">
        <v>-0.2836304</v>
      </c>
      <c r="V1449">
        <v>-8.7724769999999994E-2</v>
      </c>
      <c r="W1449">
        <v>-0.13137199999999999</v>
      </c>
      <c r="X1449">
        <v>0.98744399999999999</v>
      </c>
      <c r="Y1449">
        <v>-0.11469119999999999</v>
      </c>
      <c r="Z1449">
        <v>-2.5918600000000001E-3</v>
      </c>
      <c r="AA1449">
        <v>0.9933978</v>
      </c>
      <c r="AB1449">
        <v>43</v>
      </c>
      <c r="AC1449">
        <v>-41.533099999999898</v>
      </c>
      <c r="AD1449">
        <v>-1.108848572851</v>
      </c>
      <c r="AE1449">
        <v>-3.9663999999999602</v>
      </c>
      <c r="AF1449">
        <v>-4.8344409058079902</v>
      </c>
      <c r="AG1449">
        <v>-1.108848572851</v>
      </c>
      <c r="AH1449">
        <v>41.411380300068998</v>
      </c>
      <c r="AI1449">
        <v>91.523468087488695</v>
      </c>
      <c r="AJ1449">
        <v>96.6586745222247</v>
      </c>
      <c r="AK1449">
        <v>41.707358851720699</v>
      </c>
      <c r="AL1449">
        <v>97.548882551744001</v>
      </c>
      <c r="AM1449">
        <v>95.076842786837503</v>
      </c>
      <c r="AN1449">
        <v>0.99999994539577497</v>
      </c>
    </row>
    <row r="1450" spans="1:40" x14ac:dyDescent="0.25">
      <c r="A1450" t="str">
        <f>"20190305135610318"</f>
        <v>20190305135610318</v>
      </c>
      <c r="B1450" t="str">
        <f>"1551765370313406"</f>
        <v>1551765370313406</v>
      </c>
      <c r="C1450" t="s">
        <v>40</v>
      </c>
      <c r="D1450">
        <v>4.1528710000000002</v>
      </c>
      <c r="E1450">
        <v>0.49130059999999898</v>
      </c>
      <c r="F1450" t="s">
        <v>55</v>
      </c>
      <c r="G1450">
        <v>-356.00220000000002</v>
      </c>
      <c r="H1450" s="1">
        <v>1.6572809999999999E-6</v>
      </c>
      <c r="I1450">
        <v>280.17200000000003</v>
      </c>
      <c r="J1450">
        <v>-318.21159999999998</v>
      </c>
      <c r="K1450">
        <v>1.1088119999999999</v>
      </c>
      <c r="L1450">
        <v>283.87189999999998</v>
      </c>
      <c r="M1450">
        <v>-0.99968860000000004</v>
      </c>
      <c r="N1450">
        <v>-1.4124279999999999E-2</v>
      </c>
      <c r="O1450">
        <v>2.057455E-2</v>
      </c>
      <c r="P1450">
        <v>-0.98707909999999999</v>
      </c>
      <c r="Q1450">
        <v>-0.1450948</v>
      </c>
      <c r="R1450">
        <v>-6.7989250000000001E-2</v>
      </c>
      <c r="S1450">
        <v>-3.006653</v>
      </c>
      <c r="T1450">
        <v>-8.7259050000000005E-2</v>
      </c>
      <c r="U1450">
        <v>-0.2904968</v>
      </c>
      <c r="V1450">
        <v>-8.8153259999999997E-2</v>
      </c>
      <c r="W1450">
        <v>-0.13125000000000001</v>
      </c>
      <c r="X1450">
        <v>0.98742209999999997</v>
      </c>
      <c r="Y1450">
        <v>-0.1165563</v>
      </c>
      <c r="Z1450">
        <v>-2.8182789999999999E-3</v>
      </c>
      <c r="AA1450">
        <v>0.99318010000000001</v>
      </c>
      <c r="AB1450">
        <v>43</v>
      </c>
      <c r="AC1450">
        <v>-37.790599999999998</v>
      </c>
      <c r="AD1450">
        <v>-1.1088103427189999</v>
      </c>
      <c r="AE1450">
        <v>-3.6998999999999498</v>
      </c>
      <c r="AF1450">
        <v>-4.4729046584640999</v>
      </c>
      <c r="AG1450">
        <v>-1.1088103427189999</v>
      </c>
      <c r="AH1450">
        <v>37.674342105732002</v>
      </c>
      <c r="AI1450">
        <v>91.674060449393593</v>
      </c>
      <c r="AJ1450">
        <v>96.770775067634204</v>
      </c>
      <c r="AK1450">
        <v>37.955136537227197</v>
      </c>
      <c r="AL1450">
        <v>97.541831136928806</v>
      </c>
      <c r="AM1450">
        <v>95.1016225418186</v>
      </c>
      <c r="AN1450">
        <v>0.999999981658518</v>
      </c>
    </row>
    <row r="1451" spans="1:40" x14ac:dyDescent="0.25">
      <c r="A1451" t="str">
        <f>"20190305135610340"</f>
        <v>20190305135610340</v>
      </c>
      <c r="B1451" t="str">
        <f>"1551765370332926"</f>
        <v>1551765370332926</v>
      </c>
      <c r="C1451" t="s">
        <v>40</v>
      </c>
      <c r="D1451">
        <v>4.1848219999999996</v>
      </c>
      <c r="E1451">
        <v>0.49104759999999997</v>
      </c>
      <c r="F1451" t="s">
        <v>55</v>
      </c>
      <c r="G1451">
        <v>-355.2878</v>
      </c>
      <c r="H1451" s="1">
        <v>1.2771170000000001E-6</v>
      </c>
      <c r="I1451">
        <v>280.21730000000002</v>
      </c>
      <c r="J1451">
        <v>-318.6447</v>
      </c>
      <c r="K1451">
        <v>1.1087640000000001</v>
      </c>
      <c r="L1451">
        <v>283.88040000000001</v>
      </c>
      <c r="M1451">
        <v>-0.99970270000000006</v>
      </c>
      <c r="N1451">
        <v>-1.377893E-2</v>
      </c>
      <c r="O1451">
        <v>2.0122020000000001E-2</v>
      </c>
      <c r="P1451">
        <v>-0.9871373</v>
      </c>
      <c r="Q1451">
        <v>-0.14409340000000001</v>
      </c>
      <c r="R1451">
        <v>-6.9263920000000007E-2</v>
      </c>
      <c r="S1451">
        <v>-3.005646</v>
      </c>
      <c r="T1451">
        <v>-8.9887739999999994E-2</v>
      </c>
      <c r="U1451">
        <v>-0.29626459999999999</v>
      </c>
      <c r="V1451">
        <v>-8.8980290000000004E-2</v>
      </c>
      <c r="W1451">
        <v>-0.1305915</v>
      </c>
      <c r="X1451">
        <v>0.98743519999999896</v>
      </c>
      <c r="Y1451">
        <v>-0.1180219</v>
      </c>
      <c r="Z1451">
        <v>-2.8993080000000002E-3</v>
      </c>
      <c r="AA1451">
        <v>0.99300679999999997</v>
      </c>
      <c r="AB1451">
        <v>43</v>
      </c>
      <c r="AC1451">
        <v>-36.643099999999997</v>
      </c>
      <c r="AD1451">
        <v>-1.1087627228829999</v>
      </c>
      <c r="AE1451">
        <v>-3.66309999999998</v>
      </c>
      <c r="AF1451">
        <v>-4.3957764728340702</v>
      </c>
      <c r="AG1451">
        <v>-1.1087627228829999</v>
      </c>
      <c r="AH1451">
        <v>36.528849668629299</v>
      </c>
      <c r="AI1451">
        <v>91.726123525388502</v>
      </c>
      <c r="AJ1451">
        <v>96.861813866126994</v>
      </c>
      <c r="AK1451">
        <v>36.809089416720099</v>
      </c>
      <c r="AL1451">
        <v>97.503774519298702</v>
      </c>
      <c r="AM1451">
        <v>95.149160523157207</v>
      </c>
      <c r="AN1451">
        <v>0.99999995303988498</v>
      </c>
    </row>
    <row r="1452" spans="1:40" x14ac:dyDescent="0.25">
      <c r="A1452" t="str">
        <f>"20190305135610373"</f>
        <v>20190305135610373</v>
      </c>
      <c r="B1452" t="str">
        <f>"1551765370363182"</f>
        <v>1551765370363182</v>
      </c>
      <c r="C1452" t="s">
        <v>40</v>
      </c>
      <c r="D1452">
        <v>4.1810559999999999</v>
      </c>
      <c r="E1452">
        <v>0.49064089999999999</v>
      </c>
      <c r="F1452" t="s">
        <v>55</v>
      </c>
      <c r="G1452">
        <v>-355.4074</v>
      </c>
      <c r="H1452" s="1">
        <v>1.340757E-6</v>
      </c>
      <c r="I1452">
        <v>280.18150000000003</v>
      </c>
      <c r="J1452">
        <v>-319.27050000000003</v>
      </c>
      <c r="K1452">
        <v>1.1087039999999999</v>
      </c>
      <c r="L1452">
        <v>283.89240000000001</v>
      </c>
      <c r="M1452">
        <v>-0.99972280000000002</v>
      </c>
      <c r="N1452">
        <v>-1.325341E-2</v>
      </c>
      <c r="O1452">
        <v>1.9459629999999999E-2</v>
      </c>
      <c r="P1452">
        <v>-0.98723839999999996</v>
      </c>
      <c r="Q1452">
        <v>-0.14250660000000001</v>
      </c>
      <c r="R1452">
        <v>-7.1079660000000003E-2</v>
      </c>
      <c r="S1452">
        <v>-3.0046080000000002</v>
      </c>
      <c r="T1452">
        <v>-9.0618969999999993E-2</v>
      </c>
      <c r="U1452">
        <v>-0.3023071</v>
      </c>
      <c r="V1452">
        <v>-9.0142760000000002E-2</v>
      </c>
      <c r="W1452">
        <v>-0.12952549999999999</v>
      </c>
      <c r="X1452">
        <v>0.98747019999999996</v>
      </c>
      <c r="Y1452">
        <v>-0.1193733</v>
      </c>
      <c r="Z1452">
        <v>-2.91677E-3</v>
      </c>
      <c r="AA1452">
        <v>0.99284519999999998</v>
      </c>
      <c r="AB1452">
        <v>43</v>
      </c>
      <c r="AC1452">
        <v>-36.136899999999898</v>
      </c>
      <c r="AD1452">
        <v>-1.108702659243</v>
      </c>
      <c r="AE1452">
        <v>-3.7108999999999801</v>
      </c>
      <c r="AF1452">
        <v>-4.4093624386035897</v>
      </c>
      <c r="AG1452">
        <v>-1.108702659243</v>
      </c>
      <c r="AH1452">
        <v>36.024281128836101</v>
      </c>
      <c r="AI1452">
        <v>91.749759062505703</v>
      </c>
      <c r="AJ1452">
        <v>96.978277523702005</v>
      </c>
      <c r="AK1452">
        <v>36.310060996244502</v>
      </c>
      <c r="AL1452">
        <v>97.4421737647952</v>
      </c>
      <c r="AM1452">
        <v>95.215878423495695</v>
      </c>
      <c r="AN1452">
        <v>0.99999998410935298</v>
      </c>
    </row>
    <row r="1453" spans="1:40" x14ac:dyDescent="0.25">
      <c r="A1453" t="str">
        <f>"20190305135610395"</f>
        <v>20190305135610395</v>
      </c>
      <c r="B1453" t="str">
        <f>"1551765370383682"</f>
        <v>1551765370383682</v>
      </c>
      <c r="C1453" t="s">
        <v>40</v>
      </c>
      <c r="D1453">
        <v>4.2006449999999997</v>
      </c>
      <c r="E1453">
        <v>0.49066880000000002</v>
      </c>
      <c r="F1453" t="s">
        <v>55</v>
      </c>
      <c r="G1453">
        <v>-355.63979999999998</v>
      </c>
      <c r="H1453" s="1">
        <v>1.464434E-6</v>
      </c>
      <c r="I1453">
        <v>280.12900000000002</v>
      </c>
      <c r="J1453">
        <v>-319.67579999999998</v>
      </c>
      <c r="K1453">
        <v>1.1086609999999999</v>
      </c>
      <c r="L1453">
        <v>283.89999999999998</v>
      </c>
      <c r="M1453">
        <v>-0.9997357</v>
      </c>
      <c r="N1453">
        <v>-1.29041E-2</v>
      </c>
      <c r="O1453">
        <v>1.9029609999999999E-2</v>
      </c>
      <c r="P1453">
        <v>-0.98717160000000004</v>
      </c>
      <c r="Q1453">
        <v>-0.14238290000000001</v>
      </c>
      <c r="R1453">
        <v>-7.2245450000000003E-2</v>
      </c>
      <c r="S1453">
        <v>-3.0032040000000002</v>
      </c>
      <c r="T1453">
        <v>-9.1551300000000002E-2</v>
      </c>
      <c r="U1453">
        <v>-0.3107605</v>
      </c>
      <c r="V1453">
        <v>-9.0880699999999995E-2</v>
      </c>
      <c r="W1453">
        <v>-0.1297498</v>
      </c>
      <c r="X1453">
        <v>0.9873731</v>
      </c>
      <c r="Y1453">
        <v>-0.1217554</v>
      </c>
      <c r="Z1453">
        <v>-2.9721270000000002E-3</v>
      </c>
      <c r="AA1453">
        <v>0.99255570000000004</v>
      </c>
      <c r="AB1453">
        <v>43</v>
      </c>
      <c r="AC1453">
        <v>-35.963999999999999</v>
      </c>
      <c r="AD1453">
        <v>-1.1086595355660001</v>
      </c>
      <c r="AE1453">
        <v>-3.7709999999999502</v>
      </c>
      <c r="AF1453">
        <v>-4.45057149818384</v>
      </c>
      <c r="AG1453">
        <v>-1.1086595355660001</v>
      </c>
      <c r="AH1453">
        <v>35.852020306737103</v>
      </c>
      <c r="AI1453">
        <v>91.757722008434101</v>
      </c>
      <c r="AJ1453">
        <v>97.0763402064091</v>
      </c>
      <c r="AK1453">
        <v>36.1442121604682</v>
      </c>
      <c r="AL1453">
        <v>97.455134644210801</v>
      </c>
      <c r="AM1453">
        <v>95.258853240120303</v>
      </c>
      <c r="AN1453">
        <v>0.99999997541806895</v>
      </c>
    </row>
    <row r="1454" spans="1:40" x14ac:dyDescent="0.25">
      <c r="A1454" t="str">
        <f>"20190305135610416"</f>
        <v>20190305135610416</v>
      </c>
      <c r="B1454" t="str">
        <f>"1551765370412958"</f>
        <v>1551765370412958</v>
      </c>
      <c r="C1454" t="s">
        <v>40</v>
      </c>
      <c r="D1454">
        <v>4.2222330000000001</v>
      </c>
      <c r="E1454">
        <v>0.4906624</v>
      </c>
      <c r="F1454" t="s">
        <v>55</v>
      </c>
      <c r="G1454">
        <v>-355.05290000000002</v>
      </c>
      <c r="H1454" s="1">
        <v>1.1521200000000001E-6</v>
      </c>
      <c r="I1454">
        <v>280.20100000000002</v>
      </c>
      <c r="J1454">
        <v>-320.10250000000002</v>
      </c>
      <c r="K1454">
        <v>1.1086259999999999</v>
      </c>
      <c r="L1454">
        <v>283.90780000000001</v>
      </c>
      <c r="M1454">
        <v>-0.99974879999999999</v>
      </c>
      <c r="N1454">
        <v>-1.2526529999999999E-2</v>
      </c>
      <c r="O1454">
        <v>1.8580269999999999E-2</v>
      </c>
      <c r="P1454">
        <v>-0.98702509999999999</v>
      </c>
      <c r="Q1454">
        <v>-0.14272779999999999</v>
      </c>
      <c r="R1454">
        <v>-7.3554750000000002E-2</v>
      </c>
      <c r="S1454">
        <v>-3.002472</v>
      </c>
      <c r="T1454">
        <v>-9.4092490000000001E-2</v>
      </c>
      <c r="U1454">
        <v>-0.3139343</v>
      </c>
      <c r="V1454">
        <v>-9.1740089999999996E-2</v>
      </c>
      <c r="W1454">
        <v>-0.130472</v>
      </c>
      <c r="X1454">
        <v>0.98719849999999998</v>
      </c>
      <c r="Y1454">
        <v>-0.12236809999999999</v>
      </c>
      <c r="Z1454">
        <v>-3.0291509999999999E-3</v>
      </c>
      <c r="AA1454">
        <v>0.99248020000000003</v>
      </c>
      <c r="AB1454">
        <v>43</v>
      </c>
      <c r="AC1454">
        <v>-34.950400000000002</v>
      </c>
      <c r="AD1454">
        <v>-1.10862484787999</v>
      </c>
      <c r="AE1454">
        <v>-3.7068000000000398</v>
      </c>
      <c r="AF1454">
        <v>-4.3512695357732802</v>
      </c>
      <c r="AG1454">
        <v>-1.10862484787999</v>
      </c>
      <c r="AH1454">
        <v>34.840821537895401</v>
      </c>
      <c r="AI1454">
        <v>91.808480292261294</v>
      </c>
      <c r="AJ1454">
        <v>97.118809612682597</v>
      </c>
      <c r="AK1454">
        <v>35.128982920969399</v>
      </c>
      <c r="AL1454">
        <v>97.496867986800595</v>
      </c>
      <c r="AM1454">
        <v>95.309232958385806</v>
      </c>
      <c r="AN1454">
        <v>1.00000003264972</v>
      </c>
    </row>
    <row r="1455" spans="1:40" x14ac:dyDescent="0.25">
      <c r="A1455" t="str">
        <f>"20190305135610440"</f>
        <v>20190305135610440</v>
      </c>
      <c r="B1455" t="str">
        <f>"1551765370433454"</f>
        <v>1551765370433454</v>
      </c>
      <c r="C1455" t="s">
        <v>40</v>
      </c>
      <c r="D1455">
        <v>4.2379480000000003</v>
      </c>
      <c r="E1455">
        <v>0.49065959999999997</v>
      </c>
      <c r="F1455" t="s">
        <v>55</v>
      </c>
      <c r="G1455">
        <v>-354.07150000000001</v>
      </c>
      <c r="H1455" s="1">
        <v>6.2984800000000004E-7</v>
      </c>
      <c r="I1455">
        <v>280.31529999999998</v>
      </c>
      <c r="J1455">
        <v>-320.54790000000003</v>
      </c>
      <c r="K1455">
        <v>1.108579</v>
      </c>
      <c r="L1455">
        <v>283.91570000000002</v>
      </c>
      <c r="M1455">
        <v>-0.99976310000000002</v>
      </c>
      <c r="N1455">
        <v>-1.208411E-2</v>
      </c>
      <c r="O1455">
        <v>1.811281E-2</v>
      </c>
      <c r="P1455">
        <v>-0.98694510000000002</v>
      </c>
      <c r="Q1455">
        <v>-0.1428316</v>
      </c>
      <c r="R1455">
        <v>-7.4424439999999994E-2</v>
      </c>
      <c r="S1455">
        <v>-3.0016479999999999</v>
      </c>
      <c r="T1455">
        <v>-9.7962980000000005E-2</v>
      </c>
      <c r="U1455">
        <v>-0.3174438</v>
      </c>
      <c r="V1455">
        <v>-9.2144359999999995E-2</v>
      </c>
      <c r="W1455">
        <v>-0.13101569999999901</v>
      </c>
      <c r="X1455">
        <v>0.98708879999999999</v>
      </c>
      <c r="Y1455">
        <v>-0.12307360000000001</v>
      </c>
      <c r="Z1455">
        <v>-3.1194650000000001E-3</v>
      </c>
      <c r="AA1455">
        <v>0.99239270000000002</v>
      </c>
      <c r="AB1455">
        <v>43</v>
      </c>
      <c r="AC1455">
        <v>-33.523599999999902</v>
      </c>
      <c r="AD1455">
        <v>-1.108578370152</v>
      </c>
      <c r="AE1455">
        <v>-3.6004000000000298</v>
      </c>
      <c r="AF1455">
        <v>-4.2025169116663701</v>
      </c>
      <c r="AG1455">
        <v>-1.108578370152</v>
      </c>
      <c r="AH1455">
        <v>33.4167559270266</v>
      </c>
      <c r="AI1455">
        <v>91.885213348129795</v>
      </c>
      <c r="AJ1455">
        <v>97.1679305589238</v>
      </c>
      <c r="AK1455">
        <v>33.698214657190299</v>
      </c>
      <c r="AL1455">
        <v>97.528289680420301</v>
      </c>
      <c r="AM1455">
        <v>95.333083726489093</v>
      </c>
      <c r="AN1455">
        <v>0.99999999790586902</v>
      </c>
    </row>
    <row r="1456" spans="1:40" x14ac:dyDescent="0.25">
      <c r="A1456" t="str">
        <f>"20190305135610462"</f>
        <v>20190305135610462</v>
      </c>
      <c r="B1456" t="str">
        <f>"1551765370452974"</f>
        <v>1551765370452974</v>
      </c>
      <c r="C1456" t="s">
        <v>40</v>
      </c>
      <c r="D1456">
        <v>4.2338829999999996</v>
      </c>
      <c r="E1456">
        <v>0.49064829999999998</v>
      </c>
      <c r="F1456" t="s">
        <v>55</v>
      </c>
      <c r="G1456">
        <v>-353.62290000000002</v>
      </c>
      <c r="H1456" s="1">
        <v>3.9111229999999999E-7</v>
      </c>
      <c r="I1456">
        <v>280.3895</v>
      </c>
      <c r="J1456">
        <v>-320.97590000000002</v>
      </c>
      <c r="K1456">
        <v>1.108527</v>
      </c>
      <c r="L1456">
        <v>283.92320000000001</v>
      </c>
      <c r="M1456">
        <v>-0.99977669999999996</v>
      </c>
      <c r="N1456">
        <v>-1.1602909999999999E-2</v>
      </c>
      <c r="O1456">
        <v>1.7664610000000001E-2</v>
      </c>
      <c r="P1456">
        <v>-0.98713720000000005</v>
      </c>
      <c r="Q1456">
        <v>-0.14116500000000001</v>
      </c>
      <c r="R1456">
        <v>-7.5051740000000006E-2</v>
      </c>
      <c r="S1456">
        <v>-3.0009769999999998</v>
      </c>
      <c r="T1456">
        <v>-0.1005841</v>
      </c>
      <c r="U1456">
        <v>-0.31994630000000002</v>
      </c>
      <c r="V1456">
        <v>-9.2331689999999994E-2</v>
      </c>
      <c r="W1456">
        <v>-0.12982349999999901</v>
      </c>
      <c r="X1456">
        <v>0.98722880000000002</v>
      </c>
      <c r="Y1456">
        <v>-0.1234662</v>
      </c>
      <c r="Z1456">
        <v>-3.1673309999999998E-3</v>
      </c>
      <c r="AA1456">
        <v>0.99234370000000005</v>
      </c>
      <c r="AB1456">
        <v>43</v>
      </c>
      <c r="AC1456">
        <v>-32.646999999999899</v>
      </c>
      <c r="AD1456">
        <v>-1.1085266088876999</v>
      </c>
      <c r="AE1456">
        <v>-3.5337000000000098</v>
      </c>
      <c r="AF1456">
        <v>-4.1052056351838599</v>
      </c>
      <c r="AG1456">
        <v>-1.1085266088876999</v>
      </c>
      <c r="AH1456">
        <v>32.542394865780899</v>
      </c>
      <c r="AI1456">
        <v>91.9356443852231</v>
      </c>
      <c r="AJ1456">
        <v>97.189853302743103</v>
      </c>
      <c r="AK1456">
        <v>32.819034235488402</v>
      </c>
      <c r="AL1456">
        <v>97.459393233062499</v>
      </c>
      <c r="AM1456">
        <v>95.343109778195597</v>
      </c>
      <c r="AN1456">
        <v>0.99999999283997298</v>
      </c>
    </row>
    <row r="1457" spans="1:40" x14ac:dyDescent="0.25">
      <c r="A1457" t="str">
        <f>"20190305135610484"</f>
        <v>20190305135610484</v>
      </c>
      <c r="B1457" t="str">
        <f>"1551765370473470"</f>
        <v>1551765370473470</v>
      </c>
      <c r="C1457" t="s">
        <v>40</v>
      </c>
      <c r="D1457">
        <v>4.2719529999999999</v>
      </c>
      <c r="E1457">
        <v>0.49060710000000002</v>
      </c>
      <c r="F1457" t="s">
        <v>55</v>
      </c>
      <c r="G1457">
        <v>-354.88600000000002</v>
      </c>
      <c r="H1457" s="1">
        <v>1.063291E-6</v>
      </c>
      <c r="I1457">
        <v>280.28739999999999</v>
      </c>
      <c r="J1457">
        <v>-321.38940000000002</v>
      </c>
      <c r="K1457">
        <v>1.108468</v>
      </c>
      <c r="L1457">
        <v>283.93020000000001</v>
      </c>
      <c r="M1457">
        <v>-0.99979010000000001</v>
      </c>
      <c r="N1457">
        <v>-1.109838E-2</v>
      </c>
      <c r="O1457">
        <v>1.723096E-2</v>
      </c>
      <c r="P1457">
        <v>-0.98743669999999995</v>
      </c>
      <c r="Q1457">
        <v>-0.1388509</v>
      </c>
      <c r="R1457">
        <v>-7.5429499999999997E-2</v>
      </c>
      <c r="S1457">
        <v>-3.00061</v>
      </c>
      <c r="T1457">
        <v>-9.8090410000000003E-2</v>
      </c>
      <c r="U1457">
        <v>-0.32171630000000001</v>
      </c>
      <c r="V1457">
        <v>-9.2287330000000001E-2</v>
      </c>
      <c r="W1457">
        <v>-0.12800520000000001</v>
      </c>
      <c r="X1457">
        <v>0.98747039999999997</v>
      </c>
      <c r="Y1457">
        <v>-0.1236323</v>
      </c>
      <c r="Z1457">
        <v>-3.0737630000000002E-3</v>
      </c>
      <c r="AA1457">
        <v>0.99232330000000002</v>
      </c>
      <c r="AB1457">
        <v>43</v>
      </c>
      <c r="AC1457">
        <v>-33.496599999999901</v>
      </c>
      <c r="AD1457">
        <v>-1.1084669367090001</v>
      </c>
      <c r="AE1457">
        <v>-3.6428000000000198</v>
      </c>
      <c r="AF1457">
        <v>-4.2149114445904301</v>
      </c>
      <c r="AG1457">
        <v>-1.1084669367090001</v>
      </c>
      <c r="AH1457">
        <v>33.3927134362877</v>
      </c>
      <c r="AI1457">
        <v>91.886272266251694</v>
      </c>
      <c r="AJ1457">
        <v>97.193971876950798</v>
      </c>
      <c r="AK1457">
        <v>33.675918518632102</v>
      </c>
      <c r="AL1457">
        <v>97.354335348340598</v>
      </c>
      <c r="AM1457">
        <v>95.339258473329096</v>
      </c>
      <c r="AN1457">
        <v>1.0000000366908599</v>
      </c>
    </row>
    <row r="1458" spans="1:40" x14ac:dyDescent="0.25">
      <c r="A1458" t="str">
        <f>"20190305135610506"</f>
        <v>20190305135610506</v>
      </c>
      <c r="B1458" t="str">
        <f>"1551765370503725"</f>
        <v>1551765370503725</v>
      </c>
      <c r="C1458" t="s">
        <v>40</v>
      </c>
      <c r="D1458">
        <v>4.292268</v>
      </c>
      <c r="E1458">
        <v>0.49063509999999999</v>
      </c>
      <c r="F1458" t="s">
        <v>55</v>
      </c>
      <c r="G1458">
        <v>-356.86989999999997</v>
      </c>
      <c r="H1458" s="1">
        <v>2.1190540000000002E-6</v>
      </c>
      <c r="I1458">
        <v>280.10860000000002</v>
      </c>
      <c r="J1458">
        <v>-321.82709999999997</v>
      </c>
      <c r="K1458">
        <v>1.108401</v>
      </c>
      <c r="L1458">
        <v>283.93740000000003</v>
      </c>
      <c r="M1458">
        <v>-0.99980369999999996</v>
      </c>
      <c r="N1458">
        <v>-1.054953E-2</v>
      </c>
      <c r="O1458">
        <v>1.6771540000000001E-2</v>
      </c>
      <c r="P1458">
        <v>-0.98751849999999997</v>
      </c>
      <c r="Q1458">
        <v>-0.13827149999999999</v>
      </c>
      <c r="R1458">
        <v>-7.5419390000000003E-2</v>
      </c>
      <c r="S1458">
        <v>-3.0002439999999999</v>
      </c>
      <c r="T1458">
        <v>-9.3732120000000002E-2</v>
      </c>
      <c r="U1458">
        <v>-0.32315060000000001</v>
      </c>
      <c r="V1458">
        <v>-9.1824429999999999E-2</v>
      </c>
      <c r="W1458">
        <v>-0.12796689999999999</v>
      </c>
      <c r="X1458">
        <v>0.98751849999999997</v>
      </c>
      <c r="Y1458">
        <v>-0.1236661</v>
      </c>
      <c r="Z1458">
        <v>-2.9262070000000001E-3</v>
      </c>
      <c r="AA1458">
        <v>0.99231959999999997</v>
      </c>
      <c r="AB1458">
        <v>43</v>
      </c>
      <c r="AC1458">
        <v>-35.0428</v>
      </c>
      <c r="AD1458">
        <v>-1.1083988809459999</v>
      </c>
      <c r="AE1458">
        <v>-3.8288000000000002</v>
      </c>
      <c r="AF1458">
        <v>-4.4116542724267003</v>
      </c>
      <c r="AG1458">
        <v>-1.1083988809459999</v>
      </c>
      <c r="AH1458">
        <v>34.939109758280502</v>
      </c>
      <c r="AI1458">
        <v>91.802722128347497</v>
      </c>
      <c r="AJ1458">
        <v>97.196478381665102</v>
      </c>
      <c r="AK1458">
        <v>35.233969861482699</v>
      </c>
      <c r="AL1458">
        <v>97.352122842018801</v>
      </c>
      <c r="AM1458">
        <v>95.312373851532698</v>
      </c>
      <c r="AN1458">
        <v>1.00000002064134</v>
      </c>
    </row>
    <row r="1459" spans="1:40" x14ac:dyDescent="0.25">
      <c r="A1459" t="str">
        <f>"20190305135610529"</f>
        <v>20190305135610529</v>
      </c>
      <c r="B1459" t="str">
        <f>"1551765370523246"</f>
        <v>1551765370523246</v>
      </c>
      <c r="C1459" t="s">
        <v>40</v>
      </c>
      <c r="D1459">
        <v>4.3654260000000003</v>
      </c>
      <c r="E1459">
        <v>0.49084309999999998</v>
      </c>
      <c r="F1459" t="s">
        <v>55</v>
      </c>
      <c r="G1459">
        <v>-360.44209999999998</v>
      </c>
      <c r="H1459" s="1">
        <v>-1.3015200000000001E-6</v>
      </c>
      <c r="I1459">
        <v>279.77440000000001</v>
      </c>
      <c r="J1459">
        <v>-322.25920000000002</v>
      </c>
      <c r="K1459">
        <v>1.108328</v>
      </c>
      <c r="L1459">
        <v>283.94439999999997</v>
      </c>
      <c r="M1459">
        <v>-0.9998167</v>
      </c>
      <c r="N1459">
        <v>-1.002225E-2</v>
      </c>
      <c r="O1459">
        <v>1.631668E-2</v>
      </c>
      <c r="P1459">
        <v>-0.98737379999999997</v>
      </c>
      <c r="Q1459">
        <v>-0.13938780000000001</v>
      </c>
      <c r="R1459">
        <v>-7.5262170000000003E-2</v>
      </c>
      <c r="S1459">
        <v>-3.0011290000000002</v>
      </c>
      <c r="T1459">
        <v>-8.6144209999999999E-2</v>
      </c>
      <c r="U1459">
        <v>-0.32354739999999999</v>
      </c>
      <c r="V1459">
        <v>-9.1212479999999999E-2</v>
      </c>
      <c r="W1459">
        <v>-0.1296049</v>
      </c>
      <c r="X1459">
        <v>0.98736159999999995</v>
      </c>
      <c r="Y1459">
        <v>-0.1233259</v>
      </c>
      <c r="Z1459">
        <v>-2.6884500000000002E-3</v>
      </c>
      <c r="AA1459">
        <v>0.99236259999999998</v>
      </c>
      <c r="AB1459">
        <v>43</v>
      </c>
      <c r="AC1459">
        <v>-38.182899999999897</v>
      </c>
      <c r="AD1459">
        <v>-1.10832930152</v>
      </c>
      <c r="AE1459">
        <v>-4.1699999999999502</v>
      </c>
      <c r="AF1459">
        <v>-4.7885071856267896</v>
      </c>
      <c r="AG1459">
        <v>-1.10832930152</v>
      </c>
      <c r="AH1459">
        <v>38.078067553927099</v>
      </c>
      <c r="AI1459">
        <v>91.654202565434204</v>
      </c>
      <c r="AJ1459">
        <v>97.167604888901593</v>
      </c>
      <c r="AK1459">
        <v>38.393976396680301</v>
      </c>
      <c r="AL1459">
        <v>97.446761319382105</v>
      </c>
      <c r="AM1459">
        <v>95.278004738958302</v>
      </c>
      <c r="AN1459">
        <v>1.00000003788315</v>
      </c>
    </row>
    <row r="1460" spans="1:40" x14ac:dyDescent="0.25">
      <c r="A1460" t="str">
        <f>"20190305135610563"</f>
        <v>20190305135610563</v>
      </c>
      <c r="B1460" t="str">
        <f>"1551765370553502"</f>
        <v>1551765370553502</v>
      </c>
      <c r="C1460" t="s">
        <v>40</v>
      </c>
      <c r="D1460">
        <v>4.2585850000000001</v>
      </c>
      <c r="E1460">
        <v>0.49092000000000002</v>
      </c>
      <c r="F1460" t="s">
        <v>55</v>
      </c>
      <c r="G1460">
        <v>-361.12389999999999</v>
      </c>
      <c r="H1460" s="1">
        <v>-9.3871390000000003E-7</v>
      </c>
      <c r="I1460">
        <v>279.78100000000001</v>
      </c>
      <c r="J1460">
        <v>-322.91770000000002</v>
      </c>
      <c r="K1460">
        <v>1.1082540000000001</v>
      </c>
      <c r="L1460">
        <v>283.95460000000003</v>
      </c>
      <c r="M1460">
        <v>-0.99983469999999997</v>
      </c>
      <c r="N1460">
        <v>-9.2968159999999994E-3</v>
      </c>
      <c r="O1460">
        <v>1.5624900000000001E-2</v>
      </c>
      <c r="P1460">
        <v>-0.98738740000000003</v>
      </c>
      <c r="Q1460">
        <v>-0.13961589999999999</v>
      </c>
      <c r="R1460">
        <v>-7.4657680000000004E-2</v>
      </c>
      <c r="S1460">
        <v>-3.00177</v>
      </c>
      <c r="T1460">
        <v>-8.5603479999999996E-2</v>
      </c>
      <c r="U1460">
        <v>-0.32156370000000001</v>
      </c>
      <c r="V1460">
        <v>-8.9923399999999903E-2</v>
      </c>
      <c r="W1460">
        <v>-0.1305482</v>
      </c>
      <c r="X1460">
        <v>0.98735550000000005</v>
      </c>
      <c r="Y1460">
        <v>-0.12197089999999899</v>
      </c>
      <c r="Z1460">
        <v>-2.6021030000000001E-3</v>
      </c>
      <c r="AA1460">
        <v>0.99253029999999998</v>
      </c>
      <c r="AB1460">
        <v>43</v>
      </c>
      <c r="AC1460">
        <v>-38.206199999999903</v>
      </c>
      <c r="AD1460">
        <v>-1.10825493871389</v>
      </c>
      <c r="AE1460">
        <v>-4.17360000000002</v>
      </c>
      <c r="AF1460">
        <v>-4.7661213063478902</v>
      </c>
      <c r="AG1460">
        <v>-1.10825493871389</v>
      </c>
      <c r="AH1460">
        <v>38.104636797664597</v>
      </c>
      <c r="AI1460">
        <v>91.6530766590935</v>
      </c>
      <c r="AJ1460">
        <v>97.129519582558004</v>
      </c>
      <c r="AK1460">
        <v>38.417541394497597</v>
      </c>
      <c r="AL1460">
        <v>97.501272085308599</v>
      </c>
      <c r="AM1460">
        <v>95.2038566157171</v>
      </c>
      <c r="AN1460">
        <v>0.99999996688552395</v>
      </c>
    </row>
    <row r="1461" spans="1:40" x14ac:dyDescent="0.25">
      <c r="A1461" t="str">
        <f>"20190305135610584"</f>
        <v>20190305135610584</v>
      </c>
      <c r="B1461" t="str">
        <f>"1551765370573022"</f>
        <v>1551765370573022</v>
      </c>
      <c r="C1461" t="s">
        <v>40</v>
      </c>
      <c r="D1461">
        <v>4.2485989999999996</v>
      </c>
      <c r="E1461">
        <v>0.4910003</v>
      </c>
      <c r="F1461" t="s">
        <v>55</v>
      </c>
      <c r="G1461">
        <v>-363.61880000000002</v>
      </c>
      <c r="H1461" s="1">
        <v>3.889784E-7</v>
      </c>
      <c r="I1461">
        <v>279.62220000000002</v>
      </c>
      <c r="J1461">
        <v>-323.32830000000001</v>
      </c>
      <c r="K1461">
        <v>1.1082190000000001</v>
      </c>
      <c r="L1461">
        <v>283.96080000000001</v>
      </c>
      <c r="M1461">
        <v>-0.99984490000000004</v>
      </c>
      <c r="N1461">
        <v>-8.8953950000000004E-3</v>
      </c>
      <c r="O1461">
        <v>1.5195699999999999E-2</v>
      </c>
      <c r="P1461">
        <v>-0.9874288</v>
      </c>
      <c r="Q1461">
        <v>-0.139544</v>
      </c>
      <c r="R1461">
        <v>-7.4242639999999999E-2</v>
      </c>
      <c r="S1461">
        <v>-3.0025940000000002</v>
      </c>
      <c r="T1461">
        <v>-8.1757780000000002E-2</v>
      </c>
      <c r="U1461">
        <v>-0.31961060000000002</v>
      </c>
      <c r="V1461">
        <v>-8.9083860000000001E-2</v>
      </c>
      <c r="W1461">
        <v>-0.13087199999999999</v>
      </c>
      <c r="X1461">
        <v>0.98738879999999996</v>
      </c>
      <c r="Y1461">
        <v>-0.12088409999999999</v>
      </c>
      <c r="Z1461">
        <v>-2.457997E-3</v>
      </c>
      <c r="AA1461">
        <v>0.99266359999999998</v>
      </c>
      <c r="AB1461">
        <v>43</v>
      </c>
      <c r="AC1461">
        <v>-40.290500000000002</v>
      </c>
      <c r="AD1461">
        <v>-1.1082186110215999</v>
      </c>
      <c r="AE1461">
        <v>-4.33859999999998</v>
      </c>
      <c r="AF1461">
        <v>-4.9466660675758103</v>
      </c>
      <c r="AG1461">
        <v>-1.1082186110215999</v>
      </c>
      <c r="AH1461">
        <v>40.189859303892</v>
      </c>
      <c r="AI1461">
        <v>91.567682944555102</v>
      </c>
      <c r="AJ1461">
        <v>97.016813294368006</v>
      </c>
      <c r="AK1461">
        <v>40.508300933766101</v>
      </c>
      <c r="AL1461">
        <v>97.519984538947696</v>
      </c>
      <c r="AM1461">
        <v>95.155362641572495</v>
      </c>
      <c r="AN1461">
        <v>1.00000002843096</v>
      </c>
    </row>
    <row r="1462" spans="1:40" x14ac:dyDescent="0.25">
      <c r="A1462" t="str">
        <f>"20190305135610607"</f>
        <v>20190305135610607</v>
      </c>
      <c r="B1462" t="str">
        <f>"1551765370603278"</f>
        <v>1551765370603278</v>
      </c>
      <c r="C1462" t="s">
        <v>40</v>
      </c>
      <c r="D1462">
        <v>4.2418360000000002</v>
      </c>
      <c r="E1462">
        <v>0.49112299999999998</v>
      </c>
      <c r="F1462" t="s">
        <v>55</v>
      </c>
      <c r="G1462">
        <v>-364.37400000000002</v>
      </c>
      <c r="H1462">
        <v>3.2045070000000002E-2</v>
      </c>
      <c r="I1462">
        <v>279.61630000000002</v>
      </c>
      <c r="J1462">
        <v>-323.76799999999997</v>
      </c>
      <c r="K1462">
        <v>1.1081909999999999</v>
      </c>
      <c r="L1462">
        <v>283.96719999999999</v>
      </c>
      <c r="M1462">
        <v>-0.99985520000000006</v>
      </c>
      <c r="N1462">
        <v>-8.5100969999999995E-3</v>
      </c>
      <c r="O1462">
        <v>1.473761E-2</v>
      </c>
      <c r="P1462">
        <v>-0.98731659999999999</v>
      </c>
      <c r="Q1462">
        <v>-0.14051540000000001</v>
      </c>
      <c r="R1462">
        <v>-7.3903259999999998E-2</v>
      </c>
      <c r="S1462">
        <v>-3.003174</v>
      </c>
      <c r="T1462">
        <v>-7.8740000000000004E-2</v>
      </c>
      <c r="U1462">
        <v>-0.31787110000000002</v>
      </c>
      <c r="V1462">
        <v>-8.8287669999999999E-2</v>
      </c>
      <c r="W1462">
        <v>-0.13222449999999999</v>
      </c>
      <c r="X1462">
        <v>0.98728009999999999</v>
      </c>
      <c r="Y1462">
        <v>-0.1198456</v>
      </c>
      <c r="Z1462">
        <v>-2.3382519999999999E-3</v>
      </c>
      <c r="AA1462">
        <v>0.99278979999999994</v>
      </c>
      <c r="AB1462">
        <v>44</v>
      </c>
      <c r="AC1462">
        <v>-40.606000000000002</v>
      </c>
      <c r="AD1462">
        <v>-1.07614593</v>
      </c>
      <c r="AE1462">
        <v>-4.3508999999999602</v>
      </c>
      <c r="AF1462">
        <v>-4.94545041213724</v>
      </c>
      <c r="AG1462">
        <v>-1.07614593</v>
      </c>
      <c r="AH1462">
        <v>40.509336172995098</v>
      </c>
      <c r="AI1462">
        <v>91.510516831223597</v>
      </c>
      <c r="AJ1462">
        <v>96.960326269023895</v>
      </c>
      <c r="AK1462">
        <v>40.824280606255499</v>
      </c>
      <c r="AL1462">
        <v>97.598156530890293</v>
      </c>
      <c r="AM1462">
        <v>95.110090988060705</v>
      </c>
      <c r="AN1462">
        <v>1.0000000134651399</v>
      </c>
    </row>
    <row r="1463" spans="1:40" x14ac:dyDescent="0.25">
      <c r="A1463" t="str">
        <f>"20190305135610629"</f>
        <v>20190305135610629</v>
      </c>
      <c r="B1463" t="str">
        <f>"1551765370623775"</f>
        <v>1551765370623775</v>
      </c>
      <c r="C1463" t="s">
        <v>40</v>
      </c>
      <c r="D1463">
        <v>4.2511029999999996</v>
      </c>
      <c r="E1463">
        <v>0.49121979999999998</v>
      </c>
      <c r="F1463" t="s">
        <v>55</v>
      </c>
      <c r="G1463">
        <v>-365.09379999999999</v>
      </c>
      <c r="H1463">
        <v>4.2131920000000003E-2</v>
      </c>
      <c r="I1463">
        <v>279.61630000000002</v>
      </c>
      <c r="J1463">
        <v>-324.22179999999997</v>
      </c>
      <c r="K1463">
        <v>1.1081719999999999</v>
      </c>
      <c r="L1463">
        <v>283.97359999999998</v>
      </c>
      <c r="M1463">
        <v>-0.99986489999999995</v>
      </c>
      <c r="N1463">
        <v>-8.1593710000000003E-3</v>
      </c>
      <c r="O1463">
        <v>1.4267470000000001E-2</v>
      </c>
      <c r="P1463">
        <v>-0.98718799999999995</v>
      </c>
      <c r="Q1463">
        <v>-0.141517</v>
      </c>
      <c r="R1463">
        <v>-7.3708209999999996E-2</v>
      </c>
      <c r="S1463">
        <v>-3.0038450000000001</v>
      </c>
      <c r="T1463">
        <v>-7.7488660000000001E-2</v>
      </c>
      <c r="U1463">
        <v>-0.31625370000000003</v>
      </c>
      <c r="V1463">
        <v>-8.7622939999999996E-2</v>
      </c>
      <c r="W1463">
        <v>-0.13357359999999999</v>
      </c>
      <c r="X1463">
        <v>0.98715770000000003</v>
      </c>
      <c r="Y1463">
        <v>-0.1188293</v>
      </c>
      <c r="Z1463">
        <v>-2.265422E-3</v>
      </c>
      <c r="AA1463">
        <v>0.99291209999999996</v>
      </c>
      <c r="AB1463">
        <v>44</v>
      </c>
      <c r="AC1463">
        <v>-40.872</v>
      </c>
      <c r="AD1463">
        <v>-1.0660400799999901</v>
      </c>
      <c r="AE1463">
        <v>-4.3572999999999498</v>
      </c>
      <c r="AF1463">
        <v>-4.9366952665820403</v>
      </c>
      <c r="AG1463">
        <v>-1.0660400799999901</v>
      </c>
      <c r="AH1463">
        <v>40.778240465318902</v>
      </c>
      <c r="AI1463">
        <v>91.486657031714998</v>
      </c>
      <c r="AJ1463">
        <v>96.902750087428004</v>
      </c>
      <c r="AK1463">
        <v>41.089807702818803</v>
      </c>
      <c r="AL1463">
        <v>97.676146134215998</v>
      </c>
      <c r="AM1463">
        <v>95.072443422299401</v>
      </c>
      <c r="AN1463">
        <v>1.00000000545024</v>
      </c>
    </row>
    <row r="1464" spans="1:40" x14ac:dyDescent="0.25">
      <c r="A1464" t="str">
        <f>"20190305135610652"</f>
        <v>20190305135610652</v>
      </c>
      <c r="B1464" t="str">
        <f>"1551765370643294"</f>
        <v>1551765370643294</v>
      </c>
      <c r="C1464" t="s">
        <v>40</v>
      </c>
      <c r="D1464">
        <v>4.2871100000000002</v>
      </c>
      <c r="E1464">
        <v>0.49125770000000002</v>
      </c>
      <c r="F1464" t="s">
        <v>55</v>
      </c>
      <c r="G1464">
        <v>-365.74970000000002</v>
      </c>
      <c r="H1464">
        <v>3.1432599999999998E-2</v>
      </c>
      <c r="I1464">
        <v>279.61630000000002</v>
      </c>
      <c r="J1464">
        <v>-324.66739999999999</v>
      </c>
      <c r="K1464">
        <v>1.1081540000000001</v>
      </c>
      <c r="L1464">
        <v>283.97969999999998</v>
      </c>
      <c r="M1464">
        <v>-0.99987380000000003</v>
      </c>
      <c r="N1464">
        <v>-7.8633699999999997E-3</v>
      </c>
      <c r="O1464">
        <v>1.3806260000000001E-2</v>
      </c>
      <c r="P1464">
        <v>-0.98682619999999999</v>
      </c>
      <c r="Q1464">
        <v>-0.14376910000000001</v>
      </c>
      <c r="R1464">
        <v>-7.4193839999999997E-2</v>
      </c>
      <c r="S1464">
        <v>-3.0042110000000002</v>
      </c>
      <c r="T1464">
        <v>-7.7893499999999893E-2</v>
      </c>
      <c r="U1464">
        <v>-0.315216099999999</v>
      </c>
      <c r="V1464">
        <v>-8.7644050000000001E-2</v>
      </c>
      <c r="W1464">
        <v>-0.13612160000000001</v>
      </c>
      <c r="X1464">
        <v>0.98680769999999995</v>
      </c>
      <c r="Y1464">
        <v>-0.11801979999999999</v>
      </c>
      <c r="Z1464">
        <v>-2.2397150000000002E-3</v>
      </c>
      <c r="AA1464">
        <v>0.99300869999999997</v>
      </c>
      <c r="AB1464">
        <v>44</v>
      </c>
      <c r="AC1464">
        <v>-41.082299999999996</v>
      </c>
      <c r="AD1464">
        <v>-1.0767214000000001</v>
      </c>
      <c r="AE1464">
        <v>-4.3633999999999498</v>
      </c>
      <c r="AF1464">
        <v>-4.9268479996900201</v>
      </c>
      <c r="AG1464">
        <v>-1.0767214000000001</v>
      </c>
      <c r="AH1464">
        <v>40.990297680712601</v>
      </c>
      <c r="AI1464">
        <v>91.493935334511605</v>
      </c>
      <c r="AJ1464">
        <v>96.853813646716603</v>
      </c>
      <c r="AK1464">
        <v>41.299366389070599</v>
      </c>
      <c r="AL1464">
        <v>97.823481550170001</v>
      </c>
      <c r="AM1464">
        <v>95.075449213865895</v>
      </c>
      <c r="AN1464">
        <v>1.00000000313312</v>
      </c>
    </row>
    <row r="1465" spans="1:40" x14ac:dyDescent="0.25">
      <c r="A1465" t="str">
        <f>"20190305135610673"</f>
        <v>20190305135610673</v>
      </c>
      <c r="B1465" t="str">
        <f>"1551765370663794"</f>
        <v>1551765370663794</v>
      </c>
      <c r="C1465" t="s">
        <v>40</v>
      </c>
      <c r="D1465">
        <v>4.2796370000000001</v>
      </c>
      <c r="E1465">
        <v>0.49133599999999999</v>
      </c>
      <c r="F1465" t="s">
        <v>55</v>
      </c>
      <c r="G1465">
        <v>-365.0059</v>
      </c>
      <c r="H1465" s="1">
        <v>1.127117E-6</v>
      </c>
      <c r="I1465">
        <v>279.7296</v>
      </c>
      <c r="J1465">
        <v>-325.08350000000002</v>
      </c>
      <c r="K1465">
        <v>1.108141</v>
      </c>
      <c r="L1465">
        <v>283.98520000000002</v>
      </c>
      <c r="M1465">
        <v>-0.99988160000000004</v>
      </c>
      <c r="N1465">
        <v>-7.6253309999999999E-3</v>
      </c>
      <c r="O1465">
        <v>1.3376000000000001E-2</v>
      </c>
      <c r="P1465">
        <v>-0.98673900000000003</v>
      </c>
      <c r="Q1465">
        <v>-0.14428929999999901</v>
      </c>
      <c r="R1465">
        <v>-7.4346190000000006E-2</v>
      </c>
      <c r="S1465">
        <v>-3.0042420000000001</v>
      </c>
      <c r="T1465">
        <v>-8.2530619999999999E-2</v>
      </c>
      <c r="U1465">
        <v>-0.31652829999999998</v>
      </c>
      <c r="V1465">
        <v>-8.7368059999999997E-2</v>
      </c>
      <c r="W1465">
        <v>-0.13687769999999999</v>
      </c>
      <c r="X1465">
        <v>0.98672760000000004</v>
      </c>
      <c r="Y1465">
        <v>-0.11801490000000001</v>
      </c>
      <c r="Z1465">
        <v>-2.332289E-3</v>
      </c>
      <c r="AA1465">
        <v>0.99300909999999998</v>
      </c>
      <c r="AB1465">
        <v>44</v>
      </c>
      <c r="AC1465">
        <v>-39.922399999999897</v>
      </c>
      <c r="AD1465">
        <v>-1.1081398728829901</v>
      </c>
      <c r="AE1465">
        <v>-4.25560000000001</v>
      </c>
      <c r="AF1465">
        <v>-4.7855910050172303</v>
      </c>
      <c r="AG1465">
        <v>-1.1081398728829901</v>
      </c>
      <c r="AH1465">
        <v>39.8315594411239</v>
      </c>
      <c r="AI1465">
        <v>91.582221852690694</v>
      </c>
      <c r="AJ1465">
        <v>96.851003348011204</v>
      </c>
      <c r="AK1465">
        <v>40.133315122936999</v>
      </c>
      <c r="AL1465">
        <v>97.867212073107694</v>
      </c>
      <c r="AM1465">
        <v>95.059958365219899</v>
      </c>
      <c r="AN1465">
        <v>1.0000000196336001</v>
      </c>
    </row>
    <row r="1466" spans="1:40" x14ac:dyDescent="0.25">
      <c r="A1466" t="str">
        <f>"20190305135610696"</f>
        <v>20190305135610696</v>
      </c>
      <c r="B1466" t="str">
        <f>"1551765370693070"</f>
        <v>1551765370693070</v>
      </c>
      <c r="C1466" t="s">
        <v>40</v>
      </c>
      <c r="D1466">
        <v>4.2813530000000002</v>
      </c>
      <c r="E1466">
        <v>0.49156309999999898</v>
      </c>
      <c r="F1466" t="s">
        <v>55</v>
      </c>
      <c r="G1466">
        <v>-365.49700000000001</v>
      </c>
      <c r="H1466" s="1">
        <v>1.3884520000000001E-6</v>
      </c>
      <c r="I1466">
        <v>279.72669999999999</v>
      </c>
      <c r="J1466">
        <v>-325.54079999999999</v>
      </c>
      <c r="K1466">
        <v>1.1081319999999999</v>
      </c>
      <c r="L1466">
        <v>283.99099999999999</v>
      </c>
      <c r="M1466">
        <v>-0.99988940000000004</v>
      </c>
      <c r="N1466">
        <v>-7.4033149999999997E-3</v>
      </c>
      <c r="O1466">
        <v>1.2903619999999999E-2</v>
      </c>
      <c r="P1466">
        <v>-0.98668149999999999</v>
      </c>
      <c r="Q1466">
        <v>-0.14412539999999999</v>
      </c>
      <c r="R1466">
        <v>-7.5416059999999993E-2</v>
      </c>
      <c r="S1466">
        <v>-3.0044249999999999</v>
      </c>
      <c r="T1466">
        <v>-8.2381490000000002E-2</v>
      </c>
      <c r="U1466">
        <v>-0.31658940000000002</v>
      </c>
      <c r="V1466">
        <v>-8.7970530000000005E-2</v>
      </c>
      <c r="W1466">
        <v>-0.1369349</v>
      </c>
      <c r="X1466">
        <v>0.98666609999999999</v>
      </c>
      <c r="Y1466">
        <v>-0.1175602</v>
      </c>
      <c r="Z1466">
        <v>-2.3010700000000001E-3</v>
      </c>
      <c r="AA1466">
        <v>0.99306309999999998</v>
      </c>
      <c r="AB1466">
        <v>44</v>
      </c>
      <c r="AC1466">
        <v>-39.956199999999903</v>
      </c>
      <c r="AD1466">
        <v>-1.1081306115480001</v>
      </c>
      <c r="AE1466">
        <v>-4.2642999999999898</v>
      </c>
      <c r="AF1466">
        <v>-4.7759066341586296</v>
      </c>
      <c r="AG1466">
        <v>-1.1081306115480001</v>
      </c>
      <c r="AH1466">
        <v>39.867527896232801</v>
      </c>
      <c r="AI1466">
        <v>91.580847540293107</v>
      </c>
      <c r="AJ1466">
        <v>96.831160413552098</v>
      </c>
      <c r="AK1466">
        <v>40.167860512944301</v>
      </c>
      <c r="AL1466">
        <v>97.870520803151393</v>
      </c>
      <c r="AM1466">
        <v>95.094983552437697</v>
      </c>
      <c r="AN1466">
        <v>0.99999998693784997</v>
      </c>
    </row>
    <row r="1467" spans="1:40" x14ac:dyDescent="0.25">
      <c r="A1467" t="str">
        <f>"20190305135610719"</f>
        <v>20190305135610719</v>
      </c>
      <c r="B1467" t="str">
        <f>"1551765370713567"</f>
        <v>1551765370713567</v>
      </c>
      <c r="C1467" t="s">
        <v>40</v>
      </c>
      <c r="D1467">
        <v>4.2406959999999998</v>
      </c>
      <c r="E1467">
        <v>0.49174580000000001</v>
      </c>
      <c r="F1467" t="s">
        <v>55</v>
      </c>
      <c r="G1467">
        <v>-365.6936</v>
      </c>
      <c r="H1467" s="1">
        <v>1.493071E-6</v>
      </c>
      <c r="I1467">
        <v>279.7448</v>
      </c>
      <c r="J1467">
        <v>-325.9898</v>
      </c>
      <c r="K1467">
        <v>1.1081219999999901</v>
      </c>
      <c r="L1467">
        <v>283.99650000000003</v>
      </c>
      <c r="M1467">
        <v>-0.99989660000000002</v>
      </c>
      <c r="N1467">
        <v>-7.2203619999999897E-3</v>
      </c>
      <c r="O1467">
        <v>1.2438380000000001E-2</v>
      </c>
      <c r="P1467">
        <v>-0.98655119999999996</v>
      </c>
      <c r="Q1467">
        <v>-0.14460700000000001</v>
      </c>
      <c r="R1467">
        <v>-7.6196219999999995E-2</v>
      </c>
      <c r="S1467">
        <v>-3.004089</v>
      </c>
      <c r="T1467">
        <v>-8.2906369999999993E-2</v>
      </c>
      <c r="U1467">
        <v>-0.31768800000000003</v>
      </c>
      <c r="V1467">
        <v>-8.8287889999999994E-2</v>
      </c>
      <c r="W1467">
        <v>-0.1375991</v>
      </c>
      <c r="X1467">
        <v>0.98654540000000002</v>
      </c>
      <c r="Y1467">
        <v>-0.1174685</v>
      </c>
      <c r="Z1467">
        <v>-2.2942629999999999E-3</v>
      </c>
      <c r="AA1467">
        <v>0.99307389999999995</v>
      </c>
      <c r="AB1467">
        <v>44</v>
      </c>
      <c r="AC1467">
        <v>-39.703800000000001</v>
      </c>
      <c r="AD1467">
        <v>-1.1081205069290001</v>
      </c>
      <c r="AE1467">
        <v>-4.25170000000002</v>
      </c>
      <c r="AF1467">
        <v>-4.7415832994672602</v>
      </c>
      <c r="AG1467">
        <v>-1.1081205069290001</v>
      </c>
      <c r="AH1467">
        <v>39.617332659813101</v>
      </c>
      <c r="AI1467">
        <v>91.590832065292005</v>
      </c>
      <c r="AJ1467">
        <v>96.824956317231695</v>
      </c>
      <c r="AK1467">
        <v>39.915455531935997</v>
      </c>
      <c r="AL1467">
        <v>97.908939874706405</v>
      </c>
      <c r="AM1467">
        <v>95.113889078746297</v>
      </c>
      <c r="AN1467">
        <v>1.00000004505131</v>
      </c>
    </row>
    <row r="1468" spans="1:40" x14ac:dyDescent="0.25">
      <c r="A1468" t="str">
        <f>"20190305135610741"</f>
        <v>20190305135610741</v>
      </c>
      <c r="B1468" t="str">
        <f>"1551765370733096"</f>
        <v>1551765370733096</v>
      </c>
      <c r="C1468" t="s">
        <v>40</v>
      </c>
      <c r="D1468">
        <v>4.5018129999999896</v>
      </c>
      <c r="E1468">
        <v>0.4920467</v>
      </c>
      <c r="F1468" t="s">
        <v>55</v>
      </c>
      <c r="G1468">
        <v>-364.55329999999998</v>
      </c>
      <c r="H1468" s="1">
        <v>8.8627019999999999E-7</v>
      </c>
      <c r="I1468">
        <v>279.90679999999998</v>
      </c>
      <c r="J1468">
        <v>-326.45049999999998</v>
      </c>
      <c r="K1468">
        <v>1.1081259999999999</v>
      </c>
      <c r="L1468">
        <v>284.00200000000001</v>
      </c>
      <c r="M1468">
        <v>-0.99990369999999995</v>
      </c>
      <c r="N1468">
        <v>-7.065829E-3</v>
      </c>
      <c r="O1468">
        <v>1.195588E-2</v>
      </c>
      <c r="P1468">
        <v>-0.98632620000000004</v>
      </c>
      <c r="Q1468">
        <v>-0.14587549999999999</v>
      </c>
      <c r="R1468">
        <v>-7.6689670000000001E-2</v>
      </c>
      <c r="S1468">
        <v>-3.0036619999999998</v>
      </c>
      <c r="T1468">
        <v>-8.6310029999999996E-2</v>
      </c>
      <c r="U1468">
        <v>-0.31854250000000001</v>
      </c>
      <c r="V1468">
        <v>-8.8299329999999995E-2</v>
      </c>
      <c r="W1468">
        <v>-0.139022799999999</v>
      </c>
      <c r="X1468">
        <v>0.98634469999999996</v>
      </c>
      <c r="Y1468">
        <v>-0.11727940000000001</v>
      </c>
      <c r="Z1468">
        <v>-2.3539110000000002E-3</v>
      </c>
      <c r="AA1468">
        <v>0.99309619999999998</v>
      </c>
      <c r="AB1468">
        <v>44</v>
      </c>
      <c r="AC1468">
        <v>-38.102800000000002</v>
      </c>
      <c r="AD1468">
        <v>-1.1081251137298</v>
      </c>
      <c r="AE1468">
        <v>-4.0952000000000304</v>
      </c>
      <c r="AF1468">
        <v>-4.5466694737067899</v>
      </c>
      <c r="AG1468">
        <v>-1.1081251137298</v>
      </c>
      <c r="AH1468">
        <v>38.019324320418598</v>
      </c>
      <c r="AI1468">
        <v>91.657686214708605</v>
      </c>
      <c r="AJ1468">
        <v>96.819523086219704</v>
      </c>
      <c r="AK1468">
        <v>38.306254924646304</v>
      </c>
      <c r="AL1468">
        <v>97.991303940034896</v>
      </c>
      <c r="AM1468">
        <v>95.115583381839599</v>
      </c>
      <c r="AN1468">
        <v>0.99999998890818897</v>
      </c>
    </row>
    <row r="1469" spans="1:40" x14ac:dyDescent="0.25">
      <c r="A1469" t="str">
        <f>"20190305135610763"</f>
        <v>20190305135610763</v>
      </c>
      <c r="B1469" t="str">
        <f>"1551765370753585"</f>
        <v>1551765370753585</v>
      </c>
      <c r="C1469" t="s">
        <v>40</v>
      </c>
      <c r="D1469">
        <v>4.2345050000000004</v>
      </c>
      <c r="E1469">
        <v>0.49222090000000002</v>
      </c>
      <c r="F1469" t="s">
        <v>55</v>
      </c>
      <c r="G1469">
        <v>-362.55689999999998</v>
      </c>
      <c r="H1469" s="1">
        <v>-1.7614550000000001E-7</v>
      </c>
      <c r="I1469">
        <v>280.17700000000002</v>
      </c>
      <c r="J1469">
        <v>-326.86880000000002</v>
      </c>
      <c r="K1469">
        <v>1.108133</v>
      </c>
      <c r="L1469">
        <v>284.00670000000002</v>
      </c>
      <c r="M1469">
        <v>-0.99990970000000001</v>
      </c>
      <c r="N1469">
        <v>-6.9508199999999999E-3</v>
      </c>
      <c r="O1469">
        <v>1.150847E-2</v>
      </c>
      <c r="P1469">
        <v>-0.9862628</v>
      </c>
      <c r="Q1469">
        <v>-0.1462927</v>
      </c>
      <c r="R1469">
        <v>-7.6709979999999997E-2</v>
      </c>
      <c r="S1469">
        <v>-3.0032350000000001</v>
      </c>
      <c r="T1469">
        <v>-9.2171069999999994E-2</v>
      </c>
      <c r="U1469">
        <v>-0.31814579999999998</v>
      </c>
      <c r="V1469">
        <v>-8.787362E-2</v>
      </c>
      <c r="W1469">
        <v>-0.13955490000000001</v>
      </c>
      <c r="X1469">
        <v>0.98630759999999995</v>
      </c>
      <c r="Y1469">
        <v>-0.1167127</v>
      </c>
      <c r="Z1469">
        <v>-2.46489E-3</v>
      </c>
      <c r="AA1469">
        <v>0.99316269999999995</v>
      </c>
      <c r="AB1469">
        <v>44</v>
      </c>
      <c r="AC1469">
        <v>-35.688099999999899</v>
      </c>
      <c r="AD1469">
        <v>-1.1081331761455</v>
      </c>
      <c r="AE1469">
        <v>-3.8296999999999999</v>
      </c>
      <c r="AF1469">
        <v>-4.2361339817381101</v>
      </c>
      <c r="AG1469">
        <v>-1.1081331761455</v>
      </c>
      <c r="AH1469">
        <v>35.607721650979698</v>
      </c>
      <c r="AI1469">
        <v>91.770029304080495</v>
      </c>
      <c r="AJ1469">
        <v>96.784404336959497</v>
      </c>
      <c r="AK1469">
        <v>35.875933875245103</v>
      </c>
      <c r="AL1469">
        <v>98.022090954454598</v>
      </c>
      <c r="AM1469">
        <v>95.091240474212299</v>
      </c>
      <c r="AN1469">
        <v>1.00000001251183</v>
      </c>
    </row>
    <row r="1470" spans="1:40" x14ac:dyDescent="0.25">
      <c r="A1470" t="str">
        <f>"20190305135610796"</f>
        <v>20190305135610796</v>
      </c>
      <c r="B1470" t="str">
        <f>"1551765370793598"</f>
        <v>1551765370793598</v>
      </c>
      <c r="C1470" t="s">
        <v>40</v>
      </c>
      <c r="D1470">
        <v>4.2232399999999997</v>
      </c>
      <c r="E1470">
        <v>0.4925041</v>
      </c>
      <c r="F1470" t="s">
        <v>55</v>
      </c>
      <c r="G1470">
        <v>-361.88929999999999</v>
      </c>
      <c r="H1470" s="1">
        <v>-5.3142260000000004E-7</v>
      </c>
      <c r="I1470">
        <v>280.31119999999999</v>
      </c>
      <c r="J1470">
        <v>-327.52980000000002</v>
      </c>
      <c r="K1470">
        <v>1.1081430000000001</v>
      </c>
      <c r="L1470">
        <v>284.0138</v>
      </c>
      <c r="M1470">
        <v>-0.99991890000000005</v>
      </c>
      <c r="N1470">
        <v>-6.8091540000000004E-3</v>
      </c>
      <c r="O1470">
        <v>1.076567E-2</v>
      </c>
      <c r="P1470">
        <v>-0.98626670000000005</v>
      </c>
      <c r="Q1470">
        <v>-0.14552950000000001</v>
      </c>
      <c r="R1470">
        <v>-7.8098780000000007E-2</v>
      </c>
      <c r="S1470">
        <v>-3.0030519999999998</v>
      </c>
      <c r="T1470">
        <v>-9.5023869999999996E-2</v>
      </c>
      <c r="U1470">
        <v>-0.31689450000000002</v>
      </c>
      <c r="V1470">
        <v>-8.8523340000000006E-2</v>
      </c>
      <c r="W1470">
        <v>-0.13893710000000001</v>
      </c>
      <c r="X1470">
        <v>0.98633669999999996</v>
      </c>
      <c r="Y1470">
        <v>-0.11556900000000001</v>
      </c>
      <c r="Z1470">
        <v>-2.4841920000000001E-3</v>
      </c>
      <c r="AA1470">
        <v>0.99329630000000002</v>
      </c>
      <c r="AB1470">
        <v>45</v>
      </c>
      <c r="AC1470">
        <v>-34.359499999999898</v>
      </c>
      <c r="AD1470">
        <v>-1.1081435314226</v>
      </c>
      <c r="AE1470">
        <v>-3.7026000000000101</v>
      </c>
      <c r="AF1470">
        <v>-4.0681141206930302</v>
      </c>
      <c r="AG1470">
        <v>-1.1081435314226</v>
      </c>
      <c r="AH1470">
        <v>34.2823971309424</v>
      </c>
      <c r="AI1470">
        <v>91.838493007224898</v>
      </c>
      <c r="AJ1470">
        <v>96.767346728720995</v>
      </c>
      <c r="AK1470">
        <v>34.540704793458701</v>
      </c>
      <c r="AL1470">
        <v>97.986345541806401</v>
      </c>
      <c r="AM1470">
        <v>95.128533557966094</v>
      </c>
      <c r="AN1470">
        <v>0.99999999262402695</v>
      </c>
    </row>
    <row r="1471" spans="1:40" x14ac:dyDescent="0.25">
      <c r="A1471" t="str">
        <f>"20190305135610819"</f>
        <v>20190305135610819</v>
      </c>
      <c r="B1471" t="str">
        <f>"1551765370813119"</f>
        <v>1551765370813119</v>
      </c>
      <c r="C1471" t="s">
        <v>40</v>
      </c>
      <c r="D1471">
        <v>4.2339739999999999</v>
      </c>
      <c r="E1471">
        <v>0.49258449999999998</v>
      </c>
      <c r="F1471" t="s">
        <v>55</v>
      </c>
      <c r="G1471">
        <v>-362.27080000000001</v>
      </c>
      <c r="H1471" s="1">
        <v>-3.2837929999999998E-7</v>
      </c>
      <c r="I1471">
        <v>280.3304</v>
      </c>
      <c r="J1471">
        <v>-327.99939999999998</v>
      </c>
      <c r="K1471">
        <v>1.10815</v>
      </c>
      <c r="L1471">
        <v>284.01859999999999</v>
      </c>
      <c r="M1471">
        <v>-0.99992539999999996</v>
      </c>
      <c r="N1471">
        <v>-6.7327730000000001E-3</v>
      </c>
      <c r="O1471">
        <v>1.020159E-2</v>
      </c>
      <c r="P1471">
        <v>-0.98601439999999996</v>
      </c>
      <c r="Q1471">
        <v>-0.147040899999999</v>
      </c>
      <c r="R1471">
        <v>-7.8454179999999998E-2</v>
      </c>
      <c r="S1471">
        <v>-3.0024109999999999</v>
      </c>
      <c r="T1471">
        <v>-9.5768690000000004E-2</v>
      </c>
      <c r="U1471">
        <v>-0.31832890000000003</v>
      </c>
      <c r="V1471">
        <v>-8.8309529999999997E-2</v>
      </c>
      <c r="W1471">
        <v>-0.1405303</v>
      </c>
      <c r="X1471">
        <v>0.98613019999999996</v>
      </c>
      <c r="Y1471">
        <v>-0.1154993</v>
      </c>
      <c r="Z1471">
        <v>-2.4824479999999999E-3</v>
      </c>
      <c r="AA1471">
        <v>0.99330450000000003</v>
      </c>
      <c r="AB1471">
        <v>45</v>
      </c>
      <c r="AC1471">
        <v>-34.2714</v>
      </c>
      <c r="AD1471">
        <v>-1.1081503283792999</v>
      </c>
      <c r="AE1471">
        <v>-3.6881999999999899</v>
      </c>
      <c r="AF1471">
        <v>-4.0334699207477804</v>
      </c>
      <c r="AG1471">
        <v>-1.1081503283792999</v>
      </c>
      <c r="AH1471">
        <v>34.196646117100002</v>
      </c>
      <c r="AI1471">
        <v>91.843265076141407</v>
      </c>
      <c r="AJ1471">
        <v>96.7269160297909</v>
      </c>
      <c r="AK1471">
        <v>34.4515236587591</v>
      </c>
      <c r="AL1471">
        <v>98.078533129297298</v>
      </c>
      <c r="AM1471">
        <v>95.117278124214295</v>
      </c>
      <c r="AN1471">
        <v>1.0000000548294701</v>
      </c>
    </row>
    <row r="1472" spans="1:40" x14ac:dyDescent="0.25">
      <c r="A1472" t="str">
        <f>"20190305135610843"</f>
        <v>20190305135610843</v>
      </c>
      <c r="B1472" t="str">
        <f>"1551765370833614"</f>
        <v>1551765370833614</v>
      </c>
      <c r="C1472" t="s">
        <v>40</v>
      </c>
      <c r="D1472">
        <v>4.2462780000000002</v>
      </c>
      <c r="E1472">
        <v>0.4926277</v>
      </c>
      <c r="F1472" t="s">
        <v>55</v>
      </c>
      <c r="G1472">
        <v>-361.31830000000002</v>
      </c>
      <c r="H1472" s="1">
        <v>-8.3524330000000001E-7</v>
      </c>
      <c r="I1472">
        <v>280.48689999999999</v>
      </c>
      <c r="J1472">
        <v>-328.46870000000001</v>
      </c>
      <c r="K1472">
        <v>1.1081540000000001</v>
      </c>
      <c r="L1472">
        <v>284.02289999999999</v>
      </c>
      <c r="M1472">
        <v>-0.99993160000000003</v>
      </c>
      <c r="N1472">
        <v>-6.6724439999999996E-3</v>
      </c>
      <c r="O1472">
        <v>9.603716E-3</v>
      </c>
      <c r="P1472">
        <v>-0.98584360000000004</v>
      </c>
      <c r="Q1472">
        <v>-0.14791869999999999</v>
      </c>
      <c r="R1472">
        <v>-7.8947420000000004E-2</v>
      </c>
      <c r="S1472">
        <v>-3.00238</v>
      </c>
      <c r="T1472">
        <v>-9.9855899999999997E-2</v>
      </c>
      <c r="U1472">
        <v>-0.3182373</v>
      </c>
      <c r="V1472">
        <v>-8.8200669999999995E-2</v>
      </c>
      <c r="W1472">
        <v>-0.14147470000000001</v>
      </c>
      <c r="X1472">
        <v>0.98600480000000001</v>
      </c>
      <c r="Y1472">
        <v>-0.11487120000000001</v>
      </c>
      <c r="Z1472">
        <v>-2.5434110000000002E-3</v>
      </c>
      <c r="AA1472">
        <v>0.99337710000000001</v>
      </c>
      <c r="AB1472">
        <v>45</v>
      </c>
      <c r="AC1472">
        <v>-32.849600000000002</v>
      </c>
      <c r="AD1472">
        <v>-1.1081548352432999</v>
      </c>
      <c r="AE1472">
        <v>-3.536</v>
      </c>
      <c r="AF1472">
        <v>-3.84699446311545</v>
      </c>
      <c r="AG1472">
        <v>-1.1081548352432999</v>
      </c>
      <c r="AH1472">
        <v>32.777252381135597</v>
      </c>
      <c r="AI1472">
        <v>91.923165055077206</v>
      </c>
      <c r="AJ1472">
        <v>96.694055174639601</v>
      </c>
      <c r="AK1472">
        <v>33.020836561098399</v>
      </c>
      <c r="AL1472">
        <v>98.133190118301002</v>
      </c>
      <c r="AM1472">
        <v>95.111650011226899</v>
      </c>
      <c r="AN1472">
        <v>0.99999995727578805</v>
      </c>
    </row>
    <row r="1473" spans="1:40" x14ac:dyDescent="0.25">
      <c r="A1473" t="str">
        <f>"20190305135610864"</f>
        <v>20190305135610864</v>
      </c>
      <c r="B1473" t="str">
        <f>"1551765370853135"</f>
        <v>1551765370853135</v>
      </c>
      <c r="C1473" t="s">
        <v>40</v>
      </c>
      <c r="D1473">
        <v>4.2570139999999999</v>
      </c>
      <c r="E1473">
        <v>0.49266840000000001</v>
      </c>
      <c r="F1473" t="s">
        <v>55</v>
      </c>
      <c r="G1473">
        <v>-361.77080000000001</v>
      </c>
      <c r="H1473" s="1">
        <v>-5.9447109999999997E-7</v>
      </c>
      <c r="I1473">
        <v>280.48340000000002</v>
      </c>
      <c r="J1473">
        <v>-328.90089999999998</v>
      </c>
      <c r="K1473">
        <v>1.1081799999999999</v>
      </c>
      <c r="L1473">
        <v>284.02670000000001</v>
      </c>
      <c r="M1473">
        <v>-0.99993739999999998</v>
      </c>
      <c r="N1473">
        <v>-6.6289230000000001E-3</v>
      </c>
      <c r="O1473">
        <v>9.0132370000000003E-3</v>
      </c>
      <c r="P1473">
        <v>-0.98570190000000002</v>
      </c>
      <c r="Q1473">
        <v>-0.14851919999999999</v>
      </c>
      <c r="R1473">
        <v>-7.9585550000000005E-2</v>
      </c>
      <c r="S1473">
        <v>-3.0025330000000001</v>
      </c>
      <c r="T1473">
        <v>-9.9911810000000004E-2</v>
      </c>
      <c r="U1473">
        <v>-0.31912230000000003</v>
      </c>
      <c r="V1473">
        <v>-8.8243130000000003E-2</v>
      </c>
      <c r="W1473">
        <v>-0.14212620000000001</v>
      </c>
      <c r="X1473">
        <v>0.98590739999999999</v>
      </c>
      <c r="Y1473">
        <v>-0.1145693</v>
      </c>
      <c r="Z1473">
        <v>-2.5207200000000002E-3</v>
      </c>
      <c r="AA1473">
        <v>0.99341210000000002</v>
      </c>
      <c r="AB1473">
        <v>45</v>
      </c>
      <c r="AC1473">
        <v>-32.869900000000001</v>
      </c>
      <c r="AD1473">
        <v>-1.1081805944710901</v>
      </c>
      <c r="AE1473">
        <v>-3.5432999999999799</v>
      </c>
      <c r="AF1473">
        <v>-3.8351176863650802</v>
      </c>
      <c r="AG1473">
        <v>-1.1081805944710901</v>
      </c>
      <c r="AH1473">
        <v>32.799774055480398</v>
      </c>
      <c r="AI1473">
        <v>91.9219884091805</v>
      </c>
      <c r="AJ1473">
        <v>96.669034336821795</v>
      </c>
      <c r="AK1473">
        <v>33.0418124501184</v>
      </c>
      <c r="AL1473">
        <v>98.170898566874101</v>
      </c>
      <c r="AM1473">
        <v>95.114600278650798</v>
      </c>
      <c r="AN1473">
        <v>1.00000005404669</v>
      </c>
    </row>
    <row r="1474" spans="1:40" x14ac:dyDescent="0.25">
      <c r="A1474" t="str">
        <f>"20190305135610885"</f>
        <v>20190305135610885</v>
      </c>
      <c r="B1474" t="str">
        <f>"1551765370883389"</f>
        <v>1551765370883389</v>
      </c>
      <c r="C1474" t="s">
        <v>40</v>
      </c>
      <c r="D1474">
        <v>4.2276509999999998</v>
      </c>
      <c r="E1474">
        <v>0.49278860000000002</v>
      </c>
      <c r="F1474" t="s">
        <v>55</v>
      </c>
      <c r="G1474">
        <v>-362.37689999999998</v>
      </c>
      <c r="H1474" s="1">
        <v>-2.7194850000000001E-7</v>
      </c>
      <c r="I1474">
        <v>280.44330000000002</v>
      </c>
      <c r="J1474">
        <v>-329.32920000000001</v>
      </c>
      <c r="K1474">
        <v>1.108204</v>
      </c>
      <c r="L1474">
        <v>284.03019999999998</v>
      </c>
      <c r="M1474">
        <v>-0.99994309999999997</v>
      </c>
      <c r="N1474">
        <v>-6.5958319999999898E-3</v>
      </c>
      <c r="O1474">
        <v>8.38589E-3</v>
      </c>
      <c r="P1474">
        <v>-0.98572029999999999</v>
      </c>
      <c r="Q1474">
        <v>-0.14806739999999999</v>
      </c>
      <c r="R1474">
        <v>-8.0198290000000005E-2</v>
      </c>
      <c r="S1474">
        <v>-3.0026250000000001</v>
      </c>
      <c r="T1474">
        <v>-9.9398139999999996E-2</v>
      </c>
      <c r="U1474">
        <v>-0.32141110000000001</v>
      </c>
      <c r="V1474">
        <v>-8.8225330000000005E-2</v>
      </c>
      <c r="W1474">
        <v>-0.1417148</v>
      </c>
      <c r="X1474">
        <v>0.98596819999999996</v>
      </c>
      <c r="Y1474">
        <v>-0.1146925</v>
      </c>
      <c r="Z1474">
        <v>-2.4935360000000002E-3</v>
      </c>
      <c r="AA1474">
        <v>0.99339789999999994</v>
      </c>
      <c r="AB1474">
        <v>45</v>
      </c>
      <c r="AC1474">
        <v>-33.047699999999899</v>
      </c>
      <c r="AD1474">
        <v>-1.1082042719484999</v>
      </c>
      <c r="AE1474">
        <v>-3.5868999999999498</v>
      </c>
      <c r="AF1474">
        <v>-3.8596246800818901</v>
      </c>
      <c r="AG1474">
        <v>-1.1082042719484999</v>
      </c>
      <c r="AH1474">
        <v>32.979804116225097</v>
      </c>
      <c r="AI1474">
        <v>91.911522175077494</v>
      </c>
      <c r="AJ1474">
        <v>96.674959031468404</v>
      </c>
      <c r="AK1474">
        <v>33.223369770750899</v>
      </c>
      <c r="AL1474">
        <v>98.147086150982304</v>
      </c>
      <c r="AM1474">
        <v>95.113260396959902</v>
      </c>
      <c r="AN1474">
        <v>1.00000004240194</v>
      </c>
    </row>
    <row r="1475" spans="1:40" x14ac:dyDescent="0.25">
      <c r="A1475" t="str">
        <f>"20190305135610910"</f>
        <v>20190305135610910</v>
      </c>
      <c r="B1475" t="str">
        <f>"1551765370902910"</f>
        <v>1551765370902910</v>
      </c>
      <c r="C1475" t="s">
        <v>40</v>
      </c>
      <c r="D1475">
        <v>4.2589420000000002</v>
      </c>
      <c r="E1475">
        <v>0.49281819999999998</v>
      </c>
      <c r="F1475" t="s">
        <v>55</v>
      </c>
      <c r="G1475">
        <v>-363.42340000000002</v>
      </c>
      <c r="H1475" s="1">
        <v>2.84951E-7</v>
      </c>
      <c r="I1475">
        <v>280.35980000000001</v>
      </c>
      <c r="J1475">
        <v>-329.8227</v>
      </c>
      <c r="K1475">
        <v>1.1082299999999901</v>
      </c>
      <c r="L1475">
        <v>284.03379999999999</v>
      </c>
      <c r="M1475">
        <v>-0.99994950000000005</v>
      </c>
      <c r="N1475">
        <v>-6.5679079999999999E-3</v>
      </c>
      <c r="O1475">
        <v>7.6153269999999999E-3</v>
      </c>
      <c r="P1475">
        <v>-0.98560559999999997</v>
      </c>
      <c r="Q1475">
        <v>-0.14865690000000001</v>
      </c>
      <c r="R1475">
        <v>-8.0516859999999996E-2</v>
      </c>
      <c r="S1475">
        <v>-3.0025629999999999</v>
      </c>
      <c r="T1475">
        <v>-9.7595810000000005E-2</v>
      </c>
      <c r="U1475">
        <v>-0.32324219999999998</v>
      </c>
      <c r="V1475">
        <v>-8.7766490000000003E-2</v>
      </c>
      <c r="W1475">
        <v>-0.14234160000000001</v>
      </c>
      <c r="X1475">
        <v>0.98591879999999998</v>
      </c>
      <c r="Y1475">
        <v>-0.11453099999999999</v>
      </c>
      <c r="Z1475">
        <v>-2.4297580000000002E-3</v>
      </c>
      <c r="AA1475">
        <v>0.99341670000000004</v>
      </c>
      <c r="AB1475">
        <v>45</v>
      </c>
      <c r="AC1475">
        <v>-33.600700000000003</v>
      </c>
      <c r="AD1475">
        <v>-1.1082297150489999</v>
      </c>
      <c r="AE1475">
        <v>-3.6739999999999702</v>
      </c>
      <c r="AF1475">
        <v>-3.92555937321533</v>
      </c>
      <c r="AG1475">
        <v>-1.1082297150489999</v>
      </c>
      <c r="AH1475">
        <v>33.535696041959298</v>
      </c>
      <c r="AI1475">
        <v>91.879896913567094</v>
      </c>
      <c r="AJ1475">
        <v>96.676439988982196</v>
      </c>
      <c r="AK1475">
        <v>33.782852137033103</v>
      </c>
      <c r="AL1475">
        <v>98.183367418065103</v>
      </c>
      <c r="AM1475">
        <v>95.087060906570102</v>
      </c>
      <c r="AN1475">
        <v>0.99999998402545898</v>
      </c>
    </row>
    <row r="1476" spans="1:40" x14ac:dyDescent="0.25">
      <c r="A1476" t="str">
        <f>"20190305135610934"</f>
        <v>20190305135610934</v>
      </c>
      <c r="B1476" t="str">
        <f>"1551765370923406"</f>
        <v>1551765370923406</v>
      </c>
      <c r="C1476" t="s">
        <v>40</v>
      </c>
      <c r="D1476">
        <v>4.2562179999999996</v>
      </c>
      <c r="E1476">
        <v>0.49282779999999998</v>
      </c>
      <c r="F1476" t="s">
        <v>55</v>
      </c>
      <c r="G1476">
        <v>-363.3646</v>
      </c>
      <c r="H1476" s="1">
        <v>2.537E-7</v>
      </c>
      <c r="I1476">
        <v>280.41410000000002</v>
      </c>
      <c r="J1476">
        <v>-330.31720000000001</v>
      </c>
      <c r="K1476">
        <v>1.108257</v>
      </c>
      <c r="L1476">
        <v>284.03710000000001</v>
      </c>
      <c r="M1476">
        <v>-0.9999555</v>
      </c>
      <c r="N1476">
        <v>-6.5505600000000004E-3</v>
      </c>
      <c r="O1476">
        <v>6.7959219999999898E-3</v>
      </c>
      <c r="P1476">
        <v>-0.98530169999999995</v>
      </c>
      <c r="Q1476">
        <v>-0.1506786</v>
      </c>
      <c r="R1476">
        <v>-8.0477569999999998E-2</v>
      </c>
      <c r="S1476">
        <v>-3.00238</v>
      </c>
      <c r="T1476">
        <v>-9.9198939999999999E-2</v>
      </c>
      <c r="U1476">
        <v>-0.32400509999999999</v>
      </c>
      <c r="V1476">
        <v>-8.6898409999999995E-2</v>
      </c>
      <c r="W1476">
        <v>-0.14438979999999901</v>
      </c>
      <c r="X1476">
        <v>0.98569790000000002</v>
      </c>
      <c r="Y1476">
        <v>-0.1139713</v>
      </c>
      <c r="Z1476">
        <v>-2.4308189999999999E-3</v>
      </c>
      <c r="AA1476">
        <v>0.99348099999999995</v>
      </c>
      <c r="AB1476">
        <v>45</v>
      </c>
      <c r="AC1476">
        <v>-33.047399999999897</v>
      </c>
      <c r="AD1476">
        <v>-1.1082567462999999</v>
      </c>
      <c r="AE1476">
        <v>-3.62299999999999</v>
      </c>
      <c r="AF1476">
        <v>-3.8432378375158001</v>
      </c>
      <c r="AG1476">
        <v>-1.1082567462999999</v>
      </c>
      <c r="AH1476">
        <v>32.985359195721998</v>
      </c>
      <c r="AI1476">
        <v>91.911404566559</v>
      </c>
      <c r="AJ1476">
        <v>96.645763830498396</v>
      </c>
      <c r="AK1476">
        <v>33.226986492341297</v>
      </c>
      <c r="AL1476">
        <v>98.301945052841404</v>
      </c>
      <c r="AM1476">
        <v>95.038128985227402</v>
      </c>
      <c r="AN1476">
        <v>1.00000004903448</v>
      </c>
    </row>
    <row r="1477" spans="1:40" x14ac:dyDescent="0.25">
      <c r="A1477" t="str">
        <f>"20190305135610953"</f>
        <v>20190305135610953</v>
      </c>
      <c r="B1477" t="str">
        <f>"1551765370942926"</f>
        <v>1551765370942926</v>
      </c>
      <c r="C1477" t="s">
        <v>40</v>
      </c>
      <c r="D1477">
        <v>4.2031689999999999</v>
      </c>
      <c r="E1477">
        <v>0.4929055</v>
      </c>
      <c r="F1477" t="s">
        <v>55</v>
      </c>
      <c r="G1477">
        <v>-361.99290000000002</v>
      </c>
      <c r="H1477" s="1">
        <v>-4.762621E-7</v>
      </c>
      <c r="I1477">
        <v>280.6173</v>
      </c>
      <c r="J1477">
        <v>-330.7079</v>
      </c>
      <c r="K1477">
        <v>1.108284</v>
      </c>
      <c r="L1477">
        <v>284.0394</v>
      </c>
      <c r="M1477">
        <v>-0.99995979999999995</v>
      </c>
      <c r="N1477">
        <v>-6.542015E-3</v>
      </c>
      <c r="O1477">
        <v>6.1280049999999997E-3</v>
      </c>
      <c r="P1477">
        <v>-0.98525379999999996</v>
      </c>
      <c r="Q1477">
        <v>-0.15071329999999999</v>
      </c>
      <c r="R1477">
        <v>-8.0997620000000006E-2</v>
      </c>
      <c r="S1477">
        <v>-3.0021969999999998</v>
      </c>
      <c r="T1477">
        <v>-0.1050398</v>
      </c>
      <c r="U1477">
        <v>-0.3241272</v>
      </c>
      <c r="V1477">
        <v>-8.6749259999999995E-2</v>
      </c>
      <c r="W1477">
        <v>-0.1444394</v>
      </c>
      <c r="X1477">
        <v>0.98570369999999996</v>
      </c>
      <c r="Y1477">
        <v>-0.1133463</v>
      </c>
      <c r="Z1477">
        <v>-2.5222589999999998E-3</v>
      </c>
      <c r="AA1477">
        <v>0.99355230000000005</v>
      </c>
      <c r="AB1477">
        <v>45</v>
      </c>
      <c r="AC1477">
        <v>-31.285</v>
      </c>
      <c r="AD1477">
        <v>-1.1082844762621</v>
      </c>
      <c r="AE1477">
        <v>-3.4220999999999999</v>
      </c>
      <c r="AF1477">
        <v>-3.6092785376534802</v>
      </c>
      <c r="AG1477">
        <v>-1.1082844762621</v>
      </c>
      <c r="AH1477">
        <v>31.224718974725398</v>
      </c>
      <c r="AI1477">
        <v>92.019358119254207</v>
      </c>
      <c r="AJ1477">
        <v>96.593581474526601</v>
      </c>
      <c r="AK1477">
        <v>31.452158289905402</v>
      </c>
      <c r="AL1477">
        <v>98.304817612845795</v>
      </c>
      <c r="AM1477">
        <v>95.029496630455398</v>
      </c>
      <c r="AN1477">
        <v>0.99999997928829798</v>
      </c>
    </row>
    <row r="1478" spans="1:40" x14ac:dyDescent="0.25">
      <c r="A1478" t="str">
        <f>"20190305135610975"</f>
        <v>20190305135610975</v>
      </c>
      <c r="B1478" t="str">
        <f>"1551765370963423"</f>
        <v>1551765370963423</v>
      </c>
      <c r="C1478" t="s">
        <v>40</v>
      </c>
      <c r="D1478">
        <v>4.1864879999999998</v>
      </c>
      <c r="E1478">
        <v>0.49293399999999998</v>
      </c>
      <c r="F1478" t="s">
        <v>55</v>
      </c>
      <c r="G1478">
        <v>-362.3673</v>
      </c>
      <c r="H1478" s="1">
        <v>-2.7703739999999999E-7</v>
      </c>
      <c r="I1478">
        <v>280.61509999999998</v>
      </c>
      <c r="J1478">
        <v>-331.14429999999999</v>
      </c>
      <c r="K1478">
        <v>1.1083080000000001</v>
      </c>
      <c r="L1478">
        <v>284.04160000000002</v>
      </c>
      <c r="M1478">
        <v>-0.99996439999999998</v>
      </c>
      <c r="N1478">
        <v>-6.5375390000000002E-3</v>
      </c>
      <c r="O1478">
        <v>5.3626899999999998E-3</v>
      </c>
      <c r="P1478">
        <v>-0.98534889999999997</v>
      </c>
      <c r="Q1478">
        <v>-0.14968039999999999</v>
      </c>
      <c r="R1478">
        <v>-8.1752370000000005E-2</v>
      </c>
      <c r="S1478">
        <v>-3.0021360000000001</v>
      </c>
      <c r="T1478">
        <v>-0.1050943</v>
      </c>
      <c r="U1478">
        <v>-0.32470700000000002</v>
      </c>
      <c r="V1478">
        <v>-8.6742089999999994E-2</v>
      </c>
      <c r="W1478">
        <v>-0.143416299999999</v>
      </c>
      <c r="X1478">
        <v>0.98585370000000005</v>
      </c>
      <c r="Y1478">
        <v>-0.1127784</v>
      </c>
      <c r="Z1478">
        <v>-2.4897000000000001E-3</v>
      </c>
      <c r="AA1478">
        <v>0.99361710000000003</v>
      </c>
      <c r="AB1478">
        <v>46</v>
      </c>
      <c r="AC1478">
        <v>-31.222999999999999</v>
      </c>
      <c r="AD1478">
        <v>-1.10830827703739</v>
      </c>
      <c r="AE1478">
        <v>-3.4265000000000301</v>
      </c>
      <c r="AF1478">
        <v>-3.5894246818150499</v>
      </c>
      <c r="AG1478">
        <v>-1.10830827703739</v>
      </c>
      <c r="AH1478">
        <v>31.165374176127699</v>
      </c>
      <c r="AI1478">
        <v>92.023339558392806</v>
      </c>
      <c r="AJ1478">
        <v>96.570006292349504</v>
      </c>
      <c r="AK1478">
        <v>31.390967878060401</v>
      </c>
      <c r="AL1478">
        <v>98.245581606044496</v>
      </c>
      <c r="AM1478">
        <v>95.028321800574005</v>
      </c>
      <c r="AN1478">
        <v>0.99999997154347298</v>
      </c>
    </row>
    <row r="1479" spans="1:40" x14ac:dyDescent="0.25">
      <c r="A1479" t="str">
        <f>"20190305135610997"</f>
        <v>20190305135610997</v>
      </c>
      <c r="B1479" t="str">
        <f>"1551765370993678"</f>
        <v>1551765370993678</v>
      </c>
      <c r="C1479" t="s">
        <v>40</v>
      </c>
      <c r="D1479">
        <v>4.111891</v>
      </c>
      <c r="E1479">
        <v>0.49292750000000002</v>
      </c>
      <c r="F1479" t="s">
        <v>55</v>
      </c>
      <c r="G1479">
        <v>-363.67599999999999</v>
      </c>
      <c r="H1479" s="1">
        <v>4.1941579999999999E-7</v>
      </c>
      <c r="I1479">
        <v>280.50020000000001</v>
      </c>
      <c r="J1479">
        <v>-331.60789999999997</v>
      </c>
      <c r="K1479">
        <v>1.1083289999999999</v>
      </c>
      <c r="L1479">
        <v>284.04349999999999</v>
      </c>
      <c r="M1479">
        <v>-0.99996830000000003</v>
      </c>
      <c r="N1479">
        <v>-6.5375370000000004E-3</v>
      </c>
      <c r="O1479">
        <v>4.5358680000000002E-3</v>
      </c>
      <c r="P1479">
        <v>-0.9854368</v>
      </c>
      <c r="Q1479">
        <v>-0.14860190000000001</v>
      </c>
      <c r="R1479">
        <v>-8.2657079999999994E-2</v>
      </c>
      <c r="S1479">
        <v>-3.0019230000000001</v>
      </c>
      <c r="T1479">
        <v>-0.1022711</v>
      </c>
      <c r="U1479">
        <v>-0.32678220000000002</v>
      </c>
      <c r="V1479">
        <v>-8.6825250000000007E-2</v>
      </c>
      <c r="W1479">
        <v>-0.14234289999999999</v>
      </c>
      <c r="X1479">
        <v>0.98600200000000005</v>
      </c>
      <c r="Y1479">
        <v>-0.1126477</v>
      </c>
      <c r="Z1479">
        <v>-2.4065860000000001E-3</v>
      </c>
      <c r="AA1479">
        <v>0.99363210000000002</v>
      </c>
      <c r="AB1479">
        <v>46</v>
      </c>
      <c r="AC1479">
        <v>-32.068100000000001</v>
      </c>
      <c r="AD1479">
        <v>-1.1083285805842</v>
      </c>
      <c r="AE1479">
        <v>-3.5432999999999799</v>
      </c>
      <c r="AF1479">
        <v>-3.6843753827253298</v>
      </c>
      <c r="AG1479">
        <v>-1.1083285805842</v>
      </c>
      <c r="AH1479">
        <v>32.013918037561197</v>
      </c>
      <c r="AI1479">
        <v>91.969808288241794</v>
      </c>
      <c r="AJ1479">
        <v>96.565097648082897</v>
      </c>
      <c r="AK1479">
        <v>32.244285731258799</v>
      </c>
      <c r="AL1479">
        <v>98.183442252018594</v>
      </c>
      <c r="AM1479">
        <v>95.032364603369999</v>
      </c>
      <c r="AN1479">
        <v>1.0000000346109801</v>
      </c>
    </row>
    <row r="1480" spans="1:40" x14ac:dyDescent="0.25">
      <c r="A1480" t="str">
        <f>"20190305135611020"</f>
        <v>20190305135611020</v>
      </c>
      <c r="B1480" t="str">
        <f>"1551765371013202"</f>
        <v>1551765371013202</v>
      </c>
      <c r="C1480" t="s">
        <v>40</v>
      </c>
      <c r="D1480">
        <v>4.1620990000000004</v>
      </c>
      <c r="E1480">
        <v>0.4929289</v>
      </c>
      <c r="F1480" t="s">
        <v>55</v>
      </c>
      <c r="G1480">
        <v>-365.09370000000001</v>
      </c>
      <c r="H1480" s="1">
        <v>1.1738159999999999E-6</v>
      </c>
      <c r="I1480">
        <v>280.36739999999998</v>
      </c>
      <c r="J1480">
        <v>-332.07029999999997</v>
      </c>
      <c r="K1480">
        <v>1.1083400000000001</v>
      </c>
      <c r="L1480">
        <v>284.04520000000002</v>
      </c>
      <c r="M1480">
        <v>-0.99997170000000002</v>
      </c>
      <c r="N1480">
        <v>-6.5416399999999996E-3</v>
      </c>
      <c r="O1480">
        <v>3.7016140000000002E-3</v>
      </c>
      <c r="P1480">
        <v>-0.98538250000000005</v>
      </c>
      <c r="Q1480">
        <v>-0.14792359999999999</v>
      </c>
      <c r="R1480">
        <v>-8.4497849999999999E-2</v>
      </c>
      <c r="S1480">
        <v>-3.0016780000000001</v>
      </c>
      <c r="T1480">
        <v>-9.9350930000000004E-2</v>
      </c>
      <c r="U1480">
        <v>-0.32952880000000001</v>
      </c>
      <c r="V1480">
        <v>-8.7837109999999996E-2</v>
      </c>
      <c r="W1480">
        <v>-0.14166779999999901</v>
      </c>
      <c r="X1480">
        <v>0.98600960000000004</v>
      </c>
      <c r="Y1480">
        <v>-0.1127302</v>
      </c>
      <c r="Z1480">
        <v>-2.3274429999999998E-3</v>
      </c>
      <c r="AA1480">
        <v>0.99362289999999998</v>
      </c>
      <c r="AB1480">
        <v>46</v>
      </c>
      <c r="AC1480">
        <v>-33.023400000000002</v>
      </c>
      <c r="AD1480">
        <v>-1.1083388261839999</v>
      </c>
      <c r="AE1480">
        <v>-3.6778000000000399</v>
      </c>
      <c r="AF1480">
        <v>-3.7957940163724699</v>
      </c>
      <c r="AG1480">
        <v>-1.1083388261839999</v>
      </c>
      <c r="AH1480">
        <v>32.972873282318702</v>
      </c>
      <c r="AI1480">
        <v>91.912573943989699</v>
      </c>
      <c r="AJ1480">
        <v>96.566908050462203</v>
      </c>
      <c r="AK1480">
        <v>33.2091378939623</v>
      </c>
      <c r="AL1480">
        <v>98.144365926832705</v>
      </c>
      <c r="AM1480">
        <v>95.0906662609693</v>
      </c>
      <c r="AN1480">
        <v>1.0000000273710701</v>
      </c>
    </row>
    <row r="1481" spans="1:40" x14ac:dyDescent="0.25">
      <c r="A1481" t="str">
        <f>"20190305135611042"</f>
        <v>20190305135611042</v>
      </c>
      <c r="B1481" t="str">
        <f>"1551765371033697"</f>
        <v>1551765371033697</v>
      </c>
      <c r="C1481" t="s">
        <v>40</v>
      </c>
      <c r="D1481">
        <v>4.1629509999999996</v>
      </c>
      <c r="E1481">
        <v>0.49292469999999999</v>
      </c>
      <c r="F1481" t="s">
        <v>55</v>
      </c>
      <c r="G1481">
        <v>-366.30590000000001</v>
      </c>
      <c r="H1481" s="1">
        <v>1.8188949999999999E-6</v>
      </c>
      <c r="I1481">
        <v>280.22519999999997</v>
      </c>
      <c r="J1481">
        <v>-332.53609999999998</v>
      </c>
      <c r="K1481">
        <v>1.1083529999999999</v>
      </c>
      <c r="L1481">
        <v>284.04640000000001</v>
      </c>
      <c r="M1481">
        <v>-0.99997449999999999</v>
      </c>
      <c r="N1481">
        <v>-6.5496449999999998E-3</v>
      </c>
      <c r="O1481">
        <v>2.8559810000000001E-3</v>
      </c>
      <c r="P1481">
        <v>-0.98518430000000001</v>
      </c>
      <c r="Q1481">
        <v>-0.14813889999999999</v>
      </c>
      <c r="R1481">
        <v>-8.6410529999999999E-2</v>
      </c>
      <c r="S1481">
        <v>-3.0011899999999998</v>
      </c>
      <c r="T1481">
        <v>-9.7160220000000005E-2</v>
      </c>
      <c r="U1481">
        <v>-0.33486939999999998</v>
      </c>
      <c r="V1481">
        <v>-8.8908150000000005E-2</v>
      </c>
      <c r="W1481">
        <v>-0.14188310000000001</v>
      </c>
      <c r="X1481">
        <v>0.98588260000000005</v>
      </c>
      <c r="Y1481">
        <v>-0.11365690000000001</v>
      </c>
      <c r="Z1481">
        <v>-2.280579E-3</v>
      </c>
      <c r="AA1481">
        <v>0.99351750000000005</v>
      </c>
      <c r="AB1481">
        <v>46</v>
      </c>
      <c r="AC1481">
        <v>-33.769799999999996</v>
      </c>
      <c r="AD1481">
        <v>-1.108351181105</v>
      </c>
      <c r="AE1481">
        <v>-3.8212000000000299</v>
      </c>
      <c r="AF1481">
        <v>-3.9134700782389298</v>
      </c>
      <c r="AG1481">
        <v>-1.108351181105</v>
      </c>
      <c r="AH1481">
        <v>33.722881591804402</v>
      </c>
      <c r="AI1481">
        <v>91.869890975274998</v>
      </c>
      <c r="AJ1481">
        <v>96.619446729035403</v>
      </c>
      <c r="AK1481">
        <v>33.967284749428998</v>
      </c>
      <c r="AL1481">
        <v>98.156827915777598</v>
      </c>
      <c r="AM1481">
        <v>95.153067238061297</v>
      </c>
      <c r="AN1481">
        <v>0.99999998709239601</v>
      </c>
    </row>
    <row r="1482" spans="1:40" x14ac:dyDescent="0.25">
      <c r="A1482" t="str">
        <f>"20190305135611063"</f>
        <v>20190305135611063</v>
      </c>
      <c r="B1482" t="str">
        <f>"1551765371053214"</f>
        <v>1551765371053214</v>
      </c>
      <c r="C1482" t="s">
        <v>40</v>
      </c>
      <c r="D1482">
        <v>4.1311879999999999</v>
      </c>
      <c r="E1482">
        <v>0.49292839999999999</v>
      </c>
      <c r="F1482" t="s">
        <v>55</v>
      </c>
      <c r="G1482">
        <v>-366.4212</v>
      </c>
      <c r="H1482" s="1">
        <v>1.8802579999999999E-6</v>
      </c>
      <c r="I1482">
        <v>280.19740000000002</v>
      </c>
      <c r="J1482">
        <v>-332.9769</v>
      </c>
      <c r="K1482">
        <v>1.1083639999999999</v>
      </c>
      <c r="L1482">
        <v>284.04719999999998</v>
      </c>
      <c r="M1482">
        <v>-0.99997650000000005</v>
      </c>
      <c r="N1482">
        <v>-6.5602869999999997E-3</v>
      </c>
      <c r="O1482">
        <v>2.0533999999999999E-3</v>
      </c>
      <c r="P1482">
        <v>-0.98491119999999999</v>
      </c>
      <c r="Q1482">
        <v>-0.14869889999999999</v>
      </c>
      <c r="R1482">
        <v>-8.8536550000000006E-2</v>
      </c>
      <c r="S1482">
        <v>-3.0004270000000002</v>
      </c>
      <c r="T1482">
        <v>-9.8141190000000003E-2</v>
      </c>
      <c r="U1482">
        <v>-0.34082030000000002</v>
      </c>
      <c r="V1482">
        <v>-9.0235389999999999E-2</v>
      </c>
      <c r="W1482">
        <v>-0.14244109999999999</v>
      </c>
      <c r="X1482">
        <v>0.98568149999999999</v>
      </c>
      <c r="Y1482">
        <v>-0.1148313</v>
      </c>
      <c r="Z1482">
        <v>-2.3029999999999999E-3</v>
      </c>
      <c r="AA1482">
        <v>0.99338230000000005</v>
      </c>
      <c r="AB1482">
        <v>46</v>
      </c>
      <c r="AC1482">
        <v>-33.444299999999998</v>
      </c>
      <c r="AD1482">
        <v>-1.1083621197419999</v>
      </c>
      <c r="AE1482">
        <v>-3.8497999999999499</v>
      </c>
      <c r="AF1482">
        <v>-3.9142251216544199</v>
      </c>
      <c r="AG1482">
        <v>-1.1083621197419999</v>
      </c>
      <c r="AH1482">
        <v>33.400120658609801</v>
      </c>
      <c r="AI1482">
        <v>91.8877178978274</v>
      </c>
      <c r="AJ1482">
        <v>96.684115368730502</v>
      </c>
      <c r="AK1482">
        <v>33.646956547378302</v>
      </c>
      <c r="AL1482">
        <v>98.189127267205095</v>
      </c>
      <c r="AM1482">
        <v>95.230630944341499</v>
      </c>
      <c r="AN1482">
        <v>0.99999995600995495</v>
      </c>
    </row>
    <row r="1483" spans="1:40" x14ac:dyDescent="0.25">
      <c r="A1483" t="str">
        <f>"20190305135611086"</f>
        <v>20190305135611086</v>
      </c>
      <c r="B1483" t="str">
        <f>"1551765371083471"</f>
        <v>1551765371083471</v>
      </c>
      <c r="C1483" t="s">
        <v>40</v>
      </c>
      <c r="D1483">
        <v>4.0520160000000001</v>
      </c>
      <c r="E1483">
        <v>0.49296590000000001</v>
      </c>
      <c r="F1483" t="s">
        <v>55</v>
      </c>
      <c r="G1483">
        <v>-366.27679999999998</v>
      </c>
      <c r="H1483" s="1">
        <v>1.8033909999999999E-6</v>
      </c>
      <c r="I1483">
        <v>280.19499999999999</v>
      </c>
      <c r="J1483">
        <v>-333.43959999999998</v>
      </c>
      <c r="K1483">
        <v>1.108382</v>
      </c>
      <c r="L1483">
        <v>284.04770000000002</v>
      </c>
      <c r="M1483">
        <v>-0.99997760000000002</v>
      </c>
      <c r="N1483">
        <v>-6.5741419999999998E-3</v>
      </c>
      <c r="O1483">
        <v>1.210757E-3</v>
      </c>
      <c r="P1483">
        <v>-0.98484530000000003</v>
      </c>
      <c r="Q1483">
        <v>-0.1482494</v>
      </c>
      <c r="R1483">
        <v>-9.0010220000000002E-2</v>
      </c>
      <c r="S1483">
        <v>-2.9997250000000002</v>
      </c>
      <c r="T1483">
        <v>-9.984374E-2</v>
      </c>
      <c r="U1483">
        <v>-0.34701539999999997</v>
      </c>
      <c r="V1483">
        <v>-9.0874049999999998E-2</v>
      </c>
      <c r="W1483">
        <v>-0.14198350000000001</v>
      </c>
      <c r="X1483">
        <v>0.98568889999999998</v>
      </c>
      <c r="Y1483">
        <v>-0.1160422</v>
      </c>
      <c r="Z1483">
        <v>-2.3393049999999999E-3</v>
      </c>
      <c r="AA1483">
        <v>0.9932415</v>
      </c>
      <c r="AB1483">
        <v>46</v>
      </c>
      <c r="AC1483">
        <v>-32.837200000000003</v>
      </c>
      <c r="AD1483">
        <v>-1.1083801966089999</v>
      </c>
      <c r="AE1483">
        <v>-3.85270000000002</v>
      </c>
      <c r="AF1483">
        <v>-3.8880862880756402</v>
      </c>
      <c r="AG1483">
        <v>-1.1083801966089999</v>
      </c>
      <c r="AH1483">
        <v>32.795653806464102</v>
      </c>
      <c r="AI1483">
        <v>91.922212085322201</v>
      </c>
      <c r="AJ1483">
        <v>96.761138179885194</v>
      </c>
      <c r="AK1483">
        <v>33.043919716601401</v>
      </c>
      <c r="AL1483">
        <v>98.162639077741105</v>
      </c>
      <c r="AM1483">
        <v>95.267404994717396</v>
      </c>
      <c r="AN1483">
        <v>1.00000000740943</v>
      </c>
    </row>
    <row r="1484" spans="1:40" x14ac:dyDescent="0.25">
      <c r="A1484" t="str">
        <f>"20190305135611110"</f>
        <v>20190305135611110</v>
      </c>
      <c r="B1484" t="str">
        <f>"1551765371102990"</f>
        <v>1551765371102990</v>
      </c>
      <c r="C1484" t="s">
        <v>40</v>
      </c>
      <c r="D1484">
        <v>4.062506</v>
      </c>
      <c r="E1484">
        <v>0.49299670000000001</v>
      </c>
      <c r="F1484" t="s">
        <v>55</v>
      </c>
      <c r="G1484">
        <v>-367.16539999999998</v>
      </c>
      <c r="H1484" s="1">
        <v>2.2762879999999998E-6</v>
      </c>
      <c r="I1484">
        <v>280.10199999999998</v>
      </c>
      <c r="J1484">
        <v>-333.92930000000001</v>
      </c>
      <c r="K1484">
        <v>1.108395</v>
      </c>
      <c r="L1484">
        <v>284.0478</v>
      </c>
      <c r="M1484">
        <v>-0.99997820000000004</v>
      </c>
      <c r="N1484">
        <v>-6.5912540000000004E-3</v>
      </c>
      <c r="O1484">
        <v>3.1916790000000001E-4</v>
      </c>
      <c r="P1484">
        <v>-0.98479499999999998</v>
      </c>
      <c r="Q1484">
        <v>-0.14761170000000001</v>
      </c>
      <c r="R1484">
        <v>-9.1596250000000004E-2</v>
      </c>
      <c r="S1484">
        <v>-2.9992070000000002</v>
      </c>
      <c r="T1484">
        <v>-9.8567130000000003E-2</v>
      </c>
      <c r="U1484">
        <v>-0.35089110000000001</v>
      </c>
      <c r="V1484">
        <v>-9.15773E-2</v>
      </c>
      <c r="W1484">
        <v>-0.1413344</v>
      </c>
      <c r="X1484">
        <v>0.98571710000000001</v>
      </c>
      <c r="Y1484">
        <v>-0.1164444</v>
      </c>
      <c r="Z1484">
        <v>-2.2999679999999999E-3</v>
      </c>
      <c r="AA1484">
        <v>0.99319460000000004</v>
      </c>
      <c r="AB1484">
        <v>46</v>
      </c>
      <c r="AC1484">
        <v>-33.236099999999901</v>
      </c>
      <c r="AD1484">
        <v>-1.1083927237119999</v>
      </c>
      <c r="AE1484">
        <v>-3.9457999999999598</v>
      </c>
      <c r="AF1484">
        <v>-3.9520736773646301</v>
      </c>
      <c r="AG1484">
        <v>-1.1083927237119999</v>
      </c>
      <c r="AH1484">
        <v>33.198430109663398</v>
      </c>
      <c r="AI1484">
        <v>91.898820971451897</v>
      </c>
      <c r="AJ1484">
        <v>96.788769713202598</v>
      </c>
      <c r="AK1484">
        <v>33.451205995113199</v>
      </c>
      <c r="AL1484">
        <v>98.125069513720604</v>
      </c>
      <c r="AM1484">
        <v>95.307785107128694</v>
      </c>
      <c r="AN1484">
        <v>1.00000000786553</v>
      </c>
    </row>
    <row r="1485" spans="1:40" x14ac:dyDescent="0.25">
      <c r="A1485" t="str">
        <f>"20190305135611133"</f>
        <v>20190305135611133</v>
      </c>
      <c r="B1485" t="str">
        <f>"1551765371123486"</f>
        <v>1551765371123486</v>
      </c>
      <c r="C1485" t="s">
        <v>40</v>
      </c>
      <c r="D1485">
        <v>4.0391240000000002</v>
      </c>
      <c r="E1485">
        <v>0.4930446</v>
      </c>
      <c r="F1485" t="s">
        <v>55</v>
      </c>
      <c r="G1485">
        <v>-368.24489999999997</v>
      </c>
      <c r="H1485" s="1">
        <v>2.8507390000000001E-6</v>
      </c>
      <c r="I1485">
        <v>279.97969999999998</v>
      </c>
      <c r="J1485">
        <v>-334.39510000000001</v>
      </c>
      <c r="K1485">
        <v>1.1084130000000001</v>
      </c>
      <c r="L1485">
        <v>284.04750000000001</v>
      </c>
      <c r="M1485">
        <v>-0.99997800000000003</v>
      </c>
      <c r="N1485">
        <v>-6.6096139999999998E-3</v>
      </c>
      <c r="O1485">
        <v>-5.2894400000000005E-4</v>
      </c>
      <c r="P1485">
        <v>-0.98478829999999995</v>
      </c>
      <c r="Q1485">
        <v>-0.14715719999999999</v>
      </c>
      <c r="R1485">
        <v>-9.2395340000000006E-2</v>
      </c>
      <c r="S1485">
        <v>-2.9987180000000002</v>
      </c>
      <c r="T1485">
        <v>-9.6858260000000002E-2</v>
      </c>
      <c r="U1485">
        <v>-0.35549930000000002</v>
      </c>
      <c r="V1485">
        <v>-9.1536969999999995E-2</v>
      </c>
      <c r="W1485">
        <v>-0.1408645</v>
      </c>
      <c r="X1485">
        <v>0.98578809999999994</v>
      </c>
      <c r="Y1485">
        <v>-0.1171282</v>
      </c>
      <c r="Z1485">
        <v>-2.2595509999999998E-3</v>
      </c>
      <c r="AA1485">
        <v>0.99311419999999995</v>
      </c>
      <c r="AB1485">
        <v>46</v>
      </c>
      <c r="AC1485">
        <v>-33.849799999999902</v>
      </c>
      <c r="AD1485">
        <v>-1.1084101492609999</v>
      </c>
      <c r="AE1485">
        <v>-4.0678000000000303</v>
      </c>
      <c r="AF1485">
        <v>-4.0456183017968304</v>
      </c>
      <c r="AG1485">
        <v>-1.1084101492609999</v>
      </c>
      <c r="AH1485">
        <v>33.816204303891503</v>
      </c>
      <c r="AI1485">
        <v>91.864056540573202</v>
      </c>
      <c r="AJ1485">
        <v>96.822184331324806</v>
      </c>
      <c r="AK1485">
        <v>34.075376359262002</v>
      </c>
      <c r="AL1485">
        <v>98.097874203447702</v>
      </c>
      <c r="AM1485">
        <v>95.305080999546007</v>
      </c>
      <c r="AN1485">
        <v>1.00000000116932</v>
      </c>
    </row>
    <row r="1486" spans="1:40" x14ac:dyDescent="0.25">
      <c r="A1486" t="str">
        <f>"20190305135611153"</f>
        <v>20190305135611153</v>
      </c>
      <c r="B1486" t="str">
        <f>"1551765371143007"</f>
        <v>1551765371143007</v>
      </c>
      <c r="C1486" t="s">
        <v>40</v>
      </c>
      <c r="D1486">
        <v>4.0340400000000001</v>
      </c>
      <c r="E1486">
        <v>0.49312980000000001</v>
      </c>
      <c r="F1486" t="s">
        <v>55</v>
      </c>
      <c r="G1486">
        <v>-369.21</v>
      </c>
      <c r="H1486" s="1">
        <v>3.36431E-6</v>
      </c>
      <c r="I1486">
        <v>279.89429999999999</v>
      </c>
      <c r="J1486">
        <v>-334.83519999999999</v>
      </c>
      <c r="K1486">
        <v>1.1084160000000001</v>
      </c>
      <c r="L1486">
        <v>284.04680000000002</v>
      </c>
      <c r="M1486">
        <v>-0.99997720000000001</v>
      </c>
      <c r="N1486">
        <v>-6.6284610000000004E-3</v>
      </c>
      <c r="O1486">
        <v>-1.330601E-3</v>
      </c>
      <c r="P1486">
        <v>-0.98467309999999997</v>
      </c>
      <c r="Q1486">
        <v>-0.14723139999999901</v>
      </c>
      <c r="R1486">
        <v>-9.3498559999999994E-2</v>
      </c>
      <c r="S1486">
        <v>-2.9984739999999999</v>
      </c>
      <c r="T1486">
        <v>-9.5463039999999999E-2</v>
      </c>
      <c r="U1486">
        <v>-0.35769649999999997</v>
      </c>
      <c r="V1486">
        <v>-9.1846410000000003E-2</v>
      </c>
      <c r="W1486">
        <v>-0.14092389999999999</v>
      </c>
      <c r="X1486">
        <v>0.98575089999999999</v>
      </c>
      <c r="Y1486">
        <v>-0.11706129999999999</v>
      </c>
      <c r="Z1486">
        <v>-2.212449E-3</v>
      </c>
      <c r="AA1486">
        <v>0.99312219999999996</v>
      </c>
      <c r="AB1486">
        <v>46</v>
      </c>
      <c r="AC1486">
        <v>-34.374799999999901</v>
      </c>
      <c r="AD1486">
        <v>-1.1084126356899999</v>
      </c>
      <c r="AE1486">
        <v>-4.1525000000000301</v>
      </c>
      <c r="AF1486">
        <v>-4.1025519635015497</v>
      </c>
      <c r="AG1486">
        <v>-1.1084126356899999</v>
      </c>
      <c r="AH1486">
        <v>34.345098827200303</v>
      </c>
      <c r="AI1486">
        <v>91.835414965828605</v>
      </c>
      <c r="AJ1486">
        <v>96.811755249201894</v>
      </c>
      <c r="AK1486">
        <v>34.607012651113699</v>
      </c>
      <c r="AL1486">
        <v>98.101311280912697</v>
      </c>
      <c r="AM1486">
        <v>95.323111665229305</v>
      </c>
      <c r="AN1486">
        <v>1.0000000727359499</v>
      </c>
    </row>
    <row r="1487" spans="1:40" x14ac:dyDescent="0.25">
      <c r="A1487" t="str">
        <f>"20190305135611175"</f>
        <v>20190305135611175</v>
      </c>
      <c r="B1487" t="str">
        <f>"1551765371173263"</f>
        <v>1551765371173263</v>
      </c>
      <c r="C1487" t="s">
        <v>40</v>
      </c>
      <c r="D1487">
        <v>4.0230579999999998</v>
      </c>
      <c r="E1487">
        <v>0.49319089999999999</v>
      </c>
      <c r="F1487" t="s">
        <v>55</v>
      </c>
      <c r="G1487">
        <v>-369.6551</v>
      </c>
      <c r="H1487" s="1">
        <v>3.601186E-6</v>
      </c>
      <c r="I1487">
        <v>279.86470000000003</v>
      </c>
      <c r="J1487">
        <v>-335.29059999999998</v>
      </c>
      <c r="K1487">
        <v>1.108417</v>
      </c>
      <c r="L1487">
        <v>284.04570000000001</v>
      </c>
      <c r="M1487">
        <v>-0.99997570000000002</v>
      </c>
      <c r="N1487">
        <v>-6.6494689999999999E-3</v>
      </c>
      <c r="O1487">
        <v>-2.1605069999999999E-3</v>
      </c>
      <c r="P1487">
        <v>-0.9845102</v>
      </c>
      <c r="Q1487">
        <v>-0.14769119999999999</v>
      </c>
      <c r="R1487">
        <v>-9.4485159999999999E-2</v>
      </c>
      <c r="S1487">
        <v>-2.9982600000000001</v>
      </c>
      <c r="T1487">
        <v>-9.5442769999999996E-2</v>
      </c>
      <c r="U1487">
        <v>-0.36010740000000002</v>
      </c>
      <c r="V1487">
        <v>-9.2010700000000001E-2</v>
      </c>
      <c r="W1487">
        <v>-0.1413664</v>
      </c>
      <c r="X1487">
        <v>0.98567210000000005</v>
      </c>
      <c r="Y1487">
        <v>-0.1170329</v>
      </c>
      <c r="Z1487">
        <v>-2.1920249999999998E-3</v>
      </c>
      <c r="AA1487">
        <v>0.99312560000000005</v>
      </c>
      <c r="AB1487">
        <v>47</v>
      </c>
      <c r="AC1487">
        <v>-34.3645</v>
      </c>
      <c r="AD1487">
        <v>-1.1084133988139999</v>
      </c>
      <c r="AE1487">
        <v>-4.1809999999999796</v>
      </c>
      <c r="AF1487">
        <v>-4.1025380110168399</v>
      </c>
      <c r="AG1487">
        <v>-1.1084133988139999</v>
      </c>
      <c r="AH1487">
        <v>34.338250042735098</v>
      </c>
      <c r="AI1487">
        <v>91.835776992965506</v>
      </c>
      <c r="AJ1487">
        <v>96.813078135207803</v>
      </c>
      <c r="AK1487">
        <v>34.600214080145598</v>
      </c>
      <c r="AL1487">
        <v>98.126921979229095</v>
      </c>
      <c r="AM1487">
        <v>95.333002380966704</v>
      </c>
      <c r="AN1487">
        <v>0.99999995834092903</v>
      </c>
    </row>
    <row r="1488" spans="1:40" x14ac:dyDescent="0.25">
      <c r="A1488" t="str">
        <f>"20190305135611199"</f>
        <v>20190305135611199</v>
      </c>
      <c r="B1488" t="str">
        <f>"1551765371193759"</f>
        <v>1551765371193759</v>
      </c>
      <c r="C1488" t="s">
        <v>40</v>
      </c>
      <c r="D1488">
        <v>4.0657610000000002</v>
      </c>
      <c r="E1488">
        <v>0.49332619999999999</v>
      </c>
      <c r="F1488" t="s">
        <v>55</v>
      </c>
      <c r="G1488">
        <v>-369.56270000000001</v>
      </c>
      <c r="H1488" s="1">
        <v>3.5520110000000001E-6</v>
      </c>
      <c r="I1488">
        <v>279.89679999999998</v>
      </c>
      <c r="J1488">
        <v>-335.77940000000001</v>
      </c>
      <c r="K1488">
        <v>1.1084210000000001</v>
      </c>
      <c r="L1488">
        <v>284.04419999999999</v>
      </c>
      <c r="M1488">
        <v>-0.99997309999999995</v>
      </c>
      <c r="N1488">
        <v>-6.6732319999999899E-3</v>
      </c>
      <c r="O1488">
        <v>-3.0508599999999999E-3</v>
      </c>
      <c r="P1488">
        <v>-0.98436950000000001</v>
      </c>
      <c r="Q1488">
        <v>-0.1480861</v>
      </c>
      <c r="R1488">
        <v>-9.5328029999999994E-2</v>
      </c>
      <c r="S1488">
        <v>-2.9978030000000002</v>
      </c>
      <c r="T1488">
        <v>-9.6953750000000005E-2</v>
      </c>
      <c r="U1488">
        <v>-0.36291499999999999</v>
      </c>
      <c r="V1488">
        <v>-9.1973280000000004E-2</v>
      </c>
      <c r="W1488">
        <v>-0.14174059999999999</v>
      </c>
      <c r="X1488">
        <v>0.98562190000000005</v>
      </c>
      <c r="Y1488">
        <v>-0.11708159999999999</v>
      </c>
      <c r="Z1488">
        <v>-2.2001329999999999E-3</v>
      </c>
      <c r="AA1488">
        <v>0.99311990000000006</v>
      </c>
      <c r="AB1488">
        <v>47</v>
      </c>
      <c r="AC1488">
        <v>-33.783299999999997</v>
      </c>
      <c r="AD1488">
        <v>-1.1084174479890001</v>
      </c>
      <c r="AE1488">
        <v>-4.1474000000000002</v>
      </c>
      <c r="AF1488">
        <v>-4.0400258841016701</v>
      </c>
      <c r="AG1488">
        <v>-1.1084174479890001</v>
      </c>
      <c r="AH1488">
        <v>33.759994093948002</v>
      </c>
      <c r="AI1488">
        <v>91.867162893729301</v>
      </c>
      <c r="AJ1488">
        <v>96.824078921690202</v>
      </c>
      <c r="AK1488">
        <v>34.018930018544403</v>
      </c>
      <c r="AL1488">
        <v>98.148579755869903</v>
      </c>
      <c r="AM1488">
        <v>95.331115938100197</v>
      </c>
      <c r="AN1488">
        <v>1.0000000058409599</v>
      </c>
    </row>
    <row r="1489" spans="1:40" x14ac:dyDescent="0.25">
      <c r="A1489" t="str">
        <f>"20190305135611222"</f>
        <v>20190305135611222</v>
      </c>
      <c r="B1489" t="str">
        <f>"1551765371213278"</f>
        <v>1551765371213278</v>
      </c>
      <c r="C1489" t="s">
        <v>40</v>
      </c>
      <c r="D1489">
        <v>4.0745760000000004</v>
      </c>
      <c r="E1489">
        <v>0.54696639999999996</v>
      </c>
      <c r="F1489" t="s">
        <v>55</v>
      </c>
      <c r="G1489">
        <v>-370.48739999999998</v>
      </c>
      <c r="H1489" s="1">
        <v>-1.2774179999999999E-6</v>
      </c>
      <c r="I1489">
        <v>279.82499999999999</v>
      </c>
      <c r="J1489">
        <v>-336.26600000000002</v>
      </c>
      <c r="K1489">
        <v>1.1084320000000001</v>
      </c>
      <c r="L1489">
        <v>284.04219999999998</v>
      </c>
      <c r="M1489">
        <v>-0.99997000000000003</v>
      </c>
      <c r="N1489">
        <v>-6.697906E-3</v>
      </c>
      <c r="O1489">
        <v>-3.9383380000000004E-3</v>
      </c>
      <c r="P1489">
        <v>-0.98427770000000003</v>
      </c>
      <c r="Q1489">
        <v>-0.14829489999999901</v>
      </c>
      <c r="R1489">
        <v>-9.5951270000000005E-2</v>
      </c>
      <c r="S1489">
        <v>-2.9979550000000001</v>
      </c>
      <c r="T1489">
        <v>-9.574175E-2</v>
      </c>
      <c r="U1489">
        <v>-0.36444090000000001</v>
      </c>
      <c r="V1489">
        <v>-9.1718910000000001E-2</v>
      </c>
      <c r="W1489">
        <v>-0.14192650000000001</v>
      </c>
      <c r="X1489">
        <v>0.98561880000000002</v>
      </c>
      <c r="Y1489">
        <v>-0.1166944</v>
      </c>
      <c r="Z1489">
        <v>-2.1494219999999998E-3</v>
      </c>
      <c r="AA1489">
        <v>0.99316559999999998</v>
      </c>
      <c r="AB1489">
        <v>47</v>
      </c>
      <c r="AC1489">
        <v>-34.221400000000003</v>
      </c>
      <c r="AD1489">
        <v>-1.1084332774179999</v>
      </c>
      <c r="AE1489">
        <v>-4.2171999999999903</v>
      </c>
      <c r="AF1489">
        <v>-4.0781743787332996</v>
      </c>
      <c r="AG1489">
        <v>-1.1084332774179999</v>
      </c>
      <c r="AH1489">
        <v>34.202398200960701</v>
      </c>
      <c r="AI1489">
        <v>91.843148246138895</v>
      </c>
      <c r="AJ1489">
        <v>96.799645395786499</v>
      </c>
      <c r="AK1489">
        <v>34.462503874369297</v>
      </c>
      <c r="AL1489">
        <v>98.159340242591995</v>
      </c>
      <c r="AM1489">
        <v>95.316472927063998</v>
      </c>
      <c r="AN1489">
        <v>0.99999995438363798</v>
      </c>
    </row>
    <row r="1490" spans="1:40" x14ac:dyDescent="0.25">
      <c r="A1490" t="str">
        <f>"20190305135611243"</f>
        <v>20190305135611243</v>
      </c>
      <c r="B1490" t="str">
        <f>"1551765371233778"</f>
        <v>1551765371233778</v>
      </c>
      <c r="C1490" t="s">
        <v>40</v>
      </c>
      <c r="D1490">
        <v>4.0619809999999896</v>
      </c>
      <c r="E1490">
        <v>0.55109549999999996</v>
      </c>
      <c r="F1490" t="s">
        <v>55</v>
      </c>
      <c r="G1490">
        <v>-369.91640000000001</v>
      </c>
      <c r="H1490" s="1">
        <v>3.74024E-6</v>
      </c>
      <c r="I1490">
        <v>284.7097</v>
      </c>
      <c r="J1490">
        <v>-336.70639999999997</v>
      </c>
      <c r="K1490">
        <v>1.108436</v>
      </c>
      <c r="L1490">
        <v>284.04000000000002</v>
      </c>
      <c r="M1490">
        <v>-0.99996620000000003</v>
      </c>
      <c r="N1490">
        <v>-6.7209840000000002E-3</v>
      </c>
      <c r="O1490">
        <v>-4.7410359999999997E-3</v>
      </c>
      <c r="P1490">
        <v>-0.98423360000000004</v>
      </c>
      <c r="Q1490">
        <v>-0.14830779999999999</v>
      </c>
      <c r="R1490">
        <v>-9.6380430000000003E-2</v>
      </c>
      <c r="S1490">
        <v>-3.0386660000000001</v>
      </c>
      <c r="T1490">
        <v>-0.10009220000000001</v>
      </c>
      <c r="U1490">
        <v>6.0272220000000001E-2</v>
      </c>
      <c r="V1490">
        <v>-9.1355729999999996E-2</v>
      </c>
      <c r="W1490">
        <v>-0.14191709999999999</v>
      </c>
      <c r="X1490">
        <v>0.98565389999999997</v>
      </c>
      <c r="Y1490">
        <v>2.4553519999999999E-2</v>
      </c>
      <c r="Z1490">
        <v>6.1104569999999997E-4</v>
      </c>
      <c r="AA1490">
        <v>0.99969830000000004</v>
      </c>
      <c r="AB1490">
        <v>47</v>
      </c>
      <c r="AC1490">
        <v>-33.21</v>
      </c>
      <c r="AD1490">
        <v>-1.10843225976</v>
      </c>
      <c r="AE1490">
        <v>0.66969999999997698</v>
      </c>
      <c r="AF1490">
        <v>0.82622579931457796</v>
      </c>
      <c r="AG1490">
        <v>-1.10843225976</v>
      </c>
      <c r="AH1490">
        <v>33.169516172631603</v>
      </c>
      <c r="AI1490">
        <v>91.913359071215893</v>
      </c>
      <c r="AJ1490">
        <v>88.573103575104298</v>
      </c>
      <c r="AK1490">
        <v>33.1983143287788</v>
      </c>
      <c r="AL1490">
        <v>98.158796013240405</v>
      </c>
      <c r="AM1490">
        <v>95.295353663472</v>
      </c>
      <c r="AN1490">
        <v>0.99999997163072596</v>
      </c>
    </row>
    <row r="1491" spans="1:40" x14ac:dyDescent="0.25">
      <c r="A1491" t="str">
        <f>"20190305135611265"</f>
        <v>20190305135611265</v>
      </c>
      <c r="B1491" t="str">
        <f>"1551765371253294"</f>
        <v>1551765371253294</v>
      </c>
      <c r="C1491" t="s">
        <v>40</v>
      </c>
      <c r="D1491">
        <v>4.0082519999999997</v>
      </c>
      <c r="E1491">
        <v>0.55350940000000004</v>
      </c>
      <c r="F1491" t="s">
        <v>55</v>
      </c>
      <c r="G1491">
        <v>-365.95429999999999</v>
      </c>
      <c r="H1491" s="1">
        <v>1.6317779999999901E-6</v>
      </c>
      <c r="I1491">
        <v>284.93380000000002</v>
      </c>
      <c r="J1491">
        <v>-337.15780000000001</v>
      </c>
      <c r="K1491">
        <v>1.1084369999999999</v>
      </c>
      <c r="L1491">
        <v>284.03750000000002</v>
      </c>
      <c r="M1491">
        <v>-0.99996169999999995</v>
      </c>
      <c r="N1491">
        <v>-6.7454439999999997E-3</v>
      </c>
      <c r="O1491">
        <v>-5.5638809999999997E-3</v>
      </c>
      <c r="P1491">
        <v>-0.98411219999999999</v>
      </c>
      <c r="Q1491">
        <v>-0.14854020000000001</v>
      </c>
      <c r="R1491">
        <v>-9.7258720000000007E-2</v>
      </c>
      <c r="S1491">
        <v>-3.0397949999999998</v>
      </c>
      <c r="T1491">
        <v>-0.115202</v>
      </c>
      <c r="U1491">
        <v>9.2895510000000001E-2</v>
      </c>
      <c r="V1491">
        <v>-9.1421089999999997E-2</v>
      </c>
      <c r="W1491">
        <v>-0.14212729999999901</v>
      </c>
      <c r="X1491">
        <v>0.98561759999999998</v>
      </c>
      <c r="Y1491">
        <v>3.6073290000000001E-2</v>
      </c>
      <c r="Z1491">
        <v>9.7812120000000005E-4</v>
      </c>
      <c r="AA1491">
        <v>0.99934860000000003</v>
      </c>
      <c r="AB1491">
        <v>47</v>
      </c>
      <c r="AC1491">
        <v>-28.796499999999899</v>
      </c>
      <c r="AD1491">
        <v>-1.1084353682220001</v>
      </c>
      <c r="AE1491">
        <v>0.89629999999999599</v>
      </c>
      <c r="AF1491">
        <v>1.05494854540176</v>
      </c>
      <c r="AG1491">
        <v>-1.1084353682220001</v>
      </c>
      <c r="AH1491">
        <v>28.748513643014</v>
      </c>
      <c r="AI1491">
        <v>92.206534004463904</v>
      </c>
      <c r="AJ1491">
        <v>87.898430820081799</v>
      </c>
      <c r="AK1491">
        <v>28.789209473021899</v>
      </c>
      <c r="AL1491">
        <v>98.170962524728495</v>
      </c>
      <c r="AM1491">
        <v>95.299314691842596</v>
      </c>
      <c r="AN1491">
        <v>1.00000001926591</v>
      </c>
    </row>
    <row r="1492" spans="1:40" x14ac:dyDescent="0.25">
      <c r="A1492" t="str">
        <f>"20190305135611288"</f>
        <v>20190305135611288</v>
      </c>
      <c r="B1492" t="str">
        <f>"1551765371283551"</f>
        <v>1551765371283551</v>
      </c>
      <c r="C1492" t="s">
        <v>40</v>
      </c>
      <c r="D1492">
        <v>4.0079560000000001</v>
      </c>
      <c r="E1492">
        <v>0.55294679999999996</v>
      </c>
      <c r="F1492" t="s">
        <v>55</v>
      </c>
      <c r="G1492">
        <v>-366.74149999999997</v>
      </c>
      <c r="H1492" s="1">
        <v>2.050733E-6</v>
      </c>
      <c r="I1492">
        <v>285.10109999999997</v>
      </c>
      <c r="J1492">
        <v>-337.64030000000002</v>
      </c>
      <c r="K1492">
        <v>1.1084499999999999</v>
      </c>
      <c r="L1492">
        <v>284.03429999999997</v>
      </c>
      <c r="M1492">
        <v>-0.99995599999999996</v>
      </c>
      <c r="N1492">
        <v>-6.8226299999999997E-3</v>
      </c>
      <c r="O1492">
        <v>-6.4412219999999999E-3</v>
      </c>
      <c r="P1492">
        <v>-0.98409159999999996</v>
      </c>
      <c r="Q1492">
        <v>-0.14844470000000001</v>
      </c>
      <c r="R1492">
        <v>-9.7612610000000002E-2</v>
      </c>
      <c r="S1492">
        <v>-3.0420530000000001</v>
      </c>
      <c r="T1492">
        <v>-0.11397889999999999</v>
      </c>
      <c r="U1492">
        <v>0.109375</v>
      </c>
      <c r="V1492">
        <v>-9.0909669999999998E-2</v>
      </c>
      <c r="W1492">
        <v>-0.14195579999999999</v>
      </c>
      <c r="X1492">
        <v>0.98568960000000005</v>
      </c>
      <c r="Y1492">
        <v>4.2329489999999997E-2</v>
      </c>
      <c r="Z1492">
        <v>1.1342310000000001E-3</v>
      </c>
      <c r="AA1492">
        <v>0.99910310000000002</v>
      </c>
      <c r="AB1492">
        <v>47</v>
      </c>
      <c r="AC1492">
        <v>-29.101199999999899</v>
      </c>
      <c r="AD1492">
        <v>-1.1084479492670001</v>
      </c>
      <c r="AE1492">
        <v>1.0668</v>
      </c>
      <c r="AF1492">
        <v>1.25241494668343</v>
      </c>
      <c r="AG1492">
        <v>-1.1084479492670001</v>
      </c>
      <c r="AH1492">
        <v>29.051632947492401</v>
      </c>
      <c r="AI1492">
        <v>92.183001237106694</v>
      </c>
      <c r="AJ1492">
        <v>87.531509265769898</v>
      </c>
      <c r="AK1492">
        <v>29.099734998290501</v>
      </c>
      <c r="AL1492">
        <v>98.161035785671501</v>
      </c>
      <c r="AM1492">
        <v>95.269454323502501</v>
      </c>
      <c r="AN1492">
        <v>1.0000000024006499</v>
      </c>
    </row>
    <row r="1493" spans="1:40" x14ac:dyDescent="0.25">
      <c r="A1493" t="str">
        <f>"20190305135611312"</f>
        <v>20190305135611312</v>
      </c>
      <c r="B1493" t="str">
        <f>"1551765371303070"</f>
        <v>1551765371303070</v>
      </c>
      <c r="C1493" t="s">
        <v>40</v>
      </c>
      <c r="D1493">
        <v>3.9082599999999998</v>
      </c>
      <c r="E1493">
        <v>0.55290649999999997</v>
      </c>
      <c r="F1493" t="s">
        <v>55</v>
      </c>
      <c r="G1493">
        <v>-364.49939999999998</v>
      </c>
      <c r="H1493" s="1">
        <v>8.5756199999999996E-7</v>
      </c>
      <c r="I1493">
        <v>284.95940000000002</v>
      </c>
      <c r="J1493">
        <v>-338.14980000000003</v>
      </c>
      <c r="K1493">
        <v>1.1085160000000001</v>
      </c>
      <c r="L1493">
        <v>284.03050000000002</v>
      </c>
      <c r="M1493">
        <v>-0.99994780000000005</v>
      </c>
      <c r="N1493">
        <v>-7.0744500000000004E-3</v>
      </c>
      <c r="O1493">
        <v>-7.3621090000000004E-3</v>
      </c>
      <c r="P1493">
        <v>-0.98400659999999895</v>
      </c>
      <c r="Q1493">
        <v>-0.14879999999999999</v>
      </c>
      <c r="R1493">
        <v>-9.7925449999999997E-2</v>
      </c>
      <c r="S1493">
        <v>-3.0399479999999999</v>
      </c>
      <c r="T1493">
        <v>-0.12545590000000001</v>
      </c>
      <c r="U1493">
        <v>0.1047058</v>
      </c>
      <c r="V1493">
        <v>-9.0312260000000005E-2</v>
      </c>
      <c r="W1493">
        <v>-0.14206369999999999</v>
      </c>
      <c r="X1493">
        <v>0.98572899999999997</v>
      </c>
      <c r="Y1493">
        <v>4.1734010000000002E-2</v>
      </c>
      <c r="Z1493">
        <v>1.2598500000000001E-3</v>
      </c>
      <c r="AA1493">
        <v>0.99912800000000002</v>
      </c>
      <c r="AB1493">
        <v>47</v>
      </c>
      <c r="AC1493">
        <v>-26.349599999999899</v>
      </c>
      <c r="AD1493">
        <v>-1.108515142438</v>
      </c>
      <c r="AE1493">
        <v>0.92889999999999795</v>
      </c>
      <c r="AF1493">
        <v>1.12088698741029</v>
      </c>
      <c r="AG1493">
        <v>-1.108515142438</v>
      </c>
      <c r="AH1493">
        <v>26.2955657298746</v>
      </c>
      <c r="AI1493">
        <v>92.411742519915407</v>
      </c>
      <c r="AJ1493">
        <v>87.559161145698596</v>
      </c>
      <c r="AK1493">
        <v>26.342778337026498</v>
      </c>
      <c r="AL1493">
        <v>98.167281067469801</v>
      </c>
      <c r="AM1493">
        <v>95.234811218662003</v>
      </c>
      <c r="AN1493">
        <v>1.0000000303024901</v>
      </c>
    </row>
    <row r="1494" spans="1:40" x14ac:dyDescent="0.25">
      <c r="A1494" t="str">
        <f>"20190305135611333"</f>
        <v>20190305135611333</v>
      </c>
      <c r="B1494" t="str">
        <f>"1551765371323567"</f>
        <v>1551765371323567</v>
      </c>
      <c r="C1494" t="s">
        <v>40</v>
      </c>
      <c r="D1494">
        <v>3.9517989999999998</v>
      </c>
      <c r="E1494">
        <v>0.55340990000000001</v>
      </c>
      <c r="F1494" t="s">
        <v>55</v>
      </c>
      <c r="G1494">
        <v>-364.39120000000003</v>
      </c>
      <c r="H1494" s="1">
        <v>8.0000889999999996E-7</v>
      </c>
      <c r="I1494">
        <v>284.9271</v>
      </c>
      <c r="J1494">
        <v>-338.61250000000001</v>
      </c>
      <c r="K1494">
        <v>1.108636</v>
      </c>
      <c r="L1494">
        <v>284.02670000000001</v>
      </c>
      <c r="M1494">
        <v>-0.99993810000000005</v>
      </c>
      <c r="N1494">
        <v>-7.5383960000000002E-3</v>
      </c>
      <c r="O1494">
        <v>-8.1941340000000005E-3</v>
      </c>
      <c r="P1494">
        <v>-0.98388580000000003</v>
      </c>
      <c r="Q1494">
        <v>-0.14968870000000001</v>
      </c>
      <c r="R1494">
        <v>-9.7786090000000006E-2</v>
      </c>
      <c r="S1494">
        <v>-3.0396730000000001</v>
      </c>
      <c r="T1494">
        <v>-0.12840460000000001</v>
      </c>
      <c r="U1494">
        <v>0.10385129999999999</v>
      </c>
      <c r="V1494">
        <v>-8.9348220000000006E-2</v>
      </c>
      <c r="W1494">
        <v>-0.14249589999999901</v>
      </c>
      <c r="X1494">
        <v>0.98575440000000003</v>
      </c>
      <c r="Y1494">
        <v>4.2284479999999999E-2</v>
      </c>
      <c r="Z1494">
        <v>1.336131E-3</v>
      </c>
      <c r="AA1494">
        <v>0.99910469999999896</v>
      </c>
      <c r="AB1494">
        <v>47</v>
      </c>
      <c r="AC1494">
        <v>-25.778700000000001</v>
      </c>
      <c r="AD1494">
        <v>-1.1086351999910999</v>
      </c>
      <c r="AE1494">
        <v>0.90039999999998999</v>
      </c>
      <c r="AF1494">
        <v>1.10956023974136</v>
      </c>
      <c r="AG1494">
        <v>-1.1086351999910999</v>
      </c>
      <c r="AH1494">
        <v>25.7229395751231</v>
      </c>
      <c r="AI1494">
        <v>92.465578602367003</v>
      </c>
      <c r="AJ1494">
        <v>87.530074900983607</v>
      </c>
      <c r="AK1494">
        <v>25.770716255426599</v>
      </c>
      <c r="AL1494">
        <v>98.192299388767594</v>
      </c>
      <c r="AM1494">
        <v>95.179104923048399</v>
      </c>
      <c r="AN1494">
        <v>0.99999996152666804</v>
      </c>
    </row>
    <row r="1495" spans="1:40" x14ac:dyDescent="0.25">
      <c r="A1495" t="str">
        <f>"20190305135611353"</f>
        <v>20190305135611353</v>
      </c>
      <c r="B1495" t="str">
        <f>"1551765371343087"</f>
        <v>1551765371343087</v>
      </c>
      <c r="C1495" t="s">
        <v>40</v>
      </c>
      <c r="D1495">
        <v>3.8843299999999998</v>
      </c>
      <c r="E1495">
        <v>0.55358249999999998</v>
      </c>
      <c r="F1495" t="s">
        <v>55</v>
      </c>
      <c r="G1495">
        <v>-364.71620000000001</v>
      </c>
      <c r="H1495" s="1">
        <v>9.7293399999999992E-7</v>
      </c>
      <c r="I1495">
        <v>284.95549999999997</v>
      </c>
      <c r="J1495">
        <v>-339.04309999999998</v>
      </c>
      <c r="K1495">
        <v>1.108768</v>
      </c>
      <c r="L1495">
        <v>284.02269999999999</v>
      </c>
      <c r="M1495">
        <v>-0.99992689999999995</v>
      </c>
      <c r="N1495">
        <v>-8.1373239999999996E-3</v>
      </c>
      <c r="O1495">
        <v>-8.9548549999999994E-3</v>
      </c>
      <c r="P1495">
        <v>-0.98372579999999998</v>
      </c>
      <c r="Q1495">
        <v>-0.150831299999999</v>
      </c>
      <c r="R1495">
        <v>-9.7640589999999999E-2</v>
      </c>
      <c r="S1495">
        <v>-3.0402830000000001</v>
      </c>
      <c r="T1495">
        <v>-0.1291223</v>
      </c>
      <c r="U1495">
        <v>0.1081848</v>
      </c>
      <c r="V1495">
        <v>-8.8448899999999997E-2</v>
      </c>
      <c r="W1495">
        <v>-0.14304919999999999</v>
      </c>
      <c r="X1495">
        <v>0.98575539999999995</v>
      </c>
      <c r="Y1495">
        <v>4.4456370000000002E-2</v>
      </c>
      <c r="Z1495">
        <v>1.4315720000000001E-3</v>
      </c>
      <c r="AA1495">
        <v>0.99901030000000002</v>
      </c>
      <c r="AB1495">
        <v>47</v>
      </c>
      <c r="AC1495">
        <v>-25.673100000000002</v>
      </c>
      <c r="AD1495">
        <v>-1.1087670270659999</v>
      </c>
      <c r="AE1495">
        <v>0.93279999999998597</v>
      </c>
      <c r="AF1495">
        <v>1.1605073545406499</v>
      </c>
      <c r="AG1495">
        <v>-1.1087670270659999</v>
      </c>
      <c r="AH1495">
        <v>25.616001374251901</v>
      </c>
      <c r="AI1495">
        <v>92.475916101400898</v>
      </c>
      <c r="AJ1495">
        <v>87.406045627477795</v>
      </c>
      <c r="AK1495">
        <v>25.6662359539907</v>
      </c>
      <c r="AL1495">
        <v>98.224328996756796</v>
      </c>
      <c r="AM1495">
        <v>95.127249566843801</v>
      </c>
      <c r="AN1495">
        <v>0.99999999508050497</v>
      </c>
    </row>
    <row r="1496" spans="1:40" x14ac:dyDescent="0.25">
      <c r="A1496" t="str">
        <f>"20190305135611377"</f>
        <v>20190305135611377</v>
      </c>
      <c r="B1496" t="str">
        <f>"1551765371373343"</f>
        <v>1551765371373343</v>
      </c>
      <c r="C1496" t="s">
        <v>40</v>
      </c>
      <c r="D1496">
        <v>3.9958</v>
      </c>
      <c r="E1496">
        <v>0.55342819999999904</v>
      </c>
      <c r="F1496" t="s">
        <v>55</v>
      </c>
      <c r="G1496">
        <v>-364.26909999999998</v>
      </c>
      <c r="H1496" s="1">
        <v>7.3501260000000002E-7</v>
      </c>
      <c r="I1496">
        <v>284.93709999999999</v>
      </c>
      <c r="J1496">
        <v>-339.51940000000002</v>
      </c>
      <c r="K1496">
        <v>1.1089100000000001</v>
      </c>
      <c r="L1496">
        <v>284.0179</v>
      </c>
      <c r="M1496">
        <v>-0.99991319999999995</v>
      </c>
      <c r="N1496">
        <v>-8.8183029999999996E-3</v>
      </c>
      <c r="O1496">
        <v>-9.8022969999999997E-3</v>
      </c>
      <c r="P1496">
        <v>-0.98370679999999999</v>
      </c>
      <c r="Q1496">
        <v>-0.15164729999999901</v>
      </c>
      <c r="R1496">
        <v>-9.6562579999999995E-2</v>
      </c>
      <c r="S1496">
        <v>-3.0400390000000002</v>
      </c>
      <c r="T1496">
        <v>-0.13361999999999999</v>
      </c>
      <c r="U1496">
        <v>0.11019900000000001</v>
      </c>
      <c r="V1496">
        <v>-8.6532440000000002E-2</v>
      </c>
      <c r="W1496">
        <v>-0.14319089999999901</v>
      </c>
      <c r="X1496">
        <v>0.98590489999999997</v>
      </c>
      <c r="Y1496">
        <v>4.5960630000000002E-2</v>
      </c>
      <c r="Z1496">
        <v>1.556212E-3</v>
      </c>
      <c r="AA1496">
        <v>0.998942</v>
      </c>
      <c r="AB1496">
        <v>47</v>
      </c>
      <c r="AC1496">
        <v>-24.749699999999901</v>
      </c>
      <c r="AD1496">
        <v>-1.1089092649873999</v>
      </c>
      <c r="AE1496">
        <v>0.91919999999998903</v>
      </c>
      <c r="AF1496">
        <v>1.15944478625492</v>
      </c>
      <c r="AG1496">
        <v>-1.1089092649873999</v>
      </c>
      <c r="AH1496">
        <v>24.690003701303699</v>
      </c>
      <c r="AI1496">
        <v>92.568786611099299</v>
      </c>
      <c r="AJ1496">
        <v>87.311360273226995</v>
      </c>
      <c r="AK1496">
        <v>24.742074988584498</v>
      </c>
      <c r="AL1496">
        <v>98.232532346882095</v>
      </c>
      <c r="AM1496">
        <v>95.015971580930596</v>
      </c>
      <c r="AN1496">
        <v>0.99999998442958604</v>
      </c>
    </row>
    <row r="1497" spans="1:40" x14ac:dyDescent="0.25">
      <c r="A1497" t="str">
        <f>"20190305135611400"</f>
        <v>20190305135611400</v>
      </c>
      <c r="B1497" t="str">
        <f>"1551765371393852"</f>
        <v>1551765371393852</v>
      </c>
      <c r="C1497" t="s">
        <v>40</v>
      </c>
      <c r="D1497">
        <v>3.9570479999999999</v>
      </c>
      <c r="E1497">
        <v>0.55327519999999997</v>
      </c>
      <c r="F1497" t="s">
        <v>55</v>
      </c>
      <c r="G1497">
        <v>-363.61829999999998</v>
      </c>
      <c r="H1497" s="1">
        <v>3.8868789999999997E-7</v>
      </c>
      <c r="I1497">
        <v>284.91300000000001</v>
      </c>
      <c r="J1497">
        <v>-340.0179</v>
      </c>
      <c r="K1497">
        <v>1.1090120000000001</v>
      </c>
      <c r="L1497">
        <v>284.01240000000001</v>
      </c>
      <c r="M1497">
        <v>-0.99989810000000001</v>
      </c>
      <c r="N1497">
        <v>-9.4517990000000003E-3</v>
      </c>
      <c r="O1497">
        <v>-1.070012E-2</v>
      </c>
      <c r="P1497">
        <v>-0.98366480000000001</v>
      </c>
      <c r="Q1497">
        <v>-0.15225610000000001</v>
      </c>
      <c r="R1497">
        <v>-9.6028790000000003E-2</v>
      </c>
      <c r="S1497">
        <v>-3.0391849999999998</v>
      </c>
      <c r="T1497">
        <v>-0.13984779999999999</v>
      </c>
      <c r="U1497">
        <v>0.1128845</v>
      </c>
      <c r="V1497">
        <v>-8.5110469999999994E-2</v>
      </c>
      <c r="W1497">
        <v>-0.14317349999999901</v>
      </c>
      <c r="X1497">
        <v>0.9860312</v>
      </c>
      <c r="Y1497">
        <v>4.7740560000000001E-2</v>
      </c>
      <c r="Z1497">
        <v>1.714169E-3</v>
      </c>
      <c r="AA1497">
        <v>0.99885829999999998</v>
      </c>
      <c r="AB1497">
        <v>47</v>
      </c>
      <c r="AC1497">
        <v>-23.600399999999901</v>
      </c>
      <c r="AD1497">
        <v>-1.1090116113121</v>
      </c>
      <c r="AE1497">
        <v>0.90059999999999696</v>
      </c>
      <c r="AF1497">
        <v>1.1505499046212599</v>
      </c>
      <c r="AG1497">
        <v>-1.1090116113121</v>
      </c>
      <c r="AH1497">
        <v>23.537512480639599</v>
      </c>
      <c r="AI1497">
        <v>92.694384834150895</v>
      </c>
      <c r="AJ1497">
        <v>87.201521429258506</v>
      </c>
      <c r="AK1497">
        <v>23.591696963408801</v>
      </c>
      <c r="AL1497">
        <v>98.231525014038496</v>
      </c>
      <c r="AM1497">
        <v>94.933326532967698</v>
      </c>
      <c r="AN1497">
        <v>0.99999998528965495</v>
      </c>
    </row>
    <row r="1498" spans="1:40" x14ac:dyDescent="0.25">
      <c r="A1498" t="str">
        <f>"20190305135611422"</f>
        <v>20190305135611422</v>
      </c>
      <c r="B1498" t="str">
        <f>"1551765371413358"</f>
        <v>1551765371413358</v>
      </c>
      <c r="C1498" t="s">
        <v>40</v>
      </c>
      <c r="D1498">
        <v>3.8565420000000001</v>
      </c>
      <c r="E1498">
        <v>0.55345540000000004</v>
      </c>
      <c r="F1498" t="s">
        <v>55</v>
      </c>
      <c r="G1498">
        <v>-363.42790000000002</v>
      </c>
      <c r="H1498" s="1">
        <v>2.873688E-7</v>
      </c>
      <c r="I1498">
        <v>284.88929999999999</v>
      </c>
      <c r="J1498">
        <v>-340.48180000000002</v>
      </c>
      <c r="K1498">
        <v>1.109075</v>
      </c>
      <c r="L1498">
        <v>284.0068</v>
      </c>
      <c r="M1498">
        <v>-0.99988390000000005</v>
      </c>
      <c r="N1498">
        <v>-9.9622900000000004E-3</v>
      </c>
      <c r="O1498">
        <v>-1.1538919999999999E-2</v>
      </c>
      <c r="P1498">
        <v>-0.98370360000000001</v>
      </c>
      <c r="Q1498">
        <v>-0.1525511</v>
      </c>
      <c r="R1498">
        <v>-9.5162440000000001E-2</v>
      </c>
      <c r="S1498">
        <v>-3.0386350000000002</v>
      </c>
      <c r="T1498">
        <v>-0.1439502</v>
      </c>
      <c r="U1498">
        <v>0.1138306</v>
      </c>
      <c r="V1498">
        <v>-8.3415110000000001E-2</v>
      </c>
      <c r="W1498">
        <v>-0.14296139999999999</v>
      </c>
      <c r="X1498">
        <v>0.98620680000000005</v>
      </c>
      <c r="Y1498">
        <v>4.8889370000000001E-2</v>
      </c>
      <c r="Z1498">
        <v>1.8320509999999999E-3</v>
      </c>
      <c r="AA1498">
        <v>0.99880250000000004</v>
      </c>
      <c r="AB1498">
        <v>47</v>
      </c>
      <c r="AC1498">
        <v>-22.946100000000001</v>
      </c>
      <c r="AD1498">
        <v>-1.1090747126311999</v>
      </c>
      <c r="AE1498">
        <v>0.88249999999999296</v>
      </c>
      <c r="AF1498">
        <v>1.1445576376856399</v>
      </c>
      <c r="AG1498">
        <v>-1.1090747126311999</v>
      </c>
      <c r="AH1498">
        <v>22.8810136836676</v>
      </c>
      <c r="AI1498">
        <v>92.771574619574693</v>
      </c>
      <c r="AJ1498">
        <v>87.136328491291906</v>
      </c>
      <c r="AK1498">
        <v>22.936452343297699</v>
      </c>
      <c r="AL1498">
        <v>98.219246580237893</v>
      </c>
      <c r="AM1498">
        <v>94.834670768027095</v>
      </c>
      <c r="AN1498">
        <v>0.99999994741625398</v>
      </c>
    </row>
    <row r="1499" spans="1:40" x14ac:dyDescent="0.25">
      <c r="A1499" t="str">
        <f>"20190305135611443"</f>
        <v>20190305135611443</v>
      </c>
      <c r="B1499" t="str">
        <f>"1551765371433858"</f>
        <v>1551765371433858</v>
      </c>
      <c r="C1499" t="s">
        <v>40</v>
      </c>
      <c r="D1499">
        <v>3.9658709999999999</v>
      </c>
      <c r="E1499">
        <v>0.55382109999999996</v>
      </c>
      <c r="F1499" t="s">
        <v>55</v>
      </c>
      <c r="G1499">
        <v>-364.01459999999997</v>
      </c>
      <c r="H1499" s="1">
        <v>5.9958639999999995E-7</v>
      </c>
      <c r="I1499">
        <v>284.91739999999999</v>
      </c>
      <c r="J1499">
        <v>-340.9228</v>
      </c>
      <c r="K1499">
        <v>1.1091139999999999</v>
      </c>
      <c r="L1499">
        <v>284.00110000000001</v>
      </c>
      <c r="M1499">
        <v>-0.99987009999999998</v>
      </c>
      <c r="N1499">
        <v>-1.0391020000000001E-2</v>
      </c>
      <c r="O1499">
        <v>-1.2333510000000001E-2</v>
      </c>
      <c r="P1499">
        <v>-0.98378560000000004</v>
      </c>
      <c r="Q1499">
        <v>-0.15231979999999901</v>
      </c>
      <c r="R1499">
        <v>-9.4682920000000004E-2</v>
      </c>
      <c r="S1499">
        <v>-3.0388790000000001</v>
      </c>
      <c r="T1499">
        <v>-0.14321909999999999</v>
      </c>
      <c r="U1499">
        <v>0.1175842</v>
      </c>
      <c r="V1499">
        <v>-8.2151810000000006E-2</v>
      </c>
      <c r="W1499">
        <v>-0.14230319999999999</v>
      </c>
      <c r="X1499">
        <v>0.98640810000000001</v>
      </c>
      <c r="Y1499">
        <v>5.0909169999999997E-2</v>
      </c>
      <c r="Z1499">
        <v>1.9160150000000001E-3</v>
      </c>
      <c r="AA1499">
        <v>0.99870150000000002</v>
      </c>
      <c r="AB1499">
        <v>47</v>
      </c>
      <c r="AC1499">
        <v>-23.0917999999999</v>
      </c>
      <c r="AD1499">
        <v>-1.1091134004135901</v>
      </c>
      <c r="AE1499">
        <v>0.91629999999997802</v>
      </c>
      <c r="AF1499">
        <v>1.19828854350737</v>
      </c>
      <c r="AG1499">
        <v>-1.1091134004135901</v>
      </c>
      <c r="AH1499">
        <v>23.0257062115213</v>
      </c>
      <c r="AI1499">
        <v>92.753998374091296</v>
      </c>
      <c r="AJ1499">
        <v>87.020938471195095</v>
      </c>
      <c r="AK1499">
        <v>23.0835260414818</v>
      </c>
      <c r="AL1499">
        <v>98.181144252738406</v>
      </c>
      <c r="AM1499">
        <v>94.760822917253904</v>
      </c>
      <c r="AN1499">
        <v>1.0000000301810601</v>
      </c>
    </row>
    <row r="1500" spans="1:40" x14ac:dyDescent="0.25">
      <c r="A1500" t="str">
        <f>"20190305135611466"</f>
        <v>20190305135611466</v>
      </c>
      <c r="B1500" t="str">
        <f>"1551765371463135"</f>
        <v>1551765371463135</v>
      </c>
      <c r="C1500" t="s">
        <v>40</v>
      </c>
      <c r="D1500">
        <v>3.9032490000000002</v>
      </c>
      <c r="E1500">
        <v>0.57533719999999999</v>
      </c>
      <c r="F1500" t="s">
        <v>55</v>
      </c>
      <c r="G1500">
        <v>-364.50150000000002</v>
      </c>
      <c r="H1500" s="1">
        <v>8.5868089999999999E-7</v>
      </c>
      <c r="I1500">
        <v>284.94650000000001</v>
      </c>
      <c r="J1500">
        <v>-341.39359999999999</v>
      </c>
      <c r="K1500">
        <v>1.1091390000000001</v>
      </c>
      <c r="L1500">
        <v>283.99470000000002</v>
      </c>
      <c r="M1500">
        <v>-0.99985500000000005</v>
      </c>
      <c r="N1500">
        <v>-1.0800570000000001E-2</v>
      </c>
      <c r="O1500">
        <v>-1.318279E-2</v>
      </c>
      <c r="P1500">
        <v>-0.9838867</v>
      </c>
      <c r="Q1500">
        <v>-0.15191070000000001</v>
      </c>
      <c r="R1500">
        <v>-9.4290230000000003E-2</v>
      </c>
      <c r="S1500">
        <v>-3.0390320000000002</v>
      </c>
      <c r="T1500">
        <v>-0.1429521</v>
      </c>
      <c r="U1500">
        <v>0.1218567</v>
      </c>
      <c r="V1500">
        <v>-8.0924309999999999E-2</v>
      </c>
      <c r="W1500">
        <v>-0.14148479999999999</v>
      </c>
      <c r="X1500">
        <v>0.98662720000000004</v>
      </c>
      <c r="Y1500">
        <v>5.3153680000000002E-2</v>
      </c>
      <c r="Z1500">
        <v>2.0135869999999998E-3</v>
      </c>
      <c r="AA1500">
        <v>0.99858429999999998</v>
      </c>
      <c r="AB1500">
        <v>47</v>
      </c>
      <c r="AC1500">
        <v>-23.107900000000001</v>
      </c>
      <c r="AD1500">
        <v>-1.1091381413190999</v>
      </c>
      <c r="AE1500">
        <v>0.95179999999999099</v>
      </c>
      <c r="AF1500">
        <v>1.25347866439497</v>
      </c>
      <c r="AG1500">
        <v>-1.1091381413190999</v>
      </c>
      <c r="AH1500">
        <v>23.040352517393899</v>
      </c>
      <c r="AI1500">
        <v>92.751967193974195</v>
      </c>
      <c r="AJ1500">
        <v>86.885971813058205</v>
      </c>
      <c r="AK1500">
        <v>23.101065782868201</v>
      </c>
      <c r="AL1500">
        <v>98.133774645616597</v>
      </c>
      <c r="AM1500">
        <v>94.688970274819795</v>
      </c>
      <c r="AN1500">
        <v>0.99999996217992704</v>
      </c>
    </row>
    <row r="1501" spans="1:40" x14ac:dyDescent="0.25">
      <c r="A1501" t="str">
        <f>"20190305135611488"</f>
        <v>20190305135611488</v>
      </c>
      <c r="B1501" t="str">
        <f>"1551765371483631"</f>
        <v>1551765371483631</v>
      </c>
      <c r="C1501" t="s">
        <v>40</v>
      </c>
      <c r="D1501">
        <v>3.884585</v>
      </c>
      <c r="E1501">
        <v>0.57555649999999903</v>
      </c>
      <c r="F1501" t="s">
        <v>55</v>
      </c>
      <c r="G1501">
        <v>-366.99079999999998</v>
      </c>
      <c r="H1501" s="1">
        <v>2.1833969999999998E-6</v>
      </c>
      <c r="I1501">
        <v>286.45429999999999</v>
      </c>
      <c r="J1501">
        <v>-341.87079999999997</v>
      </c>
      <c r="K1501">
        <v>1.1091530000000001</v>
      </c>
      <c r="L1501">
        <v>283.98759999999999</v>
      </c>
      <c r="M1501">
        <v>-0.99983900000000003</v>
      </c>
      <c r="N1501">
        <v>-1.1169689999999999E-2</v>
      </c>
      <c r="O1501">
        <v>-1.4044890000000001E-2</v>
      </c>
      <c r="P1501">
        <v>-0.98394360000000003</v>
      </c>
      <c r="Q1501">
        <v>-0.15238450000000001</v>
      </c>
      <c r="R1501">
        <v>-9.2919890000000005E-2</v>
      </c>
      <c r="S1501">
        <v>-3.0568240000000002</v>
      </c>
      <c r="T1501">
        <v>-0.13245279999999901</v>
      </c>
      <c r="U1501">
        <v>0.29373169999999998</v>
      </c>
      <c r="V1501">
        <v>-7.870568E-2</v>
      </c>
      <c r="W1501">
        <v>-0.14158560000000001</v>
      </c>
      <c r="X1501">
        <v>0.98679229999999996</v>
      </c>
      <c r="Y1501">
        <v>0.1094864</v>
      </c>
      <c r="Z1501">
        <v>3.4292580000000001E-3</v>
      </c>
      <c r="AA1501">
        <v>0.99398240000000004</v>
      </c>
      <c r="AB1501">
        <v>47</v>
      </c>
      <c r="AC1501">
        <v>-25.12</v>
      </c>
      <c r="AD1501">
        <v>-1.109150816603</v>
      </c>
      <c r="AE1501">
        <v>2.4666999999999999</v>
      </c>
      <c r="AF1501">
        <v>2.8138528576095498</v>
      </c>
      <c r="AG1501">
        <v>-1.109150816603</v>
      </c>
      <c r="AH1501">
        <v>25.0345345097784</v>
      </c>
      <c r="AI1501">
        <v>92.520967162242698</v>
      </c>
      <c r="AJ1501">
        <v>83.586936441340697</v>
      </c>
      <c r="AK1501">
        <v>25.2165798941794</v>
      </c>
      <c r="AL1501">
        <v>98.139608032737797</v>
      </c>
      <c r="AM1501">
        <v>94.560207041858405</v>
      </c>
      <c r="AN1501">
        <v>1.00000005476545</v>
      </c>
    </row>
    <row r="1502" spans="1:40" x14ac:dyDescent="0.25">
      <c r="A1502" t="str">
        <f>"20190305135611523"</f>
        <v>20190305135611523</v>
      </c>
      <c r="B1502" t="str">
        <f>"1551765371513886"</f>
        <v>1551765371513886</v>
      </c>
      <c r="C1502" t="s">
        <v>40</v>
      </c>
      <c r="D1502">
        <v>3.9233630000000002</v>
      </c>
      <c r="E1502">
        <v>0.57486740000000003</v>
      </c>
      <c r="F1502" t="s">
        <v>55</v>
      </c>
      <c r="G1502">
        <v>-367.22329999999999</v>
      </c>
      <c r="H1502" s="1">
        <v>2.307095E-6</v>
      </c>
      <c r="I1502">
        <v>286.46980000000002</v>
      </c>
      <c r="J1502">
        <v>-342.60680000000002</v>
      </c>
      <c r="K1502">
        <v>1.109135</v>
      </c>
      <c r="L1502">
        <v>283.97609999999997</v>
      </c>
      <c r="M1502">
        <v>-0.99981450000000005</v>
      </c>
      <c r="N1502">
        <v>-1.164859E-2</v>
      </c>
      <c r="O1502">
        <v>-1.534365E-2</v>
      </c>
      <c r="P1502">
        <v>-0.98389789999999999</v>
      </c>
      <c r="Q1502">
        <v>-0.15272920000000001</v>
      </c>
      <c r="R1502">
        <v>-9.283806E-2</v>
      </c>
      <c r="S1502">
        <v>-3.0565190000000002</v>
      </c>
      <c r="T1502">
        <v>-0.133719899999999</v>
      </c>
      <c r="U1502">
        <v>0.2992554</v>
      </c>
      <c r="V1502">
        <v>-7.73567E-2</v>
      </c>
      <c r="W1502">
        <v>-0.14144709999999999</v>
      </c>
      <c r="X1502">
        <v>0.98691870000000004</v>
      </c>
      <c r="Y1502">
        <v>0.1125584</v>
      </c>
      <c r="Z1502">
        <v>3.603916E-3</v>
      </c>
      <c r="AA1502">
        <v>0.99363860000000004</v>
      </c>
      <c r="AB1502">
        <v>47</v>
      </c>
      <c r="AC1502">
        <v>-24.616499999999899</v>
      </c>
      <c r="AD1502">
        <v>-1.1091326929050001</v>
      </c>
      <c r="AE1502">
        <v>2.49370000000004</v>
      </c>
      <c r="AF1502">
        <v>2.8653810779879101</v>
      </c>
      <c r="AG1502">
        <v>-1.1091326929050001</v>
      </c>
      <c r="AH1502">
        <v>24.526052448740199</v>
      </c>
      <c r="AI1502">
        <v>92.571833299760897</v>
      </c>
      <c r="AJ1502">
        <v>83.336337020556797</v>
      </c>
      <c r="AK1502">
        <v>24.717763506654801</v>
      </c>
      <c r="AL1502">
        <v>98.131592907717206</v>
      </c>
      <c r="AM1502">
        <v>94.481796674171207</v>
      </c>
      <c r="AN1502">
        <v>0.99999993077149196</v>
      </c>
    </row>
    <row r="1503" spans="1:40" x14ac:dyDescent="0.25">
      <c r="A1503" t="str">
        <f>"20190305135611545"</f>
        <v>20190305135611545</v>
      </c>
      <c r="B1503" t="str">
        <f>"1551765371533407"</f>
        <v>1551765371533407</v>
      </c>
      <c r="C1503" t="s">
        <v>40</v>
      </c>
      <c r="D1503">
        <v>3.9041709999999998</v>
      </c>
      <c r="E1503">
        <v>0.57439359999999995</v>
      </c>
      <c r="F1503" t="s">
        <v>55</v>
      </c>
      <c r="G1503">
        <v>-367.6336</v>
      </c>
      <c r="H1503" s="1">
        <v>2.5254259999999999E-6</v>
      </c>
      <c r="I1503">
        <v>286.37979999999999</v>
      </c>
      <c r="J1503">
        <v>-343.04930000000002</v>
      </c>
      <c r="K1503">
        <v>1.109118</v>
      </c>
      <c r="L1503">
        <v>283.96870000000001</v>
      </c>
      <c r="M1503">
        <v>-0.99979980000000002</v>
      </c>
      <c r="N1503">
        <v>-1.1893509999999999E-2</v>
      </c>
      <c r="O1503">
        <v>-1.608857E-2</v>
      </c>
      <c r="P1503">
        <v>-0.98395030000000006</v>
      </c>
      <c r="Q1503">
        <v>-0.15219250000000001</v>
      </c>
      <c r="R1503">
        <v>-9.3164700000000003E-2</v>
      </c>
      <c r="S1503">
        <v>-3.0557560000000001</v>
      </c>
      <c r="T1503">
        <v>-0.1354244</v>
      </c>
      <c r="U1503">
        <v>0.29348750000000001</v>
      </c>
      <c r="V1503">
        <v>-7.6961169999999995E-2</v>
      </c>
      <c r="W1503">
        <v>-0.14066039999999999</v>
      </c>
      <c r="X1503">
        <v>0.98706210000000005</v>
      </c>
      <c r="Y1503">
        <v>0.1114617</v>
      </c>
      <c r="Z1503">
        <v>3.6481109999999999E-3</v>
      </c>
      <c r="AA1503">
        <v>0.99376200000000003</v>
      </c>
      <c r="AB1503">
        <v>47</v>
      </c>
      <c r="AC1503">
        <v>-24.584299999999899</v>
      </c>
      <c r="AD1503">
        <v>-1.1091154745739999</v>
      </c>
      <c r="AE1503">
        <v>2.41109999999997</v>
      </c>
      <c r="AF1503">
        <v>2.80069603759735</v>
      </c>
      <c r="AG1503">
        <v>-1.1091154745739999</v>
      </c>
      <c r="AH1503">
        <v>24.492947084476199</v>
      </c>
      <c r="AI1503">
        <v>92.575993368915107</v>
      </c>
      <c r="AJ1503">
        <v>83.476729782481996</v>
      </c>
      <c r="AK1503">
        <v>24.677489586947502</v>
      </c>
      <c r="AL1503">
        <v>98.086062706830901</v>
      </c>
      <c r="AM1503">
        <v>94.458328411424503</v>
      </c>
      <c r="AN1503">
        <v>0.99999997953616904</v>
      </c>
    </row>
    <row r="1504" spans="1:40" x14ac:dyDescent="0.25">
      <c r="A1504" t="str">
        <f>"20190305135611567"</f>
        <v>20190305135611567</v>
      </c>
      <c r="B1504" t="str">
        <f>"1551765371563663"</f>
        <v>1551765371563663</v>
      </c>
      <c r="C1504" t="s">
        <v>40</v>
      </c>
      <c r="D1504">
        <v>3.9096099999999998</v>
      </c>
      <c r="E1504">
        <v>0.57411999999999996</v>
      </c>
      <c r="F1504" t="s">
        <v>55</v>
      </c>
      <c r="G1504">
        <v>-367.8338</v>
      </c>
      <c r="H1504" s="1">
        <v>2.631993E-6</v>
      </c>
      <c r="I1504">
        <v>286.31049999999999</v>
      </c>
      <c r="J1504">
        <v>-343.51179999999999</v>
      </c>
      <c r="K1504">
        <v>1.109078</v>
      </c>
      <c r="L1504">
        <v>283.96069999999997</v>
      </c>
      <c r="M1504">
        <v>-0.99978529999999999</v>
      </c>
      <c r="N1504">
        <v>-1.2117849999999999E-2</v>
      </c>
      <c r="O1504">
        <v>-1.681305E-2</v>
      </c>
      <c r="P1504">
        <v>-0.98403079999999998</v>
      </c>
      <c r="Q1504">
        <v>-0.151167</v>
      </c>
      <c r="R1504">
        <v>-9.3979629999999995E-2</v>
      </c>
      <c r="S1504">
        <v>-3.0551149999999998</v>
      </c>
      <c r="T1504">
        <v>-0.13671730000000001</v>
      </c>
      <c r="U1504">
        <v>0.28866579999999997</v>
      </c>
      <c r="V1504">
        <v>-7.7079480000000006E-2</v>
      </c>
      <c r="W1504">
        <v>-0.13940329999999901</v>
      </c>
      <c r="X1504">
        <v>0.98723119999999998</v>
      </c>
      <c r="Y1504">
        <v>0.1106449</v>
      </c>
      <c r="Z1504">
        <v>3.688574E-3</v>
      </c>
      <c r="AA1504">
        <v>0.99385319999999999</v>
      </c>
      <c r="AB1504">
        <v>47</v>
      </c>
      <c r="AC1504">
        <v>-24.321999999999999</v>
      </c>
      <c r="AD1504">
        <v>-1.109075368007</v>
      </c>
      <c r="AE1504">
        <v>2.3498000000000099</v>
      </c>
      <c r="AF1504">
        <v>2.75275385050359</v>
      </c>
      <c r="AG1504">
        <v>-1.109075368007</v>
      </c>
      <c r="AH1504">
        <v>24.2291369053968</v>
      </c>
      <c r="AI1504">
        <v>92.604123376826905</v>
      </c>
      <c r="AJ1504">
        <v>83.518227059533899</v>
      </c>
      <c r="AK1504">
        <v>24.4102187027041</v>
      </c>
      <c r="AL1504">
        <v>98.013319398117801</v>
      </c>
      <c r="AM1504">
        <v>94.464392634055201</v>
      </c>
      <c r="AN1504">
        <v>0.99999998427070003</v>
      </c>
    </row>
    <row r="1505" spans="1:40" x14ac:dyDescent="0.25">
      <c r="A1505" t="str">
        <f>"20190305135611590"</f>
        <v>20190305135611590</v>
      </c>
      <c r="B1505" t="str">
        <f>"1551765371583183"</f>
        <v>1551765371583183</v>
      </c>
      <c r="C1505" t="s">
        <v>40</v>
      </c>
      <c r="D1505">
        <v>3.9249830000000001</v>
      </c>
      <c r="E1505">
        <v>0.57414259999999995</v>
      </c>
      <c r="F1505" t="s">
        <v>55</v>
      </c>
      <c r="G1505">
        <v>-367.89350000000002</v>
      </c>
      <c r="H1505" s="1">
        <v>2.6637290000000002E-6</v>
      </c>
      <c r="I1505">
        <v>286.22930000000002</v>
      </c>
      <c r="J1505">
        <v>-344.00369999999998</v>
      </c>
      <c r="K1505">
        <v>1.1090180000000001</v>
      </c>
      <c r="L1505">
        <v>283.95190000000002</v>
      </c>
      <c r="M1505">
        <v>-0.99977110000000002</v>
      </c>
      <c r="N1505">
        <v>-1.2324750000000001E-2</v>
      </c>
      <c r="O1505">
        <v>-1.7489290000000001E-2</v>
      </c>
      <c r="P1505">
        <v>-0.98389859999999896</v>
      </c>
      <c r="Q1505">
        <v>-0.1510956</v>
      </c>
      <c r="R1505">
        <v>-9.5465430000000004E-2</v>
      </c>
      <c r="S1505">
        <v>-3.0544739999999999</v>
      </c>
      <c r="T1505">
        <v>-0.13894239999999999</v>
      </c>
      <c r="U1505">
        <v>0.28421020000000002</v>
      </c>
      <c r="V1505">
        <v>-7.7925259999999996E-2</v>
      </c>
      <c r="W1505">
        <v>-0.13911689999999999</v>
      </c>
      <c r="X1505">
        <v>0.9872052</v>
      </c>
      <c r="Y1505">
        <v>0.1098952</v>
      </c>
      <c r="Z1505">
        <v>3.7505239999999999E-3</v>
      </c>
      <c r="AA1505">
        <v>0.99393609999999999</v>
      </c>
      <c r="AB1505">
        <v>47</v>
      </c>
      <c r="AC1505">
        <v>-23.889800000000001</v>
      </c>
      <c r="AD1505">
        <v>-1.109015336271</v>
      </c>
      <c r="AE1505">
        <v>2.2774000000000001</v>
      </c>
      <c r="AF1505">
        <v>2.6891560132869898</v>
      </c>
      <c r="AG1505">
        <v>-1.109015336271</v>
      </c>
      <c r="AH1505">
        <v>23.795494577092001</v>
      </c>
      <c r="AI1505">
        <v>92.651548128689498</v>
      </c>
      <c r="AJ1505">
        <v>83.552294664934394</v>
      </c>
      <c r="AK1505">
        <v>23.972631003882199</v>
      </c>
      <c r="AL1505">
        <v>97.996748430787704</v>
      </c>
      <c r="AM1505">
        <v>94.513296735850602</v>
      </c>
      <c r="AN1505">
        <v>0.99999998245935795</v>
      </c>
    </row>
    <row r="1506" spans="1:40" x14ac:dyDescent="0.25">
      <c r="A1506" t="str">
        <f>"20190305135611611"</f>
        <v>20190305135611611</v>
      </c>
      <c r="B1506" t="str">
        <f>"1551765371603681"</f>
        <v>1551765371603681</v>
      </c>
      <c r="C1506" t="s">
        <v>40</v>
      </c>
      <c r="D1506">
        <v>3.9445459999999999</v>
      </c>
      <c r="E1506">
        <v>0.57430340000000002</v>
      </c>
      <c r="F1506" t="s">
        <v>55</v>
      </c>
      <c r="G1506">
        <v>-368.07400000000001</v>
      </c>
      <c r="H1506" s="1">
        <v>2.7598089999999999E-6</v>
      </c>
      <c r="I1506">
        <v>286.15949999999998</v>
      </c>
      <c r="J1506">
        <v>-344.46539999999999</v>
      </c>
      <c r="K1506">
        <v>1.1089260000000001</v>
      </c>
      <c r="L1506">
        <v>283.9434</v>
      </c>
      <c r="M1506">
        <v>-0.99976030000000005</v>
      </c>
      <c r="N1506">
        <v>-1.248842E-2</v>
      </c>
      <c r="O1506">
        <v>-1.7982939999999999E-2</v>
      </c>
      <c r="P1506">
        <v>-0.98370880000000005</v>
      </c>
      <c r="Q1506">
        <v>-0.1513601</v>
      </c>
      <c r="R1506">
        <v>-9.698851E-2</v>
      </c>
      <c r="S1506">
        <v>-3.0546259999999998</v>
      </c>
      <c r="T1506">
        <v>-0.1407388</v>
      </c>
      <c r="U1506">
        <v>0.28015139999999999</v>
      </c>
      <c r="V1506">
        <v>-7.8997979999999995E-2</v>
      </c>
      <c r="W1506">
        <v>-0.13920479999999999</v>
      </c>
      <c r="X1506">
        <v>0.98710759999999997</v>
      </c>
      <c r="Y1506">
        <v>0.1090687</v>
      </c>
      <c r="Z1506">
        <v>3.791507E-3</v>
      </c>
      <c r="AA1506">
        <v>0.99402699999999999</v>
      </c>
      <c r="AB1506">
        <v>47</v>
      </c>
      <c r="AC1506">
        <v>-23.608599999999999</v>
      </c>
      <c r="AD1506">
        <v>-1.1089232401909901</v>
      </c>
      <c r="AE1506">
        <v>2.21609999999998</v>
      </c>
      <c r="AF1506">
        <v>2.6345648903012</v>
      </c>
      <c r="AG1506">
        <v>-1.1089232401909901</v>
      </c>
      <c r="AH1506">
        <v>23.5135021688255</v>
      </c>
      <c r="AI1506">
        <v>92.683366588284699</v>
      </c>
      <c r="AJ1506">
        <v>83.606971469616994</v>
      </c>
      <c r="AK1506">
        <v>23.686608603960298</v>
      </c>
      <c r="AL1506">
        <v>98.001833787783795</v>
      </c>
      <c r="AM1506">
        <v>94.575615285624593</v>
      </c>
      <c r="AN1506">
        <v>1.0000000355824299</v>
      </c>
    </row>
    <row r="1507" spans="1:40" x14ac:dyDescent="0.25">
      <c r="A1507" t="str">
        <f>"20190305135611633"</f>
        <v>20190305135611633</v>
      </c>
      <c r="B1507" t="str">
        <f>"1551765371623705"</f>
        <v>1551765371623705</v>
      </c>
      <c r="C1507" t="s">
        <v>40</v>
      </c>
      <c r="D1507">
        <v>3.9433750000000001</v>
      </c>
      <c r="E1507">
        <v>0.57429770000000002</v>
      </c>
      <c r="F1507" t="s">
        <v>55</v>
      </c>
      <c r="G1507">
        <v>-368.16669999999999</v>
      </c>
      <c r="H1507" s="1">
        <v>2.8091139999999999E-6</v>
      </c>
      <c r="I1507">
        <v>286.09030000000001</v>
      </c>
      <c r="J1507">
        <v>-344.9135</v>
      </c>
      <c r="K1507">
        <v>1.108768</v>
      </c>
      <c r="L1507">
        <v>283.935</v>
      </c>
      <c r="M1507">
        <v>-0.99975440000000004</v>
      </c>
      <c r="N1507">
        <v>-1.242734E-2</v>
      </c>
      <c r="O1507">
        <v>-1.8358429999999998E-2</v>
      </c>
      <c r="P1507">
        <v>-0.98356650000000001</v>
      </c>
      <c r="Q1507">
        <v>-0.15147820000000001</v>
      </c>
      <c r="R1507">
        <v>-9.8243540000000004E-2</v>
      </c>
      <c r="S1507">
        <v>-3.0549620000000002</v>
      </c>
      <c r="T1507">
        <v>-0.1429337</v>
      </c>
      <c r="U1507">
        <v>0.27673340000000002</v>
      </c>
      <c r="V1507">
        <v>-7.9920550000000007E-2</v>
      </c>
      <c r="W1507">
        <v>-0.13936579999999901</v>
      </c>
      <c r="X1507">
        <v>0.98701059999999996</v>
      </c>
      <c r="Y1507">
        <v>0.10832550000000001</v>
      </c>
      <c r="Z1507">
        <v>3.831849E-3</v>
      </c>
      <c r="AA1507">
        <v>0.99410810000000005</v>
      </c>
      <c r="AB1507">
        <v>47</v>
      </c>
      <c r="AC1507">
        <v>-23.2532</v>
      </c>
      <c r="AD1507">
        <v>-1.1087651908859999</v>
      </c>
      <c r="AE1507">
        <v>2.1553000000000102</v>
      </c>
      <c r="AF1507">
        <v>2.5760548282072899</v>
      </c>
      <c r="AG1507">
        <v>-1.1087651908859999</v>
      </c>
      <c r="AH1507">
        <v>23.157507167781102</v>
      </c>
      <c r="AI1507">
        <v>92.724409154402494</v>
      </c>
      <c r="AJ1507">
        <v>83.652480069030304</v>
      </c>
      <c r="AK1507">
        <v>23.3267133765622</v>
      </c>
      <c r="AL1507">
        <v>98.011149317335907</v>
      </c>
      <c r="AM1507">
        <v>94.629273204908102</v>
      </c>
      <c r="AN1507">
        <v>1.0000000225171499</v>
      </c>
    </row>
    <row r="1508" spans="1:40" x14ac:dyDescent="0.25">
      <c r="A1508" t="str">
        <f>"20190305135611655"</f>
        <v>20190305135611655</v>
      </c>
      <c r="B1508" t="str">
        <f>"1551765371652985"</f>
        <v>1551765371652985</v>
      </c>
      <c r="C1508" t="s">
        <v>40</v>
      </c>
      <c r="D1508">
        <v>4.0057269999999896</v>
      </c>
      <c r="E1508">
        <v>0.57451839999999998</v>
      </c>
      <c r="F1508" t="s">
        <v>55</v>
      </c>
      <c r="G1508">
        <v>-368.18860000000001</v>
      </c>
      <c r="H1508" s="1">
        <v>2.8207770000000002E-6</v>
      </c>
      <c r="I1508">
        <v>286.01609999999999</v>
      </c>
      <c r="J1508">
        <v>-345.39280000000002</v>
      </c>
      <c r="K1508">
        <v>1.1083419999999999</v>
      </c>
      <c r="L1508">
        <v>283.92599999999999</v>
      </c>
      <c r="M1508">
        <v>-0.99976180000000003</v>
      </c>
      <c r="N1508">
        <v>-1.1295370000000001E-2</v>
      </c>
      <c r="O1508">
        <v>-1.8675400000000002E-2</v>
      </c>
      <c r="P1508">
        <v>-0.98355910000000002</v>
      </c>
      <c r="Q1508">
        <v>-0.1510582</v>
      </c>
      <c r="R1508">
        <v>-9.8961289999999993E-2</v>
      </c>
      <c r="S1508">
        <v>-3.0550229999999998</v>
      </c>
      <c r="T1508">
        <v>-0.1455332</v>
      </c>
      <c r="U1508">
        <v>0.27316279999999998</v>
      </c>
      <c r="V1508">
        <v>-8.0358479999999996E-2</v>
      </c>
      <c r="W1508">
        <v>-0.1400439</v>
      </c>
      <c r="X1508">
        <v>0.98687910000000001</v>
      </c>
      <c r="Y1508">
        <v>0.1074838</v>
      </c>
      <c r="Z1508">
        <v>3.8393849999999998E-3</v>
      </c>
      <c r="AA1508">
        <v>0.99419950000000001</v>
      </c>
      <c r="AB1508">
        <v>47</v>
      </c>
      <c r="AC1508">
        <v>-22.7957999999999</v>
      </c>
      <c r="AD1508">
        <v>-1.108339179223</v>
      </c>
      <c r="AE1508">
        <v>2.0901000000000001</v>
      </c>
      <c r="AF1508">
        <v>2.5096002032448501</v>
      </c>
      <c r="AG1508">
        <v>-1.108339179223</v>
      </c>
      <c r="AH1508">
        <v>22.699574954966099</v>
      </c>
      <c r="AI1508">
        <v>92.7784264844597</v>
      </c>
      <c r="AJ1508">
        <v>83.691162996575002</v>
      </c>
      <c r="AK1508">
        <v>22.864759173287801</v>
      </c>
      <c r="AL1508">
        <v>98.050386002029299</v>
      </c>
      <c r="AM1508">
        <v>94.655145945963994</v>
      </c>
      <c r="AN1508">
        <v>1.00000006862596</v>
      </c>
    </row>
    <row r="1509" spans="1:40" x14ac:dyDescent="0.25">
      <c r="A1509" t="str">
        <f>"20190305135611678"</f>
        <v>20190305135611678</v>
      </c>
      <c r="B1509" t="str">
        <f>"1551765371673483"</f>
        <v>1551765371673483</v>
      </c>
      <c r="C1509" t="s">
        <v>40</v>
      </c>
      <c r="D1509">
        <v>3.9569670000000001</v>
      </c>
      <c r="E1509">
        <v>0.5746445</v>
      </c>
      <c r="F1509" t="s">
        <v>55</v>
      </c>
      <c r="G1509">
        <v>-368.53309999999999</v>
      </c>
      <c r="H1509" s="1">
        <v>3.0040809999999999E-6</v>
      </c>
      <c r="I1509">
        <v>285.99430000000001</v>
      </c>
      <c r="J1509">
        <v>-345.8759</v>
      </c>
      <c r="K1509">
        <v>1.107907</v>
      </c>
      <c r="L1509">
        <v>283.91669999999999</v>
      </c>
      <c r="M1509">
        <v>-0.99977240000000001</v>
      </c>
      <c r="N1509">
        <v>-9.8612030000000007E-3</v>
      </c>
      <c r="O1509">
        <v>-1.8923140000000001E-2</v>
      </c>
      <c r="P1509">
        <v>-0.98363679999999998</v>
      </c>
      <c r="Q1509">
        <v>-0.15011629999999901</v>
      </c>
      <c r="R1509">
        <v>-9.9618899999999996E-2</v>
      </c>
      <c r="S1509">
        <v>-3.055145</v>
      </c>
      <c r="T1509">
        <v>-0.14633070000000001</v>
      </c>
      <c r="U1509">
        <v>0.27307130000000002</v>
      </c>
      <c r="V1509">
        <v>-8.080263E-2</v>
      </c>
      <c r="W1509">
        <v>-0.14049809999999999</v>
      </c>
      <c r="X1509">
        <v>0.98677820000000005</v>
      </c>
      <c r="Y1509">
        <v>0.1076973</v>
      </c>
      <c r="Z1509">
        <v>3.8230730000000002E-3</v>
      </c>
      <c r="AA1509">
        <v>0.99417639999999996</v>
      </c>
      <c r="AB1509">
        <v>47</v>
      </c>
      <c r="AC1509">
        <v>-22.6571999999999</v>
      </c>
      <c r="AD1509">
        <v>-1.107903995919</v>
      </c>
      <c r="AE1509">
        <v>2.0776000000000101</v>
      </c>
      <c r="AF1509">
        <v>2.5000661468833001</v>
      </c>
      <c r="AG1509">
        <v>-1.107903995919</v>
      </c>
      <c r="AH1509">
        <v>22.560332536320299</v>
      </c>
      <c r="AI1509">
        <v>92.7943726566767</v>
      </c>
      <c r="AJ1509">
        <v>83.676460191567401</v>
      </c>
      <c r="AK1509">
        <v>22.725456786439199</v>
      </c>
      <c r="AL1509">
        <v>98.076670175296599</v>
      </c>
      <c r="AM1509">
        <v>94.681237915684207</v>
      </c>
      <c r="AN1509">
        <v>0.99999999855688304</v>
      </c>
    </row>
    <row r="1510" spans="1:40" x14ac:dyDescent="0.25">
      <c r="A1510" t="str">
        <f>"20190305135611702"</f>
        <v>20190305135611702</v>
      </c>
      <c r="B1510" t="str">
        <f>"1551765371693978"</f>
        <v>1551765371693978</v>
      </c>
      <c r="C1510" t="s">
        <v>40</v>
      </c>
      <c r="D1510">
        <v>4.0555729999999999</v>
      </c>
      <c r="E1510">
        <v>0.57441699999999996</v>
      </c>
      <c r="F1510" t="s">
        <v>55</v>
      </c>
      <c r="G1510">
        <v>-369.31560000000002</v>
      </c>
      <c r="H1510" s="1">
        <v>3.4205250000000002E-6</v>
      </c>
      <c r="I1510">
        <v>286.00569999999999</v>
      </c>
      <c r="J1510">
        <v>-346.38760000000002</v>
      </c>
      <c r="K1510">
        <v>1.107523</v>
      </c>
      <c r="L1510">
        <v>283.90690000000001</v>
      </c>
      <c r="M1510">
        <v>-0.99978210000000001</v>
      </c>
      <c r="N1510">
        <v>-8.4156690000000006E-3</v>
      </c>
      <c r="O1510">
        <v>-1.91051E-2</v>
      </c>
      <c r="P1510">
        <v>-0.98392049999999998</v>
      </c>
      <c r="Q1510">
        <v>-0.148367</v>
      </c>
      <c r="R1510">
        <v>-9.9437730000000002E-2</v>
      </c>
      <c r="S1510">
        <v>-3.05545</v>
      </c>
      <c r="T1510">
        <v>-0.14441899999999999</v>
      </c>
      <c r="U1510">
        <v>0.2723083</v>
      </c>
      <c r="V1510">
        <v>-8.047348E-2</v>
      </c>
      <c r="W1510">
        <v>-0.14015169999999999</v>
      </c>
      <c r="X1510">
        <v>0.98685440000000002</v>
      </c>
      <c r="Y1510">
        <v>0.1076295</v>
      </c>
      <c r="Z1510">
        <v>3.7317769999999999E-3</v>
      </c>
      <c r="AA1510">
        <v>0.99418410000000002</v>
      </c>
      <c r="AB1510">
        <v>48</v>
      </c>
      <c r="AC1510">
        <v>-22.928000000000001</v>
      </c>
      <c r="AD1510">
        <v>-1.1075195794749999</v>
      </c>
      <c r="AE1510">
        <v>2.0987999999999798</v>
      </c>
      <c r="AF1510">
        <v>2.5306185061748301</v>
      </c>
      <c r="AG1510">
        <v>-1.1075195794749999</v>
      </c>
      <c r="AH1510">
        <v>22.830887076705601</v>
      </c>
      <c r="AI1510">
        <v>92.760345690070693</v>
      </c>
      <c r="AJ1510">
        <v>83.675046240755705</v>
      </c>
      <c r="AK1510">
        <v>22.9973919032571</v>
      </c>
      <c r="AL1510">
        <v>98.056624212505696</v>
      </c>
      <c r="AM1510">
        <v>94.661894690126402</v>
      </c>
      <c r="AN1510">
        <v>1.00000004339777</v>
      </c>
    </row>
    <row r="1511" spans="1:40" x14ac:dyDescent="0.25">
      <c r="A1511" t="str">
        <f>"20190305135611725"</f>
        <v>20190305135611725</v>
      </c>
      <c r="B1511" t="str">
        <f>"1551765371713497"</f>
        <v>1551765371713497</v>
      </c>
      <c r="C1511" t="s">
        <v>40</v>
      </c>
      <c r="D1511">
        <v>4.0419429999999998</v>
      </c>
      <c r="E1511">
        <v>0.55805579999999999</v>
      </c>
      <c r="F1511" t="s">
        <v>55</v>
      </c>
      <c r="G1511">
        <v>-370.4889</v>
      </c>
      <c r="H1511" s="1">
        <v>-1.27661E-6</v>
      </c>
      <c r="I1511">
        <v>286.04880000000003</v>
      </c>
      <c r="J1511">
        <v>-346.86090000000002</v>
      </c>
      <c r="K1511">
        <v>1.107272</v>
      </c>
      <c r="L1511">
        <v>283.89789999999999</v>
      </c>
      <c r="M1511">
        <v>-0.9997897</v>
      </c>
      <c r="N1511">
        <v>-7.3054819999999899E-3</v>
      </c>
      <c r="O1511">
        <v>-1.9171690000000002E-2</v>
      </c>
      <c r="P1511">
        <v>-0.98425169999999995</v>
      </c>
      <c r="Q1511">
        <v>-0.14654139999999999</v>
      </c>
      <c r="R1511">
        <v>-9.8866659999999995E-2</v>
      </c>
      <c r="S1511">
        <v>-3.055237</v>
      </c>
      <c r="T1511">
        <v>-0.14039670000000001</v>
      </c>
      <c r="U1511">
        <v>0.2715149</v>
      </c>
      <c r="V1511">
        <v>-7.9866060000000003E-2</v>
      </c>
      <c r="W1511">
        <v>-0.13939869999999999</v>
      </c>
      <c r="X1511">
        <v>0.98701039999999995</v>
      </c>
      <c r="Y1511">
        <v>0.1074557</v>
      </c>
      <c r="Z1511">
        <v>3.595567E-3</v>
      </c>
      <c r="AA1511">
        <v>0.99420339999999996</v>
      </c>
      <c r="AB1511">
        <v>48</v>
      </c>
      <c r="AC1511">
        <v>-23.627999999999901</v>
      </c>
      <c r="AD1511">
        <v>-1.10727327661</v>
      </c>
      <c r="AE1511">
        <v>2.1509000000000298</v>
      </c>
      <c r="AF1511">
        <v>2.5978470634017299</v>
      </c>
      <c r="AG1511">
        <v>-1.10727327661</v>
      </c>
      <c r="AH1511">
        <v>23.5311671048416</v>
      </c>
      <c r="AI1511">
        <v>92.677854407330003</v>
      </c>
      <c r="AJ1511">
        <v>83.700043229710403</v>
      </c>
      <c r="AK1511">
        <v>23.700014531428</v>
      </c>
      <c r="AL1511">
        <v>98.013052648872304</v>
      </c>
      <c r="AM1511">
        <v>94.626131594104507</v>
      </c>
      <c r="AN1511">
        <v>1.00000005740488</v>
      </c>
    </row>
    <row r="1512" spans="1:40" x14ac:dyDescent="0.25">
      <c r="A1512" t="str">
        <f>"20190305135611746"</f>
        <v>20190305135611746</v>
      </c>
      <c r="B1512" t="str">
        <f>"1551765371743754"</f>
        <v>1551765371743754</v>
      </c>
      <c r="C1512" t="s">
        <v>40</v>
      </c>
      <c r="D1512">
        <v>4.1078250000000001</v>
      </c>
      <c r="E1512">
        <v>0.55750730000000004</v>
      </c>
      <c r="F1512" t="s">
        <v>55</v>
      </c>
      <c r="G1512">
        <v>-368.13139999999999</v>
      </c>
      <c r="H1512" s="1">
        <v>2.7903230000000002E-6</v>
      </c>
      <c r="I1512">
        <v>284.91090000000003</v>
      </c>
      <c r="J1512">
        <v>-347.33749999999998</v>
      </c>
      <c r="K1512">
        <v>1.1071009999999999</v>
      </c>
      <c r="L1512">
        <v>283.8888</v>
      </c>
      <c r="M1512">
        <v>-0.99979620000000002</v>
      </c>
      <c r="N1512">
        <v>-6.5204209999999898E-3</v>
      </c>
      <c r="O1512">
        <v>-1.9113209999999999E-2</v>
      </c>
      <c r="P1512">
        <v>-0.98451200000000005</v>
      </c>
      <c r="Q1512">
        <v>-0.14494949999999901</v>
      </c>
      <c r="R1512">
        <v>-9.862071E-2</v>
      </c>
      <c r="S1512">
        <v>-3.0390009999999998</v>
      </c>
      <c r="T1512">
        <v>-0.15820000000000001</v>
      </c>
      <c r="U1512">
        <v>0.14474489999999901</v>
      </c>
      <c r="V1512">
        <v>-7.9713199999999998E-2</v>
      </c>
      <c r="W1512">
        <v>-0.13855729999999999</v>
      </c>
      <c r="X1512">
        <v>0.98714109999999999</v>
      </c>
      <c r="Y1512">
        <v>6.6537470000000001E-2</v>
      </c>
      <c r="Z1512">
        <v>2.8162489999999998E-3</v>
      </c>
      <c r="AA1512">
        <v>0.99778</v>
      </c>
      <c r="AB1512">
        <v>48</v>
      </c>
      <c r="AC1512">
        <v>-20.793900000000001</v>
      </c>
      <c r="AD1512">
        <v>-1.1070982096769999</v>
      </c>
      <c r="AE1512">
        <v>1.02210000000002</v>
      </c>
      <c r="AF1512">
        <v>1.4153574715470301</v>
      </c>
      <c r="AG1512">
        <v>-1.1070982096769999</v>
      </c>
      <c r="AH1512">
        <v>20.711995432505599</v>
      </c>
      <c r="AI1512">
        <v>93.052558578557495</v>
      </c>
      <c r="AJ1512">
        <v>86.090761302325006</v>
      </c>
      <c r="AK1512">
        <v>20.789796969048702</v>
      </c>
      <c r="AL1512">
        <v>97.964372531483903</v>
      </c>
      <c r="AM1512">
        <v>94.616707008920002</v>
      </c>
      <c r="AN1512">
        <v>0.99999993547336796</v>
      </c>
    </row>
    <row r="1513" spans="1:40" x14ac:dyDescent="0.25">
      <c r="A1513" t="str">
        <f>"20190305135611768"</f>
        <v>20190305135611768</v>
      </c>
      <c r="B1513" t="str">
        <f>"1551765371763275"</f>
        <v>1551765371763275</v>
      </c>
      <c r="C1513" t="s">
        <v>40</v>
      </c>
      <c r="D1513">
        <v>4.1039620000000001</v>
      </c>
      <c r="E1513">
        <v>0.55810059999999995</v>
      </c>
      <c r="F1513" t="s">
        <v>55</v>
      </c>
      <c r="G1513">
        <v>-372.17759999999998</v>
      </c>
      <c r="H1513" s="1">
        <v>-3.7795140000000002E-7</v>
      </c>
      <c r="I1513">
        <v>285.03109999999998</v>
      </c>
      <c r="J1513">
        <v>-347.80309999999997</v>
      </c>
      <c r="K1513">
        <v>1.1070059999999999</v>
      </c>
      <c r="L1513">
        <v>283.88</v>
      </c>
      <c r="M1513">
        <v>-0.99980250000000004</v>
      </c>
      <c r="N1513">
        <v>-6.0975559999999996E-3</v>
      </c>
      <c r="O1513">
        <v>-1.891992E-2</v>
      </c>
      <c r="P1513">
        <v>-0.98462249999999996</v>
      </c>
      <c r="Q1513">
        <v>-0.14442199999999999</v>
      </c>
      <c r="R1513">
        <v>-9.8290929999999999E-2</v>
      </c>
      <c r="S1513">
        <v>-3.041229</v>
      </c>
      <c r="T1513">
        <v>-0.13554440000000001</v>
      </c>
      <c r="U1513">
        <v>0.13986209999999999</v>
      </c>
      <c r="V1513">
        <v>-7.961588E-2</v>
      </c>
      <c r="W1513">
        <v>-0.1384214</v>
      </c>
      <c r="X1513">
        <v>0.98716809999999999</v>
      </c>
      <c r="Y1513">
        <v>6.4745259999999999E-2</v>
      </c>
      <c r="Z1513">
        <v>2.366132E-3</v>
      </c>
      <c r="AA1513">
        <v>0.99789899999999998</v>
      </c>
      <c r="AB1513">
        <v>48</v>
      </c>
      <c r="AC1513">
        <v>-24.374500000000001</v>
      </c>
      <c r="AD1513">
        <v>-1.1070063779513999</v>
      </c>
      <c r="AE1513">
        <v>1.15109999999998</v>
      </c>
      <c r="AF1513">
        <v>1.6087551298313201</v>
      </c>
      <c r="AG1513">
        <v>-1.1070063779513999</v>
      </c>
      <c r="AH1513">
        <v>24.298349897228402</v>
      </c>
      <c r="AI1513">
        <v>92.602838850485199</v>
      </c>
      <c r="AJ1513">
        <v>86.2120659130386</v>
      </c>
      <c r="AK1513">
        <v>24.3766971494648</v>
      </c>
      <c r="AL1513">
        <v>97.956509636414694</v>
      </c>
      <c r="AM1513">
        <v>94.610969324916596</v>
      </c>
      <c r="AN1513">
        <v>1.00000001499187</v>
      </c>
    </row>
    <row r="1514" spans="1:40" x14ac:dyDescent="0.25">
      <c r="A1514" t="str">
        <f>"20190305135611791"</f>
        <v>20190305135611791</v>
      </c>
      <c r="B1514" t="str">
        <f>"1551765371783773"</f>
        <v>1551765371783773</v>
      </c>
      <c r="C1514" t="s">
        <v>40</v>
      </c>
      <c r="D1514">
        <v>4.1072030000000002</v>
      </c>
      <c r="E1514">
        <v>0.55836730000000001</v>
      </c>
      <c r="F1514" t="s">
        <v>55</v>
      </c>
      <c r="G1514">
        <v>-373.61529999999999</v>
      </c>
      <c r="H1514" s="1">
        <v>3.870711E-7</v>
      </c>
      <c r="I1514">
        <v>285.10939999999999</v>
      </c>
      <c r="J1514">
        <v>-348.32040000000001</v>
      </c>
      <c r="K1514">
        <v>1.10693</v>
      </c>
      <c r="L1514">
        <v>283.87049999999999</v>
      </c>
      <c r="M1514">
        <v>-0.9998108</v>
      </c>
      <c r="N1514">
        <v>-5.8969180000000001E-3</v>
      </c>
      <c r="O1514">
        <v>-1.854279E-2</v>
      </c>
      <c r="P1514">
        <v>-0.98462490000000003</v>
      </c>
      <c r="Q1514">
        <v>-0.1448565</v>
      </c>
      <c r="R1514">
        <v>-9.7626489999999996E-2</v>
      </c>
      <c r="S1514">
        <v>-3.0421749999999999</v>
      </c>
      <c r="T1514">
        <v>-0.13046959999999999</v>
      </c>
      <c r="U1514">
        <v>0.14489749999999901</v>
      </c>
      <c r="V1514">
        <v>-7.9377039999999996E-2</v>
      </c>
      <c r="W1514">
        <v>-0.1390236</v>
      </c>
      <c r="X1514">
        <v>0.9871027</v>
      </c>
      <c r="Y1514">
        <v>6.6008010000000006E-2</v>
      </c>
      <c r="Z1514">
        <v>2.2940730000000002E-3</v>
      </c>
      <c r="AA1514">
        <v>0.99781640000000005</v>
      </c>
      <c r="AB1514">
        <v>49</v>
      </c>
      <c r="AC1514">
        <v>-25.294899999999899</v>
      </c>
      <c r="AD1514">
        <v>-1.1069296129288999</v>
      </c>
      <c r="AE1514">
        <v>1.2388999999999999</v>
      </c>
      <c r="AF1514">
        <v>1.70447680095861</v>
      </c>
      <c r="AG1514">
        <v>-1.1069296129288999</v>
      </c>
      <c r="AH1514">
        <v>25.219397622116499</v>
      </c>
      <c r="AI1514">
        <v>92.507499747057196</v>
      </c>
      <c r="AJ1514">
        <v>86.133490711859395</v>
      </c>
      <c r="AK1514">
        <v>25.3011571030932</v>
      </c>
      <c r="AL1514">
        <v>97.991350071833494</v>
      </c>
      <c r="AM1514">
        <v>94.597499518426304</v>
      </c>
      <c r="AN1514">
        <v>1.0000000080917</v>
      </c>
    </row>
    <row r="1515" spans="1:40" x14ac:dyDescent="0.25">
      <c r="A1515" t="str">
        <f>"20190305135611814"</f>
        <v>20190305135611814</v>
      </c>
      <c r="B1515" t="str">
        <f>"1551765371803290"</f>
        <v>1551765371803290</v>
      </c>
      <c r="C1515" t="s">
        <v>40</v>
      </c>
      <c r="D1515">
        <v>4.1321180000000002</v>
      </c>
      <c r="E1515">
        <v>0.55857800000000002</v>
      </c>
      <c r="F1515" t="s">
        <v>41</v>
      </c>
      <c r="G1515">
        <v>-349.45920000000001</v>
      </c>
      <c r="H1515">
        <v>1.0557909999999999</v>
      </c>
      <c r="I1515">
        <v>283.9264</v>
      </c>
      <c r="J1515">
        <v>-348.8125</v>
      </c>
      <c r="K1515">
        <v>1.106876</v>
      </c>
      <c r="L1515">
        <v>283.86169999999998</v>
      </c>
      <c r="M1515">
        <v>-0.99982059999999995</v>
      </c>
      <c r="N1515">
        <v>-5.8268859999999999E-3</v>
      </c>
      <c r="O1515">
        <v>-1.8024950000000001E-2</v>
      </c>
      <c r="P1515">
        <v>-0.98469960000000001</v>
      </c>
      <c r="Q1515">
        <v>-0.14466319999999999</v>
      </c>
      <c r="R1515">
        <v>-9.7158179999999997E-2</v>
      </c>
      <c r="S1515">
        <v>-3.0415040000000002</v>
      </c>
      <c r="T1515">
        <v>-0.13652790000000001</v>
      </c>
      <c r="U1515">
        <v>0.14904790000000001</v>
      </c>
      <c r="V1515">
        <v>-7.9468670000000005E-2</v>
      </c>
      <c r="W1515">
        <v>-0.1388703</v>
      </c>
      <c r="X1515">
        <v>0.98711689999999996</v>
      </c>
      <c r="Y1515">
        <v>6.6851980000000005E-2</v>
      </c>
      <c r="Z1515">
        <v>2.3971410000000002E-3</v>
      </c>
      <c r="AA1515">
        <v>0.99775999999999998</v>
      </c>
      <c r="AB1515">
        <v>49</v>
      </c>
      <c r="AC1515">
        <v>-0.64670000000000905</v>
      </c>
      <c r="AD1515">
        <v>-5.1084999999999998E-2</v>
      </c>
      <c r="AE1515">
        <v>6.4700000000016106E-2</v>
      </c>
      <c r="AF1515">
        <v>7.5877640396614196E-2</v>
      </c>
      <c r="AG1515">
        <v>-5.1084999999999998E-2</v>
      </c>
      <c r="AH1515">
        <v>0.64146565183454196</v>
      </c>
      <c r="AI1515">
        <v>94.521914418870793</v>
      </c>
      <c r="AJ1515">
        <v>83.253948290990493</v>
      </c>
      <c r="AK1515">
        <v>0.64795468670322298</v>
      </c>
      <c r="AL1515">
        <v>97.982480642358993</v>
      </c>
      <c r="AM1515">
        <v>94.602717987637604</v>
      </c>
      <c r="AN1515">
        <v>1.00000000199963</v>
      </c>
    </row>
    <row r="1516" spans="1:40" x14ac:dyDescent="0.25">
      <c r="A1516" t="str">
        <f>"20190305135611835"</f>
        <v>20190305135611835</v>
      </c>
      <c r="B1516" t="str">
        <f>"1551765371823786"</f>
        <v>1551765371823786</v>
      </c>
      <c r="C1516" t="s">
        <v>40</v>
      </c>
      <c r="D1516">
        <v>4.1238780000000004</v>
      </c>
      <c r="E1516">
        <v>0.55886420000000003</v>
      </c>
      <c r="F1516" t="s">
        <v>41</v>
      </c>
      <c r="G1516">
        <v>-349.90910000000002</v>
      </c>
      <c r="H1516">
        <v>1.0579719999999999</v>
      </c>
      <c r="I1516">
        <v>283.91680000000002</v>
      </c>
      <c r="J1516">
        <v>-349.2731</v>
      </c>
      <c r="K1516">
        <v>1.1068129999999901</v>
      </c>
      <c r="L1516">
        <v>283.85379999999998</v>
      </c>
      <c r="M1516">
        <v>-0.99983140000000004</v>
      </c>
      <c r="N1516">
        <v>-5.8017869999999897E-3</v>
      </c>
      <c r="O1516">
        <v>-1.7428260000000001E-2</v>
      </c>
      <c r="P1516">
        <v>-0.98496689999999998</v>
      </c>
      <c r="Q1516">
        <v>-0.14342650000000001</v>
      </c>
      <c r="R1516">
        <v>-9.6279310000000007E-2</v>
      </c>
      <c r="S1516">
        <v>-3.0416259999999999</v>
      </c>
      <c r="T1516">
        <v>-0.13580889999999901</v>
      </c>
      <c r="U1516">
        <v>0.15188599999999999</v>
      </c>
      <c r="V1516">
        <v>-7.9217499999999996E-2</v>
      </c>
      <c r="W1516">
        <v>-0.137632</v>
      </c>
      <c r="X1516">
        <v>0.98731049999999998</v>
      </c>
      <c r="Y1516">
        <v>6.7184339999999995E-2</v>
      </c>
      <c r="Z1516">
        <v>2.3696979999999999E-3</v>
      </c>
      <c r="AA1516">
        <v>0.99773780000000001</v>
      </c>
      <c r="AB1516">
        <v>49</v>
      </c>
      <c r="AC1516">
        <v>-0.63600000000002399</v>
      </c>
      <c r="AD1516">
        <v>-4.8840999999999898E-2</v>
      </c>
      <c r="AE1516">
        <v>6.3000000000045006E-2</v>
      </c>
      <c r="AF1516">
        <v>7.3644902022188999E-2</v>
      </c>
      <c r="AG1516">
        <v>-4.8840999999999898E-2</v>
      </c>
      <c r="AH1516">
        <v>0.63111964941217802</v>
      </c>
      <c r="AI1516">
        <v>94.395471971733301</v>
      </c>
      <c r="AJ1516">
        <v>83.344296300681293</v>
      </c>
      <c r="AK1516">
        <v>0.63727625622567197</v>
      </c>
      <c r="AL1516">
        <v>97.910843358929597</v>
      </c>
      <c r="AM1516">
        <v>94.587336913290599</v>
      </c>
      <c r="AN1516">
        <v>1.0000000015702499</v>
      </c>
    </row>
    <row r="1517" spans="1:40" x14ac:dyDescent="0.25">
      <c r="A1517" t="str">
        <f>"20190305135611857"</f>
        <v>20190305135611857</v>
      </c>
      <c r="B1517" t="str">
        <f>"1551765371853066"</f>
        <v>1551765371853066</v>
      </c>
      <c r="C1517" t="s">
        <v>40</v>
      </c>
      <c r="D1517">
        <v>4.1627809999999998</v>
      </c>
      <c r="E1517">
        <v>0.55919649999999999</v>
      </c>
      <c r="F1517" t="s">
        <v>55</v>
      </c>
      <c r="G1517">
        <v>-374.63600000000002</v>
      </c>
      <c r="H1517" s="1">
        <v>9.3026150000000001E-7</v>
      </c>
      <c r="I1517">
        <v>285.16449999999998</v>
      </c>
      <c r="J1517">
        <v>-349.77179999999998</v>
      </c>
      <c r="K1517">
        <v>1.106746</v>
      </c>
      <c r="L1517">
        <v>283.84559999999999</v>
      </c>
      <c r="M1517">
        <v>-0.99984430000000002</v>
      </c>
      <c r="N1517">
        <v>-5.8059339999999996E-3</v>
      </c>
      <c r="O1517">
        <v>-1.6671249999999999E-2</v>
      </c>
      <c r="P1517">
        <v>-0.98521020000000004</v>
      </c>
      <c r="Q1517">
        <v>-0.1423838</v>
      </c>
      <c r="R1517">
        <v>-9.5329259999999999E-2</v>
      </c>
      <c r="S1517">
        <v>-3.0418400000000001</v>
      </c>
      <c r="T1517">
        <v>-0.1327429</v>
      </c>
      <c r="U1517">
        <v>0.157196</v>
      </c>
      <c r="V1517">
        <v>-7.9053269999999995E-2</v>
      </c>
      <c r="W1517">
        <v>-0.13655919999999999</v>
      </c>
      <c r="X1517">
        <v>0.98747260000000003</v>
      </c>
      <c r="Y1517">
        <v>6.8165980000000001E-2</v>
      </c>
      <c r="Z1517">
        <v>2.3138329999999999E-3</v>
      </c>
      <c r="AA1517">
        <v>0.99767130000000004</v>
      </c>
      <c r="AB1517">
        <v>49</v>
      </c>
      <c r="AC1517">
        <v>-24.864199999999901</v>
      </c>
      <c r="AD1517">
        <v>-1.1067450697385</v>
      </c>
      <c r="AE1517">
        <v>1.31889999999998</v>
      </c>
      <c r="AF1517">
        <v>1.7298232751539</v>
      </c>
      <c r="AG1517">
        <v>-1.1067450697385</v>
      </c>
      <c r="AH1517">
        <v>24.7897785792162</v>
      </c>
      <c r="AI1517">
        <v>92.550092370621996</v>
      </c>
      <c r="AJ1517">
        <v>86.008388050074899</v>
      </c>
      <c r="AK1517">
        <v>24.8746918617944</v>
      </c>
      <c r="AL1517">
        <v>97.848790659141102</v>
      </c>
      <c r="AM1517">
        <v>94.577118833411902</v>
      </c>
      <c r="AN1517">
        <v>0.99999998517654598</v>
      </c>
    </row>
    <row r="1518" spans="1:40" x14ac:dyDescent="0.25">
      <c r="A1518" t="str">
        <f>"20190305135611880"</f>
        <v>20190305135611880</v>
      </c>
      <c r="B1518" t="str">
        <f>"1551765371873562"</f>
        <v>1551765371873562</v>
      </c>
      <c r="C1518" t="s">
        <v>40</v>
      </c>
      <c r="D1518">
        <v>3.9783469999999999</v>
      </c>
      <c r="E1518">
        <v>0.5591469</v>
      </c>
      <c r="F1518" t="s">
        <v>55</v>
      </c>
      <c r="G1518">
        <v>-375.36380000000003</v>
      </c>
      <c r="H1518" s="1">
        <v>1.3175789999999999E-6</v>
      </c>
      <c r="I1518">
        <v>285.21879999999999</v>
      </c>
      <c r="J1518">
        <v>-350.2636</v>
      </c>
      <c r="K1518">
        <v>1.1066750000000001</v>
      </c>
      <c r="L1518">
        <v>283.83789999999999</v>
      </c>
      <c r="M1518">
        <v>-0.99985769999999996</v>
      </c>
      <c r="N1518">
        <v>-5.8352300000000003E-3</v>
      </c>
      <c r="O1518">
        <v>-1.5836449999999998E-2</v>
      </c>
      <c r="P1518">
        <v>-0.98542280000000004</v>
      </c>
      <c r="Q1518">
        <v>-0.14173720000000001</v>
      </c>
      <c r="R1518">
        <v>-9.4089240000000005E-2</v>
      </c>
      <c r="S1518">
        <v>-3.0418090000000002</v>
      </c>
      <c r="T1518">
        <v>-0.1315452</v>
      </c>
      <c r="U1518">
        <v>0.16320799999999999</v>
      </c>
      <c r="V1518">
        <v>-7.8672420000000007E-2</v>
      </c>
      <c r="W1518">
        <v>-0.1358605</v>
      </c>
      <c r="X1518">
        <v>0.98759940000000002</v>
      </c>
      <c r="Y1518">
        <v>6.9300730000000005E-2</v>
      </c>
      <c r="Z1518">
        <v>2.2909509999999998E-3</v>
      </c>
      <c r="AA1518">
        <v>0.99759319999999896</v>
      </c>
      <c r="AB1518">
        <v>49</v>
      </c>
      <c r="AC1518">
        <v>-25.100200000000001</v>
      </c>
      <c r="AD1518">
        <v>-1.1066736824209999</v>
      </c>
      <c r="AE1518">
        <v>1.38089999999999</v>
      </c>
      <c r="AF1518">
        <v>1.7747919071878899</v>
      </c>
      <c r="AG1518">
        <v>-1.1066736824209999</v>
      </c>
      <c r="AH1518">
        <v>25.026679519372099</v>
      </c>
      <c r="AI1518">
        <v>92.525621413402703</v>
      </c>
      <c r="AJ1518">
        <v>85.943603606723897</v>
      </c>
      <c r="AK1518">
        <v>25.1139264297429</v>
      </c>
      <c r="AL1518">
        <v>97.808381366782299</v>
      </c>
      <c r="AM1518">
        <v>94.554578571083695</v>
      </c>
      <c r="AN1518">
        <v>1.0000000000046301</v>
      </c>
    </row>
    <row r="1519" spans="1:40" x14ac:dyDescent="0.25">
      <c r="A1519" t="str">
        <f>"20190305135612059"</f>
        <v>20190305135612059</v>
      </c>
      <c r="B1519" t="str">
        <f>"1551765372053146"</f>
        <v>1551765372053146</v>
      </c>
      <c r="C1519" t="s">
        <v>40</v>
      </c>
      <c r="D1519">
        <v>3.935165</v>
      </c>
      <c r="E1519">
        <v>0.63311770000000001</v>
      </c>
      <c r="F1519" t="s">
        <v>55</v>
      </c>
      <c r="G1519">
        <v>-375.69549999999998</v>
      </c>
      <c r="H1519" s="1">
        <v>1.4940589999999999E-6</v>
      </c>
      <c r="I1519">
        <v>285.23680000000002</v>
      </c>
      <c r="J1519">
        <v>-354.25319999999999</v>
      </c>
      <c r="K1519">
        <v>1.1061589999999999</v>
      </c>
      <c r="L1519">
        <v>283.79140000000001</v>
      </c>
      <c r="M1519">
        <v>-0.99994870000000002</v>
      </c>
      <c r="N1519">
        <v>-6.2996739999999999E-3</v>
      </c>
      <c r="O1519">
        <v>-7.9548150000000005E-3</v>
      </c>
      <c r="P1519">
        <v>-0.98740729999999999</v>
      </c>
      <c r="Q1519">
        <v>-0.13240160000000001</v>
      </c>
      <c r="R1519">
        <v>-8.6584930000000004E-2</v>
      </c>
      <c r="S1519">
        <v>-3.0413209999999999</v>
      </c>
      <c r="T1519">
        <v>-0.13234360000000001</v>
      </c>
      <c r="U1519">
        <v>0.16729740000000001</v>
      </c>
      <c r="V1519">
        <v>-7.9100859999999995E-2</v>
      </c>
      <c r="W1519">
        <v>-0.12594060000000001</v>
      </c>
      <c r="X1519">
        <v>0.98887910000000001</v>
      </c>
      <c r="Y1519">
        <v>6.2792979999999998E-2</v>
      </c>
      <c r="Z1519">
        <v>1.858288E-3</v>
      </c>
      <c r="AA1519">
        <v>0.99802480000000005</v>
      </c>
      <c r="AB1519">
        <v>50</v>
      </c>
      <c r="AC1519">
        <v>-21.4422999999999</v>
      </c>
      <c r="AD1519">
        <v>-1.106157505941</v>
      </c>
      <c r="AE1519">
        <v>1.4454</v>
      </c>
      <c r="AF1519">
        <v>1.61165747183069</v>
      </c>
      <c r="AG1519">
        <v>-1.106157505941</v>
      </c>
      <c r="AH1519">
        <v>21.373499766720101</v>
      </c>
      <c r="AI1519">
        <v>92.954253016551704</v>
      </c>
      <c r="AJ1519">
        <v>85.687802437658704</v>
      </c>
      <c r="AK1519">
        <v>21.462700587587801</v>
      </c>
      <c r="AL1519">
        <v>97.235078004343805</v>
      </c>
      <c r="AM1519">
        <v>94.573376170941003</v>
      </c>
      <c r="AN1519">
        <v>0.99999992759895195</v>
      </c>
    </row>
    <row r="1520" spans="1:40" x14ac:dyDescent="0.25">
      <c r="A1520" t="str">
        <f>"20190305135612081"</f>
        <v>20190305135612081</v>
      </c>
      <c r="B1520" t="str">
        <f>"1551765372073642"</f>
        <v>1551765372073642</v>
      </c>
      <c r="C1520" t="s">
        <v>40</v>
      </c>
      <c r="D1520">
        <v>3.9917250000000002</v>
      </c>
      <c r="E1520">
        <v>0.63050240000000002</v>
      </c>
      <c r="F1520" t="s">
        <v>63</v>
      </c>
      <c r="G1520">
        <v>-439.50479999999999</v>
      </c>
      <c r="H1520">
        <v>9.8241370000000003</v>
      </c>
      <c r="I1520">
        <v>304.06950000000001</v>
      </c>
      <c r="J1520">
        <v>-354.75760000000002</v>
      </c>
      <c r="K1520">
        <v>1.1061129999999999</v>
      </c>
      <c r="L1520">
        <v>283.7878</v>
      </c>
      <c r="M1520">
        <v>-0.99995599999999996</v>
      </c>
      <c r="N1520">
        <v>-6.3499100000000003E-3</v>
      </c>
      <c r="O1520">
        <v>-6.9313369999999897E-3</v>
      </c>
      <c r="P1520">
        <v>-0.98739540000000003</v>
      </c>
      <c r="Q1520">
        <v>-0.132885</v>
      </c>
      <c r="R1520">
        <v>-8.5978959999999993E-2</v>
      </c>
      <c r="S1520">
        <v>-3.1470639999999999</v>
      </c>
      <c r="T1520">
        <v>0.32182440000000001</v>
      </c>
      <c r="U1520">
        <v>0.748565699999999</v>
      </c>
      <c r="V1520">
        <v>-7.9519469999999995E-2</v>
      </c>
      <c r="W1520">
        <v>-0.12636620000000001</v>
      </c>
      <c r="X1520">
        <v>0.98879130000000004</v>
      </c>
      <c r="Y1520">
        <v>0.2370101</v>
      </c>
      <c r="Z1520">
        <v>-1.189813E-2</v>
      </c>
      <c r="AA1520">
        <v>0.97143440000000003</v>
      </c>
      <c r="AB1520">
        <v>50</v>
      </c>
      <c r="AC1520">
        <v>-84.747199999999907</v>
      </c>
      <c r="AD1520">
        <v>8.7180239999999998</v>
      </c>
      <c r="AE1520">
        <v>20.281700000000001</v>
      </c>
      <c r="AF1520">
        <v>20.661828274176202</v>
      </c>
      <c r="AG1520">
        <v>8.7180239999999998</v>
      </c>
      <c r="AH1520">
        <v>83.766152814054493</v>
      </c>
      <c r="AI1520">
        <v>84.230007708271302</v>
      </c>
      <c r="AJ1520">
        <v>76.143964060244102</v>
      </c>
      <c r="AK1520">
        <v>86.716108349969602</v>
      </c>
      <c r="AL1520">
        <v>97.259658958176004</v>
      </c>
      <c r="AM1520">
        <v>94.597881954787795</v>
      </c>
      <c r="AN1520">
        <v>0.99999999878360502</v>
      </c>
    </row>
    <row r="1521" spans="1:40" x14ac:dyDescent="0.25">
      <c r="A1521" t="str">
        <f>"20190305135612102"</f>
        <v>20190305135612102</v>
      </c>
      <c r="B1521" t="str">
        <f>"1551765372093166"</f>
        <v>1551765372093166</v>
      </c>
      <c r="C1521" t="s">
        <v>40</v>
      </c>
      <c r="D1521">
        <v>4.182982</v>
      </c>
      <c r="E1521">
        <v>0.61548840000000005</v>
      </c>
      <c r="F1521" t="s">
        <v>63</v>
      </c>
      <c r="G1521">
        <v>-440.8741</v>
      </c>
      <c r="H1521">
        <v>9.2238620000000004</v>
      </c>
      <c r="I1521">
        <v>303.83999999999997</v>
      </c>
      <c r="J1521">
        <v>-355.24759999999998</v>
      </c>
      <c r="K1521">
        <v>1.106066</v>
      </c>
      <c r="L1521">
        <v>283.78489999999999</v>
      </c>
      <c r="M1521">
        <v>-0.99996200000000002</v>
      </c>
      <c r="N1521">
        <v>-6.3951399999999997E-3</v>
      </c>
      <c r="O1521">
        <v>-5.9298040000000003E-3</v>
      </c>
      <c r="P1521">
        <v>-0.98732560000000003</v>
      </c>
      <c r="Q1521">
        <v>-0.1335141</v>
      </c>
      <c r="R1521">
        <v>-8.580343E-2</v>
      </c>
      <c r="S1521">
        <v>-3.1418149999999998</v>
      </c>
      <c r="T1521">
        <v>0.29616300000000001</v>
      </c>
      <c r="U1521">
        <v>0.73156739999999998</v>
      </c>
      <c r="V1521">
        <v>-8.0346609999999999E-2</v>
      </c>
      <c r="W1521">
        <v>-0.12694230000000001</v>
      </c>
      <c r="X1521">
        <v>0.98865060000000005</v>
      </c>
      <c r="Y1521">
        <v>0.2316194</v>
      </c>
      <c r="Z1521">
        <v>-1.0585799999999999E-2</v>
      </c>
      <c r="AA1521">
        <v>0.97274890000000003</v>
      </c>
      <c r="AB1521">
        <v>50</v>
      </c>
      <c r="AC1521">
        <v>-85.626499999999993</v>
      </c>
      <c r="AD1521">
        <v>8.1177959999999896</v>
      </c>
      <c r="AE1521">
        <v>20.0550999999999</v>
      </c>
      <c r="AF1521">
        <v>20.388783032736701</v>
      </c>
      <c r="AG1521">
        <v>8.1177959999999896</v>
      </c>
      <c r="AH1521">
        <v>84.783668107196803</v>
      </c>
      <c r="AI1521">
        <v>84.681482502990093</v>
      </c>
      <c r="AJ1521">
        <v>76.478261247973407</v>
      </c>
      <c r="AK1521">
        <v>87.577802342630903</v>
      </c>
      <c r="AL1521">
        <v>97.292935264529703</v>
      </c>
      <c r="AM1521">
        <v>94.646157854318901</v>
      </c>
      <c r="AN1521">
        <v>0.99999996707407002</v>
      </c>
    </row>
    <row r="1522" spans="1:40" x14ac:dyDescent="0.25">
      <c r="A1522" t="str">
        <f>"20190305135612126"</f>
        <v>20190305135612126</v>
      </c>
      <c r="B1522" t="str">
        <f>"1551765372123418"</f>
        <v>1551765372123418</v>
      </c>
      <c r="C1522" t="s">
        <v>40</v>
      </c>
      <c r="D1522">
        <v>4.147462</v>
      </c>
      <c r="E1522">
        <v>0.60566909999999996</v>
      </c>
      <c r="F1522" t="s">
        <v>63</v>
      </c>
      <c r="G1522">
        <v>-439.9357</v>
      </c>
      <c r="H1522">
        <v>5.7069130000000001</v>
      </c>
      <c r="I1522">
        <v>300.68</v>
      </c>
      <c r="J1522">
        <v>-355.7647</v>
      </c>
      <c r="K1522">
        <v>1.1060129999999999</v>
      </c>
      <c r="L1522">
        <v>283.78219999999999</v>
      </c>
      <c r="M1522">
        <v>-0.99996759999999996</v>
      </c>
      <c r="N1522">
        <v>-6.4397169999999898E-3</v>
      </c>
      <c r="O1522">
        <v>-4.855547E-3</v>
      </c>
      <c r="P1522">
        <v>-0.98730379999999995</v>
      </c>
      <c r="Q1522">
        <v>-0.1339677</v>
      </c>
      <c r="R1522">
        <v>-8.5346149999999996E-2</v>
      </c>
      <c r="S1522">
        <v>-3.1154169999999999</v>
      </c>
      <c r="T1522">
        <v>0.1692517</v>
      </c>
      <c r="U1522">
        <v>0.62152099999999999</v>
      </c>
      <c r="V1522">
        <v>-8.0963270000000004E-2</v>
      </c>
      <c r="W1522">
        <v>-0.1273434</v>
      </c>
      <c r="X1522">
        <v>0.98854880000000001</v>
      </c>
      <c r="Y1522">
        <v>0.20014480000000001</v>
      </c>
      <c r="Z1522">
        <v>-5.0206110000000003E-3</v>
      </c>
      <c r="AA1522">
        <v>0.9797534</v>
      </c>
      <c r="AB1522">
        <v>50</v>
      </c>
      <c r="AC1522">
        <v>-84.170999999999907</v>
      </c>
      <c r="AD1522">
        <v>4.6009000000000002</v>
      </c>
      <c r="AE1522">
        <v>16.8978</v>
      </c>
      <c r="AF1522">
        <v>17.256742231101899</v>
      </c>
      <c r="AG1522">
        <v>4.6009000000000002</v>
      </c>
      <c r="AH1522">
        <v>83.847139895267205</v>
      </c>
      <c r="AI1522">
        <v>86.9235422390759</v>
      </c>
      <c r="AJ1522">
        <v>78.370236559106402</v>
      </c>
      <c r="AK1522">
        <v>85.728095172219994</v>
      </c>
      <c r="AL1522">
        <v>97.316103942475095</v>
      </c>
      <c r="AM1522">
        <v>94.682139162640894</v>
      </c>
      <c r="AN1522">
        <v>1.0000000612970401</v>
      </c>
    </row>
    <row r="1523" spans="1:40" x14ac:dyDescent="0.25">
      <c r="A1523" t="str">
        <f>"20190305135612149"</f>
        <v>20190305135612149</v>
      </c>
      <c r="B1523" t="str">
        <f>"1551765372143913"</f>
        <v>1551765372143913</v>
      </c>
      <c r="C1523" t="s">
        <v>40</v>
      </c>
      <c r="D1523">
        <v>4.1349729999999996</v>
      </c>
      <c r="E1523">
        <v>0.60143919999999995</v>
      </c>
      <c r="F1523" t="s">
        <v>63</v>
      </c>
      <c r="G1523">
        <v>-440.77769999999998</v>
      </c>
      <c r="H1523">
        <v>3.205527</v>
      </c>
      <c r="I1523">
        <v>298.90839999999997</v>
      </c>
      <c r="J1523">
        <v>-356.27670000000001</v>
      </c>
      <c r="K1523">
        <v>1.105963</v>
      </c>
      <c r="L1523">
        <v>283.7801</v>
      </c>
      <c r="M1523">
        <v>-0.99997190000000002</v>
      </c>
      <c r="N1523">
        <v>-6.4808089999999997E-3</v>
      </c>
      <c r="O1523">
        <v>-3.7624350000000002E-3</v>
      </c>
      <c r="P1523">
        <v>-0.98734929999999999</v>
      </c>
      <c r="Q1523">
        <v>-0.1339929</v>
      </c>
      <c r="R1523">
        <v>-8.477809E-2</v>
      </c>
      <c r="S1523">
        <v>-3.0965579999999999</v>
      </c>
      <c r="T1523">
        <v>7.6473949999999999E-2</v>
      </c>
      <c r="U1523">
        <v>0.55096440000000002</v>
      </c>
      <c r="V1523">
        <v>-8.1486740000000002E-2</v>
      </c>
      <c r="W1523">
        <v>-0.12731869999999901</v>
      </c>
      <c r="X1523">
        <v>0.98850890000000002</v>
      </c>
      <c r="Y1523">
        <v>0.17883929999999901</v>
      </c>
      <c r="Z1523">
        <v>-1.723095E-3</v>
      </c>
      <c r="AA1523">
        <v>0.9838768</v>
      </c>
      <c r="AB1523">
        <v>50</v>
      </c>
      <c r="AC1523">
        <v>-84.500999999999905</v>
      </c>
      <c r="AD1523">
        <v>2.099564</v>
      </c>
      <c r="AE1523">
        <v>15.1282999999999</v>
      </c>
      <c r="AF1523">
        <v>15.4368950574927</v>
      </c>
      <c r="AG1523">
        <v>2.099564</v>
      </c>
      <c r="AH1523">
        <v>84.3929991127427</v>
      </c>
      <c r="AI1523">
        <v>88.598115861778595</v>
      </c>
      <c r="AJ1523">
        <v>79.634234925851999</v>
      </c>
      <c r="AK1523">
        <v>85.818903495963696</v>
      </c>
      <c r="AL1523">
        <v>97.3146776268661</v>
      </c>
      <c r="AM1523">
        <v>94.712465103280707</v>
      </c>
      <c r="AN1523">
        <v>0.99999999277236296</v>
      </c>
    </row>
    <row r="1524" spans="1:40" x14ac:dyDescent="0.25">
      <c r="A1524" t="str">
        <f>"20190305135612171"</f>
        <v>20190305135612171</v>
      </c>
      <c r="B1524" t="str">
        <f>"1551765372163434"</f>
        <v>1551765372163434</v>
      </c>
      <c r="C1524" t="s">
        <v>40</v>
      </c>
      <c r="D1524">
        <v>4.1737070000000003</v>
      </c>
      <c r="E1524">
        <v>0.59895010000000004</v>
      </c>
      <c r="F1524" t="s">
        <v>63</v>
      </c>
      <c r="G1524">
        <v>-447.86329999999998</v>
      </c>
      <c r="H1524">
        <v>2.2692000000000001</v>
      </c>
      <c r="I1524">
        <v>299.24849999999998</v>
      </c>
      <c r="J1524">
        <v>-356.77420000000001</v>
      </c>
      <c r="K1524">
        <v>1.1059110000000001</v>
      </c>
      <c r="L1524">
        <v>283.77870000000001</v>
      </c>
      <c r="M1524">
        <v>-0.99997539999999996</v>
      </c>
      <c r="N1524">
        <v>-6.5179869999999899E-3</v>
      </c>
      <c r="O1524">
        <v>-2.6600019999999999E-3</v>
      </c>
      <c r="P1524">
        <v>-0.98747099999999999</v>
      </c>
      <c r="Q1524">
        <v>-0.13364229999999899</v>
      </c>
      <c r="R1524">
        <v>-8.3911470000000002E-2</v>
      </c>
      <c r="S1524">
        <v>-3.088562</v>
      </c>
      <c r="T1524">
        <v>3.9227959999999999E-2</v>
      </c>
      <c r="U1524">
        <v>0.52163700000000002</v>
      </c>
      <c r="V1524">
        <v>-8.1721429999999998E-2</v>
      </c>
      <c r="W1524">
        <v>-0.12692139999999999</v>
      </c>
      <c r="X1524">
        <v>0.98854059999999999</v>
      </c>
      <c r="Y1524">
        <v>0.1691502</v>
      </c>
      <c r="Z1524">
        <v>-5.622073E-4</v>
      </c>
      <c r="AA1524">
        <v>0.98559019999999997</v>
      </c>
      <c r="AB1524">
        <v>51</v>
      </c>
      <c r="AC1524">
        <v>-91.089099999999902</v>
      </c>
      <c r="AD1524">
        <v>1.163289</v>
      </c>
      <c r="AE1524">
        <v>15.4697999999999</v>
      </c>
      <c r="AF1524">
        <v>15.7095572273616</v>
      </c>
      <c r="AG1524">
        <v>1.163289</v>
      </c>
      <c r="AH1524">
        <v>91.033196271472804</v>
      </c>
      <c r="AI1524">
        <v>89.278535063027306</v>
      </c>
      <c r="AJ1524">
        <v>80.208926907285999</v>
      </c>
      <c r="AK1524">
        <v>92.386071747735699</v>
      </c>
      <c r="AL1524">
        <v>97.2917279532968</v>
      </c>
      <c r="AM1524">
        <v>94.725825223478495</v>
      </c>
      <c r="AN1524">
        <v>0.99999997587378198</v>
      </c>
    </row>
    <row r="1525" spans="1:40" x14ac:dyDescent="0.25">
      <c r="A1525" t="str">
        <f>"20190305135612192"</f>
        <v>20190305135612192</v>
      </c>
      <c r="B1525" t="str">
        <f>"1551765372183933"</f>
        <v>1551765372183933</v>
      </c>
      <c r="C1525" t="s">
        <v>40</v>
      </c>
      <c r="D1525">
        <v>4.1101830000000001</v>
      </c>
      <c r="E1525">
        <v>0.59703640000000002</v>
      </c>
      <c r="F1525" t="s">
        <v>63</v>
      </c>
      <c r="G1525">
        <v>-455.35809999999998</v>
      </c>
      <c r="H1525">
        <v>1.5977209999999999</v>
      </c>
      <c r="I1525">
        <v>299.96339999999998</v>
      </c>
      <c r="J1525">
        <v>-357.28629999999998</v>
      </c>
      <c r="K1525">
        <v>1.105856</v>
      </c>
      <c r="L1525">
        <v>283.77780000000001</v>
      </c>
      <c r="M1525">
        <v>-0.99997749999999996</v>
      </c>
      <c r="N1525">
        <v>-6.5535180000000004E-3</v>
      </c>
      <c r="O1525">
        <v>-1.475645E-3</v>
      </c>
      <c r="P1525">
        <v>-0.98759240000000004</v>
      </c>
      <c r="Q1525">
        <v>-0.13301170000000001</v>
      </c>
      <c r="R1525">
        <v>-8.3480600000000002E-2</v>
      </c>
      <c r="S1525">
        <v>-3.0831300000000001</v>
      </c>
      <c r="T1525">
        <v>1.538146E-2</v>
      </c>
      <c r="U1525">
        <v>0.50616459999999996</v>
      </c>
      <c r="V1525">
        <v>-8.2473870000000005E-2</v>
      </c>
      <c r="W1525">
        <v>-0.12624250000000001</v>
      </c>
      <c r="X1525">
        <v>0.98856509999999997</v>
      </c>
      <c r="Y1525">
        <v>0.1634602</v>
      </c>
      <c r="Z1525">
        <v>1.172358E-4</v>
      </c>
      <c r="AA1525">
        <v>0.98654989999999998</v>
      </c>
      <c r="AB1525">
        <v>51</v>
      </c>
      <c r="AC1525">
        <v>-98.071799999999996</v>
      </c>
      <c r="AD1525">
        <v>0.491864999999999</v>
      </c>
      <c r="AE1525">
        <v>16.185599999999901</v>
      </c>
      <c r="AF1525">
        <v>16.329904769267099</v>
      </c>
      <c r="AG1525">
        <v>0.491864999999999</v>
      </c>
      <c r="AH1525">
        <v>98.045407685633094</v>
      </c>
      <c r="AI1525">
        <v>89.716471946973002</v>
      </c>
      <c r="AJ1525">
        <v>80.543930368115298</v>
      </c>
      <c r="AK1525">
        <v>99.397231798443798</v>
      </c>
      <c r="AL1525">
        <v>97.252514006369395</v>
      </c>
      <c r="AM1525">
        <v>94.769020232149799</v>
      </c>
      <c r="AN1525">
        <v>1.0000000324885101</v>
      </c>
    </row>
    <row r="1526" spans="1:40" x14ac:dyDescent="0.25">
      <c r="A1526" t="str">
        <f>"20190305135612214"</f>
        <v>20190305135612214</v>
      </c>
      <c r="B1526" t="str">
        <f>"1551765372203450"</f>
        <v>1551765372203450</v>
      </c>
      <c r="C1526" t="s">
        <v>40</v>
      </c>
      <c r="D1526">
        <v>4.175109</v>
      </c>
      <c r="E1526">
        <v>0.59569680000000003</v>
      </c>
      <c r="F1526" t="s">
        <v>63</v>
      </c>
      <c r="G1526">
        <v>-455.35789999999997</v>
      </c>
      <c r="H1526">
        <v>1.0825659999999999</v>
      </c>
      <c r="I1526">
        <v>299.4837</v>
      </c>
      <c r="J1526">
        <v>-357.76429999999999</v>
      </c>
      <c r="K1526">
        <v>1.105807</v>
      </c>
      <c r="L1526">
        <v>283.77760000000001</v>
      </c>
      <c r="M1526">
        <v>-0.99997829999999999</v>
      </c>
      <c r="N1526">
        <v>-6.5847619999999897E-3</v>
      </c>
      <c r="O1526">
        <v>-3.3063439999999998E-4</v>
      </c>
      <c r="P1526">
        <v>-0.98763979999999996</v>
      </c>
      <c r="Q1526">
        <v>-0.13303899999999999</v>
      </c>
      <c r="R1526">
        <v>-8.2875580000000004E-2</v>
      </c>
      <c r="S1526">
        <v>-3.0792540000000002</v>
      </c>
      <c r="T1526">
        <v>-7.3075289999999997E-4</v>
      </c>
      <c r="U1526">
        <v>0.4931335</v>
      </c>
      <c r="V1526">
        <v>-8.3015160000000005E-2</v>
      </c>
      <c r="W1526">
        <v>-0.12622719999999901</v>
      </c>
      <c r="X1526">
        <v>0.98852169999999895</v>
      </c>
      <c r="Y1526">
        <v>0.158458399999999</v>
      </c>
      <c r="Z1526">
        <v>5.4161230000000001E-4</v>
      </c>
      <c r="AA1526">
        <v>0.98736550000000001</v>
      </c>
      <c r="AB1526">
        <v>51</v>
      </c>
      <c r="AC1526">
        <v>-97.593599999999896</v>
      </c>
      <c r="AD1526">
        <v>-2.3241000000000001E-2</v>
      </c>
      <c r="AE1526">
        <v>15.7060999999999</v>
      </c>
      <c r="AF1526">
        <v>15.738366771311901</v>
      </c>
      <c r="AG1526">
        <v>-2.3241000000000001E-2</v>
      </c>
      <c r="AH1526">
        <v>97.588396181378002</v>
      </c>
      <c r="AI1526">
        <v>90.013471119169296</v>
      </c>
      <c r="AJ1526">
        <v>80.838624105684602</v>
      </c>
      <c r="AK1526">
        <v>98.849338885123601</v>
      </c>
      <c r="AL1526">
        <v>97.251630642734995</v>
      </c>
      <c r="AM1526">
        <v>94.800384101043406</v>
      </c>
      <c r="AN1526">
        <v>0.99999998709027704</v>
      </c>
    </row>
    <row r="1527" spans="1:40" x14ac:dyDescent="0.25">
      <c r="A1527" t="str">
        <f>"20190305135612237"</f>
        <v>20190305135612237</v>
      </c>
      <c r="B1527" t="str">
        <f>"1551765372233706"</f>
        <v>1551765372233706</v>
      </c>
      <c r="C1527" t="s">
        <v>40</v>
      </c>
      <c r="D1527">
        <v>4.1259069999999998</v>
      </c>
      <c r="E1527">
        <v>0.59432410000000002</v>
      </c>
      <c r="F1527" t="s">
        <v>63</v>
      </c>
      <c r="G1527">
        <v>-455.35770000000002</v>
      </c>
      <c r="H1527">
        <v>0.55441759999999995</v>
      </c>
      <c r="I1527">
        <v>299.18079999999998</v>
      </c>
      <c r="J1527">
        <v>-358.27949999999998</v>
      </c>
      <c r="K1527">
        <v>1.1057490000000001</v>
      </c>
      <c r="L1527">
        <v>283.77800000000002</v>
      </c>
      <c r="M1527">
        <v>-0.99997780000000003</v>
      </c>
      <c r="N1527">
        <v>-6.616266E-3</v>
      </c>
      <c r="O1527">
        <v>9.5255470000000001E-4</v>
      </c>
      <c r="P1527">
        <v>-0.98774819999999997</v>
      </c>
      <c r="Q1527">
        <v>-0.13275709999999999</v>
      </c>
      <c r="R1527">
        <v>-8.2033969999999998E-2</v>
      </c>
      <c r="S1527">
        <v>-3.0759280000000002</v>
      </c>
      <c r="T1527">
        <v>-1.7378089999999999E-2</v>
      </c>
      <c r="U1527">
        <v>0.48547360000000001</v>
      </c>
      <c r="V1527">
        <v>-8.3456520000000006E-2</v>
      </c>
      <c r="W1527">
        <v>-0.12590109999999999</v>
      </c>
      <c r="X1527">
        <v>0.98852609999999996</v>
      </c>
      <c r="Y1527">
        <v>0.15495390000000001</v>
      </c>
      <c r="Z1527">
        <v>9.5171700000000004E-4</v>
      </c>
      <c r="AA1527">
        <v>0.98792120000000005</v>
      </c>
      <c r="AB1527">
        <v>51</v>
      </c>
      <c r="AC1527">
        <v>-97.078199999999995</v>
      </c>
      <c r="AD1527">
        <v>-0.55133139999999903</v>
      </c>
      <c r="AE1527">
        <v>15.4027999999999</v>
      </c>
      <c r="AF1527">
        <v>15.309837029194901</v>
      </c>
      <c r="AG1527">
        <v>-0.55133139999999903</v>
      </c>
      <c r="AH1527">
        <v>97.089773659655194</v>
      </c>
      <c r="AI1527">
        <v>90.321383751934903</v>
      </c>
      <c r="AJ1527">
        <v>81.038962561059094</v>
      </c>
      <c r="AK1527">
        <v>98.290992595741997</v>
      </c>
      <c r="AL1527">
        <v>97.232796397039706</v>
      </c>
      <c r="AM1527">
        <v>94.825764323612503</v>
      </c>
      <c r="AN1527">
        <v>0.99999996404646396</v>
      </c>
    </row>
    <row r="1528" spans="1:40" x14ac:dyDescent="0.25">
      <c r="A1528" t="str">
        <f>"20190305135612260"</f>
        <v>20190305135612260</v>
      </c>
      <c r="B1528" t="str">
        <f>"1551765372253229"</f>
        <v>1551765372253229</v>
      </c>
      <c r="C1528" t="s">
        <v>40</v>
      </c>
      <c r="D1528">
        <v>4.1185689999999999</v>
      </c>
      <c r="E1528">
        <v>0.59360299999999999</v>
      </c>
      <c r="F1528" t="s">
        <v>63</v>
      </c>
      <c r="G1528">
        <v>-455.4239</v>
      </c>
      <c r="H1528">
        <v>5.638456E-2</v>
      </c>
      <c r="I1528">
        <v>298.90839999999997</v>
      </c>
      <c r="J1528">
        <v>-358.8125</v>
      </c>
      <c r="K1528">
        <v>1.105688</v>
      </c>
      <c r="L1528">
        <v>283.77910000000003</v>
      </c>
      <c r="M1528">
        <v>-0.99997519999999995</v>
      </c>
      <c r="N1528">
        <v>-6.64687E-3</v>
      </c>
      <c r="O1528">
        <v>2.3383969999999999E-3</v>
      </c>
      <c r="P1528">
        <v>-0.98784680000000002</v>
      </c>
      <c r="Q1528">
        <v>-0.13283589999999901</v>
      </c>
      <c r="R1528">
        <v>-8.0706340000000001E-2</v>
      </c>
      <c r="S1528">
        <v>-3.0725099999999999</v>
      </c>
      <c r="T1528">
        <v>-3.3189539999999997E-2</v>
      </c>
      <c r="U1528">
        <v>0.47854609999999898</v>
      </c>
      <c r="V1528">
        <v>-8.3517419999999995E-2</v>
      </c>
      <c r="W1528">
        <v>-0.1259371</v>
      </c>
      <c r="X1528">
        <v>0.98851639999999996</v>
      </c>
      <c r="Y1528">
        <v>0.15157039999999999</v>
      </c>
      <c r="Z1528">
        <v>1.3108359999999999E-3</v>
      </c>
      <c r="AA1528">
        <v>0.98844560000000004</v>
      </c>
      <c r="AB1528">
        <v>51</v>
      </c>
      <c r="AC1528">
        <v>-96.611400000000003</v>
      </c>
      <c r="AD1528">
        <v>-1.0493034400000001</v>
      </c>
      <c r="AE1528">
        <v>15.129299999999899</v>
      </c>
      <c r="AF1528">
        <v>14.901622078567801</v>
      </c>
      <c r="AG1528">
        <v>-1.0493034400000001</v>
      </c>
      <c r="AH1528">
        <v>96.635388407761198</v>
      </c>
      <c r="AI1528">
        <v>90.614847965048696</v>
      </c>
      <c r="AJ1528">
        <v>81.233775837424602</v>
      </c>
      <c r="AK1528">
        <v>97.7832177369947</v>
      </c>
      <c r="AL1528">
        <v>97.234875385130806</v>
      </c>
      <c r="AM1528">
        <v>94.829316302085104</v>
      </c>
      <c r="AN1528">
        <v>0.99999999283441299</v>
      </c>
    </row>
    <row r="1529" spans="1:40" x14ac:dyDescent="0.25">
      <c r="A1529" t="str">
        <f>"20190305135612281"</f>
        <v>20190305135612281</v>
      </c>
      <c r="B1529" t="str">
        <f>"1551765372273722"</f>
        <v>1551765372273722</v>
      </c>
      <c r="C1529" t="s">
        <v>40</v>
      </c>
      <c r="D1529">
        <v>4.1964550000000003</v>
      </c>
      <c r="E1529">
        <v>0.5930088</v>
      </c>
      <c r="F1529" t="s">
        <v>43</v>
      </c>
      <c r="G1529">
        <v>-447.04849999999999</v>
      </c>
      <c r="H1529">
        <v>-0.05</v>
      </c>
      <c r="I1529">
        <v>297.50020000000001</v>
      </c>
      <c r="J1529">
        <v>-359.31360000000001</v>
      </c>
      <c r="K1529">
        <v>1.1056220000000001</v>
      </c>
      <c r="L1529">
        <v>283.78089999999997</v>
      </c>
      <c r="M1529">
        <v>-0.9999709</v>
      </c>
      <c r="N1529">
        <v>-6.6740870000000004E-3</v>
      </c>
      <c r="O1529">
        <v>3.6981309999999999E-3</v>
      </c>
      <c r="P1529">
        <v>-0.98804040000000004</v>
      </c>
      <c r="Q1529">
        <v>-0.13240299999999999</v>
      </c>
      <c r="R1529">
        <v>-7.9030420000000004E-2</v>
      </c>
      <c r="S1529">
        <v>-3.0705260000000001</v>
      </c>
      <c r="T1529">
        <v>-4.0216799999999997E-2</v>
      </c>
      <c r="U1529">
        <v>0.47747800000000001</v>
      </c>
      <c r="V1529">
        <v>-8.3202380000000006E-2</v>
      </c>
      <c r="W1529">
        <v>-0.12546559999999901</v>
      </c>
      <c r="X1529">
        <v>0.98860289999999995</v>
      </c>
      <c r="Y1529">
        <v>0.14998259999999999</v>
      </c>
      <c r="Z1529">
        <v>1.4562240000000001E-3</v>
      </c>
      <c r="AA1529">
        <v>0.9886876</v>
      </c>
      <c r="AB1529">
        <v>51</v>
      </c>
      <c r="AC1529">
        <v>-87.734899999999897</v>
      </c>
      <c r="AD1529">
        <v>-1.1556219999999999</v>
      </c>
      <c r="AE1529">
        <v>13.7193</v>
      </c>
      <c r="AF1529">
        <v>13.3924757376945</v>
      </c>
      <c r="AG1529">
        <v>-1.1556219999999999</v>
      </c>
      <c r="AH1529">
        <v>87.7701727128605</v>
      </c>
      <c r="AI1529">
        <v>90.745708690374698</v>
      </c>
      <c r="AJ1529">
        <v>81.324398366224301</v>
      </c>
      <c r="AK1529">
        <v>88.7935644438097</v>
      </c>
      <c r="AL1529">
        <v>97.207644573342293</v>
      </c>
      <c r="AM1529">
        <v>94.810766093885405</v>
      </c>
      <c r="AN1529">
        <v>0.99999997335471602</v>
      </c>
    </row>
    <row r="1530" spans="1:40" x14ac:dyDescent="0.25">
      <c r="A1530" t="str">
        <f>"20190305135612303"</f>
        <v>20190305135612303</v>
      </c>
      <c r="B1530" t="str">
        <f>"1551765372293242"</f>
        <v>1551765372293242</v>
      </c>
      <c r="C1530" t="s">
        <v>40</v>
      </c>
      <c r="D1530">
        <v>4.1464080000000001</v>
      </c>
      <c r="E1530">
        <v>0.59254629999999997</v>
      </c>
      <c r="F1530" t="s">
        <v>61</v>
      </c>
      <c r="G1530">
        <v>-429.95780000000002</v>
      </c>
      <c r="H1530">
        <v>2.8069219999999999E-2</v>
      </c>
      <c r="I1530">
        <v>294.7946</v>
      </c>
      <c r="J1530">
        <v>-359.80689999999998</v>
      </c>
      <c r="K1530">
        <v>1.105553</v>
      </c>
      <c r="L1530">
        <v>283.7833</v>
      </c>
      <c r="M1530">
        <v>-0.99996450000000003</v>
      </c>
      <c r="N1530">
        <v>-6.6997769999999996E-3</v>
      </c>
      <c r="O1530">
        <v>5.091127E-3</v>
      </c>
      <c r="P1530">
        <v>-0.98818640000000002</v>
      </c>
      <c r="Q1530">
        <v>-0.13228980000000001</v>
      </c>
      <c r="R1530">
        <v>-7.7375609999999997E-2</v>
      </c>
      <c r="S1530">
        <v>-3.0683289999999999</v>
      </c>
      <c r="T1530">
        <v>-4.6801919999999997E-2</v>
      </c>
      <c r="U1530">
        <v>0.47836299999999998</v>
      </c>
      <c r="V1530">
        <v>-8.2943279999999994E-2</v>
      </c>
      <c r="W1530">
        <v>-0.1253148</v>
      </c>
      <c r="X1530">
        <v>0.98864379999999996</v>
      </c>
      <c r="Y1530">
        <v>0.1489858</v>
      </c>
      <c r="Z1530">
        <v>1.5882299999999999E-3</v>
      </c>
      <c r="AA1530">
        <v>0.98883810000000005</v>
      </c>
      <c r="AB1530">
        <v>51</v>
      </c>
      <c r="AC1530">
        <v>-70.150899999999993</v>
      </c>
      <c r="AD1530">
        <v>-1.0774837799999999</v>
      </c>
      <c r="AE1530">
        <v>11.0113</v>
      </c>
      <c r="AF1530">
        <v>10.651549663977899</v>
      </c>
      <c r="AG1530">
        <v>-1.0774837799999999</v>
      </c>
      <c r="AH1530">
        <v>70.189891347188805</v>
      </c>
      <c r="AI1530">
        <v>90.869523797780502</v>
      </c>
      <c r="AJ1530">
        <v>81.371011981533101</v>
      </c>
      <c r="AK1530">
        <v>71.001671310403097</v>
      </c>
      <c r="AL1530">
        <v>97.198935622097594</v>
      </c>
      <c r="AM1530">
        <v>94.795657424812404</v>
      </c>
      <c r="AN1530">
        <v>0.99999997503731797</v>
      </c>
    </row>
    <row r="1531" spans="1:40" x14ac:dyDescent="0.25">
      <c r="A1531" t="str">
        <f>"20190305135612327"</f>
        <v>20190305135612327</v>
      </c>
      <c r="B1531" t="str">
        <f>"1551765372323499"</f>
        <v>1551765372323499</v>
      </c>
      <c r="C1531" t="s">
        <v>40</v>
      </c>
      <c r="D1531">
        <v>4.2128930000000002</v>
      </c>
      <c r="E1531">
        <v>0.59193960000000001</v>
      </c>
      <c r="F1531" t="s">
        <v>61</v>
      </c>
      <c r="G1531">
        <v>-425.32990000000001</v>
      </c>
      <c r="H1531" s="1">
        <v>1.3926929999999901E-6</v>
      </c>
      <c r="I1531">
        <v>294.03910000000002</v>
      </c>
      <c r="J1531">
        <v>-360.34899999999999</v>
      </c>
      <c r="K1531">
        <v>1.1054660000000001</v>
      </c>
      <c r="L1531">
        <v>283.7867</v>
      </c>
      <c r="M1531">
        <v>-0.99995520000000004</v>
      </c>
      <c r="N1531">
        <v>-6.7268700000000002E-3</v>
      </c>
      <c r="O1531">
        <v>6.6787460000000002E-3</v>
      </c>
      <c r="P1531">
        <v>-0.98830209999999996</v>
      </c>
      <c r="Q1531">
        <v>-0.13248760000000001</v>
      </c>
      <c r="R1531">
        <v>-7.5540330000000003E-2</v>
      </c>
      <c r="S1531">
        <v>-3.0665279999999999</v>
      </c>
      <c r="T1531">
        <v>-5.1740769999999998E-2</v>
      </c>
      <c r="U1531">
        <v>0.47998049999999998</v>
      </c>
      <c r="V1531">
        <v>-8.2699780000000001E-2</v>
      </c>
      <c r="W1531">
        <v>-0.12547220000000001</v>
      </c>
      <c r="X1531">
        <v>0.98864419999999997</v>
      </c>
      <c r="Y1531">
        <v>0.148009</v>
      </c>
      <c r="Z1531">
        <v>1.674579E-3</v>
      </c>
      <c r="AA1531">
        <v>0.98898459999999999</v>
      </c>
      <c r="AB1531">
        <v>51</v>
      </c>
      <c r="AC1531">
        <v>-64.980900000000005</v>
      </c>
      <c r="AD1531">
        <v>-1.105464607307</v>
      </c>
      <c r="AE1531">
        <v>10.2524</v>
      </c>
      <c r="AF1531">
        <v>9.8153989314038608</v>
      </c>
      <c r="AG1531">
        <v>-1.105464607307</v>
      </c>
      <c r="AH1531">
        <v>65.029562087288397</v>
      </c>
      <c r="AI1531">
        <v>90.9629953353394</v>
      </c>
      <c r="AJ1531">
        <v>81.416709337010502</v>
      </c>
      <c r="AK1531">
        <v>65.775436550775595</v>
      </c>
      <c r="AL1531">
        <v>97.208025976505198</v>
      </c>
      <c r="AM1531">
        <v>94.781642065526199</v>
      </c>
      <c r="AN1531">
        <v>0.99999994038926199</v>
      </c>
    </row>
    <row r="1532" spans="1:40" x14ac:dyDescent="0.25">
      <c r="A1532" t="str">
        <f>"20190305135612349"</f>
        <v>20190305135612349</v>
      </c>
      <c r="B1532" t="str">
        <f>"1551765372343994"</f>
        <v>1551765372343994</v>
      </c>
      <c r="C1532" t="s">
        <v>40</v>
      </c>
      <c r="D1532">
        <v>4.2492539999999996</v>
      </c>
      <c r="E1532">
        <v>0.59172349999999996</v>
      </c>
      <c r="F1532" t="s">
        <v>61</v>
      </c>
      <c r="G1532">
        <v>-417.07979999999998</v>
      </c>
      <c r="H1532" s="1">
        <v>2.190431E-6</v>
      </c>
      <c r="I1532">
        <v>292.69779999999997</v>
      </c>
      <c r="J1532">
        <v>-360.87099999999998</v>
      </c>
      <c r="K1532">
        <v>1.1053869999999999</v>
      </c>
      <c r="L1532">
        <v>283.79079999999999</v>
      </c>
      <c r="M1532">
        <v>-0.99994309999999997</v>
      </c>
      <c r="N1532">
        <v>-6.7517489999999996E-3</v>
      </c>
      <c r="O1532">
        <v>8.2578849999999995E-3</v>
      </c>
      <c r="P1532">
        <v>-0.98838040000000005</v>
      </c>
      <c r="Q1532">
        <v>-0.13303289999999901</v>
      </c>
      <c r="R1532">
        <v>-7.3529259999999999E-2</v>
      </c>
      <c r="S1532">
        <v>-3.0642399999999999</v>
      </c>
      <c r="T1532">
        <v>-5.9710140000000002E-2</v>
      </c>
      <c r="U1532">
        <v>0.48132320000000001</v>
      </c>
      <c r="V1532">
        <v>-8.2273449999999998E-2</v>
      </c>
      <c r="W1532">
        <v>-0.12598119999999999</v>
      </c>
      <c r="X1532">
        <v>0.98861509999999997</v>
      </c>
      <c r="Y1532">
        <v>0.14697539999999901</v>
      </c>
      <c r="Z1532">
        <v>1.8179240000000001E-3</v>
      </c>
      <c r="AA1532">
        <v>0.98913850000000003</v>
      </c>
      <c r="AB1532">
        <v>51</v>
      </c>
      <c r="AC1532">
        <v>-56.208799999999997</v>
      </c>
      <c r="AD1532">
        <v>-1.105384809569</v>
      </c>
      <c r="AE1532">
        <v>8.9069999999999805</v>
      </c>
      <c r="AF1532">
        <v>8.4393360194652196</v>
      </c>
      <c r="AG1532">
        <v>-1.105384809569</v>
      </c>
      <c r="AH1532">
        <v>56.259213334859503</v>
      </c>
      <c r="AI1532">
        <v>91.113155021325099</v>
      </c>
      <c r="AJ1532">
        <v>81.468782180844997</v>
      </c>
      <c r="AK1532">
        <v>56.899414347459697</v>
      </c>
      <c r="AL1532">
        <v>97.237422365520899</v>
      </c>
      <c r="AM1532">
        <v>94.757244772092704</v>
      </c>
      <c r="AN1532">
        <v>0.99999999963817598</v>
      </c>
    </row>
    <row r="1533" spans="1:40" x14ac:dyDescent="0.25">
      <c r="A1533" t="str">
        <f>"20190305135612373"</f>
        <v>20190305135612373</v>
      </c>
      <c r="B1533" t="str">
        <f>"1551765372363515"</f>
        <v>1551765372363515</v>
      </c>
      <c r="C1533" t="s">
        <v>40</v>
      </c>
      <c r="D1533">
        <v>4.2478899999999999</v>
      </c>
      <c r="E1533">
        <v>0.59157380000000004</v>
      </c>
      <c r="F1533" t="s">
        <v>61</v>
      </c>
      <c r="G1533">
        <v>-413.68310000000002</v>
      </c>
      <c r="H1533" s="1">
        <v>1.9719979999999999E-6</v>
      </c>
      <c r="I1533">
        <v>292.17129999999997</v>
      </c>
      <c r="J1533">
        <v>-361.40539999999999</v>
      </c>
      <c r="K1533">
        <v>1.1053090000000001</v>
      </c>
      <c r="L1533">
        <v>283.79599999999999</v>
      </c>
      <c r="M1533">
        <v>-0.99992789999999998</v>
      </c>
      <c r="N1533">
        <v>-6.7758239999999997E-3</v>
      </c>
      <c r="O1533">
        <v>9.9164000000000006E-3</v>
      </c>
      <c r="P1533">
        <v>-0.98850039999999995</v>
      </c>
      <c r="Q1533">
        <v>-0.1330711</v>
      </c>
      <c r="R1533">
        <v>-7.1826680000000004E-2</v>
      </c>
      <c r="S1533">
        <v>-3.062805</v>
      </c>
      <c r="T1533">
        <v>-6.4106109999999994E-2</v>
      </c>
      <c r="U1533">
        <v>0.48602289999999998</v>
      </c>
      <c r="V1533">
        <v>-8.2230540000000005E-2</v>
      </c>
      <c r="W1533">
        <v>-0.1259825</v>
      </c>
      <c r="X1533">
        <v>0.98861849999999996</v>
      </c>
      <c r="Y1533">
        <v>0.14688199999999901</v>
      </c>
      <c r="Z1533">
        <v>1.888816E-3</v>
      </c>
      <c r="AA1533">
        <v>0.98915220000000004</v>
      </c>
      <c r="AB1533">
        <v>51</v>
      </c>
      <c r="AC1533">
        <v>-52.277700000000003</v>
      </c>
      <c r="AD1533">
        <v>-1.1053070280020001</v>
      </c>
      <c r="AE1533">
        <v>8.3752999999999798</v>
      </c>
      <c r="AF1533">
        <v>7.8530470376419199</v>
      </c>
      <c r="AG1533">
        <v>-1.1053070280020001</v>
      </c>
      <c r="AH1533">
        <v>52.335374354494498</v>
      </c>
      <c r="AI1533">
        <v>91.196498327821701</v>
      </c>
      <c r="AJ1533">
        <v>81.466299773427195</v>
      </c>
      <c r="AK1533">
        <v>52.932820255741603</v>
      </c>
      <c r="AL1533">
        <v>97.237497479973797</v>
      </c>
      <c r="AM1533">
        <v>94.754758716073397</v>
      </c>
      <c r="AN1533">
        <v>0.99999999527859496</v>
      </c>
    </row>
    <row r="1534" spans="1:40" x14ac:dyDescent="0.25">
      <c r="A1534" t="str">
        <f>"20190305135612393"</f>
        <v>20190305135612393</v>
      </c>
      <c r="B1534" t="str">
        <f>"1551765372383034"</f>
        <v>1551765372383034</v>
      </c>
      <c r="C1534" t="s">
        <v>40</v>
      </c>
      <c r="D1534">
        <v>4.1845660000000002</v>
      </c>
      <c r="E1534">
        <v>0.5914798</v>
      </c>
      <c r="F1534" t="s">
        <v>61</v>
      </c>
      <c r="G1534">
        <v>-408.91379999999998</v>
      </c>
      <c r="H1534">
        <v>8.0000219999999997E-2</v>
      </c>
      <c r="I1534">
        <v>291.40539999999999</v>
      </c>
      <c r="J1534">
        <v>-361.88670000000002</v>
      </c>
      <c r="K1534">
        <v>1.105245</v>
      </c>
      <c r="L1534">
        <v>283.80130000000003</v>
      </c>
      <c r="M1534">
        <v>-0.99991169999999996</v>
      </c>
      <c r="N1534">
        <v>-6.796285E-3</v>
      </c>
      <c r="O1534">
        <v>1.143487E-2</v>
      </c>
      <c r="P1534">
        <v>-0.988653</v>
      </c>
      <c r="Q1534">
        <v>-0.13295270000000001</v>
      </c>
      <c r="R1534">
        <v>-6.9924210000000001E-2</v>
      </c>
      <c r="S1534">
        <v>-3.0616759999999998</v>
      </c>
      <c r="T1534">
        <v>-6.6075919999999996E-2</v>
      </c>
      <c r="U1534">
        <v>0.49038700000000002</v>
      </c>
      <c r="V1534">
        <v>-8.1845989999999993E-2</v>
      </c>
      <c r="W1534">
        <v>-0.12583449999999999</v>
      </c>
      <c r="X1534">
        <v>0.98866929999999997</v>
      </c>
      <c r="Y1534">
        <v>0.146809299999999</v>
      </c>
      <c r="Z1534">
        <v>1.908201E-3</v>
      </c>
      <c r="AA1534">
        <v>0.98916300000000001</v>
      </c>
      <c r="AB1534">
        <v>52</v>
      </c>
      <c r="AC1534">
        <v>-47.027099999999898</v>
      </c>
      <c r="AD1534">
        <v>-1.02524478</v>
      </c>
      <c r="AE1534">
        <v>7.6040999999999599</v>
      </c>
      <c r="AF1534">
        <v>7.0625704787276797</v>
      </c>
      <c r="AG1534">
        <v>-1.02524478</v>
      </c>
      <c r="AH1534">
        <v>47.089168344920502</v>
      </c>
      <c r="AI1534">
        <v>91.233478285627399</v>
      </c>
      <c r="AJ1534">
        <v>81.470192053225603</v>
      </c>
      <c r="AK1534">
        <v>47.626891605921301</v>
      </c>
      <c r="AL1534">
        <v>97.228949383170203</v>
      </c>
      <c r="AM1534">
        <v>94.732382319495301</v>
      </c>
      <c r="AN1534">
        <v>1.0000000361159</v>
      </c>
    </row>
    <row r="1535" spans="1:40" x14ac:dyDescent="0.25">
      <c r="A1535" t="str">
        <f>"20190305135612415"</f>
        <v>20190305135612415</v>
      </c>
      <c r="B1535" t="str">
        <f>"1551765372413292"</f>
        <v>1551765372413292</v>
      </c>
      <c r="C1535" t="s">
        <v>40</v>
      </c>
      <c r="D1535">
        <v>4.1979649999999999</v>
      </c>
      <c r="E1535">
        <v>0.59131160000000005</v>
      </c>
      <c r="F1535" t="s">
        <v>61</v>
      </c>
      <c r="G1535">
        <v>-409.08409999999998</v>
      </c>
      <c r="H1535">
        <v>8.0000210000000002E-2</v>
      </c>
      <c r="I1535">
        <v>291.44560000000001</v>
      </c>
      <c r="J1535">
        <v>-362.40429999999998</v>
      </c>
      <c r="K1535">
        <v>1.105186</v>
      </c>
      <c r="L1535">
        <v>283.80790000000002</v>
      </c>
      <c r="M1535">
        <v>-0.99989119999999998</v>
      </c>
      <c r="N1535">
        <v>-6.8173390000000004E-3</v>
      </c>
      <c r="O1535">
        <v>1.3087379999999999E-2</v>
      </c>
      <c r="P1535">
        <v>-0.98876379999999997</v>
      </c>
      <c r="Q1535">
        <v>-0.13310749999999999</v>
      </c>
      <c r="R1535">
        <v>-6.8035739999999997E-2</v>
      </c>
      <c r="S1535">
        <v>-3.0605159999999998</v>
      </c>
      <c r="T1535">
        <v>-6.6481949999999998E-2</v>
      </c>
      <c r="U1535">
        <v>0.495697</v>
      </c>
      <c r="V1535">
        <v>-8.16085E-2</v>
      </c>
      <c r="W1535">
        <v>-0.1259593</v>
      </c>
      <c r="X1535">
        <v>0.98867300000000002</v>
      </c>
      <c r="Y1535">
        <v>0.14690549999999999</v>
      </c>
      <c r="Z1535">
        <v>1.8954639999999999E-3</v>
      </c>
      <c r="AA1535">
        <v>0.98914869999999999</v>
      </c>
      <c r="AB1535">
        <v>52</v>
      </c>
      <c r="AC1535">
        <v>-46.6798</v>
      </c>
      <c r="AD1535">
        <v>-1.0251857900000001</v>
      </c>
      <c r="AE1535">
        <v>7.6376999999999899</v>
      </c>
      <c r="AF1535">
        <v>7.0228164050121</v>
      </c>
      <c r="AG1535">
        <v>-1.0251857900000001</v>
      </c>
      <c r="AH1535">
        <v>46.753798856235299</v>
      </c>
      <c r="AI1535">
        <v>91.242210806735798</v>
      </c>
      <c r="AJ1535">
        <v>81.457553357784505</v>
      </c>
      <c r="AK1535">
        <v>47.289413864540997</v>
      </c>
      <c r="AL1535">
        <v>97.236157533316799</v>
      </c>
      <c r="AM1535">
        <v>94.718695029052697</v>
      </c>
      <c r="AN1535">
        <v>0.99999999672886997</v>
      </c>
    </row>
    <row r="1536" spans="1:40" x14ac:dyDescent="0.25">
      <c r="A1536" t="str">
        <f>"20190305135612438"</f>
        <v>20190305135612438</v>
      </c>
      <c r="B1536" t="str">
        <f>"1551765372433786"</f>
        <v>1551765372433786</v>
      </c>
      <c r="C1536" t="s">
        <v>40</v>
      </c>
      <c r="D1536">
        <v>4.1940710000000001</v>
      </c>
      <c r="E1536">
        <v>0.5912153</v>
      </c>
      <c r="F1536" t="s">
        <v>61</v>
      </c>
      <c r="G1536">
        <v>-407.29250000000002</v>
      </c>
      <c r="H1536">
        <v>8.0000180000000004E-2</v>
      </c>
      <c r="I1536">
        <v>291.15010000000001</v>
      </c>
      <c r="J1536">
        <v>-362.92309999999998</v>
      </c>
      <c r="K1536">
        <v>1.105135</v>
      </c>
      <c r="L1536">
        <v>283.81529999999998</v>
      </c>
      <c r="M1536">
        <v>-0.99986790000000003</v>
      </c>
      <c r="N1536">
        <v>-6.8376579999999999E-3</v>
      </c>
      <c r="O1536">
        <v>1.4754659999999999E-2</v>
      </c>
      <c r="P1536">
        <v>-0.98882009999999998</v>
      </c>
      <c r="Q1536">
        <v>-0.13376150000000001</v>
      </c>
      <c r="R1536">
        <v>-6.5900399999999901E-2</v>
      </c>
      <c r="S1536">
        <v>-3.059113</v>
      </c>
      <c r="T1536">
        <v>-6.9865940000000001E-2</v>
      </c>
      <c r="U1536">
        <v>0.50036619999999998</v>
      </c>
      <c r="V1536">
        <v>-8.1139009999999998E-2</v>
      </c>
      <c r="W1536">
        <v>-0.1265867</v>
      </c>
      <c r="X1536">
        <v>0.9886315</v>
      </c>
      <c r="Y1536">
        <v>0.14679489999999901</v>
      </c>
      <c r="Z1536">
        <v>1.935935E-3</v>
      </c>
      <c r="AA1536">
        <v>0.98916510000000002</v>
      </c>
      <c r="AB1536">
        <v>52</v>
      </c>
      <c r="AC1536">
        <v>-44.369399999999999</v>
      </c>
      <c r="AD1536">
        <v>-1.0251348199999999</v>
      </c>
      <c r="AE1536">
        <v>7.3348000000000297</v>
      </c>
      <c r="AF1536">
        <v>6.6758619894429696</v>
      </c>
      <c r="AG1536">
        <v>-1.0251348199999999</v>
      </c>
      <c r="AH1536">
        <v>44.449697955923497</v>
      </c>
      <c r="AI1536">
        <v>91.306519221606194</v>
      </c>
      <c r="AJ1536">
        <v>81.458636124737893</v>
      </c>
      <c r="AK1536">
        <v>44.959911955808899</v>
      </c>
      <c r="AL1536">
        <v>97.272395037468996</v>
      </c>
      <c r="AM1536">
        <v>94.691866187626502</v>
      </c>
      <c r="AN1536">
        <v>0.99999998717645999</v>
      </c>
    </row>
    <row r="1537" spans="1:40" x14ac:dyDescent="0.25">
      <c r="A1537" t="str">
        <f>"20190305135612462"</f>
        <v>20190305135612462</v>
      </c>
      <c r="B1537" t="str">
        <f>"1551765372453306"</f>
        <v>1551765372453306</v>
      </c>
      <c r="C1537" t="s">
        <v>40</v>
      </c>
      <c r="D1537">
        <v>4.1917819999999999</v>
      </c>
      <c r="E1537">
        <v>0.59109250000000002</v>
      </c>
      <c r="F1537" t="s">
        <v>61</v>
      </c>
      <c r="G1537">
        <v>-405.69529999999997</v>
      </c>
      <c r="H1537">
        <v>8.000032E-2</v>
      </c>
      <c r="I1537">
        <v>290.8965</v>
      </c>
      <c r="J1537">
        <v>-363.48020000000002</v>
      </c>
      <c r="K1537">
        <v>1.105097</v>
      </c>
      <c r="L1537">
        <v>283.82409999999999</v>
      </c>
      <c r="M1537">
        <v>-0.99983979999999995</v>
      </c>
      <c r="N1537">
        <v>-6.8586389999999997E-3</v>
      </c>
      <c r="O1537">
        <v>1.653957E-2</v>
      </c>
      <c r="P1537">
        <v>-0.98896620000000002</v>
      </c>
      <c r="Q1537">
        <v>-0.13345799999999999</v>
      </c>
      <c r="R1537">
        <v>-6.4307089999999997E-2</v>
      </c>
      <c r="S1537">
        <v>-3.0577390000000002</v>
      </c>
      <c r="T1537">
        <v>-7.3285820000000002E-2</v>
      </c>
      <c r="U1537">
        <v>0.50622559999999905</v>
      </c>
      <c r="V1537">
        <v>-8.1321630000000006E-2</v>
      </c>
      <c r="W1537">
        <v>-0.1262537</v>
      </c>
      <c r="X1537">
        <v>0.98865910000000001</v>
      </c>
      <c r="Y1537">
        <v>0.1469414</v>
      </c>
      <c r="Z1537">
        <v>1.9753370000000002E-3</v>
      </c>
      <c r="AA1537">
        <v>0.98914329999999995</v>
      </c>
      <c r="AB1537">
        <v>52</v>
      </c>
      <c r="AC1537">
        <v>-42.2150999999999</v>
      </c>
      <c r="AD1537">
        <v>-1.0250966800000001</v>
      </c>
      <c r="AE1537">
        <v>7.0724000000000098</v>
      </c>
      <c r="AF1537">
        <v>6.36954332649979</v>
      </c>
      <c r="AG1537">
        <v>-1.0250966800000001</v>
      </c>
      <c r="AH1537">
        <v>42.302039996879202</v>
      </c>
      <c r="AI1537">
        <v>91.372697410956903</v>
      </c>
      <c r="AJ1537">
        <v>81.4371313486905</v>
      </c>
      <c r="AK1537">
        <v>42.791173076804903</v>
      </c>
      <c r="AL1537">
        <v>97.253161057990496</v>
      </c>
      <c r="AM1537">
        <v>94.702248206458094</v>
      </c>
      <c r="AN1537">
        <v>1.0000000101411699</v>
      </c>
    </row>
    <row r="1538" spans="1:40" x14ac:dyDescent="0.25">
      <c r="A1538" t="str">
        <f>"20190305135612483"</f>
        <v>20190305135612483</v>
      </c>
      <c r="B1538" t="str">
        <f>"1551765372473802"</f>
        <v>1551765372473802</v>
      </c>
      <c r="C1538" t="s">
        <v>40</v>
      </c>
      <c r="D1538">
        <v>4.1696390000000001</v>
      </c>
      <c r="E1538">
        <v>0.59085980000000005</v>
      </c>
      <c r="F1538" t="s">
        <v>61</v>
      </c>
      <c r="G1538">
        <v>-405.3218</v>
      </c>
      <c r="H1538">
        <v>8.0000329999999995E-2</v>
      </c>
      <c r="I1538">
        <v>290.80900000000003</v>
      </c>
      <c r="J1538">
        <v>-363.97570000000002</v>
      </c>
      <c r="K1538">
        <v>1.105084</v>
      </c>
      <c r="L1538">
        <v>283.8329</v>
      </c>
      <c r="M1538">
        <v>-0.99981249999999999</v>
      </c>
      <c r="N1538">
        <v>-6.8765850000000002E-3</v>
      </c>
      <c r="O1538">
        <v>1.810266E-2</v>
      </c>
      <c r="P1538">
        <v>-0.98909040000000004</v>
      </c>
      <c r="Q1538">
        <v>-0.133014299999999</v>
      </c>
      <c r="R1538">
        <v>-6.3307710000000003E-2</v>
      </c>
      <c r="S1538">
        <v>-3.0565799999999999</v>
      </c>
      <c r="T1538">
        <v>-7.4884530000000005E-2</v>
      </c>
      <c r="U1538">
        <v>0.51025390000000004</v>
      </c>
      <c r="V1538">
        <v>-8.1872449999999999E-2</v>
      </c>
      <c r="W1538">
        <v>-0.12578520000000001</v>
      </c>
      <c r="X1538">
        <v>0.98867329999999998</v>
      </c>
      <c r="Y1538">
        <v>0.1467224</v>
      </c>
      <c r="Z1538">
        <v>1.9761980000000002E-3</v>
      </c>
      <c r="AA1538">
        <v>0.98917569999999999</v>
      </c>
      <c r="AB1538">
        <v>52</v>
      </c>
      <c r="AC1538">
        <v>-41.3460999999999</v>
      </c>
      <c r="AD1538">
        <v>-1.0250836699999999</v>
      </c>
      <c r="AE1538">
        <v>6.9761000000000299</v>
      </c>
      <c r="AF1538">
        <v>6.2227455938984804</v>
      </c>
      <c r="AG1538">
        <v>-1.0250836699999999</v>
      </c>
      <c r="AH1538">
        <v>41.440845589940999</v>
      </c>
      <c r="AI1538">
        <v>91.401279917117805</v>
      </c>
      <c r="AJ1538">
        <v>81.460284929450197</v>
      </c>
      <c r="AK1538">
        <v>41.917979942576203</v>
      </c>
      <c r="AL1538">
        <v>97.226102671573202</v>
      </c>
      <c r="AM1538">
        <v>94.733886234394404</v>
      </c>
      <c r="AN1538">
        <v>0.99999995437046496</v>
      </c>
    </row>
    <row r="1539" spans="1:40" x14ac:dyDescent="0.25">
      <c r="A1539" t="str">
        <f>"20190305135612505"</f>
        <v>20190305135612505</v>
      </c>
      <c r="B1539" t="str">
        <f>"1551765372493322"</f>
        <v>1551765372493322</v>
      </c>
      <c r="C1539" t="s">
        <v>40</v>
      </c>
      <c r="D1539">
        <v>4.1440440000000001</v>
      </c>
      <c r="E1539">
        <v>0.59070349999999905</v>
      </c>
      <c r="F1539" t="s">
        <v>61</v>
      </c>
      <c r="G1539">
        <v>-404.02969999999999</v>
      </c>
      <c r="H1539">
        <v>8.0000150000000006E-2</v>
      </c>
      <c r="I1539">
        <v>290.54559999999998</v>
      </c>
      <c r="J1539">
        <v>-364.48379999999997</v>
      </c>
      <c r="K1539">
        <v>1.105084</v>
      </c>
      <c r="L1539">
        <v>283.84249999999997</v>
      </c>
      <c r="M1539">
        <v>-0.99978299999999998</v>
      </c>
      <c r="N1539">
        <v>-6.8940319999999996E-3</v>
      </c>
      <c r="O1539">
        <v>1.9656650000000001E-2</v>
      </c>
      <c r="P1539">
        <v>-0.98924480000000004</v>
      </c>
      <c r="Q1539">
        <v>-0.13234789999999999</v>
      </c>
      <c r="R1539">
        <v>-6.2282690000000002E-2</v>
      </c>
      <c r="S1539">
        <v>-3.0553590000000002</v>
      </c>
      <c r="T1539">
        <v>-7.8194379999999994E-2</v>
      </c>
      <c r="U1539">
        <v>0.51205440000000002</v>
      </c>
      <c r="V1539">
        <v>-8.2382659999999996E-2</v>
      </c>
      <c r="W1539">
        <v>-0.12509819999999999</v>
      </c>
      <c r="X1539">
        <v>0.98871819999999999</v>
      </c>
      <c r="Y1539">
        <v>0.14581250000000001</v>
      </c>
      <c r="Z1539">
        <v>1.9941970000000001E-3</v>
      </c>
      <c r="AA1539">
        <v>0.98931020000000003</v>
      </c>
      <c r="AB1539">
        <v>52</v>
      </c>
      <c r="AC1539">
        <v>-39.545900000000003</v>
      </c>
      <c r="AD1539">
        <v>-1.0250838499999999</v>
      </c>
      <c r="AE1539">
        <v>6.7031000000000001</v>
      </c>
      <c r="AF1539">
        <v>5.9205793870441097</v>
      </c>
      <c r="AG1539">
        <v>-1.0250838499999999</v>
      </c>
      <c r="AH1539">
        <v>39.644128941628701</v>
      </c>
      <c r="AI1539">
        <v>91.464935810696304</v>
      </c>
      <c r="AJ1539">
        <v>81.506044103950799</v>
      </c>
      <c r="AK1539">
        <v>40.096895350117897</v>
      </c>
      <c r="AL1539">
        <v>97.186426230412494</v>
      </c>
      <c r="AM1539">
        <v>94.763036073383304</v>
      </c>
      <c r="AN1539">
        <v>1.0000000706615699</v>
      </c>
    </row>
    <row r="1540" spans="1:40" x14ac:dyDescent="0.25">
      <c r="A1540" t="str">
        <f>"20190305135612527"</f>
        <v>20190305135612527</v>
      </c>
      <c r="B1540" t="str">
        <f>"1551765372523579"</f>
        <v>1551765372523579</v>
      </c>
      <c r="C1540" t="s">
        <v>40</v>
      </c>
      <c r="D1540">
        <v>4.1548189999999998</v>
      </c>
      <c r="E1540">
        <v>0.57764700000000002</v>
      </c>
      <c r="F1540" t="s">
        <v>61</v>
      </c>
      <c r="G1540">
        <v>-403.35210000000001</v>
      </c>
      <c r="H1540">
        <v>8.0000039999999994E-2</v>
      </c>
      <c r="I1540">
        <v>290.3947</v>
      </c>
      <c r="J1540">
        <v>-365.01409999999998</v>
      </c>
      <c r="K1540">
        <v>1.105102</v>
      </c>
      <c r="L1540">
        <v>283.85340000000002</v>
      </c>
      <c r="M1540">
        <v>-0.99975150000000002</v>
      </c>
      <c r="N1540">
        <v>-6.9111999999999897E-3</v>
      </c>
      <c r="O1540">
        <v>2.1197480000000001E-2</v>
      </c>
      <c r="P1540">
        <v>-0.98941080000000003</v>
      </c>
      <c r="Q1540">
        <v>-0.13162579999999999</v>
      </c>
      <c r="R1540">
        <v>-6.1162550000000003E-2</v>
      </c>
      <c r="S1540">
        <v>-3.05423</v>
      </c>
      <c r="T1540">
        <v>-8.0549960000000004E-2</v>
      </c>
      <c r="U1540">
        <v>0.51486209999999999</v>
      </c>
      <c r="V1540">
        <v>-8.2777920000000005E-2</v>
      </c>
      <c r="W1540">
        <v>-0.1243614</v>
      </c>
      <c r="X1540">
        <v>0.98877809999999999</v>
      </c>
      <c r="Y1540">
        <v>0.14522939999999901</v>
      </c>
      <c r="Z1540">
        <v>1.9976030000000001E-3</v>
      </c>
      <c r="AA1540">
        <v>0.98939600000000005</v>
      </c>
      <c r="AB1540">
        <v>52</v>
      </c>
      <c r="AC1540">
        <v>-38.338000000000001</v>
      </c>
      <c r="AD1540">
        <v>-1.02510196</v>
      </c>
      <c r="AE1540">
        <v>6.5412999999999704</v>
      </c>
      <c r="AF1540">
        <v>5.7231657969813696</v>
      </c>
      <c r="AG1540">
        <v>-1.02510196</v>
      </c>
      <c r="AH1540">
        <v>38.441341586723802</v>
      </c>
      <c r="AI1540">
        <v>91.510879717203096</v>
      </c>
      <c r="AJ1540">
        <v>81.531976366404095</v>
      </c>
      <c r="AK1540">
        <v>38.878557120285599</v>
      </c>
      <c r="AL1540">
        <v>97.143878681272795</v>
      </c>
      <c r="AM1540">
        <v>94.785493958988695</v>
      </c>
      <c r="AN1540">
        <v>1.0000000364445401</v>
      </c>
    </row>
    <row r="1541" spans="1:40" x14ac:dyDescent="0.25">
      <c r="A1541" t="str">
        <f>"20190305135612551"</f>
        <v>20190305135612551</v>
      </c>
      <c r="B1541" t="str">
        <f>"1551765372543098"</f>
        <v>1551765372543098</v>
      </c>
      <c r="C1541" t="s">
        <v>40</v>
      </c>
      <c r="D1541">
        <v>4.1376679999999997</v>
      </c>
      <c r="E1541">
        <v>0.57599880000000003</v>
      </c>
      <c r="F1541" t="s">
        <v>55</v>
      </c>
      <c r="G1541">
        <v>-388.7004</v>
      </c>
      <c r="H1541" s="1">
        <v>3.093114E-6</v>
      </c>
      <c r="I1541">
        <v>287.11739999999998</v>
      </c>
      <c r="J1541">
        <v>-365.56259999999997</v>
      </c>
      <c r="K1541">
        <v>1.105156</v>
      </c>
      <c r="L1541">
        <v>283.86540000000002</v>
      </c>
      <c r="M1541">
        <v>-0.99971909999999997</v>
      </c>
      <c r="N1541">
        <v>-6.9280679999999999E-3</v>
      </c>
      <c r="O1541">
        <v>2.2667900000000001E-2</v>
      </c>
      <c r="P1541">
        <v>-0.98955020000000005</v>
      </c>
      <c r="Q1541">
        <v>-0.13130339999999999</v>
      </c>
      <c r="R1541">
        <v>-5.958306E-2</v>
      </c>
      <c r="S1541">
        <v>-3.0390929999999998</v>
      </c>
      <c r="T1541">
        <v>-0.1417911</v>
      </c>
      <c r="U1541">
        <v>0.41879270000000002</v>
      </c>
      <c r="V1541">
        <v>-8.2635630000000002E-2</v>
      </c>
      <c r="W1541">
        <v>-0.12403400000000001</v>
      </c>
      <c r="X1541">
        <v>0.98883109999999996</v>
      </c>
      <c r="Y1541">
        <v>0.1138982</v>
      </c>
      <c r="Z1541">
        <v>2.1444739999999999E-3</v>
      </c>
      <c r="AA1541">
        <v>0.99349010000000004</v>
      </c>
      <c r="AB1541">
        <v>52</v>
      </c>
      <c r="AC1541">
        <v>-23.137799999999999</v>
      </c>
      <c r="AD1541">
        <v>-1.105152906886</v>
      </c>
      <c r="AE1541">
        <v>3.25199999999995</v>
      </c>
      <c r="AF1541">
        <v>2.7205799774185202</v>
      </c>
      <c r="AG1541">
        <v>-1.105152906886</v>
      </c>
      <c r="AH1541">
        <v>23.153772574973601</v>
      </c>
      <c r="AI1541">
        <v>92.7140680309397</v>
      </c>
      <c r="AJ1541">
        <v>83.298445597354501</v>
      </c>
      <c r="AK1541">
        <v>23.339239550909301</v>
      </c>
      <c r="AL1541">
        <v>97.124973843587</v>
      </c>
      <c r="AM1541">
        <v>94.777051231111201</v>
      </c>
      <c r="AN1541">
        <v>1.00000001241435</v>
      </c>
    </row>
    <row r="1542" spans="1:40" x14ac:dyDescent="0.25">
      <c r="A1542" t="str">
        <f>"20190305135612583"</f>
        <v>20190305135612583</v>
      </c>
      <c r="B1542" t="str">
        <f>"1551765372573354"</f>
        <v>1551765372573354</v>
      </c>
      <c r="C1542" t="s">
        <v>40</v>
      </c>
      <c r="D1542">
        <v>4.1494039999999996</v>
      </c>
      <c r="E1542">
        <v>0.57594650000000003</v>
      </c>
      <c r="F1542" t="s">
        <v>55</v>
      </c>
      <c r="G1542">
        <v>-389.85430000000002</v>
      </c>
      <c r="H1542" s="1">
        <v>3.7071960000000002E-6</v>
      </c>
      <c r="I1542">
        <v>287.15010000000001</v>
      </c>
      <c r="J1542">
        <v>-366.32909999999998</v>
      </c>
      <c r="K1542">
        <v>1.1052709999999999</v>
      </c>
      <c r="L1542">
        <v>283.88350000000003</v>
      </c>
      <c r="M1542">
        <v>-0.99967720000000004</v>
      </c>
      <c r="N1542">
        <v>-6.9505160000000003E-3</v>
      </c>
      <c r="O1542">
        <v>2.4441879999999999E-2</v>
      </c>
      <c r="P1542">
        <v>-0.98952430000000002</v>
      </c>
      <c r="Q1542">
        <v>-0.1326165</v>
      </c>
      <c r="R1542">
        <v>-5.7051449999999997E-2</v>
      </c>
      <c r="S1542">
        <v>-3.038116</v>
      </c>
      <c r="T1542">
        <v>-0.13821889999999901</v>
      </c>
      <c r="U1542">
        <v>0.41079710000000003</v>
      </c>
      <c r="V1542">
        <v>-8.1822220000000001E-2</v>
      </c>
      <c r="W1542">
        <v>-0.12535679999999999</v>
      </c>
      <c r="X1542">
        <v>0.9887319</v>
      </c>
      <c r="Y1542">
        <v>0.1096222</v>
      </c>
      <c r="Z1542">
        <v>1.9272689999999999E-3</v>
      </c>
      <c r="AA1542">
        <v>0.99397150000000001</v>
      </c>
      <c r="AB1542">
        <v>53</v>
      </c>
      <c r="AC1542">
        <v>-23.525200000000002</v>
      </c>
      <c r="AD1542">
        <v>-1.1052672928039999</v>
      </c>
      <c r="AE1542">
        <v>3.26659999999998</v>
      </c>
      <c r="AF1542">
        <v>2.6847959837816902</v>
      </c>
      <c r="AG1542">
        <v>-1.1052672928039999</v>
      </c>
      <c r="AH1542">
        <v>23.547022385272701</v>
      </c>
      <c r="AI1542">
        <v>92.670143625743606</v>
      </c>
      <c r="AJ1542">
        <v>83.4953120136541</v>
      </c>
      <c r="AK1542">
        <v>23.725345276214799</v>
      </c>
      <c r="AL1542">
        <v>97.201361088633007</v>
      </c>
      <c r="AM1542">
        <v>94.730715986787501</v>
      </c>
      <c r="AN1542">
        <v>0.99999998653478905</v>
      </c>
    </row>
    <row r="1543" spans="1:40" x14ac:dyDescent="0.25">
      <c r="A1543" t="str">
        <f>"20190305135612605"</f>
        <v>20190305135612605</v>
      </c>
      <c r="B1543" t="str">
        <f>"1551765372593850"</f>
        <v>1551765372593850</v>
      </c>
      <c r="C1543" t="s">
        <v>40</v>
      </c>
      <c r="D1543">
        <v>4.1011049999999996</v>
      </c>
      <c r="E1543">
        <v>0.57648149999999998</v>
      </c>
      <c r="F1543" t="s">
        <v>55</v>
      </c>
      <c r="G1543">
        <v>-392.0385</v>
      </c>
      <c r="H1543" s="1">
        <v>-4.5200849999999999E-7</v>
      </c>
      <c r="I1543">
        <v>287.41890000000001</v>
      </c>
      <c r="J1543">
        <v>-366.84690000000001</v>
      </c>
      <c r="K1543">
        <v>1.10537</v>
      </c>
      <c r="L1543">
        <v>283.8963</v>
      </c>
      <c r="M1543">
        <v>-0.99965139999999997</v>
      </c>
      <c r="N1543">
        <v>-6.9659830000000002E-3</v>
      </c>
      <c r="O1543">
        <v>2.5472089999999999E-2</v>
      </c>
      <c r="P1543">
        <v>-0.98946420000000002</v>
      </c>
      <c r="Q1543">
        <v>-0.1337536</v>
      </c>
      <c r="R1543">
        <v>-5.5415399999999997E-2</v>
      </c>
      <c r="S1543">
        <v>-3.0383300000000002</v>
      </c>
      <c r="T1543">
        <v>-0.1306206</v>
      </c>
      <c r="U1543">
        <v>0.41781620000000003</v>
      </c>
      <c r="V1543">
        <v>-8.1174270000000007E-2</v>
      </c>
      <c r="W1543">
        <v>-0.12650429999999999</v>
      </c>
      <c r="X1543">
        <v>0.98863920000000005</v>
      </c>
      <c r="Y1543">
        <v>0.1108528</v>
      </c>
      <c r="Z1543">
        <v>1.846461E-3</v>
      </c>
      <c r="AA1543">
        <v>0.99383520000000003</v>
      </c>
      <c r="AB1543">
        <v>53</v>
      </c>
      <c r="AC1543">
        <v>-25.191599999999902</v>
      </c>
      <c r="AD1543">
        <v>-1.1053704520084999</v>
      </c>
      <c r="AE1543">
        <v>3.5226000000000099</v>
      </c>
      <c r="AF1543">
        <v>2.8743309047533399</v>
      </c>
      <c r="AG1543">
        <v>-1.1053704520084999</v>
      </c>
      <c r="AH1543">
        <v>25.225520016553499</v>
      </c>
      <c r="AI1543">
        <v>92.492958092920304</v>
      </c>
      <c r="AJ1543">
        <v>83.499448552262805</v>
      </c>
      <c r="AK1543">
        <v>25.412801539612602</v>
      </c>
      <c r="AL1543">
        <v>97.267635261726795</v>
      </c>
      <c r="AM1543">
        <v>94.6938595948168</v>
      </c>
      <c r="AN1543">
        <v>1.0000000339025801</v>
      </c>
    </row>
    <row r="1544" spans="1:40" x14ac:dyDescent="0.25">
      <c r="A1544" t="str">
        <f>"20190305135612627"</f>
        <v>20190305135612627</v>
      </c>
      <c r="B1544" t="str">
        <f>"1551765372623639"</f>
        <v>1551765372623639</v>
      </c>
      <c r="C1544" t="s">
        <v>40</v>
      </c>
      <c r="D1544">
        <v>4.1567470000000002</v>
      </c>
      <c r="E1544">
        <v>0.57645349999999995</v>
      </c>
      <c r="F1544" t="s">
        <v>55</v>
      </c>
      <c r="G1544">
        <v>-393.05290000000002</v>
      </c>
      <c r="H1544" s="1">
        <v>8.7812740000000003E-8</v>
      </c>
      <c r="I1544">
        <v>287.57749999999999</v>
      </c>
      <c r="J1544">
        <v>-367.38479999999998</v>
      </c>
      <c r="K1544">
        <v>1.1055010000000001</v>
      </c>
      <c r="L1544">
        <v>283.9101</v>
      </c>
      <c r="M1544">
        <v>-0.99962819999999997</v>
      </c>
      <c r="N1544">
        <v>-6.9820380000000003E-3</v>
      </c>
      <c r="O1544">
        <v>2.636179E-2</v>
      </c>
      <c r="P1544">
        <v>-0.98944710000000002</v>
      </c>
      <c r="Q1544">
        <v>-0.1344089</v>
      </c>
      <c r="R1544">
        <v>-5.4121269999999999E-2</v>
      </c>
      <c r="S1544">
        <v>-3.038513</v>
      </c>
      <c r="T1544">
        <v>-0.12816440000000001</v>
      </c>
      <c r="U1544">
        <v>0.4268188</v>
      </c>
      <c r="V1544">
        <v>-8.0718520000000002E-2</v>
      </c>
      <c r="W1544">
        <v>-0.1271736</v>
      </c>
      <c r="X1544">
        <v>0.98859059999999999</v>
      </c>
      <c r="Y1544">
        <v>0.1128506</v>
      </c>
      <c r="Z1544">
        <v>1.8412260000000001E-3</v>
      </c>
      <c r="AA1544">
        <v>0.99361029999999995</v>
      </c>
      <c r="AB1544">
        <v>53</v>
      </c>
      <c r="AC1544">
        <v>-25.668099999999999</v>
      </c>
      <c r="AD1544">
        <v>-1.1055009121872501</v>
      </c>
      <c r="AE1544">
        <v>3.6673999999999798</v>
      </c>
      <c r="AF1544">
        <v>2.9840274524716301</v>
      </c>
      <c r="AG1544">
        <v>-1.1055009121872501</v>
      </c>
      <c r="AH1544">
        <v>25.709125710224001</v>
      </c>
      <c r="AI1544">
        <v>92.445820901308807</v>
      </c>
      <c r="AJ1544">
        <v>83.379372340862304</v>
      </c>
      <c r="AK1544">
        <v>25.905321787000599</v>
      </c>
      <c r="AL1544">
        <v>97.306295901537595</v>
      </c>
      <c r="AM1544">
        <v>94.667851310954802</v>
      </c>
      <c r="AN1544">
        <v>0.99999998920815503</v>
      </c>
    </row>
    <row r="1545" spans="1:40" x14ac:dyDescent="0.25">
      <c r="A1545" t="str">
        <f>"20190305135612650"</f>
        <v>20190305135612650</v>
      </c>
      <c r="B1545" t="str">
        <f>"1551765372643159"</f>
        <v>1551765372643159</v>
      </c>
      <c r="C1545" t="s">
        <v>40</v>
      </c>
      <c r="D1545">
        <v>4.1600380000000001</v>
      </c>
      <c r="E1545">
        <v>0.57644510000000004</v>
      </c>
      <c r="F1545" t="s">
        <v>55</v>
      </c>
      <c r="G1545">
        <v>-392.9128</v>
      </c>
      <c r="H1545" s="1">
        <v>1.326606E-8</v>
      </c>
      <c r="I1545">
        <v>287.529</v>
      </c>
      <c r="J1545">
        <v>-367.93430000000001</v>
      </c>
      <c r="K1545">
        <v>1.1056779999999999</v>
      </c>
      <c r="L1545">
        <v>283.9246</v>
      </c>
      <c r="M1545">
        <v>-0.99960970000000005</v>
      </c>
      <c r="N1545">
        <v>-6.9987019999999999E-3</v>
      </c>
      <c r="O1545">
        <v>2.7050850000000001E-2</v>
      </c>
      <c r="P1545">
        <v>-0.9894577</v>
      </c>
      <c r="Q1545">
        <v>-0.13465429999999901</v>
      </c>
      <c r="R1545">
        <v>-5.3311169999999998E-2</v>
      </c>
      <c r="S1545">
        <v>-3.0377200000000002</v>
      </c>
      <c r="T1545">
        <v>-0.13154950000000001</v>
      </c>
      <c r="U1545">
        <v>0.4306335</v>
      </c>
      <c r="V1545">
        <v>-8.0537570000000003E-2</v>
      </c>
      <c r="W1545">
        <v>-0.12743689999999999</v>
      </c>
      <c r="X1545">
        <v>0.98857150000000005</v>
      </c>
      <c r="Y1545">
        <v>0.1134199</v>
      </c>
      <c r="Z1545">
        <v>1.8655849999999999E-3</v>
      </c>
      <c r="AA1545">
        <v>0.99354540000000002</v>
      </c>
      <c r="AB1545">
        <v>53</v>
      </c>
      <c r="AC1545">
        <v>-24.9785</v>
      </c>
      <c r="AD1545">
        <v>-1.1056779867339399</v>
      </c>
      <c r="AE1545">
        <v>3.6043999999999898</v>
      </c>
      <c r="AF1545">
        <v>2.9217666735153598</v>
      </c>
      <c r="AG1545">
        <v>-1.1056779867339399</v>
      </c>
      <c r="AH1545">
        <v>25.018841204225801</v>
      </c>
      <c r="AI1545">
        <v>92.513413367708097</v>
      </c>
      <c r="AJ1545">
        <v>83.339018701258098</v>
      </c>
      <c r="AK1545">
        <v>25.213124746986001</v>
      </c>
      <c r="AL1545">
        <v>97.321505280329106</v>
      </c>
      <c r="AM1545">
        <v>94.657522873729803</v>
      </c>
      <c r="AN1545">
        <v>1.00000003713768</v>
      </c>
    </row>
    <row r="1546" spans="1:40" x14ac:dyDescent="0.25">
      <c r="A1546" t="str">
        <f>"20190305135612672"</f>
        <v>20190305135612672</v>
      </c>
      <c r="B1546" t="str">
        <f>"1551765372663658"</f>
        <v>1551765372663658</v>
      </c>
      <c r="C1546" t="s">
        <v>40</v>
      </c>
      <c r="D1546">
        <v>3.974485</v>
      </c>
      <c r="E1546">
        <v>0.57596740000000002</v>
      </c>
      <c r="F1546" t="s">
        <v>55</v>
      </c>
      <c r="G1546">
        <v>-393.24419999999998</v>
      </c>
      <c r="H1546" s="1">
        <v>1.896146E-7</v>
      </c>
      <c r="I1546">
        <v>287.53089999999997</v>
      </c>
      <c r="J1546">
        <v>-368.44510000000002</v>
      </c>
      <c r="K1546">
        <v>1.1058479999999999</v>
      </c>
      <c r="L1546">
        <v>283.93830000000003</v>
      </c>
      <c r="M1546">
        <v>-0.99959679999999995</v>
      </c>
      <c r="N1546">
        <v>-7.0144639999999998E-3</v>
      </c>
      <c r="O1546">
        <v>2.7515120000000001E-2</v>
      </c>
      <c r="P1546">
        <v>-0.98947350000000001</v>
      </c>
      <c r="Q1546">
        <v>-0.13482429999999901</v>
      </c>
      <c r="R1546">
        <v>-5.2581200000000002E-2</v>
      </c>
      <c r="S1546">
        <v>-3.0372620000000001</v>
      </c>
      <c r="T1546">
        <v>-0.13268440000000001</v>
      </c>
      <c r="U1546">
        <v>0.43276979999999998</v>
      </c>
      <c r="V1546">
        <v>-8.0215549999999997E-2</v>
      </c>
      <c r="W1546">
        <v>-0.12762519999999999</v>
      </c>
      <c r="X1546">
        <v>0.98857340000000005</v>
      </c>
      <c r="Y1546">
        <v>0.1136626</v>
      </c>
      <c r="Z1546">
        <v>1.867294E-3</v>
      </c>
      <c r="AA1546">
        <v>0.9935176</v>
      </c>
      <c r="AB1546">
        <v>53</v>
      </c>
      <c r="AC1546">
        <v>-24.7990999999999</v>
      </c>
      <c r="AD1546">
        <v>-1.1058478103853999</v>
      </c>
      <c r="AE1546">
        <v>3.5925999999999401</v>
      </c>
      <c r="AF1546">
        <v>2.90321845064279</v>
      </c>
      <c r="AG1546">
        <v>-1.1058478103853999</v>
      </c>
      <c r="AH1546">
        <v>24.840184904082399</v>
      </c>
      <c r="AI1546">
        <v>92.531828119346201</v>
      </c>
      <c r="AJ1546">
        <v>83.333749208044097</v>
      </c>
      <c r="AK1546">
        <v>25.033704536502199</v>
      </c>
      <c r="AL1546">
        <v>97.332382825312095</v>
      </c>
      <c r="AM1546">
        <v>94.638972880423495</v>
      </c>
      <c r="AN1546">
        <v>1.0000000466622001</v>
      </c>
    </row>
    <row r="1547" spans="1:40" x14ac:dyDescent="0.25">
      <c r="A1547" t="str">
        <f>"20190305135612694"</f>
        <v>20190305135612694</v>
      </c>
      <c r="B1547" t="str">
        <f>"1551765372683175"</f>
        <v>1551765372683175</v>
      </c>
      <c r="C1547" t="s">
        <v>40</v>
      </c>
      <c r="D1547">
        <v>4.1141449999999997</v>
      </c>
      <c r="E1547">
        <v>0.51591220000000004</v>
      </c>
      <c r="F1547" t="s">
        <v>55</v>
      </c>
      <c r="G1547">
        <v>-393.7978</v>
      </c>
      <c r="H1547" s="1">
        <v>4.8419709999999896E-7</v>
      </c>
      <c r="I1547">
        <v>287.53750000000002</v>
      </c>
      <c r="J1547">
        <v>-368.9683</v>
      </c>
      <c r="K1547">
        <v>1.1060209999999999</v>
      </c>
      <c r="L1547">
        <v>283.95260000000002</v>
      </c>
      <c r="M1547">
        <v>-0.99958740000000001</v>
      </c>
      <c r="N1547">
        <v>-7.0308949999999997E-3</v>
      </c>
      <c r="O1547">
        <v>2.7853429999999998E-2</v>
      </c>
      <c r="P1547">
        <v>-0.98957490000000004</v>
      </c>
      <c r="Q1547">
        <v>-0.13445989999999999</v>
      </c>
      <c r="R1547">
        <v>-5.1598779999999997E-2</v>
      </c>
      <c r="S1547">
        <v>-3.0367739999999999</v>
      </c>
      <c r="T1547">
        <v>-0.13245989999999999</v>
      </c>
      <c r="U1547">
        <v>0.4311218</v>
      </c>
      <c r="V1547">
        <v>-7.9517190000000001E-2</v>
      </c>
      <c r="W1547">
        <v>-0.12727840000000001</v>
      </c>
      <c r="X1547">
        <v>0.98867450000000001</v>
      </c>
      <c r="Y1547">
        <v>0.11282150000000001</v>
      </c>
      <c r="Z1547">
        <v>1.833264E-3</v>
      </c>
      <c r="AA1547">
        <v>0.99361359999999999</v>
      </c>
      <c r="AB1547">
        <v>53</v>
      </c>
      <c r="AC1547">
        <v>-24.829499999999999</v>
      </c>
      <c r="AD1547">
        <v>-1.1060205158029</v>
      </c>
      <c r="AE1547">
        <v>3.5849000000000002</v>
      </c>
      <c r="AF1547">
        <v>2.88629518978163</v>
      </c>
      <c r="AG1547">
        <v>-1.1060205158029</v>
      </c>
      <c r="AH1547">
        <v>24.871377730768302</v>
      </c>
      <c r="AI1547">
        <v>92.529291338585907</v>
      </c>
      <c r="AJ1547">
        <v>83.380499457290497</v>
      </c>
      <c r="AK1547">
        <v>25.062709580779401</v>
      </c>
      <c r="AL1547">
        <v>97.312349461767596</v>
      </c>
      <c r="AM1547">
        <v>94.598291528255302</v>
      </c>
      <c r="AN1547">
        <v>1.0000000207811499</v>
      </c>
    </row>
    <row r="1548" spans="1:40" x14ac:dyDescent="0.25">
      <c r="A1548" t="str">
        <f>"20190305135612716"</f>
        <v>20190305135612716</v>
      </c>
      <c r="B1548" t="str">
        <f>"1551765372713431"</f>
        <v>1551765372713431</v>
      </c>
      <c r="C1548" t="s">
        <v>40</v>
      </c>
      <c r="D1548">
        <v>4.0305030000000004</v>
      </c>
      <c r="E1548">
        <v>0.50864299999999996</v>
      </c>
      <c r="F1548" t="s">
        <v>61</v>
      </c>
      <c r="G1548">
        <v>-403.61369999999999</v>
      </c>
      <c r="H1548" s="1">
        <v>7.0482560000000004E-6</v>
      </c>
      <c r="I1548">
        <v>283.4135</v>
      </c>
      <c r="J1548">
        <v>-369.49610000000001</v>
      </c>
      <c r="K1548">
        <v>1.106187</v>
      </c>
      <c r="L1548">
        <v>283.96730000000002</v>
      </c>
      <c r="M1548">
        <v>-0.99958130000000001</v>
      </c>
      <c r="N1548">
        <v>-7.0474709999999996E-3</v>
      </c>
      <c r="O1548">
        <v>2.8065779999999999E-2</v>
      </c>
      <c r="P1548">
        <v>-0.98966339999999997</v>
      </c>
      <c r="Q1548">
        <v>-0.1341108</v>
      </c>
      <c r="R1548">
        <v>-5.0802229999999997E-2</v>
      </c>
      <c r="S1548">
        <v>-3.0160830000000001</v>
      </c>
      <c r="T1548">
        <v>-9.6284750000000002E-2</v>
      </c>
      <c r="U1548">
        <v>-4.6936039999999998E-2</v>
      </c>
      <c r="V1548">
        <v>-7.8881300000000001E-2</v>
      </c>
      <c r="W1548">
        <v>-0.12694549999999999</v>
      </c>
      <c r="X1548">
        <v>0.98876819999999999</v>
      </c>
      <c r="Y1548">
        <v>-4.3581210000000002E-2</v>
      </c>
      <c r="Z1548">
        <v>-1.5469380000000001E-3</v>
      </c>
      <c r="AA1548">
        <v>0.99904870000000001</v>
      </c>
      <c r="AB1548">
        <v>53</v>
      </c>
      <c r="AC1548">
        <v>-34.117599999999896</v>
      </c>
      <c r="AD1548">
        <v>-1.1061799517440001</v>
      </c>
      <c r="AE1548">
        <v>-0.55380000000002305</v>
      </c>
      <c r="AF1548">
        <v>-1.50955614734487</v>
      </c>
      <c r="AG1548">
        <v>-1.1061799517440001</v>
      </c>
      <c r="AH1548">
        <v>34.052828792718302</v>
      </c>
      <c r="AI1548">
        <v>91.858730928952497</v>
      </c>
      <c r="AJ1548">
        <v>92.538250429072704</v>
      </c>
      <c r="AK1548">
        <v>34.104215907037201</v>
      </c>
      <c r="AL1548">
        <v>97.293119964739802</v>
      </c>
      <c r="AM1548">
        <v>94.561244866186499</v>
      </c>
      <c r="AN1548">
        <v>0.99999998639558896</v>
      </c>
    </row>
    <row r="1549" spans="1:40" x14ac:dyDescent="0.25">
      <c r="A1549" t="str">
        <f>"20190305135612741"</f>
        <v>20190305135612741</v>
      </c>
      <c r="B1549" t="str">
        <f>"1551765372733926"</f>
        <v>1551765372733926</v>
      </c>
      <c r="C1549" t="s">
        <v>40</v>
      </c>
      <c r="D1549">
        <v>4.0125699999999904</v>
      </c>
      <c r="E1549">
        <v>0.50784379999999996</v>
      </c>
      <c r="F1549" t="s">
        <v>61</v>
      </c>
      <c r="G1549">
        <v>-404.75110000000001</v>
      </c>
      <c r="H1549" s="1">
        <v>6.67756E-6</v>
      </c>
      <c r="I1549">
        <v>282.76650000000001</v>
      </c>
      <c r="J1549">
        <v>-370.07769999999999</v>
      </c>
      <c r="K1549">
        <v>1.106366</v>
      </c>
      <c r="L1549">
        <v>283.98349999999999</v>
      </c>
      <c r="M1549">
        <v>-0.99957850000000004</v>
      </c>
      <c r="N1549">
        <v>-7.066063E-3</v>
      </c>
      <c r="O1549">
        <v>2.8160899999999999E-2</v>
      </c>
      <c r="P1549">
        <v>-0.98967340000000004</v>
      </c>
      <c r="Q1549">
        <v>-0.134180299999999</v>
      </c>
      <c r="R1549">
        <v>-5.0423309999999999E-2</v>
      </c>
      <c r="S1549">
        <v>-3.0132750000000001</v>
      </c>
      <c r="T1549">
        <v>-9.4545959999999998E-2</v>
      </c>
      <c r="U1549">
        <v>-0.1026306</v>
      </c>
      <c r="V1549">
        <v>-7.8541899999999998E-2</v>
      </c>
      <c r="W1549">
        <v>-0.12703130000000001</v>
      </c>
      <c r="X1549">
        <v>0.9887842</v>
      </c>
      <c r="Y1549">
        <v>-6.2125800000000002E-2</v>
      </c>
      <c r="Z1549">
        <v>-1.8779929999999999E-3</v>
      </c>
      <c r="AA1549">
        <v>0.99806649999999997</v>
      </c>
      <c r="AB1549">
        <v>53</v>
      </c>
      <c r="AC1549">
        <v>-34.673400000000001</v>
      </c>
      <c r="AD1549">
        <v>-1.1063593224399999</v>
      </c>
      <c r="AE1549">
        <v>-1.2169999999999801</v>
      </c>
      <c r="AF1549">
        <v>-2.1907480720676902</v>
      </c>
      <c r="AG1549">
        <v>-1.1063593224399999</v>
      </c>
      <c r="AH1549">
        <v>34.590201597038302</v>
      </c>
      <c r="AI1549">
        <v>91.828306529106897</v>
      </c>
      <c r="AJ1549">
        <v>93.623950840588407</v>
      </c>
      <c r="AK1549">
        <v>34.677160417043503</v>
      </c>
      <c r="AL1549">
        <v>97.298076056698093</v>
      </c>
      <c r="AM1549">
        <v>94.541628444873496</v>
      </c>
      <c r="AN1549">
        <v>0.99999998770246901</v>
      </c>
    </row>
    <row r="1550" spans="1:40" x14ac:dyDescent="0.25">
      <c r="A1550" t="str">
        <f>"20190305135612763"</f>
        <v>20190305135612763</v>
      </c>
      <c r="B1550" t="str">
        <f>"1551765372753448"</f>
        <v>1551765372753448</v>
      </c>
      <c r="C1550" t="s">
        <v>40</v>
      </c>
      <c r="D1550">
        <v>4.0412970000000001</v>
      </c>
      <c r="E1550">
        <v>0.50814280000000001</v>
      </c>
      <c r="F1550" t="s">
        <v>61</v>
      </c>
      <c r="G1550">
        <v>-404.48719999999997</v>
      </c>
      <c r="H1550" s="1">
        <v>6.7975999999999999E-6</v>
      </c>
      <c r="I1550">
        <v>282.75200000000001</v>
      </c>
      <c r="J1550">
        <v>-370.61110000000002</v>
      </c>
      <c r="K1550">
        <v>1.106525</v>
      </c>
      <c r="L1550">
        <v>283.9984</v>
      </c>
      <c r="M1550">
        <v>-0.999579</v>
      </c>
      <c r="N1550">
        <v>-7.0832869999999997E-3</v>
      </c>
      <c r="O1550">
        <v>2.813856E-2</v>
      </c>
      <c r="P1550">
        <v>-0.98955320000000002</v>
      </c>
      <c r="Q1550">
        <v>-0.134941899999999</v>
      </c>
      <c r="R1550">
        <v>-5.074538E-2</v>
      </c>
      <c r="S1550">
        <v>-3.0126339999999998</v>
      </c>
      <c r="T1550">
        <v>-9.6864339999999993E-2</v>
      </c>
      <c r="U1550">
        <v>-0.1078186</v>
      </c>
      <c r="V1550">
        <v>-7.8790479999999996E-2</v>
      </c>
      <c r="W1550">
        <v>-0.127807</v>
      </c>
      <c r="X1550">
        <v>0.9886644</v>
      </c>
      <c r="Y1550">
        <v>-6.3823969999999994E-2</v>
      </c>
      <c r="Z1550">
        <v>-1.956677E-3</v>
      </c>
      <c r="AA1550">
        <v>0.99795929999999999</v>
      </c>
      <c r="AB1550">
        <v>53</v>
      </c>
      <c r="AC1550">
        <v>-33.876099999999902</v>
      </c>
      <c r="AD1550">
        <v>-1.1065182024</v>
      </c>
      <c r="AE1550">
        <v>-1.24639999999999</v>
      </c>
      <c r="AF1550">
        <v>-2.1968143179553601</v>
      </c>
      <c r="AG1550">
        <v>-1.1065182024</v>
      </c>
      <c r="AH1550">
        <v>33.791608633627099</v>
      </c>
      <c r="AI1550">
        <v>91.871552499033498</v>
      </c>
      <c r="AJ1550">
        <v>93.7196013964099</v>
      </c>
      <c r="AK1550">
        <v>33.881015181485303</v>
      </c>
      <c r="AL1550">
        <v>97.342886047555993</v>
      </c>
      <c r="AM1550">
        <v>94.556491720514202</v>
      </c>
      <c r="AN1550">
        <v>0.99999993240749196</v>
      </c>
    </row>
    <row r="1551" spans="1:40" x14ac:dyDescent="0.25">
      <c r="A1551" t="str">
        <f>"20190305135612783"</f>
        <v>20190305135612783</v>
      </c>
      <c r="B1551" t="str">
        <f>"1551765372773943"</f>
        <v>1551765372773943</v>
      </c>
      <c r="C1551" t="s">
        <v>40</v>
      </c>
      <c r="D1551">
        <v>3.9954170000000002</v>
      </c>
      <c r="E1551">
        <v>0.50794629999999996</v>
      </c>
      <c r="F1551" t="s">
        <v>61</v>
      </c>
      <c r="G1551">
        <v>-406.23590000000002</v>
      </c>
      <c r="H1551" s="1">
        <v>6.026536E-6</v>
      </c>
      <c r="I1551">
        <v>282.73059999999998</v>
      </c>
      <c r="J1551">
        <v>-371.10469999999998</v>
      </c>
      <c r="K1551">
        <v>1.1066530000000001</v>
      </c>
      <c r="L1551">
        <v>284.01220000000001</v>
      </c>
      <c r="M1551">
        <v>-0.99958159999999896</v>
      </c>
      <c r="N1551">
        <v>-7.0992190000000004E-3</v>
      </c>
      <c r="O1551">
        <v>2.8042660000000001E-2</v>
      </c>
      <c r="P1551">
        <v>-0.98944279999999996</v>
      </c>
      <c r="Q1551">
        <v>-0.1354882</v>
      </c>
      <c r="R1551">
        <v>-5.1440989999999999E-2</v>
      </c>
      <c r="S1551">
        <v>-3.0133670000000001</v>
      </c>
      <c r="T1551">
        <v>-9.3596100000000002E-2</v>
      </c>
      <c r="U1551">
        <v>-0.1072388</v>
      </c>
      <c r="V1551">
        <v>-7.9343830000000004E-2</v>
      </c>
      <c r="W1551">
        <v>-0.1283648</v>
      </c>
      <c r="X1551">
        <v>0.98854790000000003</v>
      </c>
      <c r="Y1551">
        <v>-6.3531169999999998E-2</v>
      </c>
      <c r="Z1551">
        <v>-1.883324E-3</v>
      </c>
      <c r="AA1551">
        <v>0.99797809999999998</v>
      </c>
      <c r="AB1551">
        <v>54</v>
      </c>
      <c r="AC1551">
        <v>-35.1312</v>
      </c>
      <c r="AD1551">
        <v>-1.1066469734639901</v>
      </c>
      <c r="AE1551">
        <v>-1.2816000000000201</v>
      </c>
      <c r="AF1551">
        <v>-2.2640494241367302</v>
      </c>
      <c r="AG1551">
        <v>-1.1066469734639901</v>
      </c>
      <c r="AH1551">
        <v>35.046713014632502</v>
      </c>
      <c r="AI1551">
        <v>91.804830545528603</v>
      </c>
      <c r="AJ1551">
        <v>93.696223206420697</v>
      </c>
      <c r="AK1551">
        <v>35.137197959553099</v>
      </c>
      <c r="AL1551">
        <v>97.375110881846595</v>
      </c>
      <c r="AM1551">
        <v>94.588894479846203</v>
      </c>
      <c r="AN1551">
        <v>0.99999995791625795</v>
      </c>
    </row>
    <row r="1552" spans="1:40" x14ac:dyDescent="0.25">
      <c r="A1552" t="str">
        <f>"20190305135612806"</f>
        <v>20190305135612806</v>
      </c>
      <c r="B1552" t="str">
        <f>"1551765372803223"</f>
        <v>1551765372803223</v>
      </c>
      <c r="C1552" t="s">
        <v>40</v>
      </c>
      <c r="D1552">
        <v>4.3564769999999999</v>
      </c>
      <c r="E1552">
        <v>0.50860050000000001</v>
      </c>
      <c r="F1552" t="s">
        <v>61</v>
      </c>
      <c r="G1552">
        <v>-406.95310000000001</v>
      </c>
      <c r="H1552" s="1">
        <v>5.7176400000000004E-6</v>
      </c>
      <c r="I1552">
        <v>282.68630000000002</v>
      </c>
      <c r="J1552">
        <v>-371.64359999999999</v>
      </c>
      <c r="K1552">
        <v>1.106792</v>
      </c>
      <c r="L1552">
        <v>284.02719999999999</v>
      </c>
      <c r="M1552">
        <v>-0.99958599999999997</v>
      </c>
      <c r="N1552">
        <v>-7.1163399999999996E-3</v>
      </c>
      <c r="O1552">
        <v>2.7878179999999999E-2</v>
      </c>
      <c r="P1552">
        <v>-0.98926610000000004</v>
      </c>
      <c r="Q1552">
        <v>-0.13643829999999901</v>
      </c>
      <c r="R1552">
        <v>-5.2320999999999999E-2</v>
      </c>
      <c r="S1552">
        <v>-3.013458</v>
      </c>
      <c r="T1552">
        <v>-9.3026159999999997E-2</v>
      </c>
      <c r="U1552">
        <v>-0.1114502</v>
      </c>
      <c r="V1552">
        <v>-8.0012020000000003E-2</v>
      </c>
      <c r="W1552">
        <v>-0.12932639999999901</v>
      </c>
      <c r="X1552">
        <v>0.98836869999999999</v>
      </c>
      <c r="Y1552">
        <v>-6.4758579999999996E-2</v>
      </c>
      <c r="Z1552">
        <v>-1.8913999999999999E-3</v>
      </c>
      <c r="AA1552">
        <v>0.99789919999999999</v>
      </c>
      <c r="AB1552">
        <v>54</v>
      </c>
      <c r="AC1552">
        <v>-35.3095</v>
      </c>
      <c r="AD1552">
        <v>-1.1067862823600001</v>
      </c>
      <c r="AE1552">
        <v>-1.34089999999997</v>
      </c>
      <c r="AF1552">
        <v>-2.3224897007349798</v>
      </c>
      <c r="AG1552">
        <v>-1.1067862823600001</v>
      </c>
      <c r="AH1552">
        <v>35.223834170980197</v>
      </c>
      <c r="AI1552">
        <v>91.795831286905795</v>
      </c>
      <c r="AJ1552">
        <v>93.772346928517607</v>
      </c>
      <c r="AK1552">
        <v>35.3176645319245</v>
      </c>
      <c r="AL1552">
        <v>97.4306695622641</v>
      </c>
      <c r="AM1552">
        <v>94.628207828153407</v>
      </c>
      <c r="AN1552">
        <v>0.99999996411056402</v>
      </c>
    </row>
    <row r="1553" spans="1:40" x14ac:dyDescent="0.25">
      <c r="A1553" t="str">
        <f>"20190305135612829"</f>
        <v>20190305135612829</v>
      </c>
      <c r="B1553" t="str">
        <f>"1551765372823720"</f>
        <v>1551765372823720</v>
      </c>
      <c r="C1553" t="s">
        <v>40</v>
      </c>
      <c r="D1553">
        <v>4.0111990000000004</v>
      </c>
      <c r="E1553">
        <v>0.50852529999999996</v>
      </c>
      <c r="F1553" t="s">
        <v>61</v>
      </c>
      <c r="G1553">
        <v>-406.1619</v>
      </c>
      <c r="H1553" s="1">
        <v>6.0514390000000002E-6</v>
      </c>
      <c r="I1553">
        <v>282.76900000000001</v>
      </c>
      <c r="J1553">
        <v>-372.20670000000001</v>
      </c>
      <c r="K1553">
        <v>1.1069260000000001</v>
      </c>
      <c r="L1553">
        <v>284.0428</v>
      </c>
      <c r="M1553">
        <v>-0.99959200000000004</v>
      </c>
      <c r="N1553">
        <v>-7.1339699999999999E-3</v>
      </c>
      <c r="O1553">
        <v>2.7658519999999999E-2</v>
      </c>
      <c r="P1553">
        <v>-0.98918159999999999</v>
      </c>
      <c r="Q1553">
        <v>-0.13658679999999901</v>
      </c>
      <c r="R1553">
        <v>-5.3517160000000001E-2</v>
      </c>
      <c r="S1553">
        <v>-3.0133969999999999</v>
      </c>
      <c r="T1553">
        <v>-9.6621040000000005E-2</v>
      </c>
      <c r="U1553">
        <v>-0.10983279999999999</v>
      </c>
      <c r="V1553">
        <v>-8.0945810000000007E-2</v>
      </c>
      <c r="W1553">
        <v>-0.12948399999999999</v>
      </c>
      <c r="X1553">
        <v>0.98827209999999999</v>
      </c>
      <c r="Y1553">
        <v>-6.4002149999999994E-2</v>
      </c>
      <c r="Z1553">
        <v>-1.943054E-3</v>
      </c>
      <c r="AA1553">
        <v>0.9979479</v>
      </c>
      <c r="AB1553">
        <v>54</v>
      </c>
      <c r="AC1553">
        <v>-33.955199999999898</v>
      </c>
      <c r="AD1553">
        <v>-1.106919948561</v>
      </c>
      <c r="AE1553">
        <v>-1.2737999999999901</v>
      </c>
      <c r="AF1553">
        <v>-2.2101416435519199</v>
      </c>
      <c r="AG1553">
        <v>-1.106919948561</v>
      </c>
      <c r="AH1553">
        <v>33.871031859387799</v>
      </c>
      <c r="AI1553">
        <v>91.867815317281597</v>
      </c>
      <c r="AJ1553">
        <v>93.733353122450694</v>
      </c>
      <c r="AK1553">
        <v>33.961107123837202</v>
      </c>
      <c r="AL1553">
        <v>97.439775400225201</v>
      </c>
      <c r="AM1553">
        <v>94.682438745206099</v>
      </c>
      <c r="AN1553">
        <v>1.00000003702548</v>
      </c>
    </row>
    <row r="1554" spans="1:40" x14ac:dyDescent="0.25">
      <c r="A1554" t="str">
        <f>"20190305135612852"</f>
        <v>20190305135612852</v>
      </c>
      <c r="B1554" t="str">
        <f>"1551765372843239"</f>
        <v>1551765372843239</v>
      </c>
      <c r="C1554" t="s">
        <v>40</v>
      </c>
      <c r="D1554">
        <v>4.0018739999999999</v>
      </c>
      <c r="E1554">
        <v>0.50881200000000004</v>
      </c>
      <c r="F1554" t="s">
        <v>61</v>
      </c>
      <c r="G1554">
        <v>-408.31819999999999</v>
      </c>
      <c r="H1554" s="1">
        <v>5.1169250000000001E-6</v>
      </c>
      <c r="I1554">
        <v>282.66390000000001</v>
      </c>
      <c r="J1554">
        <v>-372.74779999999998</v>
      </c>
      <c r="K1554">
        <v>1.1070329999999999</v>
      </c>
      <c r="L1554">
        <v>284.05770000000001</v>
      </c>
      <c r="M1554">
        <v>-0.9995986</v>
      </c>
      <c r="N1554">
        <v>-7.150801E-3</v>
      </c>
      <c r="O1554">
        <v>2.7411609999999999E-2</v>
      </c>
      <c r="P1554">
        <v>-0.98900999999999994</v>
      </c>
      <c r="Q1554">
        <v>-0.1371695</v>
      </c>
      <c r="R1554">
        <v>-5.5169999999999997E-2</v>
      </c>
      <c r="S1554">
        <v>-3.013855</v>
      </c>
      <c r="T1554">
        <v>-9.2383270000000003E-2</v>
      </c>
      <c r="U1554">
        <v>-0.1150818</v>
      </c>
      <c r="V1554">
        <v>-8.2313499999999998E-2</v>
      </c>
      <c r="W1554">
        <v>-0.13007349999999901</v>
      </c>
      <c r="X1554">
        <v>0.98808169999999995</v>
      </c>
      <c r="Y1554">
        <v>-6.5489000000000006E-2</v>
      </c>
      <c r="Z1554">
        <v>-1.8812849999999999E-3</v>
      </c>
      <c r="AA1554">
        <v>0.9978515</v>
      </c>
      <c r="AB1554">
        <v>54</v>
      </c>
      <c r="AC1554">
        <v>-35.570399999999999</v>
      </c>
      <c r="AD1554">
        <v>-1.107027883075</v>
      </c>
      <c r="AE1554">
        <v>-1.3937999999999899</v>
      </c>
      <c r="AF1554">
        <v>-2.3660549198443102</v>
      </c>
      <c r="AG1554">
        <v>-1.107027883075</v>
      </c>
      <c r="AH1554">
        <v>35.484508567250401</v>
      </c>
      <c r="AI1554">
        <v>91.782948832561701</v>
      </c>
      <c r="AJ1554">
        <v>93.814751626757001</v>
      </c>
      <c r="AK1554">
        <v>35.580529435027998</v>
      </c>
      <c r="AL1554">
        <v>97.4738393428634</v>
      </c>
      <c r="AM1554">
        <v>94.762107474309403</v>
      </c>
      <c r="AN1554">
        <v>1.00000003677969</v>
      </c>
    </row>
    <row r="1555" spans="1:40" x14ac:dyDescent="0.25">
      <c r="A1555" t="str">
        <f>"20190305135612874"</f>
        <v>20190305135612874</v>
      </c>
      <c r="B1555" t="str">
        <f>"1551765372863736"</f>
        <v>1551765372863736</v>
      </c>
      <c r="C1555" t="s">
        <v>40</v>
      </c>
      <c r="D1555">
        <v>3.9399850000000001</v>
      </c>
      <c r="E1555">
        <v>0.50912380000000002</v>
      </c>
      <c r="F1555" t="s">
        <v>61</v>
      </c>
      <c r="G1555">
        <v>-411.34129999999999</v>
      </c>
      <c r="H1555" s="1">
        <v>2.6250700000000001E-6</v>
      </c>
      <c r="I1555">
        <v>282.54149999999998</v>
      </c>
      <c r="J1555">
        <v>-373.28370000000001</v>
      </c>
      <c r="K1555">
        <v>1.1071279999999999</v>
      </c>
      <c r="L1555">
        <v>284.07229999999998</v>
      </c>
      <c r="M1555">
        <v>-0.99960579999999999</v>
      </c>
      <c r="N1555">
        <v>-7.1673049999999997E-3</v>
      </c>
      <c r="O1555">
        <v>2.7145539999999999E-2</v>
      </c>
      <c r="P1555">
        <v>-0.98877409999999999</v>
      </c>
      <c r="Q1555">
        <v>-0.13796649999999999</v>
      </c>
      <c r="R1555">
        <v>-5.73708E-2</v>
      </c>
      <c r="S1555">
        <v>-3.0147400000000002</v>
      </c>
      <c r="T1555">
        <v>-8.6475850000000007E-2</v>
      </c>
      <c r="U1555">
        <v>-0.11843869999999999</v>
      </c>
      <c r="V1555">
        <v>-8.4213029999999994E-2</v>
      </c>
      <c r="W1555">
        <v>-0.13087579999999999</v>
      </c>
      <c r="X1555">
        <v>0.98781560000000002</v>
      </c>
      <c r="Y1555">
        <v>-6.6326780000000002E-2</v>
      </c>
      <c r="Z1555">
        <v>-1.7723299999999999E-3</v>
      </c>
      <c r="AA1555">
        <v>0.99779640000000003</v>
      </c>
      <c r="AB1555">
        <v>54</v>
      </c>
      <c r="AC1555">
        <v>-38.057599999999901</v>
      </c>
      <c r="AD1555">
        <v>-1.1071253749299901</v>
      </c>
      <c r="AE1555">
        <v>-1.5307999999999899</v>
      </c>
      <c r="AF1555">
        <v>-2.5611925264244202</v>
      </c>
      <c r="AG1555">
        <v>-1.1071253749299901</v>
      </c>
      <c r="AH1555">
        <v>37.969938233138102</v>
      </c>
      <c r="AI1555">
        <v>91.6663695004234</v>
      </c>
      <c r="AJ1555">
        <v>93.858936151097097</v>
      </c>
      <c r="AK1555">
        <v>38.072321221348503</v>
      </c>
      <c r="AL1555">
        <v>97.520204483876697</v>
      </c>
      <c r="AM1555">
        <v>94.872784593208294</v>
      </c>
      <c r="AN1555">
        <v>0.99999998452538996</v>
      </c>
    </row>
    <row r="1556" spans="1:40" x14ac:dyDescent="0.25">
      <c r="A1556" t="str">
        <f>"20190305135612895"</f>
        <v>20190305135612895</v>
      </c>
      <c r="B1556" t="str">
        <f>"1551765372893016"</f>
        <v>1551765372893016</v>
      </c>
      <c r="C1556" t="s">
        <v>40</v>
      </c>
      <c r="D1556">
        <v>3.9737520000000002</v>
      </c>
      <c r="E1556">
        <v>0.50912829999999998</v>
      </c>
      <c r="F1556" t="s">
        <v>61</v>
      </c>
      <c r="G1556">
        <v>-411.75409999999999</v>
      </c>
      <c r="H1556" s="1">
        <v>2.7011700000000001E-6</v>
      </c>
      <c r="I1556">
        <v>282.50850000000003</v>
      </c>
      <c r="J1556">
        <v>-373.80459999999999</v>
      </c>
      <c r="K1556">
        <v>1.10721</v>
      </c>
      <c r="L1556">
        <v>284.08640000000003</v>
      </c>
      <c r="M1556">
        <v>-0.99961299999999997</v>
      </c>
      <c r="N1556">
        <v>-7.1834139999999999E-3</v>
      </c>
      <c r="O1556">
        <v>2.6872179999999999E-2</v>
      </c>
      <c r="P1556">
        <v>-0.98855709999999997</v>
      </c>
      <c r="Q1556">
        <v>-0.13860520000000001</v>
      </c>
      <c r="R1556">
        <v>-5.9528980000000002E-2</v>
      </c>
      <c r="S1556">
        <v>-3.0148619999999999</v>
      </c>
      <c r="T1556">
        <v>-8.6763740000000006E-2</v>
      </c>
      <c r="U1556">
        <v>-0.1225586</v>
      </c>
      <c r="V1556">
        <v>-8.6067939999999996E-2</v>
      </c>
      <c r="W1556">
        <v>-0.13151779999999999</v>
      </c>
      <c r="X1556">
        <v>0.98757050000000002</v>
      </c>
      <c r="Y1556">
        <v>-6.741287E-2</v>
      </c>
      <c r="Z1556">
        <v>-1.791703E-3</v>
      </c>
      <c r="AA1556">
        <v>0.99772360000000004</v>
      </c>
      <c r="AB1556">
        <v>54</v>
      </c>
      <c r="AC1556">
        <v>-37.9495</v>
      </c>
      <c r="AD1556">
        <v>-1.1072072988299999</v>
      </c>
      <c r="AE1556">
        <v>-1.5778999999999901</v>
      </c>
      <c r="AF1556">
        <v>-2.5949372611682402</v>
      </c>
      <c r="AG1556">
        <v>-1.1072072988299999</v>
      </c>
      <c r="AH1556">
        <v>37.861219273897603</v>
      </c>
      <c r="AI1556">
        <v>91.671152728096203</v>
      </c>
      <c r="AJ1556">
        <v>93.920814086976705</v>
      </c>
      <c r="AK1556">
        <v>37.966189330747198</v>
      </c>
      <c r="AL1556">
        <v>97.557308542349105</v>
      </c>
      <c r="AM1556">
        <v>94.980810260242706</v>
      </c>
      <c r="AN1556">
        <v>1.00000005724146</v>
      </c>
    </row>
    <row r="1557" spans="1:40" x14ac:dyDescent="0.25">
      <c r="A1557" t="str">
        <f>"20190305135612918"</f>
        <v>20190305135612918</v>
      </c>
      <c r="B1557" t="str">
        <f>"1551765372913511"</f>
        <v>1551765372913511</v>
      </c>
      <c r="C1557" t="s">
        <v>40</v>
      </c>
      <c r="D1557">
        <v>4.0078959999999997</v>
      </c>
      <c r="E1557">
        <v>0.50901819999999998</v>
      </c>
      <c r="F1557" t="s">
        <v>61</v>
      </c>
      <c r="G1557">
        <v>-410.46749999999997</v>
      </c>
      <c r="H1557" s="1">
        <v>2.471916E-6</v>
      </c>
      <c r="I1557">
        <v>282.52030000000002</v>
      </c>
      <c r="J1557">
        <v>-374.3503</v>
      </c>
      <c r="K1557">
        <v>1.107289</v>
      </c>
      <c r="L1557">
        <v>284.101</v>
      </c>
      <c r="M1557">
        <v>-0.99962099999999998</v>
      </c>
      <c r="N1557">
        <v>-7.2002169999999897E-3</v>
      </c>
      <c r="O1557">
        <v>2.6575080000000001E-2</v>
      </c>
      <c r="P1557">
        <v>-0.98833190000000004</v>
      </c>
      <c r="Q1557">
        <v>-0.13894189999999901</v>
      </c>
      <c r="R1557">
        <v>-6.2413339999999998E-2</v>
      </c>
      <c r="S1557">
        <v>-3.0142519999999999</v>
      </c>
      <c r="T1557">
        <v>-9.1029289999999999E-2</v>
      </c>
      <c r="U1557">
        <v>-0.1287537</v>
      </c>
      <c r="V1557">
        <v>-8.8627250000000005E-2</v>
      </c>
      <c r="W1557">
        <v>-0.13185669999999999</v>
      </c>
      <c r="X1557">
        <v>0.98729880000000003</v>
      </c>
      <c r="Y1557">
        <v>-6.9166530000000004E-2</v>
      </c>
      <c r="Z1557">
        <v>-1.903716E-3</v>
      </c>
      <c r="AA1557">
        <v>0.99760329999999997</v>
      </c>
      <c r="AB1557">
        <v>54</v>
      </c>
      <c r="AC1557">
        <v>-36.117199999999897</v>
      </c>
      <c r="AD1557">
        <v>-1.1072865280840001</v>
      </c>
      <c r="AE1557">
        <v>-1.58069999999997</v>
      </c>
      <c r="AF1557">
        <v>-2.5376033640817099</v>
      </c>
      <c r="AG1557">
        <v>-1.1072865280840001</v>
      </c>
      <c r="AH1557">
        <v>36.0286357906364</v>
      </c>
      <c r="AI1557">
        <v>91.755998991421905</v>
      </c>
      <c r="AJ1557">
        <v>94.028857857556304</v>
      </c>
      <c r="AK1557">
        <v>36.134860055395201</v>
      </c>
      <c r="AL1557">
        <v>97.576897487990607</v>
      </c>
      <c r="AM1557">
        <v>95.129544579659694</v>
      </c>
      <c r="AN1557">
        <v>0.99999994962944505</v>
      </c>
    </row>
    <row r="1558" spans="1:40" x14ac:dyDescent="0.25">
      <c r="A1558" t="str">
        <f>"20190305135612941"</f>
        <v>20190305135612941</v>
      </c>
      <c r="B1558" t="str">
        <f>"1551765372933031"</f>
        <v>1551765372933031</v>
      </c>
      <c r="C1558" t="s">
        <v>40</v>
      </c>
      <c r="D1558">
        <v>4.0290499999999998</v>
      </c>
      <c r="E1558">
        <v>0.50852580000000003</v>
      </c>
      <c r="F1558" t="s">
        <v>61</v>
      </c>
      <c r="G1558">
        <v>-409.34429999999998</v>
      </c>
      <c r="H1558" s="1">
        <v>4.6955729999999999E-6</v>
      </c>
      <c r="I1558">
        <v>282.5009</v>
      </c>
      <c r="J1558">
        <v>-374.90519999999998</v>
      </c>
      <c r="K1558">
        <v>1.107356</v>
      </c>
      <c r="L1558">
        <v>284.1157</v>
      </c>
      <c r="M1558">
        <v>-0.99962910000000005</v>
      </c>
      <c r="N1558">
        <v>-7.2170979999999999E-3</v>
      </c>
      <c r="O1558">
        <v>2.62638E-2</v>
      </c>
      <c r="P1558">
        <v>-0.98820529999999995</v>
      </c>
      <c r="Q1558">
        <v>-0.138745799999999</v>
      </c>
      <c r="R1558">
        <v>-6.480756E-2</v>
      </c>
      <c r="S1558">
        <v>-3.013306</v>
      </c>
      <c r="T1558">
        <v>-9.5347290000000001E-2</v>
      </c>
      <c r="U1558">
        <v>-0.13778689999999999</v>
      </c>
      <c r="V1558">
        <v>-9.0688149999999995E-2</v>
      </c>
      <c r="W1558">
        <v>-0.13166050000000001</v>
      </c>
      <c r="X1558">
        <v>0.98713790000000001</v>
      </c>
      <c r="Y1558">
        <v>-7.1847820000000007E-2</v>
      </c>
      <c r="Z1558">
        <v>-2.0363640000000001E-3</v>
      </c>
      <c r="AA1558">
        <v>0.99741349999999995</v>
      </c>
      <c r="AB1558">
        <v>54</v>
      </c>
      <c r="AC1558">
        <v>-34.439100000000003</v>
      </c>
      <c r="AD1558">
        <v>-1.107351304427</v>
      </c>
      <c r="AE1558">
        <v>-1.6148</v>
      </c>
      <c r="AF1558">
        <v>-2.5161723406740699</v>
      </c>
      <c r="AG1558">
        <v>-1.107351304427</v>
      </c>
      <c r="AH1558">
        <v>34.349372636366603</v>
      </c>
      <c r="AI1558">
        <v>91.841524860674795</v>
      </c>
      <c r="AJ1558">
        <v>94.189567700193294</v>
      </c>
      <c r="AK1558">
        <v>34.459204150289899</v>
      </c>
      <c r="AL1558">
        <v>97.5655565717896</v>
      </c>
      <c r="AM1558">
        <v>95.249016895114707</v>
      </c>
      <c r="AN1558">
        <v>1.0000000307135399</v>
      </c>
    </row>
    <row r="1559" spans="1:40" x14ac:dyDescent="0.25">
      <c r="A1559" t="str">
        <f>"20190305135612965"</f>
        <v>20190305135612965</v>
      </c>
      <c r="B1559" t="str">
        <f>"1551765372953527"</f>
        <v>1551765372953527</v>
      </c>
      <c r="C1559" t="s">
        <v>40</v>
      </c>
      <c r="D1559">
        <v>3.972566</v>
      </c>
      <c r="E1559">
        <v>0.48540420000000001</v>
      </c>
      <c r="F1559" t="s">
        <v>61</v>
      </c>
      <c r="G1559">
        <v>-410.76459999999997</v>
      </c>
      <c r="H1559" s="1">
        <v>2.5403500000000002E-6</v>
      </c>
      <c r="I1559">
        <v>282.34030000000001</v>
      </c>
      <c r="J1559">
        <v>-375.48259999999999</v>
      </c>
      <c r="K1559">
        <v>1.1074139999999999</v>
      </c>
      <c r="L1559">
        <v>284.13080000000002</v>
      </c>
      <c r="M1559">
        <v>-0.99963780000000002</v>
      </c>
      <c r="N1559">
        <v>-7.234618E-3</v>
      </c>
      <c r="O1559">
        <v>2.5928949999999999E-2</v>
      </c>
      <c r="P1559">
        <v>-0.98800489999999996</v>
      </c>
      <c r="Q1559">
        <v>-0.1391655</v>
      </c>
      <c r="R1559">
        <v>-6.6929959999999997E-2</v>
      </c>
      <c r="S1559">
        <v>-3.0129999999999999</v>
      </c>
      <c r="T1559">
        <v>-9.3042730000000004E-2</v>
      </c>
      <c r="U1559">
        <v>-0.14916989999999999</v>
      </c>
      <c r="V1559">
        <v>-9.2454540000000002E-2</v>
      </c>
      <c r="W1559">
        <v>-0.13207920000000001</v>
      </c>
      <c r="X1559">
        <v>0.98691799999999996</v>
      </c>
      <c r="Y1559">
        <v>-7.5278040000000004E-2</v>
      </c>
      <c r="Z1559">
        <v>-2.0465269999999998E-3</v>
      </c>
      <c r="AA1559">
        <v>0.99716050000000001</v>
      </c>
      <c r="AB1559">
        <v>54</v>
      </c>
      <c r="AC1559">
        <v>-35.281999999999897</v>
      </c>
      <c r="AD1559">
        <v>-1.10741145965</v>
      </c>
      <c r="AE1559">
        <v>-1.7905</v>
      </c>
      <c r="AF1559">
        <v>-2.7020917783902298</v>
      </c>
      <c r="AG1559">
        <v>-1.10741145965</v>
      </c>
      <c r="AH1559">
        <v>35.189131908464802</v>
      </c>
      <c r="AI1559">
        <v>91.797231435232305</v>
      </c>
      <c r="AJ1559">
        <v>94.390993200574499</v>
      </c>
      <c r="AK1559">
        <v>35.310092956421698</v>
      </c>
      <c r="AL1559">
        <v>97.589758293657098</v>
      </c>
      <c r="AM1559">
        <v>95.351852809947204</v>
      </c>
      <c r="AN1559">
        <v>0.99999994788162405</v>
      </c>
    </row>
    <row r="1560" spans="1:40" x14ac:dyDescent="0.25">
      <c r="A1560" t="str">
        <f>"20190305135613008"</f>
        <v>20190305135613008</v>
      </c>
      <c r="B1560" t="str">
        <f>"1551765373003303"</f>
        <v>1551765373003303</v>
      </c>
      <c r="C1560" t="s">
        <v>40</v>
      </c>
      <c r="D1560">
        <v>3.9371930000000002</v>
      </c>
      <c r="E1560">
        <v>0.48664069999999998</v>
      </c>
      <c r="F1560" t="s">
        <v>55</v>
      </c>
      <c r="G1560">
        <v>-397.01769999999999</v>
      </c>
      <c r="H1560" s="1">
        <v>2.1976829999999999E-6</v>
      </c>
      <c r="I1560">
        <v>281.7122</v>
      </c>
      <c r="J1560">
        <v>-376.51510000000002</v>
      </c>
      <c r="K1560">
        <v>1.10749599999999</v>
      </c>
      <c r="L1560">
        <v>284.15730000000002</v>
      </c>
      <c r="M1560">
        <v>-0.99965380000000004</v>
      </c>
      <c r="N1560">
        <v>-7.2659029999999998E-3</v>
      </c>
      <c r="O1560">
        <v>2.5293840000000001E-2</v>
      </c>
      <c r="P1560">
        <v>-0.98765369999999997</v>
      </c>
      <c r="Q1560">
        <v>-0.14059430000000001</v>
      </c>
      <c r="R1560">
        <v>-6.9091899999999998E-2</v>
      </c>
      <c r="S1560">
        <v>-2.992035</v>
      </c>
      <c r="T1560">
        <v>-0.15386129999999901</v>
      </c>
      <c r="U1560">
        <v>-0.33602910000000002</v>
      </c>
      <c r="V1560">
        <v>-9.3948420000000005E-2</v>
      </c>
      <c r="W1560">
        <v>-0.13350219999999999</v>
      </c>
      <c r="X1560">
        <v>0.98658539999999995</v>
      </c>
      <c r="Y1560">
        <v>-0.13647899999999999</v>
      </c>
      <c r="Z1560">
        <v>-5.1066660000000002E-3</v>
      </c>
      <c r="AA1560">
        <v>0.9906298</v>
      </c>
      <c r="AB1560">
        <v>54</v>
      </c>
      <c r="AC1560">
        <v>-20.502599999999902</v>
      </c>
      <c r="AD1560">
        <v>-1.10749380231699</v>
      </c>
      <c r="AE1560">
        <v>-2.44510000000002</v>
      </c>
      <c r="AF1560">
        <v>-2.9544210650071898</v>
      </c>
      <c r="AG1560">
        <v>-1.10749380231699</v>
      </c>
      <c r="AH1560">
        <v>20.375573059892901</v>
      </c>
      <c r="AI1560">
        <v>93.079056605355206</v>
      </c>
      <c r="AJ1560">
        <v>98.250285248969405</v>
      </c>
      <c r="AK1560">
        <v>20.618417103904001</v>
      </c>
      <c r="AL1560">
        <v>97.672018694125299</v>
      </c>
      <c r="AM1560">
        <v>95.439635970082193</v>
      </c>
      <c r="AN1560">
        <v>0.99999994725924601</v>
      </c>
    </row>
    <row r="1561" spans="1:40" x14ac:dyDescent="0.25">
      <c r="A1561" t="str">
        <f>"20190305135613031"</f>
        <v>20190305135613031</v>
      </c>
      <c r="B1561" t="str">
        <f>"1551765373023487"</f>
        <v>1551765373023487</v>
      </c>
      <c r="C1561" t="s">
        <v>40</v>
      </c>
      <c r="D1561">
        <v>3.9986760000000001</v>
      </c>
      <c r="E1561">
        <v>0.48741139999999999</v>
      </c>
      <c r="F1561" t="s">
        <v>55</v>
      </c>
      <c r="G1561">
        <v>-396.80680000000001</v>
      </c>
      <c r="H1561" s="1">
        <v>2.08543E-6</v>
      </c>
      <c r="I1561">
        <v>281.9008</v>
      </c>
      <c r="J1561">
        <v>-377.08710000000002</v>
      </c>
      <c r="K1561">
        <v>1.1075269999999999</v>
      </c>
      <c r="L1561">
        <v>284.17169999999999</v>
      </c>
      <c r="M1561">
        <v>-0.99966299999999997</v>
      </c>
      <c r="N1561">
        <v>-7.2832959999999999E-3</v>
      </c>
      <c r="O1561">
        <v>2.4917160000000001E-2</v>
      </c>
      <c r="P1561">
        <v>-0.98755499999999996</v>
      </c>
      <c r="Q1561">
        <v>-0.140902</v>
      </c>
      <c r="R1561">
        <v>-6.9870429999999997E-2</v>
      </c>
      <c r="S1561">
        <v>-2.9909970000000001</v>
      </c>
      <c r="T1561">
        <v>-0.163245</v>
      </c>
      <c r="U1561">
        <v>-0.33261109999999999</v>
      </c>
      <c r="V1561">
        <v>-9.4337809999999994E-2</v>
      </c>
      <c r="W1561">
        <v>-0.13380420000000001</v>
      </c>
      <c r="X1561">
        <v>0.98650740000000003</v>
      </c>
      <c r="Y1561">
        <v>-0.1350007</v>
      </c>
      <c r="Z1561">
        <v>-5.3379869999999998E-3</v>
      </c>
      <c r="AA1561">
        <v>0.99083109999999996</v>
      </c>
      <c r="AB1561">
        <v>55</v>
      </c>
      <c r="AC1561">
        <v>-19.7196999999999</v>
      </c>
      <c r="AD1561">
        <v>-1.1075249145699999</v>
      </c>
      <c r="AE1561">
        <v>-2.2708999999999802</v>
      </c>
      <c r="AF1561">
        <v>-2.7529966479016199</v>
      </c>
      <c r="AG1561">
        <v>-1.1075249145699999</v>
      </c>
      <c r="AH1561">
        <v>19.595988099464801</v>
      </c>
      <c r="AI1561">
        <v>93.203406603567899</v>
      </c>
      <c r="AJ1561">
        <v>97.997018423749495</v>
      </c>
      <c r="AK1561">
        <v>19.819393320031701</v>
      </c>
      <c r="AL1561">
        <v>97.689478119039293</v>
      </c>
      <c r="AM1561">
        <v>95.462474928972995</v>
      </c>
      <c r="AN1561">
        <v>1.0000000182939901</v>
      </c>
    </row>
    <row r="1562" spans="1:40" x14ac:dyDescent="0.25">
      <c r="A1562" t="str">
        <f>"20190305135613052"</f>
        <v>20190305135613052</v>
      </c>
      <c r="B1562" t="str">
        <f>"1551765373043983"</f>
        <v>1551765373043983</v>
      </c>
      <c r="C1562" t="s">
        <v>40</v>
      </c>
      <c r="D1562">
        <v>3.960302</v>
      </c>
      <c r="E1562">
        <v>0.48818729999999999</v>
      </c>
      <c r="F1562" t="s">
        <v>55</v>
      </c>
      <c r="G1562">
        <v>-398.4701</v>
      </c>
      <c r="H1562" s="1">
        <v>2.9705970000000001E-6</v>
      </c>
      <c r="I1562">
        <v>281.81560000000002</v>
      </c>
      <c r="J1562">
        <v>-377.63099999999997</v>
      </c>
      <c r="K1562">
        <v>1.1075660000000001</v>
      </c>
      <c r="L1562">
        <v>284.18509999999998</v>
      </c>
      <c r="M1562">
        <v>-0.99967249999999996</v>
      </c>
      <c r="N1562">
        <v>-7.299888E-3</v>
      </c>
      <c r="O1562">
        <v>2.4532930000000001E-2</v>
      </c>
      <c r="P1562">
        <v>-0.98746940000000005</v>
      </c>
      <c r="Q1562">
        <v>-0.14127110000000001</v>
      </c>
      <c r="R1562">
        <v>-7.0334720000000003E-2</v>
      </c>
      <c r="S1562">
        <v>-2.9923709999999999</v>
      </c>
      <c r="T1562">
        <v>-0.1549884</v>
      </c>
      <c r="U1562">
        <v>-0.3297119</v>
      </c>
      <c r="V1562">
        <v>-9.4406530000000002E-2</v>
      </c>
      <c r="W1562">
        <v>-0.13416729999999999</v>
      </c>
      <c r="X1562">
        <v>0.98645150000000004</v>
      </c>
      <c r="Y1562">
        <v>-0.13364809999999999</v>
      </c>
      <c r="Z1562">
        <v>-5.0259700000000003E-3</v>
      </c>
      <c r="AA1562">
        <v>0.99101609999999996</v>
      </c>
      <c r="AB1562">
        <v>55</v>
      </c>
      <c r="AC1562">
        <v>-20.839099999999998</v>
      </c>
      <c r="AD1562">
        <v>-1.1075630294030001</v>
      </c>
      <c r="AE1562">
        <v>-2.3694999999999502</v>
      </c>
      <c r="AF1562">
        <v>-2.87203531937101</v>
      </c>
      <c r="AG1562">
        <v>-1.1075630294030001</v>
      </c>
      <c r="AH1562">
        <v>20.716922190561899</v>
      </c>
      <c r="AI1562">
        <v>93.031284104575704</v>
      </c>
      <c r="AJ1562">
        <v>97.892740991989498</v>
      </c>
      <c r="AK1562">
        <v>20.944358376174002</v>
      </c>
      <c r="AL1562">
        <v>97.710471575921304</v>
      </c>
      <c r="AM1562">
        <v>95.466737846691601</v>
      </c>
      <c r="AN1562">
        <v>1.00000000957409</v>
      </c>
    </row>
    <row r="1563" spans="1:40" x14ac:dyDescent="0.25">
      <c r="A1563" t="str">
        <f>"20190305135613074"</f>
        <v>20190305135613074</v>
      </c>
      <c r="B1563" t="str">
        <f>"1551765373063503"</f>
        <v>1551765373063503</v>
      </c>
      <c r="C1563" t="s">
        <v>40</v>
      </c>
      <c r="D1563">
        <v>3.9932590000000001</v>
      </c>
      <c r="E1563">
        <v>0.48877860000000001</v>
      </c>
      <c r="F1563" t="s">
        <v>61</v>
      </c>
      <c r="G1563">
        <v>-400.11430000000001</v>
      </c>
      <c r="H1563" s="1">
        <v>8.9462019999999996E-6</v>
      </c>
      <c r="I1563">
        <v>281.73860000000002</v>
      </c>
      <c r="J1563">
        <v>-378.15300000000002</v>
      </c>
      <c r="K1563">
        <v>1.107605</v>
      </c>
      <c r="L1563">
        <v>284.19779999999997</v>
      </c>
      <c r="M1563">
        <v>-0.99968190000000001</v>
      </c>
      <c r="N1563">
        <v>-7.3158469999999899E-3</v>
      </c>
      <c r="O1563">
        <v>2.4139310000000001E-2</v>
      </c>
      <c r="P1563">
        <v>-0.98742059999999998</v>
      </c>
      <c r="Q1563">
        <v>-0.1412206</v>
      </c>
      <c r="R1563">
        <v>-7.1116280000000004E-2</v>
      </c>
      <c r="S1563">
        <v>-2.9937740000000002</v>
      </c>
      <c r="T1563">
        <v>-0.14747729999999901</v>
      </c>
      <c r="U1563">
        <v>-0.32577509999999998</v>
      </c>
      <c r="V1563">
        <v>-9.4785889999999998E-2</v>
      </c>
      <c r="W1563">
        <v>-0.13411090000000001</v>
      </c>
      <c r="X1563">
        <v>0.98642280000000004</v>
      </c>
      <c r="Y1563">
        <v>-0.1319428</v>
      </c>
      <c r="Z1563">
        <v>-4.7320000000000001E-3</v>
      </c>
      <c r="AA1563">
        <v>0.99124599999999996</v>
      </c>
      <c r="AB1563">
        <v>55</v>
      </c>
      <c r="AC1563">
        <v>-21.961299999999898</v>
      </c>
      <c r="AD1563">
        <v>-1.1075960537980001</v>
      </c>
      <c r="AE1563">
        <v>-2.4591999999999499</v>
      </c>
      <c r="AF1563">
        <v>-2.9811392594011901</v>
      </c>
      <c r="AG1563">
        <v>-1.1075960537980001</v>
      </c>
      <c r="AH1563">
        <v>21.840669572949199</v>
      </c>
      <c r="AI1563">
        <v>92.876501331685404</v>
      </c>
      <c r="AJ1563">
        <v>97.772547512247002</v>
      </c>
      <c r="AK1563">
        <v>22.070994714717401</v>
      </c>
      <c r="AL1563">
        <v>97.707210546971993</v>
      </c>
      <c r="AM1563">
        <v>95.488730040164199</v>
      </c>
      <c r="AN1563">
        <v>1.00000001940087</v>
      </c>
    </row>
    <row r="1564" spans="1:40" x14ac:dyDescent="0.25">
      <c r="A1564" t="str">
        <f>"20190305135613096"</f>
        <v>20190305135613096</v>
      </c>
      <c r="B1564" t="str">
        <f>"1551765373093759"</f>
        <v>1551765373093759</v>
      </c>
      <c r="C1564" t="s">
        <v>40</v>
      </c>
      <c r="D1564">
        <v>4.0682299999999998</v>
      </c>
      <c r="E1564">
        <v>0.48918929999999999</v>
      </c>
      <c r="F1564" t="s">
        <v>61</v>
      </c>
      <c r="G1564">
        <v>-402.2559</v>
      </c>
      <c r="H1564" s="1">
        <v>8.0272179999999992E-6</v>
      </c>
      <c r="I1564">
        <v>281.5899</v>
      </c>
      <c r="J1564">
        <v>-378.70499999999998</v>
      </c>
      <c r="K1564">
        <v>1.1076509999999999</v>
      </c>
      <c r="L1564">
        <v>284.21100000000001</v>
      </c>
      <c r="M1564">
        <v>-0.99969240000000004</v>
      </c>
      <c r="N1564">
        <v>-7.332641E-3</v>
      </c>
      <c r="O1564">
        <v>2.3691050000000002E-2</v>
      </c>
      <c r="P1564">
        <v>-0.98746389999999995</v>
      </c>
      <c r="Q1564">
        <v>-0.140519899999999</v>
      </c>
      <c r="R1564">
        <v>-7.1897810000000006E-2</v>
      </c>
      <c r="S1564">
        <v>-2.995117</v>
      </c>
      <c r="T1564">
        <v>-0.1376339</v>
      </c>
      <c r="U1564">
        <v>-0.32406620000000003</v>
      </c>
      <c r="V1564">
        <v>-9.5113009999999998E-2</v>
      </c>
      <c r="W1564">
        <v>-0.13340369999999999</v>
      </c>
      <c r="X1564">
        <v>0.98648720000000001</v>
      </c>
      <c r="Y1564">
        <v>-0.13091820000000001</v>
      </c>
      <c r="Z1564">
        <v>-4.3914979999999998E-3</v>
      </c>
      <c r="AA1564">
        <v>0.99138340000000003</v>
      </c>
      <c r="AB1564">
        <v>55</v>
      </c>
      <c r="AC1564">
        <v>-23.550899999999999</v>
      </c>
      <c r="AD1564">
        <v>-1.1076429727820001</v>
      </c>
      <c r="AE1564">
        <v>-2.62110000000001</v>
      </c>
      <c r="AF1564">
        <v>-3.1713955721443101</v>
      </c>
      <c r="AG1564">
        <v>-1.1076429727820001</v>
      </c>
      <c r="AH1564">
        <v>23.430996111502601</v>
      </c>
      <c r="AI1564">
        <v>92.682082991146203</v>
      </c>
      <c r="AJ1564">
        <v>97.708166053886202</v>
      </c>
      <c r="AK1564">
        <v>23.670576706270101</v>
      </c>
      <c r="AL1564">
        <v>97.666323609224605</v>
      </c>
      <c r="AM1564">
        <v>95.507198845825599</v>
      </c>
      <c r="AN1564">
        <v>1.0000000138043901</v>
      </c>
    </row>
    <row r="1565" spans="1:40" x14ac:dyDescent="0.25">
      <c r="A1565" t="str">
        <f>"20190305135613120"</f>
        <v>20190305135613120</v>
      </c>
      <c r="B1565" t="str">
        <f>"1551765373113279"</f>
        <v>1551765373113279</v>
      </c>
      <c r="C1565" t="s">
        <v>40</v>
      </c>
      <c r="D1565">
        <v>4.0106510000000002</v>
      </c>
      <c r="E1565">
        <v>0.48942340000000001</v>
      </c>
      <c r="F1565" t="s">
        <v>61</v>
      </c>
      <c r="G1565">
        <v>-405.23750000000001</v>
      </c>
      <c r="H1565" s="1">
        <v>6.7561049999999999E-6</v>
      </c>
      <c r="I1565">
        <v>281.34249999999997</v>
      </c>
      <c r="J1565">
        <v>-379.2799</v>
      </c>
      <c r="K1565">
        <v>1.107701</v>
      </c>
      <c r="L1565">
        <v>284.22449999999998</v>
      </c>
      <c r="M1565">
        <v>-0.99970429999999999</v>
      </c>
      <c r="N1565">
        <v>-7.3502189999999998E-3</v>
      </c>
      <c r="O1565">
        <v>2.318371E-2</v>
      </c>
      <c r="P1565">
        <v>-0.98743130000000001</v>
      </c>
      <c r="Q1565">
        <v>-0.1403645</v>
      </c>
      <c r="R1565">
        <v>-7.2647879999999998E-2</v>
      </c>
      <c r="S1565">
        <v>-2.9967039999999998</v>
      </c>
      <c r="T1565">
        <v>-0.12510250000000001</v>
      </c>
      <c r="U1565">
        <v>-0.323974599999999</v>
      </c>
      <c r="V1565">
        <v>-9.5346520000000004E-2</v>
      </c>
      <c r="W1565">
        <v>-0.13324240000000001</v>
      </c>
      <c r="X1565">
        <v>0.98648639999999999</v>
      </c>
      <c r="Y1565">
        <v>-0.13035930000000001</v>
      </c>
      <c r="Z1565">
        <v>-3.9877289999999998E-3</v>
      </c>
      <c r="AA1565">
        <v>0.99145879999999997</v>
      </c>
      <c r="AB1565">
        <v>55</v>
      </c>
      <c r="AC1565">
        <v>-25.957599999999999</v>
      </c>
      <c r="AD1565">
        <v>-1.1076942438949999</v>
      </c>
      <c r="AE1565">
        <v>-2.8820000000000001</v>
      </c>
      <c r="AF1565">
        <v>-3.4767808728573102</v>
      </c>
      <c r="AG1565">
        <v>-1.1076942438949999</v>
      </c>
      <c r="AH1565">
        <v>25.837328596776398</v>
      </c>
      <c r="AI1565">
        <v>92.432971129623297</v>
      </c>
      <c r="AJ1565">
        <v>97.663926870788799</v>
      </c>
      <c r="AK1565">
        <v>26.093726081064499</v>
      </c>
      <c r="AL1565">
        <v>97.656998991698899</v>
      </c>
      <c r="AM1565">
        <v>95.520640479475603</v>
      </c>
      <c r="AN1565">
        <v>0.999999956709414</v>
      </c>
    </row>
    <row r="1566" spans="1:40" x14ac:dyDescent="0.25">
      <c r="A1566" t="str">
        <f>"20190305135613141"</f>
        <v>20190305135613141</v>
      </c>
      <c r="B1566" t="str">
        <f>"1551765373133754"</f>
        <v>1551765373133754</v>
      </c>
      <c r="C1566" t="s">
        <v>40</v>
      </c>
      <c r="D1566">
        <v>4.0064950000000001</v>
      </c>
      <c r="E1566">
        <v>0.48963659999999998</v>
      </c>
      <c r="F1566" t="s">
        <v>61</v>
      </c>
      <c r="G1566">
        <v>-405.0883</v>
      </c>
      <c r="H1566" s="1">
        <v>6.8041699999999903E-6</v>
      </c>
      <c r="I1566">
        <v>281.43029999999999</v>
      </c>
      <c r="J1566">
        <v>-379.8331</v>
      </c>
      <c r="K1566">
        <v>1.1077490000000001</v>
      </c>
      <c r="L1566">
        <v>284.2371</v>
      </c>
      <c r="M1566">
        <v>-0.99971639999999995</v>
      </c>
      <c r="N1566">
        <v>-7.3673999999999996E-3</v>
      </c>
      <c r="O1566">
        <v>2.2651859999999999E-2</v>
      </c>
      <c r="P1566">
        <v>-0.98727900000000002</v>
      </c>
      <c r="Q1566">
        <v>-0.140957</v>
      </c>
      <c r="R1566">
        <v>-7.3564950000000004E-2</v>
      </c>
      <c r="S1566">
        <v>-2.9960330000000002</v>
      </c>
      <c r="T1566">
        <v>-0.1285897</v>
      </c>
      <c r="U1566">
        <v>-0.32437129999999997</v>
      </c>
      <c r="V1566">
        <v>-9.571847E-2</v>
      </c>
      <c r="W1566">
        <v>-0.13383100000000001</v>
      </c>
      <c r="X1566">
        <v>0.98637070000000004</v>
      </c>
      <c r="Y1566">
        <v>-0.12997819999999999</v>
      </c>
      <c r="Z1566">
        <v>-4.0632740000000004E-3</v>
      </c>
      <c r="AA1566">
        <v>0.99150850000000001</v>
      </c>
      <c r="AB1566">
        <v>55</v>
      </c>
      <c r="AC1566">
        <v>-25.255199999999999</v>
      </c>
      <c r="AD1566">
        <v>-1.10774219582999</v>
      </c>
      <c r="AE1566">
        <v>-2.8068</v>
      </c>
      <c r="AF1566">
        <v>-3.3717647867421801</v>
      </c>
      <c r="AG1566">
        <v>-1.10774219582999</v>
      </c>
      <c r="AH1566">
        <v>25.137367566336302</v>
      </c>
      <c r="AI1566">
        <v>92.500883514479597</v>
      </c>
      <c r="AJ1566">
        <v>97.639687797845198</v>
      </c>
      <c r="AK1566">
        <v>25.386672462428699</v>
      </c>
      <c r="AL1566">
        <v>97.691028033325395</v>
      </c>
      <c r="AM1566">
        <v>95.542688890511997</v>
      </c>
      <c r="AN1566">
        <v>0.99999995993931401</v>
      </c>
    </row>
    <row r="1567" spans="1:40" x14ac:dyDescent="0.25">
      <c r="A1567" t="str">
        <f>"20190305135613164"</f>
        <v>20190305135613164</v>
      </c>
      <c r="B1567" t="str">
        <f>"1551765373153271"</f>
        <v>1551765373153271</v>
      </c>
      <c r="C1567" t="s">
        <v>40</v>
      </c>
      <c r="D1567">
        <v>4.0389650000000001</v>
      </c>
      <c r="E1567">
        <v>0.48974889999999999</v>
      </c>
      <c r="F1567" t="s">
        <v>61</v>
      </c>
      <c r="G1567">
        <v>-404.66230000000002</v>
      </c>
      <c r="H1567" s="1">
        <v>6.9697289999999997E-6</v>
      </c>
      <c r="I1567">
        <v>281.54329999999999</v>
      </c>
      <c r="J1567">
        <v>-380.3775</v>
      </c>
      <c r="K1567">
        <v>1.1078049999999999</v>
      </c>
      <c r="L1567">
        <v>284.24930000000001</v>
      </c>
      <c r="M1567">
        <v>-0.99972890000000003</v>
      </c>
      <c r="N1567">
        <v>-7.3845859999999899E-3</v>
      </c>
      <c r="O1567">
        <v>2.2084800000000002E-2</v>
      </c>
      <c r="P1567">
        <v>-0.98709270000000005</v>
      </c>
      <c r="Q1567">
        <v>-0.14183860000000001</v>
      </c>
      <c r="R1567">
        <v>-7.4363090000000007E-2</v>
      </c>
      <c r="S1567">
        <v>-2.9953919999999998</v>
      </c>
      <c r="T1567">
        <v>-0.1336379</v>
      </c>
      <c r="U1567">
        <v>-0.32498169999999998</v>
      </c>
      <c r="V1567">
        <v>-9.5935049999999994E-2</v>
      </c>
      <c r="W1567">
        <v>-0.13470940000000001</v>
      </c>
      <c r="X1567">
        <v>0.9862301</v>
      </c>
      <c r="Y1567">
        <v>-0.1296272</v>
      </c>
      <c r="Z1567">
        <v>-4.1817109999999899E-3</v>
      </c>
      <c r="AA1567">
        <v>0.99155400000000005</v>
      </c>
      <c r="AB1567">
        <v>55</v>
      </c>
      <c r="AC1567">
        <v>-24.284800000000001</v>
      </c>
      <c r="AD1567">
        <v>-1.107798030271</v>
      </c>
      <c r="AE1567">
        <v>-2.7060000000000102</v>
      </c>
      <c r="AF1567">
        <v>-3.2350302792888899</v>
      </c>
      <c r="AG1567">
        <v>-1.107798030271</v>
      </c>
      <c r="AH1567">
        <v>24.169436065002898</v>
      </c>
      <c r="AI1567">
        <v>92.6011319367596</v>
      </c>
      <c r="AJ1567">
        <v>97.623613632878104</v>
      </c>
      <c r="AK1567">
        <v>24.410126527407702</v>
      </c>
      <c r="AL1567">
        <v>97.741816370936704</v>
      </c>
      <c r="AM1567">
        <v>95.555938850636295</v>
      </c>
      <c r="AN1567">
        <v>0.99999998320643602</v>
      </c>
    </row>
    <row r="1568" spans="1:40" x14ac:dyDescent="0.25">
      <c r="A1568" t="str">
        <f>"20190305135613186"</f>
        <v>20190305135613186</v>
      </c>
      <c r="B1568" t="str">
        <f>"1551765373183529"</f>
        <v>1551765373183529</v>
      </c>
      <c r="C1568" t="s">
        <v>40</v>
      </c>
      <c r="D1568">
        <v>4.0792630000000001</v>
      </c>
      <c r="E1568">
        <v>0.48972959999999899</v>
      </c>
      <c r="F1568" t="s">
        <v>61</v>
      </c>
      <c r="G1568">
        <v>-405.43639999999999</v>
      </c>
      <c r="H1568" s="1">
        <v>6.6314989999999997E-6</v>
      </c>
      <c r="I1568">
        <v>281.51870000000002</v>
      </c>
      <c r="J1568">
        <v>-380.93049999999999</v>
      </c>
      <c r="K1568">
        <v>1.1078589999999999</v>
      </c>
      <c r="L1568">
        <v>284.26130000000001</v>
      </c>
      <c r="M1568">
        <v>-0.99974220000000003</v>
      </c>
      <c r="N1568">
        <v>-7.4019929999999999E-3</v>
      </c>
      <c r="O1568">
        <v>2.1465370000000001E-2</v>
      </c>
      <c r="P1568">
        <v>-0.98694539999999997</v>
      </c>
      <c r="Q1568">
        <v>-0.1425912</v>
      </c>
      <c r="R1568">
        <v>-7.4878940000000005E-2</v>
      </c>
      <c r="S1568">
        <v>-2.9956049999999999</v>
      </c>
      <c r="T1568">
        <v>-0.13242909999999999</v>
      </c>
      <c r="U1568">
        <v>-0.32641599999999998</v>
      </c>
      <c r="V1568">
        <v>-9.5817509999999995E-2</v>
      </c>
      <c r="W1568">
        <v>-0.1354582</v>
      </c>
      <c r="X1568">
        <v>0.98613899999999999</v>
      </c>
      <c r="Y1568">
        <v>-0.12947790000000001</v>
      </c>
      <c r="Z1568">
        <v>-4.1206109999999997E-3</v>
      </c>
      <c r="AA1568">
        <v>0.99157379999999995</v>
      </c>
      <c r="AB1568">
        <v>55</v>
      </c>
      <c r="AC1568">
        <v>-24.5059</v>
      </c>
      <c r="AD1568">
        <v>-1.107852368501</v>
      </c>
      <c r="AE1568">
        <v>-2.7425999999999799</v>
      </c>
      <c r="AF1568">
        <v>-3.2614276583443602</v>
      </c>
      <c r="AG1568">
        <v>-1.107852368501</v>
      </c>
      <c r="AH1568">
        <v>24.3921466344968</v>
      </c>
      <c r="AI1568">
        <v>92.577588255871305</v>
      </c>
      <c r="AJ1568">
        <v>97.615739991359206</v>
      </c>
      <c r="AK1568">
        <v>24.634144285519699</v>
      </c>
      <c r="AL1568">
        <v>97.785116018573603</v>
      </c>
      <c r="AM1568">
        <v>95.549683642057701</v>
      </c>
      <c r="AN1568">
        <v>1.00000002324541</v>
      </c>
    </row>
    <row r="1569" spans="1:40" x14ac:dyDescent="0.25">
      <c r="A1569" t="str">
        <f>"20190305135613208"</f>
        <v>20190305135613208</v>
      </c>
      <c r="B1569" t="str">
        <f>"1551765373203047"</f>
        <v>1551765373203047</v>
      </c>
      <c r="C1569" t="s">
        <v>40</v>
      </c>
      <c r="D1569">
        <v>4.0406810000000002</v>
      </c>
      <c r="E1569">
        <v>0.48993930000000002</v>
      </c>
      <c r="F1569" t="s">
        <v>61</v>
      </c>
      <c r="G1569">
        <v>-407.0172</v>
      </c>
      <c r="H1569" s="1">
        <v>5.9558419999999997E-6</v>
      </c>
      <c r="I1569">
        <v>281.39609999999999</v>
      </c>
      <c r="J1569">
        <v>-381.47340000000003</v>
      </c>
      <c r="K1569">
        <v>1.10791</v>
      </c>
      <c r="L1569">
        <v>284.27280000000002</v>
      </c>
      <c r="M1569">
        <v>-0.99975579999999997</v>
      </c>
      <c r="N1569">
        <v>-7.4193109999999996E-3</v>
      </c>
      <c r="O1569">
        <v>2.0819190000000001E-2</v>
      </c>
      <c r="P1569">
        <v>-0.98690889999999998</v>
      </c>
      <c r="Q1569">
        <v>-0.1428276</v>
      </c>
      <c r="R1569">
        <v>-7.4910160000000003E-2</v>
      </c>
      <c r="S1569">
        <v>-2.9963679999999999</v>
      </c>
      <c r="T1569">
        <v>-0.12725040000000001</v>
      </c>
      <c r="U1569">
        <v>-0.32910159999999899</v>
      </c>
      <c r="V1569">
        <v>-9.5193739999999999E-2</v>
      </c>
      <c r="W1569">
        <v>-0.13568859999999999</v>
      </c>
      <c r="X1569">
        <v>0.98616769999999998</v>
      </c>
      <c r="Y1569">
        <v>-0.12970000000000001</v>
      </c>
      <c r="Z1569">
        <v>-3.9548279999999996E-3</v>
      </c>
      <c r="AA1569">
        <v>0.99154540000000002</v>
      </c>
      <c r="AB1569">
        <v>55</v>
      </c>
      <c r="AC1569">
        <v>-25.543799999999901</v>
      </c>
      <c r="AD1569">
        <v>-1.1079040441579999</v>
      </c>
      <c r="AE1569">
        <v>-2.87670000000002</v>
      </c>
      <c r="AF1569">
        <v>-3.4015734126812101</v>
      </c>
      <c r="AG1569">
        <v>-1.1079040441579999</v>
      </c>
      <c r="AH1569">
        <v>25.431129358787899</v>
      </c>
      <c r="AI1569">
        <v>92.472514507081499</v>
      </c>
      <c r="AJ1569">
        <v>97.618452161777199</v>
      </c>
      <c r="AK1569">
        <v>25.6815204673774</v>
      </c>
      <c r="AL1569">
        <v>97.798440255297706</v>
      </c>
      <c r="AM1569">
        <v>95.513619204007199</v>
      </c>
      <c r="AN1569">
        <v>0.999999988414218</v>
      </c>
    </row>
    <row r="1570" spans="1:40" x14ac:dyDescent="0.25">
      <c r="A1570" t="str">
        <f>"20190305135613242"</f>
        <v>20190305135613242</v>
      </c>
      <c r="B1570" t="str">
        <f>"1551765373233303"</f>
        <v>1551765373233303</v>
      </c>
      <c r="C1570" t="s">
        <v>40</v>
      </c>
      <c r="D1570">
        <v>4.0522470000000004</v>
      </c>
      <c r="E1570">
        <v>0.49030659999999998</v>
      </c>
      <c r="F1570" t="s">
        <v>61</v>
      </c>
      <c r="G1570">
        <v>-407.59089999999998</v>
      </c>
      <c r="H1570" s="1">
        <v>5.69733399999999E-6</v>
      </c>
      <c r="I1570">
        <v>281.41579999999999</v>
      </c>
      <c r="J1570">
        <v>-382.3193</v>
      </c>
      <c r="K1570">
        <v>1.107972</v>
      </c>
      <c r="L1570">
        <v>284.28989999999999</v>
      </c>
      <c r="M1570">
        <v>-0.99977729999999998</v>
      </c>
      <c r="N1570">
        <v>-7.4454689999999997E-3</v>
      </c>
      <c r="O1570">
        <v>1.9753940000000001E-2</v>
      </c>
      <c r="P1570">
        <v>-0.98679229999999996</v>
      </c>
      <c r="Q1570">
        <v>-0.14328389999999999</v>
      </c>
      <c r="R1570">
        <v>-7.5572130000000001E-2</v>
      </c>
      <c r="S1570">
        <v>-2.996521</v>
      </c>
      <c r="T1570">
        <v>-0.12711259999999999</v>
      </c>
      <c r="U1570">
        <v>-0.32778930000000001</v>
      </c>
      <c r="V1570">
        <v>-9.4778290000000001E-2</v>
      </c>
      <c r="W1570">
        <v>-0.1361357</v>
      </c>
      <c r="X1570">
        <v>0.98614610000000003</v>
      </c>
      <c r="Y1570">
        <v>-0.1282113</v>
      </c>
      <c r="Z1570">
        <v>-3.8777719999999998E-3</v>
      </c>
      <c r="AA1570">
        <v>0.99173929999999999</v>
      </c>
      <c r="AB1570">
        <v>56</v>
      </c>
      <c r="AC1570">
        <v>-25.2715999999999</v>
      </c>
      <c r="AD1570">
        <v>-1.107966302666</v>
      </c>
      <c r="AE1570">
        <v>-2.8740999999999901</v>
      </c>
      <c r="AF1570">
        <v>-3.36637851801544</v>
      </c>
      <c r="AG1570">
        <v>-1.107966302666</v>
      </c>
      <c r="AH1570">
        <v>25.162144288519901</v>
      </c>
      <c r="AI1570">
        <v>92.499042563777394</v>
      </c>
      <c r="AJ1570">
        <v>97.620204986080296</v>
      </c>
      <c r="AK1570">
        <v>25.4105017433874</v>
      </c>
      <c r="AL1570">
        <v>97.824297100822307</v>
      </c>
      <c r="AM1570">
        <v>95.489823175414898</v>
      </c>
      <c r="AN1570">
        <v>0.99999999180751198</v>
      </c>
    </row>
    <row r="1571" spans="1:40" x14ac:dyDescent="0.25">
      <c r="A1571" t="str">
        <f>"20190305135613263"</f>
        <v>20190305135613263</v>
      </c>
      <c r="B1571" t="str">
        <f>"1551765373253799"</f>
        <v>1551765373253799</v>
      </c>
      <c r="C1571" t="s">
        <v>40</v>
      </c>
      <c r="D1571">
        <v>4.0834769999999896</v>
      </c>
      <c r="E1571">
        <v>0.49045070000000002</v>
      </c>
      <c r="F1571" t="s">
        <v>61</v>
      </c>
      <c r="G1571">
        <v>-407.56630000000001</v>
      </c>
      <c r="H1571" s="1">
        <v>5.6836530000000001E-6</v>
      </c>
      <c r="I1571">
        <v>281.53489999999999</v>
      </c>
      <c r="J1571">
        <v>-382.8571</v>
      </c>
      <c r="K1571">
        <v>1.1080139999999901</v>
      </c>
      <c r="L1571">
        <v>284.30029999999999</v>
      </c>
      <c r="M1571">
        <v>-0.99979079999999998</v>
      </c>
      <c r="N1571">
        <v>-7.4619600000000001E-3</v>
      </c>
      <c r="O1571">
        <v>1.9052739999999999E-2</v>
      </c>
      <c r="P1571">
        <v>-0.98679070000000002</v>
      </c>
      <c r="Q1571">
        <v>-0.14311019999999999</v>
      </c>
      <c r="R1571">
        <v>-7.5920929999999998E-2</v>
      </c>
      <c r="S1571">
        <v>-2.9960330000000002</v>
      </c>
      <c r="T1571">
        <v>-0.13148119999999999</v>
      </c>
      <c r="U1571">
        <v>-0.32693480000000003</v>
      </c>
      <c r="V1571">
        <v>-9.4422350000000002E-2</v>
      </c>
      <c r="W1571">
        <v>-0.1359543</v>
      </c>
      <c r="X1571">
        <v>0.98620529999999995</v>
      </c>
      <c r="Y1571">
        <v>-0.12724540000000001</v>
      </c>
      <c r="Z1571">
        <v>-3.9506960000000001E-3</v>
      </c>
      <c r="AA1571">
        <v>0.99186339999999995</v>
      </c>
      <c r="AB1571">
        <v>56</v>
      </c>
      <c r="AC1571">
        <v>-24.709199999999999</v>
      </c>
      <c r="AD1571">
        <v>-1.10800831634699</v>
      </c>
      <c r="AE1571">
        <v>-2.7654000000000001</v>
      </c>
      <c r="AF1571">
        <v>-3.2292758923828102</v>
      </c>
      <c r="AG1571">
        <v>-1.10800831634699</v>
      </c>
      <c r="AH1571">
        <v>24.603164615264902</v>
      </c>
      <c r="AI1571">
        <v>92.556684840091194</v>
      </c>
      <c r="AJ1571">
        <v>97.477583364580198</v>
      </c>
      <c r="AK1571">
        <v>24.8389133076316</v>
      </c>
      <c r="AL1571">
        <v>97.813805864230403</v>
      </c>
      <c r="AM1571">
        <v>95.469005063732595</v>
      </c>
      <c r="AN1571">
        <v>1.0000000228080499</v>
      </c>
    </row>
    <row r="1572" spans="1:40" x14ac:dyDescent="0.25">
      <c r="A1572" t="str">
        <f>"20190305135613286"</f>
        <v>20190305135613286</v>
      </c>
      <c r="B1572" t="str">
        <f>"1551765373283080"</f>
        <v>1551765373283080</v>
      </c>
      <c r="C1572" t="s">
        <v>40</v>
      </c>
      <c r="D1572">
        <v>4.1377189999999997</v>
      </c>
      <c r="E1572">
        <v>0.49059079999999999</v>
      </c>
      <c r="F1572" t="s">
        <v>61</v>
      </c>
      <c r="G1572">
        <v>-408.09300000000002</v>
      </c>
      <c r="H1572" s="1">
        <v>5.4472239999999999E-6</v>
      </c>
      <c r="I1572">
        <v>281.5487</v>
      </c>
      <c r="J1572">
        <v>-383.4239</v>
      </c>
      <c r="K1572">
        <v>1.108055</v>
      </c>
      <c r="L1572">
        <v>284.3109</v>
      </c>
      <c r="M1572">
        <v>-0.99980460000000004</v>
      </c>
      <c r="N1572">
        <v>-7.4793669999999998E-3</v>
      </c>
      <c r="O1572">
        <v>1.829921E-2</v>
      </c>
      <c r="P1572">
        <v>-0.98683989999999999</v>
      </c>
      <c r="Q1572">
        <v>-0.14220039999999901</v>
      </c>
      <c r="R1572">
        <v>-7.6983270000000006E-2</v>
      </c>
      <c r="S1572">
        <v>-2.9959410000000002</v>
      </c>
      <c r="T1572">
        <v>-0.13153979999999901</v>
      </c>
      <c r="U1572">
        <v>-0.32666020000000001</v>
      </c>
      <c r="V1572">
        <v>-9.473202E-2</v>
      </c>
      <c r="W1572">
        <v>-0.135036299999999</v>
      </c>
      <c r="X1572">
        <v>0.98630169999999995</v>
      </c>
      <c r="Y1572">
        <v>-0.12641250000000001</v>
      </c>
      <c r="Z1572">
        <v>-3.9044959999999999E-3</v>
      </c>
      <c r="AA1572">
        <v>0.99197009999999997</v>
      </c>
      <c r="AB1572">
        <v>56</v>
      </c>
      <c r="AC1572">
        <v>-24.6691</v>
      </c>
      <c r="AD1572">
        <v>-1.1080495527759999</v>
      </c>
      <c r="AE1572">
        <v>-2.7622</v>
      </c>
      <c r="AF1572">
        <v>-3.2067855626842099</v>
      </c>
      <c r="AG1572">
        <v>-1.1080495527759999</v>
      </c>
      <c r="AH1572">
        <v>24.565474593248599</v>
      </c>
      <c r="AI1572">
        <v>92.560932472120001</v>
      </c>
      <c r="AJ1572">
        <v>97.437355069150698</v>
      </c>
      <c r="AK1572">
        <v>24.798665073910499</v>
      </c>
      <c r="AL1572">
        <v>97.760718940904596</v>
      </c>
      <c r="AM1572">
        <v>95.486299071087402</v>
      </c>
      <c r="AN1572">
        <v>1.0000000006769301</v>
      </c>
    </row>
    <row r="1573" spans="1:40" x14ac:dyDescent="0.25">
      <c r="A1573" t="str">
        <f>"20190305135613309"</f>
        <v>20190305135613309</v>
      </c>
      <c r="B1573" t="str">
        <f>"1551765373303575"</f>
        <v>1551765373303575</v>
      </c>
      <c r="C1573" t="s">
        <v>40</v>
      </c>
      <c r="D1573">
        <v>4.2220449999999996</v>
      </c>
      <c r="E1573">
        <v>0.50453879999999995</v>
      </c>
      <c r="F1573" t="s">
        <v>61</v>
      </c>
      <c r="G1573">
        <v>-408.98230000000001</v>
      </c>
      <c r="H1573" s="1">
        <v>5.0619349999999997E-6</v>
      </c>
      <c r="I1573">
        <v>281.50459999999998</v>
      </c>
      <c r="J1573">
        <v>-383.98820000000001</v>
      </c>
      <c r="K1573">
        <v>1.10809</v>
      </c>
      <c r="L1573">
        <v>284.3211</v>
      </c>
      <c r="M1573">
        <v>-0.99981810000000004</v>
      </c>
      <c r="N1573">
        <v>-7.4968109999999999E-3</v>
      </c>
      <c r="O1573">
        <v>1.7541569999999999E-2</v>
      </c>
      <c r="P1573">
        <v>-0.98687860000000005</v>
      </c>
      <c r="Q1573">
        <v>-0.14140730000000001</v>
      </c>
      <c r="R1573">
        <v>-7.7940019999999999E-2</v>
      </c>
      <c r="S1573">
        <v>-2.9956360000000002</v>
      </c>
      <c r="T1573">
        <v>-0.12987169999999901</v>
      </c>
      <c r="U1573">
        <v>-0.3289185</v>
      </c>
      <c r="V1573">
        <v>-9.4933409999999996E-2</v>
      </c>
      <c r="W1573">
        <v>-0.13423379999999999</v>
      </c>
      <c r="X1573">
        <v>0.98639189999999999</v>
      </c>
      <c r="Y1573">
        <v>-0.12641469999999999</v>
      </c>
      <c r="Z1573">
        <v>-3.8333030000000001E-3</v>
      </c>
      <c r="AA1573">
        <v>0.99197009999999997</v>
      </c>
      <c r="AB1573">
        <v>56</v>
      </c>
      <c r="AC1573">
        <v>-24.9941</v>
      </c>
      <c r="AD1573">
        <v>-1.108084938065</v>
      </c>
      <c r="AE1573">
        <v>-2.8165000000000102</v>
      </c>
      <c r="AF1573">
        <v>-3.2482103836465601</v>
      </c>
      <c r="AG1573">
        <v>-1.108084938065</v>
      </c>
      <c r="AH1573">
        <v>24.892534275625799</v>
      </c>
      <c r="AI1573">
        <v>92.527425767938695</v>
      </c>
      <c r="AJ1573">
        <v>97.434481599938294</v>
      </c>
      <c r="AK1573">
        <v>25.1280119705002</v>
      </c>
      <c r="AL1573">
        <v>97.714316422541202</v>
      </c>
      <c r="AM1573">
        <v>95.497391289454498</v>
      </c>
      <c r="AN1573">
        <v>1.0000000228911301</v>
      </c>
    </row>
    <row r="1574" spans="1:40" x14ac:dyDescent="0.25">
      <c r="A1574" t="str">
        <f>"20190305135613331"</f>
        <v>20190305135613331</v>
      </c>
      <c r="B1574" t="str">
        <f>"1551765373323095"</f>
        <v>1551765373323095</v>
      </c>
      <c r="C1574" t="s">
        <v>40</v>
      </c>
      <c r="D1574">
        <v>4.2009569999999998</v>
      </c>
      <c r="E1574">
        <v>0.55857129999999999</v>
      </c>
      <c r="F1574" t="s">
        <v>61</v>
      </c>
      <c r="G1574">
        <v>-432.4255</v>
      </c>
      <c r="H1574" s="1">
        <v>3.6353900000000001E-6</v>
      </c>
      <c r="I1574">
        <v>280.69549999999998</v>
      </c>
      <c r="J1574">
        <v>-384.56270000000001</v>
      </c>
      <c r="K1574">
        <v>1.108117</v>
      </c>
      <c r="L1574">
        <v>284.33100000000002</v>
      </c>
      <c r="M1574">
        <v>-0.99983100000000003</v>
      </c>
      <c r="N1574">
        <v>-7.5141339999999996E-3</v>
      </c>
      <c r="O1574">
        <v>1.677855E-2</v>
      </c>
      <c r="P1574">
        <v>-0.98678710000000003</v>
      </c>
      <c r="Q1574">
        <v>-0.14123910000000001</v>
      </c>
      <c r="R1574">
        <v>-7.9391400000000001E-2</v>
      </c>
      <c r="S1574">
        <v>-3.012146</v>
      </c>
      <c r="T1574">
        <v>-6.8907979999999994E-2</v>
      </c>
      <c r="U1574">
        <v>-0.22546389999999999</v>
      </c>
      <c r="V1574">
        <v>-9.5622869999999999E-2</v>
      </c>
      <c r="W1574">
        <v>-0.1340565</v>
      </c>
      <c r="X1574">
        <v>0.98634940000000004</v>
      </c>
      <c r="Y1574">
        <v>-9.1330910000000001E-2</v>
      </c>
      <c r="Z1574">
        <v>-1.64418299999999E-3</v>
      </c>
      <c r="AA1574">
        <v>0.99581929999999996</v>
      </c>
      <c r="AB1574">
        <v>56</v>
      </c>
      <c r="AC1574">
        <v>-47.862799999999901</v>
      </c>
      <c r="AD1574">
        <v>-1.1081133646100001</v>
      </c>
      <c r="AE1574">
        <v>-3.6354999999999702</v>
      </c>
      <c r="AF1574">
        <v>-4.43571530847783</v>
      </c>
      <c r="AG1574">
        <v>-1.1081133646100001</v>
      </c>
      <c r="AH1574">
        <v>47.769603778294098</v>
      </c>
      <c r="AI1574">
        <v>91.323164025545196</v>
      </c>
      <c r="AJ1574">
        <v>95.305069633839906</v>
      </c>
      <c r="AK1574">
        <v>47.987899835915897</v>
      </c>
      <c r="AL1574">
        <v>97.704065337845194</v>
      </c>
      <c r="AM1574">
        <v>95.537306314331801</v>
      </c>
      <c r="AN1574">
        <v>1.00000000866982</v>
      </c>
    </row>
    <row r="1575" spans="1:40" x14ac:dyDescent="0.25">
      <c r="A1575" t="str">
        <f>"20190305135613354"</f>
        <v>20190305135613354</v>
      </c>
      <c r="B1575" t="str">
        <f>"1551765373343595"</f>
        <v>1551765373343595</v>
      </c>
      <c r="C1575" t="s">
        <v>40</v>
      </c>
      <c r="D1575">
        <v>4.1976750000000003</v>
      </c>
      <c r="E1575">
        <v>0.56262259999999997</v>
      </c>
      <c r="F1575" t="s">
        <v>41</v>
      </c>
      <c r="G1575">
        <v>-385.74360000000001</v>
      </c>
      <c r="H1575">
        <v>1.0503009999999999</v>
      </c>
      <c r="I1575">
        <v>284.4117</v>
      </c>
      <c r="J1575">
        <v>-385.11239999999998</v>
      </c>
      <c r="K1575">
        <v>1.108125</v>
      </c>
      <c r="L1575">
        <v>284.34010000000001</v>
      </c>
      <c r="M1575">
        <v>-0.99984249999999997</v>
      </c>
      <c r="N1575">
        <v>-7.5306499999999998E-3</v>
      </c>
      <c r="O1575">
        <v>1.6068889999999999E-2</v>
      </c>
      <c r="P1575">
        <v>-0.98665639999999999</v>
      </c>
      <c r="Q1575">
        <v>-0.14144200000000001</v>
      </c>
      <c r="R1575">
        <v>-8.0645430000000004E-2</v>
      </c>
      <c r="S1575">
        <v>-3.0354920000000001</v>
      </c>
      <c r="T1575">
        <v>-0.148782</v>
      </c>
      <c r="U1575">
        <v>0.20666499999999999</v>
      </c>
      <c r="V1575">
        <v>-9.6169679999999994E-2</v>
      </c>
      <c r="W1575">
        <v>-0.13424829999999999</v>
      </c>
      <c r="X1575">
        <v>0.98627010000000004</v>
      </c>
      <c r="Y1575">
        <v>5.1826919999999999E-2</v>
      </c>
      <c r="Z1575">
        <v>7.9814830000000004E-4</v>
      </c>
      <c r="AA1575">
        <v>0.99865570000000004</v>
      </c>
      <c r="AB1575">
        <v>56</v>
      </c>
      <c r="AC1575">
        <v>-0.63120000000003496</v>
      </c>
      <c r="AD1575">
        <v>-5.7824000000000098E-2</v>
      </c>
      <c r="AE1575">
        <v>7.1599999999989394E-2</v>
      </c>
      <c r="AF1575">
        <v>6.094282918505E-2</v>
      </c>
      <c r="AG1575">
        <v>-5.7824000000000098E-2</v>
      </c>
      <c r="AH1575">
        <v>0.62707331748371398</v>
      </c>
      <c r="AI1575">
        <v>95.243920148691103</v>
      </c>
      <c r="AJ1575">
        <v>84.449077521641698</v>
      </c>
      <c r="AK1575">
        <v>0.63267573756633799</v>
      </c>
      <c r="AL1575">
        <v>97.715155274081397</v>
      </c>
      <c r="AM1575">
        <v>95.569217316228702</v>
      </c>
      <c r="AN1575">
        <v>0.9999999617791</v>
      </c>
    </row>
    <row r="1576" spans="1:40" x14ac:dyDescent="0.25">
      <c r="A1576" t="str">
        <f>"20190305135613376"</f>
        <v>20190305135613376</v>
      </c>
      <c r="B1576" t="str">
        <f>"1551765373373847"</f>
        <v>1551765373373847</v>
      </c>
      <c r="C1576" t="s">
        <v>40</v>
      </c>
      <c r="D1576">
        <v>4.160882</v>
      </c>
      <c r="E1576">
        <v>0.56312620000000002</v>
      </c>
      <c r="F1576" t="s">
        <v>41</v>
      </c>
      <c r="G1576">
        <v>-386.24400000000003</v>
      </c>
      <c r="H1576">
        <v>1.046217</v>
      </c>
      <c r="I1576">
        <v>284.42829999999998</v>
      </c>
      <c r="J1576">
        <v>-385.68669999999997</v>
      </c>
      <c r="K1576">
        <v>1.1081299999999901</v>
      </c>
      <c r="L1576">
        <v>284.3492</v>
      </c>
      <c r="M1576">
        <v>-0.99985380000000001</v>
      </c>
      <c r="N1576">
        <v>-7.547715E-3</v>
      </c>
      <c r="O1576">
        <v>1.535307E-2</v>
      </c>
      <c r="P1576">
        <v>-0.98665740000000002</v>
      </c>
      <c r="Q1576">
        <v>-0.1408884</v>
      </c>
      <c r="R1576">
        <v>-8.159711E-2</v>
      </c>
      <c r="S1576">
        <v>-3.0360719999999999</v>
      </c>
      <c r="T1576">
        <v>-0.1661369</v>
      </c>
      <c r="U1576">
        <v>0.2362976</v>
      </c>
      <c r="V1576">
        <v>-9.6415600000000004E-2</v>
      </c>
      <c r="W1576">
        <v>-0.133679399999999</v>
      </c>
      <c r="X1576">
        <v>0.98632339999999996</v>
      </c>
      <c r="Y1576">
        <v>6.219069E-2</v>
      </c>
      <c r="Z1576">
        <v>1.210551E-3</v>
      </c>
      <c r="AA1576">
        <v>0.99806360000000005</v>
      </c>
      <c r="AB1576">
        <v>56</v>
      </c>
      <c r="AC1576">
        <v>-0.55730000000005397</v>
      </c>
      <c r="AD1576">
        <v>-6.1912999999999802E-2</v>
      </c>
      <c r="AE1576">
        <v>7.9099999999982601E-2</v>
      </c>
      <c r="AF1576">
        <v>6.9691026591621102E-2</v>
      </c>
      <c r="AG1576">
        <v>-6.1912999999999802E-2</v>
      </c>
      <c r="AH1576">
        <v>0.55177326588633202</v>
      </c>
      <c r="AI1576">
        <v>96.352177397395394</v>
      </c>
      <c r="AJ1576">
        <v>82.801445957429294</v>
      </c>
      <c r="AK1576">
        <v>0.55959252648982205</v>
      </c>
      <c r="AL1576">
        <v>97.682262928956902</v>
      </c>
      <c r="AM1576">
        <v>95.583068935694399</v>
      </c>
      <c r="AN1576">
        <v>0.99999999964763897</v>
      </c>
    </row>
    <row r="1577" spans="1:40" x14ac:dyDescent="0.25">
      <c r="A1577" t="str">
        <f>"20190305135613398"</f>
        <v>20190305135613398</v>
      </c>
      <c r="B1577" t="str">
        <f>"1551765373393367"</f>
        <v>1551765373393367</v>
      </c>
      <c r="C1577" t="s">
        <v>40</v>
      </c>
      <c r="D1577">
        <v>4.1997730000000004</v>
      </c>
      <c r="E1577">
        <v>0.56339530000000004</v>
      </c>
      <c r="F1577" t="s">
        <v>41</v>
      </c>
      <c r="G1577">
        <v>-386.74869999999999</v>
      </c>
      <c r="H1577">
        <v>1.047277</v>
      </c>
      <c r="I1577">
        <v>284.43310000000002</v>
      </c>
      <c r="J1577">
        <v>-386.24110000000002</v>
      </c>
      <c r="K1577">
        <v>1.1081299999999901</v>
      </c>
      <c r="L1577">
        <v>284.35759999999999</v>
      </c>
      <c r="M1577">
        <v>-0.99986339999999996</v>
      </c>
      <c r="N1577">
        <v>-7.5640259999999997E-3</v>
      </c>
      <c r="O1577">
        <v>1.4698839999999999E-2</v>
      </c>
      <c r="P1577">
        <v>-0.98670670000000005</v>
      </c>
      <c r="Q1577">
        <v>-0.13999139999999999</v>
      </c>
      <c r="R1577">
        <v>-8.2538070000000005E-2</v>
      </c>
      <c r="S1577">
        <v>-3.035431</v>
      </c>
      <c r="T1577">
        <v>-0.17421220000000001</v>
      </c>
      <c r="U1577">
        <v>0.2383728</v>
      </c>
      <c r="V1577">
        <v>-9.6716369999999996E-2</v>
      </c>
      <c r="W1577">
        <v>-0.1327651</v>
      </c>
      <c r="X1577">
        <v>0.9864174</v>
      </c>
      <c r="Y1577">
        <v>6.3526979999999997E-2</v>
      </c>
      <c r="Z1577">
        <v>1.3290369999999999E-3</v>
      </c>
      <c r="AA1577">
        <v>0.99797919999999996</v>
      </c>
      <c r="AB1577">
        <v>56</v>
      </c>
      <c r="AC1577">
        <v>-0.50759999999996797</v>
      </c>
      <c r="AD1577">
        <v>-6.0852999999999803E-2</v>
      </c>
      <c r="AE1577">
        <v>7.5500000000033596E-2</v>
      </c>
      <c r="AF1577">
        <v>6.70871830905794E-2</v>
      </c>
      <c r="AG1577">
        <v>-6.0852999999999803E-2</v>
      </c>
      <c r="AH1577">
        <v>0.50160190835678997</v>
      </c>
      <c r="AI1577">
        <v>96.856701882475804</v>
      </c>
      <c r="AJ1577">
        <v>82.382134204550795</v>
      </c>
      <c r="AK1577">
        <v>0.50971389250362997</v>
      </c>
      <c r="AL1577">
        <v>97.629406564567901</v>
      </c>
      <c r="AM1577">
        <v>95.599844566321593</v>
      </c>
      <c r="AN1577">
        <v>0.99999995751337201</v>
      </c>
    </row>
    <row r="1578" spans="1:40" x14ac:dyDescent="0.25">
      <c r="A1578" t="str">
        <f>"20190305135613421"</f>
        <v>20190305135613421</v>
      </c>
      <c r="B1578" t="str">
        <f>"1551765373413867"</f>
        <v>1551765373413867</v>
      </c>
      <c r="C1578" t="s">
        <v>40</v>
      </c>
      <c r="D1578">
        <v>4.2055099999999896</v>
      </c>
      <c r="E1578">
        <v>0.56361079999999997</v>
      </c>
      <c r="F1578" t="s">
        <v>41</v>
      </c>
      <c r="G1578">
        <v>-387.25599999999997</v>
      </c>
      <c r="H1578">
        <v>1.050144</v>
      </c>
      <c r="I1578">
        <v>284.43729999999999</v>
      </c>
      <c r="J1578">
        <v>-386.82010000000002</v>
      </c>
      <c r="K1578">
        <v>1.108109</v>
      </c>
      <c r="L1578">
        <v>284.36599999999999</v>
      </c>
      <c r="M1578">
        <v>-0.99987239999999999</v>
      </c>
      <c r="N1578">
        <v>-7.5809040000000003E-3</v>
      </c>
      <c r="O1578">
        <v>1.4064490000000001E-2</v>
      </c>
      <c r="P1578">
        <v>-0.9866857</v>
      </c>
      <c r="Q1578">
        <v>-0.1396665</v>
      </c>
      <c r="R1578">
        <v>-8.3333480000000001E-2</v>
      </c>
      <c r="S1578">
        <v>-3.0356749999999999</v>
      </c>
      <c r="T1578">
        <v>-0.17355509999999999</v>
      </c>
      <c r="U1578">
        <v>0.23776249999999999</v>
      </c>
      <c r="V1578">
        <v>-9.6893019999999996E-2</v>
      </c>
      <c r="W1578">
        <v>-0.13241939999999999</v>
      </c>
      <c r="X1578">
        <v>0.98644659999999995</v>
      </c>
      <c r="Y1578">
        <v>6.3953499999999996E-2</v>
      </c>
      <c r="Z1578">
        <v>1.371223E-3</v>
      </c>
      <c r="AA1578">
        <v>0.9979519</v>
      </c>
      <c r="AB1578">
        <v>56</v>
      </c>
      <c r="AC1578">
        <v>-0.435899999999946</v>
      </c>
      <c r="AD1578">
        <v>-5.7965000000000003E-2</v>
      </c>
      <c r="AE1578">
        <v>7.1300000000007899E-2</v>
      </c>
      <c r="AF1578">
        <v>6.4058820147285395E-2</v>
      </c>
      <c r="AG1578">
        <v>-5.7965000000000003E-2</v>
      </c>
      <c r="AH1578">
        <v>0.429463363494478</v>
      </c>
      <c r="AI1578">
        <v>97.603682341162298</v>
      </c>
      <c r="AJ1578">
        <v>81.516301110554807</v>
      </c>
      <c r="AK1578">
        <v>0.43806649523520103</v>
      </c>
      <c r="AL1578">
        <v>97.609422456309304</v>
      </c>
      <c r="AM1578">
        <v>95.609842350802197</v>
      </c>
      <c r="AN1578">
        <v>1.0000000247363099</v>
      </c>
    </row>
    <row r="1579" spans="1:40" x14ac:dyDescent="0.25">
      <c r="A1579" t="str">
        <f>"20190305135613443"</f>
        <v>20190305135613443</v>
      </c>
      <c r="B1579" t="str">
        <f>"1551765373433892"</f>
        <v>1551765373433892</v>
      </c>
      <c r="C1579" t="s">
        <v>40</v>
      </c>
      <c r="D1579">
        <v>4.2104410000000003</v>
      </c>
      <c r="E1579">
        <v>0.56383809999999901</v>
      </c>
      <c r="F1579" t="s">
        <v>41</v>
      </c>
      <c r="G1579">
        <v>-387.76220000000001</v>
      </c>
      <c r="H1579">
        <v>1.0503150000000001</v>
      </c>
      <c r="I1579">
        <v>284.4402</v>
      </c>
      <c r="J1579">
        <v>-387.37349999999998</v>
      </c>
      <c r="K1579">
        <v>1.108077</v>
      </c>
      <c r="L1579">
        <v>284.37380000000002</v>
      </c>
      <c r="M1579">
        <v>-0.99987969999999904</v>
      </c>
      <c r="N1579">
        <v>-7.5970330000000004E-3</v>
      </c>
      <c r="O1579">
        <v>1.351635E-2</v>
      </c>
      <c r="P1579">
        <v>-0.98666480000000001</v>
      </c>
      <c r="Q1579">
        <v>-0.139321</v>
      </c>
      <c r="R1579">
        <v>-8.4156399999999895E-2</v>
      </c>
      <c r="S1579">
        <v>-3.0342099999999999</v>
      </c>
      <c r="T1579">
        <v>-0.18624370000000001</v>
      </c>
      <c r="U1579">
        <v>0.2379761</v>
      </c>
      <c r="V1579">
        <v>-9.7185709999999995E-2</v>
      </c>
      <c r="W1579">
        <v>-0.13205149999999999</v>
      </c>
      <c r="X1579">
        <v>0.98646710000000004</v>
      </c>
      <c r="Y1579">
        <v>6.4591919999999997E-2</v>
      </c>
      <c r="Z1579">
        <v>1.498451E-3</v>
      </c>
      <c r="AA1579">
        <v>0.99791059999999998</v>
      </c>
      <c r="AB1579">
        <v>57</v>
      </c>
      <c r="AC1579">
        <v>-0.38870000000002802</v>
      </c>
      <c r="AD1579">
        <v>-5.7762000000000001E-2</v>
      </c>
      <c r="AE1579">
        <v>6.6399999999987303E-2</v>
      </c>
      <c r="AF1579">
        <v>5.9855670102803002E-2</v>
      </c>
      <c r="AG1579">
        <v>-5.7762000000000001E-2</v>
      </c>
      <c r="AH1579">
        <v>0.38137886099010998</v>
      </c>
      <c r="AI1579">
        <v>98.509703290244602</v>
      </c>
      <c r="AJ1579">
        <v>81.080449263326102</v>
      </c>
      <c r="AK1579">
        <v>0.390344700870358</v>
      </c>
      <c r="AL1579">
        <v>97.588156777498099</v>
      </c>
      <c r="AM1579">
        <v>95.626563547144201</v>
      </c>
      <c r="AN1579">
        <v>1.00000000013143</v>
      </c>
    </row>
    <row r="1580" spans="1:40" x14ac:dyDescent="0.25">
      <c r="A1580" t="str">
        <f>"20190305135613464"</f>
        <v>20190305135613464</v>
      </c>
      <c r="B1580" t="str">
        <f>"1551765373453409"</f>
        <v>1551765373453409</v>
      </c>
      <c r="C1580" t="s">
        <v>40</v>
      </c>
      <c r="D1580">
        <v>4.2121019999999998</v>
      </c>
      <c r="E1580">
        <v>0.56403029999999998</v>
      </c>
      <c r="F1580" t="s">
        <v>41</v>
      </c>
      <c r="G1580">
        <v>-388.27109999999999</v>
      </c>
      <c r="H1580">
        <v>1.0526450000000001</v>
      </c>
      <c r="I1580">
        <v>284.44420000000002</v>
      </c>
      <c r="J1580">
        <v>-387.91759999999999</v>
      </c>
      <c r="K1580">
        <v>1.108034</v>
      </c>
      <c r="L1580">
        <v>284.38119999999998</v>
      </c>
      <c r="M1580">
        <v>-0.9998861</v>
      </c>
      <c r="N1580">
        <v>-7.6128000000000003E-3</v>
      </c>
      <c r="O1580">
        <v>1.304048E-2</v>
      </c>
      <c r="P1580">
        <v>-0.98665480000000005</v>
      </c>
      <c r="Q1580">
        <v>-0.13930310000000001</v>
      </c>
      <c r="R1580">
        <v>-8.4305959999999999E-2</v>
      </c>
      <c r="S1580">
        <v>-3.0343629999999999</v>
      </c>
      <c r="T1580">
        <v>-0.18745909999999999</v>
      </c>
      <c r="U1580">
        <v>0.23742679999999999</v>
      </c>
      <c r="V1580">
        <v>-9.6880060000000004E-2</v>
      </c>
      <c r="W1580">
        <v>-0.13200709999999999</v>
      </c>
      <c r="X1580">
        <v>0.98650309999999997</v>
      </c>
      <c r="Y1580">
        <v>6.4880649999999998E-2</v>
      </c>
      <c r="Z1580">
        <v>1.542316E-3</v>
      </c>
      <c r="AA1580">
        <v>0.9978918</v>
      </c>
      <c r="AB1580">
        <v>57</v>
      </c>
      <c r="AC1580">
        <v>-0.35349999999999598</v>
      </c>
      <c r="AD1580">
        <v>-5.5388999999999897E-2</v>
      </c>
      <c r="AE1580">
        <v>6.3000000000045006E-2</v>
      </c>
      <c r="AF1580">
        <v>5.7027715677723002E-2</v>
      </c>
      <c r="AG1580">
        <v>-5.5388999999999897E-2</v>
      </c>
      <c r="AH1580">
        <v>0.34605702725490201</v>
      </c>
      <c r="AI1580">
        <v>98.974452943720294</v>
      </c>
      <c r="AJ1580">
        <v>80.642170850556397</v>
      </c>
      <c r="AK1580">
        <v>0.35507121509482997</v>
      </c>
      <c r="AL1580">
        <v>97.585590429568001</v>
      </c>
      <c r="AM1580">
        <v>95.608777585935698</v>
      </c>
      <c r="AN1580">
        <v>0.99999999339281098</v>
      </c>
    </row>
    <row r="1581" spans="1:40" x14ac:dyDescent="0.25">
      <c r="A1581" t="str">
        <f>"20190305135613487"</f>
        <v>20190305135613487</v>
      </c>
      <c r="B1581" t="str">
        <f>"1551765373483665"</f>
        <v>1551765373483665</v>
      </c>
      <c r="C1581" t="s">
        <v>40</v>
      </c>
      <c r="D1581">
        <v>4.1483420000000004</v>
      </c>
      <c r="E1581">
        <v>0.56415789999999999</v>
      </c>
      <c r="F1581" t="s">
        <v>41</v>
      </c>
      <c r="G1581">
        <v>-388.77980000000002</v>
      </c>
      <c r="H1581">
        <v>1.0539050000000001</v>
      </c>
      <c r="I1581">
        <v>284.44929999999999</v>
      </c>
      <c r="J1581">
        <v>-388.4819</v>
      </c>
      <c r="K1581">
        <v>1.1079730000000001</v>
      </c>
      <c r="L1581">
        <v>284.38850000000002</v>
      </c>
      <c r="M1581">
        <v>-0.99989130000000004</v>
      </c>
      <c r="N1581">
        <v>-7.6291650000000003E-3</v>
      </c>
      <c r="O1581">
        <v>1.261558E-2</v>
      </c>
      <c r="P1581">
        <v>-0.98660099999999995</v>
      </c>
      <c r="Q1581">
        <v>-0.13952929999999999</v>
      </c>
      <c r="R1581">
        <v>-8.4559990000000002E-2</v>
      </c>
      <c r="S1581">
        <v>-3.0340579999999999</v>
      </c>
      <c r="T1581">
        <v>-0.19056799999999999</v>
      </c>
      <c r="U1581">
        <v>0.23870849999999999</v>
      </c>
      <c r="V1581">
        <v>-9.6731220000000007E-2</v>
      </c>
      <c r="W1581">
        <v>-0.13220419999999999</v>
      </c>
      <c r="X1581">
        <v>0.98649129999999996</v>
      </c>
      <c r="Y1581">
        <v>6.5725249999999999E-2</v>
      </c>
      <c r="Z1581">
        <v>1.6160269999999999E-3</v>
      </c>
      <c r="AA1581">
        <v>0.99783650000000002</v>
      </c>
      <c r="AB1581">
        <v>57</v>
      </c>
      <c r="AC1581">
        <v>-0.29790000000002598</v>
      </c>
      <c r="AD1581">
        <v>-5.4067999999999998E-2</v>
      </c>
      <c r="AE1581">
        <v>6.0799999999971897E-2</v>
      </c>
      <c r="AF1581">
        <v>5.5288433415298197E-2</v>
      </c>
      <c r="AG1581">
        <v>-5.4067999999999998E-2</v>
      </c>
      <c r="AH1581">
        <v>0.28948857705921699</v>
      </c>
      <c r="AI1581">
        <v>100.395595464473</v>
      </c>
      <c r="AJ1581">
        <v>79.187485421414394</v>
      </c>
      <c r="AK1581">
        <v>0.29963944289977601</v>
      </c>
      <c r="AL1581">
        <v>97.596983364367901</v>
      </c>
      <c r="AM1581">
        <v>95.600282017886101</v>
      </c>
      <c r="AN1581">
        <v>0.99999998219800901</v>
      </c>
    </row>
    <row r="1582" spans="1:40" x14ac:dyDescent="0.25">
      <c r="A1582" t="str">
        <f>"20190305135613510"</f>
        <v>20190305135613510</v>
      </c>
      <c r="B1582" t="str">
        <f>"1551765373503189"</f>
        <v>1551765373503189</v>
      </c>
      <c r="C1582" t="s">
        <v>40</v>
      </c>
      <c r="D1582">
        <v>4.168024</v>
      </c>
      <c r="E1582">
        <v>0.5643589</v>
      </c>
      <c r="F1582" t="s">
        <v>41</v>
      </c>
      <c r="G1582">
        <v>-389.28910000000002</v>
      </c>
      <c r="H1582">
        <v>1.054754</v>
      </c>
      <c r="I1582">
        <v>284.45249999999999</v>
      </c>
      <c r="J1582">
        <v>-389.07330000000002</v>
      </c>
      <c r="K1582">
        <v>1.1079139999999901</v>
      </c>
      <c r="L1582">
        <v>284.39600000000002</v>
      </c>
      <c r="M1582">
        <v>-0.9998958</v>
      </c>
      <c r="N1582">
        <v>-7.6461419999999999E-3</v>
      </c>
      <c r="O1582">
        <v>1.2243179999999999E-2</v>
      </c>
      <c r="P1582">
        <v>-0.98650769999999999</v>
      </c>
      <c r="Q1582">
        <v>-0.1402504</v>
      </c>
      <c r="R1582">
        <v>-8.4453449999999999E-2</v>
      </c>
      <c r="S1582">
        <v>-3.032959</v>
      </c>
      <c r="T1582">
        <v>-0.20007610000000001</v>
      </c>
      <c r="U1582">
        <v>0.23950199999999999</v>
      </c>
      <c r="V1582">
        <v>-9.6275840000000001E-2</v>
      </c>
      <c r="W1582">
        <v>-0.13289300000000001</v>
      </c>
      <c r="X1582">
        <v>0.98644330000000002</v>
      </c>
      <c r="Y1582">
        <v>6.6370520000000002E-2</v>
      </c>
      <c r="Z1582">
        <v>1.7258029999999999E-3</v>
      </c>
      <c r="AA1582">
        <v>0.99779359999999995</v>
      </c>
      <c r="AB1582">
        <v>57</v>
      </c>
      <c r="AC1582">
        <v>-0.21580000000000099</v>
      </c>
      <c r="AD1582">
        <v>-5.3159999999999603E-2</v>
      </c>
      <c r="AE1582">
        <v>5.6500000000028097E-2</v>
      </c>
      <c r="AF1582">
        <v>5.09596054758963E-2</v>
      </c>
      <c r="AG1582">
        <v>-5.3159999999999603E-2</v>
      </c>
      <c r="AH1582">
        <v>0.20484254416324499</v>
      </c>
      <c r="AI1582">
        <v>104.135441615377</v>
      </c>
      <c r="AJ1582">
        <v>76.029860143886395</v>
      </c>
      <c r="AK1582">
        <v>0.217677134512401</v>
      </c>
      <c r="AL1582">
        <v>97.636799995721404</v>
      </c>
      <c r="AM1582">
        <v>95.574353611540204</v>
      </c>
      <c r="AN1582">
        <v>0.99999998546579705</v>
      </c>
    </row>
    <row r="1583" spans="1:40" x14ac:dyDescent="0.25">
      <c r="A1583" t="str">
        <f>"20190305135613532"</f>
        <v>20190305135613532</v>
      </c>
      <c r="B1583" t="str">
        <f>"1551765373523681"</f>
        <v>1551765373523681</v>
      </c>
      <c r="C1583" t="s">
        <v>40</v>
      </c>
      <c r="D1583">
        <v>4.0875940000000002</v>
      </c>
      <c r="E1583">
        <v>0.5643958</v>
      </c>
      <c r="F1583" t="s">
        <v>41</v>
      </c>
      <c r="G1583">
        <v>-390.29050000000001</v>
      </c>
      <c r="H1583">
        <v>1.0261690000000001</v>
      </c>
      <c r="I1583">
        <v>284.49299999999999</v>
      </c>
      <c r="J1583">
        <v>-389.6311</v>
      </c>
      <c r="K1583">
        <v>1.1078509999999999</v>
      </c>
      <c r="L1583">
        <v>284.40300000000002</v>
      </c>
      <c r="M1583">
        <v>-0.99989930000000005</v>
      </c>
      <c r="N1583">
        <v>-7.6623589999999997E-3</v>
      </c>
      <c r="O1583">
        <v>1.195305E-2</v>
      </c>
      <c r="P1583">
        <v>-0.9864752</v>
      </c>
      <c r="Q1583">
        <v>-0.14053099999999999</v>
      </c>
      <c r="R1583">
        <v>-8.43695E-2</v>
      </c>
      <c r="S1583">
        <v>-3.0327760000000001</v>
      </c>
      <c r="T1583">
        <v>-0.20363999999999999</v>
      </c>
      <c r="U1583">
        <v>0.2417908</v>
      </c>
      <c r="V1583">
        <v>-9.5924519999999999E-2</v>
      </c>
      <c r="W1583">
        <v>-0.13314279999999901</v>
      </c>
      <c r="X1583">
        <v>0.98644390000000004</v>
      </c>
      <c r="Y1583">
        <v>6.7405309999999996E-2</v>
      </c>
      <c r="Z1583">
        <v>1.8069150000000001E-3</v>
      </c>
      <c r="AA1583">
        <v>0.9977241</v>
      </c>
      <c r="AB1583">
        <v>57</v>
      </c>
      <c r="AC1583">
        <v>-0.65940000000000498</v>
      </c>
      <c r="AD1583">
        <v>-8.1681999999999796E-2</v>
      </c>
      <c r="AE1583">
        <v>8.9999999999974906E-2</v>
      </c>
      <c r="AF1583">
        <v>8.0892931197511897E-2</v>
      </c>
      <c r="AG1583">
        <v>-8.1681999999999796E-2</v>
      </c>
      <c r="AH1583">
        <v>0.65062767316830405</v>
      </c>
      <c r="AI1583">
        <v>97.101555817833699</v>
      </c>
      <c r="AJ1583">
        <v>82.912750301410199</v>
      </c>
      <c r="AK1583">
        <v>0.66070567163762695</v>
      </c>
      <c r="AL1583">
        <v>97.651240362957296</v>
      </c>
      <c r="AM1583">
        <v>95.554136313237805</v>
      </c>
      <c r="AN1583">
        <v>1.00000004328813</v>
      </c>
    </row>
    <row r="1584" spans="1:40" x14ac:dyDescent="0.25">
      <c r="A1584" t="str">
        <f>"20190305135613553"</f>
        <v>20190305135613553</v>
      </c>
      <c r="B1584" t="str">
        <f>"1551765373543201"</f>
        <v>1551765373543201</v>
      </c>
      <c r="C1584" t="s">
        <v>40</v>
      </c>
      <c r="D1584">
        <v>4.0925649999999996</v>
      </c>
      <c r="E1584">
        <v>0.564532699999999</v>
      </c>
      <c r="F1584" t="s">
        <v>41</v>
      </c>
      <c r="G1584">
        <v>-390.8023</v>
      </c>
      <c r="H1584">
        <v>1.0284070000000001</v>
      </c>
      <c r="I1584">
        <v>284.49689999999998</v>
      </c>
      <c r="J1584">
        <v>-390.18770000000001</v>
      </c>
      <c r="K1584">
        <v>1.1077920000000001</v>
      </c>
      <c r="L1584">
        <v>284.40969999999999</v>
      </c>
      <c r="M1584">
        <v>-0.99990210000000002</v>
      </c>
      <c r="N1584">
        <v>-7.6788659999999899E-3</v>
      </c>
      <c r="O1584">
        <v>1.1705790000000001E-2</v>
      </c>
      <c r="P1584">
        <v>-0.98647030000000002</v>
      </c>
      <c r="Q1584">
        <v>-0.14068629999999999</v>
      </c>
      <c r="R1584">
        <v>-8.4167409999999998E-2</v>
      </c>
      <c r="S1584">
        <v>-3.0325319999999998</v>
      </c>
      <c r="T1584">
        <v>-0.2058469</v>
      </c>
      <c r="U1584">
        <v>0.24261469999999999</v>
      </c>
      <c r="V1584">
        <v>-9.5497209999999999E-2</v>
      </c>
      <c r="W1584">
        <v>-0.13326760000000001</v>
      </c>
      <c r="X1584">
        <v>0.98646849999999997</v>
      </c>
      <c r="Y1584">
        <v>6.7922969999999999E-2</v>
      </c>
      <c r="Z1584">
        <v>1.857881E-3</v>
      </c>
      <c r="AA1584">
        <v>0.99768880000000004</v>
      </c>
      <c r="AB1584">
        <v>57</v>
      </c>
      <c r="AC1584">
        <v>-0.61459999999999504</v>
      </c>
      <c r="AD1584">
        <v>-7.9384999999999997E-2</v>
      </c>
      <c r="AE1584">
        <v>8.7199999999995698E-2</v>
      </c>
      <c r="AF1584">
        <v>7.8712140710024706E-2</v>
      </c>
      <c r="AG1584">
        <v>-7.9384999999999997E-2</v>
      </c>
      <c r="AH1584">
        <v>0.60567320532778002</v>
      </c>
      <c r="AI1584">
        <v>97.405561946531293</v>
      </c>
      <c r="AJ1584">
        <v>82.595448519417204</v>
      </c>
      <c r="AK1584">
        <v>0.61590389751338803</v>
      </c>
      <c r="AL1584">
        <v>97.658455227681799</v>
      </c>
      <c r="AM1584">
        <v>95.529411233730102</v>
      </c>
      <c r="AN1584">
        <v>1.00000003590989</v>
      </c>
    </row>
    <row r="1585" spans="1:40" x14ac:dyDescent="0.25">
      <c r="A1585" t="str">
        <f>"20190305135613578"</f>
        <v>20190305135613578</v>
      </c>
      <c r="B1585" t="str">
        <f>"1551765373573456"</f>
        <v>1551765373573456</v>
      </c>
      <c r="C1585" t="s">
        <v>40</v>
      </c>
      <c r="D1585">
        <v>4.0870300000000004</v>
      </c>
      <c r="E1585">
        <v>0.56470969999999998</v>
      </c>
      <c r="F1585" t="s">
        <v>41</v>
      </c>
      <c r="G1585">
        <v>-391.31479999999999</v>
      </c>
      <c r="H1585">
        <v>1.0307789999999999</v>
      </c>
      <c r="I1585">
        <v>284.50080000000003</v>
      </c>
      <c r="J1585">
        <v>-390.79399999999998</v>
      </c>
      <c r="K1585">
        <v>1.1077250000000001</v>
      </c>
      <c r="L1585">
        <v>284.41680000000002</v>
      </c>
      <c r="M1585">
        <v>-0.99990460000000003</v>
      </c>
      <c r="N1585">
        <v>-7.6970959999999996E-3</v>
      </c>
      <c r="O1585">
        <v>1.147288E-2</v>
      </c>
      <c r="P1585">
        <v>-0.98649830000000005</v>
      </c>
      <c r="Q1585">
        <v>-0.1410525</v>
      </c>
      <c r="R1585">
        <v>-8.3220459999999996E-2</v>
      </c>
      <c r="S1585">
        <v>-3.0324399999999998</v>
      </c>
      <c r="T1585">
        <v>-0.20725460000000001</v>
      </c>
      <c r="U1585">
        <v>0.24462890000000001</v>
      </c>
      <c r="V1585">
        <v>-9.4338539999999999E-2</v>
      </c>
      <c r="W1585">
        <v>-0.13360030000000001</v>
      </c>
      <c r="X1585">
        <v>0.98653500000000005</v>
      </c>
      <c r="Y1585">
        <v>6.8811449999999996E-2</v>
      </c>
      <c r="Z1585">
        <v>1.916797E-3</v>
      </c>
      <c r="AA1585">
        <v>0.99762790000000001</v>
      </c>
      <c r="AB1585">
        <v>57</v>
      </c>
      <c r="AC1585">
        <v>-0.52079999999995097</v>
      </c>
      <c r="AD1585">
        <v>-7.6945999999999903E-2</v>
      </c>
      <c r="AE1585">
        <v>8.40000000000031E-2</v>
      </c>
      <c r="AF1585">
        <v>7.6393911640793899E-2</v>
      </c>
      <c r="AG1585">
        <v>-7.6945999999999903E-2</v>
      </c>
      <c r="AH1585">
        <v>0.51086073309983304</v>
      </c>
      <c r="AI1585">
        <v>98.472701307495896</v>
      </c>
      <c r="AJ1585">
        <v>81.495034426545303</v>
      </c>
      <c r="AK1585">
        <v>0.52224075413077498</v>
      </c>
      <c r="AL1585">
        <v>97.677689397691907</v>
      </c>
      <c r="AM1585">
        <v>95.462365043849104</v>
      </c>
      <c r="AN1585">
        <v>1.0000000532572</v>
      </c>
    </row>
    <row r="1586" spans="1:40" x14ac:dyDescent="0.25">
      <c r="A1586" t="str">
        <f>"20190305135613600"</f>
        <v>20190305135613600</v>
      </c>
      <c r="B1586" t="str">
        <f>"1551765373592978"</f>
        <v>1551765373592978</v>
      </c>
      <c r="C1586" t="s">
        <v>40</v>
      </c>
      <c r="D1586">
        <v>4.1258140000000001</v>
      </c>
      <c r="E1586">
        <v>0.56469899999999995</v>
      </c>
      <c r="F1586" t="s">
        <v>41</v>
      </c>
      <c r="G1586">
        <v>-391.8297</v>
      </c>
      <c r="H1586">
        <v>1.0361180000000001</v>
      </c>
      <c r="I1586">
        <v>284.50200000000001</v>
      </c>
      <c r="J1586">
        <v>-391.37419999999997</v>
      </c>
      <c r="K1586">
        <v>1.1076680000000001</v>
      </c>
      <c r="L1586">
        <v>284.42349999999999</v>
      </c>
      <c r="M1586">
        <v>-0.99990679999999998</v>
      </c>
      <c r="N1586">
        <v>-7.7145690000000001E-3</v>
      </c>
      <c r="O1586">
        <v>1.12754E-2</v>
      </c>
      <c r="P1586">
        <v>-0.98647549999999995</v>
      </c>
      <c r="Q1586">
        <v>-0.1414868</v>
      </c>
      <c r="R1586">
        <v>-8.2751630000000007E-2</v>
      </c>
      <c r="S1586">
        <v>-3.0321039999999999</v>
      </c>
      <c r="T1586">
        <v>-0.2097369</v>
      </c>
      <c r="U1586">
        <v>0.24926760000000001</v>
      </c>
      <c r="V1586">
        <v>-9.3690780000000001E-2</v>
      </c>
      <c r="W1586">
        <v>-0.13400519999999999</v>
      </c>
      <c r="X1586">
        <v>0.98654169999999997</v>
      </c>
      <c r="Y1586">
        <v>7.0524950000000003E-2</v>
      </c>
      <c r="Z1586">
        <v>2.0141920000000002E-3</v>
      </c>
      <c r="AA1586">
        <v>0.99750799999999995</v>
      </c>
      <c r="AB1586">
        <v>57</v>
      </c>
      <c r="AC1586">
        <v>-0.45550000000002899</v>
      </c>
      <c r="AD1586">
        <v>-7.1550000000000002E-2</v>
      </c>
      <c r="AE1586">
        <v>7.8500000000019499E-2</v>
      </c>
      <c r="AF1586">
        <v>7.1642188669203494E-2</v>
      </c>
      <c r="AG1586">
        <v>-7.1550000000000002E-2</v>
      </c>
      <c r="AH1586">
        <v>0.445676672627144</v>
      </c>
      <c r="AI1586">
        <v>99.006878866905694</v>
      </c>
      <c r="AJ1586">
        <v>80.867870938599395</v>
      </c>
      <c r="AK1586">
        <v>0.457033589817331</v>
      </c>
      <c r="AL1586">
        <v>97.701099827683706</v>
      </c>
      <c r="AM1586">
        <v>95.425046529399097</v>
      </c>
      <c r="AN1586">
        <v>0.99999994086146704</v>
      </c>
    </row>
    <row r="1587" spans="1:40" x14ac:dyDescent="0.25">
      <c r="A1587" t="str">
        <f>"20190305135613622"</f>
        <v>20190305135613622</v>
      </c>
      <c r="B1587" t="str">
        <f>"1551765373613476"</f>
        <v>1551765373613476</v>
      </c>
      <c r="C1587" t="s">
        <v>40</v>
      </c>
      <c r="D1587">
        <v>4.0914010000000003</v>
      </c>
      <c r="E1587">
        <v>0.56490130000000005</v>
      </c>
      <c r="F1587" t="s">
        <v>41</v>
      </c>
      <c r="G1587">
        <v>-392.34469999999999</v>
      </c>
      <c r="H1587">
        <v>1.0401149999999999</v>
      </c>
      <c r="I1587">
        <v>284.50380000000001</v>
      </c>
      <c r="J1587">
        <v>-391.93169999999998</v>
      </c>
      <c r="K1587">
        <v>1.107618</v>
      </c>
      <c r="L1587">
        <v>284.4298</v>
      </c>
      <c r="M1587">
        <v>-0.99990849999999998</v>
      </c>
      <c r="N1587">
        <v>-7.7313159999999898E-3</v>
      </c>
      <c r="O1587">
        <v>1.1101099999999999E-2</v>
      </c>
      <c r="P1587">
        <v>-0.98638269999999995</v>
      </c>
      <c r="Q1587">
        <v>-0.1424231</v>
      </c>
      <c r="R1587">
        <v>-8.2250420000000005E-2</v>
      </c>
      <c r="S1587">
        <v>-3.0318299999999998</v>
      </c>
      <c r="T1587">
        <v>-0.21109030000000001</v>
      </c>
      <c r="U1587">
        <v>0.25036619999999998</v>
      </c>
      <c r="V1587">
        <v>-9.3029979999999998E-2</v>
      </c>
      <c r="W1587">
        <v>-0.1349148</v>
      </c>
      <c r="X1587">
        <v>0.98648029999999998</v>
      </c>
      <c r="Y1587">
        <v>7.1061399999999997E-2</v>
      </c>
      <c r="Z1587">
        <v>2.0572099999999999E-3</v>
      </c>
      <c r="AA1587">
        <v>0.99746979999999996</v>
      </c>
      <c r="AB1587">
        <v>57</v>
      </c>
      <c r="AC1587">
        <v>-0.41300000000001003</v>
      </c>
      <c r="AD1587">
        <v>-6.7502999999999994E-2</v>
      </c>
      <c r="AE1587">
        <v>7.4000000000012195E-2</v>
      </c>
      <c r="AF1587">
        <v>6.7659291557529602E-2</v>
      </c>
      <c r="AG1587">
        <v>-6.7502999999999994E-2</v>
      </c>
      <c r="AH1587">
        <v>0.40335580882616501</v>
      </c>
      <c r="AI1587">
        <v>99.372041014815395</v>
      </c>
      <c r="AJ1587">
        <v>80.477799218491896</v>
      </c>
      <c r="AK1587">
        <v>0.41452423723695198</v>
      </c>
      <c r="AL1587">
        <v>97.753693361416794</v>
      </c>
      <c r="AM1587">
        <v>95.3873429489214</v>
      </c>
      <c r="AN1587">
        <v>0.99999998136296497</v>
      </c>
    </row>
    <row r="1588" spans="1:40" x14ac:dyDescent="0.25">
      <c r="A1588" t="str">
        <f>"20190305135613643"</f>
        <v>20190305135613643</v>
      </c>
      <c r="B1588" t="str">
        <f>"1551765373633969"</f>
        <v>1551765373633969</v>
      </c>
      <c r="C1588" t="s">
        <v>40</v>
      </c>
      <c r="D1588">
        <v>4.0900369999999997</v>
      </c>
      <c r="E1588">
        <v>0.56519869999999905</v>
      </c>
      <c r="F1588" t="s">
        <v>41</v>
      </c>
      <c r="G1588">
        <v>-392.85939999999999</v>
      </c>
      <c r="H1588">
        <v>1.0421199999999999</v>
      </c>
      <c r="I1588">
        <v>284.50749999999999</v>
      </c>
      <c r="J1588">
        <v>-392.4905</v>
      </c>
      <c r="K1588">
        <v>1.107572</v>
      </c>
      <c r="L1588">
        <v>284.43599999999998</v>
      </c>
      <c r="M1588">
        <v>-0.99991019999999997</v>
      </c>
      <c r="N1588">
        <v>-7.748011E-3</v>
      </c>
      <c r="O1588">
        <v>1.093564E-2</v>
      </c>
      <c r="P1588">
        <v>-0.98636100000000004</v>
      </c>
      <c r="Q1588">
        <v>-0.14290629999999999</v>
      </c>
      <c r="R1588">
        <v>-8.1669850000000002E-2</v>
      </c>
      <c r="S1588">
        <v>-3.0315859999999999</v>
      </c>
      <c r="T1588">
        <v>-0.21410680000000001</v>
      </c>
      <c r="U1588">
        <v>0.25332640000000001</v>
      </c>
      <c r="V1588">
        <v>-9.2298809999999995E-2</v>
      </c>
      <c r="W1588">
        <v>-0.13537170000000001</v>
      </c>
      <c r="X1588">
        <v>0.98648639999999999</v>
      </c>
      <c r="Y1588">
        <v>7.2192309999999996E-2</v>
      </c>
      <c r="Z1588">
        <v>2.136832E-3</v>
      </c>
      <c r="AA1588">
        <v>0.99738839999999995</v>
      </c>
      <c r="AB1588">
        <v>57</v>
      </c>
      <c r="AC1588">
        <v>-0.36889999999999601</v>
      </c>
      <c r="AD1588">
        <v>-6.5451999999999802E-2</v>
      </c>
      <c r="AE1588">
        <v>7.1500000000014496E-2</v>
      </c>
      <c r="AF1588">
        <v>6.5474948432480598E-2</v>
      </c>
      <c r="AG1588">
        <v>-6.5451999999999802E-2</v>
      </c>
      <c r="AH1588">
        <v>0.35877470649193699</v>
      </c>
      <c r="AI1588">
        <v>100.17444301294501</v>
      </c>
      <c r="AJ1588">
        <v>79.657564717966594</v>
      </c>
      <c r="AK1588">
        <v>0.37052695339828001</v>
      </c>
      <c r="AL1588">
        <v>97.780114099917895</v>
      </c>
      <c r="AM1588">
        <v>95.345214429967001</v>
      </c>
      <c r="AN1588">
        <v>0.99999999243663296</v>
      </c>
    </row>
    <row r="1589" spans="1:40" x14ac:dyDescent="0.25">
      <c r="A1589" t="str">
        <f>"20190305135613666"</f>
        <v>20190305135613666</v>
      </c>
      <c r="B1589" t="str">
        <f>"1551765373663248"</f>
        <v>1551765373663248</v>
      </c>
      <c r="C1589" t="s">
        <v>40</v>
      </c>
      <c r="D1589">
        <v>4.0927040000000003</v>
      </c>
      <c r="E1589">
        <v>0.56527329999999998</v>
      </c>
      <c r="F1589" t="s">
        <v>41</v>
      </c>
      <c r="G1589">
        <v>-393.37549999999999</v>
      </c>
      <c r="H1589">
        <v>1.0452109999999999</v>
      </c>
      <c r="I1589">
        <v>284.51139999999998</v>
      </c>
      <c r="J1589">
        <v>-393.0652</v>
      </c>
      <c r="K1589">
        <v>1.1075349999999999</v>
      </c>
      <c r="L1589">
        <v>284.44229999999999</v>
      </c>
      <c r="M1589">
        <v>-0.99991189999999996</v>
      </c>
      <c r="N1589">
        <v>-7.7650150000000001E-3</v>
      </c>
      <c r="O1589">
        <v>1.077182E-2</v>
      </c>
      <c r="P1589">
        <v>-0.98632690000000001</v>
      </c>
      <c r="Q1589">
        <v>-0.143596</v>
      </c>
      <c r="R1589">
        <v>-8.0867739999999994E-2</v>
      </c>
      <c r="S1589">
        <v>-3.0318299999999998</v>
      </c>
      <c r="T1589">
        <v>-0.21380769999999999</v>
      </c>
      <c r="U1589">
        <v>0.25747680000000001</v>
      </c>
      <c r="V1589">
        <v>-9.1346319999999995E-2</v>
      </c>
      <c r="W1589">
        <v>-0.13603509999999999</v>
      </c>
      <c r="X1589">
        <v>0.98648380000000002</v>
      </c>
      <c r="Y1589">
        <v>7.3700719999999997E-2</v>
      </c>
      <c r="Z1589">
        <v>2.2040810000000001E-3</v>
      </c>
      <c r="AA1589">
        <v>0.997278</v>
      </c>
      <c r="AB1589">
        <v>57</v>
      </c>
      <c r="AC1589">
        <v>-0.31029999999998298</v>
      </c>
      <c r="AD1589">
        <v>-6.2323999999999803E-2</v>
      </c>
      <c r="AE1589">
        <v>6.9099999999991696E-2</v>
      </c>
      <c r="AF1589">
        <v>6.3319698516700801E-2</v>
      </c>
      <c r="AG1589">
        <v>-6.2323999999999803E-2</v>
      </c>
      <c r="AH1589">
        <v>0.29951449585599599</v>
      </c>
      <c r="AI1589">
        <v>101.507231181219</v>
      </c>
      <c r="AJ1589">
        <v>78.062989089567793</v>
      </c>
      <c r="AK1589">
        <v>0.312414145685046</v>
      </c>
      <c r="AL1589">
        <v>97.818479009939097</v>
      </c>
      <c r="AM1589">
        <v>95.290382236431</v>
      </c>
      <c r="AN1589">
        <v>0.99999999313599597</v>
      </c>
    </row>
    <row r="1590" spans="1:40" x14ac:dyDescent="0.25">
      <c r="A1590" t="str">
        <f>"20190305135613688"</f>
        <v>20190305135613688</v>
      </c>
      <c r="B1590" t="str">
        <f>"1551765373683745"</f>
        <v>1551765373683745</v>
      </c>
      <c r="C1590" t="s">
        <v>40</v>
      </c>
      <c r="D1590">
        <v>4.0801230000000004</v>
      </c>
      <c r="E1590">
        <v>0.56470609999999999</v>
      </c>
      <c r="F1590" t="s">
        <v>41</v>
      </c>
      <c r="G1590">
        <v>-393.89330000000001</v>
      </c>
      <c r="H1590">
        <v>1.0489059999999999</v>
      </c>
      <c r="I1590">
        <v>284.51350000000002</v>
      </c>
      <c r="J1590">
        <v>-393.64339999999999</v>
      </c>
      <c r="K1590">
        <v>1.1074999999999999</v>
      </c>
      <c r="L1590">
        <v>284.44850000000002</v>
      </c>
      <c r="M1590">
        <v>-0.99991359999999996</v>
      </c>
      <c r="N1590">
        <v>-7.7822289999999999E-3</v>
      </c>
      <c r="O1590">
        <v>1.060999E-2</v>
      </c>
      <c r="P1590">
        <v>-0.98641880000000004</v>
      </c>
      <c r="Q1590">
        <v>-0.14313339999999999</v>
      </c>
      <c r="R1590">
        <v>-8.0570379999999997E-2</v>
      </c>
      <c r="S1590">
        <v>-3.031647</v>
      </c>
      <c r="T1590">
        <v>-0.21478900000000001</v>
      </c>
      <c r="U1590">
        <v>0.26049800000000001</v>
      </c>
      <c r="V1590">
        <v>-9.0902739999999996E-2</v>
      </c>
      <c r="W1590">
        <v>-0.13554649999999999</v>
      </c>
      <c r="X1590">
        <v>0.98659209999999997</v>
      </c>
      <c r="Y1590">
        <v>7.4848689999999996E-2</v>
      </c>
      <c r="Z1590">
        <v>2.2685359999999998E-3</v>
      </c>
      <c r="AA1590">
        <v>0.99719230000000003</v>
      </c>
      <c r="AB1590">
        <v>58</v>
      </c>
      <c r="AC1590">
        <v>-0.24990000000002499</v>
      </c>
      <c r="AD1590">
        <v>-5.8594E-2</v>
      </c>
      <c r="AE1590">
        <v>6.4999999999997699E-2</v>
      </c>
      <c r="AF1590">
        <v>5.9291749764484598E-2</v>
      </c>
      <c r="AG1590">
        <v>-5.8594E-2</v>
      </c>
      <c r="AH1590">
        <v>0.23830471912731299</v>
      </c>
      <c r="AI1590">
        <v>103.42008136129201</v>
      </c>
      <c r="AJ1590">
        <v>76.028137615210596</v>
      </c>
      <c r="AK1590">
        <v>0.25246367577234102</v>
      </c>
      <c r="AL1590">
        <v>97.790221989836198</v>
      </c>
      <c r="AM1590">
        <v>95.264262041349795</v>
      </c>
      <c r="AN1590">
        <v>1.0000000667920801</v>
      </c>
    </row>
    <row r="1591" spans="1:40" x14ac:dyDescent="0.25">
      <c r="A1591" t="str">
        <f>"20190305135613712"</f>
        <v>20190305135613712</v>
      </c>
      <c r="B1591" t="str">
        <f>"1551765373703265"</f>
        <v>1551765373703265</v>
      </c>
      <c r="C1591" t="s">
        <v>40</v>
      </c>
      <c r="D1591">
        <v>4.0521570000000002</v>
      </c>
      <c r="E1591">
        <v>0.56423120000000004</v>
      </c>
      <c r="F1591" t="s">
        <v>41</v>
      </c>
      <c r="G1591">
        <v>-394.41379999999998</v>
      </c>
      <c r="H1591">
        <v>1.053504</v>
      </c>
      <c r="I1591">
        <v>284.51389999999998</v>
      </c>
      <c r="J1591">
        <v>-394.24329999999998</v>
      </c>
      <c r="K1591">
        <v>1.107461</v>
      </c>
      <c r="L1591">
        <v>284.45479999999998</v>
      </c>
      <c r="M1591">
        <v>-0.99991509999999995</v>
      </c>
      <c r="N1591">
        <v>-7.8040999999999996E-3</v>
      </c>
      <c r="O1591">
        <v>1.0444719999999999E-2</v>
      </c>
      <c r="P1591">
        <v>-0.98647530000000005</v>
      </c>
      <c r="Q1591">
        <v>-0.14284659999999999</v>
      </c>
      <c r="R1591">
        <v>-8.038431E-2</v>
      </c>
      <c r="S1591">
        <v>-3.0314640000000002</v>
      </c>
      <c r="T1591">
        <v>-0.21248339999999999</v>
      </c>
      <c r="U1591">
        <v>0.25680540000000002</v>
      </c>
      <c r="V1591">
        <v>-9.0565149999999997E-2</v>
      </c>
      <c r="W1591">
        <v>-0.13523019999999999</v>
      </c>
      <c r="X1591">
        <v>0.9866665</v>
      </c>
      <c r="Y1591">
        <v>7.3818770000000006E-2</v>
      </c>
      <c r="Z1591">
        <v>2.21974E-3</v>
      </c>
      <c r="AA1591">
        <v>0.99726919999999997</v>
      </c>
      <c r="AB1591">
        <v>58</v>
      </c>
      <c r="AC1591">
        <v>-0.17050000000000401</v>
      </c>
      <c r="AD1591">
        <v>-5.3956999999999998E-2</v>
      </c>
      <c r="AE1591">
        <v>5.9100000000000798E-2</v>
      </c>
      <c r="AF1591">
        <v>5.2612026177534403E-2</v>
      </c>
      <c r="AG1591">
        <v>-5.3956999999999998E-2</v>
      </c>
      <c r="AH1591">
        <v>0.15706530038036601</v>
      </c>
      <c r="AI1591">
        <v>108.04266345164</v>
      </c>
      <c r="AJ1591">
        <v>71.480741068570197</v>
      </c>
      <c r="AK1591">
        <v>0.17420933307684799</v>
      </c>
      <c r="AL1591">
        <v>97.771931306010302</v>
      </c>
      <c r="AM1591">
        <v>95.244427840228497</v>
      </c>
      <c r="AN1591">
        <v>1.0000000178044</v>
      </c>
    </row>
    <row r="1592" spans="1:40" x14ac:dyDescent="0.25">
      <c r="A1592" t="str">
        <f>"20190305135613732"</f>
        <v>20190305135613732</v>
      </c>
      <c r="B1592" t="str">
        <f>"1551765373723761"</f>
        <v>1551765373723761</v>
      </c>
      <c r="C1592" t="s">
        <v>40</v>
      </c>
      <c r="D1592">
        <v>4.0472039999999998</v>
      </c>
      <c r="E1592">
        <v>0.563967</v>
      </c>
      <c r="F1592" t="s">
        <v>41</v>
      </c>
      <c r="G1592">
        <v>-395.43130000000002</v>
      </c>
      <c r="H1592">
        <v>1.02505</v>
      </c>
      <c r="I1592">
        <v>284.55450000000002</v>
      </c>
      <c r="J1592">
        <v>-394.78800000000001</v>
      </c>
      <c r="K1592">
        <v>1.1074349999999999</v>
      </c>
      <c r="L1592">
        <v>284.46039999999999</v>
      </c>
      <c r="M1592">
        <v>-0.99991620000000003</v>
      </c>
      <c r="N1592">
        <v>-7.8399000000000003E-3</v>
      </c>
      <c r="O1592">
        <v>1.0300419999999999E-2</v>
      </c>
      <c r="P1592">
        <v>-0.98652910000000005</v>
      </c>
      <c r="Q1592">
        <v>-0.14241110000000001</v>
      </c>
      <c r="R1592">
        <v>-8.0495029999999995E-2</v>
      </c>
      <c r="S1592">
        <v>-3.0313110000000001</v>
      </c>
      <c r="T1592">
        <v>-0.21038780000000001</v>
      </c>
      <c r="U1592">
        <v>0.2536621</v>
      </c>
      <c r="V1592">
        <v>-9.0543810000000002E-2</v>
      </c>
      <c r="W1592">
        <v>-0.13475290000000001</v>
      </c>
      <c r="X1592">
        <v>0.98673370000000005</v>
      </c>
      <c r="Y1592">
        <v>7.2945209999999996E-2</v>
      </c>
      <c r="Z1592">
        <v>2.1785910000000001E-3</v>
      </c>
      <c r="AA1592">
        <v>0.99733360000000004</v>
      </c>
      <c r="AB1592">
        <v>58</v>
      </c>
      <c r="AC1592">
        <v>-0.64330000000000997</v>
      </c>
      <c r="AD1592">
        <v>-8.2384999999999903E-2</v>
      </c>
      <c r="AE1592">
        <v>9.4100000000025802E-2</v>
      </c>
      <c r="AF1592">
        <v>8.6086224648303206E-2</v>
      </c>
      <c r="AG1592">
        <v>-8.2384999999999903E-2</v>
      </c>
      <c r="AH1592">
        <v>0.63405392622131396</v>
      </c>
      <c r="AI1592">
        <v>97.336610283519406</v>
      </c>
      <c r="AJ1592">
        <v>82.268164407210506</v>
      </c>
      <c r="AK1592">
        <v>0.64515308854244902</v>
      </c>
      <c r="AL1592">
        <v>97.744331851055506</v>
      </c>
      <c r="AM1592">
        <v>95.2428438861198</v>
      </c>
      <c r="AN1592">
        <v>0.999999960151707</v>
      </c>
    </row>
    <row r="1593" spans="1:40" x14ac:dyDescent="0.25">
      <c r="A1593" t="str">
        <f>"20190305135613754"</f>
        <v>20190305135613754</v>
      </c>
      <c r="B1593" t="str">
        <f>"1551765373743281"</f>
        <v>1551765373743281</v>
      </c>
      <c r="C1593" t="s">
        <v>40</v>
      </c>
      <c r="D1593">
        <v>4.0219829999999996</v>
      </c>
      <c r="E1593">
        <v>0.56360699999999997</v>
      </c>
      <c r="F1593" t="s">
        <v>41</v>
      </c>
      <c r="G1593">
        <v>-395.95080000000002</v>
      </c>
      <c r="H1593">
        <v>1.0276890000000001</v>
      </c>
      <c r="I1593">
        <v>284.55709999999999</v>
      </c>
      <c r="J1593">
        <v>-395.37729999999999</v>
      </c>
      <c r="K1593">
        <v>1.107415</v>
      </c>
      <c r="L1593">
        <v>284.4665</v>
      </c>
      <c r="M1593">
        <v>-0.99991730000000001</v>
      </c>
      <c r="N1593">
        <v>-7.9036019999999992E-3</v>
      </c>
      <c r="O1593">
        <v>1.0151840000000001E-2</v>
      </c>
      <c r="P1593">
        <v>-0.98646769999999995</v>
      </c>
      <c r="Q1593">
        <v>-0.14292089999999999</v>
      </c>
      <c r="R1593">
        <v>-8.0345650000000005E-2</v>
      </c>
      <c r="S1593">
        <v>-3.0314329999999998</v>
      </c>
      <c r="T1593">
        <v>-0.20805679999999999</v>
      </c>
      <c r="U1593">
        <v>0.25125120000000001</v>
      </c>
      <c r="V1593">
        <v>-9.0255550000000004E-2</v>
      </c>
      <c r="W1593">
        <v>-0.13519389999999901</v>
      </c>
      <c r="X1593">
        <v>0.98669980000000002</v>
      </c>
      <c r="Y1593">
        <v>7.2307109999999994E-2</v>
      </c>
      <c r="Z1593">
        <v>2.1461610000000002E-3</v>
      </c>
      <c r="AA1593">
        <v>0.99738009999999999</v>
      </c>
      <c r="AB1593">
        <v>58</v>
      </c>
      <c r="AC1593">
        <v>-0.57350000000002399</v>
      </c>
      <c r="AD1593">
        <v>-7.9726000000000102E-2</v>
      </c>
      <c r="AE1593">
        <v>9.0599999999994907E-2</v>
      </c>
      <c r="AF1593">
        <v>8.3204249563587504E-2</v>
      </c>
      <c r="AG1593">
        <v>-7.9726000000000102E-2</v>
      </c>
      <c r="AH1593">
        <v>0.56376050180262904</v>
      </c>
      <c r="AI1593">
        <v>97.964143838965498</v>
      </c>
      <c r="AJ1593">
        <v>81.604441899450293</v>
      </c>
      <c r="AK1593">
        <v>0.57541731431561205</v>
      </c>
      <c r="AL1593">
        <v>97.769832526193497</v>
      </c>
      <c r="AM1593">
        <v>95.226423634407695</v>
      </c>
      <c r="AN1593">
        <v>0.99999997511152505</v>
      </c>
    </row>
    <row r="1594" spans="1:40" x14ac:dyDescent="0.25">
      <c r="A1594" t="str">
        <f>"20190305135613778"</f>
        <v>20190305135613778</v>
      </c>
      <c r="B1594" t="str">
        <f>"1551765373773538"</f>
        <v>1551765373773538</v>
      </c>
      <c r="C1594" t="s">
        <v>40</v>
      </c>
      <c r="D1594">
        <v>4.0041070000000003</v>
      </c>
      <c r="E1594">
        <v>0.56327439999999995</v>
      </c>
      <c r="F1594" t="s">
        <v>41</v>
      </c>
      <c r="G1594">
        <v>-396.4717</v>
      </c>
      <c r="H1594">
        <v>1.03217</v>
      </c>
      <c r="I1594">
        <v>284.55650000000003</v>
      </c>
      <c r="J1594">
        <v>-395.97019999999998</v>
      </c>
      <c r="K1594">
        <v>1.107418</v>
      </c>
      <c r="L1594">
        <v>284.47250000000003</v>
      </c>
      <c r="M1594">
        <v>-0.99991750000000001</v>
      </c>
      <c r="N1594">
        <v>-8.0477929999999993E-3</v>
      </c>
      <c r="O1594">
        <v>1.0016840000000001E-2</v>
      </c>
      <c r="P1594">
        <v>-0.98652980000000001</v>
      </c>
      <c r="Q1594">
        <v>-0.1421646</v>
      </c>
      <c r="R1594">
        <v>-8.0920850000000002E-2</v>
      </c>
      <c r="S1594">
        <v>-3.0311889999999999</v>
      </c>
      <c r="T1594">
        <v>-0.20840790000000001</v>
      </c>
      <c r="U1594">
        <v>0.2488708</v>
      </c>
      <c r="V1594">
        <v>-9.0707670000000004E-2</v>
      </c>
      <c r="W1594">
        <v>-0.134289299999999</v>
      </c>
      <c r="X1594">
        <v>0.98678189999999999</v>
      </c>
      <c r="Y1594">
        <v>7.1670819999999996E-2</v>
      </c>
      <c r="Z1594">
        <v>2.1398300000000001E-3</v>
      </c>
      <c r="AA1594">
        <v>0.99742600000000003</v>
      </c>
      <c r="AB1594">
        <v>58</v>
      </c>
      <c r="AC1594">
        <v>-0.50150000000002104</v>
      </c>
      <c r="AD1594">
        <v>-7.5247999999999898E-2</v>
      </c>
      <c r="AE1594">
        <v>8.40000000000031E-2</v>
      </c>
      <c r="AF1594">
        <v>7.72797992629672E-2</v>
      </c>
      <c r="AG1594">
        <v>-7.5247999999999898E-2</v>
      </c>
      <c r="AH1594">
        <v>0.49155161179226398</v>
      </c>
      <c r="AI1594">
        <v>98.599401915689796</v>
      </c>
      <c r="AJ1594">
        <v>81.065317765125101</v>
      </c>
      <c r="AK1594">
        <v>0.50324687374458399</v>
      </c>
      <c r="AL1594">
        <v>97.717525509415793</v>
      </c>
      <c r="AM1594">
        <v>95.252023892732694</v>
      </c>
      <c r="AN1594">
        <v>1.00000000782946</v>
      </c>
    </row>
    <row r="1595" spans="1:40" x14ac:dyDescent="0.25">
      <c r="A1595" t="str">
        <f>"20190305135613801"</f>
        <v>20190305135613801</v>
      </c>
      <c r="B1595" t="str">
        <f>"1551765373794033"</f>
        <v>1551765373794033</v>
      </c>
      <c r="C1595" t="s">
        <v>40</v>
      </c>
      <c r="D1595">
        <v>3.9726870000000001</v>
      </c>
      <c r="E1595">
        <v>0.56318590000000002</v>
      </c>
      <c r="F1595" t="s">
        <v>41</v>
      </c>
      <c r="G1595">
        <v>-396.9941</v>
      </c>
      <c r="H1595">
        <v>1.038926</v>
      </c>
      <c r="I1595">
        <v>284.55549999999999</v>
      </c>
      <c r="J1595">
        <v>-396.58010000000002</v>
      </c>
      <c r="K1595">
        <v>1.1074649999999999</v>
      </c>
      <c r="L1595">
        <v>284.47859999999997</v>
      </c>
      <c r="M1595">
        <v>-0.99991609999999997</v>
      </c>
      <c r="N1595">
        <v>-8.3604830000000002E-3</v>
      </c>
      <c r="O1595">
        <v>9.8989839999999996E-3</v>
      </c>
      <c r="P1595">
        <v>-0.98641880000000004</v>
      </c>
      <c r="Q1595">
        <v>-0.14253060000000001</v>
      </c>
      <c r="R1595">
        <v>-8.1630419999999995E-2</v>
      </c>
      <c r="S1595">
        <v>-3.0317379999999998</v>
      </c>
      <c r="T1595">
        <v>-0.20302619999999999</v>
      </c>
      <c r="U1595">
        <v>0.2441711</v>
      </c>
      <c r="V1595">
        <v>-9.1308799999999996E-2</v>
      </c>
      <c r="W1595">
        <v>-0.13434179999999901</v>
      </c>
      <c r="X1595">
        <v>0.98671929999999997</v>
      </c>
      <c r="Y1595">
        <v>7.0247989999999996E-2</v>
      </c>
      <c r="Z1595">
        <v>2.0617639999999998E-3</v>
      </c>
      <c r="AA1595">
        <v>0.99752739999999995</v>
      </c>
      <c r="AB1595">
        <v>58</v>
      </c>
      <c r="AC1595">
        <v>-0.41399999999998699</v>
      </c>
      <c r="AD1595">
        <v>-6.8538999999999906E-2</v>
      </c>
      <c r="AE1595">
        <v>7.69000000000232E-2</v>
      </c>
      <c r="AF1595">
        <v>7.0919000043507499E-2</v>
      </c>
      <c r="AG1595">
        <v>-6.8538999999999906E-2</v>
      </c>
      <c r="AH1595">
        <v>0.40403653415714602</v>
      </c>
      <c r="AI1595">
        <v>99.485437151388894</v>
      </c>
      <c r="AJ1595">
        <v>80.044503598601096</v>
      </c>
      <c r="AK1595">
        <v>0.41589977160595998</v>
      </c>
      <c r="AL1595">
        <v>97.720561131287596</v>
      </c>
      <c r="AM1595">
        <v>95.286966578049203</v>
      </c>
      <c r="AN1595">
        <v>0.99999999658858496</v>
      </c>
    </row>
    <row r="1596" spans="1:40" x14ac:dyDescent="0.25">
      <c r="A1596" t="str">
        <f>"20190305135613822"</f>
        <v>20190305135613822</v>
      </c>
      <c r="B1596" t="str">
        <f>"1551765373813553"</f>
        <v>1551765373813553</v>
      </c>
      <c r="C1596" t="s">
        <v>40</v>
      </c>
      <c r="D1596">
        <v>3.9713790000000002</v>
      </c>
      <c r="E1596">
        <v>0.56296489999999999</v>
      </c>
      <c r="F1596" t="s">
        <v>41</v>
      </c>
      <c r="G1596">
        <v>-397.51609999999999</v>
      </c>
      <c r="H1596">
        <v>1.044851</v>
      </c>
      <c r="I1596">
        <v>284.55329999999998</v>
      </c>
      <c r="J1596">
        <v>-397.12869999999998</v>
      </c>
      <c r="K1596">
        <v>1.1075390000000001</v>
      </c>
      <c r="L1596">
        <v>284.48399999999998</v>
      </c>
      <c r="M1596">
        <v>-0.99991289999999999</v>
      </c>
      <c r="N1596">
        <v>-8.8260470000000001E-3</v>
      </c>
      <c r="O1596">
        <v>9.8177830000000001E-3</v>
      </c>
      <c r="P1596">
        <v>-0.98630019999999996</v>
      </c>
      <c r="Q1596">
        <v>-0.1430379</v>
      </c>
      <c r="R1596">
        <v>-8.2172910000000002E-2</v>
      </c>
      <c r="S1596">
        <v>-3.0319210000000001</v>
      </c>
      <c r="T1596">
        <v>-0.20286870000000001</v>
      </c>
      <c r="U1596">
        <v>0.24102779999999999</v>
      </c>
      <c r="V1596">
        <v>-9.1779219999999995E-2</v>
      </c>
      <c r="W1596">
        <v>-0.13438530000000001</v>
      </c>
      <c r="X1596">
        <v>0.98666969999999998</v>
      </c>
      <c r="Y1596">
        <v>6.9297629999999999E-2</v>
      </c>
      <c r="Z1596">
        <v>2.0502070000000001E-3</v>
      </c>
      <c r="AA1596">
        <v>0.99759390000000003</v>
      </c>
      <c r="AB1596">
        <v>58</v>
      </c>
      <c r="AC1596">
        <v>-0.38740000000001301</v>
      </c>
      <c r="AD1596">
        <v>-6.2687999999999994E-2</v>
      </c>
      <c r="AE1596">
        <v>6.9299999999941506E-2</v>
      </c>
      <c r="AF1596">
        <v>6.3872473269820304E-2</v>
      </c>
      <c r="AG1596">
        <v>-6.2687999999999994E-2</v>
      </c>
      <c r="AH1596">
        <v>0.37845912365392498</v>
      </c>
      <c r="AI1596">
        <v>99.276230274411404</v>
      </c>
      <c r="AJ1596">
        <v>80.420473646703002</v>
      </c>
      <c r="AK1596">
        <v>0.38889688409975798</v>
      </c>
      <c r="AL1596">
        <v>97.723076546686997</v>
      </c>
      <c r="AM1596">
        <v>95.314314927913401</v>
      </c>
      <c r="AN1596">
        <v>0.99999996548899295</v>
      </c>
    </row>
    <row r="1597" spans="1:40" x14ac:dyDescent="0.25">
      <c r="A1597" t="str">
        <f>"20190305135613844"</f>
        <v>20190305135613844</v>
      </c>
      <c r="B1597" t="str">
        <f>"1551765373834049"</f>
        <v>1551765373834049</v>
      </c>
      <c r="C1597" t="s">
        <v>40</v>
      </c>
      <c r="D1597">
        <v>3.9802089999999999</v>
      </c>
      <c r="E1597">
        <v>0.56277480000000002</v>
      </c>
      <c r="F1597" t="s">
        <v>41</v>
      </c>
      <c r="G1597">
        <v>-398.03570000000002</v>
      </c>
      <c r="H1597">
        <v>1.0466139999999999</v>
      </c>
      <c r="I1597">
        <v>284.55540000000002</v>
      </c>
      <c r="J1597">
        <v>-397.69830000000002</v>
      </c>
      <c r="K1597">
        <v>1.107642</v>
      </c>
      <c r="L1597">
        <v>284.4896</v>
      </c>
      <c r="M1597">
        <v>-0.99990769999999995</v>
      </c>
      <c r="N1597">
        <v>-9.4476030000000006E-3</v>
      </c>
      <c r="O1597">
        <v>9.7584920000000006E-3</v>
      </c>
      <c r="P1597">
        <v>-0.98610100000000001</v>
      </c>
      <c r="Q1597">
        <v>-0.14426929999999999</v>
      </c>
      <c r="R1597">
        <v>-8.2409239999999995E-2</v>
      </c>
      <c r="S1597">
        <v>-3.0319210000000001</v>
      </c>
      <c r="T1597">
        <v>-0.20383519999999999</v>
      </c>
      <c r="U1597">
        <v>0.23727419999999999</v>
      </c>
      <c r="V1597">
        <v>-9.1962489999999994E-2</v>
      </c>
      <c r="W1597">
        <v>-0.13499949999999999</v>
      </c>
      <c r="X1597">
        <v>0.98656880000000002</v>
      </c>
      <c r="Y1597">
        <v>6.8128949999999994E-2</v>
      </c>
      <c r="Z1597">
        <v>2.0445440000000001E-3</v>
      </c>
      <c r="AA1597">
        <v>0.99767439999999996</v>
      </c>
      <c r="AB1597">
        <v>58</v>
      </c>
      <c r="AC1597">
        <v>-0.33740000000000198</v>
      </c>
      <c r="AD1597">
        <v>-6.1027999999999999E-2</v>
      </c>
      <c r="AE1597">
        <v>6.58000000000242E-2</v>
      </c>
      <c r="AF1597">
        <v>6.0594397699705697E-2</v>
      </c>
      <c r="AG1597">
        <v>-6.1027999999999999E-2</v>
      </c>
      <c r="AH1597">
        <v>0.32769773462943202</v>
      </c>
      <c r="AI1597">
        <v>100.37748611652501</v>
      </c>
      <c r="AJ1597">
        <v>79.523800102646007</v>
      </c>
      <c r="AK1597">
        <v>0.338794780210457</v>
      </c>
      <c r="AL1597">
        <v>97.758591125509895</v>
      </c>
      <c r="AM1597">
        <v>95.325407379691697</v>
      </c>
      <c r="AN1597">
        <v>0.99999998085034403</v>
      </c>
    </row>
    <row r="1598" spans="1:40" x14ac:dyDescent="0.25">
      <c r="A1598" t="str">
        <f>"20190305135613867"</f>
        <v>20190305135613867</v>
      </c>
      <c r="B1598" t="str">
        <f>"1551765373863329"</f>
        <v>1551765373863329</v>
      </c>
      <c r="C1598" t="s">
        <v>40</v>
      </c>
      <c r="D1598">
        <v>3.9607730000000001</v>
      </c>
      <c r="E1598">
        <v>0.56254519999999997</v>
      </c>
      <c r="F1598" t="s">
        <v>41</v>
      </c>
      <c r="G1598">
        <v>-398.5564</v>
      </c>
      <c r="H1598">
        <v>1.04909599999999</v>
      </c>
      <c r="I1598">
        <v>284.55630000000002</v>
      </c>
      <c r="J1598">
        <v>-398.2758</v>
      </c>
      <c r="K1598">
        <v>1.107742</v>
      </c>
      <c r="L1598">
        <v>284.49529999999999</v>
      </c>
      <c r="M1598">
        <v>-0.9999017</v>
      </c>
      <c r="N1598">
        <v>-1.011975E-2</v>
      </c>
      <c r="O1598">
        <v>9.7176050000000007E-3</v>
      </c>
      <c r="P1598">
        <v>-0.98591790000000001</v>
      </c>
      <c r="Q1598">
        <v>-0.14540259999999999</v>
      </c>
      <c r="R1598">
        <v>-8.2608029999999999E-2</v>
      </c>
      <c r="S1598">
        <v>-3.031647</v>
      </c>
      <c r="T1598">
        <v>-0.2070003</v>
      </c>
      <c r="U1598">
        <v>0.2351685</v>
      </c>
      <c r="V1598">
        <v>-9.2127329999999993E-2</v>
      </c>
      <c r="W1598">
        <v>-0.1354658</v>
      </c>
      <c r="X1598">
        <v>0.98648950000000002</v>
      </c>
      <c r="Y1598">
        <v>6.7483059999999997E-2</v>
      </c>
      <c r="Z1598">
        <v>2.076601E-3</v>
      </c>
      <c r="AA1598">
        <v>0.99771829999999995</v>
      </c>
      <c r="AB1598">
        <v>58</v>
      </c>
      <c r="AC1598">
        <v>-0.28059999999999202</v>
      </c>
      <c r="AD1598">
        <v>-5.8646000000000198E-2</v>
      </c>
      <c r="AE1598">
        <v>6.1000000000035401E-2</v>
      </c>
      <c r="AF1598">
        <v>5.5937047412012601E-2</v>
      </c>
      <c r="AG1598">
        <v>-5.8646000000000198E-2</v>
      </c>
      <c r="AH1598">
        <v>0.26992096427897799</v>
      </c>
      <c r="AI1598">
        <v>102.01063684387</v>
      </c>
      <c r="AJ1598">
        <v>78.292041232182797</v>
      </c>
      <c r="AK1598">
        <v>0.28182553742779798</v>
      </c>
      <c r="AL1598">
        <v>97.785555850402403</v>
      </c>
      <c r="AM1598">
        <v>95.335324361303194</v>
      </c>
      <c r="AN1598">
        <v>0.99999998075640895</v>
      </c>
    </row>
    <row r="1599" spans="1:40" x14ac:dyDescent="0.25">
      <c r="A1599" t="str">
        <f>"20190305135613889"</f>
        <v>20190305135613889</v>
      </c>
      <c r="B1599" t="str">
        <f>"1551765373883829"</f>
        <v>1551765373883829</v>
      </c>
      <c r="C1599" t="s">
        <v>40</v>
      </c>
      <c r="D1599">
        <v>3.9897909999999999</v>
      </c>
      <c r="E1599">
        <v>0.56245059999999902</v>
      </c>
      <c r="F1599" t="s">
        <v>41</v>
      </c>
      <c r="G1599">
        <v>-399.07749999999999</v>
      </c>
      <c r="H1599">
        <v>1.0523849999999999</v>
      </c>
      <c r="I1599">
        <v>284.55709999999999</v>
      </c>
      <c r="J1599">
        <v>-398.86130000000003</v>
      </c>
      <c r="K1599">
        <v>1.1078140000000001</v>
      </c>
      <c r="L1599">
        <v>284.5009</v>
      </c>
      <c r="M1599">
        <v>-0.99989510000000004</v>
      </c>
      <c r="N1599">
        <v>-1.076798E-2</v>
      </c>
      <c r="O1599">
        <v>9.6981859999999993E-3</v>
      </c>
      <c r="P1599">
        <v>-0.98585560000000005</v>
      </c>
      <c r="Q1599">
        <v>-0.14557629999999999</v>
      </c>
      <c r="R1599">
        <v>-8.3045999999999995E-2</v>
      </c>
      <c r="S1599">
        <v>-3.0314329999999998</v>
      </c>
      <c r="T1599">
        <v>-0.209589</v>
      </c>
      <c r="U1599">
        <v>0.2326355</v>
      </c>
      <c r="V1599">
        <v>-9.2555760000000001E-2</v>
      </c>
      <c r="W1599">
        <v>-0.134994</v>
      </c>
      <c r="X1599">
        <v>0.98651409999999995</v>
      </c>
      <c r="Y1599">
        <v>6.6675590000000007E-2</v>
      </c>
      <c r="Z1599">
        <v>2.0943390000000002E-3</v>
      </c>
      <c r="AA1599">
        <v>0.99777249999999995</v>
      </c>
      <c r="AB1599">
        <v>58</v>
      </c>
      <c r="AC1599">
        <v>-0.21619999999995801</v>
      </c>
      <c r="AD1599">
        <v>-5.5428999999999701E-2</v>
      </c>
      <c r="AE1599">
        <v>5.61999999999898E-2</v>
      </c>
      <c r="AF1599">
        <v>5.0962735541026899E-2</v>
      </c>
      <c r="AG1599">
        <v>-5.5428999999999701E-2</v>
      </c>
      <c r="AH1599">
        <v>0.20416458220563899</v>
      </c>
      <c r="AI1599">
        <v>104.75704276770099</v>
      </c>
      <c r="AJ1599">
        <v>75.984468627043697</v>
      </c>
      <c r="AK1599">
        <v>0.21760687278215199</v>
      </c>
      <c r="AL1599">
        <v>97.758272866719196</v>
      </c>
      <c r="AM1599">
        <v>95.359858761546903</v>
      </c>
      <c r="AN1599">
        <v>1.0000000091219901</v>
      </c>
    </row>
    <row r="1600" spans="1:40" x14ac:dyDescent="0.25">
      <c r="A1600" t="str">
        <f>"20190305135613912"</f>
        <v>20190305135613912</v>
      </c>
      <c r="B1600" t="str">
        <f>"1551765373903346"</f>
        <v>1551765373903346</v>
      </c>
      <c r="C1600" t="s">
        <v>40</v>
      </c>
      <c r="D1600">
        <v>3.9863550000000001</v>
      </c>
      <c r="E1600">
        <v>0.56236119999999901</v>
      </c>
      <c r="F1600" t="s">
        <v>41</v>
      </c>
      <c r="G1600">
        <v>-400.09390000000002</v>
      </c>
      <c r="H1600">
        <v>1.022686</v>
      </c>
      <c r="I1600">
        <v>284.59500000000003</v>
      </c>
      <c r="J1600">
        <v>-399.44779999999997</v>
      </c>
      <c r="K1600">
        <v>1.1078509999999999</v>
      </c>
      <c r="L1600">
        <v>284.50670000000002</v>
      </c>
      <c r="M1600">
        <v>-0.99988840000000001</v>
      </c>
      <c r="N1600">
        <v>-1.135136E-2</v>
      </c>
      <c r="O1600">
        <v>9.7190390000000005E-3</v>
      </c>
      <c r="P1600">
        <v>-0.98596220000000001</v>
      </c>
      <c r="Q1600">
        <v>-0.145064</v>
      </c>
      <c r="R1600">
        <v>-8.2676260000000001E-2</v>
      </c>
      <c r="S1600">
        <v>-3.0315249999999998</v>
      </c>
      <c r="T1600">
        <v>-0.2094924</v>
      </c>
      <c r="U1600">
        <v>0.23065189999999999</v>
      </c>
      <c r="V1600">
        <v>-9.2221040000000004E-2</v>
      </c>
      <c r="W1600">
        <v>-0.13389609999999999</v>
      </c>
      <c r="X1600">
        <v>0.98669510000000005</v>
      </c>
      <c r="Y1600">
        <v>6.6003660000000006E-2</v>
      </c>
      <c r="Z1600">
        <v>2.0905479999999998E-3</v>
      </c>
      <c r="AA1600">
        <v>0.99781719999999896</v>
      </c>
      <c r="AB1600">
        <v>58</v>
      </c>
      <c r="AC1600">
        <v>-0.64610000000004597</v>
      </c>
      <c r="AD1600">
        <v>-8.5164999999999894E-2</v>
      </c>
      <c r="AE1600">
        <v>8.8300000000003806E-2</v>
      </c>
      <c r="AF1600">
        <v>8.0640520875953303E-2</v>
      </c>
      <c r="AG1600">
        <v>-8.5164999999999894E-2</v>
      </c>
      <c r="AH1600">
        <v>0.63607854945425302</v>
      </c>
      <c r="AI1600">
        <v>97.566166291357504</v>
      </c>
      <c r="AJ1600">
        <v>82.774722823451796</v>
      </c>
      <c r="AK1600">
        <v>0.64680127698387502</v>
      </c>
      <c r="AL1600">
        <v>97.694791142948105</v>
      </c>
      <c r="AM1600">
        <v>95.339613551354105</v>
      </c>
      <c r="AN1600">
        <v>1.0000000530889399</v>
      </c>
    </row>
    <row r="1601" spans="1:40" x14ac:dyDescent="0.25">
      <c r="A1601" t="str">
        <f>"20190305135613934"</f>
        <v>20190305135613934</v>
      </c>
      <c r="B1601" t="str">
        <f>"1551765373923841"</f>
        <v>1551765373923841</v>
      </c>
      <c r="C1601" t="s">
        <v>40</v>
      </c>
      <c r="D1601">
        <v>4.0535569999999996</v>
      </c>
      <c r="E1601">
        <v>0.56220780000000004</v>
      </c>
      <c r="F1601" t="s">
        <v>41</v>
      </c>
      <c r="G1601">
        <v>-400.61329999999998</v>
      </c>
      <c r="H1601">
        <v>1.0285629999999999</v>
      </c>
      <c r="I1601">
        <v>284.59539999999998</v>
      </c>
      <c r="J1601">
        <v>-400.01</v>
      </c>
      <c r="K1601">
        <v>1.107861</v>
      </c>
      <c r="L1601">
        <v>284.51209999999998</v>
      </c>
      <c r="M1601">
        <v>-0.99988200000000005</v>
      </c>
      <c r="N1601">
        <v>-1.1855360000000001E-2</v>
      </c>
      <c r="O1601">
        <v>9.7733520000000008E-3</v>
      </c>
      <c r="P1601">
        <v>-0.98609690000000005</v>
      </c>
      <c r="Q1601">
        <v>-0.1444868</v>
      </c>
      <c r="R1601">
        <v>-8.2076159999999995E-2</v>
      </c>
      <c r="S1601">
        <v>-3.0317080000000001</v>
      </c>
      <c r="T1601">
        <v>-0.20624049999999999</v>
      </c>
      <c r="U1601">
        <v>0.23083500000000001</v>
      </c>
      <c r="V1601">
        <v>-9.1690179999999996E-2</v>
      </c>
      <c r="W1601">
        <v>-0.13280989999999901</v>
      </c>
      <c r="X1601">
        <v>0.98689130000000003</v>
      </c>
      <c r="Y1601">
        <v>6.6008079999999997E-2</v>
      </c>
      <c r="Z1601">
        <v>2.0842930000000001E-3</v>
      </c>
      <c r="AA1601">
        <v>0.99781690000000001</v>
      </c>
      <c r="AB1601">
        <v>58</v>
      </c>
      <c r="AC1601">
        <v>-0.60329999999998996</v>
      </c>
      <c r="AD1601">
        <v>-7.9297999999999993E-2</v>
      </c>
      <c r="AE1601">
        <v>8.3300000000008298E-2</v>
      </c>
      <c r="AF1601">
        <v>7.6109038468272494E-2</v>
      </c>
      <c r="AG1601">
        <v>-7.9297999999999993E-2</v>
      </c>
      <c r="AH1601">
        <v>0.59401480348277103</v>
      </c>
      <c r="AI1601">
        <v>97.542801384122299</v>
      </c>
      <c r="AJ1601">
        <v>82.6986726534561</v>
      </c>
      <c r="AK1601">
        <v>0.60409796001744598</v>
      </c>
      <c r="AL1601">
        <v>97.631996035986106</v>
      </c>
      <c r="AM1601">
        <v>95.308003365372002</v>
      </c>
      <c r="AN1601">
        <v>0.99999999833106601</v>
      </c>
    </row>
    <row r="1602" spans="1:40" x14ac:dyDescent="0.25">
      <c r="A1602" t="str">
        <f>"20190305135613956"</f>
        <v>20190305135613956</v>
      </c>
      <c r="B1602" t="str">
        <f>"1551765373943361"</f>
        <v>1551765373943361</v>
      </c>
      <c r="C1602" t="s">
        <v>40</v>
      </c>
      <c r="D1602">
        <v>3.9712010000000002</v>
      </c>
      <c r="E1602">
        <v>0.56216279999999996</v>
      </c>
      <c r="F1602" t="s">
        <v>41</v>
      </c>
      <c r="G1602">
        <v>-401.13150000000002</v>
      </c>
      <c r="H1602">
        <v>1.032648</v>
      </c>
      <c r="I1602">
        <v>284.59789999999998</v>
      </c>
      <c r="J1602">
        <v>-400.5686</v>
      </c>
      <c r="K1602">
        <v>1.107837</v>
      </c>
      <c r="L1602">
        <v>284.51769999999999</v>
      </c>
      <c r="M1602">
        <v>-0.99987559999999998</v>
      </c>
      <c r="N1602">
        <v>-1.230646E-2</v>
      </c>
      <c r="O1602">
        <v>9.8718529999999999E-3</v>
      </c>
      <c r="P1602">
        <v>-0.98617010000000005</v>
      </c>
      <c r="Q1602">
        <v>-0.14433879999999999</v>
      </c>
      <c r="R1602">
        <v>-8.1454819999999997E-2</v>
      </c>
      <c r="S1602">
        <v>-3.0317690000000002</v>
      </c>
      <c r="T1602">
        <v>-0.20339969999999999</v>
      </c>
      <c r="U1602">
        <v>0.2313538</v>
      </c>
      <c r="V1602">
        <v>-9.1184210000000002E-2</v>
      </c>
      <c r="W1602">
        <v>-0.13220409999999999</v>
      </c>
      <c r="X1602">
        <v>0.98701950000000005</v>
      </c>
      <c r="Y1602">
        <v>6.6080680000000003E-2</v>
      </c>
      <c r="Z1602">
        <v>2.0794110000000002E-3</v>
      </c>
      <c r="AA1602">
        <v>0.99781209999999998</v>
      </c>
      <c r="AB1602">
        <v>58</v>
      </c>
      <c r="AC1602">
        <v>-0.56290000000001295</v>
      </c>
      <c r="AD1602">
        <v>-7.5189000000000103E-2</v>
      </c>
      <c r="AE1602">
        <v>8.0199999999990695E-2</v>
      </c>
      <c r="AF1602">
        <v>7.3356018949265203E-2</v>
      </c>
      <c r="AG1602">
        <v>-7.5189000000000103E-2</v>
      </c>
      <c r="AH1602">
        <v>0.55397688605110396</v>
      </c>
      <c r="AI1602">
        <v>97.663201971533198</v>
      </c>
      <c r="AJ1602">
        <v>82.456941512987996</v>
      </c>
      <c r="AK1602">
        <v>0.56384827880907995</v>
      </c>
      <c r="AL1602">
        <v>97.596977533638693</v>
      </c>
      <c r="AM1602">
        <v>95.278196591695504</v>
      </c>
      <c r="AN1602">
        <v>0.99999998879519203</v>
      </c>
    </row>
    <row r="1603" spans="1:40" x14ac:dyDescent="0.25">
      <c r="A1603" t="str">
        <f>"20190305135613979"</f>
        <v>20190305135613979</v>
      </c>
      <c r="B1603" t="str">
        <f>"1551765373973619"</f>
        <v>1551765373973619</v>
      </c>
      <c r="C1603" t="s">
        <v>40</v>
      </c>
      <c r="D1603">
        <v>3.9673729999999998</v>
      </c>
      <c r="E1603">
        <v>0.56212569999999995</v>
      </c>
      <c r="F1603" t="s">
        <v>41</v>
      </c>
      <c r="G1603">
        <v>-401.64909999999998</v>
      </c>
      <c r="H1603">
        <v>1.0361990000000001</v>
      </c>
      <c r="I1603">
        <v>284.60059999999999</v>
      </c>
      <c r="J1603">
        <v>-401.1696</v>
      </c>
      <c r="K1603">
        <v>1.107802</v>
      </c>
      <c r="L1603">
        <v>284.52370000000002</v>
      </c>
      <c r="M1603">
        <v>-0.99986839999999999</v>
      </c>
      <c r="N1603">
        <v>-1.274014E-2</v>
      </c>
      <c r="O1603">
        <v>1.0042590000000001E-2</v>
      </c>
      <c r="P1603">
        <v>-0.98636469999999998</v>
      </c>
      <c r="Q1603">
        <v>-0.14346819999999999</v>
      </c>
      <c r="R1603">
        <v>-8.0632720000000005E-2</v>
      </c>
      <c r="S1603">
        <v>-3.0318299999999998</v>
      </c>
      <c r="T1603">
        <v>-0.20098830000000001</v>
      </c>
      <c r="U1603">
        <v>0.2326355</v>
      </c>
      <c r="V1603">
        <v>-9.0553930000000005E-2</v>
      </c>
      <c r="W1603">
        <v>-0.130888</v>
      </c>
      <c r="X1603">
        <v>0.98725289999999999</v>
      </c>
      <c r="Y1603">
        <v>6.6329899999999997E-2</v>
      </c>
      <c r="Z1603">
        <v>2.0803729999999999E-3</v>
      </c>
      <c r="AA1603">
        <v>0.9977956</v>
      </c>
      <c r="AB1603">
        <v>58</v>
      </c>
      <c r="AC1603">
        <v>-0.479499999999973</v>
      </c>
      <c r="AD1603">
        <v>-7.1603E-2</v>
      </c>
      <c r="AE1603">
        <v>7.6899999999966398E-2</v>
      </c>
      <c r="AF1603">
        <v>7.0546636302818003E-2</v>
      </c>
      <c r="AG1603">
        <v>-7.1603E-2</v>
      </c>
      <c r="AH1603">
        <v>0.47002978293675401</v>
      </c>
      <c r="AI1603">
        <v>98.567171844859502</v>
      </c>
      <c r="AJ1603">
        <v>81.464207260174007</v>
      </c>
      <c r="AK1603">
        <v>0.480657689369696</v>
      </c>
      <c r="AL1603">
        <v>97.520909548802706</v>
      </c>
      <c r="AM1603">
        <v>95.240684428690997</v>
      </c>
      <c r="AN1603">
        <v>0.99999998567042703</v>
      </c>
    </row>
    <row r="1604" spans="1:40" x14ac:dyDescent="0.25">
      <c r="A1604" t="str">
        <f>"20190305135614001"</f>
        <v>20190305135614001</v>
      </c>
      <c r="B1604" t="str">
        <f>"1551765373993138"</f>
        <v>1551765373993138</v>
      </c>
      <c r="C1604" t="s">
        <v>40</v>
      </c>
      <c r="D1604">
        <v>3.9665110000000001</v>
      </c>
      <c r="E1604">
        <v>0.56204279999999995</v>
      </c>
      <c r="F1604" t="s">
        <v>41</v>
      </c>
      <c r="G1604">
        <v>-402.16800000000001</v>
      </c>
      <c r="H1604">
        <v>1.0430900000000001</v>
      </c>
      <c r="I1604">
        <v>284.60129999999998</v>
      </c>
      <c r="J1604">
        <v>-401.75700000000001</v>
      </c>
      <c r="K1604">
        <v>1.1077459999999999</v>
      </c>
      <c r="L1604">
        <v>284.52980000000002</v>
      </c>
      <c r="M1604">
        <v>-0.99986129999999995</v>
      </c>
      <c r="N1604">
        <v>-1.311615E-2</v>
      </c>
      <c r="O1604">
        <v>1.028374E-2</v>
      </c>
      <c r="P1604">
        <v>-0.98648119999999995</v>
      </c>
      <c r="Q1604">
        <v>-0.14302879999999901</v>
      </c>
      <c r="R1604">
        <v>-7.9987799999999998E-2</v>
      </c>
      <c r="S1604">
        <v>-3.0320740000000002</v>
      </c>
      <c r="T1604">
        <v>-0.19657469999999999</v>
      </c>
      <c r="U1604">
        <v>0.23483280000000001</v>
      </c>
      <c r="V1604">
        <v>-9.0172660000000002E-2</v>
      </c>
      <c r="W1604">
        <v>-0.1300588</v>
      </c>
      <c r="X1604">
        <v>0.98739739999999998</v>
      </c>
      <c r="Y1604">
        <v>6.6806160000000003E-2</v>
      </c>
      <c r="Z1604">
        <v>2.0690729999999998E-3</v>
      </c>
      <c r="AA1604">
        <v>0.99776379999999998</v>
      </c>
      <c r="AB1604">
        <v>58</v>
      </c>
      <c r="AC1604">
        <v>-0.41100000000005799</v>
      </c>
      <c r="AD1604">
        <v>-6.4655999999999797E-2</v>
      </c>
      <c r="AE1604">
        <v>7.1499999999957695E-2</v>
      </c>
      <c r="AF1604">
        <v>6.5691288688666694E-2</v>
      </c>
      <c r="AG1604">
        <v>-6.4655999999999797E-2</v>
      </c>
      <c r="AH1604">
        <v>0.40205595303515201</v>
      </c>
      <c r="AI1604">
        <v>99.018137731951995</v>
      </c>
      <c r="AJ1604">
        <v>80.720527349993702</v>
      </c>
      <c r="AK1604">
        <v>0.41248603990508798</v>
      </c>
      <c r="AL1604">
        <v>97.472990059250606</v>
      </c>
      <c r="AM1604">
        <v>95.217981528444398</v>
      </c>
      <c r="AN1604">
        <v>1.0000000127978299</v>
      </c>
    </row>
    <row r="1605" spans="1:40" x14ac:dyDescent="0.25">
      <c r="A1605" t="str">
        <f>"20190305135614024"</f>
        <v>20190305135614024</v>
      </c>
      <c r="B1605" t="str">
        <f>"1551765374013634"</f>
        <v>1551765374013634</v>
      </c>
      <c r="C1605" t="s">
        <v>40</v>
      </c>
      <c r="D1605">
        <v>3.9342190000000001</v>
      </c>
      <c r="E1605">
        <v>0.56200830000000002</v>
      </c>
      <c r="F1605" t="s">
        <v>41</v>
      </c>
      <c r="G1605">
        <v>-402.68729999999999</v>
      </c>
      <c r="H1605">
        <v>1.0478529999999999</v>
      </c>
      <c r="I1605">
        <v>284.60230000000001</v>
      </c>
      <c r="J1605">
        <v>-402.31349999999998</v>
      </c>
      <c r="K1605">
        <v>1.107677</v>
      </c>
      <c r="L1605">
        <v>284.53570000000002</v>
      </c>
      <c r="M1605">
        <v>-0.99985380000000001</v>
      </c>
      <c r="N1605">
        <v>-1.343111E-2</v>
      </c>
      <c r="O1605">
        <v>1.058721E-2</v>
      </c>
      <c r="P1605">
        <v>-0.98641860000000003</v>
      </c>
      <c r="Q1605">
        <v>-0.1435872</v>
      </c>
      <c r="R1605">
        <v>-7.9758670000000004E-2</v>
      </c>
      <c r="S1605">
        <v>-3.0320130000000001</v>
      </c>
      <c r="T1605">
        <v>-0.19522349999999999</v>
      </c>
      <c r="U1605">
        <v>0.23626710000000001</v>
      </c>
      <c r="V1605">
        <v>-9.0268780000000007E-2</v>
      </c>
      <c r="W1605">
        <v>-0.13028890000000001</v>
      </c>
      <c r="X1605">
        <v>0.98735830000000002</v>
      </c>
      <c r="Y1605">
        <v>6.6975019999999996E-2</v>
      </c>
      <c r="Z1605">
        <v>2.0637479999999998E-3</v>
      </c>
      <c r="AA1605">
        <v>0.99775250000000004</v>
      </c>
      <c r="AB1605">
        <v>58</v>
      </c>
      <c r="AC1605">
        <v>-0.37380000000001701</v>
      </c>
      <c r="AD1605">
        <v>-5.9823999999999801E-2</v>
      </c>
      <c r="AE1605">
        <v>6.6599999999993997E-2</v>
      </c>
      <c r="AF1605">
        <v>6.1121042999416501E-2</v>
      </c>
      <c r="AG1605">
        <v>-5.9823999999999801E-2</v>
      </c>
      <c r="AH1605">
        <v>0.36541262316655398</v>
      </c>
      <c r="AI1605">
        <v>99.1725502615094</v>
      </c>
      <c r="AJ1605">
        <v>80.504279748609207</v>
      </c>
      <c r="AK1605">
        <v>0.37528799347007902</v>
      </c>
      <c r="AL1605">
        <v>97.486286819217199</v>
      </c>
      <c r="AM1605">
        <v>95.223718619670507</v>
      </c>
      <c r="AN1605">
        <v>1.00000003134239</v>
      </c>
    </row>
    <row r="1606" spans="1:40" x14ac:dyDescent="0.25">
      <c r="A1606" t="str">
        <f>"20190305135614045"</f>
        <v>20190305135614045</v>
      </c>
      <c r="B1606" t="str">
        <f>"1551765374034129"</f>
        <v>1551765374034129</v>
      </c>
      <c r="C1606" t="s">
        <v>40</v>
      </c>
      <c r="D1606">
        <v>4.0281979999999997</v>
      </c>
      <c r="E1606">
        <v>0.56146030000000002</v>
      </c>
      <c r="F1606" t="s">
        <v>41</v>
      </c>
      <c r="G1606">
        <v>-403.20420000000001</v>
      </c>
      <c r="H1606">
        <v>1.04996</v>
      </c>
      <c r="I1606">
        <v>284.60550000000001</v>
      </c>
      <c r="J1606">
        <v>-402.87759999999997</v>
      </c>
      <c r="K1606">
        <v>1.1076010000000001</v>
      </c>
      <c r="L1606">
        <v>284.5419</v>
      </c>
      <c r="M1606">
        <v>-0.99984589999999995</v>
      </c>
      <c r="N1606">
        <v>-1.371293E-2</v>
      </c>
      <c r="O1606">
        <v>1.0969909999999999E-2</v>
      </c>
      <c r="P1606">
        <v>-0.98627050000000005</v>
      </c>
      <c r="Q1606">
        <v>-0.1445535</v>
      </c>
      <c r="R1606">
        <v>-7.9844299999999896E-2</v>
      </c>
      <c r="S1606">
        <v>-3.0318299999999998</v>
      </c>
      <c r="T1606">
        <v>-0.19660559999999999</v>
      </c>
      <c r="U1606">
        <v>0.2367554</v>
      </c>
      <c r="V1606">
        <v>-9.0759270000000003E-2</v>
      </c>
      <c r="W1606">
        <v>-0.13095909999999999</v>
      </c>
      <c r="X1606">
        <v>0.98722460000000001</v>
      </c>
      <c r="Y1606">
        <v>6.6755809999999999E-2</v>
      </c>
      <c r="Z1606">
        <v>2.058565E-3</v>
      </c>
      <c r="AA1606">
        <v>0.99776719999999997</v>
      </c>
      <c r="AB1606">
        <v>58</v>
      </c>
      <c r="AC1606">
        <v>-0.32660000000004102</v>
      </c>
      <c r="AD1606">
        <v>-5.7640999999999998E-2</v>
      </c>
      <c r="AE1606">
        <v>6.3600000000008095E-2</v>
      </c>
      <c r="AF1606">
        <v>5.8264543170355398E-2</v>
      </c>
      <c r="AG1606">
        <v>-5.7640999999999998E-2</v>
      </c>
      <c r="AH1606">
        <v>0.31774263356084498</v>
      </c>
      <c r="AI1606">
        <v>100.116971749933</v>
      </c>
      <c r="AJ1606">
        <v>79.609096330219003</v>
      </c>
      <c r="AK1606">
        <v>0.32814268703421001</v>
      </c>
      <c r="AL1606">
        <v>97.525018759749997</v>
      </c>
      <c r="AM1606">
        <v>95.252651531935399</v>
      </c>
      <c r="AN1606">
        <v>0.99999997090445103</v>
      </c>
    </row>
    <row r="1607" spans="1:40" x14ac:dyDescent="0.25">
      <c r="A1607" t="str">
        <f>"20190305135614068"</f>
        <v>20190305135614068</v>
      </c>
      <c r="B1607" t="str">
        <f>"1551765374063409"</f>
        <v>1551765374063409</v>
      </c>
      <c r="C1607" t="s">
        <v>40</v>
      </c>
      <c r="D1607">
        <v>3.9363350000000001</v>
      </c>
      <c r="E1607">
        <v>0.48856959999999999</v>
      </c>
      <c r="F1607" t="s">
        <v>61</v>
      </c>
      <c r="G1607">
        <v>-420.00540000000001</v>
      </c>
      <c r="H1607" s="1">
        <v>3.8557059999999999E-6</v>
      </c>
      <c r="I1607">
        <v>285.851</v>
      </c>
      <c r="J1607">
        <v>-403.45359999999999</v>
      </c>
      <c r="K1607">
        <v>1.1075120000000001</v>
      </c>
      <c r="L1607">
        <v>284.54849999999999</v>
      </c>
      <c r="M1607">
        <v>-0.99983719999999998</v>
      </c>
      <c r="N1607">
        <v>-1.3965409999999999E-2</v>
      </c>
      <c r="O1607">
        <v>1.1435239999999999E-2</v>
      </c>
      <c r="P1607">
        <v>-0.98603280000000004</v>
      </c>
      <c r="Q1607">
        <v>-0.14609029999999901</v>
      </c>
      <c r="R1607">
        <v>-7.9981739999999996E-2</v>
      </c>
      <c r="S1607">
        <v>-3.0317690000000002</v>
      </c>
      <c r="T1607">
        <v>-0.19605410000000001</v>
      </c>
      <c r="U1607">
        <v>0.23172000000000001</v>
      </c>
      <c r="V1607">
        <v>-9.1384380000000001E-2</v>
      </c>
      <c r="W1607">
        <v>-0.13222900000000001</v>
      </c>
      <c r="X1607">
        <v>0.98699769999999998</v>
      </c>
      <c r="Y1607">
        <v>6.4651440000000004E-2</v>
      </c>
      <c r="Z1607">
        <v>1.959695E-3</v>
      </c>
      <c r="AA1607">
        <v>0.99790599999999996</v>
      </c>
      <c r="AB1607">
        <v>58</v>
      </c>
      <c r="AC1607">
        <v>-16.5518</v>
      </c>
      <c r="AD1607">
        <v>-1.107508144294</v>
      </c>
      <c r="AE1607">
        <v>1.3025</v>
      </c>
      <c r="AF1607">
        <v>1.1081915513520999</v>
      </c>
      <c r="AG1607">
        <v>-1.107508144294</v>
      </c>
      <c r="AH1607">
        <v>16.4922293562603</v>
      </c>
      <c r="AI1607">
        <v>93.833216248598006</v>
      </c>
      <c r="AJ1607">
        <v>86.155802041861406</v>
      </c>
      <c r="AK1607">
        <v>16.566480976467499</v>
      </c>
      <c r="AL1607">
        <v>97.598416469183903</v>
      </c>
      <c r="AM1607">
        <v>95.289833944187095</v>
      </c>
      <c r="AN1607">
        <v>1.00000003657713</v>
      </c>
    </row>
    <row r="1608" spans="1:40" x14ac:dyDescent="0.25">
      <c r="A1608" t="str">
        <f>"20190305135614091"</f>
        <v>20190305135614091</v>
      </c>
      <c r="B1608" t="str">
        <f>"1551765374083905"</f>
        <v>1551765374083905</v>
      </c>
      <c r="C1608" t="s">
        <v>40</v>
      </c>
      <c r="D1608">
        <v>3.9234429999999998</v>
      </c>
      <c r="E1608">
        <v>0.48994379999999998</v>
      </c>
      <c r="F1608" t="s">
        <v>61</v>
      </c>
      <c r="G1608">
        <v>-422.483</v>
      </c>
      <c r="H1608" s="1">
        <v>3.7257179999999998E-6</v>
      </c>
      <c r="I1608">
        <v>282.3107</v>
      </c>
      <c r="J1608">
        <v>-404.04660000000001</v>
      </c>
      <c r="K1608">
        <v>1.107423</v>
      </c>
      <c r="L1608">
        <v>284.5557</v>
      </c>
      <c r="M1608">
        <v>-0.99982749999999998</v>
      </c>
      <c r="N1608">
        <v>-1.419051E-2</v>
      </c>
      <c r="O1608">
        <v>1.198898E-2</v>
      </c>
      <c r="P1608">
        <v>-0.98576520000000001</v>
      </c>
      <c r="Q1608">
        <v>-0.1476344</v>
      </c>
      <c r="R1608">
        <v>-8.0445310000000006E-2</v>
      </c>
      <c r="S1608">
        <v>-2.9881899999999999</v>
      </c>
      <c r="T1608">
        <v>-0.17391199999999901</v>
      </c>
      <c r="U1608">
        <v>-0.3514099</v>
      </c>
      <c r="V1608">
        <v>-9.2422279999999996E-2</v>
      </c>
      <c r="W1608">
        <v>-0.1335327</v>
      </c>
      <c r="X1608">
        <v>0.98672539999999997</v>
      </c>
      <c r="Y1608">
        <v>-0.12841569999999999</v>
      </c>
      <c r="Z1608">
        <v>-5.1616689999999998E-3</v>
      </c>
      <c r="AA1608">
        <v>0.99170700000000001</v>
      </c>
      <c r="AB1608">
        <v>57</v>
      </c>
      <c r="AC1608">
        <v>-18.4363999999999</v>
      </c>
      <c r="AD1608">
        <v>-1.1074192742819999</v>
      </c>
      <c r="AE1608">
        <v>-2.2450000000000001</v>
      </c>
      <c r="AF1608">
        <v>-2.45715849156828</v>
      </c>
      <c r="AG1608">
        <v>-1.1074192742819999</v>
      </c>
      <c r="AH1608">
        <v>18.3429415850715</v>
      </c>
      <c r="AI1608">
        <v>93.424413130656504</v>
      </c>
      <c r="AJ1608">
        <v>97.629728520140205</v>
      </c>
      <c r="AK1608">
        <v>18.539889732549199</v>
      </c>
      <c r="AL1608">
        <v>97.673782079405896</v>
      </c>
      <c r="AM1608">
        <v>95.351034445287894</v>
      </c>
      <c r="AN1608">
        <v>0.99999993740742199</v>
      </c>
    </row>
    <row r="1609" spans="1:40" x14ac:dyDescent="0.25">
      <c r="A1609" t="str">
        <f>"20190305135614112"</f>
        <v>20190305135614112</v>
      </c>
      <c r="B1609" t="str">
        <f>"1551765374103425"</f>
        <v>1551765374103425</v>
      </c>
      <c r="C1609" t="s">
        <v>40</v>
      </c>
      <c r="D1609">
        <v>3.9354529999999999</v>
      </c>
      <c r="E1609">
        <v>0.49044110000000002</v>
      </c>
      <c r="F1609" t="s">
        <v>61</v>
      </c>
      <c r="G1609">
        <v>-422.36290000000002</v>
      </c>
      <c r="H1609" s="1">
        <v>3.7338199999999999E-6</v>
      </c>
      <c r="I1609">
        <v>282.46170000000001</v>
      </c>
      <c r="J1609">
        <v>-404.6026</v>
      </c>
      <c r="K1609">
        <v>1.107345</v>
      </c>
      <c r="L1609">
        <v>284.56259999999997</v>
      </c>
      <c r="M1609">
        <v>-0.99981779999999998</v>
      </c>
      <c r="N1609">
        <v>-1.4373189999999999E-2</v>
      </c>
      <c r="O1609">
        <v>1.2566600000000001E-2</v>
      </c>
      <c r="P1609">
        <v>-0.985568</v>
      </c>
      <c r="Q1609">
        <v>-0.14877000000000001</v>
      </c>
      <c r="R1609">
        <v>-8.0769770000000005E-2</v>
      </c>
      <c r="S1609">
        <v>-2.9884029999999999</v>
      </c>
      <c r="T1609">
        <v>-0.1806808</v>
      </c>
      <c r="U1609">
        <v>-0.34164430000000001</v>
      </c>
      <c r="V1609">
        <v>-9.3342359999999999E-2</v>
      </c>
      <c r="W1609">
        <v>-0.13447110000000001</v>
      </c>
      <c r="X1609">
        <v>0.98651140000000004</v>
      </c>
      <c r="Y1609">
        <v>-0.12576660000000001</v>
      </c>
      <c r="Z1609">
        <v>-5.2708859999999998E-3</v>
      </c>
      <c r="AA1609">
        <v>0.99204590000000004</v>
      </c>
      <c r="AB1609">
        <v>57</v>
      </c>
      <c r="AC1609">
        <v>-17.760300000000001</v>
      </c>
      <c r="AD1609">
        <v>-1.10734126618</v>
      </c>
      <c r="AE1609">
        <v>-2.1008999999999598</v>
      </c>
      <c r="AF1609">
        <v>-2.3150682332309001</v>
      </c>
      <c r="AG1609">
        <v>-1.10734126618</v>
      </c>
      <c r="AH1609">
        <v>17.664770529900601</v>
      </c>
      <c r="AI1609">
        <v>93.556639326796201</v>
      </c>
      <c r="AJ1609">
        <v>97.466383969324497</v>
      </c>
      <c r="AK1609">
        <v>17.850206258705899</v>
      </c>
      <c r="AL1609">
        <v>97.728037226576703</v>
      </c>
      <c r="AM1609">
        <v>95.405156435233295</v>
      </c>
      <c r="AN1609">
        <v>1.00000000761776</v>
      </c>
    </row>
    <row r="1610" spans="1:40" x14ac:dyDescent="0.25">
      <c r="A1610" t="str">
        <f>"20190305135614134"</f>
        <v>20190305135614134</v>
      </c>
      <c r="B1610" t="str">
        <f>"1551765374123921"</f>
        <v>1551765374123921</v>
      </c>
      <c r="C1610" t="s">
        <v>40</v>
      </c>
      <c r="D1610">
        <v>3.872865</v>
      </c>
      <c r="E1610">
        <v>0.49100359999999998</v>
      </c>
      <c r="F1610" t="s">
        <v>61</v>
      </c>
      <c r="G1610">
        <v>-424.96</v>
      </c>
      <c r="H1610" s="1">
        <v>3.2919799999999999E-6</v>
      </c>
      <c r="I1610">
        <v>282.24619999999999</v>
      </c>
      <c r="J1610">
        <v>-405.16460000000001</v>
      </c>
      <c r="K1610">
        <v>1.1072770000000001</v>
      </c>
      <c r="L1610">
        <v>284.57</v>
      </c>
      <c r="M1610">
        <v>-0.99980740000000001</v>
      </c>
      <c r="N1610">
        <v>-1.4533880000000001E-2</v>
      </c>
      <c r="O1610">
        <v>1.31932E-2</v>
      </c>
      <c r="P1610">
        <v>-0.98547689999999999</v>
      </c>
      <c r="Q1610">
        <v>-0.14926970000000001</v>
      </c>
      <c r="R1610">
        <v>-8.0957119999999994E-2</v>
      </c>
      <c r="S1610">
        <v>-2.9914550000000002</v>
      </c>
      <c r="T1610">
        <v>-0.16272020000000001</v>
      </c>
      <c r="U1610">
        <v>-0.340393099999999</v>
      </c>
      <c r="V1610">
        <v>-9.4172149999999996E-2</v>
      </c>
      <c r="W1610">
        <v>-0.13479530000000001</v>
      </c>
      <c r="X1610">
        <v>0.9863883</v>
      </c>
      <c r="Y1610">
        <v>-0.1259152</v>
      </c>
      <c r="Z1610">
        <v>-4.8538469999999997E-3</v>
      </c>
      <c r="AA1610">
        <v>0.9920291</v>
      </c>
      <c r="AB1610">
        <v>57</v>
      </c>
      <c r="AC1610">
        <v>-19.795399999999901</v>
      </c>
      <c r="AD1610">
        <v>-1.1072737080199999</v>
      </c>
      <c r="AE1610">
        <v>-2.3237999999999999</v>
      </c>
      <c r="AF1610">
        <v>-2.57683707027924</v>
      </c>
      <c r="AG1610">
        <v>-1.1072737080199999</v>
      </c>
      <c r="AH1610">
        <v>19.702208342027301</v>
      </c>
      <c r="AI1610">
        <v>93.189559412898305</v>
      </c>
      <c r="AJ1610">
        <v>97.451376849418907</v>
      </c>
      <c r="AK1610">
        <v>19.9008330957246</v>
      </c>
      <c r="AL1610">
        <v>97.746783074335298</v>
      </c>
      <c r="AM1610">
        <v>95.453594966423694</v>
      </c>
      <c r="AN1610">
        <v>1.0000000225573</v>
      </c>
    </row>
    <row r="1611" spans="1:40" x14ac:dyDescent="0.25">
      <c r="A1611" t="str">
        <f>"20190305135614157"</f>
        <v>20190305135614157</v>
      </c>
      <c r="B1611" t="str">
        <f>"1551765374153202"</f>
        <v>1551765374153202</v>
      </c>
      <c r="C1611" t="s">
        <v>40</v>
      </c>
      <c r="D1611">
        <v>3.92882</v>
      </c>
      <c r="E1611">
        <v>0.49144559999999998</v>
      </c>
      <c r="F1611" t="s">
        <v>61</v>
      </c>
      <c r="G1611">
        <v>-424.72370000000001</v>
      </c>
      <c r="H1611" s="1">
        <v>3.3227930000000002E-6</v>
      </c>
      <c r="I1611">
        <v>282.3732</v>
      </c>
      <c r="J1611">
        <v>-405.73489999999998</v>
      </c>
      <c r="K1611">
        <v>1.107216</v>
      </c>
      <c r="L1611">
        <v>284.5779</v>
      </c>
      <c r="M1611">
        <v>-0.99979640000000003</v>
      </c>
      <c r="N1611">
        <v>-1.46754E-2</v>
      </c>
      <c r="O1611">
        <v>1.3861119999999999E-2</v>
      </c>
      <c r="P1611">
        <v>-0.98555150000000002</v>
      </c>
      <c r="Q1611">
        <v>-0.1486625</v>
      </c>
      <c r="R1611">
        <v>-8.1168959999999998E-2</v>
      </c>
      <c r="S1611">
        <v>-2.990936</v>
      </c>
      <c r="T1611">
        <v>-0.169322</v>
      </c>
      <c r="U1611">
        <v>-0.3359375</v>
      </c>
      <c r="V1611">
        <v>-9.506444E-2</v>
      </c>
      <c r="W1611">
        <v>-0.13403039999999999</v>
      </c>
      <c r="X1611">
        <v>0.98640689999999998</v>
      </c>
      <c r="Y1611">
        <v>-0.12512010000000001</v>
      </c>
      <c r="Z1611">
        <v>-5.0287880000000002E-3</v>
      </c>
      <c r="AA1611">
        <v>0.99212880000000003</v>
      </c>
      <c r="AB1611">
        <v>57</v>
      </c>
      <c r="AC1611">
        <v>-18.988800000000001</v>
      </c>
      <c r="AD1611">
        <v>-1.1072126772069999</v>
      </c>
      <c r="AE1611">
        <v>-2.2046999999999999</v>
      </c>
      <c r="AF1611">
        <v>-2.4594717355539499</v>
      </c>
      <c r="AG1611">
        <v>-1.1072126772069999</v>
      </c>
      <c r="AH1611">
        <v>18.8930322938266</v>
      </c>
      <c r="AI1611">
        <v>93.325942750137102</v>
      </c>
      <c r="AJ1611">
        <v>97.416984528151701</v>
      </c>
      <c r="AK1611">
        <v>19.084590390839701</v>
      </c>
      <c r="AL1611">
        <v>97.702556489857898</v>
      </c>
      <c r="AM1611">
        <v>95.504849181967003</v>
      </c>
      <c r="AN1611">
        <v>0.99999998412214097</v>
      </c>
    </row>
    <row r="1612" spans="1:40" x14ac:dyDescent="0.25">
      <c r="A1612" t="str">
        <f>"20190305135614181"</f>
        <v>20190305135614181</v>
      </c>
      <c r="B1612" t="str">
        <f>"1551765374173698"</f>
        <v>1551765374173698</v>
      </c>
      <c r="C1612" t="s">
        <v>40</v>
      </c>
      <c r="D1612">
        <v>3.9261469999999998</v>
      </c>
      <c r="E1612">
        <v>0.49164639999999998</v>
      </c>
      <c r="F1612" t="s">
        <v>61</v>
      </c>
      <c r="G1612">
        <v>-425.09699999999998</v>
      </c>
      <c r="H1612" s="1">
        <v>3.2521409999999998E-6</v>
      </c>
      <c r="I1612">
        <v>282.42399999999998</v>
      </c>
      <c r="J1612">
        <v>-406.34410000000003</v>
      </c>
      <c r="K1612">
        <v>1.107154</v>
      </c>
      <c r="L1612">
        <v>284.58670000000001</v>
      </c>
      <c r="M1612">
        <v>-0.9997838</v>
      </c>
      <c r="N1612">
        <v>-1.480542E-2</v>
      </c>
      <c r="O1612">
        <v>1.460126E-2</v>
      </c>
      <c r="P1612">
        <v>-0.98579380000000005</v>
      </c>
      <c r="Q1612">
        <v>-0.14730289999999999</v>
      </c>
      <c r="R1612">
        <v>-8.0701590000000004E-2</v>
      </c>
      <c r="S1612">
        <v>-2.9907840000000001</v>
      </c>
      <c r="T1612">
        <v>-0.1710266</v>
      </c>
      <c r="U1612">
        <v>-0.33270260000000001</v>
      </c>
      <c r="V1612">
        <v>-9.5348260000000004E-2</v>
      </c>
      <c r="W1612">
        <v>-0.13252410000000001</v>
      </c>
      <c r="X1612">
        <v>0.98658310000000005</v>
      </c>
      <c r="Y1612">
        <v>-0.124795</v>
      </c>
      <c r="Z1612">
        <v>-5.0984929999999999E-3</v>
      </c>
      <c r="AA1612">
        <v>0.99216939999999998</v>
      </c>
      <c r="AB1612">
        <v>57</v>
      </c>
      <c r="AC1612">
        <v>-18.752899999999901</v>
      </c>
      <c r="AD1612">
        <v>-1.1071507478589999</v>
      </c>
      <c r="AE1612">
        <v>-2.1626999999999699</v>
      </c>
      <c r="AF1612">
        <v>-2.4279635626866898</v>
      </c>
      <c r="AG1612">
        <v>-1.1071507478589999</v>
      </c>
      <c r="AH1612">
        <v>18.655148051196001</v>
      </c>
      <c r="AI1612">
        <v>93.368081536252205</v>
      </c>
      <c r="AJ1612">
        <v>97.415351554079393</v>
      </c>
      <c r="AK1612">
        <v>18.845034854100401</v>
      </c>
      <c r="AL1612">
        <v>97.615474313233904</v>
      </c>
      <c r="AM1612">
        <v>95.520202831305397</v>
      </c>
      <c r="AN1612">
        <v>1.0000000704857199</v>
      </c>
    </row>
    <row r="1613" spans="1:40" x14ac:dyDescent="0.25">
      <c r="A1613" t="str">
        <f>"20190305135614203"</f>
        <v>20190305135614203</v>
      </c>
      <c r="B1613" t="str">
        <f>"1551765374193217"</f>
        <v>1551765374193217</v>
      </c>
      <c r="C1613" t="s">
        <v>40</v>
      </c>
      <c r="D1613">
        <v>4.0937799999999998</v>
      </c>
      <c r="E1613">
        <v>0.49209960000000003</v>
      </c>
      <c r="F1613" t="s">
        <v>61</v>
      </c>
      <c r="G1613">
        <v>-425.9042</v>
      </c>
      <c r="H1613" s="1">
        <v>3.1082350000000001E-6</v>
      </c>
      <c r="I1613">
        <v>282.4323</v>
      </c>
      <c r="J1613">
        <v>-406.92410000000001</v>
      </c>
      <c r="K1613">
        <v>1.1071139999999999</v>
      </c>
      <c r="L1613">
        <v>284.59550000000002</v>
      </c>
      <c r="M1613">
        <v>-0.99977139999999998</v>
      </c>
      <c r="N1613">
        <v>-1.4911570000000001E-2</v>
      </c>
      <c r="O1613">
        <v>1.5322199999999999E-2</v>
      </c>
      <c r="P1613">
        <v>-0.98603830000000003</v>
      </c>
      <c r="Q1613">
        <v>-0.146098799999999</v>
      </c>
      <c r="R1613">
        <v>-7.989665E-2</v>
      </c>
      <c r="S1613">
        <v>-2.9909669999999999</v>
      </c>
      <c r="T1613">
        <v>-0.1692961</v>
      </c>
      <c r="U1613">
        <v>-0.32943729999999999</v>
      </c>
      <c r="V1613">
        <v>-9.5272040000000002E-2</v>
      </c>
      <c r="W1613">
        <v>-0.13119990000000001</v>
      </c>
      <c r="X1613">
        <v>0.98676739999999996</v>
      </c>
      <c r="Y1613">
        <v>-0.1244384</v>
      </c>
      <c r="Z1613">
        <v>-5.0764290000000004E-3</v>
      </c>
      <c r="AA1613">
        <v>0.99221429999999999</v>
      </c>
      <c r="AB1613">
        <v>57</v>
      </c>
      <c r="AC1613">
        <v>-18.9801</v>
      </c>
      <c r="AD1613">
        <v>-1.1071108917650001</v>
      </c>
      <c r="AE1613">
        <v>-2.16320000000001</v>
      </c>
      <c r="AF1613">
        <v>-2.4455810865347698</v>
      </c>
      <c r="AG1613">
        <v>-1.1071108917650001</v>
      </c>
      <c r="AH1613">
        <v>18.8813047680799</v>
      </c>
      <c r="AI1613">
        <v>93.327976307283905</v>
      </c>
      <c r="AJ1613">
        <v>97.380087876841699</v>
      </c>
      <c r="AK1613">
        <v>19.071188508391302</v>
      </c>
      <c r="AL1613">
        <v>97.538935148053199</v>
      </c>
      <c r="AM1613">
        <v>95.514793440959394</v>
      </c>
      <c r="AN1613">
        <v>1.00000003853426</v>
      </c>
    </row>
    <row r="1614" spans="1:40" x14ac:dyDescent="0.25">
      <c r="A1614" t="str">
        <f>"20190305135614224"</f>
        <v>20190305135614224</v>
      </c>
      <c r="B1614" t="str">
        <f>"1551765374213713"</f>
        <v>1551765374213713</v>
      </c>
      <c r="C1614" t="s">
        <v>40</v>
      </c>
      <c r="D1614">
        <v>3.9649320000000001</v>
      </c>
      <c r="E1614">
        <v>0.49222670000000002</v>
      </c>
      <c r="F1614" t="s">
        <v>61</v>
      </c>
      <c r="G1614">
        <v>-426.86279999999999</v>
      </c>
      <c r="H1614" s="1">
        <v>2.9375689999999998E-6</v>
      </c>
      <c r="I1614">
        <v>282.4393</v>
      </c>
      <c r="J1614">
        <v>-407.45639999999997</v>
      </c>
      <c r="K1614">
        <v>1.107091</v>
      </c>
      <c r="L1614">
        <v>284.60390000000001</v>
      </c>
      <c r="M1614">
        <v>-0.99975970000000003</v>
      </c>
      <c r="N1614">
        <v>-1.4995700000000001E-2</v>
      </c>
      <c r="O1614">
        <v>1.5993050000000002E-2</v>
      </c>
      <c r="P1614">
        <v>-0.98619999999999997</v>
      </c>
      <c r="Q1614">
        <v>-0.145544799999999</v>
      </c>
      <c r="R1614">
        <v>-7.8906329999999997E-2</v>
      </c>
      <c r="S1614">
        <v>-2.991638</v>
      </c>
      <c r="T1614">
        <v>-0.16611239999999999</v>
      </c>
      <c r="U1614">
        <v>-0.32351679999999999</v>
      </c>
      <c r="V1614">
        <v>-9.4958399999999998E-2</v>
      </c>
      <c r="W1614">
        <v>-0.13055149999999999</v>
      </c>
      <c r="X1614">
        <v>0.98688359999999997</v>
      </c>
      <c r="Y1614">
        <v>-0.1231502</v>
      </c>
      <c r="Z1614">
        <v>-4.9794080000000003E-3</v>
      </c>
      <c r="AA1614">
        <v>0.99237560000000002</v>
      </c>
      <c r="AB1614">
        <v>57</v>
      </c>
      <c r="AC1614">
        <v>-19.406400000000001</v>
      </c>
      <c r="AD1614">
        <v>-1.107088062431</v>
      </c>
      <c r="AE1614">
        <v>-2.1646000000000001</v>
      </c>
      <c r="AF1614">
        <v>-2.4667961493900701</v>
      </c>
      <c r="AG1614">
        <v>-1.107088062431</v>
      </c>
      <c r="AH1614">
        <v>19.307233145206599</v>
      </c>
      <c r="AI1614">
        <v>93.255374757892994</v>
      </c>
      <c r="AJ1614">
        <v>97.280970373557395</v>
      </c>
      <c r="AK1614">
        <v>19.495639998317198</v>
      </c>
      <c r="AL1614">
        <v>97.501462423601097</v>
      </c>
      <c r="AM1614">
        <v>95.496106608699506</v>
      </c>
      <c r="AN1614">
        <v>1.0000000159158799</v>
      </c>
    </row>
    <row r="1615" spans="1:40" x14ac:dyDescent="0.25">
      <c r="A1615" t="str">
        <f>"20190305135614245"</f>
        <v>20190305135614245</v>
      </c>
      <c r="B1615" t="str">
        <f>"1551765374243970"</f>
        <v>1551765374243970</v>
      </c>
      <c r="C1615" t="s">
        <v>40</v>
      </c>
      <c r="D1615">
        <v>3.9555020000000001</v>
      </c>
      <c r="E1615">
        <v>0.49235370000000001</v>
      </c>
      <c r="F1615" t="s">
        <v>61</v>
      </c>
      <c r="G1615">
        <v>-427.3535</v>
      </c>
      <c r="H1615" s="1">
        <v>2.847221E-6</v>
      </c>
      <c r="I1615">
        <v>282.47710000000001</v>
      </c>
      <c r="J1615">
        <v>-408.01299999999998</v>
      </c>
      <c r="K1615">
        <v>1.1070709999999999</v>
      </c>
      <c r="L1615">
        <v>284.61320000000001</v>
      </c>
      <c r="M1615">
        <v>-0.99974689999999999</v>
      </c>
      <c r="N1615">
        <v>-1.5071899999999999E-2</v>
      </c>
      <c r="O1615">
        <v>1.6701089999999998E-2</v>
      </c>
      <c r="P1615">
        <v>-0.98631709999999995</v>
      </c>
      <c r="Q1615">
        <v>-0.14508119999999999</v>
      </c>
      <c r="R1615">
        <v>-7.8295420000000004E-2</v>
      </c>
      <c r="S1615">
        <v>-2.9917910000000001</v>
      </c>
      <c r="T1615">
        <v>-0.16646469999999999</v>
      </c>
      <c r="U1615">
        <v>-0.31979370000000001</v>
      </c>
      <c r="V1615">
        <v>-9.5058509999999999E-2</v>
      </c>
      <c r="W1615">
        <v>-0.13000210000000001</v>
      </c>
      <c r="X1615">
        <v>0.98694649999999995</v>
      </c>
      <c r="Y1615">
        <v>-0.1226259</v>
      </c>
      <c r="Z1615">
        <v>-5.0021199999999997E-3</v>
      </c>
      <c r="AA1615">
        <v>0.99244030000000005</v>
      </c>
      <c r="AB1615">
        <v>57</v>
      </c>
      <c r="AC1615">
        <v>-19.340499999999899</v>
      </c>
      <c r="AD1615">
        <v>-1.1070681527789901</v>
      </c>
      <c r="AE1615">
        <v>-2.1360999999999901</v>
      </c>
      <c r="AF1615">
        <v>-2.4509124433755001</v>
      </c>
      <c r="AG1615">
        <v>-1.1070681527789901</v>
      </c>
      <c r="AH1615">
        <v>19.239842583506402</v>
      </c>
      <c r="AI1615">
        <v>93.266848640198603</v>
      </c>
      <c r="AJ1615">
        <v>97.259656888088003</v>
      </c>
      <c r="AK1615">
        <v>19.4268915253598</v>
      </c>
      <c r="AL1615">
        <v>97.469713441271693</v>
      </c>
      <c r="AM1615">
        <v>95.501516857236595</v>
      </c>
      <c r="AN1615">
        <v>1.00000003009503</v>
      </c>
    </row>
    <row r="1616" spans="1:40" x14ac:dyDescent="0.25">
      <c r="A1616" t="str">
        <f>"20190305135614270"</f>
        <v>20190305135614270</v>
      </c>
      <c r="B1616" t="str">
        <f>"1551765374263493"</f>
        <v>1551765374263493</v>
      </c>
      <c r="C1616" t="s">
        <v>40</v>
      </c>
      <c r="D1616">
        <v>3.92387</v>
      </c>
      <c r="E1616">
        <v>0.49241459999999998</v>
      </c>
      <c r="F1616" t="s">
        <v>61</v>
      </c>
      <c r="G1616">
        <v>-427.76749999999998</v>
      </c>
      <c r="H1616" s="1">
        <v>2.7700219999999999E-6</v>
      </c>
      <c r="I1616">
        <v>282.52010000000001</v>
      </c>
      <c r="J1616">
        <v>-408.62790000000001</v>
      </c>
      <c r="K1616">
        <v>1.1070530000000001</v>
      </c>
      <c r="L1616">
        <v>284.62380000000002</v>
      </c>
      <c r="M1616">
        <v>-0.99973239999999997</v>
      </c>
      <c r="N1616">
        <v>-1.514393E-2</v>
      </c>
      <c r="O1616">
        <v>1.7487909999999999E-2</v>
      </c>
      <c r="P1616">
        <v>-0.98635609999999996</v>
      </c>
      <c r="Q1616">
        <v>-0.14515320000000001</v>
      </c>
      <c r="R1616">
        <v>-7.7668360000000006E-2</v>
      </c>
      <c r="S1616">
        <v>-2.9918209999999998</v>
      </c>
      <c r="T1616">
        <v>-0.1676655</v>
      </c>
      <c r="U1616">
        <v>-0.31698609999999999</v>
      </c>
      <c r="V1616">
        <v>-9.5220020000000002E-2</v>
      </c>
      <c r="W1616">
        <v>-0.1299939</v>
      </c>
      <c r="X1616">
        <v>0.98693200000000003</v>
      </c>
      <c r="Y1616">
        <v>-0.1224811</v>
      </c>
      <c r="Z1616">
        <v>-5.0635680000000001E-3</v>
      </c>
      <c r="AA1616">
        <v>0.9924579</v>
      </c>
      <c r="AB1616">
        <v>57</v>
      </c>
      <c r="AC1616">
        <v>-19.139599999999898</v>
      </c>
      <c r="AD1616">
        <v>-1.1070502299779901</v>
      </c>
      <c r="AE1616">
        <v>-2.1036999999999999</v>
      </c>
      <c r="AF1616">
        <v>-2.43009521599978</v>
      </c>
      <c r="AG1616">
        <v>-1.1070502299779901</v>
      </c>
      <c r="AH1616">
        <v>19.036949835799199</v>
      </c>
      <c r="AI1616">
        <v>93.301427047255999</v>
      </c>
      <c r="AJ1616">
        <v>97.274549784662199</v>
      </c>
      <c r="AK1616">
        <v>19.223329108696401</v>
      </c>
      <c r="AL1616">
        <v>97.4692396750321</v>
      </c>
      <c r="AM1616">
        <v>95.510887231136905</v>
      </c>
      <c r="AN1616">
        <v>1.0000000194350001</v>
      </c>
    </row>
    <row r="1617" spans="1:40" x14ac:dyDescent="0.25">
      <c r="A1617" t="str">
        <f>"20190305135614291"</f>
        <v>20190305135614291</v>
      </c>
      <c r="B1617" t="str">
        <f>"1551765374283985"</f>
        <v>1551765374283985</v>
      </c>
      <c r="C1617" t="s">
        <v>40</v>
      </c>
      <c r="D1617">
        <v>4.192107</v>
      </c>
      <c r="E1617">
        <v>0.49281350000000002</v>
      </c>
      <c r="F1617" t="s">
        <v>61</v>
      </c>
      <c r="G1617">
        <v>-428.1053</v>
      </c>
      <c r="H1617" s="1">
        <v>2.7054840000000002E-6</v>
      </c>
      <c r="I1617">
        <v>282.57319999999999</v>
      </c>
      <c r="J1617">
        <v>-409.1857</v>
      </c>
      <c r="K1617">
        <v>1.1070390000000001</v>
      </c>
      <c r="L1617">
        <v>284.63389999999998</v>
      </c>
      <c r="M1617">
        <v>-0.99971869999999996</v>
      </c>
      <c r="N1617">
        <v>-1.519887E-2</v>
      </c>
      <c r="O1617">
        <v>1.8205559999999999E-2</v>
      </c>
      <c r="P1617">
        <v>-0.98642099999999999</v>
      </c>
      <c r="Q1617">
        <v>-0.14465989999999901</v>
      </c>
      <c r="R1617">
        <v>-7.7764029999999998E-2</v>
      </c>
      <c r="S1617">
        <v>-2.9916689999999999</v>
      </c>
      <c r="T1617">
        <v>-0.1700402</v>
      </c>
      <c r="U1617">
        <v>-0.31497190000000003</v>
      </c>
      <c r="V1617">
        <v>-9.603225E-2</v>
      </c>
      <c r="W1617">
        <v>-0.12943740000000001</v>
      </c>
      <c r="X1617">
        <v>0.98692639999999998</v>
      </c>
      <c r="Y1617">
        <v>-0.122530399999999</v>
      </c>
      <c r="Z1617">
        <v>-5.1600919999999998E-3</v>
      </c>
      <c r="AA1617">
        <v>0.99245139999999998</v>
      </c>
      <c r="AB1617">
        <v>57</v>
      </c>
      <c r="AC1617">
        <v>-18.919599999999999</v>
      </c>
      <c r="AD1617">
        <v>-1.1070362945159999</v>
      </c>
      <c r="AE1617">
        <v>-2.06069999999999</v>
      </c>
      <c r="AF1617">
        <v>-2.3967305494881699</v>
      </c>
      <c r="AG1617">
        <v>-1.1070362945159999</v>
      </c>
      <c r="AH1617">
        <v>18.815279875555198</v>
      </c>
      <c r="AI1617">
        <v>93.340305545676998</v>
      </c>
      <c r="AJ1617">
        <v>97.259363291651198</v>
      </c>
      <c r="AK1617">
        <v>18.999594824092899</v>
      </c>
      <c r="AL1617">
        <v>97.4370832114721</v>
      </c>
      <c r="AM1617">
        <v>95.557633553647094</v>
      </c>
      <c r="AN1617">
        <v>0.99999997628789095</v>
      </c>
    </row>
    <row r="1618" spans="1:40" x14ac:dyDescent="0.25">
      <c r="A1618" t="str">
        <f>"20190305135614313"</f>
        <v>20190305135614313</v>
      </c>
      <c r="B1618" t="str">
        <f>"1551765374303513"</f>
        <v>1551765374303513</v>
      </c>
      <c r="C1618" t="s">
        <v>40</v>
      </c>
      <c r="D1618">
        <v>4.0250430000000001</v>
      </c>
      <c r="E1618">
        <v>0.49283650000000001</v>
      </c>
      <c r="F1618" t="s">
        <v>61</v>
      </c>
      <c r="G1618">
        <v>-428.73759999999999</v>
      </c>
      <c r="H1618" s="1">
        <v>2.5914549999999999E-6</v>
      </c>
      <c r="I1618">
        <v>282.59449999999998</v>
      </c>
      <c r="J1618">
        <v>-409.72309999999999</v>
      </c>
      <c r="K1618">
        <v>1.1070260000000001</v>
      </c>
      <c r="L1618">
        <v>284.64400000000001</v>
      </c>
      <c r="M1618">
        <v>-0.99970519999999996</v>
      </c>
      <c r="N1618">
        <v>-1.524437E-2</v>
      </c>
      <c r="O1618">
        <v>1.8900190000000001E-2</v>
      </c>
      <c r="P1618">
        <v>-0.98647870000000004</v>
      </c>
      <c r="Q1618">
        <v>-0.14388500000000001</v>
      </c>
      <c r="R1618">
        <v>-7.8467110000000007E-2</v>
      </c>
      <c r="S1618">
        <v>-2.9918819999999999</v>
      </c>
      <c r="T1618">
        <v>-0.16940150000000001</v>
      </c>
      <c r="U1618">
        <v>-0.31207279999999998</v>
      </c>
      <c r="V1618">
        <v>-9.7425849999999994E-2</v>
      </c>
      <c r="W1618">
        <v>-0.1286088</v>
      </c>
      <c r="X1618">
        <v>0.98689819999999995</v>
      </c>
      <c r="Y1618">
        <v>-0.122263</v>
      </c>
      <c r="Z1618">
        <v>-5.1640849999999997E-3</v>
      </c>
      <c r="AA1618">
        <v>0.99248429999999999</v>
      </c>
      <c r="AB1618">
        <v>57</v>
      </c>
      <c r="AC1618">
        <v>-19.014500000000002</v>
      </c>
      <c r="AD1618">
        <v>-1.1070234085449999</v>
      </c>
      <c r="AE1618">
        <v>-2.0495000000000201</v>
      </c>
      <c r="AF1618">
        <v>-2.4005099987562502</v>
      </c>
      <c r="AG1618">
        <v>-1.1070234085449999</v>
      </c>
      <c r="AH1618">
        <v>18.909005114249499</v>
      </c>
      <c r="AI1618">
        <v>93.323926531494607</v>
      </c>
      <c r="AJ1618">
        <v>97.235032901274096</v>
      </c>
      <c r="AK1618">
        <v>19.092889343729698</v>
      </c>
      <c r="AL1618">
        <v>97.389207301563005</v>
      </c>
      <c r="AM1618">
        <v>95.637928935217204</v>
      </c>
      <c r="AN1618">
        <v>1.0000000384244501</v>
      </c>
    </row>
    <row r="1619" spans="1:40" x14ac:dyDescent="0.25">
      <c r="A1619" t="str">
        <f>"20190305135614335"</f>
        <v>20190305135614335</v>
      </c>
      <c r="B1619" t="str">
        <f>"1551765374324002"</f>
        <v>1551765374324002</v>
      </c>
      <c r="C1619" t="s">
        <v>40</v>
      </c>
      <c r="D1619">
        <v>4.0194489999999998</v>
      </c>
      <c r="E1619">
        <v>0.49278729999999998</v>
      </c>
      <c r="F1619" t="s">
        <v>61</v>
      </c>
      <c r="G1619">
        <v>-429.23770000000002</v>
      </c>
      <c r="H1619" s="1">
        <v>2.502641E-6</v>
      </c>
      <c r="I1619">
        <v>282.59559999999999</v>
      </c>
      <c r="J1619">
        <v>-410.28719999999998</v>
      </c>
      <c r="K1619">
        <v>1.1070150000000001</v>
      </c>
      <c r="L1619">
        <v>284.65499999999997</v>
      </c>
      <c r="M1619">
        <v>-0.99969050000000004</v>
      </c>
      <c r="N1619">
        <v>-1.528526E-2</v>
      </c>
      <c r="O1619">
        <v>1.9632159999999999E-2</v>
      </c>
      <c r="P1619">
        <v>-0.98653789999999997</v>
      </c>
      <c r="Q1619">
        <v>-0.14287149999999901</v>
      </c>
      <c r="R1619">
        <v>-7.9565810000000001E-2</v>
      </c>
      <c r="S1619">
        <v>-2.9913940000000001</v>
      </c>
      <c r="T1619">
        <v>-0.16969589999999901</v>
      </c>
      <c r="U1619">
        <v>-0.31399539999999998</v>
      </c>
      <c r="V1619">
        <v>-9.9251190000000003E-2</v>
      </c>
      <c r="W1619">
        <v>-0.12754560000000001</v>
      </c>
      <c r="X1619">
        <v>0.98685429999999996</v>
      </c>
      <c r="Y1619">
        <v>-0.1236328</v>
      </c>
      <c r="Z1619">
        <v>-5.2537590000000002E-3</v>
      </c>
      <c r="AA1619">
        <v>0.99231409999999998</v>
      </c>
      <c r="AB1619">
        <v>57</v>
      </c>
      <c r="AC1619">
        <v>-18.950500000000002</v>
      </c>
      <c r="AD1619">
        <v>-1.1070124973590001</v>
      </c>
      <c r="AE1619">
        <v>-2.0593999999999801</v>
      </c>
      <c r="AF1619">
        <v>-2.4229141677674599</v>
      </c>
      <c r="AG1619">
        <v>-1.1070124973590001</v>
      </c>
      <c r="AH1619">
        <v>18.8428621980031</v>
      </c>
      <c r="AI1619">
        <v>93.334851372154205</v>
      </c>
      <c r="AJ1619">
        <v>97.327185754240006</v>
      </c>
      <c r="AK1619">
        <v>19.030224526962702</v>
      </c>
      <c r="AL1619">
        <v>97.327784520878097</v>
      </c>
      <c r="AM1619">
        <v>95.743113528790204</v>
      </c>
      <c r="AN1619">
        <v>1.0000000441121299</v>
      </c>
    </row>
    <row r="1620" spans="1:40" x14ac:dyDescent="0.25">
      <c r="A1620" t="str">
        <f>"20190305135614358"</f>
        <v>20190305135614358</v>
      </c>
      <c r="B1620" t="str">
        <f>"1551765374353281"</f>
        <v>1551765374353281</v>
      </c>
      <c r="C1620" t="s">
        <v>40</v>
      </c>
      <c r="D1620">
        <v>4.0233480000000004</v>
      </c>
      <c r="E1620">
        <v>0.49255369999999998</v>
      </c>
      <c r="F1620" t="s">
        <v>61</v>
      </c>
      <c r="G1620">
        <v>-429.83980000000003</v>
      </c>
      <c r="H1620" s="1">
        <v>2.397474E-6</v>
      </c>
      <c r="I1620">
        <v>282.57690000000002</v>
      </c>
      <c r="J1620">
        <v>-410.86200000000002</v>
      </c>
      <c r="K1620">
        <v>1.107011</v>
      </c>
      <c r="L1620">
        <v>284.66660000000002</v>
      </c>
      <c r="M1620">
        <v>-0.99967490000000003</v>
      </c>
      <c r="N1620">
        <v>-1.5320749999999999E-2</v>
      </c>
      <c r="O1620">
        <v>2.0381460000000001E-2</v>
      </c>
      <c r="P1620">
        <v>-0.98641460000000003</v>
      </c>
      <c r="Q1620">
        <v>-0.14233090000000001</v>
      </c>
      <c r="R1620">
        <v>-8.2026150000000006E-2</v>
      </c>
      <c r="S1620">
        <v>-2.9908450000000002</v>
      </c>
      <c r="T1620">
        <v>-0.1693327</v>
      </c>
      <c r="U1620">
        <v>-0.31787110000000002</v>
      </c>
      <c r="V1620">
        <v>-0.10245079999999999</v>
      </c>
      <c r="W1620">
        <v>-0.12696099999999999</v>
      </c>
      <c r="X1620">
        <v>0.9866026</v>
      </c>
      <c r="Y1620">
        <v>-0.1256632</v>
      </c>
      <c r="Z1620">
        <v>-5.3497750000000002E-3</v>
      </c>
      <c r="AA1620">
        <v>0.99205849999999995</v>
      </c>
      <c r="AB1620">
        <v>57</v>
      </c>
      <c r="AC1620">
        <v>-18.977799999999998</v>
      </c>
      <c r="AD1620">
        <v>-1.107008602526</v>
      </c>
      <c r="AE1620">
        <v>-2.0896999999999899</v>
      </c>
      <c r="AF1620">
        <v>-2.46781012012385</v>
      </c>
      <c r="AG1620">
        <v>-1.107008602526</v>
      </c>
      <c r="AH1620">
        <v>18.867830302873902</v>
      </c>
      <c r="AI1620">
        <v>93.329500321546107</v>
      </c>
      <c r="AJ1620">
        <v>97.451677586411193</v>
      </c>
      <c r="AK1620">
        <v>19.060707625193199</v>
      </c>
      <c r="AL1620">
        <v>97.294015368962107</v>
      </c>
      <c r="AM1620">
        <v>95.928460823488294</v>
      </c>
      <c r="AN1620">
        <v>0.999999976134199</v>
      </c>
    </row>
    <row r="1621" spans="1:40" x14ac:dyDescent="0.25">
      <c r="A1621" t="str">
        <f>"20190305135614381"</f>
        <v>20190305135614381</v>
      </c>
      <c r="B1621" t="str">
        <f>"1551765374373778"</f>
        <v>1551765374373778</v>
      </c>
      <c r="C1621" t="s">
        <v>40</v>
      </c>
      <c r="D1621">
        <v>4.0449159999999997</v>
      </c>
      <c r="E1621">
        <v>0.49240519999999999</v>
      </c>
      <c r="F1621" t="s">
        <v>61</v>
      </c>
      <c r="G1621">
        <v>-431.5591</v>
      </c>
      <c r="H1621" s="1">
        <v>3.1026000000000002E-6</v>
      </c>
      <c r="I1621">
        <v>282.39490000000001</v>
      </c>
      <c r="J1621">
        <v>-411.45350000000002</v>
      </c>
      <c r="K1621">
        <v>1.107002</v>
      </c>
      <c r="L1621">
        <v>284.67899999999997</v>
      </c>
      <c r="M1621">
        <v>-0.99965839999999995</v>
      </c>
      <c r="N1621">
        <v>-1.535165E-2</v>
      </c>
      <c r="O1621">
        <v>2.1154530000000001E-2</v>
      </c>
      <c r="P1621">
        <v>-0.98629250000000002</v>
      </c>
      <c r="Q1621">
        <v>-0.14219200000000001</v>
      </c>
      <c r="R1621">
        <v>-8.3718749999999995E-2</v>
      </c>
      <c r="S1621">
        <v>-2.990936</v>
      </c>
      <c r="T1621">
        <v>-0.15997359999999999</v>
      </c>
      <c r="U1621">
        <v>-0.3282776</v>
      </c>
      <c r="V1621">
        <v>-0.10490620000000001</v>
      </c>
      <c r="W1621">
        <v>-0.12678490000000001</v>
      </c>
      <c r="X1621">
        <v>0.9863672</v>
      </c>
      <c r="Y1621">
        <v>-0.12985659999999999</v>
      </c>
      <c r="Z1621">
        <v>-5.2646129999999996E-3</v>
      </c>
      <c r="AA1621">
        <v>0.99151880000000003</v>
      </c>
      <c r="AB1621">
        <v>57</v>
      </c>
      <c r="AC1621">
        <v>-20.1055999999999</v>
      </c>
      <c r="AD1621">
        <v>-1.1069988974</v>
      </c>
      <c r="AE1621">
        <v>-2.28410000000002</v>
      </c>
      <c r="AF1621">
        <v>-2.7008799198122002</v>
      </c>
      <c r="AG1621">
        <v>-1.1069988974</v>
      </c>
      <c r="AH1621">
        <v>19.992938199685302</v>
      </c>
      <c r="AI1621">
        <v>93.140731009037495</v>
      </c>
      <c r="AJ1621">
        <v>97.6936074373465</v>
      </c>
      <c r="AK1621">
        <v>20.204894871206999</v>
      </c>
      <c r="AL1621">
        <v>97.283843298979406</v>
      </c>
      <c r="AM1621">
        <v>96.070935405426894</v>
      </c>
      <c r="AN1621">
        <v>0.99999998745114405</v>
      </c>
    </row>
    <row r="1622" spans="1:40" x14ac:dyDescent="0.25">
      <c r="A1622" t="str">
        <f>"20190305135614404"</f>
        <v>20190305135614404</v>
      </c>
      <c r="B1622" t="str">
        <f>"1551765374393298"</f>
        <v>1551765374393298</v>
      </c>
      <c r="C1622" t="s">
        <v>40</v>
      </c>
      <c r="D1622">
        <v>4.0521370000000001</v>
      </c>
      <c r="E1622">
        <v>0.49224760000000001</v>
      </c>
      <c r="F1622" t="s">
        <v>61</v>
      </c>
      <c r="G1622">
        <v>-432.78059999999999</v>
      </c>
      <c r="H1622" s="1">
        <v>3.653713E-6</v>
      </c>
      <c r="I1622">
        <v>282.28699999999998</v>
      </c>
      <c r="J1622">
        <v>-412.02620000000002</v>
      </c>
      <c r="K1622">
        <v>1.107002</v>
      </c>
      <c r="L1622">
        <v>284.69139999999999</v>
      </c>
      <c r="M1622">
        <v>-0.99964169999999997</v>
      </c>
      <c r="N1622">
        <v>-1.5376839999999999E-2</v>
      </c>
      <c r="O1622">
        <v>2.1906599999999998E-2</v>
      </c>
      <c r="P1622">
        <v>-0.98602800000000002</v>
      </c>
      <c r="Q1622">
        <v>-0.1427908</v>
      </c>
      <c r="R1622">
        <v>-8.578943E-2</v>
      </c>
      <c r="S1622">
        <v>-2.990875</v>
      </c>
      <c r="T1622">
        <v>-0.1552434</v>
      </c>
      <c r="U1622">
        <v>-0.3354492</v>
      </c>
      <c r="V1622">
        <v>-0.1077161</v>
      </c>
      <c r="W1622">
        <v>-0.1273541</v>
      </c>
      <c r="X1622">
        <v>0.9859909</v>
      </c>
      <c r="Y1622">
        <v>-0.132960299999999</v>
      </c>
      <c r="Z1622">
        <v>-5.2614819999999996E-3</v>
      </c>
      <c r="AA1622">
        <v>0.99110739999999997</v>
      </c>
      <c r="AB1622">
        <v>57</v>
      </c>
      <c r="AC1622">
        <v>-20.754399999999901</v>
      </c>
      <c r="AD1622">
        <v>-1.1069983462869999</v>
      </c>
      <c r="AE1622">
        <v>-2.4043999999999501</v>
      </c>
      <c r="AF1622">
        <v>-2.8505327840398</v>
      </c>
      <c r="AG1622">
        <v>-1.1069983462869999</v>
      </c>
      <c r="AH1622">
        <v>20.6388011485259</v>
      </c>
      <c r="AI1622">
        <v>93.041401184236705</v>
      </c>
      <c r="AJ1622">
        <v>97.863669680464994</v>
      </c>
      <c r="AK1622">
        <v>20.864110221621299</v>
      </c>
      <c r="AL1622">
        <v>97.316722932660397</v>
      </c>
      <c r="AM1622">
        <v>96.234641366737904</v>
      </c>
      <c r="AN1622">
        <v>0.99999993993441305</v>
      </c>
    </row>
    <row r="1623" spans="1:40" x14ac:dyDescent="0.25">
      <c r="A1623" t="str">
        <f>"20190305135614425"</f>
        <v>20190305135614425</v>
      </c>
      <c r="B1623" t="str">
        <f>"1551765374413793"</f>
        <v>1551765374413793</v>
      </c>
      <c r="C1623" t="s">
        <v>40</v>
      </c>
      <c r="D1623">
        <v>4.1051510000000002</v>
      </c>
      <c r="E1623">
        <v>0.4920929</v>
      </c>
      <c r="F1623" t="s">
        <v>61</v>
      </c>
      <c r="G1623">
        <v>-433.60660000000001</v>
      </c>
      <c r="H1623" s="1">
        <v>4.0265700000000001E-6</v>
      </c>
      <c r="I1623">
        <v>282.21210000000002</v>
      </c>
      <c r="J1623">
        <v>-412.57580000000002</v>
      </c>
      <c r="K1623">
        <v>1.10701</v>
      </c>
      <c r="L1623">
        <v>284.7038</v>
      </c>
      <c r="M1623">
        <v>-0.9996254</v>
      </c>
      <c r="N1623">
        <v>-1.539721E-2</v>
      </c>
      <c r="O1623">
        <v>2.2630170000000002E-2</v>
      </c>
      <c r="P1623">
        <v>-0.98598609999999998</v>
      </c>
      <c r="Q1623">
        <v>-0.1427185</v>
      </c>
      <c r="R1623">
        <v>-8.6390149999999999E-2</v>
      </c>
      <c r="S1623">
        <v>-2.9904480000000002</v>
      </c>
      <c r="T1623">
        <v>-0.15339949999999999</v>
      </c>
      <c r="U1623">
        <v>-0.34356690000000001</v>
      </c>
      <c r="V1623">
        <v>-0.1090305</v>
      </c>
      <c r="W1623">
        <v>-0.1272577</v>
      </c>
      <c r="X1623">
        <v>0.98585889999999998</v>
      </c>
      <c r="Y1623">
        <v>-0.13634779999999999</v>
      </c>
      <c r="Z1623">
        <v>-5.3469499999999996E-3</v>
      </c>
      <c r="AA1623">
        <v>0.99064660000000004</v>
      </c>
      <c r="AB1623">
        <v>57</v>
      </c>
      <c r="AC1623">
        <v>-21.030799999999999</v>
      </c>
      <c r="AD1623">
        <v>-1.10700597343</v>
      </c>
      <c r="AE1623">
        <v>-2.4916999999999798</v>
      </c>
      <c r="AF1623">
        <v>-2.9589638181679399</v>
      </c>
      <c r="AG1623">
        <v>-1.10700597343</v>
      </c>
      <c r="AH1623">
        <v>20.911880232616198</v>
      </c>
      <c r="AI1623">
        <v>93.000389566713395</v>
      </c>
      <c r="AJ1623">
        <v>98.053703932576099</v>
      </c>
      <c r="AK1623">
        <v>21.149176437055999</v>
      </c>
      <c r="AL1623">
        <v>97.311154078607203</v>
      </c>
      <c r="AM1623">
        <v>96.310947284774997</v>
      </c>
      <c r="AN1623">
        <v>0.99999997142437402</v>
      </c>
    </row>
    <row r="1624" spans="1:40" x14ac:dyDescent="0.25">
      <c r="A1624" t="str">
        <f>"20190305135614447"</f>
        <v>20190305135614447</v>
      </c>
      <c r="B1624" t="str">
        <f>"1551765374444051"</f>
        <v>1551765374444051</v>
      </c>
      <c r="C1624" t="s">
        <v>40</v>
      </c>
      <c r="D1624">
        <v>4.1059190000000001</v>
      </c>
      <c r="E1624">
        <v>0.49195139999999998</v>
      </c>
      <c r="F1624" t="s">
        <v>61</v>
      </c>
      <c r="G1624">
        <v>-434.66289999999998</v>
      </c>
      <c r="H1624" s="1">
        <v>4.5011979999999997E-6</v>
      </c>
      <c r="I1624">
        <v>282.14109999999999</v>
      </c>
      <c r="J1624">
        <v>-413.13929999999999</v>
      </c>
      <c r="K1624">
        <v>1.1070169999999999</v>
      </c>
      <c r="L1624">
        <v>284.71690000000001</v>
      </c>
      <c r="M1624">
        <v>-0.99960800000000005</v>
      </c>
      <c r="N1624">
        <v>-1.5414779999999999E-2</v>
      </c>
      <c r="O1624">
        <v>2.3374349999999999E-2</v>
      </c>
      <c r="P1624">
        <v>-0.98602299999999998</v>
      </c>
      <c r="Q1624">
        <v>-0.14236470000000001</v>
      </c>
      <c r="R1624">
        <v>-8.6550710000000003E-2</v>
      </c>
      <c r="S1624">
        <v>-2.9905089999999999</v>
      </c>
      <c r="T1624">
        <v>-0.1498843</v>
      </c>
      <c r="U1624">
        <v>-0.34698489999999999</v>
      </c>
      <c r="V1624">
        <v>-0.1099257</v>
      </c>
      <c r="W1624">
        <v>-0.12688289999999999</v>
      </c>
      <c r="X1624">
        <v>0.98580780000000001</v>
      </c>
      <c r="Y1624">
        <v>-0.13820679999999999</v>
      </c>
      <c r="Z1624">
        <v>-5.3277649999999999E-3</v>
      </c>
      <c r="AA1624">
        <v>0.99038899999999996</v>
      </c>
      <c r="AB1624">
        <v>57</v>
      </c>
      <c r="AC1624">
        <v>-21.523599999999899</v>
      </c>
      <c r="AD1624">
        <v>-1.10701249880199</v>
      </c>
      <c r="AE1624">
        <v>-2.5758000000000099</v>
      </c>
      <c r="AF1624">
        <v>-3.07024892899845</v>
      </c>
      <c r="AG1624">
        <v>-1.10701249880199</v>
      </c>
      <c r="AH1624">
        <v>21.4016886130179</v>
      </c>
      <c r="AI1624">
        <v>92.931058256851998</v>
      </c>
      <c r="AJ1624">
        <v>98.163851944632199</v>
      </c>
      <c r="AK1624">
        <v>21.6491150084039</v>
      </c>
      <c r="AL1624">
        <v>97.289504098665006</v>
      </c>
      <c r="AM1624">
        <v>96.362667504734006</v>
      </c>
      <c r="AN1624">
        <v>0.99999997418686903</v>
      </c>
    </row>
    <row r="1625" spans="1:40" x14ac:dyDescent="0.25">
      <c r="A1625" t="str">
        <f>"20190305135614470"</f>
        <v>20190305135614470</v>
      </c>
      <c r="B1625" t="str">
        <f>"1551765374463570"</f>
        <v>1551765374463570</v>
      </c>
      <c r="C1625" t="s">
        <v>40</v>
      </c>
      <c r="D1625">
        <v>4.1013869999999999</v>
      </c>
      <c r="E1625">
        <v>0.49191220000000002</v>
      </c>
      <c r="F1625" t="s">
        <v>61</v>
      </c>
      <c r="G1625">
        <v>-436.14089999999999</v>
      </c>
      <c r="H1625" s="1">
        <v>5.1658039999999998E-6</v>
      </c>
      <c r="I1625">
        <v>282.03609999999998</v>
      </c>
      <c r="J1625">
        <v>-413.71420000000001</v>
      </c>
      <c r="K1625">
        <v>1.1070310000000001</v>
      </c>
      <c r="L1625">
        <v>284.73070000000001</v>
      </c>
      <c r="M1625">
        <v>-0.99958970000000003</v>
      </c>
      <c r="N1625">
        <v>-1.5429679999999999E-2</v>
      </c>
      <c r="O1625">
        <v>2.4134510000000001E-2</v>
      </c>
      <c r="P1625">
        <v>-0.9861588</v>
      </c>
      <c r="Q1625">
        <v>-0.14174919999999999</v>
      </c>
      <c r="R1625">
        <v>-8.6011420000000005E-2</v>
      </c>
      <c r="S1625">
        <v>-2.9911189999999999</v>
      </c>
      <c r="T1625">
        <v>-0.1439551</v>
      </c>
      <c r="U1625">
        <v>-0.34860229999999998</v>
      </c>
      <c r="V1625">
        <v>-0.11013870000000001</v>
      </c>
      <c r="W1625">
        <v>-0.12624949999999999</v>
      </c>
      <c r="X1625">
        <v>0.9858654</v>
      </c>
      <c r="Y1625">
        <v>-0.13947979999999999</v>
      </c>
      <c r="Z1625">
        <v>-5.2101109999999999E-3</v>
      </c>
      <c r="AA1625">
        <v>0.99021119999999996</v>
      </c>
      <c r="AB1625">
        <v>57</v>
      </c>
      <c r="AC1625">
        <v>-22.426699999999901</v>
      </c>
      <c r="AD1625">
        <v>-1.107025834196</v>
      </c>
      <c r="AE1625">
        <v>-2.6946000000000301</v>
      </c>
      <c r="AF1625">
        <v>-3.2273848103705101</v>
      </c>
      <c r="AG1625">
        <v>-1.107025834196</v>
      </c>
      <c r="AH1625">
        <v>22.301558678186801</v>
      </c>
      <c r="AI1625">
        <v>92.812519104631207</v>
      </c>
      <c r="AJ1625">
        <v>98.234430646599407</v>
      </c>
      <c r="AK1625">
        <v>22.561051358223501</v>
      </c>
      <c r="AL1625">
        <v>97.252918342926307</v>
      </c>
      <c r="AM1625">
        <v>96.374525477479196</v>
      </c>
      <c r="AN1625">
        <v>1.0000000282025401</v>
      </c>
    </row>
    <row r="1626" spans="1:40" x14ac:dyDescent="0.25">
      <c r="A1626" t="str">
        <f>"20190305135614491"</f>
        <v>20190305135614491</v>
      </c>
      <c r="B1626" t="str">
        <f>"1551765374484069"</f>
        <v>1551765374484069</v>
      </c>
      <c r="C1626" t="s">
        <v>40</v>
      </c>
      <c r="D1626">
        <v>4.122725</v>
      </c>
      <c r="E1626">
        <v>0.49185390000000001</v>
      </c>
      <c r="F1626" t="s">
        <v>61</v>
      </c>
      <c r="G1626">
        <v>-437.55880000000002</v>
      </c>
      <c r="H1626" s="1">
        <v>5.8012999999999998E-6</v>
      </c>
      <c r="I1626">
        <v>281.95909999999998</v>
      </c>
      <c r="J1626">
        <v>-414.26479999999998</v>
      </c>
      <c r="K1626">
        <v>1.1070489999999999</v>
      </c>
      <c r="L1626">
        <v>284.74430000000001</v>
      </c>
      <c r="M1626">
        <v>-0.9995716</v>
      </c>
      <c r="N1626">
        <v>-1.544154E-2</v>
      </c>
      <c r="O1626">
        <v>2.4864270000000001E-2</v>
      </c>
      <c r="P1626">
        <v>-0.98638939999999997</v>
      </c>
      <c r="Q1626">
        <v>-0.14025370000000001</v>
      </c>
      <c r="R1626">
        <v>-8.5819489999999998E-2</v>
      </c>
      <c r="S1626">
        <v>-2.9918209999999998</v>
      </c>
      <c r="T1626">
        <v>-0.1389002</v>
      </c>
      <c r="U1626">
        <v>-0.3477478</v>
      </c>
      <c r="V1626">
        <v>-0.11066769999999999</v>
      </c>
      <c r="W1626">
        <v>-0.1247374</v>
      </c>
      <c r="X1626">
        <v>0.98599859999999995</v>
      </c>
      <c r="Y1626">
        <v>-0.13991010000000001</v>
      </c>
      <c r="Z1626">
        <v>-5.0875970000000001E-3</v>
      </c>
      <c r="AA1626">
        <v>0.99015109999999995</v>
      </c>
      <c r="AB1626">
        <v>57</v>
      </c>
      <c r="AC1626">
        <v>-23.294</v>
      </c>
      <c r="AD1626">
        <v>-1.1070431987</v>
      </c>
      <c r="AE1626">
        <v>-2.7852000000000299</v>
      </c>
      <c r="AF1626">
        <v>-3.3561227374611402</v>
      </c>
      <c r="AG1626">
        <v>-1.1070431987</v>
      </c>
      <c r="AH1626">
        <v>23.165951064358001</v>
      </c>
      <c r="AI1626">
        <v>92.707716678220507</v>
      </c>
      <c r="AJ1626">
        <v>98.243265000007796</v>
      </c>
      <c r="AK1626">
        <v>23.433958120405499</v>
      </c>
      <c r="AL1626">
        <v>97.165591228128406</v>
      </c>
      <c r="AM1626">
        <v>96.404030659728605</v>
      </c>
      <c r="AN1626">
        <v>0.99999999899200398</v>
      </c>
    </row>
    <row r="1627" spans="1:40" x14ac:dyDescent="0.25">
      <c r="A1627" t="str">
        <f>"20190305135614514"</f>
        <v>20190305135614514</v>
      </c>
      <c r="B1627" t="str">
        <f>"1551765374503586"</f>
        <v>1551765374503586</v>
      </c>
      <c r="C1627" t="s">
        <v>40</v>
      </c>
      <c r="D1627">
        <v>4.1791689999999999</v>
      </c>
      <c r="E1627">
        <v>0.4918476</v>
      </c>
      <c r="F1627" t="s">
        <v>61</v>
      </c>
      <c r="G1627">
        <v>-439.48309999999998</v>
      </c>
      <c r="H1627" s="1">
        <v>6.6677490000000004E-6</v>
      </c>
      <c r="I1627">
        <v>281.80930000000001</v>
      </c>
      <c r="J1627">
        <v>-414.81959999999998</v>
      </c>
      <c r="K1627">
        <v>1.1070629999999999</v>
      </c>
      <c r="L1627">
        <v>284.75850000000003</v>
      </c>
      <c r="M1627">
        <v>-0.99955289999999997</v>
      </c>
      <c r="N1627">
        <v>-1.5451289999999999E-2</v>
      </c>
      <c r="O1627">
        <v>2.5600390000000001E-2</v>
      </c>
      <c r="P1627">
        <v>-0.98667570000000004</v>
      </c>
      <c r="Q1627">
        <v>-0.13792570000000001</v>
      </c>
      <c r="R1627">
        <v>-8.6299329999999994E-2</v>
      </c>
      <c r="S1627">
        <v>-2.9923709999999999</v>
      </c>
      <c r="T1627">
        <v>-0.13136010000000001</v>
      </c>
      <c r="U1627">
        <v>-0.34826659999999998</v>
      </c>
      <c r="V1627">
        <v>-0.1118736</v>
      </c>
      <c r="W1627">
        <v>-0.12239269999999999</v>
      </c>
      <c r="X1627">
        <v>0.98615629999999999</v>
      </c>
      <c r="Y1627">
        <v>-0.1408066</v>
      </c>
      <c r="Z1627">
        <v>-4.8967809999999898E-3</v>
      </c>
      <c r="AA1627">
        <v>0.99002500000000004</v>
      </c>
      <c r="AB1627">
        <v>57</v>
      </c>
      <c r="AC1627">
        <v>-24.663499999999999</v>
      </c>
      <c r="AD1627">
        <v>-1.1070563322510001</v>
      </c>
      <c r="AE1627">
        <v>-2.94920000000001</v>
      </c>
      <c r="AF1627">
        <v>-3.5726071669741999</v>
      </c>
      <c r="AG1627">
        <v>-1.1070563322510001</v>
      </c>
      <c r="AH1627">
        <v>24.5311766447339</v>
      </c>
      <c r="AI1627">
        <v>92.556984301662098</v>
      </c>
      <c r="AJ1627">
        <v>98.286038804594895</v>
      </c>
      <c r="AK1627">
        <v>24.814667502657201</v>
      </c>
      <c r="AL1627">
        <v>97.030212564613805</v>
      </c>
      <c r="AM1627">
        <v>96.472197202672007</v>
      </c>
      <c r="AN1627">
        <v>0.99999996170996897</v>
      </c>
    </row>
    <row r="1628" spans="1:40" x14ac:dyDescent="0.25">
      <c r="A1628" t="str">
        <f>"20190305135614536"</f>
        <v>20190305135614536</v>
      </c>
      <c r="B1628" t="str">
        <f>"1551765374533844"</f>
        <v>1551765374533844</v>
      </c>
      <c r="C1628" t="s">
        <v>40</v>
      </c>
      <c r="D1628">
        <v>4.1810589999999896</v>
      </c>
      <c r="E1628">
        <v>0.52061179999999996</v>
      </c>
      <c r="F1628" t="s">
        <v>55</v>
      </c>
      <c r="G1628">
        <v>-441.74619999999999</v>
      </c>
      <c r="H1628" s="1">
        <v>-4.7608369999999999E-7</v>
      </c>
      <c r="I1628">
        <v>281.60820000000001</v>
      </c>
      <c r="J1628">
        <v>-415.39150000000001</v>
      </c>
      <c r="K1628">
        <v>1.107078</v>
      </c>
      <c r="L1628">
        <v>284.77339999999998</v>
      </c>
      <c r="M1628">
        <v>-0.99953320000000001</v>
      </c>
      <c r="N1628">
        <v>-1.545941E-2</v>
      </c>
      <c r="O1628">
        <v>2.6357849999999999E-2</v>
      </c>
      <c r="P1628">
        <v>-0.98682559999999997</v>
      </c>
      <c r="Q1628">
        <v>-0.13645009999999999</v>
      </c>
      <c r="R1628">
        <v>-8.6931640000000004E-2</v>
      </c>
      <c r="S1628">
        <v>-2.9926759999999999</v>
      </c>
      <c r="T1628">
        <v>-0.1230414</v>
      </c>
      <c r="U1628">
        <v>-0.3501282</v>
      </c>
      <c r="V1628">
        <v>-0.1132523</v>
      </c>
      <c r="W1628">
        <v>-0.120904</v>
      </c>
      <c r="X1628">
        <v>0.98618260000000002</v>
      </c>
      <c r="Y1628">
        <v>-0.1421722</v>
      </c>
      <c r="Z1628">
        <v>-4.6888579999999997E-3</v>
      </c>
      <c r="AA1628">
        <v>0.98983089999999996</v>
      </c>
      <c r="AB1628">
        <v>57</v>
      </c>
      <c r="AC1628">
        <v>-26.354699999999902</v>
      </c>
      <c r="AD1628">
        <v>-1.10707847608369</v>
      </c>
      <c r="AE1628">
        <v>-3.1651999999999698</v>
      </c>
      <c r="AF1628">
        <v>-3.8521354503255099</v>
      </c>
      <c r="AG1628">
        <v>-1.10707847608369</v>
      </c>
      <c r="AH1628">
        <v>26.216500360648901</v>
      </c>
      <c r="AI1628">
        <v>92.392409358735605</v>
      </c>
      <c r="AJ1628">
        <v>98.358971501608096</v>
      </c>
      <c r="AK1628">
        <v>26.521113503014298</v>
      </c>
      <c r="AL1628">
        <v>96.9442779116049</v>
      </c>
      <c r="AM1628">
        <v>96.551096397924596</v>
      </c>
      <c r="AN1628">
        <v>0.99999999060702405</v>
      </c>
    </row>
    <row r="1629" spans="1:40" x14ac:dyDescent="0.25">
      <c r="A1629" t="str">
        <f>"20190305135614560"</f>
        <v>20190305135614560</v>
      </c>
      <c r="B1629" t="str">
        <f>"1551765374553362"</f>
        <v>1551765374553362</v>
      </c>
      <c r="C1629" t="s">
        <v>40</v>
      </c>
      <c r="D1629">
        <v>4.3361489999999998</v>
      </c>
      <c r="E1629">
        <v>0.52903529999999999</v>
      </c>
      <c r="F1629" t="s">
        <v>55</v>
      </c>
      <c r="G1629">
        <v>-445.1875</v>
      </c>
      <c r="H1629" s="1">
        <v>1.2702670000000001E-6</v>
      </c>
      <c r="I1629">
        <v>283.5521</v>
      </c>
      <c r="J1629">
        <v>-415.96409999999997</v>
      </c>
      <c r="K1629">
        <v>1.107092</v>
      </c>
      <c r="L1629">
        <v>284.78890000000001</v>
      </c>
      <c r="M1629">
        <v>-0.99951270000000003</v>
      </c>
      <c r="N1629">
        <v>-1.546587E-2</v>
      </c>
      <c r="O1629">
        <v>2.7114030000000001E-2</v>
      </c>
      <c r="P1629">
        <v>-0.98692420000000003</v>
      </c>
      <c r="Q1629">
        <v>-0.1349506</v>
      </c>
      <c r="R1629">
        <v>-8.8141140000000007E-2</v>
      </c>
      <c r="S1629">
        <v>-3.0136720000000001</v>
      </c>
      <c r="T1629">
        <v>-0.1119735</v>
      </c>
      <c r="U1629">
        <v>-0.123535199999999</v>
      </c>
      <c r="V1629">
        <v>-0.1152046</v>
      </c>
      <c r="W1629">
        <v>-0.1193931</v>
      </c>
      <c r="X1629">
        <v>0.98614049999999998</v>
      </c>
      <c r="Y1629">
        <v>-6.7963910000000002E-2</v>
      </c>
      <c r="Z1629">
        <v>-2.375327E-3</v>
      </c>
      <c r="AA1629">
        <v>0.99768500000000004</v>
      </c>
      <c r="AB1629">
        <v>56</v>
      </c>
      <c r="AC1629">
        <v>-29.223400000000002</v>
      </c>
      <c r="AD1629">
        <v>-1.1070907297329999</v>
      </c>
      <c r="AE1629">
        <v>-1.2368000000000099</v>
      </c>
      <c r="AF1629">
        <v>-2.0259017773727899</v>
      </c>
      <c r="AG1629">
        <v>-1.1070907297329999</v>
      </c>
      <c r="AH1629">
        <v>29.1373722495482</v>
      </c>
      <c r="AI1629">
        <v>92.170702848091807</v>
      </c>
      <c r="AJ1629">
        <v>93.977335776319805</v>
      </c>
      <c r="AK1629">
        <v>29.228691204092001</v>
      </c>
      <c r="AL1629">
        <v>96.857078313168998</v>
      </c>
      <c r="AM1629">
        <v>96.663302449094004</v>
      </c>
      <c r="AN1629">
        <v>0.99999994896450795</v>
      </c>
    </row>
    <row r="1630" spans="1:40" x14ac:dyDescent="0.25">
      <c r="A1630" t="str">
        <f>"20190305135614581"</f>
        <v>20190305135614581</v>
      </c>
      <c r="B1630" t="str">
        <f>"1551765374573858"</f>
        <v>1551765374573858</v>
      </c>
      <c r="C1630" t="s">
        <v>40</v>
      </c>
      <c r="D1630">
        <v>4.2604930000000003</v>
      </c>
      <c r="E1630">
        <v>0.5306014</v>
      </c>
      <c r="F1630" t="s">
        <v>61</v>
      </c>
      <c r="G1630">
        <v>-437.88119999999998</v>
      </c>
      <c r="H1630" s="1">
        <v>5.732501E-6</v>
      </c>
      <c r="I1630">
        <v>284.38139999999999</v>
      </c>
      <c r="J1630">
        <v>-416.52749999999997</v>
      </c>
      <c r="K1630">
        <v>1.1071</v>
      </c>
      <c r="L1630">
        <v>284.80450000000002</v>
      </c>
      <c r="M1630">
        <v>-0.9994923</v>
      </c>
      <c r="N1630">
        <v>-1.5470920000000001E-2</v>
      </c>
      <c r="O1630">
        <v>2.7851399999999998E-2</v>
      </c>
      <c r="P1630">
        <v>-0.98674079999999997</v>
      </c>
      <c r="Q1630">
        <v>-0.13508619999999999</v>
      </c>
      <c r="R1630">
        <v>-8.9968590000000001E-2</v>
      </c>
      <c r="S1630">
        <v>-3.013916</v>
      </c>
      <c r="T1630">
        <v>-0.1522405</v>
      </c>
      <c r="U1630">
        <v>-5.603027E-2</v>
      </c>
      <c r="V1630">
        <v>-0.1177515</v>
      </c>
      <c r="W1630">
        <v>-0.1195224</v>
      </c>
      <c r="X1630">
        <v>0.98582400000000003</v>
      </c>
      <c r="Y1630">
        <v>-4.6335759999999997E-2</v>
      </c>
      <c r="Z1630">
        <v>-2.5032840000000002E-3</v>
      </c>
      <c r="AA1630">
        <v>0.9989228</v>
      </c>
      <c r="AB1630">
        <v>56</v>
      </c>
      <c r="AC1630">
        <v>-21.3537</v>
      </c>
      <c r="AD1630">
        <v>-1.1070942674990001</v>
      </c>
      <c r="AE1630">
        <v>-0.42310000000003301</v>
      </c>
      <c r="AF1630">
        <v>-1.01501024696825</v>
      </c>
      <c r="AG1630">
        <v>-1.1070942674990001</v>
      </c>
      <c r="AH1630">
        <v>21.276461182946399</v>
      </c>
      <c r="AI1630">
        <v>92.975250947989593</v>
      </c>
      <c r="AJ1630">
        <v>92.731269319530995</v>
      </c>
      <c r="AK1630">
        <v>21.329409368006498</v>
      </c>
      <c r="AL1630">
        <v>96.864539810492005</v>
      </c>
      <c r="AM1630">
        <v>96.8114094148753</v>
      </c>
      <c r="AN1630">
        <v>0.99999998941500401</v>
      </c>
    </row>
    <row r="1631" spans="1:40" x14ac:dyDescent="0.25">
      <c r="A1631" t="str">
        <f>"20190305135614605"</f>
        <v>20190305135614605</v>
      </c>
      <c r="B1631" t="str">
        <f>"1551765374593378"</f>
        <v>1551765374593378</v>
      </c>
      <c r="C1631" t="s">
        <v>40</v>
      </c>
      <c r="D1631">
        <v>4.2332479999999997</v>
      </c>
      <c r="E1631">
        <v>0.53036890000000003</v>
      </c>
      <c r="F1631" t="s">
        <v>61</v>
      </c>
      <c r="G1631">
        <v>-435.80369999999999</v>
      </c>
      <c r="H1631" s="1">
        <v>4.8009479999999997E-6</v>
      </c>
      <c r="I1631">
        <v>284.4991</v>
      </c>
      <c r="J1631">
        <v>-417.09820000000002</v>
      </c>
      <c r="K1631">
        <v>1.1071139999999999</v>
      </c>
      <c r="L1631">
        <v>284.82069999999999</v>
      </c>
      <c r="M1631">
        <v>-0.99947180000000002</v>
      </c>
      <c r="N1631">
        <v>-1.547464E-2</v>
      </c>
      <c r="O1631">
        <v>2.8581769999999999E-2</v>
      </c>
      <c r="P1631">
        <v>-0.98661710000000002</v>
      </c>
      <c r="Q1631">
        <v>-0.13512779999999999</v>
      </c>
      <c r="R1631">
        <v>-9.1255959999999997E-2</v>
      </c>
      <c r="S1631">
        <v>-3.0122680000000002</v>
      </c>
      <c r="T1631">
        <v>-0.1730042</v>
      </c>
      <c r="U1631">
        <v>-4.7729489999999999E-2</v>
      </c>
      <c r="V1631">
        <v>-0.11975139999999999</v>
      </c>
      <c r="W1631">
        <v>-0.1195611</v>
      </c>
      <c r="X1631">
        <v>0.98557839999999997</v>
      </c>
      <c r="Y1631">
        <v>-4.4300350000000002E-2</v>
      </c>
      <c r="Z1631">
        <v>-2.8121610000000001E-3</v>
      </c>
      <c r="AA1631">
        <v>0.99901430000000002</v>
      </c>
      <c r="AB1631">
        <v>56</v>
      </c>
      <c r="AC1631">
        <v>-18.705499999999901</v>
      </c>
      <c r="AD1631">
        <v>-1.1071091990519999</v>
      </c>
      <c r="AE1631">
        <v>-0.32159999999998901</v>
      </c>
      <c r="AF1631">
        <v>-0.85318101038181404</v>
      </c>
      <c r="AG1631">
        <v>-1.1071091990519999</v>
      </c>
      <c r="AH1631">
        <v>18.623444219395701</v>
      </c>
      <c r="AI1631">
        <v>93.398506344652603</v>
      </c>
      <c r="AJ1631">
        <v>92.623011895588306</v>
      </c>
      <c r="AK1631">
        <v>18.675820817518201</v>
      </c>
      <c r="AL1631">
        <v>96.866772971611397</v>
      </c>
      <c r="AM1631">
        <v>96.927689604742298</v>
      </c>
      <c r="AN1631">
        <v>1.00000001849086</v>
      </c>
    </row>
    <row r="1632" spans="1:40" x14ac:dyDescent="0.25">
      <c r="A1632" t="str">
        <f>"20190305135614630"</f>
        <v>20190305135614630</v>
      </c>
      <c r="B1632" t="str">
        <f>"1551765374623634"</f>
        <v>1551765374623634</v>
      </c>
      <c r="C1632" t="s">
        <v>40</v>
      </c>
      <c r="D1632">
        <v>4.2690250000000001</v>
      </c>
      <c r="E1632">
        <v>0.53083590000000003</v>
      </c>
      <c r="F1632" t="s">
        <v>61</v>
      </c>
      <c r="G1632">
        <v>-434.2654</v>
      </c>
      <c r="H1632" s="1">
        <v>4.1163510000000002E-6</v>
      </c>
      <c r="I1632">
        <v>284.52670000000001</v>
      </c>
      <c r="J1632">
        <v>-417.74</v>
      </c>
      <c r="K1632">
        <v>1.107138</v>
      </c>
      <c r="L1632">
        <v>284.83949999999999</v>
      </c>
      <c r="M1632">
        <v>-0.99944889999999997</v>
      </c>
      <c r="N1632">
        <v>-1.547754E-2</v>
      </c>
      <c r="O1632">
        <v>2.9366280000000002E-2</v>
      </c>
      <c r="P1632">
        <v>-0.9864501</v>
      </c>
      <c r="Q1632">
        <v>-0.1354089</v>
      </c>
      <c r="R1632">
        <v>-9.2631679999999994E-2</v>
      </c>
      <c r="S1632">
        <v>-3.0093380000000001</v>
      </c>
      <c r="T1632">
        <v>-0.19407189999999999</v>
      </c>
      <c r="U1632">
        <v>-5.1544189999999997E-2</v>
      </c>
      <c r="V1632">
        <v>-0.121888</v>
      </c>
      <c r="W1632">
        <v>-0.1198448</v>
      </c>
      <c r="X1632">
        <v>0.98528190000000004</v>
      </c>
      <c r="Y1632">
        <v>-4.6329099999999998E-2</v>
      </c>
      <c r="Z1632">
        <v>-3.2887250000000002E-3</v>
      </c>
      <c r="AA1632">
        <v>0.99892080000000005</v>
      </c>
      <c r="AB1632">
        <v>56</v>
      </c>
      <c r="AC1632">
        <v>-16.525399999999902</v>
      </c>
      <c r="AD1632">
        <v>-1.1071338836489999</v>
      </c>
      <c r="AE1632">
        <v>-0.31279999999998098</v>
      </c>
      <c r="AF1632">
        <v>-0.79444815119793599</v>
      </c>
      <c r="AG1632">
        <v>-1.1071338836489999</v>
      </c>
      <c r="AH1632">
        <v>16.435341532343202</v>
      </c>
      <c r="AI1632">
        <v>93.849312439456199</v>
      </c>
      <c r="AJ1632">
        <v>92.767397540651899</v>
      </c>
      <c r="AK1632">
        <v>16.4917356450445</v>
      </c>
      <c r="AL1632">
        <v>96.8831460387606</v>
      </c>
      <c r="AM1632">
        <v>97.052160281058605</v>
      </c>
      <c r="AN1632">
        <v>0.99999994154932303</v>
      </c>
    </row>
    <row r="1633" spans="1:40" x14ac:dyDescent="0.25">
      <c r="A1633" t="str">
        <f>"20190305135614648"</f>
        <v>20190305135614648</v>
      </c>
      <c r="B1633" t="str">
        <f>"1551765374643154"</f>
        <v>1551765374643154</v>
      </c>
      <c r="C1633" t="s">
        <v>40</v>
      </c>
      <c r="D1633">
        <v>4.2214039999999997</v>
      </c>
      <c r="E1633">
        <v>0.53124249999999995</v>
      </c>
      <c r="F1633" t="s">
        <v>61</v>
      </c>
      <c r="G1633">
        <v>-433.93079999999998</v>
      </c>
      <c r="H1633" s="1">
        <v>3.9646150000000003E-6</v>
      </c>
      <c r="I1633">
        <v>284.56479999999999</v>
      </c>
      <c r="J1633">
        <v>-418.20499999999998</v>
      </c>
      <c r="K1633">
        <v>1.1071690000000001</v>
      </c>
      <c r="L1633">
        <v>284.85329999999999</v>
      </c>
      <c r="M1633">
        <v>-0.99943349999999997</v>
      </c>
      <c r="N1633">
        <v>-1.547889E-2</v>
      </c>
      <c r="O1633">
        <v>2.9889880000000001E-2</v>
      </c>
      <c r="P1633">
        <v>-0.98622529999999997</v>
      </c>
      <c r="Q1633">
        <v>-0.136013299999999</v>
      </c>
      <c r="R1633">
        <v>-9.4129569999999996E-2</v>
      </c>
      <c r="S1633">
        <v>-3.0081790000000002</v>
      </c>
      <c r="T1633">
        <v>-0.20570079999999999</v>
      </c>
      <c r="U1633">
        <v>-5.1025389999999997E-2</v>
      </c>
      <c r="V1633">
        <v>-0.1238865</v>
      </c>
      <c r="W1633">
        <v>-0.1204566</v>
      </c>
      <c r="X1633">
        <v>0.98495809999999995</v>
      </c>
      <c r="Y1633">
        <v>-4.666592E-2</v>
      </c>
      <c r="Z1633">
        <v>-3.5342709999999999E-3</v>
      </c>
      <c r="AA1633">
        <v>0.99890429999999997</v>
      </c>
      <c r="AB1633">
        <v>56</v>
      </c>
      <c r="AC1633">
        <v>-15.7257999999999</v>
      </c>
      <c r="AD1633">
        <v>-1.107165035385</v>
      </c>
      <c r="AE1633">
        <v>-0.28849999999999898</v>
      </c>
      <c r="AF1633">
        <v>-0.75472981874047895</v>
      </c>
      <c r="AG1633">
        <v>-1.107165035385</v>
      </c>
      <c r="AH1633">
        <v>15.632686091567701</v>
      </c>
      <c r="AI1633">
        <v>94.0464385676961</v>
      </c>
      <c r="AJ1633">
        <v>92.764034428150694</v>
      </c>
      <c r="AK1633">
        <v>15.6900065631717</v>
      </c>
      <c r="AL1633">
        <v>96.918454582109206</v>
      </c>
      <c r="AM1633">
        <v>97.168927670260601</v>
      </c>
      <c r="AN1633">
        <v>1.0000000580607</v>
      </c>
    </row>
    <row r="1634" spans="1:40" x14ac:dyDescent="0.25">
      <c r="A1634" t="str">
        <f>"20190305135614671"</f>
        <v>20190305135614671</v>
      </c>
      <c r="B1634" t="str">
        <f>"1551765374663650"</f>
        <v>1551765374663650</v>
      </c>
      <c r="C1634" t="s">
        <v>40</v>
      </c>
      <c r="D1634">
        <v>4.3094289999999997</v>
      </c>
      <c r="E1634">
        <v>0.53127009999999997</v>
      </c>
      <c r="F1634" t="s">
        <v>61</v>
      </c>
      <c r="G1634">
        <v>-434.22390000000001</v>
      </c>
      <c r="H1634" s="1">
        <v>4.0938109999999998E-6</v>
      </c>
      <c r="I1634">
        <v>284.57429999999999</v>
      </c>
      <c r="J1634">
        <v>-418.78199999999998</v>
      </c>
      <c r="K1634">
        <v>1.1072169999999999</v>
      </c>
      <c r="L1634">
        <v>284.87079999999997</v>
      </c>
      <c r="M1634">
        <v>-0.99941519999999995</v>
      </c>
      <c r="N1634">
        <v>-1.5479390000000001E-2</v>
      </c>
      <c r="O1634">
        <v>3.0487569999999999E-2</v>
      </c>
      <c r="P1634">
        <v>-0.98601680000000003</v>
      </c>
      <c r="Q1634">
        <v>-0.1367681</v>
      </c>
      <c r="R1634">
        <v>-9.5213469999999994E-2</v>
      </c>
      <c r="S1634">
        <v>-3.0082089999999999</v>
      </c>
      <c r="T1634">
        <v>-0.20791580000000001</v>
      </c>
      <c r="U1634">
        <v>-5.2398680000000003E-2</v>
      </c>
      <c r="V1634">
        <v>-0.12553900000000001</v>
      </c>
      <c r="W1634">
        <v>-0.1212261</v>
      </c>
      <c r="X1634">
        <v>0.98465440000000004</v>
      </c>
      <c r="Y1634">
        <v>-4.7711290000000003E-2</v>
      </c>
      <c r="Z1634">
        <v>-3.6494790000000002E-3</v>
      </c>
      <c r="AA1634">
        <v>0.99885449999999998</v>
      </c>
      <c r="AB1634">
        <v>56</v>
      </c>
      <c r="AC1634">
        <v>-15.4419</v>
      </c>
      <c r="AD1634">
        <v>-1.1072129061889999</v>
      </c>
      <c r="AE1634">
        <v>-0.29649999999998</v>
      </c>
      <c r="AF1634">
        <v>-0.76328188904046901</v>
      </c>
      <c r="AG1634">
        <v>-1.1072129061889999</v>
      </c>
      <c r="AH1634">
        <v>15.3468081393664</v>
      </c>
      <c r="AI1634">
        <v>94.121442692117398</v>
      </c>
      <c r="AJ1634">
        <v>92.847290740403395</v>
      </c>
      <c r="AK1634">
        <v>15.4056171485693</v>
      </c>
      <c r="AL1634">
        <v>96.962869233356599</v>
      </c>
      <c r="AM1634">
        <v>97.2657544507137</v>
      </c>
      <c r="AN1634">
        <v>1.00000004764078</v>
      </c>
    </row>
    <row r="1635" spans="1:40" x14ac:dyDescent="0.25">
      <c r="A1635" t="str">
        <f>"20190305135614693"</f>
        <v>20190305135614693</v>
      </c>
      <c r="B1635" t="str">
        <f>"1551765374683170"</f>
        <v>1551765374683170</v>
      </c>
      <c r="C1635" t="s">
        <v>40</v>
      </c>
      <c r="D1635">
        <v>4.2567380000000004</v>
      </c>
      <c r="E1635">
        <v>0.53126700000000004</v>
      </c>
      <c r="F1635" t="s">
        <v>61</v>
      </c>
      <c r="G1635">
        <v>-434.36250000000001</v>
      </c>
      <c r="H1635" s="1">
        <v>4.1543880000000001E-6</v>
      </c>
      <c r="I1635">
        <v>284.58449999999999</v>
      </c>
      <c r="J1635">
        <v>-419.3331</v>
      </c>
      <c r="K1635">
        <v>1.1072900000000001</v>
      </c>
      <c r="L1635">
        <v>284.88780000000003</v>
      </c>
      <c r="M1635">
        <v>-0.99940070000000003</v>
      </c>
      <c r="N1635">
        <v>-1.547917E-2</v>
      </c>
      <c r="O1635">
        <v>3.0963069999999999E-2</v>
      </c>
      <c r="P1635">
        <v>-0.9858808</v>
      </c>
      <c r="Q1635">
        <v>-0.13764660000000001</v>
      </c>
      <c r="R1635">
        <v>-9.5356209999999997E-2</v>
      </c>
      <c r="S1635">
        <v>-3.0075069999999999</v>
      </c>
      <c r="T1635">
        <v>-0.2137241</v>
      </c>
      <c r="U1635">
        <v>-5.5267330000000003E-2</v>
      </c>
      <c r="V1635">
        <v>-0.12612590000000001</v>
      </c>
      <c r="W1635">
        <v>-0.1221279</v>
      </c>
      <c r="X1635">
        <v>0.98446789999999995</v>
      </c>
      <c r="Y1635">
        <v>-4.9127440000000001E-2</v>
      </c>
      <c r="Z1635">
        <v>-3.8425640000000001E-3</v>
      </c>
      <c r="AA1635">
        <v>0.99878509999999998</v>
      </c>
      <c r="AB1635">
        <v>56</v>
      </c>
      <c r="AC1635">
        <v>-15.029400000000001</v>
      </c>
      <c r="AD1635">
        <v>-1.1072858456119901</v>
      </c>
      <c r="AE1635">
        <v>-0.30330000000003499</v>
      </c>
      <c r="AF1635">
        <v>-0.76441910598130203</v>
      </c>
      <c r="AG1635">
        <v>-1.1072858456119901</v>
      </c>
      <c r="AH1635">
        <v>14.9317838389249</v>
      </c>
      <c r="AI1635">
        <v>94.235553787575896</v>
      </c>
      <c r="AJ1635">
        <v>92.930646910350802</v>
      </c>
      <c r="AK1635">
        <v>14.992284253103699</v>
      </c>
      <c r="AL1635">
        <v>97.014925647683597</v>
      </c>
      <c r="AM1635">
        <v>97.300724536205294</v>
      </c>
      <c r="AN1635">
        <v>1.00000000636981</v>
      </c>
    </row>
    <row r="1636" spans="1:40" x14ac:dyDescent="0.25">
      <c r="A1636" t="str">
        <f>"20190305135614715"</f>
        <v>20190305135614715</v>
      </c>
      <c r="B1636" t="str">
        <f>"1551765374703666"</f>
        <v>1551765374703666</v>
      </c>
      <c r="C1636" t="s">
        <v>40</v>
      </c>
      <c r="D1636">
        <v>4.2695470000000002</v>
      </c>
      <c r="E1636">
        <v>0.53178319999999901</v>
      </c>
      <c r="F1636" t="s">
        <v>61</v>
      </c>
      <c r="G1636">
        <v>-434.32100000000003</v>
      </c>
      <c r="H1636" s="1">
        <v>4.1333449999999996E-6</v>
      </c>
      <c r="I1636">
        <v>284.61450000000002</v>
      </c>
      <c r="J1636">
        <v>-419.87959999999998</v>
      </c>
      <c r="K1636">
        <v>1.10737</v>
      </c>
      <c r="L1636">
        <v>284.9049</v>
      </c>
      <c r="M1636">
        <v>-0.99938899999999997</v>
      </c>
      <c r="N1636">
        <v>-1.547859E-2</v>
      </c>
      <c r="O1636">
        <v>3.1340510000000002E-2</v>
      </c>
      <c r="P1636">
        <v>-0.98582440000000005</v>
      </c>
      <c r="Q1636">
        <v>-0.13788590000000001</v>
      </c>
      <c r="R1636">
        <v>-9.559397E-2</v>
      </c>
      <c r="S1636">
        <v>-3.006653</v>
      </c>
      <c r="T1636">
        <v>-0.22212709999999999</v>
      </c>
      <c r="U1636">
        <v>-5.4840090000000001E-2</v>
      </c>
      <c r="V1636">
        <v>-0.12670799999999999</v>
      </c>
      <c r="W1636">
        <v>-0.1223945</v>
      </c>
      <c r="X1636">
        <v>0.98436000000000001</v>
      </c>
      <c r="Y1636">
        <v>-4.9350570000000003E-2</v>
      </c>
      <c r="Z1636">
        <v>-4.0302940000000002E-3</v>
      </c>
      <c r="AA1636">
        <v>0.99877340000000003</v>
      </c>
      <c r="AB1636">
        <v>56</v>
      </c>
      <c r="AC1636">
        <v>-14.4413999999999</v>
      </c>
      <c r="AD1636">
        <v>-1.1073658666549999</v>
      </c>
      <c r="AE1636">
        <v>-0.29039999999997601</v>
      </c>
      <c r="AF1636">
        <v>-0.73857143016573901</v>
      </c>
      <c r="AG1636">
        <v>-1.1073658666549999</v>
      </c>
      <c r="AH1636">
        <v>14.3409139743887</v>
      </c>
      <c r="AI1636">
        <v>94.409639425123302</v>
      </c>
      <c r="AJ1636">
        <v>92.948185317066603</v>
      </c>
      <c r="AK1636">
        <v>14.402553958965299</v>
      </c>
      <c r="AL1636">
        <v>97.030316417959298</v>
      </c>
      <c r="AM1636">
        <v>97.334848199347704</v>
      </c>
      <c r="AN1636">
        <v>0.99999997024712395</v>
      </c>
    </row>
    <row r="1637" spans="1:40" x14ac:dyDescent="0.25">
      <c r="A1637" t="str">
        <f>"20190305135614737"</f>
        <v>20190305135614737</v>
      </c>
      <c r="B1637" t="str">
        <f>"1551765374733923"</f>
        <v>1551765374733923</v>
      </c>
      <c r="C1637" t="s">
        <v>40</v>
      </c>
      <c r="D1637">
        <v>4.2925259999999996</v>
      </c>
      <c r="E1637">
        <v>0.53228069999999905</v>
      </c>
      <c r="F1637" t="s">
        <v>61</v>
      </c>
      <c r="G1637">
        <v>-434.72309999999999</v>
      </c>
      <c r="H1637" s="1">
        <v>4.3084110000000002E-6</v>
      </c>
      <c r="I1637">
        <v>284.65159999999997</v>
      </c>
      <c r="J1637">
        <v>-420.4479</v>
      </c>
      <c r="K1637">
        <v>1.1074679999999999</v>
      </c>
      <c r="L1637">
        <v>284.9228</v>
      </c>
      <c r="M1637">
        <v>-0.99937989999999999</v>
      </c>
      <c r="N1637">
        <v>-1.5477680000000001E-2</v>
      </c>
      <c r="O1637">
        <v>3.162914E-2</v>
      </c>
      <c r="P1637">
        <v>-0.98558959999999995</v>
      </c>
      <c r="Q1637">
        <v>-0.1396734</v>
      </c>
      <c r="R1637">
        <v>-9.5419299999999999E-2</v>
      </c>
      <c r="S1637">
        <v>-3.0067140000000001</v>
      </c>
      <c r="T1637">
        <v>-0.2243088</v>
      </c>
      <c r="U1637">
        <v>-5.130005E-2</v>
      </c>
      <c r="V1637">
        <v>-0.12678229999999999</v>
      </c>
      <c r="W1637">
        <v>-0.1242183</v>
      </c>
      <c r="X1637">
        <v>0.98412200000000005</v>
      </c>
      <c r="Y1637">
        <v>-4.8461299999999999E-2</v>
      </c>
      <c r="Z1637">
        <v>-4.0477509999999996E-3</v>
      </c>
      <c r="AA1637">
        <v>0.99881679999999995</v>
      </c>
      <c r="AB1637">
        <v>56</v>
      </c>
      <c r="AC1637">
        <v>-14.2751999999999</v>
      </c>
      <c r="AD1637">
        <v>-1.1074636915889999</v>
      </c>
      <c r="AE1637">
        <v>-0.27120000000002098</v>
      </c>
      <c r="AF1637">
        <v>-0.71830899111649604</v>
      </c>
      <c r="AG1637">
        <v>-1.1074636915889999</v>
      </c>
      <c r="AH1637">
        <v>14.174199297655299</v>
      </c>
      <c r="AI1637">
        <v>94.4618757862075</v>
      </c>
      <c r="AJ1637">
        <v>92.901108897176897</v>
      </c>
      <c r="AK1637">
        <v>14.235531931212</v>
      </c>
      <c r="AL1637">
        <v>97.1356156704298</v>
      </c>
      <c r="AM1637">
        <v>97.340857915224305</v>
      </c>
      <c r="AN1637">
        <v>1.00000002426608</v>
      </c>
    </row>
    <row r="1638" spans="1:40" x14ac:dyDescent="0.25">
      <c r="A1638" t="str">
        <f>"20190305135614761"</f>
        <v>20190305135614761</v>
      </c>
      <c r="B1638" t="str">
        <f>"1551765374753442"</f>
        <v>1551765374753442</v>
      </c>
      <c r="C1638" t="s">
        <v>40</v>
      </c>
      <c r="D1638">
        <v>4.2906250000000004</v>
      </c>
      <c r="E1638">
        <v>0.53237609999999902</v>
      </c>
      <c r="F1638" t="s">
        <v>61</v>
      </c>
      <c r="G1638">
        <v>-434.82249999999999</v>
      </c>
      <c r="H1638" s="1">
        <v>4.3484219999999999E-6</v>
      </c>
      <c r="I1638">
        <v>284.69819999999999</v>
      </c>
      <c r="J1638">
        <v>-421.02960000000002</v>
      </c>
      <c r="K1638">
        <v>1.107575</v>
      </c>
      <c r="L1638">
        <v>284.94119999999998</v>
      </c>
      <c r="M1638">
        <v>-0.9993744</v>
      </c>
      <c r="N1638">
        <v>-1.547633E-2</v>
      </c>
      <c r="O1638">
        <v>3.1802320000000002E-2</v>
      </c>
      <c r="P1638">
        <v>-0.98522419999999999</v>
      </c>
      <c r="Q1638">
        <v>-0.1421943</v>
      </c>
      <c r="R1638">
        <v>-9.5468330000000004E-2</v>
      </c>
      <c r="S1638">
        <v>-3.0065</v>
      </c>
      <c r="T1638">
        <v>-0.2316291</v>
      </c>
      <c r="U1638">
        <v>-4.6966550000000003E-2</v>
      </c>
      <c r="V1638">
        <v>-0.1269576</v>
      </c>
      <c r="W1638">
        <v>-0.1267827</v>
      </c>
      <c r="X1638">
        <v>0.98377230000000004</v>
      </c>
      <c r="Y1638">
        <v>-4.7185980000000002E-2</v>
      </c>
      <c r="Z1638">
        <v>-4.1352709999999899E-3</v>
      </c>
      <c r="AA1638">
        <v>0.99887760000000003</v>
      </c>
      <c r="AB1638">
        <v>56</v>
      </c>
      <c r="AC1638">
        <v>-13.7928999999999</v>
      </c>
      <c r="AD1638">
        <v>-1.1075706515779999</v>
      </c>
      <c r="AE1638">
        <v>-0.242999999999995</v>
      </c>
      <c r="AF1638">
        <v>-0.677210430393269</v>
      </c>
      <c r="AG1638">
        <v>-1.1075706515779999</v>
      </c>
      <c r="AH1638">
        <v>13.6899459538506</v>
      </c>
      <c r="AI1638">
        <v>94.619756040646706</v>
      </c>
      <c r="AJ1638">
        <v>92.831983148706698</v>
      </c>
      <c r="AK1638">
        <v>13.7513616392931</v>
      </c>
      <c r="AL1638">
        <v>97.283716044990797</v>
      </c>
      <c r="AM1638">
        <v>97.353481487114195</v>
      </c>
      <c r="AN1638">
        <v>1.0000000117321699</v>
      </c>
    </row>
    <row r="1639" spans="1:40" x14ac:dyDescent="0.25">
      <c r="A1639" t="str">
        <f>"20190305135614782"</f>
        <v>20190305135614782</v>
      </c>
      <c r="B1639" t="str">
        <f>"1551765374773938"</f>
        <v>1551765374773938</v>
      </c>
      <c r="C1639" t="s">
        <v>40</v>
      </c>
      <c r="D1639">
        <v>4.3188879999999896</v>
      </c>
      <c r="E1639">
        <v>0.53261930000000002</v>
      </c>
      <c r="F1639" t="s">
        <v>61</v>
      </c>
      <c r="G1639">
        <v>-434.83690000000001</v>
      </c>
      <c r="H1639" s="1">
        <v>4.352244E-6</v>
      </c>
      <c r="I1639">
        <v>284.72750000000002</v>
      </c>
      <c r="J1639">
        <v>-421.5641</v>
      </c>
      <c r="K1639">
        <v>1.107688</v>
      </c>
      <c r="L1639">
        <v>284.9581</v>
      </c>
      <c r="M1639">
        <v>-0.99937339999999997</v>
      </c>
      <c r="N1639">
        <v>-1.547482E-2</v>
      </c>
      <c r="O1639">
        <v>3.183602E-2</v>
      </c>
      <c r="P1639">
        <v>-0.98489720000000003</v>
      </c>
      <c r="Q1639">
        <v>-0.14481729999999901</v>
      </c>
      <c r="R1639">
        <v>-9.4898369999999996E-2</v>
      </c>
      <c r="S1639">
        <v>-3.0056759999999998</v>
      </c>
      <c r="T1639">
        <v>-0.24110319999999999</v>
      </c>
      <c r="U1639">
        <v>-4.6508790000000001E-2</v>
      </c>
      <c r="V1639">
        <v>-0.12637609999999999</v>
      </c>
      <c r="W1639">
        <v>-0.1294508</v>
      </c>
      <c r="X1639">
        <v>0.98349960000000003</v>
      </c>
      <c r="Y1639">
        <v>-4.7053020000000001E-2</v>
      </c>
      <c r="Z1639">
        <v>-4.306163E-3</v>
      </c>
      <c r="AA1639">
        <v>0.99888310000000002</v>
      </c>
      <c r="AB1639">
        <v>56</v>
      </c>
      <c r="AC1639">
        <v>-13.2728</v>
      </c>
      <c r="AD1639">
        <v>-1.1076836477559999</v>
      </c>
      <c r="AE1639">
        <v>-0.23059999999998099</v>
      </c>
      <c r="AF1639">
        <v>-0.64857099009149499</v>
      </c>
      <c r="AG1639">
        <v>-1.1076836477559999</v>
      </c>
      <c r="AH1639">
        <v>13.1670504919939</v>
      </c>
      <c r="AI1639">
        <v>94.802913192716801</v>
      </c>
      <c r="AJ1639">
        <v>92.819945933579902</v>
      </c>
      <c r="AK1639">
        <v>13.2294680940471</v>
      </c>
      <c r="AL1639">
        <v>97.437857717676096</v>
      </c>
      <c r="AM1639">
        <v>97.322174381989697</v>
      </c>
      <c r="AN1639">
        <v>0.99999994573600304</v>
      </c>
    </row>
    <row r="1640" spans="1:40" x14ac:dyDescent="0.25">
      <c r="A1640" t="str">
        <f>"20190305135614806"</f>
        <v>20190305135614806</v>
      </c>
      <c r="B1640" t="str">
        <f>"1551765374793459"</f>
        <v>1551765374793459</v>
      </c>
      <c r="C1640" t="s">
        <v>40</v>
      </c>
      <c r="D1640">
        <v>4.29331</v>
      </c>
      <c r="E1640">
        <v>0.53278130000000001</v>
      </c>
      <c r="F1640" t="s">
        <v>61</v>
      </c>
      <c r="G1640">
        <v>-434.93849999999998</v>
      </c>
      <c r="H1640" s="1">
        <v>4.3938119999999997E-6</v>
      </c>
      <c r="I1640">
        <v>284.76749999999998</v>
      </c>
      <c r="J1640">
        <v>-422.14409999999998</v>
      </c>
      <c r="K1640">
        <v>1.107831</v>
      </c>
      <c r="L1640">
        <v>284.97649999999999</v>
      </c>
      <c r="M1640">
        <v>-0.9993765</v>
      </c>
      <c r="N1640">
        <v>-1.5472970000000001E-2</v>
      </c>
      <c r="O1640">
        <v>3.1734430000000001E-2</v>
      </c>
      <c r="P1640">
        <v>-0.98475000000000001</v>
      </c>
      <c r="Q1640">
        <v>-0.14629739999999999</v>
      </c>
      <c r="R1640">
        <v>-9.4151529999999997E-2</v>
      </c>
      <c r="S1640">
        <v>-3.00528</v>
      </c>
      <c r="T1640">
        <v>-0.2489005</v>
      </c>
      <c r="U1640">
        <v>-4.2846679999999998E-2</v>
      </c>
      <c r="V1640">
        <v>-0.1254797</v>
      </c>
      <c r="W1640">
        <v>-0.13098089999999901</v>
      </c>
      <c r="X1640">
        <v>0.98341179999999995</v>
      </c>
      <c r="Y1640">
        <v>-4.5725809999999999E-2</v>
      </c>
      <c r="Z1640">
        <v>-4.3778050000000002E-3</v>
      </c>
      <c r="AA1640">
        <v>0.99894450000000001</v>
      </c>
      <c r="AB1640">
        <v>56</v>
      </c>
      <c r="AC1640">
        <v>-12.7943999999999</v>
      </c>
      <c r="AD1640">
        <v>-1.107826606188</v>
      </c>
      <c r="AE1640">
        <v>-0.20900000000000299</v>
      </c>
      <c r="AF1640">
        <v>-0.61039128417196697</v>
      </c>
      <c r="AG1640">
        <v>-1.107826606188</v>
      </c>
      <c r="AH1640">
        <v>12.686234210703599</v>
      </c>
      <c r="AI1640">
        <v>94.984961612215201</v>
      </c>
      <c r="AJ1640">
        <v>92.754631034474201</v>
      </c>
      <c r="AK1640">
        <v>12.7491331375117</v>
      </c>
      <c r="AL1640">
        <v>97.5262787439909</v>
      </c>
      <c r="AM1640">
        <v>97.271437299985095</v>
      </c>
      <c r="AN1640">
        <v>0.999999959828069</v>
      </c>
    </row>
    <row r="1641" spans="1:40" x14ac:dyDescent="0.25">
      <c r="A1641" t="str">
        <f>"20190305135614828"</f>
        <v>20190305135614828</v>
      </c>
      <c r="B1641" t="str">
        <f>"1551765374823715"</f>
        <v>1551765374823715</v>
      </c>
      <c r="C1641" t="s">
        <v>40</v>
      </c>
      <c r="D1641">
        <v>4.3087030000000004</v>
      </c>
      <c r="E1641">
        <v>0.53274279999999996</v>
      </c>
      <c r="F1641" t="s">
        <v>61</v>
      </c>
      <c r="G1641">
        <v>-435.24689999999998</v>
      </c>
      <c r="H1641" s="1">
        <v>4.5272179999999997E-6</v>
      </c>
      <c r="I1641">
        <v>284.80540000000002</v>
      </c>
      <c r="J1641">
        <v>-422.7047</v>
      </c>
      <c r="K1641">
        <v>1.1079840000000001</v>
      </c>
      <c r="L1641">
        <v>284.9941</v>
      </c>
      <c r="M1641">
        <v>-0.99938389999999999</v>
      </c>
      <c r="N1641">
        <v>-1.54711E-2</v>
      </c>
      <c r="O1641">
        <v>3.1510620000000003E-2</v>
      </c>
      <c r="P1641">
        <v>-0.98457360000000005</v>
      </c>
      <c r="Q1641">
        <v>-0.147725</v>
      </c>
      <c r="R1641">
        <v>-9.3768219999999999E-2</v>
      </c>
      <c r="S1641">
        <v>-3.0050050000000001</v>
      </c>
      <c r="T1641">
        <v>-0.2540712</v>
      </c>
      <c r="U1641">
        <v>-3.924561E-2</v>
      </c>
      <c r="V1641">
        <v>-0.1248238</v>
      </c>
      <c r="W1641">
        <v>-0.13245850000000001</v>
      </c>
      <c r="X1641">
        <v>0.98329739999999999</v>
      </c>
      <c r="Y1641">
        <v>-4.4302080000000001E-2</v>
      </c>
      <c r="Z1641">
        <v>-4.3852120000000003E-3</v>
      </c>
      <c r="AA1641">
        <v>0.99900849999999997</v>
      </c>
      <c r="AB1641">
        <v>56</v>
      </c>
      <c r="AC1641">
        <v>-12.5421999999999</v>
      </c>
      <c r="AD1641">
        <v>-1.107979472782</v>
      </c>
      <c r="AE1641">
        <v>-0.18869999999998299</v>
      </c>
      <c r="AF1641">
        <v>-0.57934580918026901</v>
      </c>
      <c r="AG1641">
        <v>-1.107979472782</v>
      </c>
      <c r="AH1641">
        <v>12.4330184718245</v>
      </c>
      <c r="AI1641">
        <v>95.087020937553206</v>
      </c>
      <c r="AJ1641">
        <v>92.667902099349206</v>
      </c>
      <c r="AK1641">
        <v>12.4957276058439</v>
      </c>
      <c r="AL1641">
        <v>97.611682773754694</v>
      </c>
      <c r="AM1641">
        <v>97.234664831916504</v>
      </c>
      <c r="AN1641">
        <v>1.0000000060577201</v>
      </c>
    </row>
    <row r="1642" spans="1:40" x14ac:dyDescent="0.25">
      <c r="A1642" t="str">
        <f>"20190305135614852"</f>
        <v>20190305135614852</v>
      </c>
      <c r="B1642" t="str">
        <f>"1551765374843234"</f>
        <v>1551765374843234</v>
      </c>
      <c r="C1642" t="s">
        <v>40</v>
      </c>
      <c r="D1642">
        <v>4.1622510000000004</v>
      </c>
      <c r="E1642">
        <v>0.53312850000000001</v>
      </c>
      <c r="F1642" t="s">
        <v>61</v>
      </c>
      <c r="G1642">
        <v>-435.52870000000001</v>
      </c>
      <c r="H1642" s="1">
        <v>4.6499820000000003E-6</v>
      </c>
      <c r="I1642">
        <v>284.83109999999999</v>
      </c>
      <c r="J1642">
        <v>-423.29790000000003</v>
      </c>
      <c r="K1642">
        <v>1.1081460000000001</v>
      </c>
      <c r="L1642">
        <v>285.01260000000002</v>
      </c>
      <c r="M1642">
        <v>-0.99939460000000002</v>
      </c>
      <c r="N1642">
        <v>-1.546898E-2</v>
      </c>
      <c r="O1642">
        <v>3.116317E-2</v>
      </c>
      <c r="P1642">
        <v>-0.98452620000000002</v>
      </c>
      <c r="Q1642">
        <v>-0.14823839999999999</v>
      </c>
      <c r="R1642">
        <v>-9.3454060000000005E-2</v>
      </c>
      <c r="S1642">
        <v>-3.0044249999999999</v>
      </c>
      <c r="T1642">
        <v>-0.25957789999999997</v>
      </c>
      <c r="U1642">
        <v>-3.8208010000000001E-2</v>
      </c>
      <c r="V1642">
        <v>-0.12411759999999999</v>
      </c>
      <c r="W1642">
        <v>-0.1330211</v>
      </c>
      <c r="X1642">
        <v>0.98331089999999999</v>
      </c>
      <c r="Y1642">
        <v>-4.3604579999999997E-2</v>
      </c>
      <c r="Z1642">
        <v>-4.4239129999999998E-3</v>
      </c>
      <c r="AA1642">
        <v>0.99903909999999996</v>
      </c>
      <c r="AB1642">
        <v>56</v>
      </c>
      <c r="AC1642">
        <v>-12.230799999999901</v>
      </c>
      <c r="AD1642">
        <v>-1.108141350018</v>
      </c>
      <c r="AE1642">
        <v>-0.181500000000028</v>
      </c>
      <c r="AF1642">
        <v>-0.55802819388375302</v>
      </c>
      <c r="AG1642">
        <v>-1.108141350018</v>
      </c>
      <c r="AH1642">
        <v>12.1197346301708</v>
      </c>
      <c r="AI1642">
        <v>95.218690048306897</v>
      </c>
      <c r="AJ1642">
        <v>92.636204217756102</v>
      </c>
      <c r="AK1642">
        <v>12.1830759754074</v>
      </c>
      <c r="AL1642">
        <v>97.644204766793194</v>
      </c>
      <c r="AM1642">
        <v>97.194066486384799</v>
      </c>
      <c r="AN1642">
        <v>1.00000005886688</v>
      </c>
    </row>
    <row r="1643" spans="1:40" x14ac:dyDescent="0.25">
      <c r="A1643" t="str">
        <f>"20190305135614872"</f>
        <v>20190305135614872</v>
      </c>
      <c r="B1643" t="str">
        <f>"1551765374863730"</f>
        <v>1551765374863730</v>
      </c>
      <c r="C1643" t="s">
        <v>40</v>
      </c>
      <c r="D1643">
        <v>4.2249629999999998</v>
      </c>
      <c r="E1643">
        <v>0.5333677</v>
      </c>
      <c r="F1643" t="s">
        <v>41</v>
      </c>
      <c r="G1643">
        <v>-424.46050000000002</v>
      </c>
      <c r="H1643">
        <v>1.0084979999999999</v>
      </c>
      <c r="I1643">
        <v>284.99950000000001</v>
      </c>
      <c r="J1643">
        <v>-423.81400000000002</v>
      </c>
      <c r="K1643">
        <v>1.108279</v>
      </c>
      <c r="L1643">
        <v>285.02850000000001</v>
      </c>
      <c r="M1643">
        <v>-0.99940609999999996</v>
      </c>
      <c r="N1643">
        <v>-1.546693E-2</v>
      </c>
      <c r="O1643">
        <v>3.079527E-2</v>
      </c>
      <c r="P1643">
        <v>-0.9846435</v>
      </c>
      <c r="Q1643">
        <v>-0.1473777</v>
      </c>
      <c r="R1643">
        <v>-9.3580010000000005E-2</v>
      </c>
      <c r="S1643">
        <v>-3.0050659999999998</v>
      </c>
      <c r="T1643">
        <v>-0.25770710000000002</v>
      </c>
      <c r="U1643">
        <v>-3.4881589999999997E-2</v>
      </c>
      <c r="V1643">
        <v>-0.12384580000000001</v>
      </c>
      <c r="W1643">
        <v>-0.1321975</v>
      </c>
      <c r="X1643">
        <v>0.9834562</v>
      </c>
      <c r="Y1643">
        <v>-4.2139620000000003E-2</v>
      </c>
      <c r="Z1643">
        <v>-4.2903109999999998E-3</v>
      </c>
      <c r="AA1643">
        <v>0.9991025</v>
      </c>
      <c r="AB1643">
        <v>56</v>
      </c>
      <c r="AC1643">
        <v>-0.64650000000000296</v>
      </c>
      <c r="AD1643">
        <v>-9.9781000000000106E-2</v>
      </c>
      <c r="AE1643">
        <v>-2.89999999999963E-2</v>
      </c>
      <c r="AF1643">
        <v>-4.7762307299531799E-2</v>
      </c>
      <c r="AG1643">
        <v>-9.9781000000000106E-2</v>
      </c>
      <c r="AH1643">
        <v>0.63031558067932103</v>
      </c>
      <c r="AI1643">
        <v>98.970165432261595</v>
      </c>
      <c r="AJ1643">
        <v>94.333319651053799</v>
      </c>
      <c r="AK1643">
        <v>0.63994938644136901</v>
      </c>
      <c r="AL1643">
        <v>97.596595723900805</v>
      </c>
      <c r="AM1643">
        <v>97.177427502210094</v>
      </c>
      <c r="AN1643">
        <v>1.0000000292511599</v>
      </c>
    </row>
    <row r="1644" spans="1:40" x14ac:dyDescent="0.25">
      <c r="A1644" t="str">
        <f>"20190305135614894"</f>
        <v>20190305135614894</v>
      </c>
      <c r="B1644" t="str">
        <f>"1551765374883251"</f>
        <v>1551765374883251</v>
      </c>
      <c r="C1644" t="s">
        <v>40</v>
      </c>
      <c r="D1644">
        <v>4.2702499999999999</v>
      </c>
      <c r="E1644">
        <v>0.53335669999999902</v>
      </c>
      <c r="F1644" t="s">
        <v>41</v>
      </c>
      <c r="G1644">
        <v>-424.96039999999999</v>
      </c>
      <c r="H1644">
        <v>1.01152999999999</v>
      </c>
      <c r="I1644">
        <v>285.01600000000002</v>
      </c>
      <c r="J1644">
        <v>-424.35700000000003</v>
      </c>
      <c r="K1644">
        <v>1.108401</v>
      </c>
      <c r="L1644">
        <v>285.04500000000002</v>
      </c>
      <c r="M1644">
        <v>-0.99941950000000002</v>
      </c>
      <c r="N1644">
        <v>-1.5464439999999999E-2</v>
      </c>
      <c r="O1644">
        <v>3.0360419999999999E-2</v>
      </c>
      <c r="P1644">
        <v>-0.98475380000000001</v>
      </c>
      <c r="Q1644">
        <v>-0.14649529999999999</v>
      </c>
      <c r="R1644">
        <v>-9.3804810000000002E-2</v>
      </c>
      <c r="S1644">
        <v>-3.005585</v>
      </c>
      <c r="T1644">
        <v>-0.25376159999999998</v>
      </c>
      <c r="U1644">
        <v>-3.3508299999999998E-2</v>
      </c>
      <c r="V1644">
        <v>-0.12360939999999999</v>
      </c>
      <c r="W1644">
        <v>-0.1313502</v>
      </c>
      <c r="X1644">
        <v>0.98359940000000001</v>
      </c>
      <c r="Y1644">
        <v>-4.1259200000000003E-2</v>
      </c>
      <c r="Z1644">
        <v>-4.1479749999999999E-3</v>
      </c>
      <c r="AA1644">
        <v>0.99913980000000002</v>
      </c>
      <c r="AB1644">
        <v>56</v>
      </c>
      <c r="AC1644">
        <v>-0.60340000000002103</v>
      </c>
      <c r="AD1644">
        <v>-9.6871000000000096E-2</v>
      </c>
      <c r="AE1644">
        <v>-2.9000000000053199E-2</v>
      </c>
      <c r="AF1644">
        <v>-4.6122291321401401E-2</v>
      </c>
      <c r="AG1644">
        <v>-9.6871000000000096E-2</v>
      </c>
      <c r="AH1644">
        <v>0.587143232736554</v>
      </c>
      <c r="AI1644">
        <v>99.340395311543404</v>
      </c>
      <c r="AJ1644">
        <v>94.491573680420501</v>
      </c>
      <c r="AK1644">
        <v>0.59686550591072596</v>
      </c>
      <c r="AL1644">
        <v>97.547622404503798</v>
      </c>
      <c r="AM1644">
        <v>97.162837385846103</v>
      </c>
      <c r="AN1644">
        <v>0.99999996924437895</v>
      </c>
    </row>
    <row r="1645" spans="1:40" x14ac:dyDescent="0.25">
      <c r="A1645" t="str">
        <f>"20190305135614917"</f>
        <v>20190305135614917</v>
      </c>
      <c r="B1645" t="str">
        <f>"1551765374913506"</f>
        <v>1551765374913506</v>
      </c>
      <c r="C1645" t="s">
        <v>40</v>
      </c>
      <c r="D1645">
        <v>4.3197970000000003</v>
      </c>
      <c r="E1645">
        <v>0.53352369999999905</v>
      </c>
      <c r="F1645" t="s">
        <v>61</v>
      </c>
      <c r="G1645">
        <v>-437.59429999999998</v>
      </c>
      <c r="H1645" s="1">
        <v>5.5604579999999996E-6</v>
      </c>
      <c r="I1645">
        <v>284.89420000000001</v>
      </c>
      <c r="J1645">
        <v>-424.90390000000002</v>
      </c>
      <c r="K1645">
        <v>1.108506</v>
      </c>
      <c r="L1645">
        <v>285.06130000000002</v>
      </c>
      <c r="M1645">
        <v>-0.99943369999999998</v>
      </c>
      <c r="N1645">
        <v>-1.5461569999999999E-2</v>
      </c>
      <c r="O1645">
        <v>2.9886659999999999E-2</v>
      </c>
      <c r="P1645">
        <v>-0.98481629999999998</v>
      </c>
      <c r="Q1645">
        <v>-0.1454811</v>
      </c>
      <c r="R1645">
        <v>-9.4723470000000004E-2</v>
      </c>
      <c r="S1645">
        <v>-3.0057369999999999</v>
      </c>
      <c r="T1645">
        <v>-0.25167779999999901</v>
      </c>
      <c r="U1645">
        <v>-3.4240720000000002E-2</v>
      </c>
      <c r="V1645">
        <v>-0.1240322</v>
      </c>
      <c r="W1645">
        <v>-0.1303685</v>
      </c>
      <c r="X1645">
        <v>0.98367680000000002</v>
      </c>
      <c r="Y1645">
        <v>-4.1034550000000003E-2</v>
      </c>
      <c r="Z1645">
        <v>-4.0691970000000001E-3</v>
      </c>
      <c r="AA1645">
        <v>0.99914939999999997</v>
      </c>
      <c r="AB1645">
        <v>56</v>
      </c>
      <c r="AC1645">
        <v>-12.690399999999901</v>
      </c>
      <c r="AD1645">
        <v>-1.1085004395419999</v>
      </c>
      <c r="AE1645">
        <v>-0.167100000000004</v>
      </c>
      <c r="AF1645">
        <v>-0.54220805394543703</v>
      </c>
      <c r="AG1645">
        <v>-1.1085004395419999</v>
      </c>
      <c r="AH1645">
        <v>12.5837385833534</v>
      </c>
      <c r="AI1645">
        <v>95.029542873013199</v>
      </c>
      <c r="AJ1645">
        <v>92.467234096737897</v>
      </c>
      <c r="AK1645">
        <v>12.6440990004194</v>
      </c>
      <c r="AL1645">
        <v>97.490887111213894</v>
      </c>
      <c r="AM1645">
        <v>97.186522162426101</v>
      </c>
      <c r="AN1645">
        <v>0.99999998964366499</v>
      </c>
    </row>
    <row r="1646" spans="1:40" x14ac:dyDescent="0.25">
      <c r="A1646" t="str">
        <f>"20190305135614940"</f>
        <v>20190305135614940</v>
      </c>
      <c r="B1646" t="str">
        <f>"1551765374933536"</f>
        <v>1551765374933536</v>
      </c>
      <c r="C1646" t="s">
        <v>40</v>
      </c>
      <c r="D1646">
        <v>4.3234209999999997</v>
      </c>
      <c r="E1646">
        <v>0.53352619999999995</v>
      </c>
      <c r="F1646" t="s">
        <v>61</v>
      </c>
      <c r="G1646">
        <v>-438.37020000000001</v>
      </c>
      <c r="H1646" s="1">
        <v>5.9038589999999998E-6</v>
      </c>
      <c r="I1646">
        <v>284.90190000000001</v>
      </c>
      <c r="J1646">
        <v>-425.47789999999998</v>
      </c>
      <c r="K1646">
        <v>1.108598</v>
      </c>
      <c r="L1646">
        <v>285.07819999999998</v>
      </c>
      <c r="M1646">
        <v>-0.99944940000000004</v>
      </c>
      <c r="N1646">
        <v>-1.545829E-2</v>
      </c>
      <c r="O1646">
        <v>2.936428E-2</v>
      </c>
      <c r="P1646">
        <v>-0.9846821</v>
      </c>
      <c r="Q1646">
        <v>-0.14569109999999999</v>
      </c>
      <c r="R1646">
        <v>-9.5788159999999997E-2</v>
      </c>
      <c r="S1646">
        <v>-3.006256</v>
      </c>
      <c r="T1646">
        <v>-0.2474654</v>
      </c>
      <c r="U1646">
        <v>-3.5583499999999997E-2</v>
      </c>
      <c r="V1646">
        <v>-0.1245507</v>
      </c>
      <c r="W1646">
        <v>-0.13061110000000001</v>
      </c>
      <c r="X1646">
        <v>0.98357910000000004</v>
      </c>
      <c r="Y1646">
        <v>-4.0966120000000002E-2</v>
      </c>
      <c r="Z1646">
        <v>-3.9600059999999899E-3</v>
      </c>
      <c r="AA1646">
        <v>0.9991527</v>
      </c>
      <c r="AB1646">
        <v>56</v>
      </c>
      <c r="AC1646">
        <v>-12.892300000000001</v>
      </c>
      <c r="AD1646">
        <v>-1.1085920961409901</v>
      </c>
      <c r="AE1646">
        <v>-0.17629999999996901</v>
      </c>
      <c r="AF1646">
        <v>-0.55077057564182397</v>
      </c>
      <c r="AG1646">
        <v>-1.1085920961409901</v>
      </c>
      <c r="AH1646">
        <v>12.7870313187259</v>
      </c>
      <c r="AI1646">
        <v>94.950392413911501</v>
      </c>
      <c r="AJ1646">
        <v>92.466353223290199</v>
      </c>
      <c r="AK1646">
        <v>12.8468087324711</v>
      </c>
      <c r="AL1646">
        <v>97.504906930682196</v>
      </c>
      <c r="AM1646">
        <v>97.216957649277703</v>
      </c>
      <c r="AN1646">
        <v>0.99999999113525495</v>
      </c>
    </row>
    <row r="1647" spans="1:40" x14ac:dyDescent="0.25">
      <c r="A1647" t="str">
        <f>"20190305135614961"</f>
        <v>20190305135614961</v>
      </c>
      <c r="B1647" t="str">
        <f>"1551765374954029"</f>
        <v>1551765374954029</v>
      </c>
      <c r="C1647" t="s">
        <v>40</v>
      </c>
      <c r="D1647">
        <v>4.2816789999999996</v>
      </c>
      <c r="E1647">
        <v>0.53357489999999996</v>
      </c>
      <c r="F1647" t="s">
        <v>61</v>
      </c>
      <c r="G1647">
        <v>-438.86630000000002</v>
      </c>
      <c r="H1647" s="1">
        <v>6.123543E-6</v>
      </c>
      <c r="I1647">
        <v>284.90539999999999</v>
      </c>
      <c r="J1647">
        <v>-426.03359999999998</v>
      </c>
      <c r="K1647">
        <v>1.1086640000000001</v>
      </c>
      <c r="L1647">
        <v>285.0942</v>
      </c>
      <c r="M1647">
        <v>-0.99946429999999997</v>
      </c>
      <c r="N1647">
        <v>-1.5454870000000001E-2</v>
      </c>
      <c r="O1647">
        <v>2.885047E-2</v>
      </c>
      <c r="P1647">
        <v>-0.98436129999999999</v>
      </c>
      <c r="Q1647">
        <v>-0.14685799999999999</v>
      </c>
      <c r="R1647">
        <v>-9.7293409999999997E-2</v>
      </c>
      <c r="S1647">
        <v>-3.0060120000000001</v>
      </c>
      <c r="T1647">
        <v>-0.24890599999999999</v>
      </c>
      <c r="U1647">
        <v>-3.8787839999999997E-2</v>
      </c>
      <c r="V1647">
        <v>-0.12551689999999999</v>
      </c>
      <c r="W1647">
        <v>-0.13180890000000001</v>
      </c>
      <c r="X1647">
        <v>0.98329650000000002</v>
      </c>
      <c r="Y1647">
        <v>-4.1514530000000001E-2</v>
      </c>
      <c r="Z1647">
        <v>-3.9765209999999898E-3</v>
      </c>
      <c r="AA1647">
        <v>0.99912999999999996</v>
      </c>
      <c r="AB1647">
        <v>56</v>
      </c>
      <c r="AC1647">
        <v>-12.832700000000001</v>
      </c>
      <c r="AD1647">
        <v>-1.1086578764570001</v>
      </c>
      <c r="AE1647">
        <v>-0.18880000000001401</v>
      </c>
      <c r="AF1647">
        <v>-0.55485460575338397</v>
      </c>
      <c r="AG1647">
        <v>-1.1086578764570001</v>
      </c>
      <c r="AH1647">
        <v>12.7269387927502</v>
      </c>
      <c r="AI1647">
        <v>94.973831023397594</v>
      </c>
      <c r="AJ1647">
        <v>92.496335461653402</v>
      </c>
      <c r="AK1647">
        <v>12.7871793979347</v>
      </c>
      <c r="AL1647">
        <v>97.574133926953095</v>
      </c>
      <c r="AM1647">
        <v>97.274413677815303</v>
      </c>
      <c r="AN1647">
        <v>1.00000004260853</v>
      </c>
    </row>
    <row r="1648" spans="1:40" x14ac:dyDescent="0.25">
      <c r="A1648" t="str">
        <f>"20190305135614983"</f>
        <v>20190305135614983</v>
      </c>
      <c r="B1648" t="str">
        <f>"1551765374973549"</f>
        <v>1551765374973549</v>
      </c>
      <c r="C1648" t="s">
        <v>40</v>
      </c>
      <c r="D1648">
        <v>4.273263</v>
      </c>
      <c r="E1648">
        <v>0.53375299999999903</v>
      </c>
      <c r="F1648" t="s">
        <v>61</v>
      </c>
      <c r="G1648">
        <v>-439.23009999999999</v>
      </c>
      <c r="H1648" s="1">
        <v>6.2848810000000003E-6</v>
      </c>
      <c r="I1648">
        <v>284.90530000000001</v>
      </c>
      <c r="J1648">
        <v>-426.56349999999998</v>
      </c>
      <c r="K1648">
        <v>1.108724</v>
      </c>
      <c r="L1648">
        <v>285.10930000000002</v>
      </c>
      <c r="M1648">
        <v>-0.99947830000000004</v>
      </c>
      <c r="N1648">
        <v>-1.545156E-2</v>
      </c>
      <c r="O1648">
        <v>2.836292E-2</v>
      </c>
      <c r="P1648">
        <v>-0.98404530000000001</v>
      </c>
      <c r="Q1648">
        <v>-0.14776239999999999</v>
      </c>
      <c r="R1648">
        <v>-9.9102220000000005E-2</v>
      </c>
      <c r="S1648">
        <v>-3.0057070000000001</v>
      </c>
      <c r="T1648">
        <v>-0.25251499999999999</v>
      </c>
      <c r="U1648">
        <v>-4.3029789999999998E-2</v>
      </c>
      <c r="V1648">
        <v>-0.1268185</v>
      </c>
      <c r="W1648">
        <v>-0.13273960000000001</v>
      </c>
      <c r="X1648">
        <v>0.98300419999999999</v>
      </c>
      <c r="Y1648">
        <v>-4.2428649999999998E-2</v>
      </c>
      <c r="Z1648">
        <v>-4.0482859999999999E-3</v>
      </c>
      <c r="AA1648">
        <v>0.99909130000000002</v>
      </c>
      <c r="AB1648">
        <v>56</v>
      </c>
      <c r="AC1648">
        <v>-12.666600000000001</v>
      </c>
      <c r="AD1648">
        <v>-1.108717715119</v>
      </c>
      <c r="AE1648">
        <v>-0.20400000000000701</v>
      </c>
      <c r="AF1648">
        <v>-0.55894125521392501</v>
      </c>
      <c r="AG1648">
        <v>-1.108717715119</v>
      </c>
      <c r="AH1648">
        <v>12.559514622451699</v>
      </c>
      <c r="AI1648">
        <v>95.039866037931603</v>
      </c>
      <c r="AJ1648">
        <v>92.548176309051698</v>
      </c>
      <c r="AK1648">
        <v>12.620739988216901</v>
      </c>
      <c r="AL1648">
        <v>97.627932185488802</v>
      </c>
      <c r="AM1648">
        <v>97.351189627998593</v>
      </c>
      <c r="AN1648">
        <v>0.99999999528402495</v>
      </c>
    </row>
    <row r="1649" spans="1:40" x14ac:dyDescent="0.25">
      <c r="A1649" t="str">
        <f>"20190305135615006"</f>
        <v>20190305135615006</v>
      </c>
      <c r="B1649" t="str">
        <f>"1551765375003806"</f>
        <v>1551765375003806</v>
      </c>
      <c r="C1649" t="s">
        <v>40</v>
      </c>
      <c r="D1649">
        <v>4.3039930000000002</v>
      </c>
      <c r="E1649">
        <v>0.53392399999999995</v>
      </c>
      <c r="F1649" t="s">
        <v>61</v>
      </c>
      <c r="G1649">
        <v>-439.68299999999999</v>
      </c>
      <c r="H1649" s="1">
        <v>6.4859449999999998E-6</v>
      </c>
      <c r="I1649">
        <v>284.90260000000001</v>
      </c>
      <c r="J1649">
        <v>-427.13099999999997</v>
      </c>
      <c r="K1649">
        <v>1.1087750000000001</v>
      </c>
      <c r="L1649">
        <v>285.12520000000001</v>
      </c>
      <c r="M1649">
        <v>-0.99949290000000002</v>
      </c>
      <c r="N1649">
        <v>-1.544791E-2</v>
      </c>
      <c r="O1649">
        <v>2.7847279999999999E-2</v>
      </c>
      <c r="P1649">
        <v>-0.98378690000000002</v>
      </c>
      <c r="Q1649">
        <v>-0.14817159999999999</v>
      </c>
      <c r="R1649">
        <v>-0.1010383</v>
      </c>
      <c r="S1649">
        <v>-3.0057070000000001</v>
      </c>
      <c r="T1649">
        <v>-0.25401010000000002</v>
      </c>
      <c r="U1649">
        <v>-4.7332760000000001E-2</v>
      </c>
      <c r="V1649">
        <v>-0.12822539999999999</v>
      </c>
      <c r="W1649">
        <v>-0.1331727</v>
      </c>
      <c r="X1649">
        <v>0.9827631</v>
      </c>
      <c r="Y1649">
        <v>-4.3337670000000002E-2</v>
      </c>
      <c r="Z1649">
        <v>-4.0826769999999998E-3</v>
      </c>
      <c r="AA1649">
        <v>0.99905219999999995</v>
      </c>
      <c r="AB1649">
        <v>56</v>
      </c>
      <c r="AC1649">
        <v>-12.552</v>
      </c>
      <c r="AD1649">
        <v>-1.1087685140549901</v>
      </c>
      <c r="AE1649">
        <v>-0.22259999999999899</v>
      </c>
      <c r="AF1649">
        <v>-0.56766634662426596</v>
      </c>
      <c r="AG1649">
        <v>-1.1087685140549901</v>
      </c>
      <c r="AH1649">
        <v>12.443863827682099</v>
      </c>
      <c r="AI1649">
        <v>95.0864391365279</v>
      </c>
      <c r="AJ1649">
        <v>92.611918033652799</v>
      </c>
      <c r="AK1649">
        <v>12.5060529209157</v>
      </c>
      <c r="AL1649">
        <v>97.652969109827296</v>
      </c>
      <c r="AM1649">
        <v>97.433638416867296</v>
      </c>
      <c r="AN1649">
        <v>1.0000000159760201</v>
      </c>
    </row>
    <row r="1650" spans="1:40" x14ac:dyDescent="0.25">
      <c r="A1650" t="str">
        <f>"20190305135615028"</f>
        <v>20190305135615028</v>
      </c>
      <c r="B1650" t="str">
        <f>"1551765375023325"</f>
        <v>1551765375023325</v>
      </c>
      <c r="C1650" t="s">
        <v>40</v>
      </c>
      <c r="D1650">
        <v>4.3374300000000003</v>
      </c>
      <c r="E1650">
        <v>0.53395039999999905</v>
      </c>
      <c r="F1650" t="s">
        <v>55</v>
      </c>
      <c r="G1650">
        <v>-440.22160000000002</v>
      </c>
      <c r="H1650" s="1">
        <v>-1.4312200000000001E-6</v>
      </c>
      <c r="I1650">
        <v>284.89909999999998</v>
      </c>
      <c r="J1650">
        <v>-427.6875</v>
      </c>
      <c r="K1650">
        <v>1.108822</v>
      </c>
      <c r="L1650">
        <v>285.14049999999997</v>
      </c>
      <c r="M1650">
        <v>-0.99950669999999997</v>
      </c>
      <c r="N1650">
        <v>-1.5444309999999999E-2</v>
      </c>
      <c r="O1650">
        <v>2.734907E-2</v>
      </c>
      <c r="P1650">
        <v>-0.98373129999999998</v>
      </c>
      <c r="Q1650">
        <v>-0.14718020000000001</v>
      </c>
      <c r="R1650">
        <v>-0.10301009999999999</v>
      </c>
      <c r="S1650">
        <v>-3.0057070000000001</v>
      </c>
      <c r="T1650">
        <v>-0.25458459999999999</v>
      </c>
      <c r="U1650">
        <v>-5.1910400000000002E-2</v>
      </c>
      <c r="V1650">
        <v>-0.12969510000000001</v>
      </c>
      <c r="W1650">
        <v>-0.13219919999999999</v>
      </c>
      <c r="X1650">
        <v>0.98270170000000001</v>
      </c>
      <c r="Y1650">
        <v>-4.4356520000000003E-2</v>
      </c>
      <c r="Z1650">
        <v>-4.1086159999999998E-3</v>
      </c>
      <c r="AA1650">
        <v>0.99900730000000004</v>
      </c>
      <c r="AB1650">
        <v>56</v>
      </c>
      <c r="AC1650">
        <v>-12.5341</v>
      </c>
      <c r="AD1650">
        <v>-1.10882343122</v>
      </c>
      <c r="AE1650">
        <v>-0.24139999999999801</v>
      </c>
      <c r="AF1650">
        <v>-0.57961217697749901</v>
      </c>
      <c r="AG1650">
        <v>-1.10882343122</v>
      </c>
      <c r="AH1650">
        <v>12.4256011840017</v>
      </c>
      <c r="AI1650">
        <v>95.093886748353995</v>
      </c>
      <c r="AJ1650">
        <v>92.670717947884</v>
      </c>
      <c r="AK1650">
        <v>12.488434828319701</v>
      </c>
      <c r="AL1650">
        <v>97.596693912275995</v>
      </c>
      <c r="AM1650">
        <v>97.518336847679606</v>
      </c>
      <c r="AN1650">
        <v>1.00000003931376</v>
      </c>
    </row>
    <row r="1651" spans="1:40" x14ac:dyDescent="0.25">
      <c r="A1651" t="str">
        <f>"20190305135615052"</f>
        <v>20190305135615052</v>
      </c>
      <c r="B1651" t="str">
        <f>"1551765375043352"</f>
        <v>1551765375043352</v>
      </c>
      <c r="C1651" t="s">
        <v>40</v>
      </c>
      <c r="D1651">
        <v>4.2999549999999997</v>
      </c>
      <c r="E1651">
        <v>0.53407569999999904</v>
      </c>
      <c r="F1651" t="s">
        <v>55</v>
      </c>
      <c r="G1651">
        <v>-440.90839999999997</v>
      </c>
      <c r="H1651" s="1">
        <v>-1.065185E-6</v>
      </c>
      <c r="I1651">
        <v>284.88670000000002</v>
      </c>
      <c r="J1651">
        <v>-428.25170000000003</v>
      </c>
      <c r="K1651">
        <v>1.10886</v>
      </c>
      <c r="L1651">
        <v>285.15570000000002</v>
      </c>
      <c r="M1651">
        <v>-0.99952019999999997</v>
      </c>
      <c r="N1651">
        <v>-1.5440529999999999E-2</v>
      </c>
      <c r="O1651">
        <v>2.6850450000000001E-2</v>
      </c>
      <c r="P1651">
        <v>-0.98369010000000001</v>
      </c>
      <c r="Q1651">
        <v>-0.1457888</v>
      </c>
      <c r="R1651">
        <v>-0.1053539</v>
      </c>
      <c r="S1651">
        <v>-3.00589</v>
      </c>
      <c r="T1651">
        <v>-0.252100299999999</v>
      </c>
      <c r="U1651">
        <v>-5.7708740000000001E-2</v>
      </c>
      <c r="V1651">
        <v>-0.13153999999999999</v>
      </c>
      <c r="W1651">
        <v>-0.13082449999999901</v>
      </c>
      <c r="X1651">
        <v>0.98264039999999997</v>
      </c>
      <c r="Y1651">
        <v>-4.5783690000000002E-2</v>
      </c>
      <c r="Z1651">
        <v>-4.1043349999999998E-3</v>
      </c>
      <c r="AA1651">
        <v>0.99894300000000003</v>
      </c>
      <c r="AB1651">
        <v>56</v>
      </c>
      <c r="AC1651">
        <v>-12.656699999999899</v>
      </c>
      <c r="AD1651">
        <v>-1.1088610651849999</v>
      </c>
      <c r="AE1651">
        <v>-0.26900000000000501</v>
      </c>
      <c r="AF1651">
        <v>-0.604146499042718</v>
      </c>
      <c r="AG1651">
        <v>-1.1088610651849999</v>
      </c>
      <c r="AH1651">
        <v>12.5486370109418</v>
      </c>
      <c r="AI1651">
        <v>95.0440164532436</v>
      </c>
      <c r="AJ1651">
        <v>92.756342156554993</v>
      </c>
      <c r="AK1651">
        <v>12.6120123963849</v>
      </c>
      <c r="AL1651">
        <v>97.517239689291003</v>
      </c>
      <c r="AM1651">
        <v>97.624505162579794</v>
      </c>
      <c r="AN1651">
        <v>0.99999998855620498</v>
      </c>
    </row>
    <row r="1652" spans="1:40" x14ac:dyDescent="0.25">
      <c r="A1652" t="str">
        <f>"20190305135615072"</f>
        <v>20190305135615072</v>
      </c>
      <c r="B1652" t="str">
        <f>"1551765375063849"</f>
        <v>1551765375063849</v>
      </c>
      <c r="C1652" t="s">
        <v>40</v>
      </c>
      <c r="D1652">
        <v>4.2565220000000004</v>
      </c>
      <c r="E1652">
        <v>0.53417429999999999</v>
      </c>
      <c r="F1652" t="s">
        <v>55</v>
      </c>
      <c r="G1652">
        <v>-441.73939999999999</v>
      </c>
      <c r="H1652" s="1">
        <v>-6.2217390000000003E-7</v>
      </c>
      <c r="I1652">
        <v>284.86869999999999</v>
      </c>
      <c r="J1652">
        <v>-428.78199999999998</v>
      </c>
      <c r="K1652">
        <v>1.1088979999999999</v>
      </c>
      <c r="L1652">
        <v>285.16969999999998</v>
      </c>
      <c r="M1652">
        <v>-0.9995328</v>
      </c>
      <c r="N1652">
        <v>-1.543715E-2</v>
      </c>
      <c r="O1652">
        <v>2.6386179999999999E-2</v>
      </c>
      <c r="P1652">
        <v>-0.98361810000000005</v>
      </c>
      <c r="Q1652">
        <v>-0.14435390000000001</v>
      </c>
      <c r="R1652">
        <v>-0.10797030000000001</v>
      </c>
      <c r="S1652">
        <v>-3.006256</v>
      </c>
      <c r="T1652">
        <v>-0.24715139999999999</v>
      </c>
      <c r="U1652">
        <v>-6.3964839999999995E-2</v>
      </c>
      <c r="V1652">
        <v>-0.13369300000000001</v>
      </c>
      <c r="W1652">
        <v>-0.1294052</v>
      </c>
      <c r="X1652">
        <v>0.98253769999999996</v>
      </c>
      <c r="Y1652">
        <v>-4.7399690000000001E-2</v>
      </c>
      <c r="Z1652">
        <v>-4.070153E-3</v>
      </c>
      <c r="AA1652">
        <v>0.99886770000000003</v>
      </c>
      <c r="AB1652">
        <v>55</v>
      </c>
      <c r="AC1652">
        <v>-12.9574</v>
      </c>
      <c r="AD1652">
        <v>-1.1088986221738999</v>
      </c>
      <c r="AE1652">
        <v>-0.300999999999987</v>
      </c>
      <c r="AF1652">
        <v>-0.63816078275914101</v>
      </c>
      <c r="AG1652">
        <v>-1.1088986221738999</v>
      </c>
      <c r="AH1652">
        <v>12.8508753208505</v>
      </c>
      <c r="AI1652">
        <v>94.925781324265699</v>
      </c>
      <c r="AJ1652">
        <v>92.842912044622295</v>
      </c>
      <c r="AK1652">
        <v>12.914406755672299</v>
      </c>
      <c r="AL1652">
        <v>97.435223000571597</v>
      </c>
      <c r="AM1652">
        <v>97.748596573663093</v>
      </c>
      <c r="AN1652">
        <v>0.999999927978662</v>
      </c>
    </row>
    <row r="1653" spans="1:40" x14ac:dyDescent="0.25">
      <c r="A1653" t="str">
        <f>"20190305135615095"</f>
        <v>20190305135615095</v>
      </c>
      <c r="B1653" t="str">
        <f>"1551765375083369"</f>
        <v>1551765375083369</v>
      </c>
      <c r="C1653" t="s">
        <v>40</v>
      </c>
      <c r="D1653">
        <v>4.3277999999999999</v>
      </c>
      <c r="E1653">
        <v>0.53421189999999996</v>
      </c>
      <c r="F1653" t="s">
        <v>55</v>
      </c>
      <c r="G1653">
        <v>-442.54649999999998</v>
      </c>
      <c r="H1653" s="1">
        <v>-1.9163600000000001E-7</v>
      </c>
      <c r="I1653">
        <v>284.84410000000003</v>
      </c>
      <c r="J1653">
        <v>-429.32639999999998</v>
      </c>
      <c r="K1653">
        <v>1.1089329999999999</v>
      </c>
      <c r="L1653">
        <v>285.18380000000002</v>
      </c>
      <c r="M1653">
        <v>-0.99954520000000002</v>
      </c>
      <c r="N1653">
        <v>-1.543366E-2</v>
      </c>
      <c r="O1653">
        <v>2.5911389999999999E-2</v>
      </c>
      <c r="P1653">
        <v>-0.98356299999999997</v>
      </c>
      <c r="Q1653">
        <v>-0.143295799999999</v>
      </c>
      <c r="R1653">
        <v>-0.1098649</v>
      </c>
      <c r="S1653">
        <v>-3.0065919999999999</v>
      </c>
      <c r="T1653">
        <v>-0.24221860000000001</v>
      </c>
      <c r="U1653">
        <v>-7.1105959999999996E-2</v>
      </c>
      <c r="V1653">
        <v>-0.1351155</v>
      </c>
      <c r="W1653">
        <v>-0.1283599</v>
      </c>
      <c r="X1653">
        <v>0.98248029999999997</v>
      </c>
      <c r="Y1653">
        <v>-4.9297510000000003E-2</v>
      </c>
      <c r="Z1653">
        <v>-4.0479560000000001E-3</v>
      </c>
      <c r="AA1653">
        <v>0.998776</v>
      </c>
      <c r="AB1653">
        <v>55</v>
      </c>
      <c r="AC1653">
        <v>-13.2201</v>
      </c>
      <c r="AD1653">
        <v>-1.1089331916359999</v>
      </c>
      <c r="AE1653">
        <v>-0.33969999999999301</v>
      </c>
      <c r="AF1653">
        <v>-0.677414539760407</v>
      </c>
      <c r="AG1653">
        <v>-1.1089331916359999</v>
      </c>
      <c r="AH1653">
        <v>13.1146400599077</v>
      </c>
      <c r="AI1653">
        <v>94.826851401902701</v>
      </c>
      <c r="AJ1653">
        <v>92.956888680535201</v>
      </c>
      <c r="AK1653">
        <v>13.178862135371499</v>
      </c>
      <c r="AL1653">
        <v>97.374827470514504</v>
      </c>
      <c r="AM1653">
        <v>97.830476411157406</v>
      </c>
      <c r="AN1653">
        <v>1.00000000107817</v>
      </c>
    </row>
    <row r="1654" spans="1:40" x14ac:dyDescent="0.25">
      <c r="A1654" t="str">
        <f>"20190305135615117"</f>
        <v>20190305135615117</v>
      </c>
      <c r="B1654" t="str">
        <f>"1551765375113625"</f>
        <v>1551765375113625</v>
      </c>
      <c r="C1654" t="s">
        <v>40</v>
      </c>
      <c r="D1654">
        <v>4.3457660000000002</v>
      </c>
      <c r="E1654">
        <v>0.53426779999999996</v>
      </c>
      <c r="F1654" t="s">
        <v>55</v>
      </c>
      <c r="G1654">
        <v>-443.27879999999999</v>
      </c>
      <c r="H1654" s="1">
        <v>1.9879989999999999E-7</v>
      </c>
      <c r="I1654">
        <v>284.82780000000002</v>
      </c>
      <c r="J1654">
        <v>-429.8811</v>
      </c>
      <c r="K1654">
        <v>1.108959</v>
      </c>
      <c r="L1654">
        <v>285.1979</v>
      </c>
      <c r="M1654">
        <v>-0.99955760000000005</v>
      </c>
      <c r="N1654">
        <v>-1.5430080000000001E-2</v>
      </c>
      <c r="O1654">
        <v>2.5428200000000001E-2</v>
      </c>
      <c r="P1654">
        <v>-0.98340729999999998</v>
      </c>
      <c r="Q1654">
        <v>-0.143069899999999</v>
      </c>
      <c r="R1654">
        <v>-0.111540899999999</v>
      </c>
      <c r="S1654">
        <v>-3.0067750000000002</v>
      </c>
      <c r="T1654">
        <v>-0.2389773</v>
      </c>
      <c r="U1654">
        <v>-7.6721189999999995E-2</v>
      </c>
      <c r="V1654">
        <v>-0.13630819999999999</v>
      </c>
      <c r="W1654">
        <v>-0.128146699999999</v>
      </c>
      <c r="X1654">
        <v>0.98234339999999998</v>
      </c>
      <c r="Y1654">
        <v>-5.067961E-2</v>
      </c>
      <c r="Z1654">
        <v>-4.0280130000000004E-3</v>
      </c>
      <c r="AA1654">
        <v>0.99870680000000001</v>
      </c>
      <c r="AB1654">
        <v>55</v>
      </c>
      <c r="AC1654">
        <v>-13.397699999999899</v>
      </c>
      <c r="AD1654">
        <v>-1.1089588012000999</v>
      </c>
      <c r="AE1654">
        <v>-0.370099999999979</v>
      </c>
      <c r="AF1654">
        <v>-0.70586784991472495</v>
      </c>
      <c r="AG1654">
        <v>-1.1089588012000999</v>
      </c>
      <c r="AH1654">
        <v>13.292950747751799</v>
      </c>
      <c r="AI1654">
        <v>94.762155213969393</v>
      </c>
      <c r="AJ1654">
        <v>93.039603541456501</v>
      </c>
      <c r="AK1654">
        <v>13.3577909336259</v>
      </c>
      <c r="AL1654">
        <v>97.362510082816101</v>
      </c>
      <c r="AM1654">
        <v>97.8998162472638</v>
      </c>
      <c r="AN1654">
        <v>1.0000000288158399</v>
      </c>
    </row>
    <row r="1655" spans="1:40" x14ac:dyDescent="0.25">
      <c r="A1655" t="str">
        <f>"20190305135615140"</f>
        <v>20190305135615140</v>
      </c>
      <c r="B1655" t="str">
        <f>"1551765375133652"</f>
        <v>1551765375133652</v>
      </c>
      <c r="C1655" t="s">
        <v>40</v>
      </c>
      <c r="D1655">
        <v>4.2731890000000003</v>
      </c>
      <c r="E1655">
        <v>0.53427429999999998</v>
      </c>
      <c r="F1655" t="s">
        <v>55</v>
      </c>
      <c r="G1655">
        <v>-443.82440000000003</v>
      </c>
      <c r="H1655" s="1">
        <v>4.8943120000000002E-7</v>
      </c>
      <c r="I1655">
        <v>284.82049999999998</v>
      </c>
      <c r="J1655">
        <v>-430.4402</v>
      </c>
      <c r="K1655">
        <v>1.108981</v>
      </c>
      <c r="L1655">
        <v>285.21190000000001</v>
      </c>
      <c r="M1655">
        <v>-0.99956999999999996</v>
      </c>
      <c r="N1655">
        <v>-1.5426499999999999E-2</v>
      </c>
      <c r="O1655">
        <v>2.4939969999999999E-2</v>
      </c>
      <c r="P1655">
        <v>-0.98337050000000004</v>
      </c>
      <c r="Q1655">
        <v>-0.14242829999999901</v>
      </c>
      <c r="R1655">
        <v>-0.1126803</v>
      </c>
      <c r="S1655">
        <v>-3.0065919999999999</v>
      </c>
      <c r="T1655">
        <v>-0.23912549999999999</v>
      </c>
      <c r="U1655">
        <v>-8.1390379999999998E-2</v>
      </c>
      <c r="V1655">
        <v>-0.1369649</v>
      </c>
      <c r="W1655">
        <v>-0.1275136</v>
      </c>
      <c r="X1655">
        <v>0.98233440000000005</v>
      </c>
      <c r="Y1655">
        <v>-5.173991E-2</v>
      </c>
      <c r="Z1655">
        <v>-4.0497440000000001E-3</v>
      </c>
      <c r="AA1655">
        <v>0.9986524</v>
      </c>
      <c r="AB1655">
        <v>55</v>
      </c>
      <c r="AC1655">
        <v>-13.3842</v>
      </c>
      <c r="AD1655">
        <v>-1.1089805105688</v>
      </c>
      <c r="AE1655">
        <v>-0.391400000000032</v>
      </c>
      <c r="AF1655">
        <v>-0.72017940842704398</v>
      </c>
      <c r="AG1655">
        <v>-1.1089805105688</v>
      </c>
      <c r="AH1655">
        <v>13.279184777298401</v>
      </c>
      <c r="AI1655">
        <v>94.766874450221195</v>
      </c>
      <c r="AJ1655">
        <v>93.104321292738405</v>
      </c>
      <c r="AK1655">
        <v>13.3448583545416</v>
      </c>
      <c r="AL1655">
        <v>97.325936377489199</v>
      </c>
      <c r="AM1655">
        <v>97.937463507733995</v>
      </c>
      <c r="AN1655">
        <v>0.99999998772016496</v>
      </c>
    </row>
    <row r="1656" spans="1:40" x14ac:dyDescent="0.25">
      <c r="A1656" t="str">
        <f>"20190305135615162"</f>
        <v>20190305135615162</v>
      </c>
      <c r="B1656" t="str">
        <f>"1551765375153173"</f>
        <v>1551765375153173</v>
      </c>
      <c r="C1656" t="s">
        <v>40</v>
      </c>
      <c r="D1656">
        <v>4.2422129999999996</v>
      </c>
      <c r="E1656">
        <v>0.53438260000000004</v>
      </c>
      <c r="F1656" t="s">
        <v>55</v>
      </c>
      <c r="G1656">
        <v>-444.4495</v>
      </c>
      <c r="H1656" s="1">
        <v>8.2222099999999999E-7</v>
      </c>
      <c r="I1656">
        <v>284.81700000000001</v>
      </c>
      <c r="J1656">
        <v>-431.00049999999999</v>
      </c>
      <c r="K1656">
        <v>1.108995</v>
      </c>
      <c r="L1656">
        <v>285.22559999999999</v>
      </c>
      <c r="M1656">
        <v>-0.99958219999999998</v>
      </c>
      <c r="N1656">
        <v>-1.5422780000000001E-2</v>
      </c>
      <c r="O1656">
        <v>2.444824E-2</v>
      </c>
      <c r="P1656">
        <v>-0.98337189999999997</v>
      </c>
      <c r="Q1656">
        <v>-0.1414521</v>
      </c>
      <c r="R1656">
        <v>-0.1138909</v>
      </c>
      <c r="S1656">
        <v>-3.006561</v>
      </c>
      <c r="T1656">
        <v>-0.23799999999999999</v>
      </c>
      <c r="U1656">
        <v>-8.4747310000000006E-2</v>
      </c>
      <c r="V1656">
        <v>-0.13769219999999999</v>
      </c>
      <c r="W1656">
        <v>-0.12654469999999901</v>
      </c>
      <c r="X1656">
        <v>0.98235799999999995</v>
      </c>
      <c r="Y1656">
        <v>-5.2364029999999999E-2</v>
      </c>
      <c r="Z1656">
        <v>-4.0290009999999999E-3</v>
      </c>
      <c r="AA1656">
        <v>0.9986199</v>
      </c>
      <c r="AB1656">
        <v>55</v>
      </c>
      <c r="AC1656">
        <v>-13.449</v>
      </c>
      <c r="AD1656">
        <v>-1.108994177779</v>
      </c>
      <c r="AE1656">
        <v>-0.40859999999997798</v>
      </c>
      <c r="AF1656">
        <v>-0.73234629136792295</v>
      </c>
      <c r="AG1656">
        <v>-1.108994177779</v>
      </c>
      <c r="AH1656">
        <v>13.3443368888511</v>
      </c>
      <c r="AI1656">
        <v>94.743599247302797</v>
      </c>
      <c r="AJ1656">
        <v>93.141280178222203</v>
      </c>
      <c r="AK1656">
        <v>13.4103514562438</v>
      </c>
      <c r="AL1656">
        <v>97.269969219747694</v>
      </c>
      <c r="AM1656">
        <v>97.978881736392395</v>
      </c>
      <c r="AN1656">
        <v>0.99999997160146403</v>
      </c>
    </row>
    <row r="1657" spans="1:40" x14ac:dyDescent="0.25">
      <c r="A1657" t="str">
        <f>"20190305135615183"</f>
        <v>20190305135615183</v>
      </c>
      <c r="B1657" t="str">
        <f>"1551765375173668"</f>
        <v>1551765375173668</v>
      </c>
      <c r="C1657" t="s">
        <v>40</v>
      </c>
      <c r="D1657">
        <v>4.1851710000000004</v>
      </c>
      <c r="E1657">
        <v>0.5346398</v>
      </c>
      <c r="F1657" t="s">
        <v>55</v>
      </c>
      <c r="G1657">
        <v>-445.15190000000001</v>
      </c>
      <c r="H1657" s="1">
        <v>1.1962070000000001E-6</v>
      </c>
      <c r="I1657">
        <v>284.81279999999998</v>
      </c>
      <c r="J1657">
        <v>-431.52730000000003</v>
      </c>
      <c r="K1657">
        <v>1.109</v>
      </c>
      <c r="L1657">
        <v>285.23829999999998</v>
      </c>
      <c r="M1657">
        <v>-0.99959359999999997</v>
      </c>
      <c r="N1657">
        <v>-1.5419270000000001E-2</v>
      </c>
      <c r="O1657">
        <v>2.3983549999999999E-2</v>
      </c>
      <c r="P1657">
        <v>-0.98335130000000004</v>
      </c>
      <c r="Q1657">
        <v>-0.14128879999999999</v>
      </c>
      <c r="R1657">
        <v>-0.11427080000000001</v>
      </c>
      <c r="S1657">
        <v>-3.0066830000000002</v>
      </c>
      <c r="T1657">
        <v>-0.235622</v>
      </c>
      <c r="U1657">
        <v>-8.7707519999999997E-2</v>
      </c>
      <c r="V1657">
        <v>-0.13761399999999999</v>
      </c>
      <c r="W1657">
        <v>-0.12638630000000001</v>
      </c>
      <c r="X1657">
        <v>0.98238939999999997</v>
      </c>
      <c r="Y1657">
        <v>-5.2884830000000001E-2</v>
      </c>
      <c r="Z1657">
        <v>-3.9841199999999998E-3</v>
      </c>
      <c r="AA1657">
        <v>0.9985927</v>
      </c>
      <c r="AB1657">
        <v>55</v>
      </c>
      <c r="AC1657">
        <v>-13.6245999999999</v>
      </c>
      <c r="AD1657">
        <v>-1.1089988037930001</v>
      </c>
      <c r="AE1657">
        <v>-0.42549999999999899</v>
      </c>
      <c r="AF1657">
        <v>-0.74723670363030503</v>
      </c>
      <c r="AG1657">
        <v>-1.1089988037930001</v>
      </c>
      <c r="AH1657">
        <v>13.5209786589981</v>
      </c>
      <c r="AI1657">
        <v>94.681825968313106</v>
      </c>
      <c r="AJ1657">
        <v>93.163232700895904</v>
      </c>
      <c r="AK1657">
        <v>13.586946122479</v>
      </c>
      <c r="AL1657">
        <v>97.260819745394102</v>
      </c>
      <c r="AM1657">
        <v>97.974156965837906</v>
      </c>
      <c r="AN1657">
        <v>1.00000002152802</v>
      </c>
    </row>
    <row r="1658" spans="1:40" x14ac:dyDescent="0.25">
      <c r="A1658" t="str">
        <f>"20190305135615207"</f>
        <v>20190305135615207</v>
      </c>
      <c r="B1658" t="str">
        <f>"1551765375203924"</f>
        <v>1551765375203924</v>
      </c>
      <c r="C1658" t="s">
        <v>40</v>
      </c>
      <c r="D1658">
        <v>4.1838480000000002</v>
      </c>
      <c r="E1658">
        <v>0.53486659999999997</v>
      </c>
      <c r="F1658" t="s">
        <v>55</v>
      </c>
      <c r="G1658">
        <v>-445.73880000000003</v>
      </c>
      <c r="H1658" s="1">
        <v>1.5079159999999901E-6</v>
      </c>
      <c r="I1658">
        <v>284.82729999999998</v>
      </c>
      <c r="J1658">
        <v>-432.09519999999998</v>
      </c>
      <c r="K1658">
        <v>1.109008</v>
      </c>
      <c r="L1658">
        <v>285.2516</v>
      </c>
      <c r="M1658">
        <v>-0.99960539999999998</v>
      </c>
      <c r="N1658">
        <v>-1.541557E-2</v>
      </c>
      <c r="O1658">
        <v>2.3480640000000001E-2</v>
      </c>
      <c r="P1658">
        <v>-0.98320949999999996</v>
      </c>
      <c r="Q1658">
        <v>-0.14175399999999999</v>
      </c>
      <c r="R1658">
        <v>-0.11491319999999999</v>
      </c>
      <c r="S1658">
        <v>-3.0069270000000001</v>
      </c>
      <c r="T1658">
        <v>-0.23464489999999999</v>
      </c>
      <c r="U1658">
        <v>-8.6944579999999994E-2</v>
      </c>
      <c r="V1658">
        <v>-0.137757399999999</v>
      </c>
      <c r="W1658">
        <v>-0.1268581</v>
      </c>
      <c r="X1658">
        <v>0.98230839999999997</v>
      </c>
      <c r="Y1658">
        <v>-5.2132619999999998E-2</v>
      </c>
      <c r="Z1658">
        <v>-3.9009399999999999E-3</v>
      </c>
      <c r="AA1658">
        <v>0.99863259999999998</v>
      </c>
      <c r="AB1658">
        <v>55</v>
      </c>
      <c r="AC1658">
        <v>-13.643599999999999</v>
      </c>
      <c r="AD1658">
        <v>-1.1090064920839999</v>
      </c>
      <c r="AE1658">
        <v>-0.424300000000016</v>
      </c>
      <c r="AF1658">
        <v>-0.73969899559938201</v>
      </c>
      <c r="AG1658">
        <v>-1.1090064920839999</v>
      </c>
      <c r="AH1658">
        <v>13.540496593300899</v>
      </c>
      <c r="AI1658">
        <v>94.675301812499896</v>
      </c>
      <c r="AJ1658">
        <v>93.126882822805797</v>
      </c>
      <c r="AK1658">
        <v>13.6059581800316</v>
      </c>
      <c r="AL1658">
        <v>97.288071869236006</v>
      </c>
      <c r="AM1658">
        <v>97.983009077394698</v>
      </c>
      <c r="AN1658">
        <v>0.99999993575046198</v>
      </c>
    </row>
    <row r="1659" spans="1:40" x14ac:dyDescent="0.25">
      <c r="A1659" t="str">
        <f>"20190305135615234"</f>
        <v>20190305135615234</v>
      </c>
      <c r="B1659" t="str">
        <f>"1551765375223444"</f>
        <v>1551765375223444</v>
      </c>
      <c r="C1659" t="s">
        <v>40</v>
      </c>
      <c r="D1659">
        <v>4.1521470000000003</v>
      </c>
      <c r="E1659">
        <v>0.5350338</v>
      </c>
      <c r="F1659" t="s">
        <v>55</v>
      </c>
      <c r="G1659">
        <v>-446.15839999999997</v>
      </c>
      <c r="H1659" s="1">
        <v>1.730355E-6</v>
      </c>
      <c r="I1659">
        <v>284.84559999999999</v>
      </c>
      <c r="J1659">
        <v>-432.7629</v>
      </c>
      <c r="K1659">
        <v>1.10902099999999</v>
      </c>
      <c r="L1659">
        <v>285.267</v>
      </c>
      <c r="M1659">
        <v>-0.99961929999999999</v>
      </c>
      <c r="N1659">
        <v>-1.541123E-2</v>
      </c>
      <c r="O1659">
        <v>2.2885510000000001E-2</v>
      </c>
      <c r="P1659">
        <v>-0.98317940000000004</v>
      </c>
      <c r="Q1659">
        <v>-0.14143749999999999</v>
      </c>
      <c r="R1659">
        <v>-0.11555849999999999</v>
      </c>
      <c r="S1659">
        <v>-3.006866</v>
      </c>
      <c r="T1659">
        <v>-0.23711789999999999</v>
      </c>
      <c r="U1659">
        <v>-8.6822510000000006E-2</v>
      </c>
      <c r="V1659">
        <v>-0.1378172</v>
      </c>
      <c r="W1659">
        <v>-0.1265472</v>
      </c>
      <c r="X1659">
        <v>0.9823402</v>
      </c>
      <c r="Y1659">
        <v>-5.1496800000000002E-2</v>
      </c>
      <c r="Z1659">
        <v>-3.873965E-3</v>
      </c>
      <c r="AA1659">
        <v>0.99866560000000004</v>
      </c>
      <c r="AB1659">
        <v>55</v>
      </c>
      <c r="AC1659">
        <v>-13.395499999999901</v>
      </c>
      <c r="AD1659">
        <v>-1.1090192696450001</v>
      </c>
      <c r="AE1659">
        <v>-0.42140000000000499</v>
      </c>
      <c r="AF1659">
        <v>-0.72293856017388802</v>
      </c>
      <c r="AG1659">
        <v>-1.1090192696450001</v>
      </c>
      <c r="AH1659">
        <v>13.2913335480103</v>
      </c>
      <c r="AI1659">
        <v>94.762662519743202</v>
      </c>
      <c r="AJ1659">
        <v>93.113348466738501</v>
      </c>
      <c r="AK1659">
        <v>13.3570996622281</v>
      </c>
      <c r="AL1659">
        <v>97.270113255417996</v>
      </c>
      <c r="AM1659">
        <v>97.986174571387906</v>
      </c>
      <c r="AN1659">
        <v>1.0000000214898499</v>
      </c>
    </row>
    <row r="1660" spans="1:40" x14ac:dyDescent="0.25">
      <c r="A1660" t="str">
        <f>"20190305135615252"</f>
        <v>20190305135615252</v>
      </c>
      <c r="B1660" t="str">
        <f>"1551765375243472"</f>
        <v>1551765375243472</v>
      </c>
      <c r="C1660" t="s">
        <v>40</v>
      </c>
      <c r="D1660">
        <v>4.0631069999999996</v>
      </c>
      <c r="E1660">
        <v>0.53517990000000004</v>
      </c>
      <c r="F1660" t="s">
        <v>55</v>
      </c>
      <c r="G1660">
        <v>-446.8603</v>
      </c>
      <c r="H1660" s="1">
        <v>2.1033799999999999E-6</v>
      </c>
      <c r="I1660">
        <v>284.8571</v>
      </c>
      <c r="J1660">
        <v>-433.21370000000002</v>
      </c>
      <c r="K1660">
        <v>1.109032</v>
      </c>
      <c r="L1660">
        <v>285.27710000000002</v>
      </c>
      <c r="M1660">
        <v>-0.99962870000000004</v>
      </c>
      <c r="N1660">
        <v>-1.5408410000000001E-2</v>
      </c>
      <c r="O1660">
        <v>2.2476929999999999E-2</v>
      </c>
      <c r="P1660">
        <v>-0.98327629999999999</v>
      </c>
      <c r="Q1660">
        <v>-0.14048579999999999</v>
      </c>
      <c r="R1660">
        <v>-0.1158946</v>
      </c>
      <c r="S1660">
        <v>-3.00705</v>
      </c>
      <c r="T1660">
        <v>-0.2365603</v>
      </c>
      <c r="U1660">
        <v>-8.7432860000000001E-2</v>
      </c>
      <c r="V1660">
        <v>-0.13775479999999901</v>
      </c>
      <c r="W1660">
        <v>-0.12559769999999901</v>
      </c>
      <c r="X1660">
        <v>0.98247079999999998</v>
      </c>
      <c r="Y1660">
        <v>-5.1292070000000002E-2</v>
      </c>
      <c r="Z1660">
        <v>-3.829318E-3</v>
      </c>
      <c r="AA1660">
        <v>0.99867640000000002</v>
      </c>
      <c r="AB1660">
        <v>55</v>
      </c>
      <c r="AC1660">
        <v>-13.6465999999999</v>
      </c>
      <c r="AD1660">
        <v>-1.1090298966200001</v>
      </c>
      <c r="AE1660">
        <v>-0.42000000000001497</v>
      </c>
      <c r="AF1660">
        <v>-0.72190067720538897</v>
      </c>
      <c r="AG1660">
        <v>-1.1090298966200001</v>
      </c>
      <c r="AH1660">
        <v>13.544341633279201</v>
      </c>
      <c r="AI1660">
        <v>94.674411566515602</v>
      </c>
      <c r="AJ1660">
        <v>93.050924363010395</v>
      </c>
      <c r="AK1660">
        <v>13.608830889475</v>
      </c>
      <c r="AL1660">
        <v>97.215273356891203</v>
      </c>
      <c r="AM1660">
        <v>97.981557809638304</v>
      </c>
      <c r="AN1660">
        <v>1.0000000200104799</v>
      </c>
    </row>
    <row r="1661" spans="1:40" x14ac:dyDescent="0.25">
      <c r="A1661" t="str">
        <f>"20190305135615273"</f>
        <v>20190305135615273</v>
      </c>
      <c r="B1661" t="str">
        <f>"1551765375263967"</f>
        <v>1551765375263967</v>
      </c>
      <c r="C1661" t="s">
        <v>40</v>
      </c>
      <c r="D1661">
        <v>4.0220770000000003</v>
      </c>
      <c r="E1661">
        <v>0.53534950000000003</v>
      </c>
      <c r="F1661" t="s">
        <v>55</v>
      </c>
      <c r="G1661">
        <v>-447.4572</v>
      </c>
      <c r="H1661" s="1">
        <v>2.4207119999999999E-6</v>
      </c>
      <c r="I1661">
        <v>284.86399999999998</v>
      </c>
      <c r="J1661">
        <v>-433.74099999999999</v>
      </c>
      <c r="K1661">
        <v>1.1090439999999999</v>
      </c>
      <c r="L1661">
        <v>285.28859999999997</v>
      </c>
      <c r="M1661">
        <v>-0.99963959999999996</v>
      </c>
      <c r="N1661">
        <v>-1.540497E-2</v>
      </c>
      <c r="O1661">
        <v>2.1989419999999999E-2</v>
      </c>
      <c r="P1661">
        <v>-0.98328729999999998</v>
      </c>
      <c r="Q1661">
        <v>-0.14033019999999999</v>
      </c>
      <c r="R1661">
        <v>-0.11599039999999999</v>
      </c>
      <c r="S1661">
        <v>-3.0073240000000001</v>
      </c>
      <c r="T1661">
        <v>-0.23415730000000001</v>
      </c>
      <c r="U1661">
        <v>-8.7219240000000003E-2</v>
      </c>
      <c r="V1661">
        <v>-0.13737050000000001</v>
      </c>
      <c r="W1661">
        <v>-0.12544659999999999</v>
      </c>
      <c r="X1661">
        <v>0.98254390000000003</v>
      </c>
      <c r="Y1661">
        <v>-5.0739119999999999E-2</v>
      </c>
      <c r="Z1661">
        <v>-3.734523E-3</v>
      </c>
      <c r="AA1661">
        <v>0.99870499999999995</v>
      </c>
      <c r="AB1661">
        <v>55</v>
      </c>
      <c r="AC1661">
        <v>-13.716200000000001</v>
      </c>
      <c r="AD1661">
        <v>-1.109041579288</v>
      </c>
      <c r="AE1661">
        <v>-0.42459999999994102</v>
      </c>
      <c r="AF1661">
        <v>-0.72143233331524803</v>
      </c>
      <c r="AG1661">
        <v>-1.109041579288</v>
      </c>
      <c r="AH1661">
        <v>13.61462114851</v>
      </c>
      <c r="AI1661">
        <v>94.650512793450702</v>
      </c>
      <c r="AJ1661">
        <v>93.033239370490193</v>
      </c>
      <c r="AK1661">
        <v>13.6787553108314</v>
      </c>
      <c r="AL1661">
        <v>97.206547021602802</v>
      </c>
      <c r="AM1661">
        <v>97.9589925170675</v>
      </c>
      <c r="AN1661">
        <v>1.0000000095745001</v>
      </c>
    </row>
    <row r="1662" spans="1:40" x14ac:dyDescent="0.25">
      <c r="A1662" t="str">
        <f>"20190305135615296"</f>
        <v>20190305135615296</v>
      </c>
      <c r="B1662" t="str">
        <f>"1551765375293247"</f>
        <v>1551765375293247</v>
      </c>
      <c r="C1662" t="s">
        <v>40</v>
      </c>
      <c r="D1662">
        <v>3.9890050000000001</v>
      </c>
      <c r="E1662">
        <v>0.5356012</v>
      </c>
      <c r="F1662" t="s">
        <v>55</v>
      </c>
      <c r="G1662">
        <v>-448.0009</v>
      </c>
      <c r="H1662" s="1">
        <v>2.7093009999999999E-6</v>
      </c>
      <c r="I1662">
        <v>284.88119999999998</v>
      </c>
      <c r="J1662">
        <v>-434.28309999999999</v>
      </c>
      <c r="K1662">
        <v>1.109048</v>
      </c>
      <c r="L1662">
        <v>285.30029999999999</v>
      </c>
      <c r="M1662">
        <v>-0.99965099999999996</v>
      </c>
      <c r="N1662">
        <v>-1.5401359999999999E-2</v>
      </c>
      <c r="O1662">
        <v>2.1469789999999999E-2</v>
      </c>
      <c r="P1662">
        <v>-0.98324869999999998</v>
      </c>
      <c r="Q1662">
        <v>-0.14066339999999999</v>
      </c>
      <c r="R1662">
        <v>-0.1159154</v>
      </c>
      <c r="S1662">
        <v>-3.0074770000000002</v>
      </c>
      <c r="T1662">
        <v>-0.23390169999999999</v>
      </c>
      <c r="U1662">
        <v>-8.59375E-2</v>
      </c>
      <c r="V1662">
        <v>-0.13677979999999901</v>
      </c>
      <c r="W1662">
        <v>-0.12578639999999999</v>
      </c>
      <c r="X1662">
        <v>0.98258290000000004</v>
      </c>
      <c r="Y1662">
        <v>-4.9798139999999998E-2</v>
      </c>
      <c r="Z1662">
        <v>-3.6541899999999999E-3</v>
      </c>
      <c r="AA1662">
        <v>0.99875259999999999</v>
      </c>
      <c r="AB1662">
        <v>55</v>
      </c>
      <c r="AC1662">
        <v>-13.7178</v>
      </c>
      <c r="AD1662">
        <v>-1.109045290699</v>
      </c>
      <c r="AE1662">
        <v>-0.41910000000001402</v>
      </c>
      <c r="AF1662">
        <v>-0.70892714018268199</v>
      </c>
      <c r="AG1662">
        <v>-1.109045290699</v>
      </c>
      <c r="AH1662">
        <v>13.616718727598199</v>
      </c>
      <c r="AI1662">
        <v>94.6500397291355</v>
      </c>
      <c r="AJ1662">
        <v>92.980298991524705</v>
      </c>
      <c r="AK1662">
        <v>13.6801896205218</v>
      </c>
      <c r="AL1662">
        <v>97.226171327709906</v>
      </c>
      <c r="AM1662">
        <v>97.924893671801101</v>
      </c>
      <c r="AN1662">
        <v>1.0000000437426999</v>
      </c>
    </row>
    <row r="1663" spans="1:40" x14ac:dyDescent="0.25">
      <c r="A1663" t="str">
        <f>"20190305135615319"</f>
        <v>20190305135615319</v>
      </c>
      <c r="B1663" t="str">
        <f>"1551765375313747"</f>
        <v>1551765375313747</v>
      </c>
      <c r="C1663" t="s">
        <v>40</v>
      </c>
      <c r="D1663">
        <v>3.8742770000000002</v>
      </c>
      <c r="E1663">
        <v>0.53581380000000001</v>
      </c>
      <c r="F1663" t="s">
        <v>55</v>
      </c>
      <c r="G1663">
        <v>-448.50299999999999</v>
      </c>
      <c r="H1663" s="1">
        <v>2.9755390000000002E-6</v>
      </c>
      <c r="I1663">
        <v>284.90320000000003</v>
      </c>
      <c r="J1663">
        <v>-434.8553</v>
      </c>
      <c r="K1663">
        <v>1.1090629999999999</v>
      </c>
      <c r="L1663">
        <v>285.31229999999999</v>
      </c>
      <c r="M1663">
        <v>-0.99966319999999997</v>
      </c>
      <c r="N1663">
        <v>-1.539773E-2</v>
      </c>
      <c r="O1663">
        <v>2.089278E-2</v>
      </c>
      <c r="P1663">
        <v>-0.98326639999999998</v>
      </c>
      <c r="Q1663">
        <v>-0.14072089999999901</v>
      </c>
      <c r="R1663">
        <v>-0.115694699999999</v>
      </c>
      <c r="S1663">
        <v>-3.00766</v>
      </c>
      <c r="T1663">
        <v>-0.23457459999999999</v>
      </c>
      <c r="U1663">
        <v>-8.3984379999999997E-2</v>
      </c>
      <c r="V1663">
        <v>-0.13598679999999999</v>
      </c>
      <c r="W1663">
        <v>-0.12585170000000001</v>
      </c>
      <c r="X1663">
        <v>0.98268460000000002</v>
      </c>
      <c r="Y1663">
        <v>-4.8576170000000002E-2</v>
      </c>
      <c r="Z1663">
        <v>-3.571262E-3</v>
      </c>
      <c r="AA1663">
        <v>0.99881310000000001</v>
      </c>
      <c r="AB1663">
        <v>55</v>
      </c>
      <c r="AC1663">
        <v>-13.6477</v>
      </c>
      <c r="AD1663">
        <v>-1.1090600244609901</v>
      </c>
      <c r="AE1663">
        <v>-0.40909999999996599</v>
      </c>
      <c r="AF1663">
        <v>-0.68963278696404495</v>
      </c>
      <c r="AG1663">
        <v>-1.1090600244609901</v>
      </c>
      <c r="AH1663">
        <v>13.546792620067301</v>
      </c>
      <c r="AI1663">
        <v>94.674274258443205</v>
      </c>
      <c r="AJ1663">
        <v>92.914266763374798</v>
      </c>
      <c r="AK1663">
        <v>13.6095994727921</v>
      </c>
      <c r="AL1663">
        <v>97.229942727770904</v>
      </c>
      <c r="AM1663">
        <v>97.878721534993304</v>
      </c>
      <c r="AN1663">
        <v>1.00000004162214</v>
      </c>
    </row>
    <row r="1664" spans="1:40" x14ac:dyDescent="0.25">
      <c r="A1664" t="str">
        <f>"20190305135615341"</f>
        <v>20190305135615341</v>
      </c>
      <c r="B1664" t="str">
        <f>"1551765375333775"</f>
        <v>1551765375333775</v>
      </c>
      <c r="C1664" t="s">
        <v>40</v>
      </c>
      <c r="D1664">
        <v>3.8784939999999999</v>
      </c>
      <c r="E1664">
        <v>0.55963540000000001</v>
      </c>
      <c r="F1664" t="s">
        <v>55</v>
      </c>
      <c r="G1664">
        <v>-449.10379999999998</v>
      </c>
      <c r="H1664" s="1">
        <v>3.294293E-6</v>
      </c>
      <c r="I1664">
        <v>284.92500000000001</v>
      </c>
      <c r="J1664">
        <v>-435.38869999999997</v>
      </c>
      <c r="K1664">
        <v>1.109078</v>
      </c>
      <c r="L1664">
        <v>285.32310000000001</v>
      </c>
      <c r="M1664">
        <v>-0.99967499999999998</v>
      </c>
      <c r="N1664">
        <v>-1.539449E-2</v>
      </c>
      <c r="O1664">
        <v>2.0322880000000001E-2</v>
      </c>
      <c r="P1664">
        <v>-0.98315629999999998</v>
      </c>
      <c r="Q1664">
        <v>-0.14175070000000001</v>
      </c>
      <c r="R1664">
        <v>-0.1153718</v>
      </c>
      <c r="S1664">
        <v>-3.007965</v>
      </c>
      <c r="T1664">
        <v>-0.2341319</v>
      </c>
      <c r="U1664">
        <v>-8.1756590000000004E-2</v>
      </c>
      <c r="V1664">
        <v>-0.1350925</v>
      </c>
      <c r="W1664">
        <v>-0.12689220000000001</v>
      </c>
      <c r="X1664">
        <v>0.98267409999999999</v>
      </c>
      <c r="Y1664">
        <v>-4.727137E-2</v>
      </c>
      <c r="Z1664">
        <v>-3.4680179999999998E-3</v>
      </c>
      <c r="AA1664">
        <v>0.99887599999999999</v>
      </c>
      <c r="AB1664">
        <v>55</v>
      </c>
      <c r="AC1664">
        <v>-13.7151</v>
      </c>
      <c r="AD1664">
        <v>-1.1090747057070001</v>
      </c>
      <c r="AE1664">
        <v>-0.39809999999999901</v>
      </c>
      <c r="AF1664">
        <v>-0.672387942009117</v>
      </c>
      <c r="AG1664">
        <v>-1.1090747057070001</v>
      </c>
      <c r="AH1664">
        <v>13.6152177555264</v>
      </c>
      <c r="AI1664">
        <v>94.651300305351398</v>
      </c>
      <c r="AJ1664">
        <v>92.827256854934802</v>
      </c>
      <c r="AK1664">
        <v>13.6768529559179</v>
      </c>
      <c r="AL1664">
        <v>97.290041099411695</v>
      </c>
      <c r="AM1664">
        <v>97.827635101772103</v>
      </c>
      <c r="AN1664">
        <v>1.00000000039395</v>
      </c>
    </row>
    <row r="1665" spans="1:40" x14ac:dyDescent="0.25">
      <c r="A1665" t="str">
        <f>"20190305135615363"</f>
        <v>20190305135615363</v>
      </c>
      <c r="B1665" t="str">
        <f>"1551765375353291"</f>
        <v>1551765375353291</v>
      </c>
      <c r="C1665" t="s">
        <v>40</v>
      </c>
      <c r="D1665">
        <v>3.9412690000000001</v>
      </c>
      <c r="E1665">
        <v>0.579453199999999</v>
      </c>
      <c r="F1665" t="s">
        <v>41</v>
      </c>
      <c r="G1665">
        <v>-436.32920000000001</v>
      </c>
      <c r="H1665">
        <v>1.0415760000000001</v>
      </c>
      <c r="I1665">
        <v>285.35669999999999</v>
      </c>
      <c r="J1665">
        <v>-435.93029999999999</v>
      </c>
      <c r="K1665">
        <v>1.109089</v>
      </c>
      <c r="L1665">
        <v>285.33370000000002</v>
      </c>
      <c r="M1665">
        <v>-0.9996874</v>
      </c>
      <c r="N1665">
        <v>-1.5391230000000001E-2</v>
      </c>
      <c r="O1665">
        <v>1.971067E-2</v>
      </c>
      <c r="P1665">
        <v>-0.98299130000000001</v>
      </c>
      <c r="Q1665">
        <v>-0.1428943</v>
      </c>
      <c r="R1665">
        <v>-0.11536829999999999</v>
      </c>
      <c r="S1665">
        <v>-3.0324710000000001</v>
      </c>
      <c r="T1665">
        <v>-0.21797040000000001</v>
      </c>
      <c r="U1665">
        <v>0.106781</v>
      </c>
      <c r="V1665">
        <v>-0.13447249999999999</v>
      </c>
      <c r="W1665">
        <v>-0.12804949999999901</v>
      </c>
      <c r="X1665">
        <v>0.98260899999999995</v>
      </c>
      <c r="Y1665">
        <v>1.546605E-2</v>
      </c>
      <c r="Z1665">
        <v>-4.3709260000000002E-4</v>
      </c>
      <c r="AA1665">
        <v>0.99988030000000006</v>
      </c>
      <c r="AB1665">
        <v>55</v>
      </c>
      <c r="AC1665">
        <v>-0.39890000000002601</v>
      </c>
      <c r="AD1665">
        <v>-6.7512999999999906E-2</v>
      </c>
      <c r="AE1665">
        <v>2.2999999999967699E-2</v>
      </c>
      <c r="AF1665">
        <v>1.4711987618639099E-2</v>
      </c>
      <c r="AG1665">
        <v>-6.7512999999999906E-2</v>
      </c>
      <c r="AH1665">
        <v>0.38819299499700199</v>
      </c>
      <c r="AI1665">
        <v>99.859036515706705</v>
      </c>
      <c r="AJ1665">
        <v>87.8296064431715</v>
      </c>
      <c r="AK1665">
        <v>0.39429462222230899</v>
      </c>
      <c r="AL1665">
        <v>97.356894977809702</v>
      </c>
      <c r="AM1665">
        <v>97.792662808969197</v>
      </c>
      <c r="AN1665">
        <v>0.99999998729374895</v>
      </c>
    </row>
    <row r="1666" spans="1:40" x14ac:dyDescent="0.25">
      <c r="A1666" t="str">
        <f>"20190305135615385"</f>
        <v>20190305135615385</v>
      </c>
      <c r="B1666" t="str">
        <f>"1551765375373787"</f>
        <v>1551765375373787</v>
      </c>
      <c r="C1666" t="s">
        <v>40</v>
      </c>
      <c r="D1666">
        <v>3.8677090000000001</v>
      </c>
      <c r="E1666">
        <v>0.58341080000000001</v>
      </c>
      <c r="F1666" t="s">
        <v>41</v>
      </c>
      <c r="G1666">
        <v>-436.75779999999997</v>
      </c>
      <c r="H1666">
        <v>0.92722800000000005</v>
      </c>
      <c r="I1666">
        <v>285.4194</v>
      </c>
      <c r="J1666">
        <v>-436.46699999999998</v>
      </c>
      <c r="K1666">
        <v>1.109119</v>
      </c>
      <c r="L1666">
        <v>285.34399999999999</v>
      </c>
      <c r="M1666">
        <v>-0.99969980000000003</v>
      </c>
      <c r="N1666">
        <v>-1.538806E-2</v>
      </c>
      <c r="O1666">
        <v>1.9070449999999999E-2</v>
      </c>
      <c r="P1666">
        <v>-0.9829466</v>
      </c>
      <c r="Q1666">
        <v>-0.14329059999999999</v>
      </c>
      <c r="R1666">
        <v>-0.1152566</v>
      </c>
      <c r="S1666">
        <v>-2.9925540000000002</v>
      </c>
      <c r="T1666">
        <v>-0.65780260000000002</v>
      </c>
      <c r="U1666">
        <v>0.30908200000000002</v>
      </c>
      <c r="V1666">
        <v>-0.133720799999999</v>
      </c>
      <c r="W1666">
        <v>-0.12845809999999999</v>
      </c>
      <c r="X1666">
        <v>0.98265829999999998</v>
      </c>
      <c r="Y1666">
        <v>8.2058270000000003E-2</v>
      </c>
      <c r="Z1666">
        <v>5.6894190000000002E-3</v>
      </c>
      <c r="AA1666">
        <v>0.99661129999999998</v>
      </c>
      <c r="AB1666">
        <v>55</v>
      </c>
      <c r="AC1666">
        <v>-0.29079999999999001</v>
      </c>
      <c r="AD1666">
        <v>-0.181890999999999</v>
      </c>
      <c r="AE1666">
        <v>7.5400000000001896E-2</v>
      </c>
      <c r="AF1666">
        <v>5.1105403342419198E-2</v>
      </c>
      <c r="AG1666">
        <v>-0.181890999999999</v>
      </c>
      <c r="AH1666">
        <v>0.213806618546698</v>
      </c>
      <c r="AI1666">
        <v>129.60497878091499</v>
      </c>
      <c r="AJ1666">
        <v>76.557029242584704</v>
      </c>
      <c r="AK1666">
        <v>0.28532326975934602</v>
      </c>
      <c r="AL1666">
        <v>97.380500631458901</v>
      </c>
      <c r="AM1666">
        <v>97.749248619984101</v>
      </c>
      <c r="AN1666">
        <v>1.0000000351835601</v>
      </c>
    </row>
    <row r="1667" spans="1:40" x14ac:dyDescent="0.25">
      <c r="A1667" t="str">
        <f>"20190305135615407"</f>
        <v>20190305135615407</v>
      </c>
      <c r="B1667" t="str">
        <f>"1551765375404043"</f>
        <v>1551765375404043</v>
      </c>
      <c r="C1667" t="s">
        <v>40</v>
      </c>
      <c r="D1667">
        <v>3.9200710000000001</v>
      </c>
      <c r="E1667">
        <v>0.58497100000000002</v>
      </c>
      <c r="F1667" t="s">
        <v>41</v>
      </c>
      <c r="G1667">
        <v>-437.2373</v>
      </c>
      <c r="H1667">
        <v>0.90714910000000004</v>
      </c>
      <c r="I1667">
        <v>285.43610000000001</v>
      </c>
      <c r="J1667">
        <v>-437.0213</v>
      </c>
      <c r="K1667">
        <v>1.109159</v>
      </c>
      <c r="L1667">
        <v>285.35410000000002</v>
      </c>
      <c r="M1667">
        <v>-0.99971279999999996</v>
      </c>
      <c r="N1667">
        <v>-1.538453E-2</v>
      </c>
      <c r="O1667">
        <v>1.8378909999999998E-2</v>
      </c>
      <c r="P1667">
        <v>-0.98306539999999998</v>
      </c>
      <c r="Q1667">
        <v>-0.14218349999999999</v>
      </c>
      <c r="R1667">
        <v>-0.115615</v>
      </c>
      <c r="S1667">
        <v>-2.9796450000000001</v>
      </c>
      <c r="T1667">
        <v>-0.78131719999999905</v>
      </c>
      <c r="U1667">
        <v>0.3536377</v>
      </c>
      <c r="V1667">
        <v>-0.13339500000000001</v>
      </c>
      <c r="W1667">
        <v>-0.1273619</v>
      </c>
      <c r="X1667">
        <v>0.98284519999999997</v>
      </c>
      <c r="Y1667">
        <v>9.6706349999999996E-2</v>
      </c>
      <c r="Z1667">
        <v>8.7418800000000005E-3</v>
      </c>
      <c r="AA1667">
        <v>0.99527449999999995</v>
      </c>
      <c r="AB1667">
        <v>55</v>
      </c>
      <c r="AC1667">
        <v>-0.21600000000000799</v>
      </c>
      <c r="AD1667">
        <v>-0.20200989999999999</v>
      </c>
      <c r="AE1667">
        <v>8.1999999999993606E-2</v>
      </c>
      <c r="AF1667">
        <v>4.4214604185002102E-2</v>
      </c>
      <c r="AG1667">
        <v>-0.20200989999999999</v>
      </c>
      <c r="AH1667">
        <v>0.123249129585376</v>
      </c>
      <c r="AI1667">
        <v>147.04925891565199</v>
      </c>
      <c r="AJ1667">
        <v>70.264972159980601</v>
      </c>
      <c r="AK1667">
        <v>0.24073487255650999</v>
      </c>
      <c r="AL1667">
        <v>97.317173189256707</v>
      </c>
      <c r="AM1667">
        <v>97.729144482455695</v>
      </c>
      <c r="AN1667">
        <v>0.99999998337982399</v>
      </c>
    </row>
    <row r="1668" spans="1:40" x14ac:dyDescent="0.25">
      <c r="A1668" t="str">
        <f>"20190305135615432"</f>
        <v>20190305135615432</v>
      </c>
      <c r="B1668" t="str">
        <f>"1551765375423564"</f>
        <v>1551765375423564</v>
      </c>
      <c r="C1668" t="s">
        <v>40</v>
      </c>
      <c r="D1668">
        <v>3.8788589999999998</v>
      </c>
      <c r="E1668">
        <v>0.58519049999999995</v>
      </c>
      <c r="F1668" t="s">
        <v>41</v>
      </c>
      <c r="G1668">
        <v>-437.72840000000002</v>
      </c>
      <c r="H1668">
        <v>0.91177629999999998</v>
      </c>
      <c r="I1668">
        <v>285.44229999999999</v>
      </c>
      <c r="J1668">
        <v>-437.6241</v>
      </c>
      <c r="K1668">
        <v>1.1092029999999999</v>
      </c>
      <c r="L1668">
        <v>285.36470000000003</v>
      </c>
      <c r="M1668">
        <v>-0.99972700000000003</v>
      </c>
      <c r="N1668">
        <v>-1.538084E-2</v>
      </c>
      <c r="O1668">
        <v>1.7597140000000001E-2</v>
      </c>
      <c r="P1668">
        <v>-0.98342719999999995</v>
      </c>
      <c r="Q1668">
        <v>-0.13918800000000001</v>
      </c>
      <c r="R1668">
        <v>-0.1161797</v>
      </c>
      <c r="S1668">
        <v>-2.9751590000000001</v>
      </c>
      <c r="T1668">
        <v>-0.83055959999999995</v>
      </c>
      <c r="U1668">
        <v>0.37081910000000001</v>
      </c>
      <c r="V1668">
        <v>-0.1331946</v>
      </c>
      <c r="W1668">
        <v>-0.124374</v>
      </c>
      <c r="X1668">
        <v>0.98325499999999999</v>
      </c>
      <c r="Y1668">
        <v>0.1026999</v>
      </c>
      <c r="Z1668">
        <v>1.028695E-2</v>
      </c>
      <c r="AA1668">
        <v>0.99465919999999997</v>
      </c>
      <c r="AB1668">
        <v>55</v>
      </c>
      <c r="AC1668">
        <v>-0.104300000000023</v>
      </c>
      <c r="AD1668">
        <v>-0.19742670000000001</v>
      </c>
      <c r="AE1668">
        <v>7.75999999999612E-2</v>
      </c>
      <c r="AF1668">
        <v>2.29114226731762E-2</v>
      </c>
      <c r="AG1668">
        <v>-0.19742670000000001</v>
      </c>
      <c r="AH1668">
        <v>3.1953864714629202E-2</v>
      </c>
      <c r="AI1668">
        <v>168.73649591879499</v>
      </c>
      <c r="AJ1668">
        <v>54.358882692566198</v>
      </c>
      <c r="AK1668">
        <v>0.201303960795608</v>
      </c>
      <c r="AL1668">
        <v>97.144606201228001</v>
      </c>
      <c r="AM1668">
        <v>97.714495172897102</v>
      </c>
      <c r="AN1668">
        <v>1.00000004418507</v>
      </c>
    </row>
    <row r="1669" spans="1:40" x14ac:dyDescent="0.25">
      <c r="A1669" t="str">
        <f>"20190305135615454"</f>
        <v>20190305135615454</v>
      </c>
      <c r="B1669" t="str">
        <f>"1551765375443591"</f>
        <v>1551765375443591</v>
      </c>
      <c r="C1669" t="s">
        <v>40</v>
      </c>
      <c r="D1669">
        <v>3.8947430000000001</v>
      </c>
      <c r="E1669">
        <v>0.58512189999999997</v>
      </c>
      <c r="F1669" t="s">
        <v>41</v>
      </c>
      <c r="G1669">
        <v>-438.66669999999999</v>
      </c>
      <c r="H1669">
        <v>0.81893549999999904</v>
      </c>
      <c r="I1669">
        <v>285.49509999999998</v>
      </c>
      <c r="J1669">
        <v>-438.1395</v>
      </c>
      <c r="K1669">
        <v>1.109226</v>
      </c>
      <c r="L1669">
        <v>285.3734</v>
      </c>
      <c r="M1669">
        <v>-0.99973880000000004</v>
      </c>
      <c r="N1669">
        <v>-1.5377450000000001E-2</v>
      </c>
      <c r="O1669">
        <v>1.6911450000000001E-2</v>
      </c>
      <c r="P1669">
        <v>-0.98357830000000002</v>
      </c>
      <c r="Q1669">
        <v>-0.1372815</v>
      </c>
      <c r="R1669">
        <v>-0.1171654</v>
      </c>
      <c r="S1669">
        <v>-2.9771420000000002</v>
      </c>
      <c r="T1669">
        <v>-0.82894959999999995</v>
      </c>
      <c r="U1669">
        <v>0.3719788</v>
      </c>
      <c r="V1669">
        <v>-0.13350629999999999</v>
      </c>
      <c r="W1669">
        <v>-0.1224766</v>
      </c>
      <c r="X1669">
        <v>0.98345079999999996</v>
      </c>
      <c r="Y1669">
        <v>0.1036391</v>
      </c>
      <c r="Z1669">
        <v>1.057486E-2</v>
      </c>
      <c r="AA1669">
        <v>0.99455879999999997</v>
      </c>
      <c r="AB1669">
        <v>55</v>
      </c>
      <c r="AC1669">
        <v>-0.52719999999999301</v>
      </c>
      <c r="AD1669">
        <v>-0.29029050000000001</v>
      </c>
      <c r="AE1669">
        <v>0.12169999999997499</v>
      </c>
      <c r="AF1669">
        <v>8.7561236761703104E-2</v>
      </c>
      <c r="AG1669">
        <v>-0.29029050000000001</v>
      </c>
      <c r="AH1669">
        <v>0.41090388336441303</v>
      </c>
      <c r="AI1669">
        <v>124.642707422074</v>
      </c>
      <c r="AJ1669">
        <v>77.970530079993395</v>
      </c>
      <c r="AK1669">
        <v>0.51066382869500804</v>
      </c>
      <c r="AL1669">
        <v>97.035056112735404</v>
      </c>
      <c r="AM1669">
        <v>97.730809516157393</v>
      </c>
      <c r="AN1669">
        <v>0.99999996285394399</v>
      </c>
    </row>
    <row r="1670" spans="1:40" x14ac:dyDescent="0.25">
      <c r="A1670" t="str">
        <f>"20190305135615474"</f>
        <v>20190305135615474</v>
      </c>
      <c r="B1670" t="str">
        <f>"1551765375463111"</f>
        <v>1551765375463111</v>
      </c>
      <c r="C1670" t="s">
        <v>40</v>
      </c>
      <c r="D1670">
        <v>3.895016</v>
      </c>
      <c r="E1670">
        <v>0.58527479999999998</v>
      </c>
      <c r="F1670" t="s">
        <v>41</v>
      </c>
      <c r="G1670">
        <v>-439.15879999999999</v>
      </c>
      <c r="H1670">
        <v>0.829592199999999</v>
      </c>
      <c r="I1670">
        <v>285.49959999999999</v>
      </c>
      <c r="J1670">
        <v>-438.65989999999999</v>
      </c>
      <c r="K1670">
        <v>1.109256</v>
      </c>
      <c r="L1670">
        <v>285.3818</v>
      </c>
      <c r="M1670">
        <v>-0.99975049999999999</v>
      </c>
      <c r="N1670">
        <v>-1.5373939999999999E-2</v>
      </c>
      <c r="O1670">
        <v>1.620723E-2</v>
      </c>
      <c r="P1670">
        <v>-0.98365570000000002</v>
      </c>
      <c r="Q1670">
        <v>-0.1359091</v>
      </c>
      <c r="R1670">
        <v>-0.1181118</v>
      </c>
      <c r="S1670">
        <v>-2.9797669999999998</v>
      </c>
      <c r="T1670">
        <v>-0.81750679999999998</v>
      </c>
      <c r="U1670">
        <v>0.36746220000000002</v>
      </c>
      <c r="V1670">
        <v>-0.13375909999999999</v>
      </c>
      <c r="W1670">
        <v>-0.1211134</v>
      </c>
      <c r="X1670">
        <v>0.9835853</v>
      </c>
      <c r="Y1670">
        <v>0.1028511</v>
      </c>
      <c r="Z1670">
        <v>1.0506980000000001E-2</v>
      </c>
      <c r="AA1670">
        <v>0.9946412</v>
      </c>
      <c r="AB1670">
        <v>55</v>
      </c>
      <c r="AC1670">
        <v>-0.49889999999999102</v>
      </c>
      <c r="AD1670">
        <v>-0.27966380000000002</v>
      </c>
      <c r="AE1670">
        <v>0.117799999999988</v>
      </c>
      <c r="AF1670">
        <v>8.4536726294698897E-2</v>
      </c>
      <c r="AG1670">
        <v>-0.27966380000000002</v>
      </c>
      <c r="AH1670">
        <v>0.38588975014308202</v>
      </c>
      <c r="AI1670">
        <v>125.296059377605</v>
      </c>
      <c r="AJ1670">
        <v>77.6434365328995</v>
      </c>
      <c r="AK1670">
        <v>0.48401363450687501</v>
      </c>
      <c r="AL1670">
        <v>96.956364418939998</v>
      </c>
      <c r="AM1670">
        <v>97.744224350206295</v>
      </c>
      <c r="AN1670">
        <v>0.99999999743422896</v>
      </c>
    </row>
    <row r="1671" spans="1:40" x14ac:dyDescent="0.25">
      <c r="A1671" t="str">
        <f>"20190305135615497"</f>
        <v>20190305135615497</v>
      </c>
      <c r="B1671" t="str">
        <f>"1551765375493368"</f>
        <v>1551765375493368</v>
      </c>
      <c r="C1671" t="s">
        <v>40</v>
      </c>
      <c r="D1671">
        <v>3.7562669999999998</v>
      </c>
      <c r="E1671">
        <v>0.58531929999999999</v>
      </c>
      <c r="F1671" t="s">
        <v>41</v>
      </c>
      <c r="G1671">
        <v>-439.64940000000001</v>
      </c>
      <c r="H1671">
        <v>0.83715249999999997</v>
      </c>
      <c r="I1671">
        <v>285.50369999999998</v>
      </c>
      <c r="J1671">
        <v>-439.1934</v>
      </c>
      <c r="K1671">
        <v>1.1092799999999901</v>
      </c>
      <c r="L1671">
        <v>285.39010000000002</v>
      </c>
      <c r="M1671">
        <v>-0.99976220000000005</v>
      </c>
      <c r="N1671">
        <v>-1.5370150000000001E-2</v>
      </c>
      <c r="O1671">
        <v>1.5477360000000001E-2</v>
      </c>
      <c r="P1671">
        <v>-0.98371410000000004</v>
      </c>
      <c r="Q1671">
        <v>-0.13446520000000001</v>
      </c>
      <c r="R1671">
        <v>-0.11927310000000001</v>
      </c>
      <c r="S1671">
        <v>-2.980591</v>
      </c>
      <c r="T1671">
        <v>-0.81970379999999998</v>
      </c>
      <c r="U1671">
        <v>0.36636350000000001</v>
      </c>
      <c r="V1671">
        <v>-0.13420190000000001</v>
      </c>
      <c r="W1671">
        <v>-0.11967899999999999</v>
      </c>
      <c r="X1671">
        <v>0.98370060000000004</v>
      </c>
      <c r="Y1671">
        <v>0.103132</v>
      </c>
      <c r="Z1671">
        <v>1.07542E-2</v>
      </c>
      <c r="AA1671">
        <v>0.99460950000000004</v>
      </c>
      <c r="AB1671">
        <v>55</v>
      </c>
      <c r="AC1671">
        <v>-0.456000000000017</v>
      </c>
      <c r="AD1671">
        <v>-0.27212749999999902</v>
      </c>
      <c r="AE1671">
        <v>0.113599999999962</v>
      </c>
      <c r="AF1671">
        <v>7.9776775973457198E-2</v>
      </c>
      <c r="AG1671">
        <v>-0.27212749999999902</v>
      </c>
      <c r="AH1671">
        <v>0.342765983188693</v>
      </c>
      <c r="AI1671">
        <v>127.71295619267499</v>
      </c>
      <c r="AJ1671">
        <v>76.897996788021103</v>
      </c>
      <c r="AK1671">
        <v>0.44486652995283998</v>
      </c>
      <c r="AL1671">
        <v>96.873576838095303</v>
      </c>
      <c r="AM1671">
        <v>97.768648883541701</v>
      </c>
      <c r="AN1671">
        <v>1.0000000417224799</v>
      </c>
    </row>
    <row r="1672" spans="1:40" x14ac:dyDescent="0.25">
      <c r="A1672" t="str">
        <f>"20190305135615520"</f>
        <v>20190305135615520</v>
      </c>
      <c r="B1672" t="str">
        <f>"1551765375513863"</f>
        <v>1551765375513863</v>
      </c>
      <c r="C1672" t="s">
        <v>40</v>
      </c>
      <c r="D1672">
        <v>3.9246729999999999</v>
      </c>
      <c r="E1672">
        <v>0.5863891</v>
      </c>
      <c r="F1672" t="s">
        <v>41</v>
      </c>
      <c r="G1672">
        <v>-440.14179999999999</v>
      </c>
      <c r="H1672">
        <v>0.85021689999999905</v>
      </c>
      <c r="I1672">
        <v>285.50599999999997</v>
      </c>
      <c r="J1672">
        <v>-439.75259999999997</v>
      </c>
      <c r="K1672">
        <v>1.1093029999999999</v>
      </c>
      <c r="L1672">
        <v>285.39830000000001</v>
      </c>
      <c r="M1672">
        <v>-0.99977389999999999</v>
      </c>
      <c r="N1672">
        <v>-1.536586E-2</v>
      </c>
      <c r="O1672">
        <v>1.47061E-2</v>
      </c>
      <c r="P1672">
        <v>-0.98359560000000001</v>
      </c>
      <c r="Q1672">
        <v>-0.13367399999999999</v>
      </c>
      <c r="R1672">
        <v>-0.1211257</v>
      </c>
      <c r="S1672">
        <v>-2.9823300000000001</v>
      </c>
      <c r="T1672">
        <v>-0.81461430000000001</v>
      </c>
      <c r="U1672">
        <v>0.36267090000000002</v>
      </c>
      <c r="V1672">
        <v>-0.13529150000000001</v>
      </c>
      <c r="W1672">
        <v>-0.1189016</v>
      </c>
      <c r="X1672">
        <v>0.98364560000000001</v>
      </c>
      <c r="Y1672">
        <v>0.10265290000000001</v>
      </c>
      <c r="Z1672">
        <v>1.0817469999999999E-2</v>
      </c>
      <c r="AA1672">
        <v>0.99465840000000005</v>
      </c>
      <c r="AB1672">
        <v>55</v>
      </c>
      <c r="AC1672">
        <v>-0.38920000000001598</v>
      </c>
      <c r="AD1672">
        <v>-0.25908609999999999</v>
      </c>
      <c r="AE1672">
        <v>0.107699999999965</v>
      </c>
      <c r="AF1672">
        <v>7.2231855242138807E-2</v>
      </c>
      <c r="AG1672">
        <v>-0.25908609999999999</v>
      </c>
      <c r="AH1672">
        <v>0.27680355789622801</v>
      </c>
      <c r="AI1672">
        <v>132.16603138571799</v>
      </c>
      <c r="AJ1672">
        <v>75.374817598407901</v>
      </c>
      <c r="AK1672">
        <v>0.38595758547921</v>
      </c>
      <c r="AL1672">
        <v>96.828714883979899</v>
      </c>
      <c r="AM1672">
        <v>97.831376348813805</v>
      </c>
      <c r="AN1672">
        <v>1.0000000234270801</v>
      </c>
    </row>
    <row r="1673" spans="1:40" x14ac:dyDescent="0.25">
      <c r="A1673" t="str">
        <f>"20190305135615541"</f>
        <v>20190305135615541</v>
      </c>
      <c r="B1673" t="str">
        <f>"1551765375533890"</f>
        <v>1551765375533890</v>
      </c>
      <c r="C1673" t="s">
        <v>40</v>
      </c>
      <c r="D1673">
        <v>3.921284</v>
      </c>
      <c r="E1673">
        <v>0.61509380000000002</v>
      </c>
      <c r="F1673" t="s">
        <v>41</v>
      </c>
      <c r="G1673">
        <v>-440.63740000000001</v>
      </c>
      <c r="H1673">
        <v>0.87192420000000004</v>
      </c>
      <c r="I1673">
        <v>285.50659999999999</v>
      </c>
      <c r="J1673">
        <v>-440.28789999999998</v>
      </c>
      <c r="K1673">
        <v>1.1093249999999999</v>
      </c>
      <c r="L1673">
        <v>285.4058</v>
      </c>
      <c r="M1673">
        <v>-0.99978460000000002</v>
      </c>
      <c r="N1673">
        <v>-1.5362270000000001E-2</v>
      </c>
      <c r="O1673">
        <v>1.3958440000000001E-2</v>
      </c>
      <c r="P1673">
        <v>-0.9834176</v>
      </c>
      <c r="Q1673">
        <v>-0.13317370000000001</v>
      </c>
      <c r="R1673">
        <v>-0.1231042</v>
      </c>
      <c r="S1673">
        <v>-2.9860229999999999</v>
      </c>
      <c r="T1673">
        <v>-0.80115159999999996</v>
      </c>
      <c r="U1673">
        <v>0.36437989999999998</v>
      </c>
      <c r="V1673">
        <v>-0.1365287</v>
      </c>
      <c r="W1673">
        <v>-0.11841599999999999</v>
      </c>
      <c r="X1673">
        <v>0.9835332</v>
      </c>
      <c r="Y1673">
        <v>0.1038573</v>
      </c>
      <c r="Z1673">
        <v>1.100161E-2</v>
      </c>
      <c r="AA1673">
        <v>0.99453130000000001</v>
      </c>
      <c r="AB1673">
        <v>55</v>
      </c>
      <c r="AC1673">
        <v>-0.34950000000003401</v>
      </c>
      <c r="AD1673">
        <v>-0.237400799999999</v>
      </c>
      <c r="AE1673">
        <v>0.10079999999999199</v>
      </c>
      <c r="AF1673">
        <v>6.7260744004011802E-2</v>
      </c>
      <c r="AG1673">
        <v>-0.237400799999999</v>
      </c>
      <c r="AH1673">
        <v>0.24606099180303201</v>
      </c>
      <c r="AI1673">
        <v>132.94313945181</v>
      </c>
      <c r="AJ1673">
        <v>74.711683123593005</v>
      </c>
      <c r="AK1673">
        <v>0.34846686960413498</v>
      </c>
      <c r="AL1673">
        <v>96.800694281965605</v>
      </c>
      <c r="AM1673">
        <v>97.902982902397696</v>
      </c>
      <c r="AN1673">
        <v>0.99999999524096495</v>
      </c>
    </row>
    <row r="1674" spans="1:40" x14ac:dyDescent="0.25">
      <c r="A1674" t="str">
        <f>"20190305135615564"</f>
        <v>20190305135615564</v>
      </c>
      <c r="B1674" t="str">
        <f>"1551765375553410"</f>
        <v>1551765375553410</v>
      </c>
      <c r="C1674" t="s">
        <v>40</v>
      </c>
      <c r="D1674">
        <v>3.883508</v>
      </c>
      <c r="E1674">
        <v>0.61479879999999998</v>
      </c>
      <c r="F1674" t="s">
        <v>41</v>
      </c>
      <c r="G1674">
        <v>-441.14350000000002</v>
      </c>
      <c r="H1674">
        <v>0.91231439999999997</v>
      </c>
      <c r="I1674">
        <v>285.56900000000002</v>
      </c>
      <c r="J1674">
        <v>-440.82100000000003</v>
      </c>
      <c r="K1674">
        <v>1.1093519999999999</v>
      </c>
      <c r="L1674">
        <v>285.4128</v>
      </c>
      <c r="M1674">
        <v>-0.99979510000000005</v>
      </c>
      <c r="N1674">
        <v>-1.535911E-2</v>
      </c>
      <c r="O1674">
        <v>1.3194330000000001E-2</v>
      </c>
      <c r="P1674">
        <v>-0.98318430000000001</v>
      </c>
      <c r="Q1674">
        <v>-0.13265589999999999</v>
      </c>
      <c r="R1674">
        <v>-0.125504</v>
      </c>
      <c r="S1674">
        <v>-3.0281980000000002</v>
      </c>
      <c r="T1674">
        <v>-0.69750859999999903</v>
      </c>
      <c r="U1674">
        <v>0.57571410000000001</v>
      </c>
      <c r="V1674">
        <v>-0.13816929999999999</v>
      </c>
      <c r="W1674">
        <v>-0.1179161</v>
      </c>
      <c r="X1674">
        <v>0.98336420000000002</v>
      </c>
      <c r="Y1674">
        <v>0.1694987</v>
      </c>
      <c r="Z1674">
        <v>1.766007E-2</v>
      </c>
      <c r="AA1674">
        <v>0.98537220000000003</v>
      </c>
      <c r="AB1674">
        <v>54</v>
      </c>
      <c r="AC1674">
        <v>-0.32250000000004703</v>
      </c>
      <c r="AD1674">
        <v>-0.19703760000000001</v>
      </c>
      <c r="AE1674">
        <v>0.156200000000012</v>
      </c>
      <c r="AF1674">
        <v>0.116658447584522</v>
      </c>
      <c r="AG1674">
        <v>-0.19703760000000001</v>
      </c>
      <c r="AH1674">
        <v>0.24918941972782099</v>
      </c>
      <c r="AI1674">
        <v>125.60735129742</v>
      </c>
      <c r="AJ1674">
        <v>64.913276831889604</v>
      </c>
      <c r="AK1674">
        <v>0.338420413259719</v>
      </c>
      <c r="AL1674">
        <v>96.771849621000001</v>
      </c>
      <c r="AM1674">
        <v>97.998084461468196</v>
      </c>
      <c r="AN1674">
        <v>1.00000005597166</v>
      </c>
    </row>
    <row r="1675" spans="1:40" x14ac:dyDescent="0.25">
      <c r="A1675" t="str">
        <f>"20190305135615586"</f>
        <v>20190305135615586</v>
      </c>
      <c r="B1675" t="str">
        <f>"1551765375583665"</f>
        <v>1551765375583665</v>
      </c>
      <c r="C1675" t="s">
        <v>40</v>
      </c>
      <c r="D1675">
        <v>3.8379810000000001</v>
      </c>
      <c r="E1675">
        <v>0.61623229999999996</v>
      </c>
      <c r="F1675" t="s">
        <v>41</v>
      </c>
      <c r="G1675">
        <v>-441.63229999999999</v>
      </c>
      <c r="H1675">
        <v>0.91938319999999996</v>
      </c>
      <c r="I1675">
        <v>285.5652</v>
      </c>
      <c r="J1675">
        <v>-441.36610000000002</v>
      </c>
      <c r="K1675">
        <v>1.109399</v>
      </c>
      <c r="L1675">
        <v>285.41950000000003</v>
      </c>
      <c r="M1675">
        <v>-0.99980550000000001</v>
      </c>
      <c r="N1675">
        <v>-1.535601E-2</v>
      </c>
      <c r="O1675">
        <v>1.2376750000000001E-2</v>
      </c>
      <c r="P1675">
        <v>-0.98281929999999995</v>
      </c>
      <c r="Q1675">
        <v>-0.13250039999999999</v>
      </c>
      <c r="R1675">
        <v>-0.12849089999999999</v>
      </c>
      <c r="S1675">
        <v>-3.0281069999999999</v>
      </c>
      <c r="T1675">
        <v>-0.70919659999999995</v>
      </c>
      <c r="U1675">
        <v>0.56750489999999998</v>
      </c>
      <c r="V1675">
        <v>-0.14033889999999999</v>
      </c>
      <c r="W1675">
        <v>-0.11778569999999999</v>
      </c>
      <c r="X1675">
        <v>0.98307250000000002</v>
      </c>
      <c r="Y1675">
        <v>0.16762289999999999</v>
      </c>
      <c r="Z1675">
        <v>1.787306E-2</v>
      </c>
      <c r="AA1675">
        <v>0.98568920000000004</v>
      </c>
      <c r="AB1675">
        <v>54</v>
      </c>
      <c r="AC1675">
        <v>-0.26619999999996902</v>
      </c>
      <c r="AD1675">
        <v>-0.19001580000000001</v>
      </c>
      <c r="AE1675">
        <v>0.14569999999997599</v>
      </c>
      <c r="AF1675">
        <v>0.102289291801231</v>
      </c>
      <c r="AG1675">
        <v>-0.19001580000000001</v>
      </c>
      <c r="AH1675">
        <v>0.192507052027237</v>
      </c>
      <c r="AI1675">
        <v>131.077030153718</v>
      </c>
      <c r="AJ1675">
        <v>62.015901898077502</v>
      </c>
      <c r="AK1675">
        <v>0.28918518037246399</v>
      </c>
      <c r="AL1675">
        <v>96.764326139093598</v>
      </c>
      <c r="AM1675">
        <v>98.124388970183006</v>
      </c>
      <c r="AN1675">
        <v>1.0000000091169701</v>
      </c>
    </row>
    <row r="1676" spans="1:40" x14ac:dyDescent="0.25">
      <c r="A1676" t="str">
        <f>"20190305135615610"</f>
        <v>20190305135615610</v>
      </c>
      <c r="B1676" t="str">
        <f>"1551765375603185"</f>
        <v>1551765375603185</v>
      </c>
      <c r="C1676" t="s">
        <v>40</v>
      </c>
      <c r="D1676">
        <v>3.777164</v>
      </c>
      <c r="E1676">
        <v>0.61719499999999905</v>
      </c>
      <c r="F1676" t="s">
        <v>41</v>
      </c>
      <c r="G1676">
        <v>-442.11660000000001</v>
      </c>
      <c r="H1676">
        <v>0.91700360000000003</v>
      </c>
      <c r="I1676">
        <v>285.56290000000001</v>
      </c>
      <c r="J1676">
        <v>-441.92860000000002</v>
      </c>
      <c r="K1676">
        <v>1.109467</v>
      </c>
      <c r="L1676">
        <v>285.42599999999999</v>
      </c>
      <c r="M1676">
        <v>-0.99981640000000005</v>
      </c>
      <c r="N1676">
        <v>-1.535269E-2</v>
      </c>
      <c r="O1676">
        <v>1.147335E-2</v>
      </c>
      <c r="P1676">
        <v>-0.98241840000000002</v>
      </c>
      <c r="Q1676">
        <v>-0.13225399999999901</v>
      </c>
      <c r="R1676">
        <v>-0.1317692</v>
      </c>
      <c r="S1676">
        <v>-3.023285</v>
      </c>
      <c r="T1676">
        <v>-0.77507199999999998</v>
      </c>
      <c r="U1676">
        <v>0.5763855</v>
      </c>
      <c r="V1676">
        <v>-0.14271229999999999</v>
      </c>
      <c r="W1676">
        <v>-0.11757140000000001</v>
      </c>
      <c r="X1676">
        <v>0.98275639999999997</v>
      </c>
      <c r="Y1676">
        <v>0.17064470000000001</v>
      </c>
      <c r="Z1676">
        <v>1.9988579999999999E-2</v>
      </c>
      <c r="AA1676">
        <v>0.98512980000000006</v>
      </c>
      <c r="AB1676">
        <v>54</v>
      </c>
      <c r="AC1676">
        <v>-0.18799999999998801</v>
      </c>
      <c r="AD1676">
        <v>-0.19246339999999901</v>
      </c>
      <c r="AE1676">
        <v>0.136900000000025</v>
      </c>
      <c r="AF1676">
        <v>7.9966366528975194E-2</v>
      </c>
      <c r="AG1676">
        <v>-0.19246339999999901</v>
      </c>
      <c r="AH1676">
        <v>0.11250563434818101</v>
      </c>
      <c r="AI1676">
        <v>144.35294512157299</v>
      </c>
      <c r="AJ1676">
        <v>54.595677865082102</v>
      </c>
      <c r="AK1676">
        <v>0.236842348146384</v>
      </c>
      <c r="AL1676">
        <v>96.751961884447894</v>
      </c>
      <c r="AM1676">
        <v>98.262527691202294</v>
      </c>
      <c r="AN1676">
        <v>0.99999998820510405</v>
      </c>
    </row>
    <row r="1677" spans="1:40" x14ac:dyDescent="0.25">
      <c r="A1677" t="str">
        <f>"20190305135615632"</f>
        <v>20190305135615632</v>
      </c>
      <c r="B1677" t="str">
        <f>"1551765375623681"</f>
        <v>1551765375623681</v>
      </c>
      <c r="C1677" t="s">
        <v>40</v>
      </c>
      <c r="D1677">
        <v>3.8062140000000002</v>
      </c>
      <c r="E1677">
        <v>0.61811039999999995</v>
      </c>
      <c r="F1677" t="s">
        <v>41</v>
      </c>
      <c r="G1677">
        <v>-442.6078</v>
      </c>
      <c r="H1677">
        <v>0.93104469999999995</v>
      </c>
      <c r="I1677">
        <v>285.55549999999999</v>
      </c>
      <c r="J1677">
        <v>-442.49310000000003</v>
      </c>
      <c r="K1677">
        <v>1.109548</v>
      </c>
      <c r="L1677">
        <v>285.43180000000001</v>
      </c>
      <c r="M1677">
        <v>-0.99982740000000003</v>
      </c>
      <c r="N1677">
        <v>-1.5349649999999999E-2</v>
      </c>
      <c r="O1677">
        <v>1.046413E-2</v>
      </c>
      <c r="P1677">
        <v>-0.98210319999999995</v>
      </c>
      <c r="Q1677">
        <v>-0.13093299999999999</v>
      </c>
      <c r="R1677">
        <v>-0.1353887</v>
      </c>
      <c r="S1677">
        <v>-3.0240170000000002</v>
      </c>
      <c r="T1677">
        <v>-0.79435480000000003</v>
      </c>
      <c r="U1677">
        <v>0.57629390000000003</v>
      </c>
      <c r="V1677">
        <v>-0.14531959999999999</v>
      </c>
      <c r="W1677">
        <v>-0.11629109999999999</v>
      </c>
      <c r="X1677">
        <v>0.98252669999999998</v>
      </c>
      <c r="Y1677">
        <v>0.1712612</v>
      </c>
      <c r="Z1677">
        <v>2.075689E-2</v>
      </c>
      <c r="AA1677">
        <v>0.98500699999999997</v>
      </c>
      <c r="AB1677">
        <v>54</v>
      </c>
      <c r="AC1677">
        <v>-0.11469999999997001</v>
      </c>
      <c r="AD1677">
        <v>-0.178503299999999</v>
      </c>
      <c r="AE1677">
        <v>0.123699999999985</v>
      </c>
      <c r="AF1677">
        <v>5.7788539821415401E-2</v>
      </c>
      <c r="AG1677">
        <v>-0.178503299999999</v>
      </c>
      <c r="AH1677">
        <v>5.4719876708318703E-2</v>
      </c>
      <c r="AI1677">
        <v>155.970470365246</v>
      </c>
      <c r="AJ1677">
        <v>43.437646971197601</v>
      </c>
      <c r="AK1677">
        <v>0.19544106107099099</v>
      </c>
      <c r="AL1677">
        <v>96.678098906621301</v>
      </c>
      <c r="AM1677">
        <v>98.413278649327196</v>
      </c>
      <c r="AN1677">
        <v>1.0000000611481199</v>
      </c>
    </row>
    <row r="1678" spans="1:40" x14ac:dyDescent="0.25">
      <c r="A1678" t="str">
        <f>"20190305135615655"</f>
        <v>20190305135615655</v>
      </c>
      <c r="B1678" t="str">
        <f>"1551765375643712"</f>
        <v>1551765375643712</v>
      </c>
      <c r="C1678" t="s">
        <v>40</v>
      </c>
      <c r="D1678">
        <v>3.7865069999999998</v>
      </c>
      <c r="E1678">
        <v>0.61896879999999999</v>
      </c>
      <c r="F1678" t="s">
        <v>41</v>
      </c>
      <c r="G1678">
        <v>-443.5369</v>
      </c>
      <c r="H1678">
        <v>0.83279249999999905</v>
      </c>
      <c r="I1678">
        <v>285.62959999999998</v>
      </c>
      <c r="J1678">
        <v>-443.01769999999999</v>
      </c>
      <c r="K1678">
        <v>1.10965</v>
      </c>
      <c r="L1678">
        <v>285.43669999999997</v>
      </c>
      <c r="M1678">
        <v>-0.99983809999999995</v>
      </c>
      <c r="N1678">
        <v>-1.5347349999999999E-2</v>
      </c>
      <c r="O1678">
        <v>9.4105379999999995E-3</v>
      </c>
      <c r="P1678">
        <v>-0.98187150000000001</v>
      </c>
      <c r="Q1678">
        <v>-0.12951750000000001</v>
      </c>
      <c r="R1678">
        <v>-0.1383973</v>
      </c>
      <c r="S1678">
        <v>-3.0267940000000002</v>
      </c>
      <c r="T1678">
        <v>-0.80248069999999905</v>
      </c>
      <c r="U1678">
        <v>0.57382200000000005</v>
      </c>
      <c r="V1678">
        <v>-0.14727000000000001</v>
      </c>
      <c r="W1678">
        <v>-0.11491949999999999</v>
      </c>
      <c r="X1678">
        <v>0.98239759999999998</v>
      </c>
      <c r="Y1678">
        <v>0.17122399999999999</v>
      </c>
      <c r="Z1678">
        <v>2.1183150000000001E-2</v>
      </c>
      <c r="AA1678">
        <v>0.9850044</v>
      </c>
      <c r="AB1678">
        <v>54</v>
      </c>
      <c r="AC1678">
        <v>-0.51920000000001199</v>
      </c>
      <c r="AD1678">
        <v>-0.27685749999999998</v>
      </c>
      <c r="AE1678">
        <v>0.19290000000000801</v>
      </c>
      <c r="AF1678">
        <v>0.150421473245584</v>
      </c>
      <c r="AG1678">
        <v>-0.27685749999999998</v>
      </c>
      <c r="AH1678">
        <v>0.41684258428455501</v>
      </c>
      <c r="AI1678">
        <v>121.99487891492301</v>
      </c>
      <c r="AJ1678">
        <v>70.157556085911395</v>
      </c>
      <c r="AK1678">
        <v>0.52252697058874198</v>
      </c>
      <c r="AL1678">
        <v>96.598981992371904</v>
      </c>
      <c r="AM1678">
        <v>98.525652564146995</v>
      </c>
      <c r="AN1678">
        <v>0.99999999443300402</v>
      </c>
    </row>
    <row r="1679" spans="1:40" x14ac:dyDescent="0.25">
      <c r="A1679" t="str">
        <f>"20190305135615675"</f>
        <v>20190305135615675</v>
      </c>
      <c r="B1679" t="str">
        <f>"1551765375663232"</f>
        <v>1551765375663232</v>
      </c>
      <c r="C1679" t="s">
        <v>40</v>
      </c>
      <c r="D1679">
        <v>3.7718400000000001</v>
      </c>
      <c r="E1679">
        <v>0.61983299999999997</v>
      </c>
      <c r="F1679" t="s">
        <v>41</v>
      </c>
      <c r="G1679">
        <v>-444.02440000000001</v>
      </c>
      <c r="H1679">
        <v>0.84081459999999997</v>
      </c>
      <c r="I1679">
        <v>285.62720000000002</v>
      </c>
      <c r="J1679">
        <v>-443.52530000000002</v>
      </c>
      <c r="K1679">
        <v>1.1097629999999901</v>
      </c>
      <c r="L1679">
        <v>285.44080000000002</v>
      </c>
      <c r="M1679">
        <v>-0.99984799999999996</v>
      </c>
      <c r="N1679">
        <v>-1.5345650000000001E-2</v>
      </c>
      <c r="O1679">
        <v>8.2832119999999999E-3</v>
      </c>
      <c r="P1679">
        <v>-0.98170570000000001</v>
      </c>
      <c r="Q1679">
        <v>-0.12843679999999999</v>
      </c>
      <c r="R1679">
        <v>-0.14056340000000001</v>
      </c>
      <c r="S1679">
        <v>-3.0292659999999998</v>
      </c>
      <c r="T1679">
        <v>-0.80910869999999901</v>
      </c>
      <c r="U1679">
        <v>0.57189939999999995</v>
      </c>
      <c r="V1679">
        <v>-0.14830279999999901</v>
      </c>
      <c r="W1679">
        <v>-0.1138829</v>
      </c>
      <c r="X1679">
        <v>0.98236290000000004</v>
      </c>
      <c r="Y1679">
        <v>0.1714572</v>
      </c>
      <c r="Z1679">
        <v>2.1634839999999999E-2</v>
      </c>
      <c r="AA1679">
        <v>0.984954</v>
      </c>
      <c r="AB1679">
        <v>54</v>
      </c>
      <c r="AC1679">
        <v>-0.49909999999999799</v>
      </c>
      <c r="AD1679">
        <v>-0.26894839999999898</v>
      </c>
      <c r="AE1679">
        <v>0.18639999999999099</v>
      </c>
      <c r="AF1679">
        <v>0.145245606396635</v>
      </c>
      <c r="AG1679">
        <v>-0.26894839999999898</v>
      </c>
      <c r="AH1679">
        <v>0.39895913192639898</v>
      </c>
      <c r="AI1679">
        <v>122.352292200289</v>
      </c>
      <c r="AJ1679">
        <v>69.9953894856544</v>
      </c>
      <c r="AK1679">
        <v>0.50259120265634605</v>
      </c>
      <c r="AL1679">
        <v>96.539196954449494</v>
      </c>
      <c r="AM1679">
        <v>98.584853650744705</v>
      </c>
      <c r="AN1679">
        <v>0.99999995134832798</v>
      </c>
    </row>
    <row r="1680" spans="1:40" x14ac:dyDescent="0.25">
      <c r="A1680" t="str">
        <f>"20190305135615698"</f>
        <v>20190305135615698</v>
      </c>
      <c r="B1680" t="str">
        <f>"1551765375693487"</f>
        <v>1551765375693487</v>
      </c>
      <c r="C1680" t="s">
        <v>40</v>
      </c>
      <c r="D1680">
        <v>3.7478530000000001</v>
      </c>
      <c r="E1680">
        <v>0.62082959999999998</v>
      </c>
      <c r="F1680" t="s">
        <v>41</v>
      </c>
      <c r="G1680">
        <v>-444.51</v>
      </c>
      <c r="H1680">
        <v>0.84533719999999901</v>
      </c>
      <c r="I1680">
        <v>285.6266</v>
      </c>
      <c r="J1680">
        <v>-444.07190000000003</v>
      </c>
      <c r="K1680">
        <v>1.109901</v>
      </c>
      <c r="L1680">
        <v>285.44450000000001</v>
      </c>
      <c r="M1680">
        <v>-0.99985829999999998</v>
      </c>
      <c r="N1680">
        <v>-1.5344389999999999E-2</v>
      </c>
      <c r="O1680">
        <v>6.9174600000000003E-3</v>
      </c>
      <c r="P1680">
        <v>-0.98132280000000005</v>
      </c>
      <c r="Q1680">
        <v>-0.12889349999999999</v>
      </c>
      <c r="R1680">
        <v>-0.1428006</v>
      </c>
      <c r="S1680">
        <v>-3.031342</v>
      </c>
      <c r="T1680">
        <v>-0.81399239999999995</v>
      </c>
      <c r="U1680">
        <v>0.57208249999999905</v>
      </c>
      <c r="V1680">
        <v>-0.14915809999999999</v>
      </c>
      <c r="W1680">
        <v>-0.11439680000000001</v>
      </c>
      <c r="X1680">
        <v>0.98217370000000004</v>
      </c>
      <c r="Y1680">
        <v>0.172592299999999</v>
      </c>
      <c r="Z1680">
        <v>2.223348E-2</v>
      </c>
      <c r="AA1680">
        <v>0.98474240000000002</v>
      </c>
      <c r="AB1680">
        <v>54</v>
      </c>
      <c r="AC1680">
        <v>-0.43809999999996302</v>
      </c>
      <c r="AD1680">
        <v>-0.26456380000000002</v>
      </c>
      <c r="AE1680">
        <v>0.18209999999999099</v>
      </c>
      <c r="AF1680">
        <v>0.13659083130758501</v>
      </c>
      <c r="AG1680">
        <v>-0.26456380000000002</v>
      </c>
      <c r="AH1680">
        <v>0.33513626811262098</v>
      </c>
      <c r="AI1680">
        <v>126.16815734902001</v>
      </c>
      <c r="AJ1680">
        <v>67.825761297466897</v>
      </c>
      <c r="AK1680">
        <v>0.44829385192325799</v>
      </c>
      <c r="AL1680">
        <v>96.568834815769307</v>
      </c>
      <c r="AM1680">
        <v>98.635258766202796</v>
      </c>
      <c r="AN1680">
        <v>0.99999997180876898</v>
      </c>
    </row>
    <row r="1681" spans="1:40" x14ac:dyDescent="0.25">
      <c r="A1681" t="str">
        <f>"20190305135615720"</f>
        <v>20190305135615720</v>
      </c>
      <c r="B1681" t="str">
        <f>"1551765375713983"</f>
        <v>1551765375713983</v>
      </c>
      <c r="C1681" t="s">
        <v>40</v>
      </c>
      <c r="D1681">
        <v>3.7630029999999999</v>
      </c>
      <c r="E1681">
        <v>0.62151279999999998</v>
      </c>
      <c r="F1681" t="s">
        <v>41</v>
      </c>
      <c r="G1681">
        <v>-444.99860000000001</v>
      </c>
      <c r="H1681">
        <v>0.85800789999999905</v>
      </c>
      <c r="I1681">
        <v>285.62</v>
      </c>
      <c r="J1681">
        <v>-444.62029999999999</v>
      </c>
      <c r="K1681">
        <v>1.110063</v>
      </c>
      <c r="L1681">
        <v>285.44729999999998</v>
      </c>
      <c r="M1681">
        <v>-0.99986799999999998</v>
      </c>
      <c r="N1681">
        <v>-1.534372E-2</v>
      </c>
      <c r="O1681">
        <v>5.3513149999999997E-3</v>
      </c>
      <c r="P1681">
        <v>-0.98079280000000002</v>
      </c>
      <c r="Q1681">
        <v>-0.13022429999999999</v>
      </c>
      <c r="R1681">
        <v>-0.14521419999999999</v>
      </c>
      <c r="S1681">
        <v>-3.0323180000000001</v>
      </c>
      <c r="T1681">
        <v>-0.82427070000000002</v>
      </c>
      <c r="U1681">
        <v>0.57376099999999997</v>
      </c>
      <c r="V1681">
        <v>-0.1499808</v>
      </c>
      <c r="W1681">
        <v>-0.11579739999999999</v>
      </c>
      <c r="X1681">
        <v>0.98188430000000004</v>
      </c>
      <c r="Y1681">
        <v>0.1743451</v>
      </c>
      <c r="Z1681">
        <v>2.3116810000000002E-2</v>
      </c>
      <c r="AA1681">
        <v>0.98441319999999999</v>
      </c>
      <c r="AB1681">
        <v>54</v>
      </c>
      <c r="AC1681">
        <v>-0.37830000000002401</v>
      </c>
      <c r="AD1681">
        <v>-0.25205509999999998</v>
      </c>
      <c r="AE1681">
        <v>0.17270000000002</v>
      </c>
      <c r="AF1681">
        <v>0.124818253338994</v>
      </c>
      <c r="AG1681">
        <v>-0.25205509999999998</v>
      </c>
      <c r="AH1681">
        <v>0.27733424588535099</v>
      </c>
      <c r="AI1681">
        <v>129.651242266314</v>
      </c>
      <c r="AJ1681">
        <v>65.769189304761497</v>
      </c>
      <c r="AK1681">
        <v>0.39500082752242899</v>
      </c>
      <c r="AL1681">
        <v>96.649619795380701</v>
      </c>
      <c r="AM1681">
        <v>98.684683752014195</v>
      </c>
      <c r="AN1681">
        <v>1.00000002840094</v>
      </c>
    </row>
    <row r="1682" spans="1:40" x14ac:dyDescent="0.25">
      <c r="A1682" t="str">
        <f>"20190305135615742"</f>
        <v>20190305135615742</v>
      </c>
      <c r="B1682" t="str">
        <f>"1551765375733035"</f>
        <v>1551765375733035</v>
      </c>
      <c r="C1682" t="s">
        <v>40</v>
      </c>
      <c r="D1682">
        <v>3.8627799999999999</v>
      </c>
      <c r="E1682">
        <v>0.62197209999999903</v>
      </c>
      <c r="F1682" t="s">
        <v>41</v>
      </c>
      <c r="G1682">
        <v>-445.4873</v>
      </c>
      <c r="H1682">
        <v>0.87186900000000001</v>
      </c>
      <c r="I1682">
        <v>285.61130000000003</v>
      </c>
      <c r="J1682">
        <v>-445.15640000000002</v>
      </c>
      <c r="K1682">
        <v>1.11026</v>
      </c>
      <c r="L1682">
        <v>285.44920000000002</v>
      </c>
      <c r="M1682">
        <v>-0.99987579999999998</v>
      </c>
      <c r="N1682">
        <v>-1.5344109999999999E-2</v>
      </c>
      <c r="O1682">
        <v>3.5990430000000001E-3</v>
      </c>
      <c r="P1682">
        <v>-0.98039109999999996</v>
      </c>
      <c r="Q1682">
        <v>-0.13062380000000001</v>
      </c>
      <c r="R1682">
        <v>-0.14754900000000001</v>
      </c>
      <c r="S1682">
        <v>-3.032867</v>
      </c>
      <c r="T1682">
        <v>-0.8333815</v>
      </c>
      <c r="U1682">
        <v>0.57260129999999998</v>
      </c>
      <c r="V1682">
        <v>-0.15053839999999999</v>
      </c>
      <c r="W1682">
        <v>-0.1162739</v>
      </c>
      <c r="X1682">
        <v>0.98174260000000002</v>
      </c>
      <c r="Y1682">
        <v>0.1754424</v>
      </c>
      <c r="Z1682">
        <v>2.3943320000000001E-2</v>
      </c>
      <c r="AA1682">
        <v>0.98419849999999998</v>
      </c>
      <c r="AB1682">
        <v>54</v>
      </c>
      <c r="AC1682">
        <v>-0.33089999999998498</v>
      </c>
      <c r="AD1682">
        <v>-0.23839099999999999</v>
      </c>
      <c r="AE1682">
        <v>0.16210000000000899</v>
      </c>
      <c r="AF1682">
        <v>0.113429341408987</v>
      </c>
      <c r="AG1682">
        <v>-0.23839099999999999</v>
      </c>
      <c r="AH1682">
        <v>0.23367225682748799</v>
      </c>
      <c r="AI1682">
        <v>132.54504638705001</v>
      </c>
      <c r="AJ1682">
        <v>64.107105672847794</v>
      </c>
      <c r="AK1682">
        <v>0.35256092804553302</v>
      </c>
      <c r="AL1682">
        <v>96.677107224661796</v>
      </c>
      <c r="AM1682">
        <v>98.717715534222705</v>
      </c>
      <c r="AN1682">
        <v>0.99999998117526401</v>
      </c>
    </row>
    <row r="1683" spans="1:40" x14ac:dyDescent="0.25">
      <c r="A1683" t="str">
        <f>"20190305135615765"</f>
        <v>20190305135615765</v>
      </c>
      <c r="B1683" t="str">
        <f>"1551765375753531"</f>
        <v>1551765375753531</v>
      </c>
      <c r="C1683" t="s">
        <v>40</v>
      </c>
      <c r="D1683">
        <v>3.859102</v>
      </c>
      <c r="E1683">
        <v>0.62226169999999903</v>
      </c>
      <c r="F1683" t="s">
        <v>41</v>
      </c>
      <c r="G1683">
        <v>-445.97469999999998</v>
      </c>
      <c r="H1683">
        <v>0.883712099999999</v>
      </c>
      <c r="I1683">
        <v>285.60300000000001</v>
      </c>
      <c r="J1683">
        <v>-445.68259999999998</v>
      </c>
      <c r="K1683">
        <v>1.110487</v>
      </c>
      <c r="L1683">
        <v>285.44990000000001</v>
      </c>
      <c r="M1683">
        <v>-0.99988089999999996</v>
      </c>
      <c r="N1683">
        <v>-1.5345839999999999E-2</v>
      </c>
      <c r="O1683">
        <v>1.6431130000000001E-3</v>
      </c>
      <c r="P1683">
        <v>-0.97997559999999995</v>
      </c>
      <c r="Q1683">
        <v>-0.13076009999999999</v>
      </c>
      <c r="R1683">
        <v>-0.15016699999999999</v>
      </c>
      <c r="S1683">
        <v>-3.0338440000000002</v>
      </c>
      <c r="T1683">
        <v>-0.83995489999999995</v>
      </c>
      <c r="U1683">
        <v>0.56973269999999998</v>
      </c>
      <c r="V1683">
        <v>-0.1511739</v>
      </c>
      <c r="W1683">
        <v>-0.1164968</v>
      </c>
      <c r="X1683">
        <v>0.98161849999999995</v>
      </c>
      <c r="Y1683">
        <v>0.17621899999999999</v>
      </c>
      <c r="Z1683">
        <v>2.4718549999999999E-2</v>
      </c>
      <c r="AA1683">
        <v>0.98404060000000004</v>
      </c>
      <c r="AB1683">
        <v>54</v>
      </c>
      <c r="AC1683">
        <v>-0.29210000000000402</v>
      </c>
      <c r="AD1683">
        <v>-0.2267749</v>
      </c>
      <c r="AE1683">
        <v>0.15309999999999399</v>
      </c>
      <c r="AF1683">
        <v>0.103622900854813</v>
      </c>
      <c r="AG1683">
        <v>-0.2267749</v>
      </c>
      <c r="AH1683">
        <v>0.19849509869860801</v>
      </c>
      <c r="AI1683">
        <v>135.363547908691</v>
      </c>
      <c r="AJ1683">
        <v>62.433522180021598</v>
      </c>
      <c r="AK1683">
        <v>0.31869243018770799</v>
      </c>
      <c r="AL1683">
        <v>96.689965941627804</v>
      </c>
      <c r="AM1683">
        <v>98.755038173261497</v>
      </c>
      <c r="AN1683">
        <v>0.99999996599684904</v>
      </c>
    </row>
    <row r="1684" spans="1:40" x14ac:dyDescent="0.25">
      <c r="A1684" t="str">
        <f>"20190305135615787"</f>
        <v>20190305135615787</v>
      </c>
      <c r="B1684" t="str">
        <f>"1551765375783787"</f>
        <v>1551765375783787</v>
      </c>
      <c r="C1684" t="s">
        <v>40</v>
      </c>
      <c r="D1684">
        <v>3.7972570000000001</v>
      </c>
      <c r="E1684">
        <v>0.62284280000000003</v>
      </c>
      <c r="F1684" t="s">
        <v>41</v>
      </c>
      <c r="G1684">
        <v>-446.4606</v>
      </c>
      <c r="H1684">
        <v>0.89288269999999903</v>
      </c>
      <c r="I1684">
        <v>285.5951</v>
      </c>
      <c r="J1684">
        <v>-446.2312</v>
      </c>
      <c r="K1684">
        <v>1.1107479999999901</v>
      </c>
      <c r="L1684">
        <v>285.4495</v>
      </c>
      <c r="M1684">
        <v>-0.99988200000000005</v>
      </c>
      <c r="N1684">
        <v>-1.5349069999999999E-2</v>
      </c>
      <c r="O1684">
        <v>-6.5301680000000003E-4</v>
      </c>
      <c r="P1684">
        <v>-0.97938749999999997</v>
      </c>
      <c r="Q1684">
        <v>-0.13119729999999999</v>
      </c>
      <c r="R1684">
        <v>-0.15358260000000001</v>
      </c>
      <c r="S1684">
        <v>-3.0345149999999999</v>
      </c>
      <c r="T1684">
        <v>-0.84899230000000003</v>
      </c>
      <c r="U1684">
        <v>0.56475830000000005</v>
      </c>
      <c r="V1684">
        <v>-0.1522626</v>
      </c>
      <c r="W1684">
        <v>-0.11703810000000001</v>
      </c>
      <c r="X1684">
        <v>0.98138579999999997</v>
      </c>
      <c r="Y1684">
        <v>0.1766461</v>
      </c>
      <c r="Z1684">
        <v>2.561167E-2</v>
      </c>
      <c r="AA1684">
        <v>0.98394110000000001</v>
      </c>
      <c r="AB1684">
        <v>54</v>
      </c>
      <c r="AC1684">
        <v>-0.22939999999999799</v>
      </c>
      <c r="AD1684">
        <v>-0.21786529999999901</v>
      </c>
      <c r="AE1684">
        <v>0.14560000000000101</v>
      </c>
      <c r="AF1684">
        <v>8.87120084578992E-2</v>
      </c>
      <c r="AG1684">
        <v>-0.21786529999999901</v>
      </c>
      <c r="AH1684">
        <v>0.13956860537642199</v>
      </c>
      <c r="AI1684">
        <v>142.79879524052299</v>
      </c>
      <c r="AJ1684">
        <v>57.559316313306802</v>
      </c>
      <c r="AK1684">
        <v>0.27352240309606002</v>
      </c>
      <c r="AL1684">
        <v>96.721193861567698</v>
      </c>
      <c r="AM1684">
        <v>98.819159341385102</v>
      </c>
      <c r="AN1684">
        <v>0.99999995232600303</v>
      </c>
    </row>
    <row r="1685" spans="1:40" x14ac:dyDescent="0.25">
      <c r="A1685" t="str">
        <f>"20190305135615811"</f>
        <v>20190305135615811</v>
      </c>
      <c r="B1685" t="str">
        <f>"1551765375803307"</f>
        <v>1551765375803307</v>
      </c>
      <c r="C1685" t="s">
        <v>40</v>
      </c>
      <c r="D1685">
        <v>3.9121990000000002</v>
      </c>
      <c r="E1685">
        <v>0.62316949999999904</v>
      </c>
      <c r="F1685" t="s">
        <v>41</v>
      </c>
      <c r="G1685">
        <v>-446.94850000000002</v>
      </c>
      <c r="H1685">
        <v>0.90819419999999995</v>
      </c>
      <c r="I1685">
        <v>285.5822</v>
      </c>
      <c r="J1685">
        <v>-446.78339999999997</v>
      </c>
      <c r="K1685">
        <v>1.1110260000000001</v>
      </c>
      <c r="L1685">
        <v>285.44760000000002</v>
      </c>
      <c r="M1685">
        <v>-0.99987680000000001</v>
      </c>
      <c r="N1685">
        <v>-1.535343E-2</v>
      </c>
      <c r="O1685">
        <v>-3.2396069999999998E-3</v>
      </c>
      <c r="P1685">
        <v>-0.97864629999999997</v>
      </c>
      <c r="Q1685">
        <v>-0.13196830000000001</v>
      </c>
      <c r="R1685">
        <v>-0.15759389999999901</v>
      </c>
      <c r="S1685">
        <v>-3.036133</v>
      </c>
      <c r="T1685">
        <v>-0.85758639999999997</v>
      </c>
      <c r="U1685">
        <v>0.56030269999999904</v>
      </c>
      <c r="V1685">
        <v>-0.15365519999999999</v>
      </c>
      <c r="W1685">
        <v>-0.1179249</v>
      </c>
      <c r="X1685">
        <v>0.98106260000000001</v>
      </c>
      <c r="Y1685">
        <v>0.1774473</v>
      </c>
      <c r="Z1685">
        <v>2.6628079999999998E-2</v>
      </c>
      <c r="AA1685">
        <v>0.98377000000000003</v>
      </c>
      <c r="AB1685">
        <v>54</v>
      </c>
      <c r="AC1685">
        <v>-0.16510000000005201</v>
      </c>
      <c r="AD1685">
        <v>-0.20283180000000001</v>
      </c>
      <c r="AE1685">
        <v>0.13459999999997699</v>
      </c>
      <c r="AF1685">
        <v>7.0874109464405796E-2</v>
      </c>
      <c r="AG1685">
        <v>-0.20283180000000001</v>
      </c>
      <c r="AH1685">
        <v>8.6361145569902695E-2</v>
      </c>
      <c r="AI1685">
        <v>151.15394627505401</v>
      </c>
      <c r="AJ1685">
        <v>50.6252581043017</v>
      </c>
      <c r="AK1685">
        <v>0.2315645178946</v>
      </c>
      <c r="AL1685">
        <v>96.772357653133994</v>
      </c>
      <c r="AM1685">
        <v>98.901419203114898</v>
      </c>
      <c r="AN1685">
        <v>1.0000000138228999</v>
      </c>
    </row>
    <row r="1686" spans="1:40" x14ac:dyDescent="0.25">
      <c r="A1686" t="str">
        <f>"20190305135615834"</f>
        <v>20190305135615834</v>
      </c>
      <c r="B1686" t="str">
        <f>"1551765375823803"</f>
        <v>1551765375823803</v>
      </c>
      <c r="C1686" t="s">
        <v>40</v>
      </c>
      <c r="D1686">
        <v>3.7773289999999999</v>
      </c>
      <c r="E1686">
        <v>0.55531619999999904</v>
      </c>
      <c r="F1686" t="s">
        <v>41</v>
      </c>
      <c r="G1686">
        <v>-447.86900000000003</v>
      </c>
      <c r="H1686">
        <v>0.80350109999999997</v>
      </c>
      <c r="I1686">
        <v>285.64499999999998</v>
      </c>
      <c r="J1686">
        <v>-447.34379999999999</v>
      </c>
      <c r="K1686">
        <v>1.1113230000000001</v>
      </c>
      <c r="L1686">
        <v>285.44400000000002</v>
      </c>
      <c r="M1686">
        <v>-0.9998631</v>
      </c>
      <c r="N1686">
        <v>-1.5359029999999999E-2</v>
      </c>
      <c r="O1686">
        <v>-6.1481629999999999E-3</v>
      </c>
      <c r="P1686">
        <v>-0.97775219999999896</v>
      </c>
      <c r="Q1686">
        <v>-0.13283420000000001</v>
      </c>
      <c r="R1686">
        <v>-0.1623452</v>
      </c>
      <c r="S1686">
        <v>-3.0381770000000001</v>
      </c>
      <c r="T1686">
        <v>-0.86088339999999997</v>
      </c>
      <c r="U1686">
        <v>0.55142209999999903</v>
      </c>
      <c r="V1686">
        <v>-0.1554721</v>
      </c>
      <c r="W1686">
        <v>-0.1189163</v>
      </c>
      <c r="X1686">
        <v>0.98065659999999999</v>
      </c>
      <c r="Y1686">
        <v>0.17726439999999999</v>
      </c>
      <c r="Z1686">
        <v>2.7444070000000001E-2</v>
      </c>
      <c r="AA1686">
        <v>0.98378060000000001</v>
      </c>
      <c r="AB1686">
        <v>54</v>
      </c>
      <c r="AC1686">
        <v>-0.52520000000003997</v>
      </c>
      <c r="AD1686">
        <v>-0.30782189999999998</v>
      </c>
      <c r="AE1686">
        <v>0.20099999999996401</v>
      </c>
      <c r="AF1686">
        <v>0.157141139644803</v>
      </c>
      <c r="AG1686">
        <v>-0.30782189999999998</v>
      </c>
      <c r="AH1686">
        <v>0.40315588669642399</v>
      </c>
      <c r="AI1686">
        <v>125.428062276215</v>
      </c>
      <c r="AJ1686">
        <v>68.705276819692202</v>
      </c>
      <c r="AK1686">
        <v>0.53102008329860495</v>
      </c>
      <c r="AL1686">
        <v>96.829563216951897</v>
      </c>
      <c r="AM1686">
        <v>99.008626347449294</v>
      </c>
      <c r="AN1686">
        <v>1.0000000137038201</v>
      </c>
    </row>
    <row r="1687" spans="1:40" x14ac:dyDescent="0.25">
      <c r="A1687" t="str">
        <f>"20190305135615859"</f>
        <v>20190305135615859</v>
      </c>
      <c r="B1687" t="str">
        <f>"1551765375853590"</f>
        <v>1551765375853590</v>
      </c>
      <c r="C1687" t="s">
        <v>40</v>
      </c>
      <c r="D1687">
        <v>3.8626339999999999</v>
      </c>
      <c r="E1687">
        <v>0.48018569999999999</v>
      </c>
      <c r="F1687" t="s">
        <v>41</v>
      </c>
      <c r="G1687">
        <v>-448.38619999999997</v>
      </c>
      <c r="H1687">
        <v>0.89972350000000001</v>
      </c>
      <c r="I1687">
        <v>285.4348</v>
      </c>
      <c r="J1687">
        <v>-447.93790000000001</v>
      </c>
      <c r="K1687">
        <v>1.1116159999999999</v>
      </c>
      <c r="L1687">
        <v>285.4384</v>
      </c>
      <c r="M1687">
        <v>-0.99983699999999998</v>
      </c>
      <c r="N1687">
        <v>-1.536469E-2</v>
      </c>
      <c r="O1687">
        <v>-9.4743629999999995E-3</v>
      </c>
      <c r="P1687">
        <v>-0.97681549999999995</v>
      </c>
      <c r="Q1687">
        <v>-0.1333068</v>
      </c>
      <c r="R1687">
        <v>-0.16751350000000001</v>
      </c>
      <c r="S1687">
        <v>-2.9814759999999998</v>
      </c>
      <c r="T1687">
        <v>-0.60544200000000004</v>
      </c>
      <c r="U1687">
        <v>-2.7282710000000002E-2</v>
      </c>
      <c r="V1687">
        <v>-0.15730139999999901</v>
      </c>
      <c r="W1687">
        <v>-0.1195184</v>
      </c>
      <c r="X1687">
        <v>0.98029160000000004</v>
      </c>
      <c r="Y1687">
        <v>1.5651479999999999E-4</v>
      </c>
      <c r="Z1687">
        <v>1.777149E-3</v>
      </c>
      <c r="AA1687">
        <v>0.99999839999999995</v>
      </c>
      <c r="AB1687">
        <v>54</v>
      </c>
      <c r="AC1687">
        <v>-0.44829999999996001</v>
      </c>
      <c r="AD1687">
        <v>-0.21189250000000001</v>
      </c>
      <c r="AE1687">
        <v>-3.6000000000058199E-3</v>
      </c>
      <c r="AF1687">
        <v>5.2969187099824E-4</v>
      </c>
      <c r="AG1687">
        <v>-0.21189250000000001</v>
      </c>
      <c r="AH1687">
        <v>0.36645192193149101</v>
      </c>
      <c r="AI1687">
        <v>120.037646740071</v>
      </c>
      <c r="AJ1687">
        <v>89.917181257082902</v>
      </c>
      <c r="AK1687">
        <v>0.42330334656958701</v>
      </c>
      <c r="AL1687">
        <v>96.864308901689796</v>
      </c>
      <c r="AM1687">
        <v>99.116190348251607</v>
      </c>
      <c r="AN1687">
        <v>0.99999999970553999</v>
      </c>
    </row>
    <row r="1688" spans="1:40" x14ac:dyDescent="0.25">
      <c r="A1688" t="str">
        <f>"20190305135615878"</f>
        <v>20190305135615878</v>
      </c>
      <c r="B1688" t="str">
        <f>"1551765375873111"</f>
        <v>1551765375873111</v>
      </c>
      <c r="C1688" t="s">
        <v>40</v>
      </c>
      <c r="D1688">
        <v>3.7841529999999999</v>
      </c>
      <c r="E1688">
        <v>0.47143299999999999</v>
      </c>
      <c r="F1688" t="s">
        <v>55</v>
      </c>
      <c r="G1688">
        <v>-460.68709999999999</v>
      </c>
      <c r="H1688" s="1">
        <v>-1.0782440000000001E-6</v>
      </c>
      <c r="I1688">
        <v>282.49130000000002</v>
      </c>
      <c r="J1688">
        <v>-448.4248</v>
      </c>
      <c r="K1688">
        <v>1.111853</v>
      </c>
      <c r="L1688">
        <v>285.4323</v>
      </c>
      <c r="M1688">
        <v>-0.99980550000000001</v>
      </c>
      <c r="N1688">
        <v>-1.5368059999999999E-2</v>
      </c>
      <c r="O1688">
        <v>-1.236136E-2</v>
      </c>
      <c r="P1688">
        <v>-0.97596229999999995</v>
      </c>
      <c r="Q1688">
        <v>-0.13349469999999999</v>
      </c>
      <c r="R1688">
        <v>-0.1722688</v>
      </c>
      <c r="S1688">
        <v>-2.9206850000000002</v>
      </c>
      <c r="T1688">
        <v>-0.25465700000000002</v>
      </c>
      <c r="U1688">
        <v>-0.67514039999999997</v>
      </c>
      <c r="V1688">
        <v>-0.15917120000000001</v>
      </c>
      <c r="W1688">
        <v>-0.1198142</v>
      </c>
      <c r="X1688">
        <v>0.97995359999999998</v>
      </c>
      <c r="Y1688">
        <v>-0.2122821</v>
      </c>
      <c r="Z1688">
        <v>-9.8993080000000008E-3</v>
      </c>
      <c r="AA1688">
        <v>0.97715830000000004</v>
      </c>
      <c r="AB1688">
        <v>54</v>
      </c>
      <c r="AC1688">
        <v>-12.2622999999999</v>
      </c>
      <c r="AD1688">
        <v>-1.1118540782439901</v>
      </c>
      <c r="AE1688">
        <v>-2.9409999999999701</v>
      </c>
      <c r="AF1688">
        <v>-2.7676619834216201</v>
      </c>
      <c r="AG1688">
        <v>-1.1118540782439901</v>
      </c>
      <c r="AH1688">
        <v>12.2028532200112</v>
      </c>
      <c r="AI1688">
        <v>95.077823624628607</v>
      </c>
      <c r="AJ1688">
        <v>102.77875351602199</v>
      </c>
      <c r="AK1688">
        <v>12.562077815987401</v>
      </c>
      <c r="AL1688">
        <v>96.881379757117003</v>
      </c>
      <c r="AM1688">
        <v>99.225826967092402</v>
      </c>
      <c r="AN1688">
        <v>0.99999998579201899</v>
      </c>
    </row>
    <row r="1689" spans="1:40" x14ac:dyDescent="0.25">
      <c r="A1689" t="str">
        <f>"20190305135615902"</f>
        <v>20190305135615902</v>
      </c>
      <c r="B1689" t="str">
        <f>"1551765375893607"</f>
        <v>1551765375893607</v>
      </c>
      <c r="C1689" t="s">
        <v>40</v>
      </c>
      <c r="D1689">
        <v>3.737787</v>
      </c>
      <c r="E1689">
        <v>0.47096640000000001</v>
      </c>
      <c r="F1689" t="s">
        <v>55</v>
      </c>
      <c r="G1689">
        <v>-468.98419999999999</v>
      </c>
      <c r="H1689" s="1">
        <v>3.4455279999999998E-6</v>
      </c>
      <c r="I1689">
        <v>280.00979999999998</v>
      </c>
      <c r="J1689">
        <v>-448.97359999999998</v>
      </c>
      <c r="K1689">
        <v>1.1121000000000001</v>
      </c>
      <c r="L1689">
        <v>285.42360000000002</v>
      </c>
      <c r="M1689">
        <v>-0.99975760000000002</v>
      </c>
      <c r="N1689">
        <v>-1.537036E-2</v>
      </c>
      <c r="O1689">
        <v>-1.5765350000000001E-2</v>
      </c>
      <c r="P1689">
        <v>-0.97502840000000002</v>
      </c>
      <c r="Q1689">
        <v>-0.13300600000000001</v>
      </c>
      <c r="R1689">
        <v>-0.17784659999999999</v>
      </c>
      <c r="S1689">
        <v>-2.916534</v>
      </c>
      <c r="T1689">
        <v>-0.15772559999999999</v>
      </c>
      <c r="U1689">
        <v>-0.76922609999999902</v>
      </c>
      <c r="V1689">
        <v>-0.16136489999999901</v>
      </c>
      <c r="W1689">
        <v>-0.11944340000000001</v>
      </c>
      <c r="X1689">
        <v>0.97964010000000001</v>
      </c>
      <c r="Y1689">
        <v>-0.23933409999999999</v>
      </c>
      <c r="Z1689">
        <v>-7.6314130000000001E-3</v>
      </c>
      <c r="AA1689">
        <v>0.97090730000000003</v>
      </c>
      <c r="AB1689">
        <v>54</v>
      </c>
      <c r="AC1689">
        <v>-20.0106</v>
      </c>
      <c r="AD1689">
        <v>-1.1120965544720001</v>
      </c>
      <c r="AE1689">
        <v>-5.4138000000000304</v>
      </c>
      <c r="AF1689">
        <v>-5.0829869602627999</v>
      </c>
      <c r="AG1689">
        <v>-1.1120965544720001</v>
      </c>
      <c r="AH1689">
        <v>20.0358105924543</v>
      </c>
      <c r="AI1689">
        <v>93.079606210751095</v>
      </c>
      <c r="AJ1689">
        <v>104.23532943416799</v>
      </c>
      <c r="AK1689">
        <v>20.700415968800598</v>
      </c>
      <c r="AL1689">
        <v>96.859980427625501</v>
      </c>
      <c r="AM1689">
        <v>99.353686064369995</v>
      </c>
      <c r="AN1689">
        <v>1.00000004114178</v>
      </c>
    </row>
    <row r="1690" spans="1:40" x14ac:dyDescent="0.25">
      <c r="A1690" t="str">
        <f>"20190305135615923"</f>
        <v>20190305135615923</v>
      </c>
      <c r="B1690" t="str">
        <f>"1551765375913127"</f>
        <v>1551765375913127</v>
      </c>
      <c r="C1690" t="s">
        <v>40</v>
      </c>
      <c r="D1690">
        <v>3.743007</v>
      </c>
      <c r="E1690">
        <v>0.47176269999999998</v>
      </c>
      <c r="F1690" t="s">
        <v>54</v>
      </c>
      <c r="G1690">
        <v>-479.05529999999999</v>
      </c>
      <c r="H1690">
        <v>8.0000100000000005E-2</v>
      </c>
      <c r="I1690">
        <v>277.21820000000002</v>
      </c>
      <c r="J1690">
        <v>-449.4973</v>
      </c>
      <c r="K1690">
        <v>1.1123160000000001</v>
      </c>
      <c r="L1690">
        <v>285.41379999999998</v>
      </c>
      <c r="M1690">
        <v>-0.99969889999999995</v>
      </c>
      <c r="N1690">
        <v>-1.5371370000000001E-2</v>
      </c>
      <c r="O1690">
        <v>-1.9127660000000001E-2</v>
      </c>
      <c r="P1690">
        <v>-0.97409299999999999</v>
      </c>
      <c r="Q1690">
        <v>-0.1322516</v>
      </c>
      <c r="R1690">
        <v>-0.18344659999999999</v>
      </c>
      <c r="S1690">
        <v>-2.9180299999999999</v>
      </c>
      <c r="T1690">
        <v>-0.10011730000000001</v>
      </c>
      <c r="U1690">
        <v>-0.79595950000000004</v>
      </c>
      <c r="V1690">
        <v>-0.16363820000000001</v>
      </c>
      <c r="W1690">
        <v>-0.1187983</v>
      </c>
      <c r="X1690">
        <v>0.97934140000000003</v>
      </c>
      <c r="Y1690">
        <v>-0.24446019999999999</v>
      </c>
      <c r="Z1690">
        <v>-5.6757980000000001E-3</v>
      </c>
      <c r="AA1690">
        <v>0.96964269999999997</v>
      </c>
      <c r="AB1690">
        <v>54</v>
      </c>
      <c r="AC1690">
        <v>-29.558</v>
      </c>
      <c r="AD1690">
        <v>-1.0323159</v>
      </c>
      <c r="AE1690">
        <v>-8.1955999999999491</v>
      </c>
      <c r="AF1690">
        <v>-7.6200270214540504</v>
      </c>
      <c r="AG1690">
        <v>-1.0323159</v>
      </c>
      <c r="AH1690">
        <v>29.67575904796</v>
      </c>
      <c r="AI1690">
        <v>91.929763083630704</v>
      </c>
      <c r="AJ1690">
        <v>104.40106348683</v>
      </c>
      <c r="AK1690">
        <v>30.655850387775299</v>
      </c>
      <c r="AL1690">
        <v>96.8227538863635</v>
      </c>
      <c r="AM1690">
        <v>99.485922841908007</v>
      </c>
      <c r="AN1690">
        <v>1.00000003716804</v>
      </c>
    </row>
    <row r="1691" spans="1:40" x14ac:dyDescent="0.25">
      <c r="A1691" t="str">
        <f>"20190305135615943"</f>
        <v>20190305135615943</v>
      </c>
      <c r="B1691" t="str">
        <f>"1551765375933155"</f>
        <v>1551765375933155</v>
      </c>
      <c r="C1691" t="s">
        <v>40</v>
      </c>
      <c r="D1691">
        <v>3.833364</v>
      </c>
      <c r="E1691">
        <v>0.47142000000000001</v>
      </c>
      <c r="F1691" t="s">
        <v>54</v>
      </c>
      <c r="G1691">
        <v>-494.43020000000001</v>
      </c>
      <c r="H1691" s="1">
        <v>1.075934E-6</v>
      </c>
      <c r="I1691">
        <v>272.94189999999998</v>
      </c>
      <c r="J1691">
        <v>-449.97930000000002</v>
      </c>
      <c r="K1691">
        <v>1.1125020000000001</v>
      </c>
      <c r="L1691">
        <v>285.40309999999999</v>
      </c>
      <c r="M1691">
        <v>-0.99963329999999995</v>
      </c>
      <c r="N1691">
        <v>-1.5371579999999999E-2</v>
      </c>
      <c r="O1691">
        <v>-2.2297399999999998E-2</v>
      </c>
      <c r="P1691">
        <v>-0.97322509999999995</v>
      </c>
      <c r="Q1691">
        <v>-0.1311581</v>
      </c>
      <c r="R1691">
        <v>-0.18876209999999999</v>
      </c>
      <c r="S1691">
        <v>-2.9174500000000001</v>
      </c>
      <c r="T1691">
        <v>-7.2221519999999997E-2</v>
      </c>
      <c r="U1691">
        <v>-0.8097839</v>
      </c>
      <c r="V1691">
        <v>-0.1658319</v>
      </c>
      <c r="W1691">
        <v>-0.1178009</v>
      </c>
      <c r="X1691">
        <v>0.97909279999999999</v>
      </c>
      <c r="Y1691">
        <v>-0.24578459999999999</v>
      </c>
      <c r="Z1691">
        <v>-4.7054540000000004E-3</v>
      </c>
      <c r="AA1691">
        <v>0.96931310000000004</v>
      </c>
      <c r="AB1691">
        <v>54</v>
      </c>
      <c r="AC1691">
        <v>-44.450899999999898</v>
      </c>
      <c r="AD1691">
        <v>-1.112500924066</v>
      </c>
      <c r="AE1691">
        <v>-12.4612</v>
      </c>
      <c r="AF1691">
        <v>-11.4601892492043</v>
      </c>
      <c r="AG1691">
        <v>-1.112500924066</v>
      </c>
      <c r="AH1691">
        <v>44.691776834509298</v>
      </c>
      <c r="AI1691">
        <v>91.381282685899293</v>
      </c>
      <c r="AJ1691">
        <v>104.382307963843</v>
      </c>
      <c r="AK1691">
        <v>46.151148550812998</v>
      </c>
      <c r="AL1691">
        <v>96.765203263262293</v>
      </c>
      <c r="AM1691">
        <v>99.6131271680851</v>
      </c>
      <c r="AN1691">
        <v>0.99999999105513004</v>
      </c>
    </row>
    <row r="1692" spans="1:40" x14ac:dyDescent="0.25">
      <c r="A1692" t="str">
        <f>"20190305135615966"</f>
        <v>20190305135615966</v>
      </c>
      <c r="B1692" t="str">
        <f>"1551765375953651"</f>
        <v>1551765375953651</v>
      </c>
      <c r="C1692" t="s">
        <v>40</v>
      </c>
      <c r="D1692">
        <v>3.787855</v>
      </c>
      <c r="E1692">
        <v>0.47157019999999999</v>
      </c>
      <c r="F1692" t="s">
        <v>54</v>
      </c>
      <c r="G1692">
        <v>-488.46350000000001</v>
      </c>
      <c r="H1692" s="1">
        <v>1.586494E-6</v>
      </c>
      <c r="I1692">
        <v>274.47919999999999</v>
      </c>
      <c r="J1692">
        <v>-450.50670000000002</v>
      </c>
      <c r="K1692">
        <v>1.112676</v>
      </c>
      <c r="L1692">
        <v>285.3897</v>
      </c>
      <c r="M1692">
        <v>-0.9995484</v>
      </c>
      <c r="N1692">
        <v>-1.5371020000000001E-2</v>
      </c>
      <c r="O1692">
        <v>-2.582369E-2</v>
      </c>
      <c r="P1692">
        <v>-0.97246239999999995</v>
      </c>
      <c r="Q1692">
        <v>-0.13047149999999999</v>
      </c>
      <c r="R1692">
        <v>-0.19311809999999999</v>
      </c>
      <c r="S1692">
        <v>-2.9108890000000001</v>
      </c>
      <c r="T1692">
        <v>-8.4147810000000003E-2</v>
      </c>
      <c r="U1692">
        <v>-0.82626339999999998</v>
      </c>
      <c r="V1692">
        <v>-0.16671549999999999</v>
      </c>
      <c r="W1692">
        <v>-0.11719549999999999</v>
      </c>
      <c r="X1692">
        <v>0.97901539999999998</v>
      </c>
      <c r="Y1692">
        <v>-0.24798049999999999</v>
      </c>
      <c r="Z1692">
        <v>-5.1160980000000003E-3</v>
      </c>
      <c r="AA1692">
        <v>0.96875149999999999</v>
      </c>
      <c r="AB1692">
        <v>54</v>
      </c>
      <c r="AC1692">
        <v>-37.956799999999902</v>
      </c>
      <c r="AD1692">
        <v>-1.112674413506</v>
      </c>
      <c r="AE1692">
        <v>-10.910500000000001</v>
      </c>
      <c r="AF1692">
        <v>-9.9186873719939399</v>
      </c>
      <c r="AG1692">
        <v>-1.112674413506</v>
      </c>
      <c r="AH1692">
        <v>38.195604112910999</v>
      </c>
      <c r="AI1692">
        <v>91.615071300953502</v>
      </c>
      <c r="AJ1692">
        <v>104.557115487747</v>
      </c>
      <c r="AK1692">
        <v>39.478127831548001</v>
      </c>
      <c r="AL1692">
        <v>96.730274399931702</v>
      </c>
      <c r="AM1692">
        <v>99.664134888822602</v>
      </c>
      <c r="AN1692">
        <v>0.99999999829882902</v>
      </c>
    </row>
    <row r="1693" spans="1:40" x14ac:dyDescent="0.25">
      <c r="A1693" t="str">
        <f>"20190305135615989"</f>
        <v>20190305135615989</v>
      </c>
      <c r="B1693" t="str">
        <f>"1551765375983907"</f>
        <v>1551765375983907</v>
      </c>
      <c r="C1693" t="s">
        <v>40</v>
      </c>
      <c r="D1693">
        <v>3.795096</v>
      </c>
      <c r="E1693">
        <v>0.47228229999999999</v>
      </c>
      <c r="F1693" t="s">
        <v>54</v>
      </c>
      <c r="G1693">
        <v>-488.35950000000003</v>
      </c>
      <c r="H1693" s="1">
        <v>1.582314E-6</v>
      </c>
      <c r="I1693">
        <v>274.49349999999998</v>
      </c>
      <c r="J1693">
        <v>-451.05689999999998</v>
      </c>
      <c r="K1693">
        <v>1.1128420000000001</v>
      </c>
      <c r="L1693">
        <v>285.37380000000002</v>
      </c>
      <c r="M1693">
        <v>-0.99944529999999998</v>
      </c>
      <c r="N1693">
        <v>-1.536964E-2</v>
      </c>
      <c r="O1693">
        <v>-2.9548499999999998E-2</v>
      </c>
      <c r="P1693">
        <v>-0.97159890000000004</v>
      </c>
      <c r="Q1693">
        <v>-0.12993740000000001</v>
      </c>
      <c r="R1693">
        <v>-0.1977689</v>
      </c>
      <c r="S1693">
        <v>-2.9072879999999999</v>
      </c>
      <c r="T1693">
        <v>-8.5458989999999999E-2</v>
      </c>
      <c r="U1693">
        <v>-0.836883499999999</v>
      </c>
      <c r="V1693">
        <v>-0.1677071</v>
      </c>
      <c r="W1693">
        <v>-0.1167407</v>
      </c>
      <c r="X1693">
        <v>0.9789004</v>
      </c>
      <c r="Y1693">
        <v>-0.24795320000000001</v>
      </c>
      <c r="Z1693">
        <v>-5.1106169999999996E-3</v>
      </c>
      <c r="AA1693">
        <v>0.96875849999999997</v>
      </c>
      <c r="AB1693">
        <v>54</v>
      </c>
      <c r="AC1693">
        <v>-37.302599999999998</v>
      </c>
      <c r="AD1693">
        <v>-1.1128404176860001</v>
      </c>
      <c r="AE1693">
        <v>-10.8803</v>
      </c>
      <c r="AF1693">
        <v>-9.7651724790370107</v>
      </c>
      <c r="AG1693">
        <v>-1.1128404176860001</v>
      </c>
      <c r="AH1693">
        <v>37.577021139010398</v>
      </c>
      <c r="AI1693">
        <v>91.6418128754365</v>
      </c>
      <c r="AJ1693">
        <v>104.567284858112</v>
      </c>
      <c r="AK1693">
        <v>38.841080379183701</v>
      </c>
      <c r="AL1693">
        <v>96.704035972821302</v>
      </c>
      <c r="AM1693">
        <v>99.721642448053998</v>
      </c>
      <c r="AN1693">
        <v>1.0000000277735199</v>
      </c>
    </row>
    <row r="1694" spans="1:40" x14ac:dyDescent="0.25">
      <c r="A1694" t="str">
        <f>"20190305135616012"</f>
        <v>20190305135616012</v>
      </c>
      <c r="B1694" t="str">
        <f>"1551765376003427"</f>
        <v>1551765376003427</v>
      </c>
      <c r="C1694" t="s">
        <v>40</v>
      </c>
      <c r="D1694">
        <v>3.8937010000000001</v>
      </c>
      <c r="E1694">
        <v>0.47228520000000002</v>
      </c>
      <c r="F1694" t="s">
        <v>54</v>
      </c>
      <c r="G1694">
        <v>-493.79640000000001</v>
      </c>
      <c r="H1694" s="1">
        <v>1.1300570000000001E-6</v>
      </c>
      <c r="I1694">
        <v>272.93009999999998</v>
      </c>
      <c r="J1694">
        <v>-451.59300000000002</v>
      </c>
      <c r="K1694">
        <v>1.112981</v>
      </c>
      <c r="L1694">
        <v>285.35629999999998</v>
      </c>
      <c r="M1694">
        <v>-0.99933019999999995</v>
      </c>
      <c r="N1694">
        <v>-1.5367810000000001E-2</v>
      </c>
      <c r="O1694">
        <v>-3.3210480000000001E-2</v>
      </c>
      <c r="P1694">
        <v>-0.97072049999999999</v>
      </c>
      <c r="Q1694">
        <v>-0.1291861</v>
      </c>
      <c r="R1694">
        <v>-0.20251620000000001</v>
      </c>
      <c r="S1694">
        <v>-2.9053960000000001</v>
      </c>
      <c r="T1694">
        <v>-7.5649980000000006E-2</v>
      </c>
      <c r="U1694">
        <v>-0.84591669999999997</v>
      </c>
      <c r="V1694">
        <v>-0.16886979999999999</v>
      </c>
      <c r="W1694">
        <v>-0.11606180000000001</v>
      </c>
      <c r="X1694">
        <v>0.97878120000000002</v>
      </c>
      <c r="Y1694">
        <v>-0.24737709999999999</v>
      </c>
      <c r="Z1694">
        <v>-4.7494440000000002E-3</v>
      </c>
      <c r="AA1694">
        <v>0.96890770000000004</v>
      </c>
      <c r="AB1694">
        <v>54</v>
      </c>
      <c r="AC1694">
        <v>-42.203399999999903</v>
      </c>
      <c r="AD1694">
        <v>-1.112979869943</v>
      </c>
      <c r="AE1694">
        <v>-12.4261999999999</v>
      </c>
      <c r="AF1694">
        <v>-11.0105364668335</v>
      </c>
      <c r="AG1694">
        <v>-1.112979869943</v>
      </c>
      <c r="AH1694">
        <v>42.565601518308199</v>
      </c>
      <c r="AI1694">
        <v>91.450087705298102</v>
      </c>
      <c r="AJ1694">
        <v>104.502931366006</v>
      </c>
      <c r="AK1694">
        <v>43.980689740996198</v>
      </c>
      <c r="AL1694">
        <v>96.664871865150602</v>
      </c>
      <c r="AM1694">
        <v>99.788911490736595</v>
      </c>
      <c r="AN1694">
        <v>0.99999999412235996</v>
      </c>
    </row>
    <row r="1695" spans="1:40" x14ac:dyDescent="0.25">
      <c r="A1695" t="str">
        <f>"20190305135616035"</f>
        <v>20190305135616035</v>
      </c>
      <c r="B1695" t="str">
        <f>"1551765376023924"</f>
        <v>1551765376023924</v>
      </c>
      <c r="C1695" t="s">
        <v>40</v>
      </c>
      <c r="D1695">
        <v>3.8407849999999999</v>
      </c>
      <c r="E1695">
        <v>0.47259099999999998</v>
      </c>
      <c r="F1695" t="s">
        <v>54</v>
      </c>
      <c r="G1695">
        <v>-492.73649999999998</v>
      </c>
      <c r="H1695" s="1">
        <v>1.255221E-6</v>
      </c>
      <c r="I1695">
        <v>273.16719999999998</v>
      </c>
      <c r="J1695">
        <v>-452.14749999999998</v>
      </c>
      <c r="K1695">
        <v>1.1131009999999999</v>
      </c>
      <c r="L1695">
        <v>285.33609999999999</v>
      </c>
      <c r="M1695">
        <v>-0.99919630000000004</v>
      </c>
      <c r="N1695">
        <v>-1.5365530000000001E-2</v>
      </c>
      <c r="O1695">
        <v>-3.7021789999999999E-2</v>
      </c>
      <c r="P1695">
        <v>-0.96958089999999997</v>
      </c>
      <c r="Q1695">
        <v>-0.1297383</v>
      </c>
      <c r="R1695">
        <v>-0.20755860000000001</v>
      </c>
      <c r="S1695">
        <v>-2.900757</v>
      </c>
      <c r="T1695">
        <v>-7.8469040000000004E-2</v>
      </c>
      <c r="U1695">
        <v>-0.859375</v>
      </c>
      <c r="V1695">
        <v>-0.170183</v>
      </c>
      <c r="W1695">
        <v>-0.1166865</v>
      </c>
      <c r="X1695">
        <v>0.9784794</v>
      </c>
      <c r="Y1695">
        <v>-0.24822749999999999</v>
      </c>
      <c r="Z1695">
        <v>-4.8130680000000002E-3</v>
      </c>
      <c r="AA1695">
        <v>0.96868980000000005</v>
      </c>
      <c r="AB1695">
        <v>53</v>
      </c>
      <c r="AC1695">
        <v>-40.588999999999999</v>
      </c>
      <c r="AD1695">
        <v>-1.1130997447790001</v>
      </c>
      <c r="AE1695">
        <v>-12.168900000000001</v>
      </c>
      <c r="AF1695">
        <v>-10.650351744190001</v>
      </c>
      <c r="AG1695">
        <v>-1.1130997447790001</v>
      </c>
      <c r="AH1695">
        <v>40.983455641683598</v>
      </c>
      <c r="AI1695">
        <v>91.505766577732004</v>
      </c>
      <c r="AJ1695">
        <v>104.567214442466</v>
      </c>
      <c r="AK1695">
        <v>42.359327422076099</v>
      </c>
      <c r="AL1695">
        <v>96.700909597840905</v>
      </c>
      <c r="AM1695">
        <v>99.866527039878505</v>
      </c>
      <c r="AN1695">
        <v>0.99999996449780404</v>
      </c>
    </row>
    <row r="1696" spans="1:40" x14ac:dyDescent="0.25">
      <c r="A1696" t="str">
        <f>"20190305135616058"</f>
        <v>20190305135616058</v>
      </c>
      <c r="B1696" t="str">
        <f>"1551765376053710"</f>
        <v>1551765376053710</v>
      </c>
      <c r="C1696" t="s">
        <v>40</v>
      </c>
      <c r="D1696">
        <v>3.8691330000000002</v>
      </c>
      <c r="E1696">
        <v>0.47281260000000003</v>
      </c>
      <c r="F1696" t="s">
        <v>54</v>
      </c>
      <c r="G1696">
        <v>-493.80160000000001</v>
      </c>
      <c r="H1696" s="1">
        <v>1.1044970000000001E-6</v>
      </c>
      <c r="I1696">
        <v>272.78750000000002</v>
      </c>
      <c r="J1696">
        <v>-452.69490000000002</v>
      </c>
      <c r="K1696">
        <v>1.1132</v>
      </c>
      <c r="L1696">
        <v>285.3141</v>
      </c>
      <c r="M1696">
        <v>-0.99904930000000003</v>
      </c>
      <c r="N1696">
        <v>-1.5362870000000001E-2</v>
      </c>
      <c r="O1696">
        <v>-4.0800830000000003E-2</v>
      </c>
      <c r="P1696">
        <v>-0.96848820000000002</v>
      </c>
      <c r="Q1696">
        <v>-0.13065889999999999</v>
      </c>
      <c r="R1696">
        <v>-0.2120358</v>
      </c>
      <c r="S1696">
        <v>-2.8969119999999999</v>
      </c>
      <c r="T1696">
        <v>-7.7412610000000007E-2</v>
      </c>
      <c r="U1696">
        <v>-0.87271119999999902</v>
      </c>
      <c r="V1696">
        <v>-0.17096510000000001</v>
      </c>
      <c r="W1696">
        <v>-0.11766649999999999</v>
      </c>
      <c r="X1696">
        <v>0.97822569999999998</v>
      </c>
      <c r="Y1696">
        <v>-0.2490097</v>
      </c>
      <c r="Z1696">
        <v>-4.7588709999999996E-3</v>
      </c>
      <c r="AA1696">
        <v>0.9684893</v>
      </c>
      <c r="AB1696">
        <v>53</v>
      </c>
      <c r="AC1696">
        <v>-41.106699999999897</v>
      </c>
      <c r="AD1696">
        <v>-1.1131988955030001</v>
      </c>
      <c r="AE1696">
        <v>-12.526599999999901</v>
      </c>
      <c r="AF1696">
        <v>-10.8315129039113</v>
      </c>
      <c r="AG1696">
        <v>-1.1131988955030001</v>
      </c>
      <c r="AH1696">
        <v>41.555732331274001</v>
      </c>
      <c r="AI1696">
        <v>91.484889299841299</v>
      </c>
      <c r="AJ1696">
        <v>104.60910931703999</v>
      </c>
      <c r="AK1696">
        <v>42.958582066416497</v>
      </c>
      <c r="AL1696">
        <v>96.757448750130607</v>
      </c>
      <c r="AM1696">
        <v>99.913492346473404</v>
      </c>
      <c r="AN1696">
        <v>0.99999999539037399</v>
      </c>
    </row>
    <row r="1697" spans="1:40" x14ac:dyDescent="0.25">
      <c r="A1697" t="str">
        <f>"20190305135616079"</f>
        <v>20190305135616079</v>
      </c>
      <c r="B1697" t="str">
        <f>"1551765376074205"</f>
        <v>1551765376074205</v>
      </c>
      <c r="C1697" t="s">
        <v>40</v>
      </c>
      <c r="D1697">
        <v>3.8803070000000002</v>
      </c>
      <c r="E1697">
        <v>0.47304879999999999</v>
      </c>
      <c r="F1697" t="s">
        <v>54</v>
      </c>
      <c r="G1697">
        <v>-494.30110000000002</v>
      </c>
      <c r="H1697" s="1">
        <v>1.0255219999999999E-6</v>
      </c>
      <c r="I1697">
        <v>272.59070000000003</v>
      </c>
      <c r="J1697">
        <v>-453.18799999999999</v>
      </c>
      <c r="K1697">
        <v>1.1132709999999999</v>
      </c>
      <c r="L1697">
        <v>285.29239999999999</v>
      </c>
      <c r="M1697">
        <v>-0.99890389999999996</v>
      </c>
      <c r="N1697">
        <v>-1.53606E-2</v>
      </c>
      <c r="O1697">
        <v>-4.4217230000000003E-2</v>
      </c>
      <c r="P1697">
        <v>-0.96760449999999998</v>
      </c>
      <c r="Q1697">
        <v>-0.13085939999999999</v>
      </c>
      <c r="R1697">
        <v>-0.21591099999999999</v>
      </c>
      <c r="S1697">
        <v>-2.8934329999999999</v>
      </c>
      <c r="T1697">
        <v>-7.741547E-2</v>
      </c>
      <c r="U1697">
        <v>-0.88482669999999997</v>
      </c>
      <c r="V1697">
        <v>-0.17151</v>
      </c>
      <c r="W1697">
        <v>-0.11791160000000001</v>
      </c>
      <c r="X1697">
        <v>0.97810079999999999</v>
      </c>
      <c r="Y1697">
        <v>-0.2497317</v>
      </c>
      <c r="Z1697">
        <v>-4.7382559999999997E-3</v>
      </c>
      <c r="AA1697">
        <v>0.96830340000000004</v>
      </c>
      <c r="AB1697">
        <v>53</v>
      </c>
      <c r="AC1697">
        <v>-41.113099999999903</v>
      </c>
      <c r="AD1697">
        <v>-1.1132699744779999</v>
      </c>
      <c r="AE1697">
        <v>-12.701699999999899</v>
      </c>
      <c r="AF1697">
        <v>-10.8638805748585</v>
      </c>
      <c r="AG1697">
        <v>-1.1132699744779999</v>
      </c>
      <c r="AH1697">
        <v>41.606730462233003</v>
      </c>
      <c r="AI1697">
        <v>91.482998707178297</v>
      </c>
      <c r="AJ1697">
        <v>104.633703283157</v>
      </c>
      <c r="AK1697">
        <v>43.016081771097802</v>
      </c>
      <c r="AL1697">
        <v>96.771590357872896</v>
      </c>
      <c r="AM1697">
        <v>99.9457033872973</v>
      </c>
      <c r="AN1697">
        <v>1.0000000002375999</v>
      </c>
    </row>
    <row r="1698" spans="1:40" x14ac:dyDescent="0.25">
      <c r="A1698" t="str">
        <f>"20190305135616100"</f>
        <v>20190305135616100</v>
      </c>
      <c r="B1698" t="str">
        <f>"1551765376093729"</f>
        <v>1551765376093729</v>
      </c>
      <c r="C1698" t="s">
        <v>40</v>
      </c>
      <c r="D1698">
        <v>3.9320119999999998</v>
      </c>
      <c r="E1698">
        <v>0.47284379999999998</v>
      </c>
      <c r="F1698" t="s">
        <v>54</v>
      </c>
      <c r="G1698">
        <v>-495.93270000000001</v>
      </c>
      <c r="H1698" s="1">
        <v>7.8686240000000002E-7</v>
      </c>
      <c r="I1698">
        <v>272.05720000000002</v>
      </c>
      <c r="J1698">
        <v>-453.71870000000001</v>
      </c>
      <c r="K1698">
        <v>1.1133489999999999</v>
      </c>
      <c r="L1698">
        <v>285.26729999999998</v>
      </c>
      <c r="M1698">
        <v>-0.99873400000000001</v>
      </c>
      <c r="N1698">
        <v>-1.53583E-2</v>
      </c>
      <c r="O1698">
        <v>-4.7903910000000001E-2</v>
      </c>
      <c r="P1698">
        <v>-0.96667890000000001</v>
      </c>
      <c r="Q1698">
        <v>-0.13026599999999999</v>
      </c>
      <c r="R1698">
        <v>-0.2203698</v>
      </c>
      <c r="S1698">
        <v>-2.8905639999999999</v>
      </c>
      <c r="T1698">
        <v>-7.528377E-2</v>
      </c>
      <c r="U1698">
        <v>-0.89501949999999997</v>
      </c>
      <c r="V1698">
        <v>-0.17238909999999999</v>
      </c>
      <c r="W1698">
        <v>-0.1173637</v>
      </c>
      <c r="X1698">
        <v>0.97801210000000005</v>
      </c>
      <c r="Y1698">
        <v>-0.2495511</v>
      </c>
      <c r="Z1698">
        <v>-4.6397809999999999E-3</v>
      </c>
      <c r="AA1698">
        <v>0.9683505</v>
      </c>
      <c r="AB1698">
        <v>53</v>
      </c>
      <c r="AC1698">
        <v>-42.213999999999999</v>
      </c>
      <c r="AD1698">
        <v>-1.1133482131376</v>
      </c>
      <c r="AE1698">
        <v>-13.210099999999899</v>
      </c>
      <c r="AF1698">
        <v>-11.1654028638714</v>
      </c>
      <c r="AG1698">
        <v>-1.1133482131376</v>
      </c>
      <c r="AH1698">
        <v>42.771317285464903</v>
      </c>
      <c r="AI1698">
        <v>91.442759048150407</v>
      </c>
      <c r="AJ1698">
        <v>104.630490903554</v>
      </c>
      <c r="AK1698">
        <v>44.2186764579194</v>
      </c>
      <c r="AL1698">
        <v>96.739978820060898</v>
      </c>
      <c r="AM1698">
        <v>99.996544290087797</v>
      </c>
      <c r="AN1698">
        <v>0.99999995381145301</v>
      </c>
    </row>
    <row r="1699" spans="1:40" x14ac:dyDescent="0.25">
      <c r="A1699" t="str">
        <f>"20190305135616122"</f>
        <v>20190305135616122</v>
      </c>
      <c r="B1699" t="str">
        <f>"1551765376114221"</f>
        <v>1551765376114221</v>
      </c>
      <c r="C1699" t="s">
        <v>40</v>
      </c>
      <c r="D1699">
        <v>3.9598170000000001</v>
      </c>
      <c r="E1699">
        <v>0.47268100000000002</v>
      </c>
      <c r="F1699" t="s">
        <v>54</v>
      </c>
      <c r="G1699">
        <v>-492.2</v>
      </c>
      <c r="H1699" s="1">
        <v>1.2476820000000001E-6</v>
      </c>
      <c r="I1699">
        <v>273.14589999999998</v>
      </c>
      <c r="J1699">
        <v>-454.22340000000003</v>
      </c>
      <c r="K1699">
        <v>1.1134170000000001</v>
      </c>
      <c r="L1699">
        <v>285.24149999999997</v>
      </c>
      <c r="M1699">
        <v>-0.99855910000000003</v>
      </c>
      <c r="N1699">
        <v>-1.535634E-2</v>
      </c>
      <c r="O1699">
        <v>-5.1420349999999997E-2</v>
      </c>
      <c r="P1699">
        <v>-0.96574519999999997</v>
      </c>
      <c r="Q1699">
        <v>-0.13001989999999999</v>
      </c>
      <c r="R1699">
        <v>-0.22456970000000001</v>
      </c>
      <c r="S1699">
        <v>-2.884979</v>
      </c>
      <c r="T1699">
        <v>-8.3468680000000003E-2</v>
      </c>
      <c r="U1699">
        <v>-0.90875240000000002</v>
      </c>
      <c r="V1699">
        <v>-0.17317959999999999</v>
      </c>
      <c r="W1699">
        <v>-0.1171558</v>
      </c>
      <c r="X1699">
        <v>0.97789740000000003</v>
      </c>
      <c r="Y1699">
        <v>-0.25084770000000001</v>
      </c>
      <c r="Z1699">
        <v>-4.8384750000000001E-3</v>
      </c>
      <c r="AA1699">
        <v>0.9680145</v>
      </c>
      <c r="AB1699">
        <v>53</v>
      </c>
      <c r="AC1699">
        <v>-37.976599999999898</v>
      </c>
      <c r="AD1699">
        <v>-1.1134157523179999</v>
      </c>
      <c r="AE1699">
        <v>-12.0955999999999</v>
      </c>
      <c r="AF1699">
        <v>-10.118698040409299</v>
      </c>
      <c r="AG1699">
        <v>-1.1134157523179999</v>
      </c>
      <c r="AH1699">
        <v>38.518322224487903</v>
      </c>
      <c r="AI1699">
        <v>91.601432187050406</v>
      </c>
      <c r="AJ1699">
        <v>104.718933088162</v>
      </c>
      <c r="AK1699">
        <v>39.840794315123397</v>
      </c>
      <c r="AL1699">
        <v>96.7279840344695</v>
      </c>
      <c r="AM1699">
        <v>100.04260699531</v>
      </c>
      <c r="AN1699">
        <v>0.99999999012828</v>
      </c>
    </row>
    <row r="1700" spans="1:40" x14ac:dyDescent="0.25">
      <c r="A1700" t="str">
        <f>"20190305135616144"</f>
        <v>20190305135616144</v>
      </c>
      <c r="B1700" t="str">
        <f>"1551765376133741"</f>
        <v>1551765376133741</v>
      </c>
      <c r="C1700" t="s">
        <v>40</v>
      </c>
      <c r="D1700">
        <v>3.9420250000000001</v>
      </c>
      <c r="E1700">
        <v>0.4726186</v>
      </c>
      <c r="F1700" t="s">
        <v>54</v>
      </c>
      <c r="G1700">
        <v>-489.1909</v>
      </c>
      <c r="H1700" s="1">
        <v>1.4973649999999999E-6</v>
      </c>
      <c r="I1700">
        <v>274.0446</v>
      </c>
      <c r="J1700">
        <v>-454.7552</v>
      </c>
      <c r="K1700">
        <v>1.1134710000000001</v>
      </c>
      <c r="L1700">
        <v>285.21249999999998</v>
      </c>
      <c r="M1700">
        <v>-0.9983609</v>
      </c>
      <c r="N1700">
        <v>-1.535424E-2</v>
      </c>
      <c r="O1700">
        <v>-5.5134059999999999E-2</v>
      </c>
      <c r="P1700">
        <v>-0.96471419999999997</v>
      </c>
      <c r="Q1700">
        <v>-0.1294073</v>
      </c>
      <c r="R1700">
        <v>-0.22930410000000001</v>
      </c>
      <c r="S1700">
        <v>-2.8796390000000001</v>
      </c>
      <c r="T1700">
        <v>-9.1691850000000005E-2</v>
      </c>
      <c r="U1700">
        <v>-0.92208860000000004</v>
      </c>
      <c r="V1700">
        <v>-0.17432529999999999</v>
      </c>
      <c r="W1700">
        <v>-0.1165834</v>
      </c>
      <c r="X1700">
        <v>0.97776220000000003</v>
      </c>
      <c r="Y1700">
        <v>-0.25180970000000003</v>
      </c>
      <c r="Z1700">
        <v>-5.011438E-3</v>
      </c>
      <c r="AA1700">
        <v>0.96776379999999995</v>
      </c>
      <c r="AB1700">
        <v>53</v>
      </c>
      <c r="AC1700">
        <v>-34.435699999999997</v>
      </c>
      <c r="AD1700">
        <v>-1.1134695026350001</v>
      </c>
      <c r="AE1700">
        <v>-11.1678999999999</v>
      </c>
      <c r="AF1700">
        <v>-9.2433608657486293</v>
      </c>
      <c r="AG1700">
        <v>-1.1134695026350001</v>
      </c>
      <c r="AH1700">
        <v>34.966034811282398</v>
      </c>
      <c r="AI1700">
        <v>91.763394253963597</v>
      </c>
      <c r="AJ1700">
        <v>104.807560104392</v>
      </c>
      <c r="AK1700">
        <v>36.184293897374403</v>
      </c>
      <c r="AL1700">
        <v>96.694961841413303</v>
      </c>
      <c r="AM1700">
        <v>100.109048909151</v>
      </c>
      <c r="AN1700">
        <v>0.99999995956224397</v>
      </c>
    </row>
    <row r="1701" spans="1:40" x14ac:dyDescent="0.25">
      <c r="A1701" t="str">
        <f>"20190305135616166"</f>
        <v>20190305135616166</v>
      </c>
      <c r="B1701" t="str">
        <f>"1551765376163998"</f>
        <v>1551765376163998</v>
      </c>
      <c r="C1701" t="s">
        <v>40</v>
      </c>
      <c r="D1701">
        <v>4.0041379999999904</v>
      </c>
      <c r="E1701">
        <v>0.47287770000000001</v>
      </c>
      <c r="F1701" t="s">
        <v>54</v>
      </c>
      <c r="G1701">
        <v>-486.62799999999999</v>
      </c>
      <c r="H1701" s="1">
        <v>1.5108480000000001E-6</v>
      </c>
      <c r="I1701">
        <v>274.83600000000001</v>
      </c>
      <c r="J1701">
        <v>-455.28640000000001</v>
      </c>
      <c r="K1701">
        <v>1.113516</v>
      </c>
      <c r="L1701">
        <v>285.18150000000003</v>
      </c>
      <c r="M1701">
        <v>-0.99814860000000005</v>
      </c>
      <c r="N1701">
        <v>-1.5352299999999999E-2</v>
      </c>
      <c r="O1701">
        <v>-5.8853429999999998E-2</v>
      </c>
      <c r="P1701">
        <v>-0.96353040000000001</v>
      </c>
      <c r="Q1701">
        <v>-0.1293985</v>
      </c>
      <c r="R1701">
        <v>-0.234233</v>
      </c>
      <c r="S1701">
        <v>-2.8739319999999999</v>
      </c>
      <c r="T1701">
        <v>-0.1004002</v>
      </c>
      <c r="U1701">
        <v>-0.93563839999999998</v>
      </c>
      <c r="V1701">
        <v>-0.17566590000000001</v>
      </c>
      <c r="W1701">
        <v>-0.1166152</v>
      </c>
      <c r="X1701">
        <v>0.97751849999999996</v>
      </c>
      <c r="Y1701">
        <v>-0.2528666</v>
      </c>
      <c r="Z1701">
        <v>-5.1804059999999898E-3</v>
      </c>
      <c r="AA1701">
        <v>0.96748730000000005</v>
      </c>
      <c r="AB1701">
        <v>53</v>
      </c>
      <c r="AC1701">
        <v>-31.3416</v>
      </c>
      <c r="AD1701">
        <v>-1.1135144891519999</v>
      </c>
      <c r="AE1701">
        <v>-10.345499999999999</v>
      </c>
      <c r="AF1701">
        <v>-8.4731407311439693</v>
      </c>
      <c r="AG1701">
        <v>-1.1135144891519999</v>
      </c>
      <c r="AH1701">
        <v>31.859936369563702</v>
      </c>
      <c r="AI1701">
        <v>91.934499835501498</v>
      </c>
      <c r="AJ1701">
        <v>104.893058775726</v>
      </c>
      <c r="AK1701">
        <v>32.986202779949799</v>
      </c>
      <c r="AL1701">
        <v>96.696795983682904</v>
      </c>
      <c r="AM1701">
        <v>100.187654328791</v>
      </c>
      <c r="AN1701">
        <v>1.00000001556805</v>
      </c>
    </row>
    <row r="1702" spans="1:40" x14ac:dyDescent="0.25">
      <c r="A1702" t="str">
        <f>"20190305135616191"</f>
        <v>20190305135616191</v>
      </c>
      <c r="B1702" t="str">
        <f>"1551765376183517"</f>
        <v>1551765376183517</v>
      </c>
      <c r="C1702" t="s">
        <v>40</v>
      </c>
      <c r="D1702">
        <v>4.0199889999999998</v>
      </c>
      <c r="E1702">
        <v>0.49445610000000001</v>
      </c>
      <c r="F1702" t="s">
        <v>54</v>
      </c>
      <c r="G1702">
        <v>-483.60719999999998</v>
      </c>
      <c r="H1702" s="1">
        <v>1.4186320000000001E-6</v>
      </c>
      <c r="I1702">
        <v>275.83359999999999</v>
      </c>
      <c r="J1702">
        <v>-455.83499999999998</v>
      </c>
      <c r="K1702">
        <v>1.113545</v>
      </c>
      <c r="L1702">
        <v>285.1474</v>
      </c>
      <c r="M1702">
        <v>-0.99791439999999998</v>
      </c>
      <c r="N1702">
        <v>-1.53502E-2</v>
      </c>
      <c r="O1702">
        <v>-6.2701880000000002E-2</v>
      </c>
      <c r="P1702">
        <v>-0.96241410000000005</v>
      </c>
      <c r="Q1702">
        <v>-0.12841350000000001</v>
      </c>
      <c r="R1702">
        <v>-0.23930989999999999</v>
      </c>
      <c r="S1702">
        <v>-2.8682249999999998</v>
      </c>
      <c r="T1702">
        <v>-0.1127729</v>
      </c>
      <c r="U1702">
        <v>-0.94671629999999996</v>
      </c>
      <c r="V1702">
        <v>-0.177041899999999</v>
      </c>
      <c r="W1702">
        <v>-0.11566650000000001</v>
      </c>
      <c r="X1702">
        <v>0.977383</v>
      </c>
      <c r="Y1702">
        <v>-0.25303700000000001</v>
      </c>
      <c r="Z1702">
        <v>-5.3844189999999997E-3</v>
      </c>
      <c r="AA1702">
        <v>0.96744160000000001</v>
      </c>
      <c r="AB1702">
        <v>53</v>
      </c>
      <c r="AC1702">
        <v>-27.772200000000002</v>
      </c>
      <c r="AD1702">
        <v>-1.1135435813679999</v>
      </c>
      <c r="AE1702">
        <v>-9.3138000000000094</v>
      </c>
      <c r="AF1702">
        <v>-7.5429942655774802</v>
      </c>
      <c r="AG1702">
        <v>-1.1135435813679999</v>
      </c>
      <c r="AH1702">
        <v>28.260760917146399</v>
      </c>
      <c r="AI1702">
        <v>92.180183597397203</v>
      </c>
      <c r="AJ1702">
        <v>104.94427107046501</v>
      </c>
      <c r="AK1702">
        <v>29.2712717423458</v>
      </c>
      <c r="AL1702">
        <v>96.642068888948799</v>
      </c>
      <c r="AM1702">
        <v>100.26715712591501</v>
      </c>
      <c r="AN1702">
        <v>1.0000000511334199</v>
      </c>
    </row>
    <row r="1703" spans="1:40" x14ac:dyDescent="0.25">
      <c r="A1703" t="str">
        <f>"20190305135616211"</f>
        <v>20190305135616211</v>
      </c>
      <c r="B1703" t="str">
        <f>"1551765376204016"</f>
        <v>1551765376204016</v>
      </c>
      <c r="C1703" t="s">
        <v>40</v>
      </c>
      <c r="D1703">
        <v>3.9901420000000001</v>
      </c>
      <c r="E1703">
        <v>0.49793150000000003</v>
      </c>
      <c r="F1703" t="s">
        <v>54</v>
      </c>
      <c r="G1703">
        <v>-471.87490000000003</v>
      </c>
      <c r="H1703" s="1">
        <v>5.4497959999999998E-6</v>
      </c>
      <c r="I1703">
        <v>280.80869999999999</v>
      </c>
      <c r="J1703">
        <v>-456.35239999999999</v>
      </c>
      <c r="K1703">
        <v>1.113577</v>
      </c>
      <c r="L1703">
        <v>285.11320000000001</v>
      </c>
      <c r="M1703">
        <v>-0.99767910000000004</v>
      </c>
      <c r="N1703">
        <v>-1.5348209999999999E-2</v>
      </c>
      <c r="O1703">
        <v>-6.6339620000000002E-2</v>
      </c>
      <c r="P1703">
        <v>-0.96130669999999996</v>
      </c>
      <c r="Q1703">
        <v>-0.1278871</v>
      </c>
      <c r="R1703">
        <v>-0.24399699999999999</v>
      </c>
      <c r="S1703">
        <v>-2.8955989999999998</v>
      </c>
      <c r="T1703">
        <v>-0.2010208</v>
      </c>
      <c r="U1703">
        <v>-0.78323359999999997</v>
      </c>
      <c r="V1703">
        <v>-0.17823310000000001</v>
      </c>
      <c r="W1703">
        <v>-0.1151708</v>
      </c>
      <c r="X1703">
        <v>0.97722500000000001</v>
      </c>
      <c r="Y1703">
        <v>-0.19603509999999999</v>
      </c>
      <c r="Z1703">
        <v>-4.7056609999999999E-3</v>
      </c>
      <c r="AA1703">
        <v>0.98058559999999995</v>
      </c>
      <c r="AB1703">
        <v>53</v>
      </c>
      <c r="AC1703">
        <v>-15.522500000000001</v>
      </c>
      <c r="AD1703">
        <v>-1.113571550204</v>
      </c>
      <c r="AE1703">
        <v>-4.3045000000000098</v>
      </c>
      <c r="AF1703">
        <v>-3.2496074720278201</v>
      </c>
      <c r="AG1703">
        <v>-1.113571550204</v>
      </c>
      <c r="AH1703">
        <v>15.6988649424269</v>
      </c>
      <c r="AI1703">
        <v>93.973425759750498</v>
      </c>
      <c r="AJ1703">
        <v>101.694851422067</v>
      </c>
      <c r="AK1703">
        <v>16.070294048344099</v>
      </c>
      <c r="AL1703">
        <v>96.613476453859903</v>
      </c>
      <c r="AM1703">
        <v>100.336389233473</v>
      </c>
      <c r="AN1703">
        <v>1.00000002586662</v>
      </c>
    </row>
    <row r="1704" spans="1:40" x14ac:dyDescent="0.25">
      <c r="A1704" t="str">
        <f>"20190305135616234"</f>
        <v>20190305135616234</v>
      </c>
      <c r="B1704" t="str">
        <f>"1551765376223533"</f>
        <v>1551765376223533</v>
      </c>
      <c r="C1704" t="s">
        <v>40</v>
      </c>
      <c r="D1704">
        <v>4.0166870000000001</v>
      </c>
      <c r="E1704">
        <v>0.49846040000000003</v>
      </c>
      <c r="F1704" t="s">
        <v>54</v>
      </c>
      <c r="G1704">
        <v>-473.80110000000002</v>
      </c>
      <c r="H1704" s="1">
        <v>4.5658889999999997E-6</v>
      </c>
      <c r="I1704">
        <v>280.46899999999999</v>
      </c>
      <c r="J1704">
        <v>-456.86470000000003</v>
      </c>
      <c r="K1704">
        <v>1.11359599999999</v>
      </c>
      <c r="L1704">
        <v>285.07740000000001</v>
      </c>
      <c r="M1704">
        <v>-0.99743280000000001</v>
      </c>
      <c r="N1704">
        <v>-1.5346230000000001E-2</v>
      </c>
      <c r="O1704">
        <v>-6.9948319999999994E-2</v>
      </c>
      <c r="P1704">
        <v>-0.9603199</v>
      </c>
      <c r="Q1704">
        <v>-0.12689329999999999</v>
      </c>
      <c r="R1704">
        <v>-0.2483631</v>
      </c>
      <c r="S1704">
        <v>-2.9002690000000002</v>
      </c>
      <c r="T1704">
        <v>-0.1850936</v>
      </c>
      <c r="U1704">
        <v>-0.77194209999999996</v>
      </c>
      <c r="V1704">
        <v>-0.1791353</v>
      </c>
      <c r="W1704">
        <v>-0.1141997</v>
      </c>
      <c r="X1704">
        <v>0.97717399999999999</v>
      </c>
      <c r="Y1704">
        <v>-0.18860260000000001</v>
      </c>
      <c r="Z1704">
        <v>-4.0700620000000002E-3</v>
      </c>
      <c r="AA1704">
        <v>0.9820451</v>
      </c>
      <c r="AB1704">
        <v>53</v>
      </c>
      <c r="AC1704">
        <v>-16.9363999999999</v>
      </c>
      <c r="AD1704">
        <v>-1.11359143411099</v>
      </c>
      <c r="AE1704">
        <v>-4.6084000000000103</v>
      </c>
      <c r="AF1704">
        <v>-3.39861744435153</v>
      </c>
      <c r="AG1704">
        <v>-1.11359143411099</v>
      </c>
      <c r="AH1704">
        <v>17.148268662256601</v>
      </c>
      <c r="AI1704">
        <v>93.644816855623205</v>
      </c>
      <c r="AJ1704">
        <v>101.21018784162401</v>
      </c>
      <c r="AK1704">
        <v>17.517243062996801</v>
      </c>
      <c r="AL1704">
        <v>96.557466958451798</v>
      </c>
      <c r="AM1704">
        <v>100.38810522897001</v>
      </c>
      <c r="AN1704">
        <v>1.00000002673108</v>
      </c>
    </row>
    <row r="1705" spans="1:40" x14ac:dyDescent="0.25">
      <c r="A1705" t="str">
        <f>"20190305135616257"</f>
        <v>20190305135616257</v>
      </c>
      <c r="B1705" t="str">
        <f>"1551765376253790"</f>
        <v>1551765376253790</v>
      </c>
      <c r="C1705" t="s">
        <v>40</v>
      </c>
      <c r="D1705">
        <v>4.0196940000000003</v>
      </c>
      <c r="E1705">
        <v>0.49960169999999998</v>
      </c>
      <c r="F1705" t="s">
        <v>54</v>
      </c>
      <c r="G1705">
        <v>-475.2131</v>
      </c>
      <c r="H1705" s="1">
        <v>3.9100629999999997E-6</v>
      </c>
      <c r="I1705">
        <v>280.12959999999998</v>
      </c>
      <c r="J1705">
        <v>-457.41160000000002</v>
      </c>
      <c r="K1705">
        <v>1.113607</v>
      </c>
      <c r="L1705">
        <v>285.03719999999998</v>
      </c>
      <c r="M1705">
        <v>-0.99715469999999895</v>
      </c>
      <c r="N1705">
        <v>-1.534404E-2</v>
      </c>
      <c r="O1705">
        <v>-7.3806269999999993E-2</v>
      </c>
      <c r="P1705">
        <v>-0.95920799999999995</v>
      </c>
      <c r="Q1705">
        <v>-0.12717210000000001</v>
      </c>
      <c r="R1705">
        <v>-0.25248280000000001</v>
      </c>
      <c r="S1705">
        <v>-2.8985289999999999</v>
      </c>
      <c r="T1705">
        <v>-0.1759154</v>
      </c>
      <c r="U1705">
        <v>-0.78161619999999998</v>
      </c>
      <c r="V1705">
        <v>-0.17954339999999999</v>
      </c>
      <c r="W1705">
        <v>-0.11449479999999999</v>
      </c>
      <c r="X1705">
        <v>0.9770645</v>
      </c>
      <c r="Y1705">
        <v>-0.1880425</v>
      </c>
      <c r="Z1705">
        <v>-3.8031779999999999E-3</v>
      </c>
      <c r="AA1705">
        <v>0.98215350000000001</v>
      </c>
      <c r="AB1705">
        <v>53</v>
      </c>
      <c r="AC1705">
        <v>-17.801499999999901</v>
      </c>
      <c r="AD1705">
        <v>-1.113603089937</v>
      </c>
      <c r="AE1705">
        <v>-4.9076000000000004</v>
      </c>
      <c r="AF1705">
        <v>-3.5672213132539401</v>
      </c>
      <c r="AG1705">
        <v>-1.113603089937</v>
      </c>
      <c r="AH1705">
        <v>18.049546080185898</v>
      </c>
      <c r="AI1705">
        <v>93.463674359165793</v>
      </c>
      <c r="AJ1705">
        <v>101.179578388606</v>
      </c>
      <c r="AK1705">
        <v>18.4323436773624</v>
      </c>
      <c r="AL1705">
        <v>96.574486988329994</v>
      </c>
      <c r="AM1705">
        <v>100.412395386958</v>
      </c>
      <c r="AN1705">
        <v>0.99999996443542405</v>
      </c>
    </row>
    <row r="1706" spans="1:40" x14ac:dyDescent="0.25">
      <c r="A1706" t="str">
        <f>"20190305135616280"</f>
        <v>20190305135616280</v>
      </c>
      <c r="B1706" t="str">
        <f>"1551765376274284"</f>
        <v>1551765376274284</v>
      </c>
      <c r="C1706" t="s">
        <v>40</v>
      </c>
      <c r="D1706">
        <v>4.0089560000000004</v>
      </c>
      <c r="E1706">
        <v>0.50060249999999995</v>
      </c>
      <c r="F1706" t="s">
        <v>54</v>
      </c>
      <c r="G1706">
        <v>-473.68979999999999</v>
      </c>
      <c r="H1706" s="1">
        <v>4.6298479999999998E-6</v>
      </c>
      <c r="I1706">
        <v>280.63569999999999</v>
      </c>
      <c r="J1706">
        <v>-457.94349999999997</v>
      </c>
      <c r="K1706">
        <v>1.1136189999999999</v>
      </c>
      <c r="L1706">
        <v>284.99599999999998</v>
      </c>
      <c r="M1706">
        <v>-0.99686940000000002</v>
      </c>
      <c r="N1706">
        <v>-1.5341860000000001E-2</v>
      </c>
      <c r="O1706">
        <v>-7.7563460000000001E-2</v>
      </c>
      <c r="P1706">
        <v>-0.95806239999999998</v>
      </c>
      <c r="Q1706">
        <v>-0.12822220000000001</v>
      </c>
      <c r="R1706">
        <v>-0.25627250000000001</v>
      </c>
      <c r="S1706">
        <v>-2.8952939999999998</v>
      </c>
      <c r="T1706">
        <v>-0.19806960000000001</v>
      </c>
      <c r="U1706">
        <v>-0.78286739999999999</v>
      </c>
      <c r="V1706">
        <v>-0.17971679999999901</v>
      </c>
      <c r="W1706">
        <v>-0.1155574</v>
      </c>
      <c r="X1706">
        <v>0.97690759999999999</v>
      </c>
      <c r="Y1706">
        <v>-0.1849536</v>
      </c>
      <c r="Z1706">
        <v>-3.6362460000000001E-3</v>
      </c>
      <c r="AA1706">
        <v>0.98274050000000002</v>
      </c>
      <c r="AB1706">
        <v>53</v>
      </c>
      <c r="AC1706">
        <v>-15.7463</v>
      </c>
      <c r="AD1706">
        <v>-1.113614370152</v>
      </c>
      <c r="AE1706">
        <v>-4.3602999999999899</v>
      </c>
      <c r="AF1706">
        <v>-3.1112269031517901</v>
      </c>
      <c r="AG1706">
        <v>-1.113614370152</v>
      </c>
      <c r="AH1706">
        <v>15.9629367443393</v>
      </c>
      <c r="AI1706">
        <v>93.917159673663903</v>
      </c>
      <c r="AJ1706">
        <v>101.02886394366899</v>
      </c>
      <c r="AK1706">
        <v>16.301387036448201</v>
      </c>
      <c r="AL1706">
        <v>96.635775728715302</v>
      </c>
      <c r="AM1706">
        <v>100.423868455058</v>
      </c>
      <c r="AN1706">
        <v>1.00000004991737</v>
      </c>
    </row>
    <row r="1707" spans="1:40" x14ac:dyDescent="0.25">
      <c r="A1707" t="str">
        <f>"20190305135616301"</f>
        <v>20190305135616301</v>
      </c>
      <c r="B1707" t="str">
        <f>"1551765376293809"</f>
        <v>1551765376293809</v>
      </c>
      <c r="C1707" t="s">
        <v>40</v>
      </c>
      <c r="D1707">
        <v>4.031949</v>
      </c>
      <c r="E1707">
        <v>0.5012027</v>
      </c>
      <c r="F1707" t="s">
        <v>54</v>
      </c>
      <c r="G1707">
        <v>-473.0727</v>
      </c>
      <c r="H1707" s="1">
        <v>4.925565E-6</v>
      </c>
      <c r="I1707">
        <v>280.88819999999998</v>
      </c>
      <c r="J1707">
        <v>-458.44900000000001</v>
      </c>
      <c r="K1707">
        <v>1.1136239999999999</v>
      </c>
      <c r="L1707">
        <v>284.95510000000002</v>
      </c>
      <c r="M1707">
        <v>-0.99658500000000005</v>
      </c>
      <c r="N1707">
        <v>-1.533992E-2</v>
      </c>
      <c r="O1707">
        <v>-8.1136490000000006E-2</v>
      </c>
      <c r="P1707">
        <v>-0.95711930000000001</v>
      </c>
      <c r="Q1707">
        <v>-0.1285018</v>
      </c>
      <c r="R1707">
        <v>-0.25963399999999998</v>
      </c>
      <c r="S1707">
        <v>-2.8927</v>
      </c>
      <c r="T1707">
        <v>-0.21292330000000001</v>
      </c>
      <c r="U1707">
        <v>-0.78543090000000004</v>
      </c>
      <c r="V1707">
        <v>-0.17964089999999999</v>
      </c>
      <c r="W1707">
        <v>-0.11584220000000001</v>
      </c>
      <c r="X1707">
        <v>0.97688779999999997</v>
      </c>
      <c r="Y1707">
        <v>-0.18242749999999999</v>
      </c>
      <c r="Z1707">
        <v>-3.4003420000000002E-3</v>
      </c>
      <c r="AA1707">
        <v>0.98321340000000002</v>
      </c>
      <c r="AB1707">
        <v>53</v>
      </c>
      <c r="AC1707">
        <v>-14.6236999999999</v>
      </c>
      <c r="AD1707">
        <v>-1.1136190744350001</v>
      </c>
      <c r="AE1707">
        <v>-4.0669000000000297</v>
      </c>
      <c r="AF1707">
        <v>-2.8514841496690102</v>
      </c>
      <c r="AG1707">
        <v>-1.1136190744350001</v>
      </c>
      <c r="AH1707">
        <v>14.8256839321598</v>
      </c>
      <c r="AI1707">
        <v>94.218625514757804</v>
      </c>
      <c r="AJ1707">
        <v>100.88698454769001</v>
      </c>
      <c r="AK1707">
        <v>15.138428364763</v>
      </c>
      <c r="AL1707">
        <v>96.652204086866305</v>
      </c>
      <c r="AM1707">
        <v>100.41976913421399</v>
      </c>
      <c r="AN1707">
        <v>1.0000000210212401</v>
      </c>
    </row>
    <row r="1708" spans="1:40" x14ac:dyDescent="0.25">
      <c r="A1708" t="str">
        <f>"20190305135616323"</f>
        <v>20190305135616323</v>
      </c>
      <c r="B1708" t="str">
        <f>"1551765376314301"</f>
        <v>1551765376314301</v>
      </c>
      <c r="C1708" t="s">
        <v>40</v>
      </c>
      <c r="D1708">
        <v>4.0153780000000001</v>
      </c>
      <c r="E1708">
        <v>0.50175550000000002</v>
      </c>
      <c r="F1708" t="s">
        <v>54</v>
      </c>
      <c r="G1708">
        <v>-472.75900000000001</v>
      </c>
      <c r="H1708" s="1">
        <v>5.0783059999999999E-6</v>
      </c>
      <c r="I1708">
        <v>281.04379999999998</v>
      </c>
      <c r="J1708">
        <v>-458.9633</v>
      </c>
      <c r="K1708">
        <v>1.113639</v>
      </c>
      <c r="L1708">
        <v>284.91160000000002</v>
      </c>
      <c r="M1708">
        <v>-0.996282</v>
      </c>
      <c r="N1708">
        <v>-1.533761E-2</v>
      </c>
      <c r="O1708">
        <v>-8.4776050000000006E-2</v>
      </c>
      <c r="P1708">
        <v>-0.956291</v>
      </c>
      <c r="Q1708">
        <v>-0.128683399999999</v>
      </c>
      <c r="R1708">
        <v>-0.26258100000000001</v>
      </c>
      <c r="S1708">
        <v>-2.889923</v>
      </c>
      <c r="T1708">
        <v>-0.22489790000000001</v>
      </c>
      <c r="U1708">
        <v>-0.78988649999999905</v>
      </c>
      <c r="V1708">
        <v>-0.17908099999999999</v>
      </c>
      <c r="W1708">
        <v>-0.1160205</v>
      </c>
      <c r="X1708">
        <v>0.97696939999999999</v>
      </c>
      <c r="Y1708">
        <v>-0.18045900000000001</v>
      </c>
      <c r="Z1708">
        <v>-3.1319360000000001E-3</v>
      </c>
      <c r="AA1708">
        <v>0.98357749999999999</v>
      </c>
      <c r="AB1708">
        <v>53</v>
      </c>
      <c r="AC1708">
        <v>-13.7957</v>
      </c>
      <c r="AD1708">
        <v>-1.1136339216940001</v>
      </c>
      <c r="AE1708">
        <v>-3.8678000000000399</v>
      </c>
      <c r="AF1708">
        <v>-2.6680714267902301</v>
      </c>
      <c r="AG1708">
        <v>-1.1136339216940001</v>
      </c>
      <c r="AH1708">
        <v>13.9894441151122</v>
      </c>
      <c r="AI1708">
        <v>94.471193642355502</v>
      </c>
      <c r="AJ1708">
        <v>100.79779580031401</v>
      </c>
      <c r="AK1708">
        <v>14.285073758992199</v>
      </c>
      <c r="AL1708">
        <v>96.6624895175147</v>
      </c>
      <c r="AM1708">
        <v>100.387152409862</v>
      </c>
      <c r="AN1708">
        <v>0.99999998475880403</v>
      </c>
    </row>
    <row r="1709" spans="1:40" x14ac:dyDescent="0.25">
      <c r="A1709" t="str">
        <f>"20190305135616345"</f>
        <v>20190305135616345</v>
      </c>
      <c r="B1709" t="str">
        <f>"1551765376333822"</f>
        <v>1551765376333822</v>
      </c>
      <c r="C1709" t="s">
        <v>40</v>
      </c>
      <c r="D1709">
        <v>4.0325379999999997</v>
      </c>
      <c r="E1709">
        <v>0.50211300000000003</v>
      </c>
      <c r="F1709" t="s">
        <v>54</v>
      </c>
      <c r="G1709">
        <v>-472.88060000000002</v>
      </c>
      <c r="H1709" s="1">
        <v>5.0281469999999996E-6</v>
      </c>
      <c r="I1709">
        <v>281.08710000000002</v>
      </c>
      <c r="J1709">
        <v>-459.48939999999999</v>
      </c>
      <c r="K1709">
        <v>1.113642</v>
      </c>
      <c r="L1709">
        <v>284.86509999999998</v>
      </c>
      <c r="M1709">
        <v>-0.99595789999999995</v>
      </c>
      <c r="N1709">
        <v>-1.5334860000000001E-2</v>
      </c>
      <c r="O1709">
        <v>-8.8503269999999995E-2</v>
      </c>
      <c r="P1709">
        <v>-0.95560789999999995</v>
      </c>
      <c r="Q1709">
        <v>-0.12796160000000001</v>
      </c>
      <c r="R1709">
        <v>-0.26540390000000003</v>
      </c>
      <c r="S1709">
        <v>-2.8880919999999999</v>
      </c>
      <c r="T1709">
        <v>-0.23109830000000001</v>
      </c>
      <c r="U1709">
        <v>-0.79364009999999996</v>
      </c>
      <c r="V1709">
        <v>-0.1783112</v>
      </c>
      <c r="W1709">
        <v>-0.1152899</v>
      </c>
      <c r="X1709">
        <v>0.97719670000000003</v>
      </c>
      <c r="Y1709">
        <v>-0.178120899999999</v>
      </c>
      <c r="Z1709">
        <v>-2.8006250000000002E-3</v>
      </c>
      <c r="AA1709">
        <v>0.98400460000000001</v>
      </c>
      <c r="AB1709">
        <v>53</v>
      </c>
      <c r="AC1709">
        <v>-13.3912</v>
      </c>
      <c r="AD1709">
        <v>-1.1136369718529999</v>
      </c>
      <c r="AE1709">
        <v>-3.7779999999999601</v>
      </c>
      <c r="AF1709">
        <v>-2.56145819406282</v>
      </c>
      <c r="AG1709">
        <v>-1.1136369718529999</v>
      </c>
      <c r="AH1709">
        <v>13.5860115833775</v>
      </c>
      <c r="AI1709">
        <v>94.605247164556204</v>
      </c>
      <c r="AJ1709">
        <v>100.67701106504499</v>
      </c>
      <c r="AK1709">
        <v>13.8701465792067</v>
      </c>
      <c r="AL1709">
        <v>96.620346195120504</v>
      </c>
      <c r="AM1709">
        <v>100.34111385347801</v>
      </c>
      <c r="AN1709">
        <v>1.0000000177891699</v>
      </c>
    </row>
    <row r="1710" spans="1:40" x14ac:dyDescent="0.25">
      <c r="A1710" t="str">
        <f>"20190305135616368"</f>
        <v>20190305135616368</v>
      </c>
      <c r="B1710" t="str">
        <f>"1551765376364078"</f>
        <v>1551765376364078</v>
      </c>
      <c r="C1710" t="s">
        <v>40</v>
      </c>
      <c r="D1710">
        <v>4.0934929999999996</v>
      </c>
      <c r="E1710">
        <v>0.50256959999999995</v>
      </c>
      <c r="F1710" t="s">
        <v>54</v>
      </c>
      <c r="G1710">
        <v>-473.17779999999999</v>
      </c>
      <c r="H1710" s="1">
        <v>4.895408E-6</v>
      </c>
      <c r="I1710">
        <v>281.0763</v>
      </c>
      <c r="J1710">
        <v>-460.02170000000001</v>
      </c>
      <c r="K1710">
        <v>1.1136429999999999</v>
      </c>
      <c r="L1710">
        <v>284.81599999999997</v>
      </c>
      <c r="M1710">
        <v>-0.99561540000000004</v>
      </c>
      <c r="N1710">
        <v>-1.5332299999999899E-2</v>
      </c>
      <c r="O1710">
        <v>-9.2276919999999998E-2</v>
      </c>
      <c r="P1710">
        <v>-0.95464839999999995</v>
      </c>
      <c r="Q1710">
        <v>-0.1282276</v>
      </c>
      <c r="R1710">
        <v>-0.26870870000000002</v>
      </c>
      <c r="S1710">
        <v>-2.8860779999999999</v>
      </c>
      <c r="T1710">
        <v>-0.2348006</v>
      </c>
      <c r="U1710">
        <v>-0.79882810000000004</v>
      </c>
      <c r="V1710">
        <v>-0.1779888</v>
      </c>
      <c r="W1710">
        <v>-0.115555</v>
      </c>
      <c r="X1710">
        <v>0.97722410000000004</v>
      </c>
      <c r="Y1710">
        <v>-0.1762136</v>
      </c>
      <c r="Z1710">
        <v>-2.4697130000000001E-3</v>
      </c>
      <c r="AA1710">
        <v>0.98434880000000002</v>
      </c>
      <c r="AB1710">
        <v>53</v>
      </c>
      <c r="AC1710">
        <v>-13.156099999999901</v>
      </c>
      <c r="AD1710">
        <v>-1.1136381045920001</v>
      </c>
      <c r="AE1710">
        <v>-3.7396999999999601</v>
      </c>
      <c r="AF1710">
        <v>-2.49306530208254</v>
      </c>
      <c r="AG1710">
        <v>-1.1136381045920001</v>
      </c>
      <c r="AH1710">
        <v>13.356534682430199</v>
      </c>
      <c r="AI1710">
        <v>94.685615053807794</v>
      </c>
      <c r="AJ1710">
        <v>100.57288294963401</v>
      </c>
      <c r="AK1710">
        <v>13.6327760618081</v>
      </c>
      <c r="AL1710">
        <v>96.635637915551598</v>
      </c>
      <c r="AM1710">
        <v>100.322535480244</v>
      </c>
      <c r="AN1710">
        <v>0.99999995628562399</v>
      </c>
    </row>
    <row r="1711" spans="1:40" x14ac:dyDescent="0.25">
      <c r="A1711" t="str">
        <f>"20190305135616391"</f>
        <v>20190305135616391</v>
      </c>
      <c r="B1711" t="str">
        <f>"1551765376383600"</f>
        <v>1551765376383600</v>
      </c>
      <c r="C1711" t="s">
        <v>40</v>
      </c>
      <c r="D1711">
        <v>4.061547</v>
      </c>
      <c r="E1711">
        <v>0.5027547</v>
      </c>
      <c r="F1711" t="s">
        <v>54</v>
      </c>
      <c r="G1711">
        <v>-473.25279999999998</v>
      </c>
      <c r="H1711" s="1">
        <v>4.8663380000000001E-6</v>
      </c>
      <c r="I1711">
        <v>281.1241</v>
      </c>
      <c r="J1711">
        <v>-460.55329999999998</v>
      </c>
      <c r="K1711">
        <v>1.113634</v>
      </c>
      <c r="L1711">
        <v>284.76499999999999</v>
      </c>
      <c r="M1711">
        <v>-0.99525929999999996</v>
      </c>
      <c r="N1711">
        <v>-1.5329829999999999E-2</v>
      </c>
      <c r="O1711">
        <v>-9.6041340000000003E-2</v>
      </c>
      <c r="P1711">
        <v>-0.95357099999999995</v>
      </c>
      <c r="Q1711">
        <v>-0.12919220000000001</v>
      </c>
      <c r="R1711">
        <v>-0.2720515</v>
      </c>
      <c r="S1711">
        <v>-2.8834840000000002</v>
      </c>
      <c r="T1711">
        <v>-0.24269859999999999</v>
      </c>
      <c r="U1711">
        <v>-0.80459590000000003</v>
      </c>
      <c r="V1711">
        <v>-0.1777184</v>
      </c>
      <c r="W1711">
        <v>-0.116518899999999</v>
      </c>
      <c r="X1711">
        <v>0.97715890000000005</v>
      </c>
      <c r="Y1711">
        <v>-0.1745361</v>
      </c>
      <c r="Z1711">
        <v>-2.1266599999999998E-3</v>
      </c>
      <c r="AA1711">
        <v>0.98464850000000004</v>
      </c>
      <c r="AB1711">
        <v>53</v>
      </c>
      <c r="AC1711">
        <v>-12.6995</v>
      </c>
      <c r="AD1711">
        <v>-1.1136291336619999</v>
      </c>
      <c r="AE1711">
        <v>-3.6408999999999798</v>
      </c>
      <c r="AF1711">
        <v>-2.3872819493025101</v>
      </c>
      <c r="AG1711">
        <v>-1.1136291336619999</v>
      </c>
      <c r="AH1711">
        <v>12.898844388517</v>
      </c>
      <c r="AI1711">
        <v>94.852424955443695</v>
      </c>
      <c r="AJ1711">
        <v>100.48549471458099</v>
      </c>
      <c r="AK1711">
        <v>13.1650853211053</v>
      </c>
      <c r="AL1711">
        <v>96.691240633655397</v>
      </c>
      <c r="AM1711">
        <v>100.307862909286</v>
      </c>
      <c r="AN1711">
        <v>0.99999999980248999</v>
      </c>
    </row>
    <row r="1712" spans="1:40" x14ac:dyDescent="0.25">
      <c r="A1712" t="str">
        <f>"20190305135616412"</f>
        <v>20190305135616412</v>
      </c>
      <c r="B1712" t="str">
        <f>"1551765376404097"</f>
        <v>1551765376404097</v>
      </c>
      <c r="C1712" t="s">
        <v>40</v>
      </c>
      <c r="D1712">
        <v>4.0761260000000004</v>
      </c>
      <c r="E1712">
        <v>0.50300400000000001</v>
      </c>
      <c r="F1712" t="s">
        <v>54</v>
      </c>
      <c r="G1712">
        <v>-473.44850000000002</v>
      </c>
      <c r="H1712" s="1">
        <v>4.7797860000000004E-6</v>
      </c>
      <c r="I1712">
        <v>281.1268</v>
      </c>
      <c r="J1712">
        <v>-461.0684</v>
      </c>
      <c r="K1712">
        <v>1.113618</v>
      </c>
      <c r="L1712">
        <v>284.71350000000001</v>
      </c>
      <c r="M1712">
        <v>-0.99490259999999997</v>
      </c>
      <c r="N1712">
        <v>-1.532707E-2</v>
      </c>
      <c r="O1712">
        <v>-9.9670129999999996E-2</v>
      </c>
      <c r="P1712">
        <v>-0.95237830000000001</v>
      </c>
      <c r="Q1712">
        <v>-0.13028329999999999</v>
      </c>
      <c r="R1712">
        <v>-0.27568520000000002</v>
      </c>
      <c r="S1712">
        <v>-2.880493</v>
      </c>
      <c r="T1712">
        <v>-0.24875929999999999</v>
      </c>
      <c r="U1712">
        <v>-0.81268309999999999</v>
      </c>
      <c r="V1712">
        <v>-0.17788409999999999</v>
      </c>
      <c r="W1712">
        <v>-0.11761249999999999</v>
      </c>
      <c r="X1712">
        <v>0.97699769999999997</v>
      </c>
      <c r="Y1712">
        <v>-0.17376539999999999</v>
      </c>
      <c r="Z1712">
        <v>-1.8216389999999999E-3</v>
      </c>
      <c r="AA1712">
        <v>0.98478540000000003</v>
      </c>
      <c r="AB1712">
        <v>53</v>
      </c>
      <c r="AC1712">
        <v>-12.380100000000001</v>
      </c>
      <c r="AD1712">
        <v>-1.1136132202140001</v>
      </c>
      <c r="AE1712">
        <v>-3.5867</v>
      </c>
      <c r="AF1712">
        <v>-2.3174655758251701</v>
      </c>
      <c r="AG1712">
        <v>-1.1136132202140001</v>
      </c>
      <c r="AH1712">
        <v>12.5820457616068</v>
      </c>
      <c r="AI1712">
        <v>94.974711678339503</v>
      </c>
      <c r="AJ1712">
        <v>100.436243475639</v>
      </c>
      <c r="AK1712">
        <v>12.8420659025928</v>
      </c>
      <c r="AL1712">
        <v>96.754333252247307</v>
      </c>
      <c r="AM1712">
        <v>100.31893310371601</v>
      </c>
      <c r="AN1712">
        <v>0.99999997949717401</v>
      </c>
    </row>
    <row r="1713" spans="1:40" x14ac:dyDescent="0.25">
      <c r="A1713" t="str">
        <f>"20190305135616435"</f>
        <v>20190305135616435</v>
      </c>
      <c r="B1713" t="str">
        <f>"1551765376423614"</f>
        <v>1551765376423614</v>
      </c>
      <c r="C1713" t="s">
        <v>40</v>
      </c>
      <c r="D1713">
        <v>4.0887010000000004</v>
      </c>
      <c r="E1713">
        <v>0.50313859999999999</v>
      </c>
      <c r="F1713" t="s">
        <v>54</v>
      </c>
      <c r="G1713">
        <v>-473.64580000000001</v>
      </c>
      <c r="H1713" s="1">
        <v>4.6917969999999998E-6</v>
      </c>
      <c r="I1713">
        <v>281.12110000000001</v>
      </c>
      <c r="J1713">
        <v>-461.5804</v>
      </c>
      <c r="K1713">
        <v>1.113599</v>
      </c>
      <c r="L1713">
        <v>284.66050000000001</v>
      </c>
      <c r="M1713">
        <v>-0.99453689999999995</v>
      </c>
      <c r="N1713">
        <v>-1.532358E-2</v>
      </c>
      <c r="O1713">
        <v>-0.1032551</v>
      </c>
      <c r="P1713">
        <v>-0.95105269999999997</v>
      </c>
      <c r="Q1713">
        <v>-0.13107659999999999</v>
      </c>
      <c r="R1713">
        <v>-0.27985369999999998</v>
      </c>
      <c r="S1713">
        <v>-2.8772280000000001</v>
      </c>
      <c r="T1713">
        <v>-0.25475189999999998</v>
      </c>
      <c r="U1713">
        <v>-0.82180789999999904</v>
      </c>
      <c r="V1713">
        <v>-0.17864720000000001</v>
      </c>
      <c r="W1713">
        <v>-0.1184143</v>
      </c>
      <c r="X1713">
        <v>0.97676160000000001</v>
      </c>
      <c r="Y1713">
        <v>-0.1733905</v>
      </c>
      <c r="Z1713">
        <v>-1.52358299999999E-3</v>
      </c>
      <c r="AA1713">
        <v>0.98485199999999995</v>
      </c>
      <c r="AB1713">
        <v>53</v>
      </c>
      <c r="AC1713">
        <v>-12.0654</v>
      </c>
      <c r="AD1713">
        <v>-1.113594308203</v>
      </c>
      <c r="AE1713">
        <v>-3.5394000000000001</v>
      </c>
      <c r="AF1713">
        <v>-2.25681510446366</v>
      </c>
      <c r="AG1713">
        <v>-1.113594308203</v>
      </c>
      <c r="AH1713">
        <v>12.270155211394901</v>
      </c>
      <c r="AI1713">
        <v>95.100652930110797</v>
      </c>
      <c r="AJ1713">
        <v>100.421773089002</v>
      </c>
      <c r="AK1713">
        <v>12.525574462303901</v>
      </c>
      <c r="AL1713">
        <v>96.800596184653301</v>
      </c>
      <c r="AM1713">
        <v>100.364693455562</v>
      </c>
      <c r="AN1713">
        <v>0.99999999587344501</v>
      </c>
    </row>
    <row r="1714" spans="1:40" x14ac:dyDescent="0.25">
      <c r="A1714" t="str">
        <f>"20190305135616458"</f>
        <v>20190305135616458</v>
      </c>
      <c r="B1714" t="str">
        <f>"1551765376453869"</f>
        <v>1551765376453869</v>
      </c>
      <c r="C1714" t="s">
        <v>40</v>
      </c>
      <c r="D1714">
        <v>4.2681839999999998</v>
      </c>
      <c r="E1714">
        <v>0.50323050000000003</v>
      </c>
      <c r="F1714" t="s">
        <v>54</v>
      </c>
      <c r="G1714">
        <v>-473.88670000000002</v>
      </c>
      <c r="H1714" s="1">
        <v>4.5824499999999996E-6</v>
      </c>
      <c r="I1714">
        <v>281.0926</v>
      </c>
      <c r="J1714">
        <v>-462.11649999999997</v>
      </c>
      <c r="K1714">
        <v>1.113577</v>
      </c>
      <c r="L1714">
        <v>284.60289999999998</v>
      </c>
      <c r="M1714">
        <v>-0.99414440000000004</v>
      </c>
      <c r="N1714">
        <v>-1.53192999999999E-2</v>
      </c>
      <c r="O1714">
        <v>-0.1069681</v>
      </c>
      <c r="P1714">
        <v>-0.9498759</v>
      </c>
      <c r="Q1714">
        <v>-0.1307295</v>
      </c>
      <c r="R1714">
        <v>-0.28398139999999999</v>
      </c>
      <c r="S1714">
        <v>-2.8734440000000001</v>
      </c>
      <c r="T1714">
        <v>-0.26001740000000001</v>
      </c>
      <c r="U1714">
        <v>-0.83306880000000005</v>
      </c>
      <c r="V1714">
        <v>-0.1792494</v>
      </c>
      <c r="W1714">
        <v>-0.1180659</v>
      </c>
      <c r="X1714">
        <v>0.97669349999999999</v>
      </c>
      <c r="Y1714">
        <v>-0.1736124</v>
      </c>
      <c r="Z1714">
        <v>-1.2365919999999999E-3</v>
      </c>
      <c r="AA1714">
        <v>0.9848133</v>
      </c>
      <c r="AB1714">
        <v>53</v>
      </c>
      <c r="AC1714">
        <v>-11.770200000000001</v>
      </c>
      <c r="AD1714">
        <v>-1.1135724175499999</v>
      </c>
      <c r="AE1714">
        <v>-3.5102999999999698</v>
      </c>
      <c r="AF1714">
        <v>-2.2127823019851798</v>
      </c>
      <c r="AG1714">
        <v>-1.1135724175499999</v>
      </c>
      <c r="AH1714">
        <v>11.9797148841569</v>
      </c>
      <c r="AI1714">
        <v>95.222811162939706</v>
      </c>
      <c r="AJ1714">
        <v>100.465193782108</v>
      </c>
      <c r="AK1714">
        <v>12.233152404462199</v>
      </c>
      <c r="AL1714">
        <v>96.780492955136097</v>
      </c>
      <c r="AM1714">
        <v>100.399579960845</v>
      </c>
      <c r="AN1714">
        <v>1.0000000485427001</v>
      </c>
    </row>
    <row r="1715" spans="1:40" x14ac:dyDescent="0.25">
      <c r="A1715" t="str">
        <f>"20190305135616502"</f>
        <v>20190305135616502</v>
      </c>
      <c r="B1715" t="str">
        <f>"1551765376493890"</f>
        <v>1551765376493890</v>
      </c>
      <c r="C1715" t="s">
        <v>40</v>
      </c>
      <c r="D1715">
        <v>4.1090400000000002</v>
      </c>
      <c r="E1715">
        <v>0.50274909999999995</v>
      </c>
      <c r="F1715" t="s">
        <v>54</v>
      </c>
      <c r="G1715">
        <v>-474.36320000000001</v>
      </c>
      <c r="H1715" s="1">
        <v>4.3630439999999999E-6</v>
      </c>
      <c r="I1715">
        <v>280.99990000000003</v>
      </c>
      <c r="J1715">
        <v>-463.15339999999998</v>
      </c>
      <c r="K1715">
        <v>1.1135029999999999</v>
      </c>
      <c r="L1715">
        <v>284.48610000000002</v>
      </c>
      <c r="M1715">
        <v>-0.99336530000000001</v>
      </c>
      <c r="N1715">
        <v>-1.530887E-2</v>
      </c>
      <c r="O1715">
        <v>-0.1139786</v>
      </c>
      <c r="P1715">
        <v>-0.94776050000000001</v>
      </c>
      <c r="Q1715">
        <v>-0.1297277</v>
      </c>
      <c r="R1715">
        <v>-0.2914118</v>
      </c>
      <c r="S1715">
        <v>-2.8699340000000002</v>
      </c>
      <c r="T1715">
        <v>-0.26095689999999999</v>
      </c>
      <c r="U1715">
        <v>-0.84432980000000002</v>
      </c>
      <c r="V1715">
        <v>-0.18003239999999901</v>
      </c>
      <c r="W1715">
        <v>-0.1170394</v>
      </c>
      <c r="X1715">
        <v>0.97667300000000001</v>
      </c>
      <c r="Y1715">
        <v>-0.170575799999999</v>
      </c>
      <c r="Z1715">
        <v>-5.5999819999999999E-4</v>
      </c>
      <c r="AA1715">
        <v>0.98534440000000001</v>
      </c>
      <c r="AB1715">
        <v>53</v>
      </c>
      <c r="AC1715">
        <v>-11.2098</v>
      </c>
      <c r="AD1715">
        <v>-1.113498636956</v>
      </c>
      <c r="AE1715">
        <v>-3.48619999999999</v>
      </c>
      <c r="AF1715">
        <v>-2.1661602858600602</v>
      </c>
      <c r="AG1715">
        <v>-1.113498636956</v>
      </c>
      <c r="AH1715">
        <v>11.4312845109273</v>
      </c>
      <c r="AI1715">
        <v>95.466835018797397</v>
      </c>
      <c r="AJ1715">
        <v>100.72998518242299</v>
      </c>
      <c r="AK1715">
        <v>11.6878738514884</v>
      </c>
      <c r="AL1715">
        <v>96.721268421018195</v>
      </c>
      <c r="AM1715">
        <v>100.444224444925</v>
      </c>
      <c r="AN1715">
        <v>1.0000000175655599</v>
      </c>
    </row>
    <row r="1716" spans="1:40" x14ac:dyDescent="0.25">
      <c r="A1716" t="str">
        <f>"20190305135616524"</f>
        <v>20190305135616524</v>
      </c>
      <c r="B1716" t="str">
        <f>"1551765376513406"</f>
        <v>1551765376513406</v>
      </c>
      <c r="C1716" t="s">
        <v>40</v>
      </c>
      <c r="D1716">
        <v>4.1389069999999997</v>
      </c>
      <c r="E1716">
        <v>0.50264489999999995</v>
      </c>
      <c r="F1716" t="s">
        <v>54</v>
      </c>
      <c r="G1716">
        <v>-474.19290000000001</v>
      </c>
      <c r="H1716" s="1">
        <v>4.450907E-6</v>
      </c>
      <c r="I1716">
        <v>281.14100000000002</v>
      </c>
      <c r="J1716">
        <v>-463.66359999999997</v>
      </c>
      <c r="K1716">
        <v>1.113461</v>
      </c>
      <c r="L1716">
        <v>284.42610000000002</v>
      </c>
      <c r="M1716">
        <v>-0.99297489999999999</v>
      </c>
      <c r="N1716">
        <v>-1.5302980000000001E-2</v>
      </c>
      <c r="O1716">
        <v>-0.1173314</v>
      </c>
      <c r="P1716">
        <v>-0.9465749</v>
      </c>
      <c r="Q1716">
        <v>-0.12844610000000001</v>
      </c>
      <c r="R1716">
        <v>-0.29579949999999999</v>
      </c>
      <c r="S1716">
        <v>-2.8594360000000001</v>
      </c>
      <c r="T1716">
        <v>-0.28841609999999901</v>
      </c>
      <c r="U1716">
        <v>-0.86645509999999903</v>
      </c>
      <c r="V1716">
        <v>-0.18127109999999999</v>
      </c>
      <c r="W1716">
        <v>-0.1157513</v>
      </c>
      <c r="X1716">
        <v>0.97659739999999995</v>
      </c>
      <c r="Y1716">
        <v>-0.17513519999999999</v>
      </c>
      <c r="Z1716">
        <v>-2.7739069999999999E-4</v>
      </c>
      <c r="AA1716">
        <v>0.98454430000000004</v>
      </c>
      <c r="AB1716">
        <v>53</v>
      </c>
      <c r="AC1716">
        <v>-10.529299999999999</v>
      </c>
      <c r="AD1716">
        <v>-1.113456549093</v>
      </c>
      <c r="AE1716">
        <v>-3.2851000000000501</v>
      </c>
      <c r="AF1716">
        <v>-2.0063950309013201</v>
      </c>
      <c r="AG1716">
        <v>-1.113456549093</v>
      </c>
      <c r="AH1716">
        <v>10.732671753594801</v>
      </c>
      <c r="AI1716">
        <v>95.822776769121504</v>
      </c>
      <c r="AJ1716">
        <v>100.588807711896</v>
      </c>
      <c r="AK1716">
        <v>10.975228903178101</v>
      </c>
      <c r="AL1716">
        <v>96.646960578117501</v>
      </c>
      <c r="AM1716">
        <v>100.515283725308</v>
      </c>
      <c r="AN1716">
        <v>1.00000002841682</v>
      </c>
    </row>
    <row r="1717" spans="1:40" x14ac:dyDescent="0.25">
      <c r="A1717" t="str">
        <f>"20190305135616546"</f>
        <v>20190305135616546</v>
      </c>
      <c r="B1717" t="str">
        <f>"1551765376543661"</f>
        <v>1551765376543661</v>
      </c>
      <c r="C1717" t="s">
        <v>40</v>
      </c>
      <c r="D1717">
        <v>4.1595240000000002</v>
      </c>
      <c r="E1717">
        <v>0.50254650000000001</v>
      </c>
      <c r="F1717" t="s">
        <v>54</v>
      </c>
      <c r="G1717">
        <v>-474.71230000000003</v>
      </c>
      <c r="H1717" s="1">
        <v>4.2099589999999999E-6</v>
      </c>
      <c r="I1717">
        <v>281.01929999999999</v>
      </c>
      <c r="J1717">
        <v>-464.17570000000001</v>
      </c>
      <c r="K1717">
        <v>1.1134139999999999</v>
      </c>
      <c r="L1717">
        <v>284.36399999999998</v>
      </c>
      <c r="M1717">
        <v>-0.99257839999999997</v>
      </c>
      <c r="N1717">
        <v>-1.529702E-2</v>
      </c>
      <c r="O1717">
        <v>-0.1206397</v>
      </c>
      <c r="P1717">
        <v>-0.94541839999999999</v>
      </c>
      <c r="Q1717">
        <v>-0.1265906</v>
      </c>
      <c r="R1717">
        <v>-0.30026439999999999</v>
      </c>
      <c r="S1717">
        <v>-2.8551030000000002</v>
      </c>
      <c r="T1717">
        <v>-0.28772950000000003</v>
      </c>
      <c r="U1717">
        <v>-0.88034059999999903</v>
      </c>
      <c r="V1717">
        <v>-0.18263489999999999</v>
      </c>
      <c r="W1717">
        <v>-0.1138888</v>
      </c>
      <c r="X1717">
        <v>0.97656229999999999</v>
      </c>
      <c r="Y1717">
        <v>-0.17665210000000001</v>
      </c>
      <c r="Z1717" s="1">
        <v>-9.7493179999999995E-5</v>
      </c>
      <c r="AA1717">
        <v>0.98427339999999997</v>
      </c>
      <c r="AB1717">
        <v>53</v>
      </c>
      <c r="AC1717">
        <v>-10.5366</v>
      </c>
      <c r="AD1717">
        <v>-1.1134097900409901</v>
      </c>
      <c r="AE1717">
        <v>-3.34470000000004</v>
      </c>
      <c r="AF1717">
        <v>-2.0284082385718598</v>
      </c>
      <c r="AG1717">
        <v>-1.1134097900409901</v>
      </c>
      <c r="AH1717">
        <v>10.7540865478976</v>
      </c>
      <c r="AI1717">
        <v>95.809266001606602</v>
      </c>
      <c r="AJ1717">
        <v>100.68149272825001</v>
      </c>
      <c r="AK1717">
        <v>11.0002044900328</v>
      </c>
      <c r="AL1717">
        <v>96.539536594143897</v>
      </c>
      <c r="AM1717">
        <v>100.592984041874</v>
      </c>
      <c r="AN1717">
        <v>1.0000000456223599</v>
      </c>
    </row>
    <row r="1718" spans="1:40" x14ac:dyDescent="0.25">
      <c r="A1718" t="str">
        <f>"20190305135616569"</f>
        <v>20190305135616569</v>
      </c>
      <c r="B1718" t="str">
        <f>"1551765376564157"</f>
        <v>1551765376564157</v>
      </c>
      <c r="C1718" t="s">
        <v>40</v>
      </c>
      <c r="D1718">
        <v>4.1699699999999904</v>
      </c>
      <c r="E1718">
        <v>0.50231049999999999</v>
      </c>
      <c r="F1718" t="s">
        <v>54</v>
      </c>
      <c r="G1718">
        <v>-475.22899999999998</v>
      </c>
      <c r="H1718" s="1">
        <v>3.9702659999999901E-6</v>
      </c>
      <c r="I1718">
        <v>280.89879999999999</v>
      </c>
      <c r="J1718">
        <v>-464.70830000000001</v>
      </c>
      <c r="K1718">
        <v>1.113364</v>
      </c>
      <c r="L1718">
        <v>284.2978</v>
      </c>
      <c r="M1718">
        <v>-0.9921603</v>
      </c>
      <c r="N1718">
        <v>-1.529111E-2</v>
      </c>
      <c r="O1718">
        <v>-0.12403210000000001</v>
      </c>
      <c r="P1718">
        <v>-0.94429660000000004</v>
      </c>
      <c r="Q1718">
        <v>-0.12506300000000001</v>
      </c>
      <c r="R1718">
        <v>-0.30440699999999998</v>
      </c>
      <c r="S1718">
        <v>-2.8508909999999998</v>
      </c>
      <c r="T1718">
        <v>-0.28717209999999899</v>
      </c>
      <c r="U1718">
        <v>-0.89376829999999996</v>
      </c>
      <c r="V1718">
        <v>-0.1835869</v>
      </c>
      <c r="W1718">
        <v>-0.1123493</v>
      </c>
      <c r="X1718">
        <v>0.97656209999999999</v>
      </c>
      <c r="Y1718">
        <v>-0.17792929999999901</v>
      </c>
      <c r="Z1718">
        <v>1.033065E-4</v>
      </c>
      <c r="AA1718">
        <v>0.98404329999999995</v>
      </c>
      <c r="AB1718">
        <v>52</v>
      </c>
      <c r="AC1718">
        <v>-10.5207</v>
      </c>
      <c r="AD1718">
        <v>-1.1133600297340001</v>
      </c>
      <c r="AE1718">
        <v>-3.399</v>
      </c>
      <c r="AF1718">
        <v>-2.0469331164449698</v>
      </c>
      <c r="AG1718">
        <v>-1.1133600297340001</v>
      </c>
      <c r="AH1718">
        <v>10.7520444425873</v>
      </c>
      <c r="AI1718">
        <v>95.808247729983506</v>
      </c>
      <c r="AJ1718">
        <v>100.77876804352201</v>
      </c>
      <c r="AK1718">
        <v>11.001634671010599</v>
      </c>
      <c r="AL1718">
        <v>96.450760051075903</v>
      </c>
      <c r="AM1718">
        <v>100.646943795341</v>
      </c>
      <c r="AN1718">
        <v>1.00000002510925</v>
      </c>
    </row>
    <row r="1719" spans="1:40" x14ac:dyDescent="0.25">
      <c r="A1719" t="str">
        <f>"20190305135616591"</f>
        <v>20190305135616591</v>
      </c>
      <c r="B1719" t="str">
        <f>"1551765376583677"</f>
        <v>1551765376583677</v>
      </c>
      <c r="C1719" t="s">
        <v>40</v>
      </c>
      <c r="D1719">
        <v>4.133699</v>
      </c>
      <c r="E1719">
        <v>0.50239250000000002</v>
      </c>
      <c r="F1719" t="s">
        <v>54</v>
      </c>
      <c r="G1719">
        <v>-475.83679999999998</v>
      </c>
      <c r="H1719" s="1">
        <v>3.6878300000000001E-6</v>
      </c>
      <c r="I1719">
        <v>280.75130000000001</v>
      </c>
      <c r="J1719">
        <v>-465.22179999999997</v>
      </c>
      <c r="K1719">
        <v>1.1133280000000001</v>
      </c>
      <c r="L1719">
        <v>284.2319</v>
      </c>
      <c r="M1719">
        <v>-0.99174770000000001</v>
      </c>
      <c r="N1719">
        <v>-1.5286060000000001E-2</v>
      </c>
      <c r="O1719">
        <v>-0.12729089999999901</v>
      </c>
      <c r="P1719">
        <v>-0.94318919999999995</v>
      </c>
      <c r="Q1719">
        <v>-0.1229591</v>
      </c>
      <c r="R1719">
        <v>-0.30866739999999998</v>
      </c>
      <c r="S1719">
        <v>-2.8468019999999998</v>
      </c>
      <c r="T1719">
        <v>-0.28480879999999997</v>
      </c>
      <c r="U1719">
        <v>-0.90722659999999999</v>
      </c>
      <c r="V1719">
        <v>-0.18478729999999999</v>
      </c>
      <c r="W1719">
        <v>-0.1102442</v>
      </c>
      <c r="X1719">
        <v>0.97657559999999999</v>
      </c>
      <c r="Y1719">
        <v>-0.17933840000000001</v>
      </c>
      <c r="Z1719">
        <v>2.6189630000000001E-4</v>
      </c>
      <c r="AA1719">
        <v>0.98378739999999998</v>
      </c>
      <c r="AB1719">
        <v>52</v>
      </c>
      <c r="AC1719">
        <v>-10.615</v>
      </c>
      <c r="AD1719">
        <v>-1.1133243121700001</v>
      </c>
      <c r="AE1719">
        <v>-3.4805999999999799</v>
      </c>
      <c r="AF1719">
        <v>-2.0802674349436701</v>
      </c>
      <c r="AG1719">
        <v>-1.1133243121700001</v>
      </c>
      <c r="AH1719">
        <v>10.8638279132714</v>
      </c>
      <c r="AI1719">
        <v>95.747535905948396</v>
      </c>
      <c r="AJ1719">
        <v>100.84010176391</v>
      </c>
      <c r="AK1719">
        <v>11.1170931701651</v>
      </c>
      <c r="AL1719">
        <v>96.329392712700894</v>
      </c>
      <c r="AM1719">
        <v>100.7148083635</v>
      </c>
      <c r="AN1719">
        <v>1.0000000161951399</v>
      </c>
    </row>
    <row r="1720" spans="1:40" x14ac:dyDescent="0.25">
      <c r="A1720" t="str">
        <f>"20190305135616613"</f>
        <v>20190305135616613</v>
      </c>
      <c r="B1720" t="str">
        <f>"1551765376604173"</f>
        <v>1551765376604173</v>
      </c>
      <c r="C1720" t="s">
        <v>40</v>
      </c>
      <c r="D1720">
        <v>4.1554989999999998</v>
      </c>
      <c r="E1720">
        <v>0.5023415</v>
      </c>
      <c r="F1720" t="s">
        <v>54</v>
      </c>
      <c r="G1720">
        <v>-476.50510000000003</v>
      </c>
      <c r="H1720" s="1">
        <v>3.3769630000000001E-6</v>
      </c>
      <c r="I1720">
        <v>280.58530000000002</v>
      </c>
      <c r="J1720">
        <v>-465.73129999999998</v>
      </c>
      <c r="K1720">
        <v>1.1133230000000001</v>
      </c>
      <c r="L1720">
        <v>284.16489999999999</v>
      </c>
      <c r="M1720">
        <v>-0.9913225</v>
      </c>
      <c r="N1720">
        <v>-1.5282240000000001E-2</v>
      </c>
      <c r="O1720">
        <v>-0.13056189999999901</v>
      </c>
      <c r="P1720">
        <v>-0.94184449999999997</v>
      </c>
      <c r="Q1720">
        <v>-0.1214509</v>
      </c>
      <c r="R1720">
        <v>-0.31333529999999998</v>
      </c>
      <c r="S1720">
        <v>-2.8433839999999999</v>
      </c>
      <c r="T1720">
        <v>-0.28055609999999997</v>
      </c>
      <c r="U1720">
        <v>-0.91894529999999996</v>
      </c>
      <c r="V1720">
        <v>-0.18639549999999999</v>
      </c>
      <c r="W1720">
        <v>-0.1087545</v>
      </c>
      <c r="X1720">
        <v>0.976437</v>
      </c>
      <c r="Y1720">
        <v>-0.18012829999999999</v>
      </c>
      <c r="Z1720">
        <v>4.2611500000000002E-4</v>
      </c>
      <c r="AA1720">
        <v>0.98364309999999999</v>
      </c>
      <c r="AB1720">
        <v>52</v>
      </c>
      <c r="AC1720">
        <v>-10.7738</v>
      </c>
      <c r="AD1720">
        <v>-1.1133196230369999</v>
      </c>
      <c r="AE1720">
        <v>-3.5795999999999699</v>
      </c>
      <c r="AF1720">
        <v>-2.1217360027226899</v>
      </c>
      <c r="AG1720">
        <v>-1.1133196230369999</v>
      </c>
      <c r="AH1720">
        <v>11.042775188127701</v>
      </c>
      <c r="AI1720">
        <v>95.654304568128794</v>
      </c>
      <c r="AJ1720">
        <v>100.87614716422399</v>
      </c>
      <c r="AK1720">
        <v>11.2997401785978</v>
      </c>
      <c r="AL1720">
        <v>96.243522816468001</v>
      </c>
      <c r="AM1720">
        <v>100.80737038966301</v>
      </c>
      <c r="AN1720">
        <v>1.00000001932974</v>
      </c>
    </row>
    <row r="1721" spans="1:40" x14ac:dyDescent="0.25">
      <c r="A1721" t="str">
        <f>"20190305135616636"</f>
        <v>20190305135616636</v>
      </c>
      <c r="B1721" t="str">
        <f>"1551765376623694"</f>
        <v>1551765376623694</v>
      </c>
      <c r="C1721" t="s">
        <v>40</v>
      </c>
      <c r="D1721">
        <v>4.1373639999999998</v>
      </c>
      <c r="E1721">
        <v>0.50231919999999997</v>
      </c>
      <c r="F1721" t="s">
        <v>54</v>
      </c>
      <c r="G1721">
        <v>-477.11329999999998</v>
      </c>
      <c r="H1721" s="1">
        <v>3.0931769999999999E-6</v>
      </c>
      <c r="I1721">
        <v>280.42450000000002</v>
      </c>
      <c r="J1721">
        <v>-466.24579999999997</v>
      </c>
      <c r="K1721">
        <v>1.1133329999999999</v>
      </c>
      <c r="L1721">
        <v>284.09539999999998</v>
      </c>
      <c r="M1721">
        <v>-0.99087389999999997</v>
      </c>
      <c r="N1721">
        <v>-1.528028E-2</v>
      </c>
      <c r="O1721">
        <v>-0.1339234</v>
      </c>
      <c r="P1721">
        <v>-0.94047689999999995</v>
      </c>
      <c r="Q1721">
        <v>-0.1222239</v>
      </c>
      <c r="R1721">
        <v>-0.31711919999999999</v>
      </c>
      <c r="S1721">
        <v>-2.8390499999999999</v>
      </c>
      <c r="T1721">
        <v>-0.27769860000000002</v>
      </c>
      <c r="U1721">
        <v>-0.93298340000000002</v>
      </c>
      <c r="V1721">
        <v>-0.18700910000000001</v>
      </c>
      <c r="W1721">
        <v>-0.109545699999999</v>
      </c>
      <c r="X1721">
        <v>0.97623119999999997</v>
      </c>
      <c r="Y1721">
        <v>-0.18163750000000001</v>
      </c>
      <c r="Z1721">
        <v>5.6972909999999997E-4</v>
      </c>
      <c r="AA1721">
        <v>0.98336539999999995</v>
      </c>
      <c r="AB1721">
        <v>52</v>
      </c>
      <c r="AC1721">
        <v>-10.8675</v>
      </c>
      <c r="AD1721">
        <v>-1.11332990682299</v>
      </c>
      <c r="AE1721">
        <v>-3.6708999999999601</v>
      </c>
      <c r="AF1721">
        <v>-2.1618756777137298</v>
      </c>
      <c r="AG1721">
        <v>-1.11332990682299</v>
      </c>
      <c r="AH1721">
        <v>11.156161716146499</v>
      </c>
      <c r="AI1721">
        <v>95.595552801325596</v>
      </c>
      <c r="AJ1721">
        <v>100.967024924946</v>
      </c>
      <c r="AK1721">
        <v>11.4181064176215</v>
      </c>
      <c r="AL1721">
        <v>96.289127773884701</v>
      </c>
      <c r="AM1721">
        <v>100.844336977951</v>
      </c>
      <c r="AN1721">
        <v>1.00000000986236</v>
      </c>
    </row>
    <row r="1722" spans="1:40" x14ac:dyDescent="0.25">
      <c r="A1722" t="str">
        <f>"20190305135616659"</f>
        <v>20190305135616659</v>
      </c>
      <c r="B1722" t="str">
        <f>"1551765376653949"</f>
        <v>1551765376653949</v>
      </c>
      <c r="C1722" t="s">
        <v>40</v>
      </c>
      <c r="D1722">
        <v>4.1701499999999996</v>
      </c>
      <c r="E1722">
        <v>0.50206700000000004</v>
      </c>
      <c r="F1722" t="s">
        <v>54</v>
      </c>
      <c r="G1722">
        <v>-477.4735</v>
      </c>
      <c r="H1722" s="1">
        <v>2.927334E-6</v>
      </c>
      <c r="I1722">
        <v>280.35430000000002</v>
      </c>
      <c r="J1722">
        <v>-466.7817</v>
      </c>
      <c r="K1722">
        <v>1.1133850000000001</v>
      </c>
      <c r="L1722">
        <v>284.02100000000002</v>
      </c>
      <c r="M1722">
        <v>-0.99037799999999998</v>
      </c>
      <c r="N1722">
        <v>-1.5281080000000001E-2</v>
      </c>
      <c r="O1722">
        <v>-0.13754259999999999</v>
      </c>
      <c r="P1722">
        <v>-0.93929629999999997</v>
      </c>
      <c r="Q1722">
        <v>-0.1235792</v>
      </c>
      <c r="R1722">
        <v>-0.32007909999999901</v>
      </c>
      <c r="S1722">
        <v>-2.8348689999999999</v>
      </c>
      <c r="T1722">
        <v>-0.28110279999999999</v>
      </c>
      <c r="U1722">
        <v>-0.94458010000000003</v>
      </c>
      <c r="V1722">
        <v>-0.1865117</v>
      </c>
      <c r="W1722">
        <v>-0.1109184</v>
      </c>
      <c r="X1722">
        <v>0.97617129999999996</v>
      </c>
      <c r="Y1722">
        <v>-0.18209990000000001</v>
      </c>
      <c r="Z1722">
        <v>8.8270190000000004E-4</v>
      </c>
      <c r="AA1722">
        <v>0.98327960000000003</v>
      </c>
      <c r="AB1722">
        <v>52</v>
      </c>
      <c r="AC1722">
        <v>-10.691800000000001</v>
      </c>
      <c r="AD1722">
        <v>-1.113382072666</v>
      </c>
      <c r="AE1722">
        <v>-3.6666999999999299</v>
      </c>
      <c r="AF1722">
        <v>-2.1403262048281402</v>
      </c>
      <c r="AG1722">
        <v>-1.113382072666</v>
      </c>
      <c r="AH1722">
        <v>10.987932591200099</v>
      </c>
      <c r="AI1722">
        <v>95.679868441904205</v>
      </c>
      <c r="AJ1722">
        <v>101.022550956614</v>
      </c>
      <c r="AK1722">
        <v>11.249679041268999</v>
      </c>
      <c r="AL1722">
        <v>96.3682602795283</v>
      </c>
      <c r="AM1722">
        <v>100.81682291934899</v>
      </c>
      <c r="AN1722">
        <v>0.99999995631956895</v>
      </c>
    </row>
    <row r="1723" spans="1:40" x14ac:dyDescent="0.25">
      <c r="A1723" t="str">
        <f>"20190305135616682"</f>
        <v>20190305135616682</v>
      </c>
      <c r="B1723" t="str">
        <f>"1551765376673471"</f>
        <v>1551765376673471</v>
      </c>
      <c r="C1723" t="s">
        <v>40</v>
      </c>
      <c r="D1723">
        <v>4.1442129999999997</v>
      </c>
      <c r="E1723">
        <v>0.50195529999999999</v>
      </c>
      <c r="F1723" t="s">
        <v>54</v>
      </c>
      <c r="G1723">
        <v>-477.673</v>
      </c>
      <c r="H1723" s="1">
        <v>2.8382120000000001E-6</v>
      </c>
      <c r="I1723">
        <v>280.34710000000001</v>
      </c>
      <c r="J1723">
        <v>-467.29899999999998</v>
      </c>
      <c r="K1723">
        <v>1.1134900000000001</v>
      </c>
      <c r="L1723">
        <v>283.94720000000001</v>
      </c>
      <c r="M1723">
        <v>-0.9898631</v>
      </c>
      <c r="N1723">
        <v>-1.5326960000000001E-2</v>
      </c>
      <c r="O1723">
        <v>-0.14119499999999999</v>
      </c>
      <c r="P1723">
        <v>-0.93839870000000003</v>
      </c>
      <c r="Q1723">
        <v>-0.1237342</v>
      </c>
      <c r="R1723">
        <v>-0.32264169999999998</v>
      </c>
      <c r="S1723">
        <v>-2.8304749999999999</v>
      </c>
      <c r="T1723">
        <v>-0.28935</v>
      </c>
      <c r="U1723">
        <v>-0.95477290000000004</v>
      </c>
      <c r="V1723">
        <v>-0.18555360000000001</v>
      </c>
      <c r="W1723">
        <v>-0.1110564</v>
      </c>
      <c r="X1723">
        <v>0.97633820000000004</v>
      </c>
      <c r="Y1723">
        <v>-0.18210280000000001</v>
      </c>
      <c r="Z1723">
        <v>1.3036219999999999E-3</v>
      </c>
      <c r="AA1723">
        <v>0.9832786</v>
      </c>
      <c r="AB1723">
        <v>52</v>
      </c>
      <c r="AC1723">
        <v>-10.373999999999899</v>
      </c>
      <c r="AD1723">
        <v>-1.11348716178799</v>
      </c>
      <c r="AE1723">
        <v>-3.6000999999999901</v>
      </c>
      <c r="AF1723">
        <v>-2.07773189355754</v>
      </c>
      <c r="AG1723">
        <v>-1.11348716178799</v>
      </c>
      <c r="AH1723">
        <v>10.668722841323699</v>
      </c>
      <c r="AI1723">
        <v>95.849240489181398</v>
      </c>
      <c r="AJ1723">
        <v>101.020399399818</v>
      </c>
      <c r="AK1723">
        <v>10.9260455127166</v>
      </c>
      <c r="AL1723">
        <v>96.376216152990594</v>
      </c>
      <c r="AM1723">
        <v>100.76076177684401</v>
      </c>
      <c r="AN1723">
        <v>0.99999997161657905</v>
      </c>
    </row>
    <row r="1724" spans="1:40" x14ac:dyDescent="0.25">
      <c r="A1724" t="str">
        <f>"20190305135616702"</f>
        <v>20190305135616702</v>
      </c>
      <c r="B1724" t="str">
        <f>"1551765376693966"</f>
        <v>1551765376693966</v>
      </c>
      <c r="C1724" t="s">
        <v>40</v>
      </c>
      <c r="D1724">
        <v>4.15388</v>
      </c>
      <c r="E1724">
        <v>0.50186799999999998</v>
      </c>
      <c r="F1724" t="s">
        <v>54</v>
      </c>
      <c r="G1724">
        <v>-478.09500000000003</v>
      </c>
      <c r="H1724" s="1">
        <v>2.644297E-6</v>
      </c>
      <c r="I1724">
        <v>280.26929999999999</v>
      </c>
      <c r="J1724">
        <v>-467.78609999999998</v>
      </c>
      <c r="K1724">
        <v>1.113667</v>
      </c>
      <c r="L1724">
        <v>283.87580000000003</v>
      </c>
      <c r="M1724">
        <v>-0.98933930000000003</v>
      </c>
      <c r="N1724">
        <v>-1.549847E-2</v>
      </c>
      <c r="O1724">
        <v>-0.14480129999999999</v>
      </c>
      <c r="P1724">
        <v>-0.93733630000000001</v>
      </c>
      <c r="Q1724">
        <v>-0.12353310000000001</v>
      </c>
      <c r="R1724">
        <v>-0.32579160000000001</v>
      </c>
      <c r="S1724">
        <v>-2.8273009999999998</v>
      </c>
      <c r="T1724">
        <v>-0.29160649999999999</v>
      </c>
      <c r="U1724">
        <v>-0.96319580000000005</v>
      </c>
      <c r="V1724">
        <v>-0.1852422</v>
      </c>
      <c r="W1724">
        <v>-0.1107394</v>
      </c>
      <c r="X1724">
        <v>0.97643329999999995</v>
      </c>
      <c r="Y1724">
        <v>-0.18148690000000001</v>
      </c>
      <c r="Z1724">
        <v>1.6381989999999999E-3</v>
      </c>
      <c r="AA1724">
        <v>0.98339200000000004</v>
      </c>
      <c r="AB1724">
        <v>52</v>
      </c>
      <c r="AC1724">
        <v>-10.3089</v>
      </c>
      <c r="AD1724">
        <v>-1.1136643557029999</v>
      </c>
      <c r="AE1724">
        <v>-3.60650000000004</v>
      </c>
      <c r="AF1724">
        <v>-2.0542003956866099</v>
      </c>
      <c r="AG1724">
        <v>-1.1136643557029999</v>
      </c>
      <c r="AH1724">
        <v>10.612171482353601</v>
      </c>
      <c r="AI1724">
        <v>95.882411008541695</v>
      </c>
      <c r="AJ1724">
        <v>100.95526854398599</v>
      </c>
      <c r="AK1724">
        <v>10.866378013564599</v>
      </c>
      <c r="AL1724">
        <v>96.357940875801205</v>
      </c>
      <c r="AM1724">
        <v>100.74210149994499</v>
      </c>
      <c r="AN1724">
        <v>0.99999993836104295</v>
      </c>
    </row>
    <row r="1725" spans="1:40" x14ac:dyDescent="0.25">
      <c r="A1725" t="str">
        <f>"20190305135616726"</f>
        <v>20190305135616726</v>
      </c>
      <c r="B1725" t="str">
        <f>"1551765376713486"</f>
        <v>1551765376713486</v>
      </c>
      <c r="C1725" t="s">
        <v>40</v>
      </c>
      <c r="D1725">
        <v>4.1498689999999998</v>
      </c>
      <c r="E1725">
        <v>0.50181640000000005</v>
      </c>
      <c r="F1725" t="s">
        <v>54</v>
      </c>
      <c r="G1725">
        <v>-478.541</v>
      </c>
      <c r="H1725" s="1">
        <v>2.4377980000000001E-6</v>
      </c>
      <c r="I1725">
        <v>280.1696</v>
      </c>
      <c r="J1725">
        <v>-468.30200000000002</v>
      </c>
      <c r="K1725">
        <v>1.1139330000000001</v>
      </c>
      <c r="L1725">
        <v>283.798</v>
      </c>
      <c r="M1725">
        <v>-0.98873409999999995</v>
      </c>
      <c r="N1725">
        <v>-1.584578E-2</v>
      </c>
      <c r="O1725">
        <v>-0.148843</v>
      </c>
      <c r="P1725">
        <v>-0.93607750000000001</v>
      </c>
      <c r="Q1725">
        <v>-0.1231458</v>
      </c>
      <c r="R1725">
        <v>-0.32953680000000002</v>
      </c>
      <c r="S1725">
        <v>-2.8238219999999998</v>
      </c>
      <c r="T1725">
        <v>-0.29240539999999998</v>
      </c>
      <c r="U1725">
        <v>-0.97311400000000003</v>
      </c>
      <c r="V1725">
        <v>-0.18511040000000001</v>
      </c>
      <c r="W1725">
        <v>-0.11008900000000001</v>
      </c>
      <c r="X1725">
        <v>0.97653190000000001</v>
      </c>
      <c r="Y1725">
        <v>-0.1809356</v>
      </c>
      <c r="Z1725">
        <v>1.9397679999999999E-3</v>
      </c>
      <c r="AA1725">
        <v>0.98349299999999995</v>
      </c>
      <c r="AB1725">
        <v>52</v>
      </c>
      <c r="AC1725">
        <v>-10.239000000000001</v>
      </c>
      <c r="AD1725">
        <v>-1.1139305622019999</v>
      </c>
      <c r="AE1725">
        <v>-3.6283999999999899</v>
      </c>
      <c r="AF1725">
        <v>-2.04230237587505</v>
      </c>
      <c r="AG1725">
        <v>-1.1139305622019999</v>
      </c>
      <c r="AH1725">
        <v>10.554066897056501</v>
      </c>
      <c r="AI1725">
        <v>95.916038536757</v>
      </c>
      <c r="AJ1725">
        <v>100.951863561986</v>
      </c>
      <c r="AK1725">
        <v>10.807412657961001</v>
      </c>
      <c r="AL1725">
        <v>96.3204460534498</v>
      </c>
      <c r="AM1725">
        <v>100.733577460964</v>
      </c>
      <c r="AN1725">
        <v>0.99999999991338495</v>
      </c>
    </row>
    <row r="1726" spans="1:40" x14ac:dyDescent="0.25">
      <c r="A1726" t="str">
        <f>"20190305135616748"</f>
        <v>20190305135616748</v>
      </c>
      <c r="B1726" t="str">
        <f>"1551765376743742"</f>
        <v>1551765376743742</v>
      </c>
      <c r="C1726" t="s">
        <v>40</v>
      </c>
      <c r="D1726">
        <v>4.1429960000000001</v>
      </c>
      <c r="E1726">
        <v>0.49830079999999999</v>
      </c>
      <c r="F1726" t="s">
        <v>54</v>
      </c>
      <c r="G1726">
        <v>-479.05770000000001</v>
      </c>
      <c r="H1726" s="1">
        <v>2.1976759999999999E-6</v>
      </c>
      <c r="I1726">
        <v>280.04390000000001</v>
      </c>
      <c r="J1726">
        <v>-468.81020000000001</v>
      </c>
      <c r="K1726">
        <v>1.1142799999999999</v>
      </c>
      <c r="L1726">
        <v>283.71910000000003</v>
      </c>
      <c r="M1726">
        <v>-0.98807639999999997</v>
      </c>
      <c r="N1726">
        <v>-1.631136E-2</v>
      </c>
      <c r="O1726">
        <v>-0.15309900000000001</v>
      </c>
      <c r="P1726">
        <v>-0.93448699999999996</v>
      </c>
      <c r="Q1726">
        <v>-0.12186909999999999</v>
      </c>
      <c r="R1726">
        <v>-0.3344879</v>
      </c>
      <c r="S1726">
        <v>-2.8199160000000001</v>
      </c>
      <c r="T1726">
        <v>-0.2920507</v>
      </c>
      <c r="U1726">
        <v>-0.98425289999999999</v>
      </c>
      <c r="V1726">
        <v>-0.18601010000000001</v>
      </c>
      <c r="W1726">
        <v>-0.1084717</v>
      </c>
      <c r="X1726">
        <v>0.97654189999999996</v>
      </c>
      <c r="Y1726">
        <v>-0.18059359999999999</v>
      </c>
      <c r="Z1726">
        <v>2.1939619999999998E-3</v>
      </c>
      <c r="AA1726">
        <v>0.98355539999999997</v>
      </c>
      <c r="AB1726">
        <v>52</v>
      </c>
      <c r="AC1726">
        <v>-10.2475</v>
      </c>
      <c r="AD1726">
        <v>-1.1142778023240001</v>
      </c>
      <c r="AE1726">
        <v>-3.67520000000001</v>
      </c>
      <c r="AF1726">
        <v>-2.04138463047485</v>
      </c>
      <c r="AG1726">
        <v>-1.1142778023240001</v>
      </c>
      <c r="AH1726">
        <v>10.5785799626107</v>
      </c>
      <c r="AI1726">
        <v>95.904837991671698</v>
      </c>
      <c r="AJ1726">
        <v>100.92230492985099</v>
      </c>
      <c r="AK1726">
        <v>10.831215086759199</v>
      </c>
      <c r="AL1726">
        <v>96.227223421852401</v>
      </c>
      <c r="AM1726">
        <v>100.784417843646</v>
      </c>
      <c r="AN1726">
        <v>0.99999997472925395</v>
      </c>
    </row>
    <row r="1727" spans="1:40" x14ac:dyDescent="0.25">
      <c r="A1727" t="str">
        <f>"20190305135616771"</f>
        <v>20190305135616771</v>
      </c>
      <c r="B1727" t="str">
        <f>"1551765376763261"</f>
        <v>1551765376763261</v>
      </c>
      <c r="C1727" t="s">
        <v>40</v>
      </c>
      <c r="D1727">
        <v>4.1395970000000002</v>
      </c>
      <c r="E1727">
        <v>0.49845230000000001</v>
      </c>
      <c r="F1727" t="s">
        <v>54</v>
      </c>
      <c r="G1727">
        <v>-478.56959999999998</v>
      </c>
      <c r="H1727" s="1">
        <v>2.424347E-6</v>
      </c>
      <c r="I1727">
        <v>280.16079999999999</v>
      </c>
      <c r="J1727">
        <v>-469.32190000000003</v>
      </c>
      <c r="K1727">
        <v>1.1146780000000001</v>
      </c>
      <c r="L1727">
        <v>283.63690000000003</v>
      </c>
      <c r="M1727">
        <v>-0.98734379999999999</v>
      </c>
      <c r="N1727">
        <v>-1.6848370000000001E-2</v>
      </c>
      <c r="O1727">
        <v>-0.15769839999999999</v>
      </c>
      <c r="P1727">
        <v>-0.93248640000000005</v>
      </c>
      <c r="Q1727">
        <v>-0.12055349999999999</v>
      </c>
      <c r="R1727">
        <v>-0.34049420000000002</v>
      </c>
      <c r="S1727">
        <v>-2.8028559999999998</v>
      </c>
      <c r="T1727">
        <v>-0.32001459999999998</v>
      </c>
      <c r="U1727">
        <v>-1.0219119999999999</v>
      </c>
      <c r="V1727">
        <v>-0.18766569999999999</v>
      </c>
      <c r="W1727">
        <v>-0.1067877</v>
      </c>
      <c r="X1727">
        <v>0.97641069999999996</v>
      </c>
      <c r="Y1727">
        <v>-0.18946399999999999</v>
      </c>
      <c r="Z1727">
        <v>2.5238470000000001E-3</v>
      </c>
      <c r="AA1727">
        <v>0.98188439999999999</v>
      </c>
      <c r="AB1727">
        <v>52</v>
      </c>
      <c r="AC1727">
        <v>-9.2476999999999503</v>
      </c>
      <c r="AD1727">
        <v>-1.114675575653</v>
      </c>
      <c r="AE1727">
        <v>-3.4761000000000299</v>
      </c>
      <c r="AF1727">
        <v>-1.94922419041093</v>
      </c>
      <c r="AG1727">
        <v>-1.114675575653</v>
      </c>
      <c r="AH1727">
        <v>9.5585253621190596</v>
      </c>
      <c r="AI1727">
        <v>96.518584144882198</v>
      </c>
      <c r="AJ1727">
        <v>101.52601579989501</v>
      </c>
      <c r="AK1727">
        <v>9.8187261740876508</v>
      </c>
      <c r="AL1727">
        <v>96.130173761900807</v>
      </c>
      <c r="AM1727">
        <v>100.879551971547</v>
      </c>
      <c r="AN1727">
        <v>0.99999994145113302</v>
      </c>
    </row>
    <row r="1728" spans="1:40" x14ac:dyDescent="0.25">
      <c r="A1728" t="str">
        <f>"20190305135616792"</f>
        <v>20190305135616792</v>
      </c>
      <c r="B1728" t="str">
        <f>"1551765376783761"</f>
        <v>1551765376783761</v>
      </c>
      <c r="C1728" t="s">
        <v>40</v>
      </c>
      <c r="D1728">
        <v>4.1652839999999998</v>
      </c>
      <c r="E1728">
        <v>0.49802740000000001</v>
      </c>
      <c r="F1728" t="s">
        <v>54</v>
      </c>
      <c r="G1728">
        <v>-479.32619999999997</v>
      </c>
      <c r="H1728" s="1">
        <v>2.0678069999999999E-6</v>
      </c>
      <c r="I1728">
        <v>279.92059999999998</v>
      </c>
      <c r="J1728">
        <v>-469.81970000000001</v>
      </c>
      <c r="K1728">
        <v>1.115103</v>
      </c>
      <c r="L1728">
        <v>283.55419999999998</v>
      </c>
      <c r="M1728">
        <v>-0.98655769999999998</v>
      </c>
      <c r="N1728">
        <v>-1.741676E-2</v>
      </c>
      <c r="O1728">
        <v>-0.16248319999999999</v>
      </c>
      <c r="P1728">
        <v>-0.93019169999999995</v>
      </c>
      <c r="Q1728">
        <v>-0.11911770000000001</v>
      </c>
      <c r="R1728">
        <v>-0.34721020000000002</v>
      </c>
      <c r="S1728">
        <v>-2.7974239999999999</v>
      </c>
      <c r="T1728">
        <v>-0.31168820000000003</v>
      </c>
      <c r="U1728">
        <v>-1.0391539999999999</v>
      </c>
      <c r="V1728">
        <v>-0.18988279999999999</v>
      </c>
      <c r="W1728">
        <v>-0.104982199999999</v>
      </c>
      <c r="X1728">
        <v>0.97617790000000004</v>
      </c>
      <c r="Y1728">
        <v>-0.19066279999999999</v>
      </c>
      <c r="Z1728">
        <v>2.5536360000000002E-3</v>
      </c>
      <c r="AA1728">
        <v>0.98165230000000003</v>
      </c>
      <c r="AB1728">
        <v>52</v>
      </c>
      <c r="AC1728">
        <v>-9.50649999999996</v>
      </c>
      <c r="AD1728">
        <v>-1.1151009321930001</v>
      </c>
      <c r="AE1728">
        <v>-3.6335999999999999</v>
      </c>
      <c r="AF1728">
        <v>-2.0162138785612802</v>
      </c>
      <c r="AG1728">
        <v>-1.1151009321930001</v>
      </c>
      <c r="AH1728">
        <v>9.8523423468796203</v>
      </c>
      <c r="AI1728">
        <v>96.3272971478617</v>
      </c>
      <c r="AJ1728">
        <v>101.565500680452</v>
      </c>
      <c r="AK1728">
        <v>10.1181627884314</v>
      </c>
      <c r="AL1728">
        <v>96.026140929010595</v>
      </c>
      <c r="AM1728">
        <v>101.007524047234</v>
      </c>
      <c r="AN1728">
        <v>1.00000001625054</v>
      </c>
    </row>
    <row r="1729" spans="1:40" x14ac:dyDescent="0.25">
      <c r="A1729" t="str">
        <f>"20190305135616814"</f>
        <v>20190305135616814</v>
      </c>
      <c r="B1729" t="str">
        <f>"1551765376803278"</f>
        <v>1551765376803278</v>
      </c>
      <c r="C1729" t="s">
        <v>40</v>
      </c>
      <c r="D1729">
        <v>4.1558020000000004</v>
      </c>
      <c r="E1729">
        <v>0.49763089999999999</v>
      </c>
      <c r="F1729" t="s">
        <v>54</v>
      </c>
      <c r="G1729">
        <v>-479.86509999999998</v>
      </c>
      <c r="H1729" s="1">
        <v>1.812041E-6</v>
      </c>
      <c r="I1729">
        <v>279.7285</v>
      </c>
      <c r="J1729">
        <v>-470.31920000000002</v>
      </c>
      <c r="K1729">
        <v>1.1155139999999999</v>
      </c>
      <c r="L1729">
        <v>283.46839999999997</v>
      </c>
      <c r="M1729">
        <v>-0.98570139999999995</v>
      </c>
      <c r="N1729">
        <v>-1.803542E-2</v>
      </c>
      <c r="O1729">
        <v>-0.16753379999999901</v>
      </c>
      <c r="P1729">
        <v>-0.92748509999999995</v>
      </c>
      <c r="Q1729">
        <v>-0.1195703</v>
      </c>
      <c r="R1729">
        <v>-0.35422429999999999</v>
      </c>
      <c r="S1729">
        <v>-2.7890320000000002</v>
      </c>
      <c r="T1729">
        <v>-0.3095986</v>
      </c>
      <c r="U1729">
        <v>-1.0621640000000001</v>
      </c>
      <c r="V1729">
        <v>-0.19217709999999999</v>
      </c>
      <c r="W1729">
        <v>-0.1050257</v>
      </c>
      <c r="X1729">
        <v>0.97572409999999998</v>
      </c>
      <c r="Y1729">
        <v>-0.19367880000000001</v>
      </c>
      <c r="Z1729">
        <v>2.6024619999999998E-3</v>
      </c>
      <c r="AA1729">
        <v>0.98106150000000003</v>
      </c>
      <c r="AB1729">
        <v>51</v>
      </c>
      <c r="AC1729">
        <v>-9.5458999999999605</v>
      </c>
      <c r="AD1729">
        <v>-1.115512187959</v>
      </c>
      <c r="AE1729">
        <v>-3.7398999999999698</v>
      </c>
      <c r="AF1729">
        <v>-2.0630792317659901</v>
      </c>
      <c r="AG1729">
        <v>-1.115512187959</v>
      </c>
      <c r="AH1729">
        <v>9.9201580273736507</v>
      </c>
      <c r="AI1729">
        <v>96.282586912329293</v>
      </c>
      <c r="AJ1729">
        <v>101.748247206334</v>
      </c>
      <c r="AK1729">
        <v>10.193635202718101</v>
      </c>
      <c r="AL1729">
        <v>96.028647385507696</v>
      </c>
      <c r="AM1729">
        <v>101.14226916063301</v>
      </c>
      <c r="AN1729">
        <v>0.99999997737285395</v>
      </c>
    </row>
    <row r="1730" spans="1:40" x14ac:dyDescent="0.25">
      <c r="A1730" t="str">
        <f>"20190305135616837"</f>
        <v>20190305135616837</v>
      </c>
      <c r="B1730" t="str">
        <f>"1551765376833534"</f>
        <v>1551765376833534</v>
      </c>
      <c r="C1730" t="s">
        <v>40</v>
      </c>
      <c r="D1730">
        <v>4.1559839999999904</v>
      </c>
      <c r="E1730">
        <v>0.49725150000000001</v>
      </c>
      <c r="F1730" t="s">
        <v>54</v>
      </c>
      <c r="G1730">
        <v>-480.20670000000001</v>
      </c>
      <c r="H1730" s="1">
        <v>1.801689E-6</v>
      </c>
      <c r="I1730">
        <v>279.60610000000003</v>
      </c>
      <c r="J1730">
        <v>-470.82100000000003</v>
      </c>
      <c r="K1730">
        <v>1.1159079999999999</v>
      </c>
      <c r="L1730">
        <v>283.37920000000003</v>
      </c>
      <c r="M1730">
        <v>-0.98476669999999999</v>
      </c>
      <c r="N1730">
        <v>-1.8677929999999999E-2</v>
      </c>
      <c r="O1730">
        <v>-0.17287539999999901</v>
      </c>
      <c r="P1730">
        <v>-0.924315</v>
      </c>
      <c r="Q1730">
        <v>-0.12093810000000001</v>
      </c>
      <c r="R1730">
        <v>-0.36196139999999999</v>
      </c>
      <c r="S1730">
        <v>-2.77948</v>
      </c>
      <c r="T1730">
        <v>-0.31358150000000001</v>
      </c>
      <c r="U1730">
        <v>-1.0857239999999999</v>
      </c>
      <c r="V1730">
        <v>-0.19496959999999999</v>
      </c>
      <c r="W1730">
        <v>-0.105973499999999</v>
      </c>
      <c r="X1730">
        <v>0.97506740000000003</v>
      </c>
      <c r="Y1730">
        <v>-0.1966881</v>
      </c>
      <c r="Z1730">
        <v>2.8110650000000002E-3</v>
      </c>
      <c r="AA1730">
        <v>0.9804621</v>
      </c>
      <c r="AB1730">
        <v>51</v>
      </c>
      <c r="AC1730">
        <v>-9.3857000000000408</v>
      </c>
      <c r="AD1730">
        <v>-1.1159061983109999</v>
      </c>
      <c r="AE1730">
        <v>-3.7730999999999999</v>
      </c>
      <c r="AF1730">
        <v>-2.0682624355491499</v>
      </c>
      <c r="AG1730">
        <v>-1.1159061983109999</v>
      </c>
      <c r="AH1730">
        <v>9.7777389892045292</v>
      </c>
      <c r="AI1730">
        <v>96.371061741713206</v>
      </c>
      <c r="AJ1730">
        <v>101.94358586173399</v>
      </c>
      <c r="AK1730">
        <v>10.056198878639099</v>
      </c>
      <c r="AL1730">
        <v>96.083257063915497</v>
      </c>
      <c r="AM1730">
        <v>101.307453197122</v>
      </c>
      <c r="AN1730">
        <v>0.99999998108458399</v>
      </c>
    </row>
    <row r="1731" spans="1:40" x14ac:dyDescent="0.25">
      <c r="A1731" t="str">
        <f>"20190305135616860"</f>
        <v>20190305135616860</v>
      </c>
      <c r="B1731" t="str">
        <f>"1551765376854029"</f>
        <v>1551765376854029</v>
      </c>
      <c r="C1731" t="s">
        <v>40</v>
      </c>
      <c r="D1731">
        <v>4.1712530000000001</v>
      </c>
      <c r="E1731">
        <v>0.49712709999999999</v>
      </c>
      <c r="F1731" t="s">
        <v>54</v>
      </c>
      <c r="G1731">
        <v>-480.43799999999999</v>
      </c>
      <c r="H1731" s="1">
        <v>1.811664E-6</v>
      </c>
      <c r="I1731">
        <v>279.51819999999998</v>
      </c>
      <c r="J1731">
        <v>-471.33800000000002</v>
      </c>
      <c r="K1731">
        <v>1.1163080000000001</v>
      </c>
      <c r="L1731">
        <v>283.28410000000002</v>
      </c>
      <c r="M1731">
        <v>-0.98371719999999896</v>
      </c>
      <c r="N1731">
        <v>-1.9335680000000001E-2</v>
      </c>
      <c r="O1731">
        <v>-0.17868110000000001</v>
      </c>
      <c r="P1731">
        <v>-0.92110959999999997</v>
      </c>
      <c r="Q1731">
        <v>-0.1207502</v>
      </c>
      <c r="R1731">
        <v>-0.37010389999999999</v>
      </c>
      <c r="S1731">
        <v>-2.7683719999999998</v>
      </c>
      <c r="T1731">
        <v>-0.32122669999999998</v>
      </c>
      <c r="U1731">
        <v>-1.1114200000000001</v>
      </c>
      <c r="V1731">
        <v>-0.1977409</v>
      </c>
      <c r="W1731">
        <v>-0.10535360000000001</v>
      </c>
      <c r="X1731">
        <v>0.97457640000000001</v>
      </c>
      <c r="Y1731">
        <v>-0.20005970000000001</v>
      </c>
      <c r="Z1731">
        <v>3.1338210000000002E-3</v>
      </c>
      <c r="AA1731">
        <v>0.9797787</v>
      </c>
      <c r="AB1731">
        <v>51</v>
      </c>
      <c r="AC1731">
        <v>-9.1000000000000192</v>
      </c>
      <c r="AD1731">
        <v>-1.1163061883359999</v>
      </c>
      <c r="AE1731">
        <v>-3.7659000000000402</v>
      </c>
      <c r="AF1731">
        <v>-2.0525994075821301</v>
      </c>
      <c r="AG1731">
        <v>-1.1163061883359999</v>
      </c>
      <c r="AH1731">
        <v>9.5044084700649005</v>
      </c>
      <c r="AI1731">
        <v>96.549151069528904</v>
      </c>
      <c r="AJ1731">
        <v>102.186601067205</v>
      </c>
      <c r="AK1731">
        <v>9.7873941475739699</v>
      </c>
      <c r="AL1731">
        <v>96.047539332588997</v>
      </c>
      <c r="AM1731">
        <v>101.46957329602</v>
      </c>
      <c r="AN1731">
        <v>1.00000000200136</v>
      </c>
    </row>
    <row r="1732" spans="1:40" x14ac:dyDescent="0.25">
      <c r="A1732" t="str">
        <f>"20190305135616884"</f>
        <v>20190305135616884</v>
      </c>
      <c r="B1732" t="str">
        <f>"1551765376873550"</f>
        <v>1551765376873550</v>
      </c>
      <c r="C1732" t="s">
        <v>40</v>
      </c>
      <c r="D1732">
        <v>4.1707400000000003</v>
      </c>
      <c r="E1732">
        <v>0.49696220000000002</v>
      </c>
      <c r="F1732" t="s">
        <v>54</v>
      </c>
      <c r="G1732">
        <v>-480.8673</v>
      </c>
      <c r="H1732" s="1">
        <v>1.8311370000000001E-6</v>
      </c>
      <c r="I1732">
        <v>279.35789999999997</v>
      </c>
      <c r="J1732">
        <v>-471.84230000000002</v>
      </c>
      <c r="K1732">
        <v>1.1166940000000001</v>
      </c>
      <c r="L1732">
        <v>283.18799999999999</v>
      </c>
      <c r="M1732">
        <v>-0.98259770000000002</v>
      </c>
      <c r="N1732">
        <v>-1.99463E-2</v>
      </c>
      <c r="O1732">
        <v>-0.18467249999999999</v>
      </c>
      <c r="P1732">
        <v>-0.91751210000000005</v>
      </c>
      <c r="Q1732">
        <v>-0.1201666</v>
      </c>
      <c r="R1732">
        <v>-0.37911909999999999</v>
      </c>
      <c r="S1732">
        <v>-2.7579959999999999</v>
      </c>
      <c r="T1732">
        <v>-0.3230828</v>
      </c>
      <c r="U1732">
        <v>-1.1363219999999901</v>
      </c>
      <c r="V1732">
        <v>-0.2012745</v>
      </c>
      <c r="W1732">
        <v>-0.1044033</v>
      </c>
      <c r="X1732">
        <v>0.97395509999999996</v>
      </c>
      <c r="Y1732">
        <v>-0.2029291</v>
      </c>
      <c r="Z1732">
        <v>3.3694739999999999E-3</v>
      </c>
      <c r="AA1732">
        <v>0.97918769999999999</v>
      </c>
      <c r="AB1732">
        <v>51</v>
      </c>
      <c r="AC1732">
        <v>-9.0249999999999702</v>
      </c>
      <c r="AD1732">
        <v>-1.116692168863</v>
      </c>
      <c r="AE1732">
        <v>-3.8301000000000101</v>
      </c>
      <c r="AF1732">
        <v>-2.0703361620615</v>
      </c>
      <c r="AG1732">
        <v>-1.116692168863</v>
      </c>
      <c r="AH1732">
        <v>9.4545070521321897</v>
      </c>
      <c r="AI1732">
        <v>96.581584749845604</v>
      </c>
      <c r="AJ1732">
        <v>102.351594718341</v>
      </c>
      <c r="AK1732">
        <v>9.7427407243935598</v>
      </c>
      <c r="AL1732">
        <v>95.992789188284206</v>
      </c>
      <c r="AM1732">
        <v>101.676198809841</v>
      </c>
      <c r="AN1732">
        <v>1.00000000510857</v>
      </c>
    </row>
    <row r="1733" spans="1:40" x14ac:dyDescent="0.25">
      <c r="A1733" t="str">
        <f>"20190305135616905"</f>
        <v>20190305135616905</v>
      </c>
      <c r="B1733" t="str">
        <f>"1551765376894047"</f>
        <v>1551765376894047</v>
      </c>
      <c r="C1733" t="s">
        <v>40</v>
      </c>
      <c r="D1733">
        <v>4.145543</v>
      </c>
      <c r="E1733">
        <v>0.49679509999999999</v>
      </c>
      <c r="F1733" t="s">
        <v>54</v>
      </c>
      <c r="G1733">
        <v>-481.33030000000002</v>
      </c>
      <c r="H1733" s="1">
        <v>1.8454909999999999E-6</v>
      </c>
      <c r="I1733">
        <v>279.1662</v>
      </c>
      <c r="J1733">
        <v>-472.32560000000001</v>
      </c>
      <c r="K1733">
        <v>1.1170450000000001</v>
      </c>
      <c r="L1733">
        <v>283.0926</v>
      </c>
      <c r="M1733">
        <v>-0.98142410000000002</v>
      </c>
      <c r="N1733">
        <v>-2.0485150000000001E-2</v>
      </c>
      <c r="O1733">
        <v>-0.19075420000000001</v>
      </c>
      <c r="P1733">
        <v>-0.91366060000000004</v>
      </c>
      <c r="Q1733">
        <v>-0.1195879</v>
      </c>
      <c r="R1733">
        <v>-0.3884881</v>
      </c>
      <c r="S1733">
        <v>-2.7463679999999999</v>
      </c>
      <c r="T1733">
        <v>-0.32323299999999999</v>
      </c>
      <c r="U1733">
        <v>-1.1641239999999999</v>
      </c>
      <c r="V1733">
        <v>-0.205122</v>
      </c>
      <c r="W1733">
        <v>-0.103542</v>
      </c>
      <c r="X1733">
        <v>0.97324409999999895</v>
      </c>
      <c r="Y1733">
        <v>-0.20673569999999999</v>
      </c>
      <c r="Z1733">
        <v>3.5198500000000001E-3</v>
      </c>
      <c r="AA1733">
        <v>0.97839050000000005</v>
      </c>
      <c r="AB1733">
        <v>51</v>
      </c>
      <c r="AC1733">
        <v>-9.0047000000000104</v>
      </c>
      <c r="AD1733">
        <v>-1.117043154509</v>
      </c>
      <c r="AE1733">
        <v>-3.9264000000000001</v>
      </c>
      <c r="AF1733">
        <v>-2.1089580772665202</v>
      </c>
      <c r="AG1733">
        <v>-1.117043154509</v>
      </c>
      <c r="AH1733">
        <v>9.46602056872349</v>
      </c>
      <c r="AI1733">
        <v>96.570464420420393</v>
      </c>
      <c r="AJ1733">
        <v>102.559939042821</v>
      </c>
      <c r="AK1733">
        <v>9.7622248994888103</v>
      </c>
      <c r="AL1733">
        <v>95.9431712664895</v>
      </c>
      <c r="AM1733">
        <v>101.90153882517301</v>
      </c>
      <c r="AN1733">
        <v>1.0000000294164</v>
      </c>
    </row>
    <row r="1734" spans="1:40" x14ac:dyDescent="0.25">
      <c r="A1734" t="str">
        <f>"20190305135616927"</f>
        <v>20190305135616927</v>
      </c>
      <c r="B1734" t="str">
        <f>"1551765376923326"</f>
        <v>1551765376923326</v>
      </c>
      <c r="C1734" t="s">
        <v>40</v>
      </c>
      <c r="D1734">
        <v>4.175065</v>
      </c>
      <c r="E1734">
        <v>0.49682900000000002</v>
      </c>
      <c r="F1734" t="s">
        <v>54</v>
      </c>
      <c r="G1734">
        <v>-481.69</v>
      </c>
      <c r="H1734" s="1">
        <v>1.8525480000000001E-6</v>
      </c>
      <c r="I1734">
        <v>279.00569999999999</v>
      </c>
      <c r="J1734">
        <v>-472.79360000000003</v>
      </c>
      <c r="K1734">
        <v>1.117383</v>
      </c>
      <c r="L1734">
        <v>282.99689999999998</v>
      </c>
      <c r="M1734">
        <v>-0.98017869999999996</v>
      </c>
      <c r="N1734">
        <v>-2.0951049999999999E-2</v>
      </c>
      <c r="O1734">
        <v>-0.1970046</v>
      </c>
      <c r="P1734">
        <v>-0.90938629999999998</v>
      </c>
      <c r="Q1734">
        <v>-0.1215599</v>
      </c>
      <c r="R1734">
        <v>-0.39779409999999998</v>
      </c>
      <c r="S1734">
        <v>-2.7335509999999998</v>
      </c>
      <c r="T1734">
        <v>-0.32607409999999998</v>
      </c>
      <c r="U1734">
        <v>-1.192993</v>
      </c>
      <c r="V1734">
        <v>-0.208782</v>
      </c>
      <c r="W1734">
        <v>-0.1053164</v>
      </c>
      <c r="X1734">
        <v>0.972275</v>
      </c>
      <c r="Y1734">
        <v>-0.21083260000000001</v>
      </c>
      <c r="Z1734">
        <v>3.765076E-3</v>
      </c>
      <c r="AA1734">
        <v>0.97751489999999996</v>
      </c>
      <c r="AB1734">
        <v>50</v>
      </c>
      <c r="AC1734">
        <v>-8.8963999999999697</v>
      </c>
      <c r="AD1734">
        <v>-1.1173811474519999</v>
      </c>
      <c r="AE1734">
        <v>-3.9911999999999899</v>
      </c>
      <c r="AF1734">
        <v>-2.1319348159839402</v>
      </c>
      <c r="AG1734">
        <v>-1.1173811474519999</v>
      </c>
      <c r="AH1734">
        <v>9.3851863892258702</v>
      </c>
      <c r="AI1734">
        <v>96.622400803941701</v>
      </c>
      <c r="AJ1734">
        <v>102.798100406052</v>
      </c>
      <c r="AK1734">
        <v>9.6889323585623295</v>
      </c>
      <c r="AL1734">
        <v>96.045395583332095</v>
      </c>
      <c r="AM1734">
        <v>102.119396577432</v>
      </c>
      <c r="AN1734">
        <v>1.0000000716289701</v>
      </c>
    </row>
    <row r="1735" spans="1:40" x14ac:dyDescent="0.25">
      <c r="A1735" t="str">
        <f>"20190305135616949"</f>
        <v>20190305135616949</v>
      </c>
      <c r="B1735" t="str">
        <f>"1551765376943825"</f>
        <v>1551765376943825</v>
      </c>
      <c r="C1735" t="s">
        <v>40</v>
      </c>
      <c r="D1735">
        <v>4.1397870000000001</v>
      </c>
      <c r="E1735">
        <v>0.49682409999999999</v>
      </c>
      <c r="F1735" t="s">
        <v>54</v>
      </c>
      <c r="G1735">
        <v>-481.90480000000002</v>
      </c>
      <c r="H1735" s="1">
        <v>1.8567820000000001E-6</v>
      </c>
      <c r="I1735">
        <v>278.90989999999999</v>
      </c>
      <c r="J1735">
        <v>-473.28530000000001</v>
      </c>
      <c r="K1735">
        <v>1.1177360000000001</v>
      </c>
      <c r="L1735">
        <v>282.8929</v>
      </c>
      <c r="M1735">
        <v>-0.9787399</v>
      </c>
      <c r="N1735">
        <v>-2.1374730000000002E-2</v>
      </c>
      <c r="O1735">
        <v>-0.2039889</v>
      </c>
      <c r="P1735">
        <v>-0.90453340000000004</v>
      </c>
      <c r="Q1735">
        <v>-0.12446889999999899</v>
      </c>
      <c r="R1735">
        <v>-0.40783239999999998</v>
      </c>
      <c r="S1735">
        <v>-2.7205509999999999</v>
      </c>
      <c r="T1735">
        <v>-0.33364250000000001</v>
      </c>
      <c r="U1735">
        <v>-1.220367</v>
      </c>
      <c r="V1735">
        <v>-0.21252969999999999</v>
      </c>
      <c r="W1735">
        <v>-0.1081034</v>
      </c>
      <c r="X1735">
        <v>0.97115640000000003</v>
      </c>
      <c r="Y1735">
        <v>-0.21376400000000001</v>
      </c>
      <c r="Z1735">
        <v>4.325672E-3</v>
      </c>
      <c r="AA1735">
        <v>0.97687579999999996</v>
      </c>
      <c r="AB1735">
        <v>50</v>
      </c>
      <c r="AC1735">
        <v>-8.6195000000000093</v>
      </c>
      <c r="AD1735">
        <v>-1.1177341432179999</v>
      </c>
      <c r="AE1735">
        <v>-3.9830000000000001</v>
      </c>
      <c r="AF1735">
        <v>-2.1112721175187898</v>
      </c>
      <c r="AG1735">
        <v>-1.1177341432179999</v>
      </c>
      <c r="AH1735">
        <v>9.1244140627778307</v>
      </c>
      <c r="AI1735">
        <v>96.805833341102499</v>
      </c>
      <c r="AJ1735">
        <v>103.028226018178</v>
      </c>
      <c r="AK1735">
        <v>9.4319526906227296</v>
      </c>
      <c r="AL1735">
        <v>96.205996494073403</v>
      </c>
      <c r="AM1735">
        <v>102.344111545822</v>
      </c>
      <c r="AN1735">
        <v>0.99999998586730399</v>
      </c>
    </row>
    <row r="1736" spans="1:40" x14ac:dyDescent="0.25">
      <c r="A1736" t="str">
        <f>"20190305135616972"</f>
        <v>20190305135616972</v>
      </c>
      <c r="B1736" t="str">
        <f>"1551765376963342"</f>
        <v>1551765376963342</v>
      </c>
      <c r="C1736" t="s">
        <v>40</v>
      </c>
      <c r="D1736">
        <v>4.1318440000000001</v>
      </c>
      <c r="E1736">
        <v>0.49695850000000003</v>
      </c>
      <c r="F1736" t="s">
        <v>54</v>
      </c>
      <c r="G1736">
        <v>-482.09339999999997</v>
      </c>
      <c r="H1736" s="1">
        <v>1.859112E-6</v>
      </c>
      <c r="I1736">
        <v>278.8218</v>
      </c>
      <c r="J1736">
        <v>-473.76519999999999</v>
      </c>
      <c r="K1736">
        <v>1.118106</v>
      </c>
      <c r="L1736">
        <v>282.78719999999998</v>
      </c>
      <c r="M1736">
        <v>-0.97717699999999996</v>
      </c>
      <c r="N1736">
        <v>-2.1721259999999999E-2</v>
      </c>
      <c r="O1736">
        <v>-0.2113139</v>
      </c>
      <c r="P1736">
        <v>-0.89944310000000005</v>
      </c>
      <c r="Q1736">
        <v>-0.12550799999999901</v>
      </c>
      <c r="R1736">
        <v>-0.41862929999999998</v>
      </c>
      <c r="S1736">
        <v>-2.7055660000000001</v>
      </c>
      <c r="T1736">
        <v>-0.34333219999999998</v>
      </c>
      <c r="U1736">
        <v>-1.2504879999999901</v>
      </c>
      <c r="V1736">
        <v>-0.2167761</v>
      </c>
      <c r="W1736">
        <v>-0.1091241</v>
      </c>
      <c r="X1736">
        <v>0.9701031</v>
      </c>
      <c r="Y1736">
        <v>-0.21742880000000001</v>
      </c>
      <c r="Z1736">
        <v>4.9904119999999996E-3</v>
      </c>
      <c r="AA1736">
        <v>0.97606340000000003</v>
      </c>
      <c r="AB1736">
        <v>50</v>
      </c>
      <c r="AC1736">
        <v>-8.3281999999999794</v>
      </c>
      <c r="AD1736">
        <v>-1.1181041408879999</v>
      </c>
      <c r="AE1736">
        <v>-3.9653999999999798</v>
      </c>
      <c r="AF1736">
        <v>-2.0848980116007798</v>
      </c>
      <c r="AG1736">
        <v>-1.1181041408879999</v>
      </c>
      <c r="AH1736">
        <v>8.8481775360913399</v>
      </c>
      <c r="AI1736">
        <v>97.011996316279394</v>
      </c>
      <c r="AJ1736">
        <v>103.258765529432</v>
      </c>
      <c r="AK1736">
        <v>9.1589957036150693</v>
      </c>
      <c r="AL1736">
        <v>96.264826336629</v>
      </c>
      <c r="AM1736">
        <v>102.59619546351701</v>
      </c>
      <c r="AN1736">
        <v>0.99999998568081405</v>
      </c>
    </row>
    <row r="1737" spans="1:40" x14ac:dyDescent="0.25">
      <c r="A1737" t="str">
        <f>"20190305135616992"</f>
        <v>20190305135616992</v>
      </c>
      <c r="B1737" t="str">
        <f>"1551765376983838"</f>
        <v>1551765376983838</v>
      </c>
      <c r="C1737" t="s">
        <v>40</v>
      </c>
      <c r="D1737">
        <v>4.1574229999999996</v>
      </c>
      <c r="E1737">
        <v>0.49721149999999997</v>
      </c>
      <c r="F1737" t="s">
        <v>54</v>
      </c>
      <c r="G1737">
        <v>-482.4418</v>
      </c>
      <c r="H1737" s="1">
        <v>1.8612559999999999E-6</v>
      </c>
      <c r="I1737">
        <v>278.65300000000002</v>
      </c>
      <c r="J1737">
        <v>-474.22989999999999</v>
      </c>
      <c r="K1737">
        <v>1.1184940000000001</v>
      </c>
      <c r="L1737">
        <v>282.68099999999998</v>
      </c>
      <c r="M1737">
        <v>-0.97550490000000001</v>
      </c>
      <c r="N1737">
        <v>-2.202639E-2</v>
      </c>
      <c r="O1737">
        <v>-0.21887210000000001</v>
      </c>
      <c r="P1737">
        <v>-0.89406949999999996</v>
      </c>
      <c r="Q1737">
        <v>-0.12538969999999999</v>
      </c>
      <c r="R1737">
        <v>-0.43002010000000002</v>
      </c>
      <c r="S1737">
        <v>-2.6903990000000002</v>
      </c>
      <c r="T1737">
        <v>-0.34669660000000002</v>
      </c>
      <c r="U1737">
        <v>-1.2818909999999999</v>
      </c>
      <c r="V1737">
        <v>-0.22147059999999999</v>
      </c>
      <c r="W1737">
        <v>-0.1090511</v>
      </c>
      <c r="X1737">
        <v>0.96905039999999998</v>
      </c>
      <c r="Y1737">
        <v>-0.22127440000000001</v>
      </c>
      <c r="Z1737">
        <v>5.4775190000000001E-3</v>
      </c>
      <c r="AA1737">
        <v>0.97519619999999996</v>
      </c>
      <c r="AB1737">
        <v>50</v>
      </c>
      <c r="AC1737">
        <v>-8.2119000000000106</v>
      </c>
      <c r="AD1737">
        <v>-1.1184921387440001</v>
      </c>
      <c r="AE1737">
        <v>-4.0279999999999596</v>
      </c>
      <c r="AF1737">
        <v>-2.1010765497642301</v>
      </c>
      <c r="AG1737">
        <v>-1.1184921387440001</v>
      </c>
      <c r="AH1737">
        <v>8.7634774709932906</v>
      </c>
      <c r="AI1737">
        <v>97.075015357315493</v>
      </c>
      <c r="AJ1737">
        <v>103.482391643585</v>
      </c>
      <c r="AK1737">
        <v>9.0809737758132698</v>
      </c>
      <c r="AL1737">
        <v>96.260618396542</v>
      </c>
      <c r="AM1737">
        <v>102.87350496876201</v>
      </c>
      <c r="AN1737">
        <v>1.0000000234078601</v>
      </c>
    </row>
    <row r="1738" spans="1:40" x14ac:dyDescent="0.25">
      <c r="A1738" t="str">
        <f>"20190305135617016"</f>
        <v>20190305135617016</v>
      </c>
      <c r="B1738" t="str">
        <f>"1551765377014094"</f>
        <v>1551765377014094</v>
      </c>
      <c r="C1738" t="s">
        <v>40</v>
      </c>
      <c r="D1738">
        <v>4.1311770000000001</v>
      </c>
      <c r="E1738">
        <v>0.49762499999999998</v>
      </c>
      <c r="F1738" t="s">
        <v>54</v>
      </c>
      <c r="G1738">
        <v>-482.88060000000002</v>
      </c>
      <c r="H1738" s="1">
        <v>1.860808E-6</v>
      </c>
      <c r="I1738">
        <v>278.4316</v>
      </c>
      <c r="J1738">
        <v>-474.714</v>
      </c>
      <c r="K1738">
        <v>1.1189009999999999</v>
      </c>
      <c r="L1738">
        <v>282.56619999999998</v>
      </c>
      <c r="M1738">
        <v>-0.9735916</v>
      </c>
      <c r="N1738">
        <v>-2.2338179999999999E-2</v>
      </c>
      <c r="O1738">
        <v>-0.22720129999999999</v>
      </c>
      <c r="P1738">
        <v>-0.88821209999999995</v>
      </c>
      <c r="Q1738">
        <v>-0.12630060000000001</v>
      </c>
      <c r="R1738">
        <v>-0.44173299999999999</v>
      </c>
      <c r="S1738">
        <v>-2.674957</v>
      </c>
      <c r="T1738">
        <v>-0.34585739999999998</v>
      </c>
      <c r="U1738">
        <v>-1.313995</v>
      </c>
      <c r="V1738">
        <v>-0.22581180000000001</v>
      </c>
      <c r="W1738">
        <v>-0.110011999999999</v>
      </c>
      <c r="X1738">
        <v>0.96793929999999995</v>
      </c>
      <c r="Y1738">
        <v>-0.22459599999999999</v>
      </c>
      <c r="Z1738">
        <v>5.9194599999999997E-3</v>
      </c>
      <c r="AA1738">
        <v>0.97443400000000002</v>
      </c>
      <c r="AB1738">
        <v>49</v>
      </c>
      <c r="AC1738">
        <v>-8.1666000000000096</v>
      </c>
      <c r="AD1738">
        <v>-1.118899139192</v>
      </c>
      <c r="AE1738">
        <v>-4.1345999999999696</v>
      </c>
      <c r="AF1738">
        <v>-2.1385379687461898</v>
      </c>
      <c r="AG1738">
        <v>-1.118899139192</v>
      </c>
      <c r="AH1738">
        <v>8.7616253044584695</v>
      </c>
      <c r="AI1738">
        <v>97.072119731554395</v>
      </c>
      <c r="AJ1738">
        <v>103.716565748646</v>
      </c>
      <c r="AK1738">
        <v>9.0879787578526301</v>
      </c>
      <c r="AL1738">
        <v>96.316007007353903</v>
      </c>
      <c r="AM1738">
        <v>103.13173731366</v>
      </c>
      <c r="AN1738">
        <v>1.0000000488238601</v>
      </c>
    </row>
    <row r="1739" spans="1:40" x14ac:dyDescent="0.25">
      <c r="A1739" t="str">
        <f>"20190305135617038"</f>
        <v>20190305135617038</v>
      </c>
      <c r="B1739" t="str">
        <f>"1551765377033614"</f>
        <v>1551765377033614</v>
      </c>
      <c r="C1739" t="s">
        <v>40</v>
      </c>
      <c r="D1739">
        <v>4.1058949999999896</v>
      </c>
      <c r="E1739">
        <v>0.50407309999999905</v>
      </c>
      <c r="F1739" t="s">
        <v>54</v>
      </c>
      <c r="G1739">
        <v>-483.23509999999999</v>
      </c>
      <c r="H1739" s="1">
        <v>1.8603589999999999E-6</v>
      </c>
      <c r="I1739">
        <v>278.25240000000002</v>
      </c>
      <c r="J1739">
        <v>-475.19400000000002</v>
      </c>
      <c r="K1739">
        <v>1.119313</v>
      </c>
      <c r="L1739">
        <v>282.44779999999997</v>
      </c>
      <c r="M1739">
        <v>-0.97150309999999995</v>
      </c>
      <c r="N1739">
        <v>-2.2637020000000001E-2</v>
      </c>
      <c r="O1739">
        <v>-0.23594390000000001</v>
      </c>
      <c r="P1739">
        <v>-0.88239140000000005</v>
      </c>
      <c r="Q1739">
        <v>-0.1271427</v>
      </c>
      <c r="R1739">
        <v>-0.45301279999999999</v>
      </c>
      <c r="S1739">
        <v>-2.6585999999999999</v>
      </c>
      <c r="T1739">
        <v>-0.34909889999999999</v>
      </c>
      <c r="U1739">
        <v>-1.3458859999999999</v>
      </c>
      <c r="V1739">
        <v>-0.2293316</v>
      </c>
      <c r="W1739">
        <v>-0.11090559999999999</v>
      </c>
      <c r="X1739">
        <v>0.96700929999999996</v>
      </c>
      <c r="Y1739">
        <v>-0.22754940000000001</v>
      </c>
      <c r="Z1739">
        <v>6.5938769999999997E-3</v>
      </c>
      <c r="AA1739">
        <v>0.97374419999999995</v>
      </c>
      <c r="AB1739">
        <v>49</v>
      </c>
      <c r="AC1739">
        <v>-8.0410999999999699</v>
      </c>
      <c r="AD1739">
        <v>-1.119311139641</v>
      </c>
      <c r="AE1739">
        <v>-4.1953999999999496</v>
      </c>
      <c r="AF1739">
        <v>-2.1464624289877898</v>
      </c>
      <c r="AG1739">
        <v>-1.119311139641</v>
      </c>
      <c r="AH1739">
        <v>8.67201003988602</v>
      </c>
      <c r="AI1739">
        <v>97.141422778549597</v>
      </c>
      <c r="AJ1739">
        <v>103.90222200509901</v>
      </c>
      <c r="AK1739">
        <v>9.0035502174567004</v>
      </c>
      <c r="AL1739">
        <v>96.367521993682999</v>
      </c>
      <c r="AM1739">
        <v>103.34153397921401</v>
      </c>
      <c r="AN1739">
        <v>1.0000000105782001</v>
      </c>
    </row>
    <row r="1740" spans="1:40" x14ac:dyDescent="0.25">
      <c r="A1740" t="str">
        <f>"20190305135617062"</f>
        <v>20190305135617062</v>
      </c>
      <c r="B1740" t="str">
        <f>"1551765377054110"</f>
        <v>1551765377054110</v>
      </c>
      <c r="C1740" t="s">
        <v>40</v>
      </c>
      <c r="D1740">
        <v>4.135262</v>
      </c>
      <c r="E1740">
        <v>0.50430719999999996</v>
      </c>
      <c r="F1740" t="s">
        <v>54</v>
      </c>
      <c r="G1740">
        <v>-483.85590000000002</v>
      </c>
      <c r="H1740" s="1">
        <v>1.9201500000000002E-6</v>
      </c>
      <c r="I1740">
        <v>278.11009999999999</v>
      </c>
      <c r="J1740">
        <v>-475.69380000000001</v>
      </c>
      <c r="K1740">
        <v>1.119775</v>
      </c>
      <c r="L1740">
        <v>282.31950000000001</v>
      </c>
      <c r="M1740">
        <v>-0.96910289999999999</v>
      </c>
      <c r="N1740">
        <v>-2.2937039999999999E-2</v>
      </c>
      <c r="O1740">
        <v>-0.24558849999999999</v>
      </c>
      <c r="P1740">
        <v>-0.87604819999999906</v>
      </c>
      <c r="Q1740">
        <v>-0.12714900000000001</v>
      </c>
      <c r="R1740">
        <v>-0.46515919999999999</v>
      </c>
      <c r="S1740">
        <v>-2.6650390000000002</v>
      </c>
      <c r="T1740">
        <v>-0.34438150000000001</v>
      </c>
      <c r="U1740">
        <v>-1.334595</v>
      </c>
      <c r="V1740">
        <v>-0.23294599999999999</v>
      </c>
      <c r="W1740">
        <v>-0.11099530000000001</v>
      </c>
      <c r="X1740">
        <v>0.96613470000000001</v>
      </c>
      <c r="Y1740">
        <v>-0.2137549</v>
      </c>
      <c r="Z1740">
        <v>8.1787079999999998E-3</v>
      </c>
      <c r="AA1740">
        <v>0.97685310000000003</v>
      </c>
      <c r="AB1740">
        <v>49</v>
      </c>
      <c r="AC1740">
        <v>-8.1621000000000095</v>
      </c>
      <c r="AD1740">
        <v>-1.1197730798500001</v>
      </c>
      <c r="AE1740">
        <v>-4.2094000000000102</v>
      </c>
      <c r="AF1740">
        <v>-2.0449664761885402</v>
      </c>
      <c r="AG1740">
        <v>-1.1197730798500001</v>
      </c>
      <c r="AH1740">
        <v>8.8149923957857901</v>
      </c>
      <c r="AI1740">
        <v>97.054166745061707</v>
      </c>
      <c r="AJ1740">
        <v>103.060861766648</v>
      </c>
      <c r="AK1740">
        <v>9.1181067430060896</v>
      </c>
      <c r="AL1740">
        <v>96.3726932479927</v>
      </c>
      <c r="AM1740">
        <v>103.555923436583</v>
      </c>
      <c r="AN1740">
        <v>1.00000002704108</v>
      </c>
    </row>
    <row r="1741" spans="1:40" x14ac:dyDescent="0.25">
      <c r="A1741" t="str">
        <f>"20190305135617083"</f>
        <v>20190305135617083</v>
      </c>
      <c r="B1741" t="str">
        <f>"1551765377073630"</f>
        <v>1551765377073630</v>
      </c>
      <c r="C1741" t="s">
        <v>40</v>
      </c>
      <c r="D1741">
        <v>4.1168899999999997</v>
      </c>
      <c r="E1741">
        <v>0.50510200000000005</v>
      </c>
      <c r="F1741" t="s">
        <v>54</v>
      </c>
      <c r="G1741">
        <v>-484.13470000000001</v>
      </c>
      <c r="H1741" s="1">
        <v>1.914183E-6</v>
      </c>
      <c r="I1741">
        <v>277.95330000000001</v>
      </c>
      <c r="J1741">
        <v>-476.12509999999997</v>
      </c>
      <c r="K1741">
        <v>1.1201939999999999</v>
      </c>
      <c r="L1741">
        <v>282.20440000000002</v>
      </c>
      <c r="M1741">
        <v>-0.96682979999999996</v>
      </c>
      <c r="N1741">
        <v>-2.3206979999999999E-2</v>
      </c>
      <c r="O1741">
        <v>-0.25436520000000001</v>
      </c>
      <c r="P1741">
        <v>-0.869457699999999</v>
      </c>
      <c r="Q1741">
        <v>-0.12645419999999999</v>
      </c>
      <c r="R1741">
        <v>-0.47754869999999999</v>
      </c>
      <c r="S1741">
        <v>-2.6466059999999998</v>
      </c>
      <c r="T1741">
        <v>-0.35110279999999999</v>
      </c>
      <c r="U1741">
        <v>-1.369019</v>
      </c>
      <c r="V1741">
        <v>-0.23776720000000001</v>
      </c>
      <c r="W1741">
        <v>-0.1104335</v>
      </c>
      <c r="X1741">
        <v>0.96502390000000005</v>
      </c>
      <c r="Y1741">
        <v>-0.21767829999999999</v>
      </c>
      <c r="Z1741">
        <v>8.9882720000000003E-3</v>
      </c>
      <c r="AA1741">
        <v>0.97597920000000005</v>
      </c>
      <c r="AB1741">
        <v>49</v>
      </c>
      <c r="AC1741">
        <v>-8.0096000000000291</v>
      </c>
      <c r="AD1741">
        <v>-1.120192085817</v>
      </c>
      <c r="AE1741">
        <v>-4.2511000000000001</v>
      </c>
      <c r="AF1741">
        <v>-2.0421204859484399</v>
      </c>
      <c r="AG1741">
        <v>-1.120192085817</v>
      </c>
      <c r="AH1741">
        <v>8.6949369678061199</v>
      </c>
      <c r="AI1741">
        <v>97.148708477316802</v>
      </c>
      <c r="AJ1741">
        <v>103.21712164481001</v>
      </c>
      <c r="AK1741">
        <v>9.0015007227894301</v>
      </c>
      <c r="AL1741">
        <v>96.340305772217306</v>
      </c>
      <c r="AM1741">
        <v>103.841125846662</v>
      </c>
      <c r="AN1741">
        <v>0.99999996344464903</v>
      </c>
    </row>
    <row r="1742" spans="1:40" x14ac:dyDescent="0.25">
      <c r="A1742" t="str">
        <f>"20190305135617104"</f>
        <v>20190305135617104</v>
      </c>
      <c r="B1742" t="str">
        <f>"1551765377094127"</f>
        <v>1551765377094127</v>
      </c>
      <c r="C1742" t="s">
        <v>40</v>
      </c>
      <c r="D1742">
        <v>4.1147519999999904</v>
      </c>
      <c r="E1742">
        <v>0.50585659999999999</v>
      </c>
      <c r="F1742" t="s">
        <v>54</v>
      </c>
      <c r="G1742">
        <v>-484.56630000000001</v>
      </c>
      <c r="H1742" s="1">
        <v>1.9041309999999999E-6</v>
      </c>
      <c r="I1742">
        <v>277.70830000000001</v>
      </c>
      <c r="J1742">
        <v>-476.57409999999999</v>
      </c>
      <c r="K1742">
        <v>1.120663</v>
      </c>
      <c r="L1742">
        <v>282.08</v>
      </c>
      <c r="M1742">
        <v>-0.96425899999999998</v>
      </c>
      <c r="N1742">
        <v>-2.3554149999999999E-2</v>
      </c>
      <c r="O1742">
        <v>-0.263912799999999</v>
      </c>
      <c r="P1742">
        <v>-0.86234149999999998</v>
      </c>
      <c r="Q1742">
        <v>-0.12630079999999999</v>
      </c>
      <c r="R1742">
        <v>-0.49032179999999997</v>
      </c>
      <c r="S1742">
        <v>-2.6302490000000001</v>
      </c>
      <c r="T1742">
        <v>-0.34904859999999999</v>
      </c>
      <c r="U1742">
        <v>-1.40097</v>
      </c>
      <c r="V1742">
        <v>-0.24232999999999999</v>
      </c>
      <c r="W1742">
        <v>-0.1103534</v>
      </c>
      <c r="X1742">
        <v>0.96389740000000002</v>
      </c>
      <c r="Y1742">
        <v>-0.2197953</v>
      </c>
      <c r="Z1742">
        <v>9.5408439999999997E-3</v>
      </c>
      <c r="AA1742">
        <v>0.97549940000000002</v>
      </c>
      <c r="AB1742">
        <v>49</v>
      </c>
      <c r="AC1742">
        <v>-7.99220000000002</v>
      </c>
      <c r="AD1742">
        <v>-1.120661095869</v>
      </c>
      <c r="AE1742">
        <v>-4.3716999999999704</v>
      </c>
      <c r="AF1742">
        <v>-2.0753837502410799</v>
      </c>
      <c r="AG1742">
        <v>-1.120661095869</v>
      </c>
      <c r="AH1742">
        <v>8.7306316968273201</v>
      </c>
      <c r="AI1742">
        <v>97.118237798693002</v>
      </c>
      <c r="AJ1742">
        <v>103.37176466154099</v>
      </c>
      <c r="AK1742">
        <v>9.0436181270664608</v>
      </c>
      <c r="AL1742">
        <v>96.335688244142204</v>
      </c>
      <c r="AM1742">
        <v>104.112060453854</v>
      </c>
      <c r="AN1742">
        <v>0.99999994975915796</v>
      </c>
    </row>
    <row r="1743" spans="1:40" x14ac:dyDescent="0.25">
      <c r="A1743" t="str">
        <f>"20190305135617128"</f>
        <v>20190305135617128</v>
      </c>
      <c r="B1743" t="str">
        <f>"1551765377123406"</f>
        <v>1551765377123406</v>
      </c>
      <c r="C1743" t="s">
        <v>40</v>
      </c>
      <c r="D1743">
        <v>4.5837890000000003</v>
      </c>
      <c r="E1743">
        <v>0.51121609999999995</v>
      </c>
      <c r="F1743" t="s">
        <v>54</v>
      </c>
      <c r="G1743">
        <v>-484.98520000000002</v>
      </c>
      <c r="H1743" s="1">
        <v>1.891353E-6</v>
      </c>
      <c r="I1743">
        <v>277.46190000000001</v>
      </c>
      <c r="J1743">
        <v>-477.03949999999998</v>
      </c>
      <c r="K1743">
        <v>1.121176</v>
      </c>
      <c r="L1743">
        <v>281.94600000000003</v>
      </c>
      <c r="M1743">
        <v>-0.96137550000000005</v>
      </c>
      <c r="N1743">
        <v>-2.4062819999999999E-2</v>
      </c>
      <c r="O1743">
        <v>-0.2741864</v>
      </c>
      <c r="P1743">
        <v>-0.85503320000000005</v>
      </c>
      <c r="Q1743">
        <v>-0.12518689999999999</v>
      </c>
      <c r="R1743">
        <v>-0.50323669999999998</v>
      </c>
      <c r="S1743">
        <v>-2.6123959999999999</v>
      </c>
      <c r="T1743">
        <v>-0.348066599999999</v>
      </c>
      <c r="U1743">
        <v>-1.434326</v>
      </c>
      <c r="V1743">
        <v>-0.2464103</v>
      </c>
      <c r="W1743">
        <v>-0.1091403</v>
      </c>
      <c r="X1743">
        <v>0.96300070000000004</v>
      </c>
      <c r="Y1743">
        <v>-0.22177640000000001</v>
      </c>
      <c r="Z1743">
        <v>1.015479E-2</v>
      </c>
      <c r="AA1743">
        <v>0.97504469999999999</v>
      </c>
      <c r="AB1743">
        <v>48</v>
      </c>
      <c r="AC1743">
        <v>-7.9457000000000404</v>
      </c>
      <c r="AD1743">
        <v>-1.121174108647</v>
      </c>
      <c r="AE1743">
        <v>-4.48409999999995</v>
      </c>
      <c r="AF1743">
        <v>-2.1011883751649898</v>
      </c>
      <c r="AG1743">
        <v>-1.121174108647</v>
      </c>
      <c r="AH1743">
        <v>8.7388825418394198</v>
      </c>
      <c r="AI1743">
        <v>97.110464324853993</v>
      </c>
      <c r="AJ1743">
        <v>103.51963903454801</v>
      </c>
      <c r="AK1743">
        <v>9.0575985807439494</v>
      </c>
      <c r="AL1743">
        <v>96.265760049237599</v>
      </c>
      <c r="AM1743">
        <v>104.352754241509</v>
      </c>
      <c r="AN1743">
        <v>0.99999999461533495</v>
      </c>
    </row>
    <row r="1744" spans="1:40" x14ac:dyDescent="0.25">
      <c r="A1744" t="str">
        <f>"20190305135617150"</f>
        <v>20190305135617150</v>
      </c>
      <c r="B1744" t="str">
        <f>"1551765377143905"</f>
        <v>1551765377143905</v>
      </c>
      <c r="C1744" t="s">
        <v>40</v>
      </c>
      <c r="D1744">
        <v>4.1354379999999997</v>
      </c>
      <c r="E1744">
        <v>0.51025129999999996</v>
      </c>
      <c r="F1744" t="s">
        <v>54</v>
      </c>
      <c r="G1744">
        <v>-485.65249999999997</v>
      </c>
      <c r="H1744" s="1">
        <v>1.919976E-6</v>
      </c>
      <c r="I1744">
        <v>277.20800000000003</v>
      </c>
      <c r="J1744">
        <v>-477.5018</v>
      </c>
      <c r="K1744">
        <v>1.12169599999999</v>
      </c>
      <c r="L1744">
        <v>281.80739999999997</v>
      </c>
      <c r="M1744">
        <v>-0.95827370000000001</v>
      </c>
      <c r="N1744">
        <v>-2.4739520000000001E-2</v>
      </c>
      <c r="O1744">
        <v>-0.28478009999999998</v>
      </c>
      <c r="P1744">
        <v>-0.84793660000000004</v>
      </c>
      <c r="Q1744">
        <v>-0.1234716</v>
      </c>
      <c r="R1744">
        <v>-0.51551780000000003</v>
      </c>
      <c r="S1744">
        <v>-2.612854</v>
      </c>
      <c r="T1744">
        <v>-0.3401208</v>
      </c>
      <c r="U1744">
        <v>-1.437317</v>
      </c>
      <c r="V1744">
        <v>-0.24955150000000001</v>
      </c>
      <c r="W1744">
        <v>-0.1071165</v>
      </c>
      <c r="X1744">
        <v>0.96241889999999997</v>
      </c>
      <c r="Y1744">
        <v>-0.2118853</v>
      </c>
      <c r="Z1744">
        <v>1.1116569999999999E-2</v>
      </c>
      <c r="AA1744">
        <v>0.97723130000000002</v>
      </c>
      <c r="AB1744">
        <v>48</v>
      </c>
      <c r="AC1744">
        <v>-8.1506999999999703</v>
      </c>
      <c r="AD1744">
        <v>-1.1216940800239901</v>
      </c>
      <c r="AE1744">
        <v>-4.5994000000000002</v>
      </c>
      <c r="AF1744">
        <v>-2.0574109242640799</v>
      </c>
      <c r="AG1744">
        <v>-1.1216940800239901</v>
      </c>
      <c r="AH1744">
        <v>8.9940123052221406</v>
      </c>
      <c r="AI1744">
        <v>96.931733740624793</v>
      </c>
      <c r="AJ1744">
        <v>102.88490987325</v>
      </c>
      <c r="AK1744">
        <v>9.2942667632755906</v>
      </c>
      <c r="AL1744">
        <v>96.149120826331995</v>
      </c>
      <c r="AM1744">
        <v>104.53643476025201</v>
      </c>
      <c r="AN1744">
        <v>1.0000000174008501</v>
      </c>
    </row>
    <row r="1745" spans="1:40" x14ac:dyDescent="0.25">
      <c r="A1745" t="str">
        <f>"20190305135617171"</f>
        <v>20190305135617171</v>
      </c>
      <c r="B1745" t="str">
        <f>"1551765377163422"</f>
        <v>1551765377163422</v>
      </c>
      <c r="C1745" t="s">
        <v>40</v>
      </c>
      <c r="D1745">
        <v>4.1448929999999997</v>
      </c>
      <c r="E1745">
        <v>0.51001240000000003</v>
      </c>
      <c r="F1745" t="s">
        <v>54</v>
      </c>
      <c r="G1745">
        <v>-485.97649999999999</v>
      </c>
      <c r="H1745" s="1">
        <v>1.8899450000000001E-6</v>
      </c>
      <c r="I1745">
        <v>276.96050000000002</v>
      </c>
      <c r="J1745">
        <v>-477.92689999999999</v>
      </c>
      <c r="K1745">
        <v>1.1221950000000001</v>
      </c>
      <c r="L1745">
        <v>281.6746</v>
      </c>
      <c r="M1745">
        <v>-0.95518119999999995</v>
      </c>
      <c r="N1745">
        <v>-2.5462829999999999E-2</v>
      </c>
      <c r="O1745">
        <v>-0.29492429999999997</v>
      </c>
      <c r="P1745">
        <v>-0.84124049999999995</v>
      </c>
      <c r="Q1745">
        <v>-0.1203456</v>
      </c>
      <c r="R1745">
        <v>-0.52709729999999999</v>
      </c>
      <c r="S1745">
        <v>-2.5881959999999999</v>
      </c>
      <c r="T1745">
        <v>-0.34256969999999998</v>
      </c>
      <c r="U1745">
        <v>-1.4802550000000001</v>
      </c>
      <c r="V1745">
        <v>-0.252417</v>
      </c>
      <c r="W1745">
        <v>-0.10361190000000001</v>
      </c>
      <c r="X1745">
        <v>0.9620552</v>
      </c>
      <c r="Y1745">
        <v>-0.2177076</v>
      </c>
      <c r="Z1745">
        <v>1.1534269999999999E-2</v>
      </c>
      <c r="AA1745">
        <v>0.97594590000000003</v>
      </c>
      <c r="AB1745">
        <v>48</v>
      </c>
      <c r="AC1745">
        <v>-8.0495999999999892</v>
      </c>
      <c r="AD1745">
        <v>-1.122193110055</v>
      </c>
      <c r="AE1745">
        <v>-4.71409999999997</v>
      </c>
      <c r="AF1745">
        <v>-2.0991098159600701</v>
      </c>
      <c r="AG1745">
        <v>-1.122193110055</v>
      </c>
      <c r="AH1745">
        <v>8.9525158307603991</v>
      </c>
      <c r="AI1745">
        <v>96.957951048787507</v>
      </c>
      <c r="AJ1745">
        <v>103.19585174033</v>
      </c>
      <c r="AK1745">
        <v>9.2635370726159696</v>
      </c>
      <c r="AL1745">
        <v>95.947198147349695</v>
      </c>
      <c r="AM1745">
        <v>104.70147898484301</v>
      </c>
      <c r="AN1745">
        <v>0.99999998777882404</v>
      </c>
    </row>
    <row r="1746" spans="1:40" x14ac:dyDescent="0.25">
      <c r="A1746" t="str">
        <f>"20190305135617194"</f>
        <v>20190305135617194</v>
      </c>
      <c r="B1746" t="str">
        <f>"1551765377183918"</f>
        <v>1551765377183918</v>
      </c>
      <c r="C1746" t="s">
        <v>40</v>
      </c>
      <c r="D1746">
        <v>4.1289800000000003</v>
      </c>
      <c r="E1746">
        <v>0.51189549999999995</v>
      </c>
      <c r="F1746" t="s">
        <v>54</v>
      </c>
      <c r="G1746">
        <v>-486.50459999999998</v>
      </c>
      <c r="H1746" s="1">
        <v>1.858918E-6</v>
      </c>
      <c r="I1746">
        <v>276.6078</v>
      </c>
      <c r="J1746">
        <v>-478.37540000000001</v>
      </c>
      <c r="K1746">
        <v>1.1226910000000001</v>
      </c>
      <c r="L1746">
        <v>281.52890000000002</v>
      </c>
      <c r="M1746">
        <v>-0.95163120000000001</v>
      </c>
      <c r="N1746">
        <v>-2.6271180000000002E-2</v>
      </c>
      <c r="O1746">
        <v>-0.30611739999999998</v>
      </c>
      <c r="P1746">
        <v>-0.83347979999999999</v>
      </c>
      <c r="Q1746">
        <v>-0.1175756</v>
      </c>
      <c r="R1746">
        <v>-0.53989600000000004</v>
      </c>
      <c r="S1746">
        <v>-2.5677189999999999</v>
      </c>
      <c r="T1746">
        <v>-0.33592670000000002</v>
      </c>
      <c r="U1746">
        <v>-1.5167539999999999</v>
      </c>
      <c r="V1746">
        <v>-0.2557101</v>
      </c>
      <c r="W1746">
        <v>-0.10040259999999999</v>
      </c>
      <c r="X1746">
        <v>0.96152570000000004</v>
      </c>
      <c r="Y1746">
        <v>-0.2199371</v>
      </c>
      <c r="Z1746">
        <v>1.165185E-2</v>
      </c>
      <c r="AA1746">
        <v>0.97544450000000005</v>
      </c>
      <c r="AB1746">
        <v>47</v>
      </c>
      <c r="AC1746">
        <v>-8.12919999999996</v>
      </c>
      <c r="AD1746">
        <v>-1.1226891410819999</v>
      </c>
      <c r="AE1746">
        <v>-4.9211000000000196</v>
      </c>
      <c r="AF1746">
        <v>-2.1651195411970199</v>
      </c>
      <c r="AG1746">
        <v>-1.1226891410819999</v>
      </c>
      <c r="AH1746">
        <v>9.1183511452434605</v>
      </c>
      <c r="AI1746">
        <v>96.831104964265705</v>
      </c>
      <c r="AJ1746">
        <v>103.35731066598601</v>
      </c>
      <c r="AK1746">
        <v>9.43888240964678</v>
      </c>
      <c r="AL1746">
        <v>95.762354412571099</v>
      </c>
      <c r="AM1746">
        <v>104.892648181917</v>
      </c>
      <c r="AN1746">
        <v>1.00000000454463</v>
      </c>
    </row>
    <row r="1747" spans="1:40" x14ac:dyDescent="0.25">
      <c r="A1747" t="str">
        <f>"20190305135617217"</f>
        <v>20190305135617217</v>
      </c>
      <c r="B1747" t="str">
        <f>"1551765377214175"</f>
        <v>1551765377214175</v>
      </c>
      <c r="C1747" t="s">
        <v>40</v>
      </c>
      <c r="D1747">
        <v>4.0890050000000002</v>
      </c>
      <c r="E1747">
        <v>0.51429279999999999</v>
      </c>
      <c r="F1747" t="s">
        <v>54</v>
      </c>
      <c r="G1747">
        <v>-486.1798</v>
      </c>
      <c r="H1747" s="1">
        <v>1.8779000000000001E-6</v>
      </c>
      <c r="I1747">
        <v>276.82440000000003</v>
      </c>
      <c r="J1747">
        <v>-478.80990000000003</v>
      </c>
      <c r="K1747">
        <v>1.1231530000000001</v>
      </c>
      <c r="L1747">
        <v>281.38220000000001</v>
      </c>
      <c r="M1747">
        <v>-0.94787350000000004</v>
      </c>
      <c r="N1747">
        <v>-2.705314E-2</v>
      </c>
      <c r="O1747">
        <v>-0.31749650000000001</v>
      </c>
      <c r="P1747">
        <v>-0.82480640000000005</v>
      </c>
      <c r="Q1747">
        <v>-0.1152273</v>
      </c>
      <c r="R1747">
        <v>-0.55355019999999999</v>
      </c>
      <c r="S1747">
        <v>-2.5513309999999998</v>
      </c>
      <c r="T1747">
        <v>-0.36701800000000001</v>
      </c>
      <c r="U1747">
        <v>-1.537933</v>
      </c>
      <c r="V1747">
        <v>-0.25991619999999999</v>
      </c>
      <c r="W1747">
        <v>-9.766743E-2</v>
      </c>
      <c r="X1747">
        <v>0.96067930000000001</v>
      </c>
      <c r="Y1747">
        <v>-0.21697469999999999</v>
      </c>
      <c r="Z1747">
        <v>1.479228E-2</v>
      </c>
      <c r="AA1747">
        <v>0.97606519999999997</v>
      </c>
      <c r="AB1747">
        <v>47</v>
      </c>
      <c r="AC1747">
        <v>-7.3698999999999701</v>
      </c>
      <c r="AD1747">
        <v>-1.1231511220999999</v>
      </c>
      <c r="AE1747">
        <v>-4.5577999999999799</v>
      </c>
      <c r="AF1747">
        <v>-1.9482947020794099</v>
      </c>
      <c r="AG1747">
        <v>-1.1231511220999999</v>
      </c>
      <c r="AH1747">
        <v>8.2965269620768893</v>
      </c>
      <c r="AI1747">
        <v>97.507796266408405</v>
      </c>
      <c r="AJ1747">
        <v>103.215459566124</v>
      </c>
      <c r="AK1747">
        <v>8.5959106743668592</v>
      </c>
      <c r="AL1747">
        <v>95.604866260089196</v>
      </c>
      <c r="AM1747">
        <v>105.139187928002</v>
      </c>
      <c r="AN1747">
        <v>1.0000000376768601</v>
      </c>
    </row>
    <row r="1748" spans="1:40" x14ac:dyDescent="0.25">
      <c r="A1748" t="str">
        <f>"20190305135617240"</f>
        <v>20190305135617240</v>
      </c>
      <c r="B1748" t="str">
        <f>"1551765377233694"</f>
        <v>1551765377233694</v>
      </c>
      <c r="C1748" t="s">
        <v>40</v>
      </c>
      <c r="D1748">
        <v>4.0779540000000001</v>
      </c>
      <c r="E1748">
        <v>0.51556689999999905</v>
      </c>
      <c r="F1748" t="s">
        <v>54</v>
      </c>
      <c r="G1748">
        <v>-486.863</v>
      </c>
      <c r="H1748" s="1">
        <v>1.854663E-6</v>
      </c>
      <c r="I1748">
        <v>276.41590000000002</v>
      </c>
      <c r="J1748">
        <v>-479.25619999999998</v>
      </c>
      <c r="K1748">
        <v>1.1235930000000001</v>
      </c>
      <c r="L1748">
        <v>281.22559999999999</v>
      </c>
      <c r="M1748">
        <v>-0.94363989999999998</v>
      </c>
      <c r="N1748">
        <v>-2.7817169999999999E-2</v>
      </c>
      <c r="O1748">
        <v>-0.32980300000000001</v>
      </c>
      <c r="P1748">
        <v>-0.81515590000000004</v>
      </c>
      <c r="Q1748">
        <v>-0.1122088</v>
      </c>
      <c r="R1748">
        <v>-0.56826929999999998</v>
      </c>
      <c r="S1748">
        <v>-2.5375369999999999</v>
      </c>
      <c r="T1748">
        <v>-0.35390899999999997</v>
      </c>
      <c r="U1748">
        <v>-1.5649109999999999</v>
      </c>
      <c r="V1748">
        <v>-0.26454270000000002</v>
      </c>
      <c r="W1748">
        <v>-9.4305680000000003E-2</v>
      </c>
      <c r="X1748">
        <v>0.95975180000000004</v>
      </c>
      <c r="Y1748">
        <v>-0.2142018</v>
      </c>
      <c r="Z1748">
        <v>1.490119E-2</v>
      </c>
      <c r="AA1748">
        <v>0.97667570000000004</v>
      </c>
      <c r="AB1748">
        <v>47</v>
      </c>
      <c r="AC1748">
        <v>-7.60680000000007</v>
      </c>
      <c r="AD1748">
        <v>-1.123591145337</v>
      </c>
      <c r="AE1748">
        <v>-4.8096999999999603</v>
      </c>
      <c r="AF1748">
        <v>-1.9994998181919701</v>
      </c>
      <c r="AG1748">
        <v>-1.123591145337</v>
      </c>
      <c r="AH1748">
        <v>8.6331648514502692</v>
      </c>
      <c r="AI1748">
        <v>97.226087450575207</v>
      </c>
      <c r="AJ1748">
        <v>103.040172023398</v>
      </c>
      <c r="AK1748">
        <v>8.9326363374507594</v>
      </c>
      <c r="AL1748">
        <v>95.411359014427404</v>
      </c>
      <c r="AM1748">
        <v>105.410154496809</v>
      </c>
      <c r="AN1748">
        <v>0.99999995950339504</v>
      </c>
    </row>
    <row r="1749" spans="1:40" x14ac:dyDescent="0.25">
      <c r="A1749" t="str">
        <f>"20190305135617261"</f>
        <v>20190305135617261</v>
      </c>
      <c r="B1749" t="str">
        <f>"1551765377254190"</f>
        <v>1551765377254190</v>
      </c>
      <c r="C1749" t="s">
        <v>40</v>
      </c>
      <c r="D1749">
        <v>4.0518190000000001</v>
      </c>
      <c r="E1749">
        <v>0.51646819999999904</v>
      </c>
      <c r="F1749" t="s">
        <v>54</v>
      </c>
      <c r="G1749">
        <v>-487.35509999999999</v>
      </c>
      <c r="H1749" s="1">
        <v>1.8201360000000001E-6</v>
      </c>
      <c r="I1749">
        <v>276.07130000000001</v>
      </c>
      <c r="J1749">
        <v>-479.67849999999999</v>
      </c>
      <c r="K1749">
        <v>1.123988</v>
      </c>
      <c r="L1749">
        <v>281.07139999999998</v>
      </c>
      <c r="M1749">
        <v>-0.93924730000000001</v>
      </c>
      <c r="N1749">
        <v>-2.8474900000000001E-2</v>
      </c>
      <c r="O1749">
        <v>-0.34205799999999997</v>
      </c>
      <c r="P1749">
        <v>-0.80530829999999998</v>
      </c>
      <c r="Q1749">
        <v>-0.1092259</v>
      </c>
      <c r="R1749">
        <v>-0.5827078</v>
      </c>
      <c r="S1749">
        <v>-2.51593</v>
      </c>
      <c r="T1749">
        <v>-0.34904410000000002</v>
      </c>
      <c r="U1749">
        <v>-1.6011959999999901</v>
      </c>
      <c r="V1749">
        <v>-0.26903729999999998</v>
      </c>
      <c r="W1749">
        <v>-9.107883E-2</v>
      </c>
      <c r="X1749">
        <v>0.95881360000000004</v>
      </c>
      <c r="Y1749">
        <v>-0.2153197</v>
      </c>
      <c r="Z1749">
        <v>1.5311440000000001E-2</v>
      </c>
      <c r="AA1749">
        <v>0.97642359999999995</v>
      </c>
      <c r="AB1749">
        <v>46</v>
      </c>
      <c r="AC1749">
        <v>-7.6765999999999996</v>
      </c>
      <c r="AD1749">
        <v>-1.1239861798639901</v>
      </c>
      <c r="AE1749">
        <v>-5.0000999999999696</v>
      </c>
      <c r="AF1749">
        <v>-2.0406122988217299</v>
      </c>
      <c r="AG1749">
        <v>-1.1239861798639901</v>
      </c>
      <c r="AH1749">
        <v>8.7918327757803105</v>
      </c>
      <c r="AI1749">
        <v>97.098721011594506</v>
      </c>
      <c r="AJ1749">
        <v>103.067160503336</v>
      </c>
      <c r="AK1749">
        <v>9.0952606913662795</v>
      </c>
      <c r="AL1749">
        <v>95.2256745711435</v>
      </c>
      <c r="AM1749">
        <v>105.673798623425</v>
      </c>
      <c r="AN1749">
        <v>0.99999997080520897</v>
      </c>
    </row>
    <row r="1750" spans="1:40" x14ac:dyDescent="0.25">
      <c r="A1750" t="str">
        <f>"20190305135617284"</f>
        <v>20190305135617284</v>
      </c>
      <c r="B1750" t="str">
        <f>"1551765377273711"</f>
        <v>1551765377273711</v>
      </c>
      <c r="C1750" t="s">
        <v>40</v>
      </c>
      <c r="D1750">
        <v>4.069439</v>
      </c>
      <c r="E1750">
        <v>0.5174415</v>
      </c>
      <c r="F1750" t="s">
        <v>54</v>
      </c>
      <c r="G1750">
        <v>-487.87630000000001</v>
      </c>
      <c r="H1750" s="1">
        <v>1.773851E-6</v>
      </c>
      <c r="I1750">
        <v>275.67880000000002</v>
      </c>
      <c r="J1750">
        <v>-480.089</v>
      </c>
      <c r="K1750">
        <v>1.1243479999999999</v>
      </c>
      <c r="L1750">
        <v>280.91579999999999</v>
      </c>
      <c r="M1750">
        <v>-0.93458799999999997</v>
      </c>
      <c r="N1750">
        <v>-2.9044210000000001E-2</v>
      </c>
      <c r="O1750">
        <v>-0.35454400000000003</v>
      </c>
      <c r="P1750">
        <v>-0.7951471</v>
      </c>
      <c r="Q1750">
        <v>-0.1074929</v>
      </c>
      <c r="R1750">
        <v>-0.59681359999999894</v>
      </c>
      <c r="S1750">
        <v>-2.4925229999999998</v>
      </c>
      <c r="T1750">
        <v>-0.34174729999999998</v>
      </c>
      <c r="U1750">
        <v>-1.639618</v>
      </c>
      <c r="V1750">
        <v>-0.27306249999999999</v>
      </c>
      <c r="W1750">
        <v>-8.9179209999999995E-2</v>
      </c>
      <c r="X1750">
        <v>0.95785390000000004</v>
      </c>
      <c r="Y1750">
        <v>-0.21702689999999999</v>
      </c>
      <c r="Z1750">
        <v>1.548336E-2</v>
      </c>
      <c r="AA1750">
        <v>0.97604279999999999</v>
      </c>
      <c r="AB1750">
        <v>46</v>
      </c>
      <c r="AC1750">
        <v>-7.7873000000000099</v>
      </c>
      <c r="AD1750">
        <v>-1.12434622614899</v>
      </c>
      <c r="AE1750">
        <v>-5.2369999999999601</v>
      </c>
      <c r="AF1750">
        <v>-2.1041934307113599</v>
      </c>
      <c r="AG1750">
        <v>-1.12434622614899</v>
      </c>
      <c r="AH1750">
        <v>9.0092000718506</v>
      </c>
      <c r="AI1750">
        <v>96.929122788564001</v>
      </c>
      <c r="AJ1750">
        <v>103.146366282728</v>
      </c>
      <c r="AK1750">
        <v>9.3197355308365495</v>
      </c>
      <c r="AL1750">
        <v>95.116389017903401</v>
      </c>
      <c r="AM1750">
        <v>105.9116534258</v>
      </c>
      <c r="AN1750">
        <v>1.00000007707383</v>
      </c>
    </row>
    <row r="1751" spans="1:40" x14ac:dyDescent="0.25">
      <c r="A1751" t="str">
        <f>"20190305135617305"</f>
        <v>20190305135617305</v>
      </c>
      <c r="B1751" t="str">
        <f>"1551765377303966"</f>
        <v>1551765377303966</v>
      </c>
      <c r="C1751" t="s">
        <v>40</v>
      </c>
      <c r="D1751">
        <v>4.1221809999999897</v>
      </c>
      <c r="E1751">
        <v>0.52427860000000004</v>
      </c>
      <c r="F1751" t="s">
        <v>54</v>
      </c>
      <c r="G1751">
        <v>-488.27600000000001</v>
      </c>
      <c r="H1751" s="1">
        <v>1.748467E-6</v>
      </c>
      <c r="I1751">
        <v>275.35520000000002</v>
      </c>
      <c r="J1751">
        <v>-480.49400000000003</v>
      </c>
      <c r="K1751">
        <v>1.124692</v>
      </c>
      <c r="L1751">
        <v>280.75630000000001</v>
      </c>
      <c r="M1751">
        <v>-0.92959700000000001</v>
      </c>
      <c r="N1751">
        <v>-2.9548600000000001E-2</v>
      </c>
      <c r="O1751">
        <v>-0.36739149999999998</v>
      </c>
      <c r="P1751">
        <v>-0.78466990000000003</v>
      </c>
      <c r="Q1751">
        <v>-0.1063336</v>
      </c>
      <c r="R1751">
        <v>-0.6107262</v>
      </c>
      <c r="S1751">
        <v>-2.4685969999999999</v>
      </c>
      <c r="T1751">
        <v>-0.33901789999999998</v>
      </c>
      <c r="U1751">
        <v>-1.676636</v>
      </c>
      <c r="V1751">
        <v>-0.27664240000000001</v>
      </c>
      <c r="W1751">
        <v>-8.7900870000000006E-2</v>
      </c>
      <c r="X1751">
        <v>0.95694429999999997</v>
      </c>
      <c r="Y1751">
        <v>-0.21799789999999999</v>
      </c>
      <c r="Z1751">
        <v>1.6104569999999999E-2</v>
      </c>
      <c r="AA1751">
        <v>0.97581640000000003</v>
      </c>
      <c r="AB1751">
        <v>46</v>
      </c>
      <c r="AC1751">
        <v>-7.7819999999999796</v>
      </c>
      <c r="AD1751">
        <v>-1.124690251533</v>
      </c>
      <c r="AE1751">
        <v>-5.40109999999998</v>
      </c>
      <c r="AF1751">
        <v>-2.1326857420164802</v>
      </c>
      <c r="AG1751">
        <v>-1.124690251533</v>
      </c>
      <c r="AH1751">
        <v>9.0942677983913995</v>
      </c>
      <c r="AI1751">
        <v>96.865578783026095</v>
      </c>
      <c r="AJ1751">
        <v>103.19787696874801</v>
      </c>
      <c r="AK1751">
        <v>9.4084527646660607</v>
      </c>
      <c r="AL1751">
        <v>95.042857198462002</v>
      </c>
      <c r="AM1751">
        <v>106.124018214633</v>
      </c>
      <c r="AN1751">
        <v>0.999999986863503</v>
      </c>
    </row>
    <row r="1752" spans="1:40" x14ac:dyDescent="0.25">
      <c r="A1752" t="str">
        <f>"20190305135617329"</f>
        <v>20190305135617329</v>
      </c>
      <c r="B1752" t="str">
        <f>"1551765377323490"</f>
        <v>1551765377323490</v>
      </c>
      <c r="C1752" t="s">
        <v>40</v>
      </c>
      <c r="D1752">
        <v>4.1424479999999999</v>
      </c>
      <c r="E1752">
        <v>0.52450669999999899</v>
      </c>
      <c r="F1752" t="s">
        <v>54</v>
      </c>
      <c r="G1752">
        <v>-487.83879999999999</v>
      </c>
      <c r="H1752" s="1">
        <v>1.805211E-6</v>
      </c>
      <c r="I1752">
        <v>275.78629999999998</v>
      </c>
      <c r="J1752">
        <v>-480.91840000000002</v>
      </c>
      <c r="K1752">
        <v>1.1250309999999999</v>
      </c>
      <c r="L1752">
        <v>280.58280000000002</v>
      </c>
      <c r="M1752">
        <v>-0.92393890000000001</v>
      </c>
      <c r="N1752">
        <v>-3.0031660000000002E-2</v>
      </c>
      <c r="O1752">
        <v>-0.38135930000000001</v>
      </c>
      <c r="P1752">
        <v>-0.7724259</v>
      </c>
      <c r="Q1752">
        <v>-0.1045251</v>
      </c>
      <c r="R1752">
        <v>-0.62644469999999997</v>
      </c>
      <c r="S1752">
        <v>-2.4707340000000002</v>
      </c>
      <c r="T1752">
        <v>-0.37833909999999998</v>
      </c>
      <c r="U1752">
        <v>-1.671875</v>
      </c>
      <c r="V1752">
        <v>-0.28143570000000001</v>
      </c>
      <c r="W1752">
        <v>-8.6051340000000004E-2</v>
      </c>
      <c r="X1752">
        <v>0.95571390000000001</v>
      </c>
      <c r="Y1752">
        <v>-0.2017988</v>
      </c>
      <c r="Z1752">
        <v>2.1994300000000001E-2</v>
      </c>
      <c r="AA1752">
        <v>0.97918000000000005</v>
      </c>
      <c r="AB1752">
        <v>45</v>
      </c>
      <c r="AC1752">
        <v>-6.9203999999999697</v>
      </c>
      <c r="AD1752">
        <v>-1.1250291947890001</v>
      </c>
      <c r="AE1752">
        <v>-4.7965000000000302</v>
      </c>
      <c r="AF1752">
        <v>-1.7618697678878099</v>
      </c>
      <c r="AG1752">
        <v>-1.1250291947890001</v>
      </c>
      <c r="AH1752">
        <v>8.0826350742790201</v>
      </c>
      <c r="AI1752">
        <v>97.744561511441702</v>
      </c>
      <c r="AJ1752">
        <v>102.297092332764</v>
      </c>
      <c r="AK1752">
        <v>8.3485846412484808</v>
      </c>
      <c r="AL1752">
        <v>94.936483876663402</v>
      </c>
      <c r="AM1752">
        <v>106.408485185473</v>
      </c>
      <c r="AN1752">
        <v>0.99999997250174699</v>
      </c>
    </row>
    <row r="1753" spans="1:40" x14ac:dyDescent="0.25">
      <c r="A1753" t="str">
        <f>"20190305135617351"</f>
        <v>20190305135617351</v>
      </c>
      <c r="B1753" t="str">
        <f>"1551765377343986"</f>
        <v>1551765377343986</v>
      </c>
      <c r="C1753" t="s">
        <v>40</v>
      </c>
      <c r="D1753">
        <v>4.4504400000000004</v>
      </c>
      <c r="E1753">
        <v>0.52673570000000003</v>
      </c>
      <c r="F1753" t="s">
        <v>54</v>
      </c>
      <c r="G1753">
        <v>-487.9615</v>
      </c>
      <c r="H1753" s="1">
        <v>1.767844E-6</v>
      </c>
      <c r="I1753">
        <v>275.61900000000003</v>
      </c>
      <c r="J1753">
        <v>-481.32470000000001</v>
      </c>
      <c r="K1753">
        <v>1.1253230000000001</v>
      </c>
      <c r="L1753">
        <v>280.40940000000001</v>
      </c>
      <c r="M1753">
        <v>-0.91805639999999999</v>
      </c>
      <c r="N1753">
        <v>-3.0442230000000001E-2</v>
      </c>
      <c r="O1753">
        <v>-0.3952793</v>
      </c>
      <c r="P1753">
        <v>-0.75938119999999998</v>
      </c>
      <c r="Q1753">
        <v>-0.1028695</v>
      </c>
      <c r="R1753">
        <v>-0.6424628</v>
      </c>
      <c r="S1753">
        <v>-2.437805</v>
      </c>
      <c r="T1753">
        <v>-0.38939980000000002</v>
      </c>
      <c r="U1753">
        <v>-1.7180789999999999</v>
      </c>
      <c r="V1753">
        <v>-0.28687790000000002</v>
      </c>
      <c r="W1753">
        <v>-8.4440749999999995E-2</v>
      </c>
      <c r="X1753">
        <v>0.95423840000000004</v>
      </c>
      <c r="Y1753">
        <v>-0.20564760000000001</v>
      </c>
      <c r="Z1753">
        <v>2.4050519999999999E-2</v>
      </c>
      <c r="AA1753">
        <v>0.97833060000000005</v>
      </c>
      <c r="AB1753">
        <v>45</v>
      </c>
      <c r="AC1753">
        <v>-6.6367999999999903</v>
      </c>
      <c r="AD1753">
        <v>-1.12532123215599</v>
      </c>
      <c r="AE1753">
        <v>-4.7903999999999698</v>
      </c>
      <c r="AF1753">
        <v>-1.74235629685355</v>
      </c>
      <c r="AG1753">
        <v>-1.12532123215599</v>
      </c>
      <c r="AH1753">
        <v>7.84197597113263</v>
      </c>
      <c r="AI1753">
        <v>97.974314267117194</v>
      </c>
      <c r="AJ1753">
        <v>102.52668392956301</v>
      </c>
      <c r="AK1753">
        <v>8.1116422796217904</v>
      </c>
      <c r="AL1753">
        <v>94.843866360219906</v>
      </c>
      <c r="AM1753">
        <v>106.732641284588</v>
      </c>
      <c r="AN1753">
        <v>1.00000004690176</v>
      </c>
    </row>
    <row r="1754" spans="1:40" x14ac:dyDescent="0.25">
      <c r="A1754" t="str">
        <f>"20190305135617373"</f>
        <v>20190305135617373</v>
      </c>
      <c r="B1754" t="str">
        <f>"1551765377363503"</f>
        <v>1551765377363503</v>
      </c>
      <c r="C1754" t="s">
        <v>40</v>
      </c>
      <c r="D1754">
        <v>4.1100879999999904</v>
      </c>
      <c r="E1754">
        <v>0.52673570000000003</v>
      </c>
      <c r="F1754" t="s">
        <v>54</v>
      </c>
      <c r="G1754">
        <v>-488.32780000000002</v>
      </c>
      <c r="H1754" s="1">
        <v>1.746387E-6</v>
      </c>
      <c r="I1754">
        <v>275.31740000000002</v>
      </c>
      <c r="J1754">
        <v>-481.70359999999999</v>
      </c>
      <c r="K1754">
        <v>1.1255809999999999</v>
      </c>
      <c r="L1754">
        <v>280.24169999999998</v>
      </c>
      <c r="M1754">
        <v>-0.91213359999999999</v>
      </c>
      <c r="N1754">
        <v>-3.0736429999999999E-2</v>
      </c>
      <c r="O1754">
        <v>-0.40873910000000002</v>
      </c>
      <c r="P1754">
        <v>-0.74610240000000005</v>
      </c>
      <c r="Q1754">
        <v>-0.1032206</v>
      </c>
      <c r="R1754">
        <v>-0.65778179999999997</v>
      </c>
      <c r="S1754">
        <v>-2.4133909999999998</v>
      </c>
      <c r="T1754">
        <v>-0.38780819999999999</v>
      </c>
      <c r="U1754">
        <v>-1.7548220000000001</v>
      </c>
      <c r="V1754">
        <v>-0.29219339999999999</v>
      </c>
      <c r="W1754">
        <v>-8.4953169999999995E-2</v>
      </c>
      <c r="X1754">
        <v>0.95257860000000005</v>
      </c>
      <c r="Y1754">
        <v>-0.20574970000000001</v>
      </c>
      <c r="Z1754">
        <v>2.514694E-2</v>
      </c>
      <c r="AA1754">
        <v>0.97828150000000003</v>
      </c>
      <c r="AB1754">
        <v>44</v>
      </c>
      <c r="AC1754">
        <v>-6.6242000000000196</v>
      </c>
      <c r="AD1754">
        <v>-1.125579253613</v>
      </c>
      <c r="AE1754">
        <v>-4.9242999999999597</v>
      </c>
      <c r="AF1754">
        <v>-1.7523071182663701</v>
      </c>
      <c r="AG1754">
        <v>-1.125579253613</v>
      </c>
      <c r="AH1754">
        <v>7.9115918566218602</v>
      </c>
      <c r="AI1754">
        <v>97.907978020773498</v>
      </c>
      <c r="AJ1754">
        <v>102.488606039692</v>
      </c>
      <c r="AK1754">
        <v>8.1811242869581395</v>
      </c>
      <c r="AL1754">
        <v>94.873331935469906</v>
      </c>
      <c r="AM1754">
        <v>107.052840631572</v>
      </c>
      <c r="AN1754">
        <v>1.0000000066372801</v>
      </c>
    </row>
    <row r="1755" spans="1:40" x14ac:dyDescent="0.25">
      <c r="A1755" t="str">
        <f>"20190305135617395"</f>
        <v>20190305135617395</v>
      </c>
      <c r="B1755" t="str">
        <f>"1551765377384002"</f>
        <v>1551765377384002</v>
      </c>
      <c r="C1755" t="s">
        <v>40</v>
      </c>
      <c r="D1755">
        <v>4.0763550000000004</v>
      </c>
      <c r="E1755">
        <v>0.41501900000000003</v>
      </c>
      <c r="F1755" t="s">
        <v>54</v>
      </c>
      <c r="G1755">
        <v>-488.57479999999998</v>
      </c>
      <c r="H1755" s="1">
        <v>1.7171250000000001E-6</v>
      </c>
      <c r="I1755">
        <v>275.02679999999998</v>
      </c>
      <c r="J1755">
        <v>-482.09179999999998</v>
      </c>
      <c r="K1755">
        <v>1.125834</v>
      </c>
      <c r="L1755">
        <v>280.06310000000002</v>
      </c>
      <c r="M1755">
        <v>-0.90557160000000003</v>
      </c>
      <c r="N1755">
        <v>-3.089329E-2</v>
      </c>
      <c r="O1755">
        <v>-0.42306719999999998</v>
      </c>
      <c r="P1755">
        <v>-0.73164649999999998</v>
      </c>
      <c r="Q1755">
        <v>-0.105793</v>
      </c>
      <c r="R1755">
        <v>-0.6734251</v>
      </c>
      <c r="S1755">
        <v>-2.37677</v>
      </c>
      <c r="T1755">
        <v>-0.38934059999999998</v>
      </c>
      <c r="U1755">
        <v>-1.803833</v>
      </c>
      <c r="V1755">
        <v>-0.29731030000000003</v>
      </c>
      <c r="W1755">
        <v>-8.7853379999999995E-2</v>
      </c>
      <c r="X1755">
        <v>0.95073039999999998</v>
      </c>
      <c r="Y1755">
        <v>-0.2103952</v>
      </c>
      <c r="Z1755">
        <v>2.640779E-2</v>
      </c>
      <c r="AA1755">
        <v>0.97725969999999995</v>
      </c>
      <c r="AB1755">
        <v>44</v>
      </c>
      <c r="AC1755">
        <v>-6.4829999999999997</v>
      </c>
      <c r="AD1755">
        <v>-1.125832282875</v>
      </c>
      <c r="AE1755">
        <v>-5.0363000000000397</v>
      </c>
      <c r="AF1755">
        <v>-1.78527717629938</v>
      </c>
      <c r="AG1755">
        <v>-1.125832282875</v>
      </c>
      <c r="AH1755">
        <v>7.8575542218529302</v>
      </c>
      <c r="AI1755">
        <v>97.953836689853006</v>
      </c>
      <c r="AJ1755">
        <v>102.80058699953599</v>
      </c>
      <c r="AK1755">
        <v>8.1360845174283796</v>
      </c>
      <c r="AL1755">
        <v>95.040125779153499</v>
      </c>
      <c r="AM1755">
        <v>107.365391671335</v>
      </c>
      <c r="AN1755">
        <v>0.99999996217383602</v>
      </c>
    </row>
    <row r="1756" spans="1:40" x14ac:dyDescent="0.25">
      <c r="A1756" t="str">
        <f>"20190305135617419"</f>
        <v>20190305135617419</v>
      </c>
      <c r="B1756" t="str">
        <f>"1551765377413278"</f>
        <v>1551765377413278</v>
      </c>
      <c r="C1756" t="s">
        <v>40</v>
      </c>
      <c r="D1756">
        <v>3.9928409999999999</v>
      </c>
      <c r="E1756">
        <v>0.41370970000000001</v>
      </c>
      <c r="F1756" t="s">
        <v>43</v>
      </c>
      <c r="G1756">
        <v>-510.0804</v>
      </c>
      <c r="H1756">
        <v>-0.05</v>
      </c>
      <c r="I1756">
        <v>239.1559</v>
      </c>
      <c r="J1756">
        <v>-482.4871</v>
      </c>
      <c r="K1756">
        <v>1.1261019999999999</v>
      </c>
      <c r="L1756">
        <v>279.8741</v>
      </c>
      <c r="M1756">
        <v>-0.89836839999999996</v>
      </c>
      <c r="N1756">
        <v>-3.0894100000000001E-2</v>
      </c>
      <c r="O1756">
        <v>-0.43815500000000002</v>
      </c>
      <c r="P1756">
        <v>-0.71677740000000001</v>
      </c>
      <c r="Q1756">
        <v>-0.1069277</v>
      </c>
      <c r="R1756">
        <v>-0.68905509999999903</v>
      </c>
      <c r="S1756">
        <v>-1.74383499999999</v>
      </c>
      <c r="T1756">
        <v>-7.3260779999999998E-2</v>
      </c>
      <c r="U1756">
        <v>-2.548737</v>
      </c>
      <c r="V1756">
        <v>-0.3018557</v>
      </c>
      <c r="W1756">
        <v>-8.9466459999999998E-2</v>
      </c>
      <c r="X1756">
        <v>0.94914639999999995</v>
      </c>
      <c r="Y1756">
        <v>-0.49384929999999999</v>
      </c>
      <c r="Z1756">
        <v>-1.612005E-2</v>
      </c>
      <c r="AA1756">
        <v>0.86939809999999995</v>
      </c>
      <c r="AB1756">
        <v>44</v>
      </c>
      <c r="AC1756">
        <v>-27.593299999999999</v>
      </c>
      <c r="AD1756">
        <v>-1.176102</v>
      </c>
      <c r="AE1756">
        <v>-40.718200000000003</v>
      </c>
      <c r="AF1756">
        <v>-24.487496722133599</v>
      </c>
      <c r="AG1756">
        <v>-1.176102</v>
      </c>
      <c r="AH1756">
        <v>42.625819162162301</v>
      </c>
      <c r="AI1756">
        <v>91.370511168243695</v>
      </c>
      <c r="AJ1756">
        <v>119.876320148047</v>
      </c>
      <c r="AK1756">
        <v>49.172971954888702</v>
      </c>
      <c r="AL1756">
        <v>95.132913678743705</v>
      </c>
      <c r="AM1756">
        <v>107.642152121292</v>
      </c>
      <c r="AN1756">
        <v>0.99999999986018995</v>
      </c>
    </row>
    <row r="1757" spans="1:40" x14ac:dyDescent="0.25">
      <c r="A1757" t="str">
        <f>"20190305135617440"</f>
        <v>20190305135617440</v>
      </c>
      <c r="B1757" t="str">
        <f>"1551765377433777"</f>
        <v>1551765377433777</v>
      </c>
      <c r="C1757" t="s">
        <v>40</v>
      </c>
      <c r="D1757">
        <v>4.0162809999999904</v>
      </c>
      <c r="E1757">
        <v>0.4147941</v>
      </c>
      <c r="F1757" t="s">
        <v>50</v>
      </c>
      <c r="G1757">
        <v>-502.20549999999997</v>
      </c>
      <c r="H1757">
        <v>0.69594730000000005</v>
      </c>
      <c r="I1757">
        <v>249.42740000000001</v>
      </c>
      <c r="J1757">
        <v>-482.8655</v>
      </c>
      <c r="K1757">
        <v>1.1263510000000001</v>
      </c>
      <c r="L1757">
        <v>279.68619999999999</v>
      </c>
      <c r="M1757">
        <v>-0.89097209999999905</v>
      </c>
      <c r="N1757">
        <v>-3.074727E-2</v>
      </c>
      <c r="O1757">
        <v>-0.45301599999999997</v>
      </c>
      <c r="P1757">
        <v>-0.70237050000000001</v>
      </c>
      <c r="Q1757">
        <v>-0.107169899999999</v>
      </c>
      <c r="R1757">
        <v>-0.70369799999999905</v>
      </c>
      <c r="S1757">
        <v>-1.6824950000000001</v>
      </c>
      <c r="T1757">
        <v>-3.6703470000000002E-2</v>
      </c>
      <c r="U1757">
        <v>-2.5979000000000001</v>
      </c>
      <c r="V1757">
        <v>-0.30558459999999898</v>
      </c>
      <c r="W1757">
        <v>-9.0295790000000001E-2</v>
      </c>
      <c r="X1757">
        <v>0.94787379999999999</v>
      </c>
      <c r="Y1757">
        <v>-0.50161219999999995</v>
      </c>
      <c r="Z1757">
        <v>-1.8780709999999999E-2</v>
      </c>
      <c r="AA1757">
        <v>0.86488869999999896</v>
      </c>
      <c r="AB1757">
        <v>43</v>
      </c>
      <c r="AC1757">
        <v>-19.3399999999999</v>
      </c>
      <c r="AD1757">
        <v>-0.4304037</v>
      </c>
      <c r="AE1757">
        <v>-30.258799999999901</v>
      </c>
      <c r="AF1757">
        <v>-18.204409053192698</v>
      </c>
      <c r="AG1757">
        <v>-0.4304037</v>
      </c>
      <c r="AH1757">
        <v>30.949307804661</v>
      </c>
      <c r="AI1757">
        <v>90.686764041291795</v>
      </c>
      <c r="AJ1757">
        <v>120.46407857833699</v>
      </c>
      <c r="AK1757">
        <v>35.908848629670501</v>
      </c>
      <c r="AL1757">
        <v>95.180623848123503</v>
      </c>
      <c r="AM1757">
        <v>107.868778612683</v>
      </c>
      <c r="AN1757">
        <v>1.00000000908766</v>
      </c>
    </row>
    <row r="1758" spans="1:40" x14ac:dyDescent="0.25">
      <c r="A1758" t="str">
        <f>"20190305135617463"</f>
        <v>20190305135617463</v>
      </c>
      <c r="B1758" t="str">
        <f>"1551765377453294"</f>
        <v>1551765377453294</v>
      </c>
      <c r="C1758" t="s">
        <v>40</v>
      </c>
      <c r="D1758">
        <v>4.0016249999999998</v>
      </c>
      <c r="E1758">
        <v>0.41583680000000001</v>
      </c>
      <c r="F1758" t="s">
        <v>50</v>
      </c>
      <c r="G1758">
        <v>-501.93509999999998</v>
      </c>
      <c r="H1758">
        <v>0.69066989999999995</v>
      </c>
      <c r="I1758">
        <v>249.06180000000001</v>
      </c>
      <c r="J1758">
        <v>-483.23180000000002</v>
      </c>
      <c r="K1758">
        <v>1.1265889999999901</v>
      </c>
      <c r="L1758">
        <v>279.49700000000001</v>
      </c>
      <c r="M1758">
        <v>-0.88334489999999999</v>
      </c>
      <c r="N1758">
        <v>-3.0480239999999999E-2</v>
      </c>
      <c r="O1758">
        <v>-0.46773150000000002</v>
      </c>
      <c r="P1758">
        <v>-0.68891709999999995</v>
      </c>
      <c r="Q1758">
        <v>-0.1081298</v>
      </c>
      <c r="R1758">
        <v>-0.71672959999999997</v>
      </c>
      <c r="S1758">
        <v>-1.6350100000000001</v>
      </c>
      <c r="T1758">
        <v>-3.7354949999999998E-2</v>
      </c>
      <c r="U1758">
        <v>-2.625702</v>
      </c>
      <c r="V1758">
        <v>-0.30755650000000001</v>
      </c>
      <c r="W1758">
        <v>-9.1873029999999994E-2</v>
      </c>
      <c r="X1758">
        <v>0.94708409999999998</v>
      </c>
      <c r="Y1758">
        <v>-0.5026349</v>
      </c>
      <c r="Z1758">
        <v>-1.8756439999999999E-2</v>
      </c>
      <c r="AA1758">
        <v>0.86429529999999999</v>
      </c>
      <c r="AB1758">
        <v>43</v>
      </c>
      <c r="AC1758">
        <v>-18.703299999999899</v>
      </c>
      <c r="AD1758">
        <v>-0.435919099999999</v>
      </c>
      <c r="AE1758">
        <v>-30.435199999999998</v>
      </c>
      <c r="AF1758">
        <v>-18.1423852028867</v>
      </c>
      <c r="AG1758">
        <v>-0.435919099999999</v>
      </c>
      <c r="AH1758">
        <v>30.766682028282599</v>
      </c>
      <c r="AI1758">
        <v>90.699240792967302</v>
      </c>
      <c r="AJ1758">
        <v>120.526848020961</v>
      </c>
      <c r="AK1758">
        <v>35.720090836126403</v>
      </c>
      <c r="AL1758">
        <v>95.271370457839097</v>
      </c>
      <c r="AM1758">
        <v>107.99070924023199</v>
      </c>
      <c r="AN1758">
        <v>0.99999997340322</v>
      </c>
    </row>
    <row r="1759" spans="1:40" x14ac:dyDescent="0.25">
      <c r="A1759" t="str">
        <f>"20190305135617485"</f>
        <v>20190305135617485</v>
      </c>
      <c r="B1759" t="str">
        <f>"1551765377473791"</f>
        <v>1551765377473791</v>
      </c>
      <c r="C1759" t="s">
        <v>40</v>
      </c>
      <c r="D1759">
        <v>4.0057999999999998</v>
      </c>
      <c r="E1759">
        <v>0.41673650000000001</v>
      </c>
      <c r="F1759" t="s">
        <v>65</v>
      </c>
      <c r="G1759">
        <v>-512.82529999999997</v>
      </c>
      <c r="H1759">
        <v>0.32080789999999998</v>
      </c>
      <c r="I1759">
        <v>230.21080000000001</v>
      </c>
      <c r="J1759">
        <v>-483.59910000000002</v>
      </c>
      <c r="K1759">
        <v>1.1268</v>
      </c>
      <c r="L1759">
        <v>279.29989999999998</v>
      </c>
      <c r="M1759">
        <v>-0.8752318</v>
      </c>
      <c r="N1759">
        <v>-3.0101949999999999E-2</v>
      </c>
      <c r="O1759">
        <v>-0.48276629999999998</v>
      </c>
      <c r="P1759">
        <v>-0.67548079999999999</v>
      </c>
      <c r="Q1759">
        <v>-0.10961410000000001</v>
      </c>
      <c r="R1759">
        <v>-0.72918470000000002</v>
      </c>
      <c r="S1759">
        <v>-1.591064</v>
      </c>
      <c r="T1759">
        <v>-4.3318269999999999E-2</v>
      </c>
      <c r="U1759">
        <v>-2.6498110000000001</v>
      </c>
      <c r="V1759">
        <v>-0.30861609999999901</v>
      </c>
      <c r="W1759">
        <v>-9.4030520000000006E-2</v>
      </c>
      <c r="X1759">
        <v>0.94652749999999997</v>
      </c>
      <c r="Y1759">
        <v>-0.50182499999999997</v>
      </c>
      <c r="Z1759">
        <v>-1.8170329999999998E-2</v>
      </c>
      <c r="AA1759">
        <v>0.8647783</v>
      </c>
      <c r="AB1759">
        <v>43</v>
      </c>
      <c r="AC1759">
        <v>-29.226199999999899</v>
      </c>
      <c r="AD1759">
        <v>-0.80599209999999999</v>
      </c>
      <c r="AE1759">
        <v>-49.089099999999902</v>
      </c>
      <c r="AF1759">
        <v>-28.8622525050083</v>
      </c>
      <c r="AG1759">
        <v>-0.80599209999999999</v>
      </c>
      <c r="AH1759">
        <v>49.2907904870831</v>
      </c>
      <c r="AI1759">
        <v>90.808429037952607</v>
      </c>
      <c r="AJ1759">
        <v>120.351132517181</v>
      </c>
      <c r="AK1759">
        <v>57.124961879809099</v>
      </c>
      <c r="AL1759">
        <v>95.395523069363406</v>
      </c>
      <c r="AM1759">
        <v>108.05860222147</v>
      </c>
      <c r="AN1759">
        <v>0.99999997206346403</v>
      </c>
    </row>
    <row r="1760" spans="1:40" x14ac:dyDescent="0.25">
      <c r="A1760" t="str">
        <f>"20190305135617507"</f>
        <v>20190305135617507</v>
      </c>
      <c r="B1760" t="str">
        <f>"1551765377504047"</f>
        <v>1551765377504047</v>
      </c>
      <c r="C1760" t="s">
        <v>40</v>
      </c>
      <c r="D1760">
        <v>4.1704100000000004</v>
      </c>
      <c r="E1760">
        <v>0.4178152</v>
      </c>
      <c r="F1760" t="s">
        <v>65</v>
      </c>
      <c r="G1760">
        <v>-512.8252</v>
      </c>
      <c r="H1760">
        <v>0.17090259999999999</v>
      </c>
      <c r="I1760">
        <v>228.82040000000001</v>
      </c>
      <c r="J1760">
        <v>-483.96769999999998</v>
      </c>
      <c r="K1760">
        <v>1.127006</v>
      </c>
      <c r="L1760">
        <v>279.09449999999998</v>
      </c>
      <c r="M1760">
        <v>-0.86661669999999902</v>
      </c>
      <c r="N1760">
        <v>-2.9622869999999999E-2</v>
      </c>
      <c r="O1760">
        <v>-0.49809419999999999</v>
      </c>
      <c r="P1760">
        <v>-0.66236169999999905</v>
      </c>
      <c r="Q1760">
        <v>-0.1106393</v>
      </c>
      <c r="R1760">
        <v>-0.74096949999999995</v>
      </c>
      <c r="S1760">
        <v>-1.5475460000000001</v>
      </c>
      <c r="T1760">
        <v>-5.0611730000000001E-2</v>
      </c>
      <c r="U1760">
        <v>-2.6729129999999999</v>
      </c>
      <c r="V1760">
        <v>-0.30858869999999999</v>
      </c>
      <c r="W1760">
        <v>-9.5751680000000006E-2</v>
      </c>
      <c r="X1760">
        <v>0.94636390000000004</v>
      </c>
      <c r="Y1760">
        <v>-0.5003514</v>
      </c>
      <c r="Z1760">
        <v>-1.729959E-2</v>
      </c>
      <c r="AA1760">
        <v>0.86564959999999902</v>
      </c>
      <c r="AB1760">
        <v>43</v>
      </c>
      <c r="AC1760">
        <v>-28.857500000000002</v>
      </c>
      <c r="AD1760">
        <v>-0.95610340000000005</v>
      </c>
      <c r="AE1760">
        <v>-50.274099999999898</v>
      </c>
      <c r="AF1760">
        <v>-29.199497670603101</v>
      </c>
      <c r="AG1760">
        <v>-0.95610340000000005</v>
      </c>
      <c r="AH1760">
        <v>50.057988884943001</v>
      </c>
      <c r="AI1760">
        <v>90.945194204542005</v>
      </c>
      <c r="AJ1760">
        <v>120.25558671077199</v>
      </c>
      <c r="AK1760">
        <v>57.9597019413672</v>
      </c>
      <c r="AL1760">
        <v>95.494585133840204</v>
      </c>
      <c r="AM1760">
        <v>108.060021888714</v>
      </c>
      <c r="AN1760">
        <v>1.0000000006068599</v>
      </c>
    </row>
    <row r="1761" spans="1:40" x14ac:dyDescent="0.25">
      <c r="A1761" t="str">
        <f>"20190305135617531"</f>
        <v>20190305135617531</v>
      </c>
      <c r="B1761" t="str">
        <f>"1551765377523570"</f>
        <v>1551765377523570</v>
      </c>
      <c r="C1761" t="s">
        <v>40</v>
      </c>
      <c r="D1761">
        <v>4.0216770000000004</v>
      </c>
      <c r="E1761">
        <v>0.41912129999999997</v>
      </c>
      <c r="F1761" t="s">
        <v>65</v>
      </c>
      <c r="G1761">
        <v>-512.82510000000002</v>
      </c>
      <c r="H1761">
        <v>1.0327039999999999E-2</v>
      </c>
      <c r="I1761">
        <v>227.49719999999999</v>
      </c>
      <c r="J1761">
        <v>-484.34059999999999</v>
      </c>
      <c r="K1761">
        <v>1.1271850000000001</v>
      </c>
      <c r="L1761">
        <v>278.87799999999999</v>
      </c>
      <c r="M1761">
        <v>-0.85741309999999904</v>
      </c>
      <c r="N1761">
        <v>-2.905889E-2</v>
      </c>
      <c r="O1761">
        <v>-0.51380800000000004</v>
      </c>
      <c r="P1761">
        <v>-0.64997519999999998</v>
      </c>
      <c r="Q1761">
        <v>-0.1096594</v>
      </c>
      <c r="R1761">
        <v>-0.75200239999999996</v>
      </c>
      <c r="S1761">
        <v>-1.5064090000000001</v>
      </c>
      <c r="T1761">
        <v>-5.8288810000000003E-2</v>
      </c>
      <c r="U1761">
        <v>-2.693451</v>
      </c>
      <c r="V1761">
        <v>-0.30713400000000002</v>
      </c>
      <c r="W1761">
        <v>-9.5442230000000003E-2</v>
      </c>
      <c r="X1761">
        <v>0.94686820000000005</v>
      </c>
      <c r="Y1761">
        <v>-0.49741580000000002</v>
      </c>
      <c r="Z1761">
        <v>-1.6189720000000001E-2</v>
      </c>
      <c r="AA1761">
        <v>0.86736119999999906</v>
      </c>
      <c r="AB1761">
        <v>42</v>
      </c>
      <c r="AC1761">
        <v>-28.484500000000001</v>
      </c>
      <c r="AD1761">
        <v>-1.1168579599999999</v>
      </c>
      <c r="AE1761">
        <v>-51.380800000000001</v>
      </c>
      <c r="AF1761">
        <v>-29.420798287633001</v>
      </c>
      <c r="AG1761">
        <v>-1.1168579599999999</v>
      </c>
      <c r="AH1761">
        <v>50.825944018864703</v>
      </c>
      <c r="AI1761">
        <v>91.089508057447503</v>
      </c>
      <c r="AJ1761">
        <v>120.064573707219</v>
      </c>
      <c r="AK1761">
        <v>58.737614260311702</v>
      </c>
      <c r="AL1761">
        <v>95.476773653348999</v>
      </c>
      <c r="AM1761">
        <v>107.971417973473</v>
      </c>
      <c r="AN1761">
        <v>0.99999995069730496</v>
      </c>
    </row>
    <row r="1762" spans="1:40" x14ac:dyDescent="0.25">
      <c r="A1762" t="str">
        <f>"20190305135617551"</f>
        <v>20190305135617551</v>
      </c>
      <c r="B1762" t="str">
        <f>"1551765377544062"</f>
        <v>1551765377544062</v>
      </c>
      <c r="C1762" t="s">
        <v>40</v>
      </c>
      <c r="D1762">
        <v>4.0340740000000004</v>
      </c>
      <c r="E1762">
        <v>0.4202456</v>
      </c>
      <c r="F1762" t="s">
        <v>65</v>
      </c>
      <c r="G1762">
        <v>-512.82510000000002</v>
      </c>
      <c r="H1762">
        <v>-1.684189E-3</v>
      </c>
      <c r="I1762">
        <v>226.29810000000001</v>
      </c>
      <c r="J1762">
        <v>-484.67079999999999</v>
      </c>
      <c r="K1762">
        <v>1.1273169999999999</v>
      </c>
      <c r="L1762">
        <v>278.67869999999999</v>
      </c>
      <c r="M1762">
        <v>-0.84886689999999998</v>
      </c>
      <c r="N1762">
        <v>-2.8520819999999999E-2</v>
      </c>
      <c r="O1762">
        <v>-0.52783690000000005</v>
      </c>
      <c r="P1762">
        <v>-0.63881100000000002</v>
      </c>
      <c r="Q1762">
        <v>-0.109047699999999</v>
      </c>
      <c r="R1762">
        <v>-0.76159670000000002</v>
      </c>
      <c r="S1762">
        <v>-1.468842</v>
      </c>
      <c r="T1762">
        <v>-5.8207870000000002E-2</v>
      </c>
      <c r="U1762">
        <v>-2.7113339999999999</v>
      </c>
      <c r="V1762">
        <v>-0.30557610000000002</v>
      </c>
      <c r="W1762">
        <v>-9.5423149999999998E-2</v>
      </c>
      <c r="X1762">
        <v>0.9473741</v>
      </c>
      <c r="Y1762">
        <v>-0.49484410000000001</v>
      </c>
      <c r="Z1762">
        <v>-1.57565E-2</v>
      </c>
      <c r="AA1762">
        <v>0.86883889999999997</v>
      </c>
      <c r="AB1762">
        <v>42</v>
      </c>
      <c r="AC1762">
        <v>-28.154299999999999</v>
      </c>
      <c r="AD1762">
        <v>-1.12900118899999</v>
      </c>
      <c r="AE1762">
        <v>-52.380599999999902</v>
      </c>
      <c r="AF1762">
        <v>-29.604652456639201</v>
      </c>
      <c r="AG1762">
        <v>-1.12900118899999</v>
      </c>
      <c r="AH1762">
        <v>51.550058273713098</v>
      </c>
      <c r="AI1762">
        <v>91.088030674835494</v>
      </c>
      <c r="AJ1762">
        <v>119.868294856771</v>
      </c>
      <c r="AK1762">
        <v>59.456863344666701</v>
      </c>
      <c r="AL1762">
        <v>95.475675123263201</v>
      </c>
      <c r="AM1762">
        <v>107.87713822581</v>
      </c>
      <c r="AN1762">
        <v>1.0000000078989699</v>
      </c>
    </row>
    <row r="1763" spans="1:40" x14ac:dyDescent="0.25">
      <c r="A1763" t="str">
        <f>"20190305135617574"</f>
        <v>20190305135617574</v>
      </c>
      <c r="B1763" t="str">
        <f>"1551765377563583"</f>
        <v>1551765377563583</v>
      </c>
      <c r="C1763" t="s">
        <v>40</v>
      </c>
      <c r="D1763">
        <v>4.0263</v>
      </c>
      <c r="E1763">
        <v>0.42144150000000002</v>
      </c>
      <c r="F1763" t="s">
        <v>65</v>
      </c>
      <c r="G1763">
        <v>-512.82510000000002</v>
      </c>
      <c r="H1763">
        <v>-1.4393E-2</v>
      </c>
      <c r="I1763">
        <v>225.18459999999999</v>
      </c>
      <c r="J1763">
        <v>-485.01819999999998</v>
      </c>
      <c r="K1763">
        <v>1.1274249999999999</v>
      </c>
      <c r="L1763">
        <v>278.46109999999999</v>
      </c>
      <c r="M1763">
        <v>-0.83948040000000002</v>
      </c>
      <c r="N1763">
        <v>-2.7945640000000001E-2</v>
      </c>
      <c r="O1763">
        <v>-0.54267109999999996</v>
      </c>
      <c r="P1763">
        <v>-0.62628379999999995</v>
      </c>
      <c r="Q1763">
        <v>-0.10880049999999999</v>
      </c>
      <c r="R1763">
        <v>-0.77196589999999998</v>
      </c>
      <c r="S1763">
        <v>-1.435211</v>
      </c>
      <c r="T1763">
        <v>-5.8196779999999997E-2</v>
      </c>
      <c r="U1763">
        <v>-2.7269290000000002</v>
      </c>
      <c r="V1763">
        <v>-0.30439139999999998</v>
      </c>
      <c r="W1763">
        <v>-9.5805420000000002E-2</v>
      </c>
      <c r="X1763">
        <v>0.94771680000000003</v>
      </c>
      <c r="Y1763">
        <v>-0.49001850000000002</v>
      </c>
      <c r="Z1763">
        <v>-1.522154E-2</v>
      </c>
      <c r="AA1763">
        <v>0.87157909999999905</v>
      </c>
      <c r="AB1763">
        <v>42</v>
      </c>
      <c r="AC1763">
        <v>-27.806899999999999</v>
      </c>
      <c r="AD1763">
        <v>-1.141818</v>
      </c>
      <c r="AE1763">
        <v>-53.276499999999999</v>
      </c>
      <c r="AF1763">
        <v>-29.635453627841098</v>
      </c>
      <c r="AG1763">
        <v>-1.141818</v>
      </c>
      <c r="AH1763">
        <v>52.256511007489998</v>
      </c>
      <c r="AI1763">
        <v>91.088863913080303</v>
      </c>
      <c r="AJ1763">
        <v>119.558224443345</v>
      </c>
      <c r="AK1763">
        <v>60.085828634953302</v>
      </c>
      <c r="AL1763">
        <v>95.497678610038804</v>
      </c>
      <c r="AM1763">
        <v>107.806183307005</v>
      </c>
      <c r="AN1763">
        <v>0.99999996794878698</v>
      </c>
    </row>
    <row r="1764" spans="1:40" x14ac:dyDescent="0.25">
      <c r="A1764" t="str">
        <f>"20190305135617596"</f>
        <v>20190305135617596</v>
      </c>
      <c r="B1764" t="str">
        <f>"1551765377593838"</f>
        <v>1551765377593838</v>
      </c>
      <c r="C1764" t="s">
        <v>40</v>
      </c>
      <c r="D1764">
        <v>4.0274679999999998</v>
      </c>
      <c r="E1764">
        <v>0.42325810000000003</v>
      </c>
      <c r="F1764" t="s">
        <v>65</v>
      </c>
      <c r="G1764">
        <v>-512.82510000000002</v>
      </c>
      <c r="H1764">
        <v>-3.4773650000000003E-2</v>
      </c>
      <c r="I1764">
        <v>223.8321</v>
      </c>
      <c r="J1764">
        <v>-485.36079999999998</v>
      </c>
      <c r="K1764">
        <v>1.127505</v>
      </c>
      <c r="L1764">
        <v>278.23840000000001</v>
      </c>
      <c r="M1764">
        <v>-0.82983830000000003</v>
      </c>
      <c r="N1764">
        <v>-2.739026E-2</v>
      </c>
      <c r="O1764">
        <v>-0.55733140000000003</v>
      </c>
      <c r="P1764">
        <v>-0.61392409999999997</v>
      </c>
      <c r="Q1764">
        <v>-0.10865569999999999</v>
      </c>
      <c r="R1764">
        <v>-0.78185119999999997</v>
      </c>
      <c r="S1764">
        <v>-1.3970340000000001</v>
      </c>
      <c r="T1764">
        <v>-5.8385729999999997E-2</v>
      </c>
      <c r="U1764">
        <v>-2.7445680000000001</v>
      </c>
      <c r="V1764">
        <v>-0.30280119999999999</v>
      </c>
      <c r="W1764">
        <v>-9.6221810000000005E-2</v>
      </c>
      <c r="X1764">
        <v>0.94818400000000003</v>
      </c>
      <c r="Y1764">
        <v>-0.4866084</v>
      </c>
      <c r="Z1764">
        <v>-1.470021E-2</v>
      </c>
      <c r="AA1764">
        <v>0.87349650000000001</v>
      </c>
      <c r="AB1764">
        <v>42</v>
      </c>
      <c r="AC1764">
        <v>-27.464300000000001</v>
      </c>
      <c r="AD1764">
        <v>-1.16227865</v>
      </c>
      <c r="AE1764">
        <v>-54.406300000000002</v>
      </c>
      <c r="AF1764">
        <v>-29.8420597977357</v>
      </c>
      <c r="AG1764">
        <v>-1.16227865</v>
      </c>
      <c r="AH1764">
        <v>53.113881529398199</v>
      </c>
      <c r="AI1764">
        <v>91.092943475325399</v>
      </c>
      <c r="AJ1764">
        <v>119.32947570678</v>
      </c>
      <c r="AK1764">
        <v>60.934258309680203</v>
      </c>
      <c r="AL1764">
        <v>95.521646274792701</v>
      </c>
      <c r="AM1764">
        <v>107.71080776777799</v>
      </c>
      <c r="AN1764">
        <v>1.00000005064855</v>
      </c>
    </row>
    <row r="1765" spans="1:40" x14ac:dyDescent="0.25">
      <c r="A1765" t="str">
        <f>"20190305135617619"</f>
        <v>20190305135617619</v>
      </c>
      <c r="B1765" t="str">
        <f>"1551765377613358"</f>
        <v>1551765377613358</v>
      </c>
      <c r="C1765" t="s">
        <v>40</v>
      </c>
      <c r="D1765">
        <v>4.4538120000000001</v>
      </c>
      <c r="E1765">
        <v>0.42378759999999999</v>
      </c>
      <c r="F1765" t="s">
        <v>43</v>
      </c>
      <c r="G1765">
        <v>-512.81240000000003</v>
      </c>
      <c r="H1765">
        <v>-0.05</v>
      </c>
      <c r="I1765">
        <v>222.74940000000001</v>
      </c>
      <c r="J1765">
        <v>-485.7038</v>
      </c>
      <c r="K1765">
        <v>1.1275839999999999</v>
      </c>
      <c r="L1765">
        <v>278.00700000000001</v>
      </c>
      <c r="M1765">
        <v>-0.81980259999999905</v>
      </c>
      <c r="N1765">
        <v>-2.686069E-2</v>
      </c>
      <c r="O1765">
        <v>-0.57201599999999997</v>
      </c>
      <c r="P1765">
        <v>-0.6016224</v>
      </c>
      <c r="Q1765">
        <v>-0.1091732</v>
      </c>
      <c r="R1765">
        <v>-0.79128520000000002</v>
      </c>
      <c r="S1765">
        <v>-1.3642879999999999</v>
      </c>
      <c r="T1765">
        <v>-5.8519599999999998E-2</v>
      </c>
      <c r="U1765">
        <v>-2.7576900000000002</v>
      </c>
      <c r="V1765">
        <v>-0.30063289999999998</v>
      </c>
      <c r="W1765">
        <v>-9.7224160000000004E-2</v>
      </c>
      <c r="X1765">
        <v>0.94877149999999999</v>
      </c>
      <c r="Y1765">
        <v>-0.48103990000000002</v>
      </c>
      <c r="Z1765">
        <v>-1.413706E-2</v>
      </c>
      <c r="AA1765">
        <v>0.87658469999999999</v>
      </c>
      <c r="AB1765">
        <v>42</v>
      </c>
      <c r="AC1765">
        <v>-27.108599999999999</v>
      </c>
      <c r="AD1765">
        <v>-1.177584</v>
      </c>
      <c r="AE1765">
        <v>-55.257599999999996</v>
      </c>
      <c r="AF1765">
        <v>-29.793617544905601</v>
      </c>
      <c r="AG1765">
        <v>-1.177584</v>
      </c>
      <c r="AH1765">
        <v>53.831654435147499</v>
      </c>
      <c r="AI1765">
        <v>91.096476931935896</v>
      </c>
      <c r="AJ1765">
        <v>118.962732889797</v>
      </c>
      <c r="AK1765">
        <v>61.537739393922301</v>
      </c>
      <c r="AL1765">
        <v>95.5793474188945</v>
      </c>
      <c r="AM1765">
        <v>107.581609158676</v>
      </c>
      <c r="AN1765">
        <v>1.0000000185311799</v>
      </c>
    </row>
    <row r="1766" spans="1:40" x14ac:dyDescent="0.25">
      <c r="A1766" t="str">
        <f>"20190305135617642"</f>
        <v>20190305135617642</v>
      </c>
      <c r="B1766" t="str">
        <f>"1551765377633858"</f>
        <v>1551765377633858</v>
      </c>
      <c r="C1766" t="s">
        <v>40</v>
      </c>
      <c r="D1766">
        <v>3.9785149999999998</v>
      </c>
      <c r="E1766">
        <v>0.42482429999999899</v>
      </c>
      <c r="F1766" t="s">
        <v>43</v>
      </c>
      <c r="G1766">
        <v>-512.14649999999995</v>
      </c>
      <c r="H1766">
        <v>-0.05</v>
      </c>
      <c r="I1766">
        <v>222.61250000000001</v>
      </c>
      <c r="J1766">
        <v>-486.04149999999998</v>
      </c>
      <c r="K1766">
        <v>1.1276520000000001</v>
      </c>
      <c r="L1766">
        <v>277.77069999999998</v>
      </c>
      <c r="M1766">
        <v>-0.80954569999999904</v>
      </c>
      <c r="N1766">
        <v>-2.6374580000000002E-2</v>
      </c>
      <c r="O1766">
        <v>-0.58646430000000005</v>
      </c>
      <c r="P1766">
        <v>-0.59038190000000002</v>
      </c>
      <c r="Q1766">
        <v>-0.1080739</v>
      </c>
      <c r="R1766">
        <v>-0.79985580000000001</v>
      </c>
      <c r="S1766">
        <v>-1.3250120000000001</v>
      </c>
      <c r="T1766">
        <v>-5.9007410000000003E-2</v>
      </c>
      <c r="U1766">
        <v>-2.775757</v>
      </c>
      <c r="V1766">
        <v>-0.29735909999999999</v>
      </c>
      <c r="W1766">
        <v>-9.6481490000000003E-2</v>
      </c>
      <c r="X1766">
        <v>0.94987829999999995</v>
      </c>
      <c r="Y1766">
        <v>-0.47781990000000002</v>
      </c>
      <c r="Z1766">
        <v>-1.360887E-2</v>
      </c>
      <c r="AA1766">
        <v>0.87835239999999903</v>
      </c>
      <c r="AB1766">
        <v>41</v>
      </c>
      <c r="AC1766">
        <v>-26.104999999999901</v>
      </c>
      <c r="AD1766">
        <v>-1.1776519999999999</v>
      </c>
      <c r="AE1766">
        <v>-55.158199999999901</v>
      </c>
      <c r="AF1766">
        <v>-29.342712992739202</v>
      </c>
      <c r="AG1766">
        <v>-1.1776519999999999</v>
      </c>
      <c r="AH1766">
        <v>53.4801932188889</v>
      </c>
      <c r="AI1766">
        <v>91.105983074513404</v>
      </c>
      <c r="AJ1766">
        <v>118.752037504765</v>
      </c>
      <c r="AK1766">
        <v>61.012398221484901</v>
      </c>
      <c r="AL1766">
        <v>95.536594957466406</v>
      </c>
      <c r="AM1766">
        <v>107.382712618496</v>
      </c>
      <c r="AN1766">
        <v>0.99999994853815799</v>
      </c>
    </row>
    <row r="1767" spans="1:40" x14ac:dyDescent="0.25">
      <c r="A1767" t="str">
        <f>"20190305135617664"</f>
        <v>20190305135617664</v>
      </c>
      <c r="B1767" t="str">
        <f>"1551765377653882"</f>
        <v>1551765377653882</v>
      </c>
      <c r="C1767" t="s">
        <v>40</v>
      </c>
      <c r="D1767">
        <v>3.9616159999999998</v>
      </c>
      <c r="E1767">
        <v>0.42575649999999998</v>
      </c>
      <c r="F1767" t="s">
        <v>65</v>
      </c>
      <c r="G1767">
        <v>-511.95859999999999</v>
      </c>
      <c r="H1767">
        <v>5.1232699999999999E-2</v>
      </c>
      <c r="I1767">
        <v>221.8613</v>
      </c>
      <c r="J1767">
        <v>-486.36040000000003</v>
      </c>
      <c r="K1767">
        <v>1.12771</v>
      </c>
      <c r="L1767">
        <v>277.5394</v>
      </c>
      <c r="M1767">
        <v>-0.79950719999999997</v>
      </c>
      <c r="N1767">
        <v>-2.595302E-2</v>
      </c>
      <c r="O1767">
        <v>-0.60009579999999996</v>
      </c>
      <c r="P1767">
        <v>-0.57868699999999995</v>
      </c>
      <c r="Q1767">
        <v>-0.1074702</v>
      </c>
      <c r="R1767">
        <v>-0.80843790000000004</v>
      </c>
      <c r="S1767">
        <v>-1.2929079999999999</v>
      </c>
      <c r="T1767">
        <v>-5.369496E-2</v>
      </c>
      <c r="U1767">
        <v>-2.7890929999999998</v>
      </c>
      <c r="V1767">
        <v>-0.29515249999999998</v>
      </c>
      <c r="W1767">
        <v>-9.6212699999999998E-2</v>
      </c>
      <c r="X1767">
        <v>0.95059349999999998</v>
      </c>
      <c r="Y1767">
        <v>-0.4728868</v>
      </c>
      <c r="Z1767">
        <v>-1.382922E-2</v>
      </c>
      <c r="AA1767">
        <v>0.88101459999999998</v>
      </c>
      <c r="AB1767">
        <v>41</v>
      </c>
      <c r="AC1767">
        <v>-25.598199999999899</v>
      </c>
      <c r="AD1767">
        <v>-1.0764773000000001</v>
      </c>
      <c r="AE1767">
        <v>-55.678100000000001</v>
      </c>
      <c r="AF1767">
        <v>-29.154492205746099</v>
      </c>
      <c r="AG1767">
        <v>-1.0764773000000001</v>
      </c>
      <c r="AH1767">
        <v>53.879659544375301</v>
      </c>
      <c r="AI1767">
        <v>91.006684566728396</v>
      </c>
      <c r="AJ1767">
        <v>118.417991638115</v>
      </c>
      <c r="AK1767">
        <v>61.271208016246298</v>
      </c>
      <c r="AL1767">
        <v>95.521122478589007</v>
      </c>
      <c r="AM1767">
        <v>107.24919587634599</v>
      </c>
      <c r="AN1767">
        <v>0.99999994206989296</v>
      </c>
    </row>
    <row r="1768" spans="1:40" x14ac:dyDescent="0.25">
      <c r="A1768" t="str">
        <f>"20190305135617687"</f>
        <v>20190305135617687</v>
      </c>
      <c r="B1768" t="str">
        <f>"1551765377684138"</f>
        <v>1551765377684138</v>
      </c>
      <c r="C1768" t="s">
        <v>40</v>
      </c>
      <c r="D1768">
        <v>3.97892</v>
      </c>
      <c r="E1768">
        <v>0.42697390000000002</v>
      </c>
      <c r="F1768" t="s">
        <v>65</v>
      </c>
      <c r="G1768">
        <v>-511.95859999999999</v>
      </c>
      <c r="H1768">
        <v>0.12540950000000001</v>
      </c>
      <c r="I1768">
        <v>220.52699999999999</v>
      </c>
      <c r="J1768">
        <v>-486.68150000000003</v>
      </c>
      <c r="K1768">
        <v>1.1277459999999999</v>
      </c>
      <c r="L1768">
        <v>277.298</v>
      </c>
      <c r="M1768">
        <v>-0.78904289999999999</v>
      </c>
      <c r="N1768">
        <v>-2.5572580000000001E-2</v>
      </c>
      <c r="O1768">
        <v>-0.61380579999999996</v>
      </c>
      <c r="P1768">
        <v>-0.5655599</v>
      </c>
      <c r="Q1768">
        <v>-0.1063844</v>
      </c>
      <c r="R1768">
        <v>-0.81781740000000003</v>
      </c>
      <c r="S1768">
        <v>-1.2586980000000001</v>
      </c>
      <c r="T1768">
        <v>-4.928076E-2</v>
      </c>
      <c r="U1768">
        <v>-2.8033450000000002</v>
      </c>
      <c r="V1768">
        <v>-0.29423549999999998</v>
      </c>
      <c r="W1768">
        <v>-9.5476599999999995E-2</v>
      </c>
      <c r="X1768">
        <v>0.95095200000000002</v>
      </c>
      <c r="Y1768">
        <v>-0.46832109999999899</v>
      </c>
      <c r="Z1768">
        <v>-1.402543E-2</v>
      </c>
      <c r="AA1768">
        <v>0.88344709999999904</v>
      </c>
      <c r="AB1768">
        <v>41</v>
      </c>
      <c r="AC1768">
        <v>-25.277099999999901</v>
      </c>
      <c r="AD1768">
        <v>-1.0023365</v>
      </c>
      <c r="AE1768">
        <v>-56.771000000000001</v>
      </c>
      <c r="AF1768">
        <v>-29.2814815492066</v>
      </c>
      <c r="AG1768">
        <v>-1.0023365</v>
      </c>
      <c r="AH1768">
        <v>54.794748750339799</v>
      </c>
      <c r="AI1768">
        <v>90.924298359282204</v>
      </c>
      <c r="AJ1768">
        <v>118.11937026077101</v>
      </c>
      <c r="AK1768">
        <v>62.135934295612103</v>
      </c>
      <c r="AL1768">
        <v>95.478751626188895</v>
      </c>
      <c r="AM1768">
        <v>107.192669603407</v>
      </c>
      <c r="AN1768">
        <v>1.0000000084559</v>
      </c>
    </row>
    <row r="1769" spans="1:40" x14ac:dyDescent="0.25">
      <c r="A1769" t="str">
        <f>"20190305135617711"</f>
        <v>20190305135617711</v>
      </c>
      <c r="B1769" t="str">
        <f>"1551765377703661"</f>
        <v>1551765377703661</v>
      </c>
      <c r="C1769" t="s">
        <v>40</v>
      </c>
      <c r="D1769">
        <v>3.981557</v>
      </c>
      <c r="E1769">
        <v>0.4278516</v>
      </c>
      <c r="F1769" t="s">
        <v>65</v>
      </c>
      <c r="G1769">
        <v>-511.95870000000002</v>
      </c>
      <c r="H1769">
        <v>0.15832160000000001</v>
      </c>
      <c r="I1769">
        <v>218.91929999999999</v>
      </c>
      <c r="J1769">
        <v>-487.01819999999998</v>
      </c>
      <c r="K1769">
        <v>1.127775</v>
      </c>
      <c r="L1769">
        <v>277.03530000000001</v>
      </c>
      <c r="M1769">
        <v>-0.77767519999999901</v>
      </c>
      <c r="N1769">
        <v>-2.5231489999999999E-2</v>
      </c>
      <c r="O1769">
        <v>-0.6281601</v>
      </c>
      <c r="P1769">
        <v>-0.54987649999999999</v>
      </c>
      <c r="Q1769">
        <v>-0.1052278</v>
      </c>
      <c r="R1769">
        <v>-0.82859099999999997</v>
      </c>
      <c r="S1769">
        <v>-1.2203059999999999</v>
      </c>
      <c r="T1769">
        <v>-4.679751E-2</v>
      </c>
      <c r="U1769">
        <v>-2.8183289999999999</v>
      </c>
      <c r="V1769">
        <v>-0.2950759</v>
      </c>
      <c r="W1769">
        <v>-9.4713969999999995E-2</v>
      </c>
      <c r="X1769">
        <v>0.95076780000000005</v>
      </c>
      <c r="Y1769">
        <v>-0.46398850000000003</v>
      </c>
      <c r="Z1769">
        <v>-1.40298E-2</v>
      </c>
      <c r="AA1769">
        <v>0.88573009999999996</v>
      </c>
      <c r="AB1769">
        <v>41</v>
      </c>
      <c r="AC1769">
        <v>-24.9405</v>
      </c>
      <c r="AD1769">
        <v>-0.96945340000000002</v>
      </c>
      <c r="AE1769">
        <v>-58.116</v>
      </c>
      <c r="AF1769">
        <v>-29.5312025929905</v>
      </c>
      <c r="AG1769">
        <v>-0.96945340000000002</v>
      </c>
      <c r="AH1769">
        <v>55.906413337130601</v>
      </c>
      <c r="AI1769">
        <v>90.878445536872206</v>
      </c>
      <c r="AJ1769">
        <v>117.844164078959</v>
      </c>
      <c r="AK1769">
        <v>63.234158638390397</v>
      </c>
      <c r="AL1769">
        <v>95.434857453738204</v>
      </c>
      <c r="AM1769">
        <v>107.24201078739399</v>
      </c>
      <c r="AN1769">
        <v>0.99999996619540399</v>
      </c>
    </row>
    <row r="1770" spans="1:40" x14ac:dyDescent="0.25">
      <c r="A1770" t="str">
        <f>"20190305135617731"</f>
        <v>20190305135617731</v>
      </c>
      <c r="B1770" t="str">
        <f>"1551765377724154"</f>
        <v>1551765377724154</v>
      </c>
      <c r="C1770" t="s">
        <v>40</v>
      </c>
      <c r="D1770">
        <v>4.0028610000000002</v>
      </c>
      <c r="E1770">
        <v>0.42868519999999999</v>
      </c>
      <c r="F1770" t="s">
        <v>66</v>
      </c>
      <c r="G1770">
        <v>-514.49279999999999</v>
      </c>
      <c r="H1770">
        <v>4.7521649999999999E-2</v>
      </c>
      <c r="I1770">
        <v>210.4254</v>
      </c>
      <c r="J1770">
        <v>-487.31450000000001</v>
      </c>
      <c r="K1770">
        <v>1.127796</v>
      </c>
      <c r="L1770">
        <v>276.7953</v>
      </c>
      <c r="M1770">
        <v>-0.76731969999999905</v>
      </c>
      <c r="N1770">
        <v>-2.4983419999999999E-2</v>
      </c>
      <c r="O1770">
        <v>-0.64077819999999996</v>
      </c>
      <c r="P1770">
        <v>-0.53506399999999998</v>
      </c>
      <c r="Q1770">
        <v>-0.1050652</v>
      </c>
      <c r="R1770">
        <v>-0.83825309999999897</v>
      </c>
      <c r="S1770">
        <v>-1.170563</v>
      </c>
      <c r="T1770">
        <v>-4.6021699999999999E-2</v>
      </c>
      <c r="U1770">
        <v>-2.8379210000000001</v>
      </c>
      <c r="V1770">
        <v>-0.29645110000000002</v>
      </c>
      <c r="W1770">
        <v>-9.4874360000000005E-2</v>
      </c>
      <c r="X1770">
        <v>0.9503239</v>
      </c>
      <c r="Y1770">
        <v>-0.46494619999999998</v>
      </c>
      <c r="Z1770">
        <v>-1.3975639999999999E-2</v>
      </c>
      <c r="AA1770">
        <v>0.88522860000000003</v>
      </c>
      <c r="AB1770">
        <v>41</v>
      </c>
      <c r="AC1770">
        <v>-27.178299999999901</v>
      </c>
      <c r="AD1770">
        <v>-1.08027435</v>
      </c>
      <c r="AE1770">
        <v>-66.369900000000001</v>
      </c>
      <c r="AF1770">
        <v>-33.514522567764097</v>
      </c>
      <c r="AG1770">
        <v>-1.08027435</v>
      </c>
      <c r="AH1770">
        <v>63.388226057202203</v>
      </c>
      <c r="AI1770">
        <v>90.863152975402201</v>
      </c>
      <c r="AJ1770">
        <v>117.866233009759</v>
      </c>
      <c r="AK1770">
        <v>71.7109295595546</v>
      </c>
      <c r="AL1770">
        <v>95.444088744178302</v>
      </c>
      <c r="AM1770">
        <v>107.325176986184</v>
      </c>
      <c r="AN1770">
        <v>0.99999995689391397</v>
      </c>
    </row>
    <row r="1771" spans="1:40" x14ac:dyDescent="0.25">
      <c r="A1771" t="str">
        <f>"20190305135617753"</f>
        <v>20190305135617753</v>
      </c>
      <c r="B1771" t="str">
        <f>"1551765377744182"</f>
        <v>1551765377744182</v>
      </c>
      <c r="C1771" t="s">
        <v>40</v>
      </c>
      <c r="D1771">
        <v>4.0446540000000004</v>
      </c>
      <c r="E1771">
        <v>0.44398280000000001</v>
      </c>
      <c r="F1771" t="s">
        <v>66</v>
      </c>
      <c r="G1771">
        <v>-513.47829999999999</v>
      </c>
      <c r="H1771">
        <v>5.3487359999999998E-2</v>
      </c>
      <c r="I1771">
        <v>210.4254</v>
      </c>
      <c r="J1771">
        <v>-487.60849999999999</v>
      </c>
      <c r="K1771">
        <v>1.1278189999999999</v>
      </c>
      <c r="L1771">
        <v>276.5487</v>
      </c>
      <c r="M1771">
        <v>-0.75669189999999997</v>
      </c>
      <c r="N1771">
        <v>-2.478201E-2</v>
      </c>
      <c r="O1771">
        <v>-0.65330189999999999</v>
      </c>
      <c r="P1771">
        <v>-0.52027479999999904</v>
      </c>
      <c r="Q1771">
        <v>-0.1045348</v>
      </c>
      <c r="R1771">
        <v>-0.84757700000000002</v>
      </c>
      <c r="S1771">
        <v>-1.1253660000000001</v>
      </c>
      <c r="T1771">
        <v>-4.6205639999999999E-2</v>
      </c>
      <c r="U1771">
        <v>-2.8547060000000002</v>
      </c>
      <c r="V1771">
        <v>-0.2975699</v>
      </c>
      <c r="W1771">
        <v>-9.4599020000000006E-2</v>
      </c>
      <c r="X1771">
        <v>0.95000169999999995</v>
      </c>
      <c r="Y1771">
        <v>-0.46430179999999999</v>
      </c>
      <c r="Z1771">
        <v>-1.3783999999999999E-2</v>
      </c>
      <c r="AA1771">
        <v>0.88556979999999996</v>
      </c>
      <c r="AB1771">
        <v>40</v>
      </c>
      <c r="AC1771">
        <v>-25.869800000000001</v>
      </c>
      <c r="AD1771">
        <v>-1.07433164</v>
      </c>
      <c r="AE1771">
        <v>-66.1233</v>
      </c>
      <c r="AF1771">
        <v>-33.136766637163902</v>
      </c>
      <c r="AG1771">
        <v>-1.07433164</v>
      </c>
      <c r="AH1771">
        <v>62.778853663332001</v>
      </c>
      <c r="AI1771">
        <v>90.867053237945299</v>
      </c>
      <c r="AJ1771">
        <v>117.826582407918</v>
      </c>
      <c r="AK1771">
        <v>70.995661549989293</v>
      </c>
      <c r="AL1771">
        <v>95.4282412783312</v>
      </c>
      <c r="AM1771">
        <v>107.392169110732</v>
      </c>
      <c r="AN1771">
        <v>1.0000000249869201</v>
      </c>
    </row>
    <row r="1772" spans="1:40" x14ac:dyDescent="0.25">
      <c r="A1772" t="str">
        <f>"20190305135617776"</f>
        <v>20190305135617776</v>
      </c>
      <c r="B1772" t="str">
        <f>"1551765377773461"</f>
        <v>1551765377773461</v>
      </c>
      <c r="C1772" t="s">
        <v>40</v>
      </c>
      <c r="D1772">
        <v>4.0540520000000004</v>
      </c>
      <c r="E1772">
        <v>0.44574530000000001</v>
      </c>
      <c r="F1772" t="s">
        <v>42</v>
      </c>
      <c r="G1772">
        <v>-503.9683</v>
      </c>
      <c r="H1772">
        <v>7.9986100000000004E-2</v>
      </c>
      <c r="I1772">
        <v>237.66990000000001</v>
      </c>
      <c r="J1772">
        <v>-487.90039999999999</v>
      </c>
      <c r="K1772">
        <v>1.12785</v>
      </c>
      <c r="L1772">
        <v>276.2953</v>
      </c>
      <c r="M1772">
        <v>-0.74577299999999902</v>
      </c>
      <c r="N1772">
        <v>-2.4623630000000001E-2</v>
      </c>
      <c r="O1772">
        <v>-0.66574500000000003</v>
      </c>
      <c r="P1772">
        <v>-0.50498849999999995</v>
      </c>
      <c r="Q1772">
        <v>-0.1016883</v>
      </c>
      <c r="R1772">
        <v>-0.85711530000000002</v>
      </c>
      <c r="S1772">
        <v>-1.180542</v>
      </c>
      <c r="T1772">
        <v>-7.5612899999999997E-2</v>
      </c>
      <c r="U1772">
        <v>-2.805542</v>
      </c>
      <c r="V1772">
        <v>-0.29925079999999998</v>
      </c>
      <c r="W1772">
        <v>-9.1980980000000004E-2</v>
      </c>
      <c r="X1772">
        <v>0.94973070000000004</v>
      </c>
      <c r="Y1772">
        <v>-0.42902439999999997</v>
      </c>
      <c r="Z1772">
        <v>-8.1789589999999995E-3</v>
      </c>
      <c r="AA1772">
        <v>0.9032559</v>
      </c>
      <c r="AB1772">
        <v>40</v>
      </c>
      <c r="AC1772">
        <v>-16.067900000000002</v>
      </c>
      <c r="AD1772">
        <v>-1.0478639000000001</v>
      </c>
      <c r="AE1772">
        <v>-38.6253999999999</v>
      </c>
      <c r="AF1772">
        <v>-18.102790068291</v>
      </c>
      <c r="AG1772">
        <v>-1.0478639000000001</v>
      </c>
      <c r="AH1772">
        <v>37.685460787729298</v>
      </c>
      <c r="AI1772">
        <v>91.435746241664702</v>
      </c>
      <c r="AJ1772">
        <v>115.658017202735</v>
      </c>
      <c r="AK1772">
        <v>41.821082982068098</v>
      </c>
      <c r="AL1772">
        <v>95.277581844043098</v>
      </c>
      <c r="AM1772">
        <v>107.48912678092</v>
      </c>
      <c r="AN1772">
        <v>0.99999997225244397</v>
      </c>
    </row>
    <row r="1773" spans="1:40" x14ac:dyDescent="0.25">
      <c r="A1773" t="str">
        <f>"20190305135617798"</f>
        <v>20190305135617798</v>
      </c>
      <c r="B1773" t="str">
        <f>"1551765377793957"</f>
        <v>1551765377793957</v>
      </c>
      <c r="C1773" t="s">
        <v>40</v>
      </c>
      <c r="D1773">
        <v>4.0479180000000001</v>
      </c>
      <c r="E1773">
        <v>0.4464764</v>
      </c>
      <c r="F1773" t="s">
        <v>42</v>
      </c>
      <c r="G1773">
        <v>-503.29539999999997</v>
      </c>
      <c r="H1773">
        <v>7.9985860000000006E-2</v>
      </c>
      <c r="I1773">
        <v>238.3503</v>
      </c>
      <c r="J1773">
        <v>-488.19560000000001</v>
      </c>
      <c r="K1773">
        <v>1.1278680000000001</v>
      </c>
      <c r="L1773">
        <v>276.0299</v>
      </c>
      <c r="M1773">
        <v>-0.73434009999999905</v>
      </c>
      <c r="N1773">
        <v>-2.4511330000000001E-2</v>
      </c>
      <c r="O1773">
        <v>-0.67833900000000003</v>
      </c>
      <c r="P1773">
        <v>-0.48983719999999997</v>
      </c>
      <c r="Q1773">
        <v>-9.837572E-2</v>
      </c>
      <c r="R1773">
        <v>-0.86624590000000001</v>
      </c>
      <c r="S1773">
        <v>-1.1430659999999999</v>
      </c>
      <c r="T1773">
        <v>-7.7803020000000001E-2</v>
      </c>
      <c r="U1773">
        <v>-2.817383</v>
      </c>
      <c r="V1773">
        <v>-0.30022159999999998</v>
      </c>
      <c r="W1773">
        <v>-8.8805590000000004E-2</v>
      </c>
      <c r="X1773">
        <v>0.94972659999999998</v>
      </c>
      <c r="Y1773">
        <v>-0.4252765</v>
      </c>
      <c r="Z1773">
        <v>-7.4903340000000004E-3</v>
      </c>
      <c r="AA1773">
        <v>0.90503250000000002</v>
      </c>
      <c r="AB1773">
        <v>40</v>
      </c>
      <c r="AC1773">
        <v>-15.099799999999901</v>
      </c>
      <c r="AD1773">
        <v>-1.04788214</v>
      </c>
      <c r="AE1773">
        <v>-37.679599999999901</v>
      </c>
      <c r="AF1773">
        <v>-17.4204866200905</v>
      </c>
      <c r="AG1773">
        <v>-1.04788214</v>
      </c>
      <c r="AH1773">
        <v>36.6345320897058</v>
      </c>
      <c r="AI1773">
        <v>91.479726104719305</v>
      </c>
      <c r="AJ1773">
        <v>115.432065548469</v>
      </c>
      <c r="AK1773">
        <v>40.579062981934001</v>
      </c>
      <c r="AL1773">
        <v>95.094897145091196</v>
      </c>
      <c r="AM1773">
        <v>107.542459629227</v>
      </c>
      <c r="AN1773">
        <v>1.0000000283346799</v>
      </c>
    </row>
    <row r="1774" spans="1:40" x14ac:dyDescent="0.25">
      <c r="A1774" t="str">
        <f>"20190305135617812"</f>
        <v>20190305135617812</v>
      </c>
      <c r="B1774" t="str">
        <f>"1551765377803717"</f>
        <v>1551765377803717</v>
      </c>
      <c r="C1774" t="s">
        <v>40</v>
      </c>
      <c r="D1774">
        <v>4.0684399999999998</v>
      </c>
      <c r="E1774">
        <v>0.45327269999999997</v>
      </c>
      <c r="F1774" t="s">
        <v>42</v>
      </c>
      <c r="G1774">
        <v>-504.45119999999997</v>
      </c>
      <c r="H1774">
        <v>7.9985699999999896E-2</v>
      </c>
      <c r="I1774">
        <v>234.06440000000001</v>
      </c>
      <c r="J1774">
        <v>-488.36470000000003</v>
      </c>
      <c r="K1774">
        <v>1.1278709999999901</v>
      </c>
      <c r="L1774">
        <v>275.87419999999997</v>
      </c>
      <c r="M1774">
        <v>-0.72761799999999999</v>
      </c>
      <c r="N1774">
        <v>-2.4469089999999999E-2</v>
      </c>
      <c r="O1774">
        <v>-0.68554619999999999</v>
      </c>
      <c r="P1774">
        <v>-0.48156870000000002</v>
      </c>
      <c r="Q1774">
        <v>-9.7566749999999994E-2</v>
      </c>
      <c r="R1774">
        <v>-0.87096079999999998</v>
      </c>
      <c r="S1774">
        <v>-1.0979000000000001</v>
      </c>
      <c r="T1774">
        <v>-7.0773959999999997E-2</v>
      </c>
      <c r="U1774">
        <v>-2.8343509999999998</v>
      </c>
      <c r="V1774">
        <v>-0.30000450000000001</v>
      </c>
      <c r="W1774">
        <v>-8.80132E-2</v>
      </c>
      <c r="X1774">
        <v>0.94986890000000002</v>
      </c>
      <c r="Y1774">
        <v>-0.43072650000000001</v>
      </c>
      <c r="Z1774">
        <v>-8.6872059999999994E-3</v>
      </c>
      <c r="AA1774">
        <v>0.90244069999999998</v>
      </c>
      <c r="AB1774">
        <v>40</v>
      </c>
      <c r="AC1774">
        <v>-16.086499999999901</v>
      </c>
      <c r="AD1774">
        <v>-1.0478852999999999</v>
      </c>
      <c r="AE1774">
        <v>-41.809799999999903</v>
      </c>
      <c r="AF1774">
        <v>-19.388721009885298</v>
      </c>
      <c r="AG1774">
        <v>-1.0478852999999999</v>
      </c>
      <c r="AH1774">
        <v>40.357378877084798</v>
      </c>
      <c r="AI1774">
        <v>91.340722349838899</v>
      </c>
      <c r="AJ1774">
        <v>115.66082487596999</v>
      </c>
      <c r="AK1774">
        <v>44.785473044612303</v>
      </c>
      <c r="AL1774">
        <v>95.049318333440894</v>
      </c>
      <c r="AM1774">
        <v>107.52808594814699</v>
      </c>
      <c r="AN1774">
        <v>0.99999997529084905</v>
      </c>
    </row>
    <row r="1775" spans="1:40" x14ac:dyDescent="0.25">
      <c r="A1775" t="str">
        <f>"20190305135617832"</f>
        <v>20190305135617832</v>
      </c>
      <c r="B1775" t="str">
        <f>"1551765377823237"</f>
        <v>1551765377823237</v>
      </c>
      <c r="C1775" t="s">
        <v>40</v>
      </c>
      <c r="D1775">
        <v>4.0973660000000001</v>
      </c>
      <c r="E1775">
        <v>0.45511699999999999</v>
      </c>
      <c r="F1775" t="s">
        <v>41</v>
      </c>
      <c r="G1775">
        <v>-488.78100000000001</v>
      </c>
      <c r="H1775">
        <v>1.0921909999999999</v>
      </c>
      <c r="I1775">
        <v>274.82650000000001</v>
      </c>
      <c r="J1775">
        <v>-488.63130000000001</v>
      </c>
      <c r="K1775">
        <v>1.127864</v>
      </c>
      <c r="L1775">
        <v>275.62090000000001</v>
      </c>
      <c r="M1775">
        <v>-0.71670719999999899</v>
      </c>
      <c r="N1775">
        <v>-2.4449470000000001E-2</v>
      </c>
      <c r="O1775">
        <v>-0.69694579999999995</v>
      </c>
      <c r="P1775">
        <v>-0.46931869999999998</v>
      </c>
      <c r="Q1775">
        <v>-9.7558649999999997E-2</v>
      </c>
      <c r="R1775">
        <v>-0.87762340000000005</v>
      </c>
      <c r="S1775">
        <v>-1.118652</v>
      </c>
      <c r="T1775">
        <v>-9.587097E-2</v>
      </c>
      <c r="U1775">
        <v>-2.8152469999999998</v>
      </c>
      <c r="V1775">
        <v>-0.29833270000000001</v>
      </c>
      <c r="W1775">
        <v>-8.7911859999999994E-2</v>
      </c>
      <c r="X1775">
        <v>0.95040469999999999</v>
      </c>
      <c r="Y1775">
        <v>-0.40848069999999997</v>
      </c>
      <c r="Z1775">
        <v>-3.5791120000000002E-3</v>
      </c>
      <c r="AA1775">
        <v>0.91276000000000002</v>
      </c>
      <c r="AB1775">
        <v>40</v>
      </c>
      <c r="AC1775">
        <v>-0.149699999999995</v>
      </c>
      <c r="AD1775">
        <v>-3.5673000000000003E-2</v>
      </c>
      <c r="AE1775">
        <v>-0.794399999999996</v>
      </c>
      <c r="AF1775">
        <v>-0.46425429359249798</v>
      </c>
      <c r="AG1775">
        <v>-3.5673000000000003E-2</v>
      </c>
      <c r="AH1775">
        <v>0.65985732562184696</v>
      </c>
      <c r="AI1775">
        <v>92.531673935563603</v>
      </c>
      <c r="AJ1775">
        <v>125.128980658095</v>
      </c>
      <c r="AK1775">
        <v>0.80759909746413605</v>
      </c>
      <c r="AL1775">
        <v>95.043489288107907</v>
      </c>
      <c r="AM1775">
        <v>107.427109563565</v>
      </c>
      <c r="AN1775">
        <v>0.99999999440001897</v>
      </c>
    </row>
    <row r="1776" spans="1:40" x14ac:dyDescent="0.25">
      <c r="A1776" t="str">
        <f>"20190305135617855"</f>
        <v>20190305135617855</v>
      </c>
      <c r="B1776" t="str">
        <f>"1551765377843734"</f>
        <v>1551765377843734</v>
      </c>
      <c r="C1776" t="s">
        <v>40</v>
      </c>
      <c r="D1776">
        <v>4.11693</v>
      </c>
      <c r="E1776">
        <v>0.45587440000000001</v>
      </c>
      <c r="F1776" t="s">
        <v>41</v>
      </c>
      <c r="G1776">
        <v>-489.05799999999999</v>
      </c>
      <c r="H1776">
        <v>1.0947389999999999</v>
      </c>
      <c r="I1776">
        <v>274.51760000000002</v>
      </c>
      <c r="J1776">
        <v>-488.89710000000002</v>
      </c>
      <c r="K1776">
        <v>1.127856</v>
      </c>
      <c r="L1776">
        <v>275.35969999999998</v>
      </c>
      <c r="M1776">
        <v>-0.70544689999999999</v>
      </c>
      <c r="N1776">
        <v>-2.448701E-2</v>
      </c>
      <c r="O1776">
        <v>-0.70833999999999997</v>
      </c>
      <c r="P1776">
        <v>-0.45676850000000002</v>
      </c>
      <c r="Q1776">
        <v>-9.7604270000000007E-2</v>
      </c>
      <c r="R1776">
        <v>-0.88421519999999998</v>
      </c>
      <c r="S1776">
        <v>-1.0925290000000001</v>
      </c>
      <c r="T1776">
        <v>-8.4804299999999999E-2</v>
      </c>
      <c r="U1776">
        <v>-2.824646</v>
      </c>
      <c r="V1776">
        <v>-0.29665429999999998</v>
      </c>
      <c r="W1776">
        <v>-8.7798420000000002E-2</v>
      </c>
      <c r="X1776">
        <v>0.95094040000000002</v>
      </c>
      <c r="Y1776">
        <v>-0.4022444</v>
      </c>
      <c r="Z1776">
        <v>-5.2949090000000004E-3</v>
      </c>
      <c r="AA1776">
        <v>0.91551700000000003</v>
      </c>
      <c r="AB1776">
        <v>39</v>
      </c>
      <c r="AC1776">
        <v>-0.16090000000002599</v>
      </c>
      <c r="AD1776">
        <v>-3.3117000000000001E-2</v>
      </c>
      <c r="AE1776">
        <v>-0.84209999999995899</v>
      </c>
      <c r="AF1776">
        <v>-0.47951331765843103</v>
      </c>
      <c r="AG1776">
        <v>-3.3117000000000001E-2</v>
      </c>
      <c r="AH1776">
        <v>0.70915416266584896</v>
      </c>
      <c r="AI1776">
        <v>92.215413028822198</v>
      </c>
      <c r="AJ1776">
        <v>124.06563025392801</v>
      </c>
      <c r="AK1776">
        <v>0.85669678645778602</v>
      </c>
      <c r="AL1776">
        <v>95.036964445565701</v>
      </c>
      <c r="AM1776">
        <v>107.325774630692</v>
      </c>
      <c r="AN1776">
        <v>0.99999999030757303</v>
      </c>
    </row>
    <row r="1777" spans="1:40" x14ac:dyDescent="0.25">
      <c r="A1777" t="str">
        <f>"20190305135617877"</f>
        <v>20190305135617877</v>
      </c>
      <c r="B1777" t="str">
        <f>"1551765377873991"</f>
        <v>1551765377873991</v>
      </c>
      <c r="C1777" t="s">
        <v>40</v>
      </c>
      <c r="D1777">
        <v>4.1491480000000003</v>
      </c>
      <c r="E1777">
        <v>0.45878750000000001</v>
      </c>
      <c r="F1777" t="s">
        <v>41</v>
      </c>
      <c r="G1777">
        <v>-489.286</v>
      </c>
      <c r="H1777">
        <v>1.0939589999999999</v>
      </c>
      <c r="I1777">
        <v>274.31740000000002</v>
      </c>
      <c r="J1777">
        <v>-489.17320000000001</v>
      </c>
      <c r="K1777">
        <v>1.1278360000000001</v>
      </c>
      <c r="L1777">
        <v>275.07870000000003</v>
      </c>
      <c r="M1777">
        <v>-0.69332099999999997</v>
      </c>
      <c r="N1777">
        <v>-2.4595760000000001E-2</v>
      </c>
      <c r="O1777">
        <v>-0.72020919999999999</v>
      </c>
      <c r="P1777">
        <v>-0.44353619999999999</v>
      </c>
      <c r="Q1777">
        <v>-9.6581E-2</v>
      </c>
      <c r="R1777">
        <v>-0.89103779999999999</v>
      </c>
      <c r="S1777">
        <v>-1.0579529999999999</v>
      </c>
      <c r="T1777">
        <v>-9.2200989999999997E-2</v>
      </c>
      <c r="U1777">
        <v>-2.836182</v>
      </c>
      <c r="V1777">
        <v>-0.29483910000000002</v>
      </c>
      <c r="W1777">
        <v>-8.6521630000000002E-2</v>
      </c>
      <c r="X1777">
        <v>0.95162179999999996</v>
      </c>
      <c r="Y1777">
        <v>-0.3976961</v>
      </c>
      <c r="Z1777">
        <v>-3.7034569999999998E-3</v>
      </c>
      <c r="AA1777">
        <v>0.91750969999999998</v>
      </c>
      <c r="AB1777">
        <v>39</v>
      </c>
      <c r="AC1777">
        <v>-0.112799999999992</v>
      </c>
      <c r="AD1777">
        <v>-3.3877000000000101E-2</v>
      </c>
      <c r="AE1777">
        <v>-0.76130000000000497</v>
      </c>
      <c r="AF1777">
        <v>-0.44585686775685401</v>
      </c>
      <c r="AG1777">
        <v>-3.3877000000000101E-2</v>
      </c>
      <c r="AH1777">
        <v>0.62547944421391</v>
      </c>
      <c r="AI1777">
        <v>92.525314547287493</v>
      </c>
      <c r="AJ1777">
        <v>125.482189907798</v>
      </c>
      <c r="AK1777">
        <v>0.76886964616188003</v>
      </c>
      <c r="AL1777">
        <v>94.963529904245803</v>
      </c>
      <c r="AM1777">
        <v>107.21444605159699</v>
      </c>
      <c r="AN1777">
        <v>1.00000006879095</v>
      </c>
    </row>
    <row r="1778" spans="1:40" x14ac:dyDescent="0.25">
      <c r="A1778" t="str">
        <f>"20190305135617900"</f>
        <v>20190305135617900</v>
      </c>
      <c r="B1778" t="str">
        <f>"1551765377893509"</f>
        <v>1551765377893509</v>
      </c>
      <c r="C1778" t="s">
        <v>40</v>
      </c>
      <c r="D1778">
        <v>4.1786199999999996</v>
      </c>
      <c r="E1778">
        <v>0.46006219999999998</v>
      </c>
      <c r="F1778" t="s">
        <v>42</v>
      </c>
      <c r="G1778">
        <v>-501.2715</v>
      </c>
      <c r="H1778">
        <v>7.9986210000000002E-2</v>
      </c>
      <c r="I1778">
        <v>241.89009999999999</v>
      </c>
      <c r="J1778">
        <v>-489.43049999999999</v>
      </c>
      <c r="K1778">
        <v>1.1277999999999999</v>
      </c>
      <c r="L1778">
        <v>274.80759999999998</v>
      </c>
      <c r="M1778">
        <v>-0.68158779999999997</v>
      </c>
      <c r="N1778">
        <v>-2.476308E-2</v>
      </c>
      <c r="O1778">
        <v>-0.7313172</v>
      </c>
      <c r="P1778">
        <v>-0.43135519999999999</v>
      </c>
      <c r="Q1778">
        <v>-9.6199220000000002E-2</v>
      </c>
      <c r="R1778">
        <v>-0.89703889999999997</v>
      </c>
      <c r="S1778">
        <v>-1.035828</v>
      </c>
      <c r="T1778">
        <v>-8.9714169999999996E-2</v>
      </c>
      <c r="U1778">
        <v>-2.8415219999999999</v>
      </c>
      <c r="V1778">
        <v>-0.29250199999999998</v>
      </c>
      <c r="W1778">
        <v>-8.5795789999999997E-2</v>
      </c>
      <c r="X1778">
        <v>0.95240840000000004</v>
      </c>
      <c r="Y1778">
        <v>-0.38971980000000001</v>
      </c>
      <c r="Z1778">
        <v>-3.9519380000000003E-3</v>
      </c>
      <c r="AA1778">
        <v>0.92092499999999999</v>
      </c>
      <c r="AB1778">
        <v>39</v>
      </c>
      <c r="AC1778">
        <v>-11.840999999999999</v>
      </c>
      <c r="AD1778">
        <v>-1.04781379</v>
      </c>
      <c r="AE1778">
        <v>-32.917499999999897</v>
      </c>
      <c r="AF1778">
        <v>-13.7685129612676</v>
      </c>
      <c r="AG1778">
        <v>-1.04781379</v>
      </c>
      <c r="AH1778">
        <v>32.124854273251998</v>
      </c>
      <c r="AI1778">
        <v>91.717180879897697</v>
      </c>
      <c r="AJ1778">
        <v>113.199672783138</v>
      </c>
      <c r="AK1778">
        <v>34.9667860258958</v>
      </c>
      <c r="AL1778">
        <v>94.921787211571598</v>
      </c>
      <c r="AM1778">
        <v>107.07267761396101</v>
      </c>
      <c r="AN1778">
        <v>1.00000004898814</v>
      </c>
    </row>
    <row r="1779" spans="1:40" x14ac:dyDescent="0.25">
      <c r="A1779" t="str">
        <f>"20190305135617921"</f>
        <v>20190305135617921</v>
      </c>
      <c r="B1779" t="str">
        <f>"1551765377914008"</f>
        <v>1551765377914008</v>
      </c>
      <c r="C1779" t="s">
        <v>40</v>
      </c>
      <c r="D1779">
        <v>4.1649719999999997</v>
      </c>
      <c r="E1779">
        <v>0.46125389999999999</v>
      </c>
      <c r="F1779" t="s">
        <v>42</v>
      </c>
      <c r="G1779">
        <v>-501.49630000000002</v>
      </c>
      <c r="H1779">
        <v>7.9986589999999996E-2</v>
      </c>
      <c r="I1779">
        <v>240.61850000000001</v>
      </c>
      <c r="J1779">
        <v>-489.68119999999999</v>
      </c>
      <c r="K1779">
        <v>1.1277539999999999</v>
      </c>
      <c r="L1779">
        <v>274.53410000000002</v>
      </c>
      <c r="M1779">
        <v>-0.66971219999999998</v>
      </c>
      <c r="N1779">
        <v>-2.4989500000000001E-2</v>
      </c>
      <c r="O1779">
        <v>-0.74220050000000004</v>
      </c>
      <c r="P1779">
        <v>-0.42017729999999998</v>
      </c>
      <c r="Q1779">
        <v>-9.7010139999999995E-2</v>
      </c>
      <c r="R1779">
        <v>-0.90224219999999999</v>
      </c>
      <c r="S1779">
        <v>-1.006195</v>
      </c>
      <c r="T1779">
        <v>-8.7379460000000006E-2</v>
      </c>
      <c r="U1779">
        <v>-2.851105</v>
      </c>
      <c r="V1779">
        <v>-0.28893459999999899</v>
      </c>
      <c r="W1779">
        <v>-8.6136340000000006E-2</v>
      </c>
      <c r="X1779">
        <v>0.95346589999999998</v>
      </c>
      <c r="Y1779">
        <v>-0.38436239999999999</v>
      </c>
      <c r="Z1779">
        <v>-4.3195100000000004E-3</v>
      </c>
      <c r="AA1779">
        <v>0.9231722</v>
      </c>
      <c r="AB1779">
        <v>39</v>
      </c>
      <c r="AC1779">
        <v>-11.815099999999999</v>
      </c>
      <c r="AD1779">
        <v>-1.0477674100000001</v>
      </c>
      <c r="AE1779">
        <v>-33.915599999999998</v>
      </c>
      <c r="AF1779">
        <v>-13.937008671598001</v>
      </c>
      <c r="AG1779">
        <v>-1.0477674100000001</v>
      </c>
      <c r="AH1779">
        <v>33.067075278547101</v>
      </c>
      <c r="AI1779">
        <v>91.672482458544806</v>
      </c>
      <c r="AJ1779">
        <v>112.854299644863</v>
      </c>
      <c r="AK1779">
        <v>35.899435855382997</v>
      </c>
      <c r="AL1779">
        <v>94.941372292946397</v>
      </c>
      <c r="AM1779">
        <v>106.85870364500499</v>
      </c>
      <c r="AN1779">
        <v>0.99999994730428099</v>
      </c>
    </row>
    <row r="1780" spans="1:40" x14ac:dyDescent="0.25">
      <c r="A1780" t="str">
        <f>"20190305135617943"</f>
        <v>20190305135617943</v>
      </c>
      <c r="B1780" t="str">
        <f>"1551765377933525"</f>
        <v>1551765377933525</v>
      </c>
      <c r="C1780" t="s">
        <v>40</v>
      </c>
      <c r="D1780">
        <v>4.2451720000000002</v>
      </c>
      <c r="E1780">
        <v>0.47232010000000002</v>
      </c>
      <c r="F1780" t="s">
        <v>42</v>
      </c>
      <c r="G1780">
        <v>-501.34530000000001</v>
      </c>
      <c r="H1780">
        <v>7.9986619999999994E-2</v>
      </c>
      <c r="I1780">
        <v>240.4812</v>
      </c>
      <c r="J1780">
        <v>-489.91879999999998</v>
      </c>
      <c r="K1780">
        <v>1.1276999999999999</v>
      </c>
      <c r="L1780">
        <v>274.26609999999999</v>
      </c>
      <c r="M1780">
        <v>-0.65800199999999998</v>
      </c>
      <c r="N1780">
        <v>-2.5253520000000002E-2</v>
      </c>
      <c r="O1780">
        <v>-0.75259259999999994</v>
      </c>
      <c r="P1780">
        <v>-0.40976790000000002</v>
      </c>
      <c r="Q1780">
        <v>-9.7643629999999995E-2</v>
      </c>
      <c r="R1780">
        <v>-0.90694870000000005</v>
      </c>
      <c r="S1780">
        <v>-0.97946169999999999</v>
      </c>
      <c r="T1780">
        <v>-8.7983249999999999E-2</v>
      </c>
      <c r="U1780">
        <v>-2.8594970000000002</v>
      </c>
      <c r="V1780">
        <v>-0.28494409999999998</v>
      </c>
      <c r="W1780">
        <v>-8.6238519999999999E-2</v>
      </c>
      <c r="X1780">
        <v>0.95465690000000003</v>
      </c>
      <c r="Y1780">
        <v>-0.37845010000000001</v>
      </c>
      <c r="Z1780">
        <v>-4.1384009999999999E-3</v>
      </c>
      <c r="AA1780">
        <v>0.9256124</v>
      </c>
      <c r="AB1780">
        <v>38</v>
      </c>
      <c r="AC1780">
        <v>-11.426500000000001</v>
      </c>
      <c r="AD1780">
        <v>-1.04771338</v>
      </c>
      <c r="AE1780">
        <v>-33.784899999999901</v>
      </c>
      <c r="AF1780">
        <v>-13.6236240949732</v>
      </c>
      <c r="AG1780">
        <v>-1.04771338</v>
      </c>
      <c r="AH1780">
        <v>32.927020344442603</v>
      </c>
      <c r="AI1780">
        <v>91.684122834598696</v>
      </c>
      <c r="AJ1780">
        <v>112.477428915137</v>
      </c>
      <c r="AK1780">
        <v>35.649537242033098</v>
      </c>
      <c r="AL1780">
        <v>94.947248333360406</v>
      </c>
      <c r="AM1780">
        <v>106.61920790791601</v>
      </c>
      <c r="AN1780">
        <v>1.0000000095871</v>
      </c>
    </row>
    <row r="1781" spans="1:40" x14ac:dyDescent="0.25">
      <c r="A1781" t="str">
        <f>"20190305135617966"</f>
        <v>20190305135617966</v>
      </c>
      <c r="B1781" t="str">
        <f>"1551765377963781"</f>
        <v>1551765377963781</v>
      </c>
      <c r="C1781" t="s">
        <v>40</v>
      </c>
      <c r="D1781">
        <v>4.2582120000000003</v>
      </c>
      <c r="E1781">
        <v>0.47406419999999999</v>
      </c>
      <c r="F1781" t="s">
        <v>42</v>
      </c>
      <c r="G1781">
        <v>-499.41059999999999</v>
      </c>
      <c r="H1781" s="1">
        <v>-5.4567069999999998E-6</v>
      </c>
      <c r="I1781">
        <v>248.1163</v>
      </c>
      <c r="J1781">
        <v>-490.16379999999998</v>
      </c>
      <c r="K1781">
        <v>1.12765</v>
      </c>
      <c r="L1781">
        <v>273.98009999999999</v>
      </c>
      <c r="M1781">
        <v>-0.64540359999999997</v>
      </c>
      <c r="N1781">
        <v>-2.5560289999999999E-2</v>
      </c>
      <c r="O1781">
        <v>-0.76341400000000004</v>
      </c>
      <c r="P1781">
        <v>-0.39755420000000002</v>
      </c>
      <c r="Q1781">
        <v>-9.7742889999999999E-2</v>
      </c>
      <c r="R1781">
        <v>-0.912358</v>
      </c>
      <c r="S1781">
        <v>-1.027374</v>
      </c>
      <c r="T1781">
        <v>-0.1220614</v>
      </c>
      <c r="U1781">
        <v>-2.8304140000000002</v>
      </c>
      <c r="V1781">
        <v>-0.28193590000000002</v>
      </c>
      <c r="W1781">
        <v>-8.5812050000000001E-2</v>
      </c>
      <c r="X1781">
        <v>0.95558799999999999</v>
      </c>
      <c r="Y1781">
        <v>-0.34597919999999999</v>
      </c>
      <c r="Z1781">
        <v>3.803907E-3</v>
      </c>
      <c r="AA1781">
        <v>0.93823440000000002</v>
      </c>
      <c r="AB1781">
        <v>38</v>
      </c>
      <c r="AC1781">
        <v>-9.2468000000000004</v>
      </c>
      <c r="AD1781">
        <v>-1.1276554567070001</v>
      </c>
      <c r="AE1781">
        <v>-25.863800000000001</v>
      </c>
      <c r="AF1781">
        <v>-9.6203860113274509</v>
      </c>
      <c r="AG1781">
        <v>-1.1276554567070001</v>
      </c>
      <c r="AH1781">
        <v>25.677827701555302</v>
      </c>
      <c r="AI1781">
        <v>92.354906139439294</v>
      </c>
      <c r="AJ1781">
        <v>110.538829614267</v>
      </c>
      <c r="AK1781">
        <v>27.444020647615499</v>
      </c>
      <c r="AL1781">
        <v>94.922722567256301</v>
      </c>
      <c r="AM1781">
        <v>106.438124336752</v>
      </c>
      <c r="AN1781">
        <v>0.99999999268900597</v>
      </c>
    </row>
    <row r="1782" spans="1:40" x14ac:dyDescent="0.25">
      <c r="A1782" t="str">
        <f>"20190305135617980"</f>
        <v>20190305135617980</v>
      </c>
      <c r="B1782" t="str">
        <f>"1551765377973542"</f>
        <v>1551765377973542</v>
      </c>
      <c r="C1782" t="s">
        <v>40</v>
      </c>
      <c r="D1782">
        <v>4.3004829999999998</v>
      </c>
      <c r="E1782">
        <v>0.47503919999999999</v>
      </c>
      <c r="F1782" t="s">
        <v>42</v>
      </c>
      <c r="G1782">
        <v>-496.42520000000002</v>
      </c>
      <c r="H1782" s="1">
        <v>-4.3059020000000002E-6</v>
      </c>
      <c r="I1782">
        <v>256.29079999999999</v>
      </c>
      <c r="J1782">
        <v>-490.31130000000002</v>
      </c>
      <c r="K1782">
        <v>1.127616</v>
      </c>
      <c r="L1782">
        <v>273.8021</v>
      </c>
      <c r="M1782">
        <v>-0.63749719999999999</v>
      </c>
      <c r="N1782">
        <v>-2.575554E-2</v>
      </c>
      <c r="O1782">
        <v>-0.77002219999999999</v>
      </c>
      <c r="P1782">
        <v>-0.38883899999999999</v>
      </c>
      <c r="Q1782">
        <v>-9.8517389999999996E-2</v>
      </c>
      <c r="R1782">
        <v>-0.91602360000000005</v>
      </c>
      <c r="S1782">
        <v>-1.0024409999999999</v>
      </c>
      <c r="T1782">
        <v>-0.1805358</v>
      </c>
      <c r="U1782">
        <v>-2.8320310000000002</v>
      </c>
      <c r="V1782">
        <v>-0.28113250000000001</v>
      </c>
      <c r="W1782">
        <v>-8.6317089999999999E-2</v>
      </c>
      <c r="X1782">
        <v>0.95577920000000005</v>
      </c>
      <c r="Y1782">
        <v>-0.34373670000000001</v>
      </c>
      <c r="Z1782">
        <v>1.6700159999999999E-2</v>
      </c>
      <c r="AA1782">
        <v>0.93891760000000002</v>
      </c>
      <c r="AB1782">
        <v>38</v>
      </c>
      <c r="AC1782">
        <v>-6.1139000000000001</v>
      </c>
      <c r="AD1782">
        <v>-1.127620305902</v>
      </c>
      <c r="AE1782">
        <v>-17.511299999999999</v>
      </c>
      <c r="AF1782">
        <v>-6.4339275224744501</v>
      </c>
      <c r="AG1782">
        <v>-1.127620305902</v>
      </c>
      <c r="AH1782">
        <v>17.323422065859098</v>
      </c>
      <c r="AI1782">
        <v>93.491839885953993</v>
      </c>
      <c r="AJ1782">
        <v>110.375021541283</v>
      </c>
      <c r="AK1782">
        <v>18.5139920868145</v>
      </c>
      <c r="AL1782">
        <v>94.951766955246697</v>
      </c>
      <c r="AM1782">
        <v>106.390697355151</v>
      </c>
      <c r="AN1782">
        <v>1.0000000008674701</v>
      </c>
    </row>
    <row r="1783" spans="1:40" x14ac:dyDescent="0.25">
      <c r="A1783" t="str">
        <f>"20190305135618001"</f>
        <v>20190305135618001</v>
      </c>
      <c r="B1783" t="str">
        <f>"1551765377994041"</f>
        <v>1551765377994041</v>
      </c>
      <c r="C1783" t="s">
        <v>40</v>
      </c>
      <c r="D1783">
        <v>4.2738620000000003</v>
      </c>
      <c r="E1783">
        <v>0.47655160000000002</v>
      </c>
      <c r="F1783" t="s">
        <v>42</v>
      </c>
      <c r="G1783">
        <v>-496.43490000000003</v>
      </c>
      <c r="H1783" s="1">
        <v>-4.2458679999999901E-6</v>
      </c>
      <c r="I1783">
        <v>256.10930000000002</v>
      </c>
      <c r="J1783">
        <v>-490.5317</v>
      </c>
      <c r="K1783">
        <v>1.1275679999999999</v>
      </c>
      <c r="L1783">
        <v>273.5292</v>
      </c>
      <c r="M1783">
        <v>-0.62526190000000004</v>
      </c>
      <c r="N1783">
        <v>-2.605246E-2</v>
      </c>
      <c r="O1783">
        <v>-0.77998009999999995</v>
      </c>
      <c r="P1783">
        <v>-0.37647269999999999</v>
      </c>
      <c r="Q1783">
        <v>-0.101813899999999</v>
      </c>
      <c r="R1783">
        <v>-0.92081639999999998</v>
      </c>
      <c r="S1783">
        <v>-0.9824524</v>
      </c>
      <c r="T1783">
        <v>-0.18091270000000001</v>
      </c>
      <c r="U1783">
        <v>-2.8385929999999999</v>
      </c>
      <c r="V1783">
        <v>-0.2785861</v>
      </c>
      <c r="W1783">
        <v>-8.9150049999999995E-2</v>
      </c>
      <c r="X1783">
        <v>0.95626460000000002</v>
      </c>
      <c r="Y1783">
        <v>-0.3354917</v>
      </c>
      <c r="Z1783">
        <v>1.7295629999999999E-2</v>
      </c>
      <c r="AA1783">
        <v>0.94188439999999995</v>
      </c>
      <c r="AB1783">
        <v>38</v>
      </c>
      <c r="AC1783">
        <v>-5.9032000000000204</v>
      </c>
      <c r="AD1783">
        <v>-1.127572245868</v>
      </c>
      <c r="AE1783">
        <v>-17.419899999999899</v>
      </c>
      <c r="AF1783">
        <v>-6.2662057426865996</v>
      </c>
      <c r="AG1783">
        <v>-1.127572245868</v>
      </c>
      <c r="AH1783">
        <v>17.219372141421399</v>
      </c>
      <c r="AI1783">
        <v>93.521254676423197</v>
      </c>
      <c r="AJ1783">
        <v>109.996670484571</v>
      </c>
      <c r="AK1783">
        <v>18.358745341773499</v>
      </c>
      <c r="AL1783">
        <v>95.114712162037307</v>
      </c>
      <c r="AM1783">
        <v>106.242289634084</v>
      </c>
      <c r="AN1783">
        <v>0.99999996587068496</v>
      </c>
    </row>
    <row r="1784" spans="1:40" x14ac:dyDescent="0.25">
      <c r="A1784" t="str">
        <f>"20190305135618023"</f>
        <v>20190305135618023</v>
      </c>
      <c r="B1784" t="str">
        <f>"1551765378013561"</f>
        <v>1551765378013561</v>
      </c>
      <c r="C1784" t="s">
        <v>40</v>
      </c>
      <c r="D1784">
        <v>4.3059539999999998</v>
      </c>
      <c r="E1784">
        <v>0.47779270000000001</v>
      </c>
      <c r="F1784" t="s">
        <v>42</v>
      </c>
      <c r="G1784">
        <v>-496.21069999999997</v>
      </c>
      <c r="H1784" s="1">
        <v>-4.3775489999999999E-6</v>
      </c>
      <c r="I1784">
        <v>256.61309999999997</v>
      </c>
      <c r="J1784">
        <v>-490.74610000000001</v>
      </c>
      <c r="K1784">
        <v>1.127524</v>
      </c>
      <c r="L1784">
        <v>273.25450000000001</v>
      </c>
      <c r="M1784">
        <v>-0.61279359999999905</v>
      </c>
      <c r="N1784">
        <v>-2.6340260000000001E-2</v>
      </c>
      <c r="O1784">
        <v>-0.7898039</v>
      </c>
      <c r="P1784">
        <v>-0.36371130000000002</v>
      </c>
      <c r="Q1784">
        <v>-0.10531600000000001</v>
      </c>
      <c r="R1784">
        <v>-0.92553909999999995</v>
      </c>
      <c r="S1784">
        <v>-0.95553589999999999</v>
      </c>
      <c r="T1784">
        <v>-0.1897238</v>
      </c>
      <c r="U1784">
        <v>-2.8462830000000001</v>
      </c>
      <c r="V1784">
        <v>-0.2762598</v>
      </c>
      <c r="W1784">
        <v>-9.221907E-2</v>
      </c>
      <c r="X1784">
        <v>0.95664839999999995</v>
      </c>
      <c r="Y1784">
        <v>-0.32930130000000002</v>
      </c>
      <c r="Z1784">
        <v>1.976373E-2</v>
      </c>
      <c r="AA1784">
        <v>0.94401809999999997</v>
      </c>
      <c r="AB1784">
        <v>37</v>
      </c>
      <c r="AC1784">
        <v>-5.4645999999999599</v>
      </c>
      <c r="AD1784">
        <v>-1.1275283775489999</v>
      </c>
      <c r="AE1784">
        <v>-16.641400000000001</v>
      </c>
      <c r="AF1784">
        <v>-5.8595415165407996</v>
      </c>
      <c r="AG1784">
        <v>-1.1275283775489999</v>
      </c>
      <c r="AH1784">
        <v>16.4297564620224</v>
      </c>
      <c r="AI1784">
        <v>93.698417818762906</v>
      </c>
      <c r="AJ1784">
        <v>109.628370254652</v>
      </c>
      <c r="AK1784">
        <v>17.479772436379399</v>
      </c>
      <c r="AL1784">
        <v>95.291281489471203</v>
      </c>
      <c r="AM1784">
        <v>106.107597572095</v>
      </c>
      <c r="AN1784">
        <v>0.99999999759513203</v>
      </c>
    </row>
    <row r="1785" spans="1:40" x14ac:dyDescent="0.25">
      <c r="A1785" t="str">
        <f>"20190305135618036"</f>
        <v>20190305135618036</v>
      </c>
      <c r="B1785" t="str">
        <f>"1551765378034054"</f>
        <v>1551765378034054</v>
      </c>
      <c r="C1785" t="s">
        <v>40</v>
      </c>
      <c r="D1785">
        <v>4.3143050000000001</v>
      </c>
      <c r="E1785">
        <v>0.47875529999999999</v>
      </c>
      <c r="F1785" t="s">
        <v>42</v>
      </c>
      <c r="G1785">
        <v>-495.9855</v>
      </c>
      <c r="H1785" s="1">
        <v>-4.5065419999999999E-6</v>
      </c>
      <c r="I1785">
        <v>257.10950000000003</v>
      </c>
      <c r="J1785">
        <v>-490.87729999999999</v>
      </c>
      <c r="K1785">
        <v>1.1275040000000001</v>
      </c>
      <c r="L1785">
        <v>273.08139999999997</v>
      </c>
      <c r="M1785">
        <v>-0.60485540000000004</v>
      </c>
      <c r="N1785">
        <v>-2.651038E-2</v>
      </c>
      <c r="O1785">
        <v>-0.795894199999999</v>
      </c>
      <c r="P1785">
        <v>-0.35523490000000002</v>
      </c>
      <c r="Q1785">
        <v>-0.1062147</v>
      </c>
      <c r="R1785">
        <v>-0.92872350000000004</v>
      </c>
      <c r="S1785">
        <v>-0.92639159999999998</v>
      </c>
      <c r="T1785">
        <v>-0.19936029999999999</v>
      </c>
      <c r="U1785">
        <v>-2.8546140000000002</v>
      </c>
      <c r="V1785">
        <v>-0.2753485</v>
      </c>
      <c r="W1785">
        <v>-9.2884700000000001E-2</v>
      </c>
      <c r="X1785">
        <v>0.95684669999999905</v>
      </c>
      <c r="Y1785">
        <v>-0.32937280000000002</v>
      </c>
      <c r="Z1785">
        <v>2.218931E-2</v>
      </c>
      <c r="AA1785">
        <v>0.94393919999999998</v>
      </c>
      <c r="AB1785">
        <v>37</v>
      </c>
      <c r="AC1785">
        <v>-5.1082000000000098</v>
      </c>
      <c r="AD1785">
        <v>-1.1275085065420001</v>
      </c>
      <c r="AE1785">
        <v>-15.9718999999999</v>
      </c>
      <c r="AF1785">
        <v>-5.57187886000691</v>
      </c>
      <c r="AG1785">
        <v>-1.1275085065420001</v>
      </c>
      <c r="AH1785">
        <v>15.7360748217921</v>
      </c>
      <c r="AI1785">
        <v>93.864010819759997</v>
      </c>
      <c r="AJ1785">
        <v>109.49819630259999</v>
      </c>
      <c r="AK1785">
        <v>16.731442264788601</v>
      </c>
      <c r="AL1785">
        <v>95.329583742236295</v>
      </c>
      <c r="AM1785">
        <v>106.05404998223599</v>
      </c>
      <c r="AN1785">
        <v>0.99999998562361403</v>
      </c>
    </row>
    <row r="1786" spans="1:40" x14ac:dyDescent="0.25">
      <c r="A1786" t="str">
        <f>"20190305135618050"</f>
        <v>20190305135618050</v>
      </c>
      <c r="B1786" t="str">
        <f>"1551765378043814"</f>
        <v>1551765378043814</v>
      </c>
      <c r="C1786" t="s">
        <v>40</v>
      </c>
      <c r="D1786">
        <v>4.3140539999999996</v>
      </c>
      <c r="E1786">
        <v>0.47919030000000001</v>
      </c>
      <c r="F1786" t="s">
        <v>42</v>
      </c>
      <c r="G1786">
        <v>-495.9332</v>
      </c>
      <c r="H1786" s="1">
        <v>-4.5106840000000003E-6</v>
      </c>
      <c r="I1786">
        <v>257.149</v>
      </c>
      <c r="J1786">
        <v>-491.01679999999999</v>
      </c>
      <c r="K1786">
        <v>1.1274900000000001</v>
      </c>
      <c r="L1786">
        <v>272.89350000000002</v>
      </c>
      <c r="M1786">
        <v>-0.59616519999999995</v>
      </c>
      <c r="N1786">
        <v>-2.66845E-2</v>
      </c>
      <c r="O1786">
        <v>-0.80241830000000003</v>
      </c>
      <c r="P1786">
        <v>-0.34557579999999999</v>
      </c>
      <c r="Q1786">
        <v>-0.10681549999999999</v>
      </c>
      <c r="R1786">
        <v>-0.93229200000000001</v>
      </c>
      <c r="S1786">
        <v>-0.90756230000000004</v>
      </c>
      <c r="T1786">
        <v>-0.20239170000000001</v>
      </c>
      <c r="U1786">
        <v>-2.8599239999999999</v>
      </c>
      <c r="V1786">
        <v>-0.27482980000000001</v>
      </c>
      <c r="W1786">
        <v>-9.3269690000000002E-2</v>
      </c>
      <c r="X1786">
        <v>0.95695839999999999</v>
      </c>
      <c r="Y1786">
        <v>-0.32526359999999999</v>
      </c>
      <c r="Z1786">
        <v>2.327048E-2</v>
      </c>
      <c r="AA1786">
        <v>0.94533699999999998</v>
      </c>
      <c r="AB1786">
        <v>37</v>
      </c>
      <c r="AC1786">
        <v>-4.9164000000000003</v>
      </c>
      <c r="AD1786">
        <v>-1.127494510684</v>
      </c>
      <c r="AE1786">
        <v>-15.7445</v>
      </c>
      <c r="AF1786">
        <v>-5.4179354577083796</v>
      </c>
      <c r="AG1786">
        <v>-1.127494510684</v>
      </c>
      <c r="AH1786">
        <v>15.4977890912629</v>
      </c>
      <c r="AI1786">
        <v>93.9286895154072</v>
      </c>
      <c r="AJ1786">
        <v>109.26932467411901</v>
      </c>
      <c r="AK1786">
        <v>16.4562065863547</v>
      </c>
      <c r="AL1786">
        <v>95.351738053037707</v>
      </c>
      <c r="AM1786">
        <v>106.02358702044999</v>
      </c>
      <c r="AN1786">
        <v>1.00000001668564</v>
      </c>
    </row>
    <row r="1787" spans="1:40" x14ac:dyDescent="0.25">
      <c r="A1787" t="str">
        <f>"20190305135618067"</f>
        <v>20190305135618067</v>
      </c>
      <c r="B1787" t="str">
        <f>"1551765378063334"</f>
        <v>1551765378063334</v>
      </c>
      <c r="C1787" t="s">
        <v>40</v>
      </c>
      <c r="D1787">
        <v>4.3191930000000003</v>
      </c>
      <c r="E1787">
        <v>0.48052319999999998</v>
      </c>
      <c r="F1787" t="s">
        <v>42</v>
      </c>
      <c r="G1787">
        <v>-495.93950000000001</v>
      </c>
      <c r="H1787" s="1">
        <v>-4.4143939999999999E-6</v>
      </c>
      <c r="I1787">
        <v>256.86270000000002</v>
      </c>
      <c r="J1787">
        <v>-491.16640000000001</v>
      </c>
      <c r="K1787">
        <v>1.1274740000000001</v>
      </c>
      <c r="L1787">
        <v>272.6859</v>
      </c>
      <c r="M1787">
        <v>-0.58645579999999997</v>
      </c>
      <c r="N1787">
        <v>-2.6853559999999999E-2</v>
      </c>
      <c r="O1787">
        <v>-0.80953599999999903</v>
      </c>
      <c r="P1787">
        <v>-0.33466620000000002</v>
      </c>
      <c r="Q1787">
        <v>-0.1076476</v>
      </c>
      <c r="R1787">
        <v>-0.93616829999999995</v>
      </c>
      <c r="S1787">
        <v>-0.88076779999999999</v>
      </c>
      <c r="T1787">
        <v>-0.20172850000000001</v>
      </c>
      <c r="U1787">
        <v>-2.8681950000000001</v>
      </c>
      <c r="V1787">
        <v>-0.27440229999999999</v>
      </c>
      <c r="W1787">
        <v>-9.3901109999999996E-2</v>
      </c>
      <c r="X1787">
        <v>0.95701930000000002</v>
      </c>
      <c r="Y1787">
        <v>-0.32271420000000001</v>
      </c>
      <c r="Z1787">
        <v>2.348018E-2</v>
      </c>
      <c r="AA1787">
        <v>0.94620510000000002</v>
      </c>
      <c r="AB1787">
        <v>37</v>
      </c>
      <c r="AC1787">
        <v>-4.7731000000000003</v>
      </c>
      <c r="AD1787">
        <v>-1.127478414394</v>
      </c>
      <c r="AE1787">
        <v>-15.8231999999999</v>
      </c>
      <c r="AF1787">
        <v>-5.3924693321195498</v>
      </c>
      <c r="AG1787">
        <v>-1.127478414394</v>
      </c>
      <c r="AH1787">
        <v>15.541963822534401</v>
      </c>
      <c r="AI1787">
        <v>93.9206962414749</v>
      </c>
      <c r="AJ1787">
        <v>109.13482590230601</v>
      </c>
      <c r="AK1787">
        <v>16.489468533998998</v>
      </c>
      <c r="AL1787">
        <v>95.388075369475203</v>
      </c>
      <c r="AM1787">
        <v>105.998972786015</v>
      </c>
      <c r="AN1787">
        <v>0.99999999063850598</v>
      </c>
    </row>
    <row r="1788" spans="1:40" x14ac:dyDescent="0.25">
      <c r="A1788" t="str">
        <f>"20190305135618091"</f>
        <v>20190305135618091</v>
      </c>
      <c r="B1788" t="str">
        <f>"1551765378083829"</f>
        <v>1551765378083829</v>
      </c>
      <c r="C1788" t="s">
        <v>40</v>
      </c>
      <c r="D1788">
        <v>4.3419860000000003</v>
      </c>
      <c r="E1788">
        <v>0.48130919999999999</v>
      </c>
      <c r="F1788" t="s">
        <v>42</v>
      </c>
      <c r="G1788">
        <v>-495.90359999999998</v>
      </c>
      <c r="H1788" s="1">
        <v>-4.3893069999999996E-6</v>
      </c>
      <c r="I1788">
        <v>256.80770000000001</v>
      </c>
      <c r="J1788">
        <v>-491.38479999999998</v>
      </c>
      <c r="K1788">
        <v>1.127451</v>
      </c>
      <c r="L1788">
        <v>272.37259999999998</v>
      </c>
      <c r="M1788">
        <v>-0.57159669999999996</v>
      </c>
      <c r="N1788">
        <v>-2.7063830000000001E-2</v>
      </c>
      <c r="O1788">
        <v>-0.82008829999999999</v>
      </c>
      <c r="P1788">
        <v>-0.31820549999999997</v>
      </c>
      <c r="Q1788">
        <v>-0.10916389999999999</v>
      </c>
      <c r="R1788">
        <v>-0.94171579999999999</v>
      </c>
      <c r="S1788">
        <v>-0.85760499999999995</v>
      </c>
      <c r="T1788">
        <v>-0.20411560000000001</v>
      </c>
      <c r="U1788">
        <v>-2.8745419999999999</v>
      </c>
      <c r="V1788">
        <v>-0.27358209999999999</v>
      </c>
      <c r="W1788">
        <v>-9.5161430000000005E-2</v>
      </c>
      <c r="X1788">
        <v>0.95712969999999997</v>
      </c>
      <c r="Y1788">
        <v>-0.3130348</v>
      </c>
      <c r="Z1788">
        <v>2.4813970000000001E-2</v>
      </c>
      <c r="AA1788">
        <v>0.94941750000000003</v>
      </c>
      <c r="AB1788">
        <v>37</v>
      </c>
      <c r="AC1788">
        <v>-4.5187999999999899</v>
      </c>
      <c r="AD1788">
        <v>-1.1274553893070001</v>
      </c>
      <c r="AE1788">
        <v>-15.5648999999999</v>
      </c>
      <c r="AF1788">
        <v>-5.1679244726682496</v>
      </c>
      <c r="AG1788">
        <v>-1.1274553893070001</v>
      </c>
      <c r="AH1788">
        <v>15.2792096028946</v>
      </c>
      <c r="AI1788">
        <v>93.998476024677004</v>
      </c>
      <c r="AJ1788">
        <v>108.68720519257199</v>
      </c>
      <c r="AK1788">
        <v>16.1688850914115</v>
      </c>
      <c r="AL1788">
        <v>95.460610819389402</v>
      </c>
      <c r="AM1788">
        <v>105.951841710788</v>
      </c>
      <c r="AN1788">
        <v>1.0000000629110699</v>
      </c>
    </row>
    <row r="1789" spans="1:40" x14ac:dyDescent="0.25">
      <c r="A1789" t="str">
        <f>"20190305135618114"</f>
        <v>20190305135618114</v>
      </c>
      <c r="B1789" t="str">
        <f>"1551765378103350"</f>
        <v>1551765378103350</v>
      </c>
      <c r="C1789" t="s">
        <v>40</v>
      </c>
      <c r="D1789">
        <v>4.3328040000000003</v>
      </c>
      <c r="E1789">
        <v>0.48207909999999998</v>
      </c>
      <c r="F1789" t="s">
        <v>42</v>
      </c>
      <c r="G1789">
        <v>-495.78640000000001</v>
      </c>
      <c r="H1789" s="1">
        <v>-4.3507170000000004E-6</v>
      </c>
      <c r="I1789">
        <v>256.75540000000001</v>
      </c>
      <c r="J1789">
        <v>-491.58449999999999</v>
      </c>
      <c r="K1789">
        <v>1.127432</v>
      </c>
      <c r="L1789">
        <v>272.07330000000002</v>
      </c>
      <c r="M1789">
        <v>-0.55715819999999905</v>
      </c>
      <c r="N1789">
        <v>-2.720537E-2</v>
      </c>
      <c r="O1789">
        <v>-0.82996080000000005</v>
      </c>
      <c r="P1789">
        <v>-0.30320999999999998</v>
      </c>
      <c r="Q1789">
        <v>-0.1112112</v>
      </c>
      <c r="R1789">
        <v>-0.94641229999999998</v>
      </c>
      <c r="S1789">
        <v>-0.81356809999999902</v>
      </c>
      <c r="T1789">
        <v>-0.20839269999999999</v>
      </c>
      <c r="U1789">
        <v>-2.8865970000000001</v>
      </c>
      <c r="V1789">
        <v>-0.27182800000000001</v>
      </c>
      <c r="W1789">
        <v>-9.6986920000000004E-2</v>
      </c>
      <c r="X1789">
        <v>0.95744609999999997</v>
      </c>
      <c r="Y1789">
        <v>-0.31087369999999998</v>
      </c>
      <c r="Z1789">
        <v>2.6433370000000001E-2</v>
      </c>
      <c r="AA1789">
        <v>0.95008360000000003</v>
      </c>
      <c r="AB1789">
        <v>36</v>
      </c>
      <c r="AC1789">
        <v>-4.2019000000000197</v>
      </c>
      <c r="AD1789">
        <v>-1.127436350717</v>
      </c>
      <c r="AE1789">
        <v>-15.3179</v>
      </c>
      <c r="AF1789">
        <v>-5.0236390875282897</v>
      </c>
      <c r="AG1789">
        <v>-1.127436350717</v>
      </c>
      <c r="AH1789">
        <v>14.984456382196001</v>
      </c>
      <c r="AI1789">
        <v>94.0804555946454</v>
      </c>
      <c r="AJ1789">
        <v>108.53407117482099</v>
      </c>
      <c r="AK1789">
        <v>15.844304827810999</v>
      </c>
      <c r="AL1789">
        <v>95.565690243693197</v>
      </c>
      <c r="AM1789">
        <v>105.849745648134</v>
      </c>
      <c r="AN1789">
        <v>0.99999997932014795</v>
      </c>
    </row>
    <row r="1790" spans="1:40" x14ac:dyDescent="0.25">
      <c r="A1790" t="str">
        <f>"20190305135618134"</f>
        <v>20190305135618134</v>
      </c>
      <c r="B1790" t="str">
        <f>"1551765378123845"</f>
        <v>1551765378123845</v>
      </c>
      <c r="C1790" t="s">
        <v>40</v>
      </c>
      <c r="D1790">
        <v>4.4508380000000001</v>
      </c>
      <c r="E1790">
        <v>0.48209239999999998</v>
      </c>
      <c r="F1790" t="s">
        <v>42</v>
      </c>
      <c r="G1790">
        <v>-495.66899999999998</v>
      </c>
      <c r="H1790" s="1">
        <v>-4.3420599999999899E-6</v>
      </c>
      <c r="I1790">
        <v>256.7912</v>
      </c>
      <c r="J1790">
        <v>-491.75599999999997</v>
      </c>
      <c r="K1790">
        <v>1.127408</v>
      </c>
      <c r="L1790">
        <v>271.8064</v>
      </c>
      <c r="M1790">
        <v>-0.54408350000000005</v>
      </c>
      <c r="N1790">
        <v>-2.728643E-2</v>
      </c>
      <c r="O1790">
        <v>-0.83858729999999904</v>
      </c>
      <c r="P1790">
        <v>-0.29103329999999999</v>
      </c>
      <c r="Q1790">
        <v>-0.1126182</v>
      </c>
      <c r="R1790">
        <v>-0.9500615</v>
      </c>
      <c r="S1790">
        <v>-0.774231</v>
      </c>
      <c r="T1790">
        <v>-0.2137077</v>
      </c>
      <c r="U1790">
        <v>-2.8967589999999999</v>
      </c>
      <c r="V1790">
        <v>-0.26897969999999999</v>
      </c>
      <c r="W1790">
        <v>-9.8179550000000004E-2</v>
      </c>
      <c r="X1790">
        <v>0.9581288</v>
      </c>
      <c r="Y1790">
        <v>-0.30885889999999999</v>
      </c>
      <c r="Z1790">
        <v>2.8318759999999998E-2</v>
      </c>
      <c r="AA1790">
        <v>0.95068620000000004</v>
      </c>
      <c r="AB1790">
        <v>36</v>
      </c>
      <c r="AC1790">
        <v>-3.9130000000000602</v>
      </c>
      <c r="AD1790">
        <v>-1.12741234206</v>
      </c>
      <c r="AE1790">
        <v>-15.015199999999901</v>
      </c>
      <c r="AF1790">
        <v>-4.8642716448829102</v>
      </c>
      <c r="AG1790">
        <v>-1.12741234206</v>
      </c>
      <c r="AH1790">
        <v>14.648704172472399</v>
      </c>
      <c r="AI1790">
        <v>94.177556720653797</v>
      </c>
      <c r="AJ1790">
        <v>108.369343601758</v>
      </c>
      <c r="AK1790">
        <v>15.4763280902433</v>
      </c>
      <c r="AL1790">
        <v>95.634350204781796</v>
      </c>
      <c r="AM1790">
        <v>105.681257183836</v>
      </c>
      <c r="AN1790">
        <v>1.00000005021986</v>
      </c>
    </row>
    <row r="1791" spans="1:40" x14ac:dyDescent="0.25">
      <c r="A1791" t="str">
        <f>"20190305135618168"</f>
        <v>20190305135618168</v>
      </c>
      <c r="B1791" t="str">
        <f>"1551765378163861"</f>
        <v>1551765378163861</v>
      </c>
      <c r="C1791" t="s">
        <v>40</v>
      </c>
      <c r="D1791">
        <v>4.475543</v>
      </c>
      <c r="E1791">
        <v>0.48227009999999998</v>
      </c>
      <c r="F1791" t="s">
        <v>42</v>
      </c>
      <c r="G1791">
        <v>-495.38170000000002</v>
      </c>
      <c r="H1791" s="1">
        <v>-4.5357350000000004E-6</v>
      </c>
      <c r="I1791">
        <v>257.51010000000002</v>
      </c>
      <c r="J1791">
        <v>-492.0317</v>
      </c>
      <c r="K1791">
        <v>1.1273899999999999</v>
      </c>
      <c r="L1791">
        <v>271.35520000000002</v>
      </c>
      <c r="M1791">
        <v>-0.52156150000000001</v>
      </c>
      <c r="N1791">
        <v>-2.7331279999999999E-2</v>
      </c>
      <c r="O1791">
        <v>-0.85277590000000003</v>
      </c>
      <c r="P1791">
        <v>-0.2682582</v>
      </c>
      <c r="Q1791">
        <v>-0.1135724</v>
      </c>
      <c r="R1791">
        <v>-0.95662910000000001</v>
      </c>
      <c r="S1791">
        <v>-0.73669430000000002</v>
      </c>
      <c r="T1791">
        <v>-0.229077</v>
      </c>
      <c r="U1791">
        <v>-2.904846</v>
      </c>
      <c r="V1791">
        <v>-0.26625850000000001</v>
      </c>
      <c r="W1791">
        <v>-9.8970030000000001E-2</v>
      </c>
      <c r="X1791">
        <v>0.95880730000000003</v>
      </c>
      <c r="Y1791">
        <v>-0.29571380000000003</v>
      </c>
      <c r="Z1791">
        <v>3.359053E-2</v>
      </c>
      <c r="AA1791">
        <v>0.95468589999999998</v>
      </c>
      <c r="AB1791">
        <v>36</v>
      </c>
      <c r="AC1791">
        <v>-3.3500000000000201</v>
      </c>
      <c r="AD1791">
        <v>-1.1273945357349999</v>
      </c>
      <c r="AE1791">
        <v>-13.8451</v>
      </c>
      <c r="AF1791">
        <v>-4.3387248778451397</v>
      </c>
      <c r="AG1791">
        <v>-1.1273945357349999</v>
      </c>
      <c r="AH1791">
        <v>13.474658085014701</v>
      </c>
      <c r="AI1791">
        <v>94.5534841290646</v>
      </c>
      <c r="AJ1791">
        <v>107.848115394985</v>
      </c>
      <c r="AK1791">
        <v>14.2007733068622</v>
      </c>
      <c r="AL1791">
        <v>95.679863052928098</v>
      </c>
      <c r="AM1791">
        <v>105.519846905214</v>
      </c>
      <c r="AN1791">
        <v>1.00000004709686</v>
      </c>
    </row>
    <row r="1792" spans="1:40" x14ac:dyDescent="0.25">
      <c r="A1792" t="str">
        <f>"20190305135618192"</f>
        <v>20190305135618192</v>
      </c>
      <c r="B1792" t="str">
        <f>"1551765378183382"</f>
        <v>1551765378183382</v>
      </c>
      <c r="C1792" t="s">
        <v>40</v>
      </c>
      <c r="D1792">
        <v>4.4783439999999999</v>
      </c>
      <c r="E1792">
        <v>0.48248760000000002</v>
      </c>
      <c r="F1792" t="s">
        <v>42</v>
      </c>
      <c r="G1792">
        <v>-495.04820000000001</v>
      </c>
      <c r="H1792" s="1">
        <v>-4.7102789999999997E-6</v>
      </c>
      <c r="I1792">
        <v>258.19670000000002</v>
      </c>
      <c r="J1792">
        <v>-492.2133</v>
      </c>
      <c r="K1792">
        <v>1.1273679999999999</v>
      </c>
      <c r="L1792">
        <v>271.04020000000003</v>
      </c>
      <c r="M1792">
        <v>-0.50550329999999999</v>
      </c>
      <c r="N1792">
        <v>-2.728624E-2</v>
      </c>
      <c r="O1792">
        <v>-0.86239310000000002</v>
      </c>
      <c r="P1792">
        <v>-0.25324380000000002</v>
      </c>
      <c r="Q1792">
        <v>-0.1167077</v>
      </c>
      <c r="R1792">
        <v>-0.96033690000000005</v>
      </c>
      <c r="S1792">
        <v>-0.66909790000000002</v>
      </c>
      <c r="T1792">
        <v>-0.25006460000000003</v>
      </c>
      <c r="U1792">
        <v>-2.9186399999999999</v>
      </c>
      <c r="V1792">
        <v>-0.26299879999999998</v>
      </c>
      <c r="W1792">
        <v>-0.1020113</v>
      </c>
      <c r="X1792">
        <v>0.95938800000000002</v>
      </c>
      <c r="Y1792">
        <v>-0.29981059999999998</v>
      </c>
      <c r="Z1792">
        <v>3.9754919999999999E-2</v>
      </c>
      <c r="AA1792">
        <v>0.95317010000000002</v>
      </c>
      <c r="AB1792">
        <v>35</v>
      </c>
      <c r="AC1792">
        <v>-2.8349000000000002</v>
      </c>
      <c r="AD1792">
        <v>-1.1273727102790001</v>
      </c>
      <c r="AE1792">
        <v>-12.843500000000001</v>
      </c>
      <c r="AF1792">
        <v>-4.0196091455765997</v>
      </c>
      <c r="AG1792">
        <v>-1.1273727102790001</v>
      </c>
      <c r="AH1792">
        <v>12.422588117769299</v>
      </c>
      <c r="AI1792">
        <v>94.9349214062578</v>
      </c>
      <c r="AJ1792">
        <v>107.930159809828</v>
      </c>
      <c r="AK1792">
        <v>13.105301311104199</v>
      </c>
      <c r="AL1792">
        <v>95.855001852269098</v>
      </c>
      <c r="AM1792">
        <v>105.329996467066</v>
      </c>
      <c r="AN1792">
        <v>1.00000000433656</v>
      </c>
    </row>
    <row r="1793" spans="1:40" x14ac:dyDescent="0.25">
      <c r="A1793" t="str">
        <f>"20190305135618212"</f>
        <v>20190305135618212</v>
      </c>
      <c r="B1793" t="str">
        <f>"1551765378203881"</f>
        <v>1551765378203881</v>
      </c>
      <c r="C1793" t="s">
        <v>40</v>
      </c>
      <c r="D1793">
        <v>4.4821540000000004</v>
      </c>
      <c r="E1793">
        <v>0.48285169999999999</v>
      </c>
      <c r="F1793" t="s">
        <v>42</v>
      </c>
      <c r="G1793">
        <v>-494.86720000000003</v>
      </c>
      <c r="H1793" s="1">
        <v>-4.8202610000000002E-6</v>
      </c>
      <c r="I1793">
        <v>258.61430000000001</v>
      </c>
      <c r="J1793">
        <v>-492.36739999999998</v>
      </c>
      <c r="K1793">
        <v>1.127337</v>
      </c>
      <c r="L1793">
        <v>270.76049999999998</v>
      </c>
      <c r="M1793">
        <v>-0.49102600000000002</v>
      </c>
      <c r="N1793">
        <v>-2.720328E-2</v>
      </c>
      <c r="O1793">
        <v>-0.870720099999999</v>
      </c>
      <c r="P1793">
        <v>-0.24065030000000001</v>
      </c>
      <c r="Q1793">
        <v>-0.1196059</v>
      </c>
      <c r="R1793">
        <v>-0.96321460000000003</v>
      </c>
      <c r="S1793">
        <v>-0.62512209999999901</v>
      </c>
      <c r="T1793">
        <v>-0.26554050000000001</v>
      </c>
      <c r="U1793">
        <v>-2.9267880000000002</v>
      </c>
      <c r="V1793">
        <v>-0.25923289999999999</v>
      </c>
      <c r="W1793">
        <v>-0.1048249</v>
      </c>
      <c r="X1793">
        <v>0.9601094</v>
      </c>
      <c r="Y1793">
        <v>-0.29813089999999998</v>
      </c>
      <c r="Z1793">
        <v>4.4711880000000002E-2</v>
      </c>
      <c r="AA1793">
        <v>0.95347720000000002</v>
      </c>
      <c r="AB1793">
        <v>35</v>
      </c>
      <c r="AC1793">
        <v>-2.49980000000004</v>
      </c>
      <c r="AD1793">
        <v>-1.1273418202609999</v>
      </c>
      <c r="AE1793">
        <v>-12.146199999999901</v>
      </c>
      <c r="AF1793">
        <v>-3.75781969556816</v>
      </c>
      <c r="AG1793">
        <v>-1.1273418202609999</v>
      </c>
      <c r="AH1793">
        <v>11.710991957687</v>
      </c>
      <c r="AI1793">
        <v>95.237114730062899</v>
      </c>
      <c r="AJ1793">
        <v>107.790381670857</v>
      </c>
      <c r="AK1793">
        <v>12.3506858545231</v>
      </c>
      <c r="AL1793">
        <v>96.017078348684194</v>
      </c>
      <c r="AM1793">
        <v>105.10976212164501</v>
      </c>
      <c r="AN1793">
        <v>1.0000000080353899</v>
      </c>
    </row>
    <row r="1794" spans="1:40" x14ac:dyDescent="0.25">
      <c r="A1794" t="str">
        <f>"20190305135618235"</f>
        <v>20190305135618235</v>
      </c>
      <c r="B1794" t="str">
        <f>"1551765378223398"</f>
        <v>1551765378223398</v>
      </c>
      <c r="C1794" t="s">
        <v>40</v>
      </c>
      <c r="D1794">
        <v>4.7434820000000002</v>
      </c>
      <c r="E1794">
        <v>0.48298160000000001</v>
      </c>
      <c r="F1794" t="s">
        <v>42</v>
      </c>
      <c r="G1794">
        <v>-494.76229999999998</v>
      </c>
      <c r="H1794" s="1">
        <v>-4.8839409999999996E-6</v>
      </c>
      <c r="I1794">
        <v>258.85610000000003</v>
      </c>
      <c r="J1794">
        <v>-492.52190000000002</v>
      </c>
      <c r="K1794">
        <v>1.127321</v>
      </c>
      <c r="L1794">
        <v>270.46710000000002</v>
      </c>
      <c r="M1794">
        <v>-0.47561759999999997</v>
      </c>
      <c r="N1794">
        <v>-2.7074750000000002E-2</v>
      </c>
      <c r="O1794">
        <v>-0.87923549999999995</v>
      </c>
      <c r="P1794">
        <v>-0.22680310000000001</v>
      </c>
      <c r="Q1794">
        <v>-0.1211647</v>
      </c>
      <c r="R1794">
        <v>-0.96637459999999997</v>
      </c>
      <c r="S1794">
        <v>-0.58999630000000003</v>
      </c>
      <c r="T1794">
        <v>-0.27772160000000001</v>
      </c>
      <c r="U1794">
        <v>-2.9326479999999999</v>
      </c>
      <c r="V1794">
        <v>-0.25594349999999999</v>
      </c>
      <c r="W1794">
        <v>-0.10636230000000001</v>
      </c>
      <c r="X1794">
        <v>0.96082259999999997</v>
      </c>
      <c r="Y1794">
        <v>-0.29269400000000001</v>
      </c>
      <c r="Z1794">
        <v>4.9081739999999999E-2</v>
      </c>
      <c r="AA1794">
        <v>0.95494570000000001</v>
      </c>
      <c r="AB1794">
        <v>35</v>
      </c>
      <c r="AC1794">
        <v>-2.2403999999999602</v>
      </c>
      <c r="AD1794">
        <v>-1.1273258839409901</v>
      </c>
      <c r="AE1794">
        <v>-11.610999999999899</v>
      </c>
      <c r="AF1794">
        <v>-3.5218514339498599</v>
      </c>
      <c r="AG1794">
        <v>-1.1273258839409901</v>
      </c>
      <c r="AH1794">
        <v>11.1769308511542</v>
      </c>
      <c r="AI1794">
        <v>95.494895587986903</v>
      </c>
      <c r="AJ1794">
        <v>107.489641991147</v>
      </c>
      <c r="AK1794">
        <v>11.772768766220601</v>
      </c>
      <c r="AL1794">
        <v>96.105659912250601</v>
      </c>
      <c r="AM1794">
        <v>104.916058117189</v>
      </c>
      <c r="AN1794">
        <v>1.0000000413621399</v>
      </c>
    </row>
    <row r="1795" spans="1:40" x14ac:dyDescent="0.25">
      <c r="A1795" t="str">
        <f>"20190305135618258"</f>
        <v>20190305135618258</v>
      </c>
      <c r="B1795" t="str">
        <f>"1551765378253653"</f>
        <v>1551765378253653</v>
      </c>
      <c r="C1795" t="s">
        <v>40</v>
      </c>
      <c r="D1795">
        <v>4.3978919999999997</v>
      </c>
      <c r="E1795">
        <v>0.47440500000000002</v>
      </c>
      <c r="F1795" t="s">
        <v>42</v>
      </c>
      <c r="G1795">
        <v>-494.69380000000001</v>
      </c>
      <c r="H1795" s="1">
        <v>-4.863666E-6</v>
      </c>
      <c r="I1795">
        <v>258.8322</v>
      </c>
      <c r="J1795">
        <v>-492.67619999999999</v>
      </c>
      <c r="K1795">
        <v>1.1273059999999999</v>
      </c>
      <c r="L1795">
        <v>270.15960000000001</v>
      </c>
      <c r="M1795">
        <v>-0.45923199999999997</v>
      </c>
      <c r="N1795">
        <v>-2.690727E-2</v>
      </c>
      <c r="O1795">
        <v>-0.8879087</v>
      </c>
      <c r="P1795">
        <v>-0.2122742</v>
      </c>
      <c r="Q1795">
        <v>-0.1220041</v>
      </c>
      <c r="R1795">
        <v>-0.96956410000000004</v>
      </c>
      <c r="S1795">
        <v>-0.5487976</v>
      </c>
      <c r="T1795">
        <v>-0.2848485</v>
      </c>
      <c r="U1795">
        <v>-2.9398499999999999</v>
      </c>
      <c r="V1795">
        <v>-0.25245980000000001</v>
      </c>
      <c r="W1795">
        <v>-0.1072033</v>
      </c>
      <c r="X1795">
        <v>0.96165040000000002</v>
      </c>
      <c r="Y1795">
        <v>-0.28834080000000001</v>
      </c>
      <c r="Z1795">
        <v>5.2184660000000001E-2</v>
      </c>
      <c r="AA1795">
        <v>0.95610479999999998</v>
      </c>
      <c r="AB1795">
        <v>35</v>
      </c>
      <c r="AC1795">
        <v>-2.0176000000000101</v>
      </c>
      <c r="AD1795">
        <v>-1.1273108636660001</v>
      </c>
      <c r="AE1795">
        <v>-11.327400000000001</v>
      </c>
      <c r="AF1795">
        <v>-3.3792551966370699</v>
      </c>
      <c r="AG1795">
        <v>-1.1273108636660001</v>
      </c>
      <c r="AH1795">
        <v>10.8837406963712</v>
      </c>
      <c r="AI1795">
        <v>95.649274703814996</v>
      </c>
      <c r="AJ1795">
        <v>107.248866291657</v>
      </c>
      <c r="AK1795">
        <v>11.451899711977299</v>
      </c>
      <c r="AL1795">
        <v>96.154123041359398</v>
      </c>
      <c r="AM1795">
        <v>104.70978489746</v>
      </c>
      <c r="AN1795">
        <v>0.99999999498354497</v>
      </c>
    </row>
    <row r="1796" spans="1:40" x14ac:dyDescent="0.25">
      <c r="A1796" t="str">
        <f>"20190305135618281"</f>
        <v>20190305135618281</v>
      </c>
      <c r="B1796" t="str">
        <f>"1551765378274150"</f>
        <v>1551765378274150</v>
      </c>
      <c r="C1796" t="s">
        <v>40</v>
      </c>
      <c r="D1796">
        <v>4.3825640000000003</v>
      </c>
      <c r="E1796">
        <v>0.46213690000000002</v>
      </c>
      <c r="F1796" t="s">
        <v>42</v>
      </c>
      <c r="G1796">
        <v>-497.24860000000001</v>
      </c>
      <c r="H1796" s="1">
        <v>-5.3756959999999999E-6</v>
      </c>
      <c r="I1796">
        <v>239.0052</v>
      </c>
      <c r="J1796">
        <v>-492.82799999999997</v>
      </c>
      <c r="K1796">
        <v>1.1272719999999901</v>
      </c>
      <c r="L1796">
        <v>269.84129999999999</v>
      </c>
      <c r="M1796">
        <v>-0.44202010000000003</v>
      </c>
      <c r="N1796">
        <v>-2.67108E-2</v>
      </c>
      <c r="O1796">
        <v>-0.89660740000000005</v>
      </c>
      <c r="P1796">
        <v>-0.1961474</v>
      </c>
      <c r="Q1796">
        <v>-0.1244788</v>
      </c>
      <c r="R1796">
        <v>-0.97264139999999999</v>
      </c>
      <c r="S1796">
        <v>-0.43804929999999997</v>
      </c>
      <c r="T1796">
        <v>-0.1079996</v>
      </c>
      <c r="U1796">
        <v>-2.98468</v>
      </c>
      <c r="V1796">
        <v>-0.2496264</v>
      </c>
      <c r="W1796">
        <v>-0.1097436</v>
      </c>
      <c r="X1796">
        <v>0.96210340000000005</v>
      </c>
      <c r="Y1796">
        <v>-0.30697639999999998</v>
      </c>
      <c r="Z1796">
        <v>3.7906120000000001E-3</v>
      </c>
      <c r="AA1796">
        <v>0.95170960000000004</v>
      </c>
      <c r="AB1796">
        <v>34</v>
      </c>
      <c r="AC1796">
        <v>-4.4205999999999701</v>
      </c>
      <c r="AD1796">
        <v>-1.12727737569599</v>
      </c>
      <c r="AE1796">
        <v>-30.836099999999899</v>
      </c>
      <c r="AF1796">
        <v>-9.6574367949859496</v>
      </c>
      <c r="AG1796">
        <v>-1.12727737569599</v>
      </c>
      <c r="AH1796">
        <v>29.5737071913445</v>
      </c>
      <c r="AI1796">
        <v>92.075175804958704</v>
      </c>
      <c r="AJ1796">
        <v>108.084699030938</v>
      </c>
      <c r="AK1796">
        <v>31.131029484588002</v>
      </c>
      <c r="AL1796">
        <v>96.300535608541793</v>
      </c>
      <c r="AM1796">
        <v>104.54517885425901</v>
      </c>
      <c r="AN1796">
        <v>0.99999997480473901</v>
      </c>
    </row>
    <row r="1797" spans="1:40" x14ac:dyDescent="0.25">
      <c r="A1797" t="str">
        <f>"20190305135618305"</f>
        <v>20190305135618305</v>
      </c>
      <c r="B1797" t="str">
        <f>"1551765378293670"</f>
        <v>1551765378293670</v>
      </c>
      <c r="C1797" t="s">
        <v>40</v>
      </c>
      <c r="D1797">
        <v>4.4187089999999998</v>
      </c>
      <c r="E1797">
        <v>0.45878669999999999</v>
      </c>
      <c r="F1797" t="s">
        <v>42</v>
      </c>
      <c r="G1797">
        <v>-496.31029999999998</v>
      </c>
      <c r="H1797" s="1">
        <v>-3.5006769999999998E-6</v>
      </c>
      <c r="I1797">
        <v>233.9845</v>
      </c>
      <c r="J1797">
        <v>-492.96969999999999</v>
      </c>
      <c r="K1797">
        <v>1.1272439999999999</v>
      </c>
      <c r="L1797">
        <v>269.52769999999998</v>
      </c>
      <c r="M1797">
        <v>-0.4248246</v>
      </c>
      <c r="N1797">
        <v>-2.6505500000000001E-2</v>
      </c>
      <c r="O1797">
        <v>-0.90488760000000001</v>
      </c>
      <c r="P1797">
        <v>-0.17989340000000001</v>
      </c>
      <c r="Q1797">
        <v>-0.12635489999999999</v>
      </c>
      <c r="R1797">
        <v>-0.9755374</v>
      </c>
      <c r="S1797">
        <v>-0.29263309999999998</v>
      </c>
      <c r="T1797">
        <v>-9.4731090000000004E-2</v>
      </c>
      <c r="U1797">
        <v>-3.013245</v>
      </c>
      <c r="V1797">
        <v>-0.24712480000000001</v>
      </c>
      <c r="W1797">
        <v>-0.1117021</v>
      </c>
      <c r="X1797">
        <v>0.96252380000000004</v>
      </c>
      <c r="Y1797">
        <v>-0.33521469999999998</v>
      </c>
      <c r="Z1797" s="1">
        <v>8.1232280000000003E-5</v>
      </c>
      <c r="AA1797">
        <v>0.94214180000000003</v>
      </c>
      <c r="AB1797">
        <v>34</v>
      </c>
      <c r="AC1797">
        <v>-3.34059999999999</v>
      </c>
      <c r="AD1797">
        <v>-1.127247500677</v>
      </c>
      <c r="AE1797">
        <v>-35.543199999999899</v>
      </c>
      <c r="AF1797">
        <v>-12.0689692844935</v>
      </c>
      <c r="AG1797">
        <v>-1.127247500677</v>
      </c>
      <c r="AH1797">
        <v>33.5601113947423</v>
      </c>
      <c r="AI1797">
        <v>91.810355451597303</v>
      </c>
      <c r="AJ1797">
        <v>109.779723591356</v>
      </c>
      <c r="AK1797">
        <v>35.6820933150697</v>
      </c>
      <c r="AL1797">
        <v>96.413443192719498</v>
      </c>
      <c r="AM1797">
        <v>104.399480211953</v>
      </c>
      <c r="AN1797">
        <v>1.0000000457429401</v>
      </c>
    </row>
    <row r="1798" spans="1:40" x14ac:dyDescent="0.25">
      <c r="A1798" t="str">
        <f>"20190305135618324"</f>
        <v>20190305135618324</v>
      </c>
      <c r="B1798" t="str">
        <f>"1551765378314165"</f>
        <v>1551765378314165</v>
      </c>
      <c r="C1798" t="s">
        <v>40</v>
      </c>
      <c r="D1798">
        <v>4.4245130000000001</v>
      </c>
      <c r="E1798">
        <v>0.4580283</v>
      </c>
      <c r="F1798" t="s">
        <v>42</v>
      </c>
      <c r="G1798">
        <v>-494.91539999999998</v>
      </c>
      <c r="H1798" s="1">
        <v>-2.4993439999999999E-6</v>
      </c>
      <c r="I1798">
        <v>242.3665</v>
      </c>
      <c r="J1798">
        <v>-493.08850000000001</v>
      </c>
      <c r="K1798">
        <v>1.127229</v>
      </c>
      <c r="L1798">
        <v>269.25060000000002</v>
      </c>
      <c r="M1798">
        <v>-0.40942329999999999</v>
      </c>
      <c r="N1798">
        <v>-2.6321110000000002E-2</v>
      </c>
      <c r="O1798">
        <v>-0.91196500000000003</v>
      </c>
      <c r="P1798">
        <v>-0.16527</v>
      </c>
      <c r="Q1798">
        <v>-0.1253707</v>
      </c>
      <c r="R1798">
        <v>-0.9782478</v>
      </c>
      <c r="S1798">
        <v>-0.2162781</v>
      </c>
      <c r="T1798">
        <v>-0.1253012</v>
      </c>
      <c r="U1798">
        <v>-3.0191650000000001</v>
      </c>
      <c r="V1798">
        <v>-0.24530969999999999</v>
      </c>
      <c r="W1798">
        <v>-0.11079749999999999</v>
      </c>
      <c r="X1798">
        <v>0.96309239999999996</v>
      </c>
      <c r="Y1798">
        <v>-0.3430105</v>
      </c>
      <c r="Z1798">
        <v>8.8256359999999996E-3</v>
      </c>
      <c r="AA1798">
        <v>0.93929010000000002</v>
      </c>
      <c r="AB1798">
        <v>34</v>
      </c>
      <c r="AC1798">
        <v>-1.82689999999996</v>
      </c>
      <c r="AD1798">
        <v>-1.127231499344</v>
      </c>
      <c r="AE1798">
        <v>-26.8841</v>
      </c>
      <c r="AF1798">
        <v>-9.3278200387966397</v>
      </c>
      <c r="AG1798">
        <v>-1.127231499344</v>
      </c>
      <c r="AH1798">
        <v>25.229933082876599</v>
      </c>
      <c r="AI1798">
        <v>92.399634616394906</v>
      </c>
      <c r="AJ1798">
        <v>110.289980172255</v>
      </c>
      <c r="AK1798">
        <v>26.922637331727401</v>
      </c>
      <c r="AL1798">
        <v>96.361290279742903</v>
      </c>
      <c r="AM1798">
        <v>104.289973752957</v>
      </c>
      <c r="AN1798">
        <v>0.99999995292904797</v>
      </c>
    </row>
    <row r="1799" spans="1:40" x14ac:dyDescent="0.25">
      <c r="A1799" t="str">
        <f>"20190305135618348"</f>
        <v>20190305135618348</v>
      </c>
      <c r="B1799" t="str">
        <f>"1551765378343446"</f>
        <v>1551765378343446</v>
      </c>
      <c r="C1799" t="s">
        <v>40</v>
      </c>
      <c r="D1799">
        <v>4.4368109999999996</v>
      </c>
      <c r="E1799">
        <v>0.457457</v>
      </c>
      <c r="F1799" t="s">
        <v>42</v>
      </c>
      <c r="G1799">
        <v>-494.3965</v>
      </c>
      <c r="H1799" s="1">
        <v>-3.595871E-6</v>
      </c>
      <c r="I1799">
        <v>245.26179999999999</v>
      </c>
      <c r="J1799">
        <v>-493.21050000000002</v>
      </c>
      <c r="K1799">
        <v>1.127224</v>
      </c>
      <c r="L1799">
        <v>268.9504</v>
      </c>
      <c r="M1799">
        <v>-0.39252690000000001</v>
      </c>
      <c r="N1799">
        <v>-2.6120580000000001E-2</v>
      </c>
      <c r="O1799">
        <v>-0.91936980000000001</v>
      </c>
      <c r="P1799">
        <v>-0.14891399999999999</v>
      </c>
      <c r="Q1799">
        <v>-0.1223882</v>
      </c>
      <c r="R1799">
        <v>-0.98124750000000005</v>
      </c>
      <c r="S1799">
        <v>-0.1647034</v>
      </c>
      <c r="T1799">
        <v>-0.14194200000000001</v>
      </c>
      <c r="U1799">
        <v>-3.0206909999999998</v>
      </c>
      <c r="V1799">
        <v>-0.243896</v>
      </c>
      <c r="W1799">
        <v>-0.1079181</v>
      </c>
      <c r="X1799">
        <v>0.96377820000000003</v>
      </c>
      <c r="Y1799">
        <v>-0.34166370000000001</v>
      </c>
      <c r="Z1799">
        <v>1.4047240000000001E-2</v>
      </c>
      <c r="AA1799">
        <v>0.93971729999999998</v>
      </c>
      <c r="AB1799">
        <v>34</v>
      </c>
      <c r="AC1799">
        <v>-1.18599999999997</v>
      </c>
      <c r="AD1799">
        <v>-1.1272275958710001</v>
      </c>
      <c r="AE1799">
        <v>-23.688600000000001</v>
      </c>
      <c r="AF1799">
        <v>-8.1923357376250401</v>
      </c>
      <c r="AG1799">
        <v>-1.1272275958710001</v>
      </c>
      <c r="AH1799">
        <v>22.201560781395202</v>
      </c>
      <c r="AI1799">
        <v>92.727111652446993</v>
      </c>
      <c r="AJ1799">
        <v>110.25396952703299</v>
      </c>
      <c r="AK1799">
        <v>23.691650597222001</v>
      </c>
      <c r="AL1799">
        <v>96.195317039643598</v>
      </c>
      <c r="AM1799">
        <v>104.20126400738</v>
      </c>
      <c r="AN1799">
        <v>0.99999999695942499</v>
      </c>
    </row>
    <row r="1800" spans="1:40" x14ac:dyDescent="0.25">
      <c r="A1800" t="str">
        <f>"20190305135618371"</f>
        <v>20190305135618371</v>
      </c>
      <c r="B1800" t="str">
        <f>"1551765378363942"</f>
        <v>1551765378363942</v>
      </c>
      <c r="C1800" t="s">
        <v>40</v>
      </c>
      <c r="D1800">
        <v>4.4838420000000001</v>
      </c>
      <c r="E1800">
        <v>0.4575379</v>
      </c>
      <c r="F1800" t="s">
        <v>42</v>
      </c>
      <c r="G1800">
        <v>-494.0505</v>
      </c>
      <c r="H1800" s="1">
        <v>-3.7168339999999998E-6</v>
      </c>
      <c r="I1800">
        <v>245.79759999999999</v>
      </c>
      <c r="J1800">
        <v>-493.33359999999999</v>
      </c>
      <c r="K1800">
        <v>1.1272070000000001</v>
      </c>
      <c r="L1800">
        <v>268.62889999999999</v>
      </c>
      <c r="M1800">
        <v>-0.37416660000000002</v>
      </c>
      <c r="N1800">
        <v>-2.590485E-2</v>
      </c>
      <c r="O1800">
        <v>-0.92699960000000003</v>
      </c>
      <c r="P1800">
        <v>-0.13108629999999999</v>
      </c>
      <c r="Q1800">
        <v>-0.1200436</v>
      </c>
      <c r="R1800">
        <v>-0.98407630000000001</v>
      </c>
      <c r="S1800">
        <v>-0.1096497</v>
      </c>
      <c r="T1800">
        <v>-0.14714650000000001</v>
      </c>
      <c r="U1800">
        <v>-3.0223390000000001</v>
      </c>
      <c r="V1800">
        <v>-0.24242559999999999</v>
      </c>
      <c r="W1800">
        <v>-0.10568900000000001</v>
      </c>
      <c r="X1800">
        <v>0.96439600000000003</v>
      </c>
      <c r="Y1800">
        <v>-0.34007989999999999</v>
      </c>
      <c r="Z1800">
        <v>1.6170589999999999E-2</v>
      </c>
      <c r="AA1800">
        <v>0.94025749999999997</v>
      </c>
      <c r="AB1800">
        <v>34</v>
      </c>
      <c r="AC1800">
        <v>-0.71690000000000897</v>
      </c>
      <c r="AD1800">
        <v>-1.127210716834</v>
      </c>
      <c r="AE1800">
        <v>-22.831299999999999</v>
      </c>
      <c r="AF1800">
        <v>-7.8616446382028</v>
      </c>
      <c r="AG1800">
        <v>-1.127210716834</v>
      </c>
      <c r="AH1800">
        <v>21.387959067384902</v>
      </c>
      <c r="AI1800">
        <v>92.831949603450099</v>
      </c>
      <c r="AJ1800">
        <v>110.182084637366</v>
      </c>
      <c r="AK1800">
        <v>22.814926111773001</v>
      </c>
      <c r="AL1800">
        <v>96.066864296968703</v>
      </c>
      <c r="AM1800">
        <v>104.110397966162</v>
      </c>
      <c r="AN1800">
        <v>0.99999999053617905</v>
      </c>
    </row>
    <row r="1801" spans="1:40" x14ac:dyDescent="0.25">
      <c r="A1801" t="str">
        <f>"20190305135618394"</f>
        <v>20190305135618394</v>
      </c>
      <c r="B1801" t="str">
        <f>"1551765378383462"</f>
        <v>1551765378383462</v>
      </c>
      <c r="C1801" t="s">
        <v>40</v>
      </c>
      <c r="D1801">
        <v>4.5470139999999999</v>
      </c>
      <c r="E1801">
        <v>0.45769199999999999</v>
      </c>
      <c r="F1801" t="s">
        <v>42</v>
      </c>
      <c r="G1801">
        <v>-493.73430000000002</v>
      </c>
      <c r="H1801" s="1">
        <v>-4.0059839999999998E-6</v>
      </c>
      <c r="I1801">
        <v>246.81209999999999</v>
      </c>
      <c r="J1801">
        <v>-493.44760000000002</v>
      </c>
      <c r="K1801">
        <v>1.1271789999999999</v>
      </c>
      <c r="L1801">
        <v>268.30930000000001</v>
      </c>
      <c r="M1801">
        <v>-0.35565590000000002</v>
      </c>
      <c r="N1801">
        <v>-2.5697830000000001E-2</v>
      </c>
      <c r="O1801">
        <v>-0.93426359999999997</v>
      </c>
      <c r="P1801">
        <v>-0.11298030000000001</v>
      </c>
      <c r="Q1801">
        <v>-0.1192585</v>
      </c>
      <c r="R1801">
        <v>-0.98641440000000002</v>
      </c>
      <c r="S1801">
        <v>-5.551147E-2</v>
      </c>
      <c r="T1801">
        <v>-0.15614430000000001</v>
      </c>
      <c r="U1801">
        <v>-3.022125</v>
      </c>
      <c r="V1801">
        <v>-0.2410349</v>
      </c>
      <c r="W1801">
        <v>-0.1050196</v>
      </c>
      <c r="X1801">
        <v>0.96481760000000005</v>
      </c>
      <c r="Y1801">
        <v>-0.33819490000000002</v>
      </c>
      <c r="Z1801">
        <v>1.9425580000000001E-2</v>
      </c>
      <c r="AA1801">
        <v>0.94087560000000003</v>
      </c>
      <c r="AB1801">
        <v>33</v>
      </c>
      <c r="AC1801">
        <v>-0.28669999999999601</v>
      </c>
      <c r="AD1801">
        <v>-1.127183005984</v>
      </c>
      <c r="AE1801">
        <v>-21.497199999999999</v>
      </c>
      <c r="AF1801">
        <v>-7.3599587315704804</v>
      </c>
      <c r="AG1801">
        <v>-1.127183005984</v>
      </c>
      <c r="AH1801">
        <v>20.1373327026885</v>
      </c>
      <c r="AI1801">
        <v>93.009463400546693</v>
      </c>
      <c r="AJ1801">
        <v>110.07676475852701</v>
      </c>
      <c r="AK1801">
        <v>21.469785803267001</v>
      </c>
      <c r="AL1801">
        <v>96.028295980256203</v>
      </c>
      <c r="AM1801">
        <v>104.026769407993</v>
      </c>
      <c r="AN1801">
        <v>0.99999997033596399</v>
      </c>
    </row>
    <row r="1802" spans="1:40" x14ac:dyDescent="0.25">
      <c r="A1802" t="str">
        <f>"20190305135618415"</f>
        <v>20190305135618415</v>
      </c>
      <c r="B1802" t="str">
        <f>"1551765378403962"</f>
        <v>1551765378403962</v>
      </c>
      <c r="C1802" t="s">
        <v>40</v>
      </c>
      <c r="D1802">
        <v>4.5162990000000001</v>
      </c>
      <c r="E1802">
        <v>0.4582524</v>
      </c>
      <c r="F1802" t="s">
        <v>42</v>
      </c>
      <c r="G1802">
        <v>-493.45499999999998</v>
      </c>
      <c r="H1802" s="1">
        <v>-4.1276150000000003E-6</v>
      </c>
      <c r="I1802">
        <v>247.3151</v>
      </c>
      <c r="J1802">
        <v>-493.54430000000002</v>
      </c>
      <c r="K1802">
        <v>1.1271500000000001</v>
      </c>
      <c r="L1802">
        <v>268.02100000000002</v>
      </c>
      <c r="M1802">
        <v>-0.33874100000000001</v>
      </c>
      <c r="N1802">
        <v>-2.55319E-2</v>
      </c>
      <c r="O1802">
        <v>-0.94053330000000002</v>
      </c>
      <c r="P1802">
        <v>-9.7055730000000007E-2</v>
      </c>
      <c r="Q1802">
        <v>-0.1192015</v>
      </c>
      <c r="R1802">
        <v>-0.98811530000000003</v>
      </c>
      <c r="S1802">
        <v>-1.0681149999999999E-3</v>
      </c>
      <c r="T1802">
        <v>-0.16223009999999999</v>
      </c>
      <c r="U1802">
        <v>-3.0216059999999998</v>
      </c>
      <c r="V1802">
        <v>-0.23919750000000001</v>
      </c>
      <c r="W1802">
        <v>-0.1050174</v>
      </c>
      <c r="X1802">
        <v>0.96527499999999999</v>
      </c>
      <c r="Y1802">
        <v>-0.33815489999999998</v>
      </c>
      <c r="Z1802">
        <v>2.1768740000000002E-2</v>
      </c>
      <c r="AA1802">
        <v>0.94083859999999997</v>
      </c>
      <c r="AB1802">
        <v>33</v>
      </c>
      <c r="AC1802">
        <v>8.9300000000037003E-2</v>
      </c>
      <c r="AD1802">
        <v>-1.1271541276149999</v>
      </c>
      <c r="AE1802">
        <v>-20.7058999999999</v>
      </c>
      <c r="AF1802">
        <v>-7.0792629727434804</v>
      </c>
      <c r="AG1802">
        <v>-1.1271541276149999</v>
      </c>
      <c r="AH1802">
        <v>19.393210204064399</v>
      </c>
      <c r="AI1802">
        <v>93.125085091282401</v>
      </c>
      <c r="AJ1802">
        <v>110.054014626601</v>
      </c>
      <c r="AK1802">
        <v>20.675663053060301</v>
      </c>
      <c r="AL1802">
        <v>96.028169279271495</v>
      </c>
      <c r="AM1802">
        <v>103.917677925981</v>
      </c>
      <c r="AN1802">
        <v>0.99999996196700403</v>
      </c>
    </row>
    <row r="1803" spans="1:40" x14ac:dyDescent="0.25">
      <c r="A1803" t="str">
        <f>"20190305135618437"</f>
        <v>20190305135618437</v>
      </c>
      <c r="B1803" t="str">
        <f>"1551765378434214"</f>
        <v>1551765378434214</v>
      </c>
      <c r="C1803" t="s">
        <v>40</v>
      </c>
      <c r="D1803">
        <v>4.5273859999999999</v>
      </c>
      <c r="E1803">
        <v>0.45924920000000002</v>
      </c>
      <c r="F1803" t="s">
        <v>42</v>
      </c>
      <c r="G1803">
        <v>-493.24369999999999</v>
      </c>
      <c r="H1803" s="1">
        <v>-3.9613020000000001E-6</v>
      </c>
      <c r="I1803">
        <v>246.9365</v>
      </c>
      <c r="J1803">
        <v>-493.63729999999998</v>
      </c>
      <c r="K1803">
        <v>1.1271279999999999</v>
      </c>
      <c r="L1803">
        <v>267.72430000000003</v>
      </c>
      <c r="M1803">
        <v>-0.32112800000000002</v>
      </c>
      <c r="N1803">
        <v>-2.5387179999999999E-2</v>
      </c>
      <c r="O1803">
        <v>-0.94669539999999996</v>
      </c>
      <c r="P1803">
        <v>-8.1131789999999995E-2</v>
      </c>
      <c r="Q1803">
        <v>-0.1182362</v>
      </c>
      <c r="R1803">
        <v>-0.98966569999999998</v>
      </c>
      <c r="S1803">
        <v>4.3060300000000003E-2</v>
      </c>
      <c r="T1803">
        <v>-0.16149079999999999</v>
      </c>
      <c r="U1803">
        <v>-3.0208439999999999</v>
      </c>
      <c r="V1803">
        <v>-0.23681360000000001</v>
      </c>
      <c r="W1803">
        <v>-0.1040519</v>
      </c>
      <c r="X1803">
        <v>0.96596709999999997</v>
      </c>
      <c r="Y1803">
        <v>-0.33433869999999999</v>
      </c>
      <c r="Z1803">
        <v>2.2172420000000002E-2</v>
      </c>
      <c r="AA1803">
        <v>0.94219209999999998</v>
      </c>
      <c r="AB1803">
        <v>33</v>
      </c>
      <c r="AC1803">
        <v>0.39359999999999201</v>
      </c>
      <c r="AD1803">
        <v>-1.1271319613019899</v>
      </c>
      <c r="AE1803">
        <v>-20.787800000000001</v>
      </c>
      <c r="AF1803">
        <v>-7.0297773342327696</v>
      </c>
      <c r="AG1803">
        <v>-1.1271319613019899</v>
      </c>
      <c r="AH1803">
        <v>19.502309723417302</v>
      </c>
      <c r="AI1803">
        <v>93.112132562374001</v>
      </c>
      <c r="AJ1803">
        <v>109.82213954179799</v>
      </c>
      <c r="AK1803">
        <v>20.761220589723901</v>
      </c>
      <c r="AL1803">
        <v>95.972545470275307</v>
      </c>
      <c r="AM1803">
        <v>103.774786644101</v>
      </c>
      <c r="AN1803">
        <v>0.99999995866048896</v>
      </c>
    </row>
    <row r="1804" spans="1:40" x14ac:dyDescent="0.25">
      <c r="A1804" t="str">
        <f>"20190305135618461"</f>
        <v>20190305135618461</v>
      </c>
      <c r="B1804" t="str">
        <f>"1551765378453734"</f>
        <v>1551765378453734</v>
      </c>
      <c r="C1804" t="s">
        <v>40</v>
      </c>
      <c r="D1804">
        <v>4.5193680000000001</v>
      </c>
      <c r="E1804">
        <v>0.46030460000000001</v>
      </c>
      <c r="F1804" t="s">
        <v>42</v>
      </c>
      <c r="G1804">
        <v>-493.05180000000001</v>
      </c>
      <c r="H1804" s="1">
        <v>-3.7765970000000001E-6</v>
      </c>
      <c r="I1804">
        <v>246.49969999999999</v>
      </c>
      <c r="J1804">
        <v>-493.73410000000001</v>
      </c>
      <c r="K1804">
        <v>1.127105</v>
      </c>
      <c r="L1804">
        <v>267.39109999999999</v>
      </c>
      <c r="M1804">
        <v>-0.30108390000000002</v>
      </c>
      <c r="N1804">
        <v>-2.525378E-2</v>
      </c>
      <c r="O1804">
        <v>-0.95326319999999998</v>
      </c>
      <c r="P1804">
        <v>-6.2992919999999994E-2</v>
      </c>
      <c r="Q1804">
        <v>-0.11634170000000001</v>
      </c>
      <c r="R1804">
        <v>-0.99120969999999997</v>
      </c>
      <c r="S1804">
        <v>8.3282469999999997E-2</v>
      </c>
      <c r="T1804">
        <v>-0.1603224</v>
      </c>
      <c r="U1804">
        <v>-3.0189819999999998</v>
      </c>
      <c r="V1804">
        <v>-0.2342871</v>
      </c>
      <c r="W1804">
        <v>-0.1021319</v>
      </c>
      <c r="X1804">
        <v>0.96678779999999997</v>
      </c>
      <c r="Y1804">
        <v>-0.32701330000000001</v>
      </c>
      <c r="Z1804">
        <v>2.2524700000000002E-2</v>
      </c>
      <c r="AA1804">
        <v>0.94475129999999996</v>
      </c>
      <c r="AB1804">
        <v>33</v>
      </c>
      <c r="AC1804">
        <v>0.68229999999999702</v>
      </c>
      <c r="AD1804">
        <v>-1.127108776597</v>
      </c>
      <c r="AE1804">
        <v>-20.891400000000001</v>
      </c>
      <c r="AF1804">
        <v>-6.9225619050755602</v>
      </c>
      <c r="AG1804">
        <v>-1.127108776597</v>
      </c>
      <c r="AH1804">
        <v>19.658701735379601</v>
      </c>
      <c r="AI1804">
        <v>93.095476509501793</v>
      </c>
      <c r="AJ1804">
        <v>109.399067023724</v>
      </c>
      <c r="AK1804">
        <v>20.872393045468101</v>
      </c>
      <c r="AL1804">
        <v>95.861947967969002</v>
      </c>
      <c r="AM1804">
        <v>103.62219774986799</v>
      </c>
      <c r="AN1804">
        <v>1.0000000102264299</v>
      </c>
    </row>
    <row r="1805" spans="1:40" x14ac:dyDescent="0.25">
      <c r="A1805" t="str">
        <f>"20190305135618484"</f>
        <v>20190305135618484</v>
      </c>
      <c r="B1805" t="str">
        <f>"1551765378474230"</f>
        <v>1551765378474230</v>
      </c>
      <c r="C1805" t="s">
        <v>40</v>
      </c>
      <c r="D1805">
        <v>4.4750699999999997</v>
      </c>
      <c r="E1805">
        <v>0.4614296</v>
      </c>
      <c r="F1805" t="s">
        <v>42</v>
      </c>
      <c r="G1805">
        <v>-492.8116</v>
      </c>
      <c r="H1805" s="1">
        <v>-3.4668879999999999E-6</v>
      </c>
      <c r="I1805">
        <v>245.92670000000001</v>
      </c>
      <c r="J1805">
        <v>-493.81970000000001</v>
      </c>
      <c r="K1805">
        <v>1.127087</v>
      </c>
      <c r="L1805">
        <v>267.07150000000001</v>
      </c>
      <c r="M1805">
        <v>-0.28158280000000002</v>
      </c>
      <c r="N1805">
        <v>-2.5150390000000002E-2</v>
      </c>
      <c r="O1805">
        <v>-0.95920749999999999</v>
      </c>
      <c r="P1805">
        <v>-4.582779E-2</v>
      </c>
      <c r="Q1805">
        <v>-0.11608889999999999</v>
      </c>
      <c r="R1805">
        <v>-0.99218130000000004</v>
      </c>
      <c r="S1805">
        <v>0.1296387</v>
      </c>
      <c r="T1805">
        <v>-0.15838540000000001</v>
      </c>
      <c r="U1805">
        <v>-3.0162659999999999</v>
      </c>
      <c r="V1805">
        <v>-0.23133870000000001</v>
      </c>
      <c r="W1805">
        <v>-0.101812</v>
      </c>
      <c r="X1805">
        <v>0.96753129999999998</v>
      </c>
      <c r="Y1805">
        <v>-0.32227339999999999</v>
      </c>
      <c r="Z1805">
        <v>2.2540459999999998E-2</v>
      </c>
      <c r="AA1805">
        <v>0.94637819999999995</v>
      </c>
      <c r="AB1805">
        <v>33</v>
      </c>
      <c r="AC1805">
        <v>1.00810000000001</v>
      </c>
      <c r="AD1805">
        <v>-1.127090466888</v>
      </c>
      <c r="AE1805">
        <v>-21.1448</v>
      </c>
      <c r="AF1805">
        <v>-6.9036070494049202</v>
      </c>
      <c r="AG1805">
        <v>-1.127090466888</v>
      </c>
      <c r="AH1805">
        <v>19.948161301069199</v>
      </c>
      <c r="AI1805">
        <v>93.056342428764594</v>
      </c>
      <c r="AJ1805">
        <v>109.08957861657299</v>
      </c>
      <c r="AK1805">
        <v>21.139045922335701</v>
      </c>
      <c r="AL1805">
        <v>95.843522788466501</v>
      </c>
      <c r="AM1805">
        <v>103.447075714794</v>
      </c>
      <c r="AN1805">
        <v>1.00000004697068</v>
      </c>
    </row>
    <row r="1806" spans="1:40" x14ac:dyDescent="0.25">
      <c r="A1806" t="str">
        <f>"20190305135618506"</f>
        <v>20190305135618506</v>
      </c>
      <c r="B1806" t="str">
        <f>"1551765378493750"</f>
        <v>1551765378493750</v>
      </c>
      <c r="C1806" t="s">
        <v>40</v>
      </c>
      <c r="D1806">
        <v>4.4475629999999997</v>
      </c>
      <c r="E1806">
        <v>0.47641119999999998</v>
      </c>
      <c r="F1806" t="s">
        <v>42</v>
      </c>
      <c r="G1806">
        <v>-492.65469999999999</v>
      </c>
      <c r="H1806" s="1">
        <v>-3.8161520000000004E-6</v>
      </c>
      <c r="I1806">
        <v>246.8381</v>
      </c>
      <c r="J1806">
        <v>-493.8886</v>
      </c>
      <c r="K1806">
        <v>1.1270709999999999</v>
      </c>
      <c r="L1806">
        <v>266.7912</v>
      </c>
      <c r="M1806">
        <v>-0.26425130000000002</v>
      </c>
      <c r="N1806">
        <v>-2.507705E-2</v>
      </c>
      <c r="O1806">
        <v>-0.96412790000000004</v>
      </c>
      <c r="P1806">
        <v>-3.1689120000000001E-2</v>
      </c>
      <c r="Q1806">
        <v>-0.11574520000000001</v>
      </c>
      <c r="R1806">
        <v>-0.99277349999999998</v>
      </c>
      <c r="S1806">
        <v>0.17343140000000001</v>
      </c>
      <c r="T1806">
        <v>-0.167785299999999</v>
      </c>
      <c r="U1806">
        <v>-3.012054</v>
      </c>
      <c r="V1806">
        <v>-0.22772690000000001</v>
      </c>
      <c r="W1806">
        <v>-0.1013439</v>
      </c>
      <c r="X1806">
        <v>0.96843679999999999</v>
      </c>
      <c r="Y1806">
        <v>-0.31897979999999998</v>
      </c>
      <c r="Z1806">
        <v>2.59005E-2</v>
      </c>
      <c r="AA1806">
        <v>0.94740749999999996</v>
      </c>
      <c r="AB1806">
        <v>32</v>
      </c>
      <c r="AC1806">
        <v>1.2339</v>
      </c>
      <c r="AD1806">
        <v>-1.1270748161519999</v>
      </c>
      <c r="AE1806">
        <v>-19.953099999999999</v>
      </c>
      <c r="AF1806">
        <v>-6.44382030595896</v>
      </c>
      <c r="AG1806">
        <v>-1.1270748161519999</v>
      </c>
      <c r="AH1806">
        <v>18.857289182921502</v>
      </c>
      <c r="AI1806">
        <v>93.237069121628494</v>
      </c>
      <c r="AJ1806">
        <v>108.866072045778</v>
      </c>
      <c r="AK1806">
        <v>19.959721268219699</v>
      </c>
      <c r="AL1806">
        <v>95.8165635719688</v>
      </c>
      <c r="AM1806">
        <v>103.23263868135599</v>
      </c>
      <c r="AN1806">
        <v>0.99999998132252899</v>
      </c>
    </row>
    <row r="1807" spans="1:40" x14ac:dyDescent="0.25">
      <c r="A1807" t="str">
        <f>"20190305135618526"</f>
        <v>20190305135618526</v>
      </c>
      <c r="B1807" t="str">
        <f>"1551765378524008"</f>
        <v>1551765378524008</v>
      </c>
      <c r="C1807" t="s">
        <v>40</v>
      </c>
      <c r="D1807">
        <v>4.4569580000000002</v>
      </c>
      <c r="E1807">
        <v>0.48297380000000001</v>
      </c>
      <c r="F1807" t="s">
        <v>42</v>
      </c>
      <c r="G1807">
        <v>-493.48630000000003</v>
      </c>
      <c r="H1807" s="1">
        <v>-2.8672109999999999E-6</v>
      </c>
      <c r="I1807">
        <v>254.1103</v>
      </c>
      <c r="J1807">
        <v>-493.95359999999999</v>
      </c>
      <c r="K1807">
        <v>1.1270610000000001</v>
      </c>
      <c r="L1807">
        <v>266.50290000000001</v>
      </c>
      <c r="M1807">
        <v>-0.24620149999999999</v>
      </c>
      <c r="N1807">
        <v>-2.501577E-2</v>
      </c>
      <c r="O1807">
        <v>-0.96889570000000003</v>
      </c>
      <c r="P1807">
        <v>-1.6957440000000001E-2</v>
      </c>
      <c r="Q1807">
        <v>-0.1161811</v>
      </c>
      <c r="R1807">
        <v>-0.9930833</v>
      </c>
      <c r="S1807">
        <v>9.4970700000000005E-2</v>
      </c>
      <c r="T1807">
        <v>-0.26609169999999999</v>
      </c>
      <c r="U1807">
        <v>-2.9938349999999998</v>
      </c>
      <c r="V1807">
        <v>-0.22399440000000001</v>
      </c>
      <c r="W1807">
        <v>-0.1016432</v>
      </c>
      <c r="X1807">
        <v>0.96927560000000001</v>
      </c>
      <c r="Y1807">
        <v>-0.27641290000000002</v>
      </c>
      <c r="Z1807">
        <v>5.7652050000000003E-2</v>
      </c>
      <c r="AA1807">
        <v>0.9593081</v>
      </c>
      <c r="AB1807">
        <v>32</v>
      </c>
      <c r="AC1807">
        <v>0.46729999999996602</v>
      </c>
      <c r="AD1807">
        <v>-1.127063867211</v>
      </c>
      <c r="AE1807">
        <v>-12.3926</v>
      </c>
      <c r="AF1807">
        <v>-3.4762268041931899</v>
      </c>
      <c r="AG1807">
        <v>-1.127063867211</v>
      </c>
      <c r="AH1807">
        <v>11.798361657596899</v>
      </c>
      <c r="AI1807">
        <v>95.235538991298</v>
      </c>
      <c r="AJ1807">
        <v>106.416892413431</v>
      </c>
      <c r="AK1807">
        <v>12.3513466293525</v>
      </c>
      <c r="AL1807">
        <v>95.833801042784103</v>
      </c>
      <c r="AM1807">
        <v>103.012317634906</v>
      </c>
      <c r="AN1807">
        <v>1.0000000100464701</v>
      </c>
    </row>
    <row r="1808" spans="1:40" x14ac:dyDescent="0.25">
      <c r="A1808" t="str">
        <f>"20190305135618552"</f>
        <v>20190305135618552</v>
      </c>
      <c r="B1808" t="str">
        <f>"1551765378543526"</f>
        <v>1551765378543526</v>
      </c>
      <c r="C1808" t="s">
        <v>40</v>
      </c>
      <c r="D1808">
        <v>4.4176469999999997</v>
      </c>
      <c r="E1808">
        <v>0.48339140000000003</v>
      </c>
      <c r="F1808" t="s">
        <v>42</v>
      </c>
      <c r="G1808">
        <v>-493.40359999999998</v>
      </c>
      <c r="H1808" s="1">
        <v>-4.3385180000000001E-6</v>
      </c>
      <c r="I1808">
        <v>247.9616</v>
      </c>
      <c r="J1808">
        <v>-494.0231</v>
      </c>
      <c r="K1808">
        <v>1.12707</v>
      </c>
      <c r="L1808">
        <v>266.16030000000001</v>
      </c>
      <c r="M1808">
        <v>-0.2244467</v>
      </c>
      <c r="N1808">
        <v>-2.4958850000000001E-2</v>
      </c>
      <c r="O1808">
        <v>-0.97416689999999995</v>
      </c>
      <c r="P1808">
        <v>7.3573409999999997E-4</v>
      </c>
      <c r="Q1808">
        <v>-0.1148962</v>
      </c>
      <c r="R1808">
        <v>-0.99337730000000002</v>
      </c>
      <c r="S1808">
        <v>8.9019780000000007E-2</v>
      </c>
      <c r="T1808">
        <v>-0.1824231</v>
      </c>
      <c r="U1808">
        <v>-3.0010379999999999</v>
      </c>
      <c r="V1808">
        <v>-0.21966649999999999</v>
      </c>
      <c r="W1808">
        <v>-0.10018290000000001</v>
      </c>
      <c r="X1808">
        <v>0.97041739999999999</v>
      </c>
      <c r="Y1808">
        <v>-0.2530152</v>
      </c>
      <c r="Z1808">
        <v>3.233511E-2</v>
      </c>
      <c r="AA1808">
        <v>0.96692180000000005</v>
      </c>
      <c r="AB1808">
        <v>32</v>
      </c>
      <c r="AC1808">
        <v>0.61950000000001604</v>
      </c>
      <c r="AD1808">
        <v>-1.127074338518</v>
      </c>
      <c r="AE1808">
        <v>-18.198699999999999</v>
      </c>
      <c r="AF1808">
        <v>-4.6716968343146501</v>
      </c>
      <c r="AG1808">
        <v>-1.127074338518</v>
      </c>
      <c r="AH1808">
        <v>17.527853351379601</v>
      </c>
      <c r="AI1808">
        <v>93.555380249343301</v>
      </c>
      <c r="AJ1808">
        <v>104.924100510193</v>
      </c>
      <c r="AK1808">
        <v>18.174726710015801</v>
      </c>
      <c r="AL1808">
        <v>95.749703011443998</v>
      </c>
      <c r="AM1808">
        <v>102.754687618468</v>
      </c>
      <c r="AN1808">
        <v>0.99999995744870895</v>
      </c>
    </row>
    <row r="1809" spans="1:40" x14ac:dyDescent="0.25">
      <c r="A1809" t="str">
        <f>"20190305135618572"</f>
        <v>20190305135618572</v>
      </c>
      <c r="B1809" t="str">
        <f>"1551765378564022"</f>
        <v>1551765378564022</v>
      </c>
      <c r="C1809" t="s">
        <v>40</v>
      </c>
      <c r="D1809">
        <v>4.3979290000000004</v>
      </c>
      <c r="E1809">
        <v>0.4740335</v>
      </c>
      <c r="F1809" t="s">
        <v>42</v>
      </c>
      <c r="G1809">
        <v>-493.16899999999998</v>
      </c>
      <c r="H1809" s="1">
        <v>-4.1946919999999996E-6</v>
      </c>
      <c r="I1809">
        <v>247.66120000000001</v>
      </c>
      <c r="J1809">
        <v>-494.07279999999997</v>
      </c>
      <c r="K1809">
        <v>1.1270789999999999</v>
      </c>
      <c r="L1809">
        <v>265.88459999999998</v>
      </c>
      <c r="M1809">
        <v>-0.2067011</v>
      </c>
      <c r="N1809">
        <v>-2.4923239999999999E-2</v>
      </c>
      <c r="O1809">
        <v>-0.97808689999999998</v>
      </c>
      <c r="P1809">
        <v>1.456327E-2</v>
      </c>
      <c r="Q1809">
        <v>-0.111845</v>
      </c>
      <c r="R1809">
        <v>-0.99361969999999999</v>
      </c>
      <c r="S1809">
        <v>0.13845829999999901</v>
      </c>
      <c r="T1809">
        <v>-0.1827059</v>
      </c>
      <c r="U1809">
        <v>-2.9988100000000002</v>
      </c>
      <c r="V1809">
        <v>-0.2157521</v>
      </c>
      <c r="W1809">
        <v>-9.6954860000000004E-2</v>
      </c>
      <c r="X1809">
        <v>0.97162280000000001</v>
      </c>
      <c r="Y1809">
        <v>-0.25136849999999999</v>
      </c>
      <c r="Z1809">
        <v>3.2817539999999999E-2</v>
      </c>
      <c r="AA1809">
        <v>0.9673349</v>
      </c>
      <c r="AB1809">
        <v>32</v>
      </c>
      <c r="AC1809">
        <v>0.90379999999993199</v>
      </c>
      <c r="AD1809">
        <v>-1.1270831946919999</v>
      </c>
      <c r="AE1809">
        <v>-18.223399999999899</v>
      </c>
      <c r="AF1809">
        <v>-4.6345511998795503</v>
      </c>
      <c r="AG1809">
        <v>-1.1270831946919999</v>
      </c>
      <c r="AH1809">
        <v>17.575663069362999</v>
      </c>
      <c r="AI1809">
        <v>93.548248840555104</v>
      </c>
      <c r="AJ1809">
        <v>104.772146911547</v>
      </c>
      <c r="AK1809">
        <v>18.211351231576199</v>
      </c>
      <c r="AL1809">
        <v>95.563844307129401</v>
      </c>
      <c r="AM1809">
        <v>102.519587169902</v>
      </c>
      <c r="AN1809">
        <v>1.0000000395059301</v>
      </c>
    </row>
    <row r="1810" spans="1:40" x14ac:dyDescent="0.25">
      <c r="A1810" t="str">
        <f>"20190305135618594"</f>
        <v>20190305135618594</v>
      </c>
      <c r="B1810" t="str">
        <f>"1551765378583546"</f>
        <v>1551765378583546</v>
      </c>
      <c r="C1810" t="s">
        <v>40</v>
      </c>
      <c r="D1810">
        <v>4.3726229999999999</v>
      </c>
      <c r="E1810">
        <v>0.46915069999999998</v>
      </c>
      <c r="F1810" t="s">
        <v>42</v>
      </c>
      <c r="G1810">
        <v>-492.48660000000001</v>
      </c>
      <c r="H1810" s="1">
        <v>-3.9342579999999999E-6</v>
      </c>
      <c r="I1810">
        <v>247.2516</v>
      </c>
      <c r="J1810">
        <v>-494.12049999999999</v>
      </c>
      <c r="K1810">
        <v>1.1270929999999999</v>
      </c>
      <c r="L1810">
        <v>265.58539999999999</v>
      </c>
      <c r="M1810">
        <v>-0.18718969999999999</v>
      </c>
      <c r="N1810">
        <v>-2.489363E-2</v>
      </c>
      <c r="O1810">
        <v>-0.98200849999999995</v>
      </c>
      <c r="P1810">
        <v>3.1444479999999997E-2</v>
      </c>
      <c r="Q1810">
        <v>-0.1091258</v>
      </c>
      <c r="R1810">
        <v>-0.99353100000000005</v>
      </c>
      <c r="S1810">
        <v>0.25497439999999999</v>
      </c>
      <c r="T1810">
        <v>-0.18117269999999999</v>
      </c>
      <c r="U1810">
        <v>-2.9951479999999999</v>
      </c>
      <c r="V1810">
        <v>-0.21310480000000001</v>
      </c>
      <c r="W1810">
        <v>-9.4117409999999999E-2</v>
      </c>
      <c r="X1810">
        <v>0.97248559999999995</v>
      </c>
      <c r="Y1810">
        <v>-0.26955639999999997</v>
      </c>
      <c r="Z1810">
        <v>3.2485310000000003E-2</v>
      </c>
      <c r="AA1810">
        <v>0.96243650000000003</v>
      </c>
      <c r="AB1810">
        <v>32</v>
      </c>
      <c r="AC1810">
        <v>1.6338999999999799</v>
      </c>
      <c r="AD1810">
        <v>-1.1270969342579999</v>
      </c>
      <c r="AE1810">
        <v>-18.3338</v>
      </c>
      <c r="AF1810">
        <v>-5.0191428666285001</v>
      </c>
      <c r="AG1810">
        <v>-1.1270969342579999</v>
      </c>
      <c r="AH1810">
        <v>17.637448234170201</v>
      </c>
      <c r="AI1810">
        <v>93.517166754746995</v>
      </c>
      <c r="AJ1810">
        <v>105.88492593402199</v>
      </c>
      <c r="AK1810">
        <v>18.3723085873245</v>
      </c>
      <c r="AL1810">
        <v>95.400523566120299</v>
      </c>
      <c r="AM1810">
        <v>102.36009034190199</v>
      </c>
      <c r="AN1810">
        <v>0.99999999242775395</v>
      </c>
    </row>
    <row r="1811" spans="1:40" x14ac:dyDescent="0.25">
      <c r="A1811" t="str">
        <f>"20190305135618616"</f>
        <v>20190305135618616</v>
      </c>
      <c r="B1811" t="str">
        <f>"1551765378604038"</f>
        <v>1551765378604038</v>
      </c>
      <c r="C1811" t="s">
        <v>40</v>
      </c>
      <c r="D1811">
        <v>4.3872720000000003</v>
      </c>
      <c r="E1811">
        <v>0.46705580000000002</v>
      </c>
      <c r="F1811" t="s">
        <v>42</v>
      </c>
      <c r="G1811">
        <v>-491.81760000000003</v>
      </c>
      <c r="H1811" s="1">
        <v>-3.0653710000000002E-6</v>
      </c>
      <c r="I1811">
        <v>245.60720000000001</v>
      </c>
      <c r="J1811">
        <v>-494.16050000000001</v>
      </c>
      <c r="K1811">
        <v>1.1270979999999999</v>
      </c>
      <c r="L1811">
        <v>265.29640000000001</v>
      </c>
      <c r="M1811">
        <v>-0.16809499999999999</v>
      </c>
      <c r="N1811">
        <v>-2.4871999999999998E-2</v>
      </c>
      <c r="O1811">
        <v>-0.98545689999999997</v>
      </c>
      <c r="P1811">
        <v>4.8307389999999999E-2</v>
      </c>
      <c r="Q1811">
        <v>-0.1088336</v>
      </c>
      <c r="R1811">
        <v>-0.99288549999999998</v>
      </c>
      <c r="S1811">
        <v>0.34466550000000001</v>
      </c>
      <c r="T1811">
        <v>-0.16869100000000001</v>
      </c>
      <c r="U1811">
        <v>-2.9901119999999999</v>
      </c>
      <c r="V1811">
        <v>-0.21076800000000001</v>
      </c>
      <c r="W1811">
        <v>-9.3725000000000003E-2</v>
      </c>
      <c r="X1811">
        <v>0.97303269999999997</v>
      </c>
      <c r="Y1811">
        <v>-0.27958630000000001</v>
      </c>
      <c r="Z1811">
        <v>2.872736E-2</v>
      </c>
      <c r="AA1811">
        <v>0.95969070000000001</v>
      </c>
      <c r="AB1811">
        <v>31</v>
      </c>
      <c r="AC1811">
        <v>2.3428999999999802</v>
      </c>
      <c r="AD1811">
        <v>-1.1271010653710001</v>
      </c>
      <c r="AE1811">
        <v>-19.6892</v>
      </c>
      <c r="AF1811">
        <v>-5.6021205761275699</v>
      </c>
      <c r="AG1811">
        <v>-1.1271010653710001</v>
      </c>
      <c r="AH1811">
        <v>18.953669036683898</v>
      </c>
      <c r="AI1811">
        <v>93.263887384297306</v>
      </c>
      <c r="AJ1811">
        <v>106.466055828797</v>
      </c>
      <c r="AK1811">
        <v>19.796355263360599</v>
      </c>
      <c r="AL1811">
        <v>95.377939828382694</v>
      </c>
      <c r="AM1811">
        <v>102.221986975313</v>
      </c>
      <c r="AN1811">
        <v>1.00000008035914</v>
      </c>
    </row>
    <row r="1812" spans="1:40" x14ac:dyDescent="0.25">
      <c r="A1812" t="str">
        <f>"20190305135618639"</f>
        <v>20190305135618639</v>
      </c>
      <c r="B1812" t="str">
        <f>"1551765378634294"</f>
        <v>1551765378634294</v>
      </c>
      <c r="C1812" t="s">
        <v>40</v>
      </c>
      <c r="D1812">
        <v>4.3860809999999999</v>
      </c>
      <c r="E1812">
        <v>0.46588069999999998</v>
      </c>
      <c r="F1812" t="s">
        <v>42</v>
      </c>
      <c r="G1812">
        <v>-491.34309999999999</v>
      </c>
      <c r="H1812" s="1">
        <v>-2.643087E-6</v>
      </c>
      <c r="I1812">
        <v>244.91720000000001</v>
      </c>
      <c r="J1812">
        <v>-494.19670000000002</v>
      </c>
      <c r="K1812">
        <v>1.1270899999999999</v>
      </c>
      <c r="L1812">
        <v>264.98689999999999</v>
      </c>
      <c r="M1812">
        <v>-0.1473757</v>
      </c>
      <c r="N1812">
        <v>-2.4855660000000002E-2</v>
      </c>
      <c r="O1812">
        <v>-0.98876839999999999</v>
      </c>
      <c r="P1812">
        <v>6.4778989999999995E-2</v>
      </c>
      <c r="Q1812">
        <v>-0.11030239999999999</v>
      </c>
      <c r="R1812">
        <v>-0.99178489999999997</v>
      </c>
      <c r="S1812">
        <v>0.41244510000000001</v>
      </c>
      <c r="T1812">
        <v>-0.164996</v>
      </c>
      <c r="U1812">
        <v>-2.9833069999999999</v>
      </c>
      <c r="V1812">
        <v>-0.20642360000000001</v>
      </c>
      <c r="W1812">
        <v>-9.4999239999999999E-2</v>
      </c>
      <c r="X1812">
        <v>0.97384009999999999</v>
      </c>
      <c r="Y1812">
        <v>-0.28114860000000003</v>
      </c>
      <c r="Z1812">
        <v>2.7860650000000001E-2</v>
      </c>
      <c r="AA1812">
        <v>0.95925970000000005</v>
      </c>
      <c r="AB1812">
        <v>31</v>
      </c>
      <c r="AC1812">
        <v>2.8536000000000201</v>
      </c>
      <c r="AD1812">
        <v>-1.1270926430870001</v>
      </c>
      <c r="AE1812">
        <v>-20.069699999999902</v>
      </c>
      <c r="AF1812">
        <v>-5.7633043897322302</v>
      </c>
      <c r="AG1812">
        <v>-1.1270926430870001</v>
      </c>
      <c r="AH1812">
        <v>19.3698546879316</v>
      </c>
      <c r="AI1812">
        <v>93.192169953346706</v>
      </c>
      <c r="AJ1812">
        <v>106.569841194779</v>
      </c>
      <c r="AK1812">
        <v>20.240486307062699</v>
      </c>
      <c r="AL1812">
        <v>95.451275800214006</v>
      </c>
      <c r="AM1812">
        <v>101.96776901186399</v>
      </c>
      <c r="AN1812">
        <v>1.0000000493027701</v>
      </c>
    </row>
    <row r="1813" spans="1:40" x14ac:dyDescent="0.25">
      <c r="A1813" t="str">
        <f>"20190305135618663"</f>
        <v>20190305135618663</v>
      </c>
      <c r="B1813" t="str">
        <f>"1551765378653814"</f>
        <v>1551765378653814</v>
      </c>
      <c r="C1813" t="s">
        <v>40</v>
      </c>
      <c r="D1813">
        <v>4.3882440000000003</v>
      </c>
      <c r="E1813">
        <v>0.4656653</v>
      </c>
      <c r="F1813" t="s">
        <v>42</v>
      </c>
      <c r="G1813">
        <v>-491.03960000000001</v>
      </c>
      <c r="H1813" s="1">
        <v>-2.6103490000000001E-6</v>
      </c>
      <c r="I1813">
        <v>245.0291</v>
      </c>
      <c r="J1813">
        <v>-494.22770000000003</v>
      </c>
      <c r="K1813">
        <v>1.127094</v>
      </c>
      <c r="L1813">
        <v>264.65769999999998</v>
      </c>
      <c r="M1813">
        <v>-0.12502099999999999</v>
      </c>
      <c r="N1813">
        <v>-2.483805E-2</v>
      </c>
      <c r="O1813">
        <v>-0.99184329999999998</v>
      </c>
      <c r="P1813">
        <v>8.3309079999999994E-2</v>
      </c>
      <c r="Q1813">
        <v>-0.11053</v>
      </c>
      <c r="R1813">
        <v>-0.99037520000000001</v>
      </c>
      <c r="S1813">
        <v>0.4706726</v>
      </c>
      <c r="T1813">
        <v>-0.168032399999999</v>
      </c>
      <c r="U1813">
        <v>-2.975403</v>
      </c>
      <c r="V1813">
        <v>-0.20264969999999999</v>
      </c>
      <c r="W1813">
        <v>-9.5058500000000004E-2</v>
      </c>
      <c r="X1813">
        <v>0.97462660000000001</v>
      </c>
      <c r="Y1813">
        <v>-0.278194</v>
      </c>
      <c r="Z1813">
        <v>2.9207170000000001E-2</v>
      </c>
      <c r="AA1813">
        <v>0.96008070000000001</v>
      </c>
      <c r="AB1813">
        <v>31</v>
      </c>
      <c r="AC1813">
        <v>3.1881000000000199</v>
      </c>
      <c r="AD1813">
        <v>-1.1270966103489899</v>
      </c>
      <c r="AE1813">
        <v>-19.628599999999899</v>
      </c>
      <c r="AF1813">
        <v>-5.5998260029904703</v>
      </c>
      <c r="AG1813">
        <v>-1.1270966103489899</v>
      </c>
      <c r="AH1813">
        <v>19.0147144412432</v>
      </c>
      <c r="AI1813">
        <v>93.254361170002895</v>
      </c>
      <c r="AJ1813">
        <v>106.409680733448</v>
      </c>
      <c r="AK1813">
        <v>19.854162367494901</v>
      </c>
      <c r="AL1813">
        <v>95.454686774451602</v>
      </c>
      <c r="AM1813">
        <v>101.745890688215</v>
      </c>
      <c r="AN1813">
        <v>1.0000000143799499</v>
      </c>
    </row>
    <row r="1814" spans="1:40" x14ac:dyDescent="0.25">
      <c r="A1814" t="str">
        <f>"20190305135618686"</f>
        <v>20190305135618686</v>
      </c>
      <c r="B1814" t="str">
        <f>"1551765378674310"</f>
        <v>1551765378674310</v>
      </c>
      <c r="C1814" t="s">
        <v>40</v>
      </c>
      <c r="D1814">
        <v>4.2929259999999996</v>
      </c>
      <c r="E1814">
        <v>0.46571760000000001</v>
      </c>
      <c r="F1814" t="s">
        <v>42</v>
      </c>
      <c r="G1814">
        <v>-490.7056</v>
      </c>
      <c r="H1814" s="1">
        <v>-2.438277E-6</v>
      </c>
      <c r="I1814">
        <v>244.83519999999999</v>
      </c>
      <c r="J1814">
        <v>-494.24849999999998</v>
      </c>
      <c r="K1814">
        <v>1.1271089999999999</v>
      </c>
      <c r="L1814">
        <v>264.36680000000001</v>
      </c>
      <c r="M1814">
        <v>-0.104973</v>
      </c>
      <c r="N1814">
        <v>-2.4806479999999999E-2</v>
      </c>
      <c r="O1814">
        <v>-0.99416579999999999</v>
      </c>
      <c r="P1814">
        <v>9.7191269999999996E-2</v>
      </c>
      <c r="Q1814">
        <v>-0.10648829999999999</v>
      </c>
      <c r="R1814">
        <v>-0.9895526</v>
      </c>
      <c r="S1814">
        <v>0.52700809999999998</v>
      </c>
      <c r="T1814">
        <v>-0.16864670000000001</v>
      </c>
      <c r="U1814">
        <v>-2.9660340000000001</v>
      </c>
      <c r="V1814">
        <v>-0.1968791</v>
      </c>
      <c r="W1814">
        <v>-9.0756569999999995E-2</v>
      </c>
      <c r="X1814">
        <v>0.97621820000000004</v>
      </c>
      <c r="Y1814">
        <v>-0.27700330000000001</v>
      </c>
      <c r="Z1814">
        <v>2.9742620000000001E-2</v>
      </c>
      <c r="AA1814">
        <v>0.9604085</v>
      </c>
      <c r="AB1814">
        <v>31</v>
      </c>
      <c r="AC1814">
        <v>3.5428999999999702</v>
      </c>
      <c r="AD1814">
        <v>-1.127111438277</v>
      </c>
      <c r="AE1814">
        <v>-19.531600000000001</v>
      </c>
      <c r="AF1814">
        <v>-5.5563213723110101</v>
      </c>
      <c r="AG1814">
        <v>-1.127111438277</v>
      </c>
      <c r="AH1814">
        <v>18.9903740350811</v>
      </c>
      <c r="AI1814">
        <v>93.260247991619906</v>
      </c>
      <c r="AJ1814">
        <v>106.308747534861</v>
      </c>
      <c r="AK1814">
        <v>19.818612297004499</v>
      </c>
      <c r="AL1814">
        <v>95.207133206600702</v>
      </c>
      <c r="AM1814">
        <v>101.402198549556</v>
      </c>
      <c r="AN1814">
        <v>1.0000000545131</v>
      </c>
    </row>
    <row r="1815" spans="1:40" x14ac:dyDescent="0.25">
      <c r="A1815" t="str">
        <f>"20190305135618708"</f>
        <v>20190305135618708</v>
      </c>
      <c r="B1815" t="str">
        <f>"1551765378703591"</f>
        <v>1551765378703591</v>
      </c>
      <c r="C1815" t="s">
        <v>40</v>
      </c>
      <c r="D1815">
        <v>4.3666589999999896</v>
      </c>
      <c r="E1815">
        <v>0.46638679999999899</v>
      </c>
      <c r="F1815" t="s">
        <v>42</v>
      </c>
      <c r="G1815">
        <v>-490.12509999999997</v>
      </c>
      <c r="H1815" s="1">
        <v>-1.4493339999999999E-6</v>
      </c>
      <c r="I1815">
        <v>242.89</v>
      </c>
      <c r="J1815">
        <v>-494.26319999999998</v>
      </c>
      <c r="K1815">
        <v>1.1271180000000001</v>
      </c>
      <c r="L1815">
        <v>264.07639999999998</v>
      </c>
      <c r="M1815">
        <v>-8.4664660000000003E-2</v>
      </c>
      <c r="N1815">
        <v>-2.4747120000000001E-2</v>
      </c>
      <c r="O1815">
        <v>-0.99610209999999999</v>
      </c>
      <c r="P1815">
        <v>0.1118711</v>
      </c>
      <c r="Q1815">
        <v>-0.1034219</v>
      </c>
      <c r="R1815">
        <v>-0.98832600000000004</v>
      </c>
      <c r="S1815">
        <v>0.56814580000000003</v>
      </c>
      <c r="T1815">
        <v>-0.15529660000000001</v>
      </c>
      <c r="U1815">
        <v>-2.9591370000000001</v>
      </c>
      <c r="V1815">
        <v>-0.19162009999999999</v>
      </c>
      <c r="W1815">
        <v>-8.7491199999999894E-2</v>
      </c>
      <c r="X1815">
        <v>0.97756180000000004</v>
      </c>
      <c r="Y1815">
        <v>-0.2707292</v>
      </c>
      <c r="Z1815">
        <v>2.5755480000000001E-2</v>
      </c>
      <c r="AA1815">
        <v>0.96231089999999997</v>
      </c>
      <c r="AB1815">
        <v>31</v>
      </c>
      <c r="AC1815">
        <v>4.1380999999999997</v>
      </c>
      <c r="AD1815">
        <v>-1.127119449334</v>
      </c>
      <c r="AE1815">
        <v>-21.1863999999999</v>
      </c>
      <c r="AF1815">
        <v>-5.9014331934359801</v>
      </c>
      <c r="AG1815">
        <v>-1.127119449334</v>
      </c>
      <c r="AH1815">
        <v>20.7033827901897</v>
      </c>
      <c r="AI1815">
        <v>92.997032943093998</v>
      </c>
      <c r="AJ1815">
        <v>105.910032364573</v>
      </c>
      <c r="AK1815">
        <v>21.557536291208599</v>
      </c>
      <c r="AL1815">
        <v>95.0192938729231</v>
      </c>
      <c r="AM1815">
        <v>101.090410776645</v>
      </c>
      <c r="AN1815">
        <v>1.0000000228103401</v>
      </c>
    </row>
    <row r="1816" spans="1:40" x14ac:dyDescent="0.25">
      <c r="A1816" t="str">
        <f>"20190305135618729"</f>
        <v>20190305135618729</v>
      </c>
      <c r="B1816" t="str">
        <f>"1551765378724086"</f>
        <v>1551765378724086</v>
      </c>
      <c r="C1816" t="s">
        <v>40</v>
      </c>
      <c r="D1816">
        <v>4.3631840000000004</v>
      </c>
      <c r="E1816">
        <v>0.4673621</v>
      </c>
      <c r="F1816" t="s">
        <v>42</v>
      </c>
      <c r="G1816">
        <v>-489.78640000000001</v>
      </c>
      <c r="H1816" s="1">
        <v>-1.1881319999999999E-6</v>
      </c>
      <c r="I1816">
        <v>242.31399999999999</v>
      </c>
      <c r="J1816">
        <v>-494.2715</v>
      </c>
      <c r="K1816">
        <v>1.1271089999999999</v>
      </c>
      <c r="L1816">
        <v>263.78680000000003</v>
      </c>
      <c r="M1816">
        <v>-6.4141710000000005E-2</v>
      </c>
      <c r="N1816">
        <v>-2.4657499999999999E-2</v>
      </c>
      <c r="O1816">
        <v>-0.99763619999999997</v>
      </c>
      <c r="P1816">
        <v>0.12648529999999999</v>
      </c>
      <c r="Q1816">
        <v>-0.10338990000000001</v>
      </c>
      <c r="R1816">
        <v>-0.98656580000000005</v>
      </c>
      <c r="S1816">
        <v>0.60699459999999905</v>
      </c>
      <c r="T1816">
        <v>-0.15282399999999999</v>
      </c>
      <c r="U1816">
        <v>-2.9507140000000001</v>
      </c>
      <c r="V1816">
        <v>-0.1859731</v>
      </c>
      <c r="W1816">
        <v>-8.7286459999999996E-2</v>
      </c>
      <c r="X1816">
        <v>0.97867009999999999</v>
      </c>
      <c r="Y1816">
        <v>-0.2636135</v>
      </c>
      <c r="Z1816">
        <v>2.532272E-2</v>
      </c>
      <c r="AA1816">
        <v>0.96429600000000004</v>
      </c>
      <c r="AB1816">
        <v>31</v>
      </c>
      <c r="AC1816">
        <v>4.4850999999999797</v>
      </c>
      <c r="AD1816">
        <v>-1.12711018813199</v>
      </c>
      <c r="AE1816">
        <v>-21.472799999999999</v>
      </c>
      <c r="AF1816">
        <v>-5.8381665996347802</v>
      </c>
      <c r="AG1816">
        <v>-1.12711018813199</v>
      </c>
      <c r="AH1816">
        <v>21.085121390979701</v>
      </c>
      <c r="AI1816">
        <v>92.949094655895195</v>
      </c>
      <c r="AJ1816">
        <v>105.476644097983</v>
      </c>
      <c r="AK1816">
        <v>21.907462443049699</v>
      </c>
      <c r="AL1816">
        <v>95.0075179863952</v>
      </c>
      <c r="AM1816">
        <v>100.759423829241</v>
      </c>
      <c r="AN1816">
        <v>1.0000000423284701</v>
      </c>
    </row>
    <row r="1817" spans="1:40" x14ac:dyDescent="0.25">
      <c r="A1817" t="str">
        <f>"20190305135618753"</f>
        <v>20190305135618753</v>
      </c>
      <c r="B1817" t="str">
        <f>"1551765378743607"</f>
        <v>1551765378743607</v>
      </c>
      <c r="C1817" t="s">
        <v>40</v>
      </c>
      <c r="D1817">
        <v>4.4368569999999998</v>
      </c>
      <c r="E1817">
        <v>0.46859079999999897</v>
      </c>
      <c r="F1817" t="s">
        <v>42</v>
      </c>
      <c r="G1817">
        <v>-489.74099999999999</v>
      </c>
      <c r="H1817" s="1">
        <v>-1.511728E-6</v>
      </c>
      <c r="I1817">
        <v>243.0496</v>
      </c>
      <c r="J1817">
        <v>-494.27289999999999</v>
      </c>
      <c r="K1817">
        <v>1.1270899999999999</v>
      </c>
      <c r="L1817">
        <v>263.48559999999998</v>
      </c>
      <c r="M1817">
        <v>-4.2441670000000001E-2</v>
      </c>
      <c r="N1817">
        <v>-2.4508439999999999E-2</v>
      </c>
      <c r="O1817">
        <v>-0.99879839999999998</v>
      </c>
      <c r="P1817">
        <v>0.1398944</v>
      </c>
      <c r="Q1817">
        <v>-0.10778989999999999</v>
      </c>
      <c r="R1817">
        <v>-0.98428210000000005</v>
      </c>
      <c r="S1817">
        <v>0.64266969999999901</v>
      </c>
      <c r="T1817">
        <v>-0.1598859</v>
      </c>
      <c r="U1817">
        <v>-2.941681</v>
      </c>
      <c r="V1817">
        <v>-0.1778129</v>
      </c>
      <c r="W1817">
        <v>-9.1474379999999994E-2</v>
      </c>
      <c r="X1817">
        <v>0.9798036</v>
      </c>
      <c r="Y1817">
        <v>-0.25439539999999999</v>
      </c>
      <c r="Z1817">
        <v>2.8084649999999999E-2</v>
      </c>
      <c r="AA1817">
        <v>0.96669240000000001</v>
      </c>
      <c r="AB1817">
        <v>30</v>
      </c>
      <c r="AC1817">
        <v>4.5319000000000003</v>
      </c>
      <c r="AD1817">
        <v>-1.12709151172799</v>
      </c>
      <c r="AE1817">
        <v>-20.4359999999999</v>
      </c>
      <c r="AF1817">
        <v>-5.3798154110283898</v>
      </c>
      <c r="AG1817">
        <v>-1.12709151172799</v>
      </c>
      <c r="AH1817">
        <v>20.166708593524501</v>
      </c>
      <c r="AI1817">
        <v>93.090986111609098</v>
      </c>
      <c r="AJ1817">
        <v>104.93679218102901</v>
      </c>
      <c r="AK1817">
        <v>20.9023655271045</v>
      </c>
      <c r="AL1817">
        <v>95.248432545336698</v>
      </c>
      <c r="AM1817">
        <v>100.28598385901</v>
      </c>
      <c r="AN1817">
        <v>1.0000000420878701</v>
      </c>
    </row>
    <row r="1818" spans="1:40" x14ac:dyDescent="0.25">
      <c r="A1818" t="str">
        <f>"20190305135618775"</f>
        <v>20190305135618775</v>
      </c>
      <c r="B1818" t="str">
        <f>"1551765378764103"</f>
        <v>1551765378764103</v>
      </c>
      <c r="C1818" t="s">
        <v>40</v>
      </c>
      <c r="D1818">
        <v>4.4449239999999897</v>
      </c>
      <c r="E1818">
        <v>0.46978120000000001</v>
      </c>
      <c r="F1818" t="s">
        <v>42</v>
      </c>
      <c r="G1818">
        <v>-490.03590000000003</v>
      </c>
      <c r="H1818" s="1">
        <v>-2.3289420000000002E-6</v>
      </c>
      <c r="I1818">
        <v>244.9957</v>
      </c>
      <c r="J1818">
        <v>-494.26749999999998</v>
      </c>
      <c r="K1818">
        <v>1.1270800000000001</v>
      </c>
      <c r="L1818">
        <v>263.18680000000001</v>
      </c>
      <c r="M1818">
        <v>-2.055587E-2</v>
      </c>
      <c r="N1818">
        <v>-2.426621E-2</v>
      </c>
      <c r="O1818">
        <v>-0.99949429999999995</v>
      </c>
      <c r="P1818">
        <v>0.1523109</v>
      </c>
      <c r="Q1818">
        <v>-0.1114883</v>
      </c>
      <c r="R1818">
        <v>-0.98202440000000002</v>
      </c>
      <c r="S1818">
        <v>0.67205809999999999</v>
      </c>
      <c r="T1818">
        <v>-0.1787765</v>
      </c>
      <c r="U1818">
        <v>-2.9328310000000002</v>
      </c>
      <c r="V1818">
        <v>-0.16856009999999999</v>
      </c>
      <c r="W1818">
        <v>-9.5006629999999995E-2</v>
      </c>
      <c r="X1818">
        <v>0.98110200000000003</v>
      </c>
      <c r="Y1818">
        <v>-0.2429761</v>
      </c>
      <c r="Z1818">
        <v>3.4853299999999997E-2</v>
      </c>
      <c r="AA1818">
        <v>0.96940590000000004</v>
      </c>
      <c r="AB1818">
        <v>30</v>
      </c>
      <c r="AC1818">
        <v>4.2315999999999496</v>
      </c>
      <c r="AD1818">
        <v>-1.12708232894199</v>
      </c>
      <c r="AE1818">
        <v>-18.191099999999999</v>
      </c>
      <c r="AF1818">
        <v>-4.5880409778888396</v>
      </c>
      <c r="AG1818">
        <v>-1.12708232894199</v>
      </c>
      <c r="AH1818">
        <v>18.034567361465601</v>
      </c>
      <c r="AI1818">
        <v>93.4659676187092</v>
      </c>
      <c r="AJ1818">
        <v>104.27340902272501</v>
      </c>
      <c r="AK1818">
        <v>18.6431235179688</v>
      </c>
      <c r="AL1818">
        <v>95.451701678834894</v>
      </c>
      <c r="AM1818">
        <v>99.748635398569206</v>
      </c>
      <c r="AN1818">
        <v>0.99999995072998205</v>
      </c>
    </row>
    <row r="1819" spans="1:40" x14ac:dyDescent="0.25">
      <c r="A1819" t="str">
        <f>"20190305135618796"</f>
        <v>20190305135618796</v>
      </c>
      <c r="B1819" t="str">
        <f>"1551765378794359"</f>
        <v>1551765378794359</v>
      </c>
      <c r="C1819" t="s">
        <v>40</v>
      </c>
      <c r="D1819">
        <v>4.407489</v>
      </c>
      <c r="E1819">
        <v>0.48800690000000002</v>
      </c>
      <c r="F1819" t="s">
        <v>42</v>
      </c>
      <c r="G1819">
        <v>-490.286</v>
      </c>
      <c r="H1819" s="1">
        <v>-3.051888E-6</v>
      </c>
      <c r="I1819">
        <v>246.5258</v>
      </c>
      <c r="J1819">
        <v>-494.25700000000001</v>
      </c>
      <c r="K1819">
        <v>1.1270610000000001</v>
      </c>
      <c r="L1819">
        <v>262.91930000000002</v>
      </c>
      <c r="M1819">
        <v>-6.9346740000000005E-4</v>
      </c>
      <c r="N1819">
        <v>-2.3975349999999999E-2</v>
      </c>
      <c r="O1819">
        <v>-0.99971239999999995</v>
      </c>
      <c r="P1819">
        <v>0.1620374</v>
      </c>
      <c r="Q1819">
        <v>-0.1127973</v>
      </c>
      <c r="R1819">
        <v>-0.98031679999999999</v>
      </c>
      <c r="S1819">
        <v>0.69876099999999997</v>
      </c>
      <c r="T1819">
        <v>-0.1978047</v>
      </c>
      <c r="U1819">
        <v>-2.924042</v>
      </c>
      <c r="V1819">
        <v>-0.15873699999999999</v>
      </c>
      <c r="W1819">
        <v>-9.6164609999999998E-2</v>
      </c>
      <c r="X1819">
        <v>0.98262660000000002</v>
      </c>
      <c r="Y1819">
        <v>-0.23265179999999999</v>
      </c>
      <c r="Z1819">
        <v>4.1704659999999998E-2</v>
      </c>
      <c r="AA1819">
        <v>0.97166549999999996</v>
      </c>
      <c r="AB1819">
        <v>30</v>
      </c>
      <c r="AC1819">
        <v>3.9709999999999401</v>
      </c>
      <c r="AD1819">
        <v>-1.127064051888</v>
      </c>
      <c r="AE1819">
        <v>-16.3935</v>
      </c>
      <c r="AF1819">
        <v>-3.9646696624222102</v>
      </c>
      <c r="AG1819">
        <v>-1.127064051888</v>
      </c>
      <c r="AH1819">
        <v>16.317887251731001</v>
      </c>
      <c r="AI1819">
        <v>93.839741200356698</v>
      </c>
      <c r="AJ1819">
        <v>103.656235294072</v>
      </c>
      <c r="AK1819">
        <v>16.830398785215799</v>
      </c>
      <c r="AL1819">
        <v>95.5183536845053</v>
      </c>
      <c r="AM1819">
        <v>99.176488081854501</v>
      </c>
      <c r="AN1819">
        <v>1.0000000512064999</v>
      </c>
    </row>
    <row r="1820" spans="1:40" x14ac:dyDescent="0.25">
      <c r="A1820" t="str">
        <f>"20190305135618818"</f>
        <v>20190305135618818</v>
      </c>
      <c r="B1820" t="str">
        <f>"1551765378813878"</f>
        <v>1551765378813878</v>
      </c>
      <c r="C1820" t="s">
        <v>40</v>
      </c>
      <c r="D1820">
        <v>4.4259110000000002</v>
      </c>
      <c r="E1820">
        <v>0.4883345</v>
      </c>
      <c r="F1820" t="s">
        <v>42</v>
      </c>
      <c r="G1820">
        <v>-491.87819999999999</v>
      </c>
      <c r="H1820" s="1">
        <v>-1.0815510000000001E-6</v>
      </c>
      <c r="I1820">
        <v>250.9453</v>
      </c>
      <c r="J1820">
        <v>-494.23930000000001</v>
      </c>
      <c r="K1820">
        <v>1.1270450000000001</v>
      </c>
      <c r="L1820">
        <v>262.63099999999997</v>
      </c>
      <c r="M1820">
        <v>2.097922E-2</v>
      </c>
      <c r="N1820">
        <v>-2.3591649999999999E-2</v>
      </c>
      <c r="O1820">
        <v>-0.99950159999999999</v>
      </c>
      <c r="P1820">
        <v>0.1734454</v>
      </c>
      <c r="Q1820">
        <v>-0.1117969</v>
      </c>
      <c r="R1820">
        <v>-0.97847770000000001</v>
      </c>
      <c r="S1820">
        <v>0.58251949999999997</v>
      </c>
      <c r="T1820">
        <v>-0.27599590000000002</v>
      </c>
      <c r="U1820">
        <v>-2.9321899999999999</v>
      </c>
      <c r="V1820">
        <v>-0.14891849999999901</v>
      </c>
      <c r="W1820">
        <v>-9.5099039999999996E-2</v>
      </c>
      <c r="X1820">
        <v>0.98426590000000003</v>
      </c>
      <c r="Y1820">
        <v>-0.17353579999999999</v>
      </c>
      <c r="Z1820">
        <v>6.8611989999999998E-2</v>
      </c>
      <c r="AA1820">
        <v>0.98243460000000005</v>
      </c>
      <c r="AB1820">
        <v>30</v>
      </c>
      <c r="AC1820">
        <v>2.36110000000002</v>
      </c>
      <c r="AD1820">
        <v>-1.1270460815509999</v>
      </c>
      <c r="AE1820">
        <v>-11.685699999999899</v>
      </c>
      <c r="AF1820">
        <v>-2.0966172850090499</v>
      </c>
      <c r="AG1820">
        <v>-1.1270460815509999</v>
      </c>
      <c r="AH1820">
        <v>11.628747274044001</v>
      </c>
      <c r="AI1820">
        <v>95.448451615732594</v>
      </c>
      <c r="AJ1820">
        <v>100.220403360021</v>
      </c>
      <c r="AK1820">
        <v>11.869869421073</v>
      </c>
      <c r="AL1820">
        <v>95.457020443818493</v>
      </c>
      <c r="AM1820">
        <v>98.603544207464594</v>
      </c>
      <c r="AN1820">
        <v>0.99999995447698897</v>
      </c>
    </row>
    <row r="1821" spans="1:40" x14ac:dyDescent="0.25">
      <c r="A1821" t="str">
        <f>"20190305135618845"</f>
        <v>20190305135618845</v>
      </c>
      <c r="B1821" t="str">
        <f>"1551765378834375"</f>
        <v>1551765378834375</v>
      </c>
      <c r="C1821" t="s">
        <v>40</v>
      </c>
      <c r="D1821">
        <v>4.4381159999999999</v>
      </c>
      <c r="E1821">
        <v>0.48958960000000001</v>
      </c>
      <c r="F1821" t="s">
        <v>42</v>
      </c>
      <c r="G1821">
        <v>-491.69510000000002</v>
      </c>
      <c r="H1821" s="1">
        <v>-8.4368020000000003E-7</v>
      </c>
      <c r="I1821">
        <v>250.5044</v>
      </c>
      <c r="J1821">
        <v>-494.21080000000001</v>
      </c>
      <c r="K1821">
        <v>1.127016</v>
      </c>
      <c r="L1821">
        <v>262.29649999999998</v>
      </c>
      <c r="M1821">
        <v>4.6362680000000003E-2</v>
      </c>
      <c r="N1821">
        <v>-2.3096999999999999E-2</v>
      </c>
      <c r="O1821">
        <v>-0.99865769999999998</v>
      </c>
      <c r="P1821">
        <v>0.18881519999999999</v>
      </c>
      <c r="Q1821">
        <v>-0.1107322</v>
      </c>
      <c r="R1821">
        <v>-0.97574970000000005</v>
      </c>
      <c r="S1821">
        <v>0.61389159999999998</v>
      </c>
      <c r="T1821">
        <v>-0.27194800000000002</v>
      </c>
      <c r="U1821">
        <v>-2.926056</v>
      </c>
      <c r="V1821">
        <v>-0.13943050000000001</v>
      </c>
      <c r="W1821">
        <v>-9.4093309999999999E-2</v>
      </c>
      <c r="X1821">
        <v>0.9857513</v>
      </c>
      <c r="Y1821">
        <v>-0.1590424</v>
      </c>
      <c r="Z1821">
        <v>6.7910399999999996E-2</v>
      </c>
      <c r="AA1821">
        <v>0.98493330000000001</v>
      </c>
      <c r="AB1821">
        <v>30</v>
      </c>
      <c r="AC1821">
        <v>2.5156999999999798</v>
      </c>
      <c r="AD1821">
        <v>-1.1270168436801999</v>
      </c>
      <c r="AE1821">
        <v>-11.7920999999999</v>
      </c>
      <c r="AF1821">
        <v>-1.9491053434608501</v>
      </c>
      <c r="AG1821">
        <v>-1.1270168436801999</v>
      </c>
      <c r="AH1821">
        <v>11.7930458762428</v>
      </c>
      <c r="AI1821">
        <v>95.386330124114593</v>
      </c>
      <c r="AJ1821">
        <v>99.384768969517296</v>
      </c>
      <c r="AK1821">
        <v>12.006044712769199</v>
      </c>
      <c r="AL1821">
        <v>95.3991364313395</v>
      </c>
      <c r="AM1821">
        <v>98.050846802052504</v>
      </c>
      <c r="AN1821">
        <v>1.00000002038434</v>
      </c>
    </row>
    <row r="1822" spans="1:40" x14ac:dyDescent="0.25">
      <c r="A1822" t="str">
        <f>"20190305135618866"</f>
        <v>20190305135618866</v>
      </c>
      <c r="B1822" t="str">
        <f>"1551765378863654"</f>
        <v>1551765378863654</v>
      </c>
      <c r="C1822" t="s">
        <v>40</v>
      </c>
      <c r="D1822">
        <v>4.4248479999999999</v>
      </c>
      <c r="E1822">
        <v>0.49181639999999999</v>
      </c>
      <c r="F1822" t="s">
        <v>42</v>
      </c>
      <c r="G1822">
        <v>-491.4375</v>
      </c>
      <c r="H1822" s="1">
        <v>-4.9588040000000004E-7</v>
      </c>
      <c r="I1822">
        <v>249.85339999999999</v>
      </c>
      <c r="J1822">
        <v>-494.18110000000001</v>
      </c>
      <c r="K1822">
        <v>1.1269800000000001</v>
      </c>
      <c r="L1822">
        <v>262.02569999999997</v>
      </c>
      <c r="M1822">
        <v>6.7071450000000005E-2</v>
      </c>
      <c r="N1822">
        <v>-2.2684269999999999E-2</v>
      </c>
      <c r="O1822">
        <v>-0.9974904</v>
      </c>
      <c r="P1822">
        <v>0.19953009999999999</v>
      </c>
      <c r="Q1822">
        <v>-0.1118087</v>
      </c>
      <c r="R1822">
        <v>-0.97349200000000002</v>
      </c>
      <c r="S1822">
        <v>0.65051269999999894</v>
      </c>
      <c r="T1822">
        <v>-0.26435449999999999</v>
      </c>
      <c r="U1822">
        <v>-2.9186709999999998</v>
      </c>
      <c r="V1822">
        <v>-0.1297807</v>
      </c>
      <c r="W1822">
        <v>-9.5139810000000005E-2</v>
      </c>
      <c r="X1822">
        <v>0.9869677</v>
      </c>
      <c r="Y1822">
        <v>-0.1509094</v>
      </c>
      <c r="Z1822">
        <v>6.5860290000000002E-2</v>
      </c>
      <c r="AA1822">
        <v>0.98635130000000004</v>
      </c>
      <c r="AB1822">
        <v>30</v>
      </c>
      <c r="AC1822">
        <v>2.74360000000001</v>
      </c>
      <c r="AD1822">
        <v>-1.1269804958803999</v>
      </c>
      <c r="AE1822">
        <v>-12.1722999999999</v>
      </c>
      <c r="AF1822">
        <v>-1.90525245689996</v>
      </c>
      <c r="AG1822">
        <v>-1.1269804958803999</v>
      </c>
      <c r="AH1822">
        <v>12.2291790143129</v>
      </c>
      <c r="AI1822">
        <v>95.202810683453805</v>
      </c>
      <c r="AJ1822">
        <v>98.855243464934404</v>
      </c>
      <c r="AK1822">
        <v>12.4279077614347</v>
      </c>
      <c r="AL1822">
        <v>95.459367182014304</v>
      </c>
      <c r="AM1822">
        <v>97.491094363914897</v>
      </c>
      <c r="AN1822">
        <v>0.99999992719130504</v>
      </c>
    </row>
    <row r="1823" spans="1:40" x14ac:dyDescent="0.25">
      <c r="A1823" t="str">
        <f>"20190305135618890"</f>
        <v>20190305135618890</v>
      </c>
      <c r="B1823" t="str">
        <f>"1551765378884151"</f>
        <v>1551765378884151</v>
      </c>
      <c r="C1823" t="s">
        <v>40</v>
      </c>
      <c r="D1823">
        <v>4.4895269999999998</v>
      </c>
      <c r="E1823">
        <v>0.49291239999999997</v>
      </c>
      <c r="F1823" t="s">
        <v>42</v>
      </c>
      <c r="G1823">
        <v>-491.35230000000001</v>
      </c>
      <c r="H1823" s="1">
        <v>-3.784744E-7</v>
      </c>
      <c r="I1823">
        <v>249.6326</v>
      </c>
      <c r="J1823">
        <v>-494.1429</v>
      </c>
      <c r="K1823">
        <v>1.1269439999999999</v>
      </c>
      <c r="L1823">
        <v>261.73590000000002</v>
      </c>
      <c r="M1823">
        <v>8.9329439999999996E-2</v>
      </c>
      <c r="N1823">
        <v>-2.2246189999999999E-2</v>
      </c>
      <c r="O1823">
        <v>-0.99575380000000002</v>
      </c>
      <c r="P1823">
        <v>0.20982500000000001</v>
      </c>
      <c r="Q1823">
        <v>-0.1119883</v>
      </c>
      <c r="R1823">
        <v>-0.97130459999999996</v>
      </c>
      <c r="S1823">
        <v>0.66534419999999905</v>
      </c>
      <c r="T1823">
        <v>-0.26506829999999998</v>
      </c>
      <c r="U1823">
        <v>-2.9148860000000001</v>
      </c>
      <c r="V1823">
        <v>-0.1181943</v>
      </c>
      <c r="W1823">
        <v>-9.5218319999999995E-2</v>
      </c>
      <c r="X1823">
        <v>0.98841469999999998</v>
      </c>
      <c r="Y1823">
        <v>-0.1338753</v>
      </c>
      <c r="Z1823">
        <v>6.6530080000000005E-2</v>
      </c>
      <c r="AA1823">
        <v>0.98876240000000004</v>
      </c>
      <c r="AB1823">
        <v>30</v>
      </c>
      <c r="AC1823">
        <v>2.79059999999998</v>
      </c>
      <c r="AD1823">
        <v>-1.1269443784744</v>
      </c>
      <c r="AE1823">
        <v>-12.103300000000001</v>
      </c>
      <c r="AF1823">
        <v>-1.68412588065178</v>
      </c>
      <c r="AG1823">
        <v>-1.1269443784744</v>
      </c>
      <c r="AH1823">
        <v>12.2037721666037</v>
      </c>
      <c r="AI1823">
        <v>95.226699132919606</v>
      </c>
      <c r="AJ1823">
        <v>97.857215444335793</v>
      </c>
      <c r="AK1823">
        <v>12.3708665302164</v>
      </c>
      <c r="AL1823">
        <v>95.463885479453893</v>
      </c>
      <c r="AM1823">
        <v>96.819030764034693</v>
      </c>
      <c r="AN1823">
        <v>1.0000000200960999</v>
      </c>
    </row>
    <row r="1824" spans="1:40" x14ac:dyDescent="0.25">
      <c r="A1824" t="str">
        <f>"20190305135618914"</f>
        <v>20190305135618914</v>
      </c>
      <c r="B1824" t="str">
        <f>"1551765378903672"</f>
        <v>1551765378903672</v>
      </c>
      <c r="C1824" t="s">
        <v>40</v>
      </c>
      <c r="D1824">
        <v>4.6948549999999996</v>
      </c>
      <c r="E1824">
        <v>0.51060870000000003</v>
      </c>
      <c r="F1824" t="s">
        <v>42</v>
      </c>
      <c r="G1824">
        <v>-491.21530000000001</v>
      </c>
      <c r="H1824" s="1">
        <v>-4.422109E-6</v>
      </c>
      <c r="I1824">
        <v>249.34790000000001</v>
      </c>
      <c r="J1824">
        <v>-494.0933</v>
      </c>
      <c r="K1824">
        <v>1.126873</v>
      </c>
      <c r="L1824">
        <v>261.42160000000001</v>
      </c>
      <c r="M1824">
        <v>0.1135166</v>
      </c>
      <c r="N1824">
        <v>-2.1780319999999999E-2</v>
      </c>
      <c r="O1824">
        <v>-0.99329750000000006</v>
      </c>
      <c r="P1824">
        <v>0.2222847</v>
      </c>
      <c r="Q1824">
        <v>-0.1071932</v>
      </c>
      <c r="R1824">
        <v>-0.96907149999999997</v>
      </c>
      <c r="S1824">
        <v>0.68762209999999901</v>
      </c>
      <c r="T1824">
        <v>-0.26468609999999998</v>
      </c>
      <c r="U1824">
        <v>-2.9095759999999999</v>
      </c>
      <c r="V1824">
        <v>-0.107019</v>
      </c>
      <c r="W1824">
        <v>-9.0347070000000002E-2</v>
      </c>
      <c r="X1824">
        <v>0.99014360000000001</v>
      </c>
      <c r="Y1824">
        <v>-0.11735279999999999</v>
      </c>
      <c r="Z1824">
        <v>6.6778450000000003E-2</v>
      </c>
      <c r="AA1824">
        <v>0.99084260000000002</v>
      </c>
      <c r="AB1824">
        <v>30</v>
      </c>
      <c r="AC1824">
        <v>2.8779999999999801</v>
      </c>
      <c r="AD1824">
        <v>-1.1268774221089899</v>
      </c>
      <c r="AE1824">
        <v>-12.073700000000001</v>
      </c>
      <c r="AF1824">
        <v>-1.4763286971738001</v>
      </c>
      <c r="AG1824">
        <v>-1.1268774221089899</v>
      </c>
      <c r="AH1824">
        <v>12.2216579655818</v>
      </c>
      <c r="AI1824">
        <v>95.230159130006896</v>
      </c>
      <c r="AJ1824">
        <v>96.887735200488706</v>
      </c>
      <c r="AK1824">
        <v>12.3619708207966</v>
      </c>
      <c r="AL1824">
        <v>95.183574060405903</v>
      </c>
      <c r="AM1824">
        <v>96.168828009850998</v>
      </c>
      <c r="AN1824">
        <v>1.0000000040197701</v>
      </c>
    </row>
    <row r="1825" spans="1:40" x14ac:dyDescent="0.25">
      <c r="A1825" t="str">
        <f>"20190305135618932"</f>
        <v>20190305135618932</v>
      </c>
      <c r="B1825" t="str">
        <f>"1551765378924166"</f>
        <v>1551765378924166</v>
      </c>
      <c r="C1825" t="s">
        <v>40</v>
      </c>
      <c r="D1825">
        <v>4.4676159999999996</v>
      </c>
      <c r="E1825">
        <v>0.52645980000000003</v>
      </c>
      <c r="F1825" t="s">
        <v>42</v>
      </c>
      <c r="G1825">
        <v>-490.86520000000002</v>
      </c>
      <c r="H1825" s="1">
        <v>-2.6900460000000001E-6</v>
      </c>
      <c r="I1825">
        <v>245.32310000000001</v>
      </c>
      <c r="J1825">
        <v>-494.04939999999999</v>
      </c>
      <c r="K1825">
        <v>1.126782</v>
      </c>
      <c r="L1825">
        <v>261.17750000000001</v>
      </c>
      <c r="M1825">
        <v>0.13227169999999999</v>
      </c>
      <c r="N1825">
        <v>-2.142082E-2</v>
      </c>
      <c r="O1825">
        <v>-0.99098220000000004</v>
      </c>
      <c r="P1825">
        <v>0.2305219</v>
      </c>
      <c r="Q1825">
        <v>-0.1032187</v>
      </c>
      <c r="R1825">
        <v>-0.96757760000000004</v>
      </c>
      <c r="S1825">
        <v>0.5891113</v>
      </c>
      <c r="T1825">
        <v>-0.2056462</v>
      </c>
      <c r="U1825">
        <v>-2.9378660000000001</v>
      </c>
      <c r="V1825">
        <v>-9.6865820000000005E-2</v>
      </c>
      <c r="W1825">
        <v>-8.6240659999999997E-2</v>
      </c>
      <c r="X1825">
        <v>0.99155409999999999</v>
      </c>
      <c r="Y1825">
        <v>-6.4879729999999997E-2</v>
      </c>
      <c r="Z1825">
        <v>4.7058299999999997E-2</v>
      </c>
      <c r="AA1825">
        <v>0.99678290000000003</v>
      </c>
      <c r="AB1825">
        <v>29</v>
      </c>
      <c r="AC1825">
        <v>3.1841999999999699</v>
      </c>
      <c r="AD1825">
        <v>-1.1267846900459999</v>
      </c>
      <c r="AE1825">
        <v>-15.854399999999901</v>
      </c>
      <c r="AF1825">
        <v>-1.0535247023418099</v>
      </c>
      <c r="AG1825">
        <v>-1.1267846900459999</v>
      </c>
      <c r="AH1825">
        <v>16.058340555733199</v>
      </c>
      <c r="AI1825">
        <v>94.005180316520807</v>
      </c>
      <c r="AJ1825">
        <v>93.753572080447498</v>
      </c>
      <c r="AK1825">
        <v>16.132261448416699</v>
      </c>
      <c r="AL1825">
        <v>94.947371522448407</v>
      </c>
      <c r="AM1825">
        <v>95.579572077817801</v>
      </c>
      <c r="AN1825">
        <v>0.99999998587415895</v>
      </c>
    </row>
    <row r="1826" spans="1:40" x14ac:dyDescent="0.25">
      <c r="A1826" t="str">
        <f>"20190305135618954"</f>
        <v>20190305135618954</v>
      </c>
      <c r="B1826" t="str">
        <f>"1551765378943690"</f>
        <v>1551765378943690</v>
      </c>
      <c r="C1826" t="s">
        <v>40</v>
      </c>
      <c r="D1826">
        <v>4.4238160000000004</v>
      </c>
      <c r="E1826">
        <v>0.53414259999999902</v>
      </c>
      <c r="F1826" t="s">
        <v>42</v>
      </c>
      <c r="G1826">
        <v>-490.91410000000002</v>
      </c>
      <c r="H1826" s="1">
        <v>-1.4174430000000001E-6</v>
      </c>
      <c r="I1826">
        <v>242.3263</v>
      </c>
      <c r="J1826">
        <v>-493.99540000000002</v>
      </c>
      <c r="K1826">
        <v>1.126625</v>
      </c>
      <c r="L1826">
        <v>260.90879999999999</v>
      </c>
      <c r="M1826">
        <v>0.15281629999999999</v>
      </c>
      <c r="N1826">
        <v>-2.1024850000000001E-2</v>
      </c>
      <c r="O1826">
        <v>-0.98803110000000005</v>
      </c>
      <c r="P1826">
        <v>0.24278949999999999</v>
      </c>
      <c r="Q1826">
        <v>-0.1035393</v>
      </c>
      <c r="R1826">
        <v>-0.96453800000000001</v>
      </c>
      <c r="S1826">
        <v>0.49301149999999999</v>
      </c>
      <c r="T1826">
        <v>-0.17717620000000001</v>
      </c>
      <c r="U1826">
        <v>-2.964172</v>
      </c>
      <c r="V1826">
        <v>-8.8889599999999999E-2</v>
      </c>
      <c r="W1826">
        <v>-8.6571969999999998E-2</v>
      </c>
      <c r="X1826">
        <v>0.99227209999999999</v>
      </c>
      <c r="Y1826">
        <v>-1.123677E-2</v>
      </c>
      <c r="Z1826">
        <v>3.7483379999999997E-2</v>
      </c>
      <c r="AA1826">
        <v>0.99923410000000001</v>
      </c>
      <c r="AB1826">
        <v>29</v>
      </c>
      <c r="AC1826">
        <v>3.0812999999999899</v>
      </c>
      <c r="AD1826">
        <v>-1.1266264174429901</v>
      </c>
      <c r="AE1826">
        <v>-18.5824999999999</v>
      </c>
      <c r="AF1826">
        <v>-0.204026669543272</v>
      </c>
      <c r="AG1826">
        <v>-1.1266264174429901</v>
      </c>
      <c r="AH1826">
        <v>18.767979981220201</v>
      </c>
      <c r="AI1826">
        <v>93.435093673412297</v>
      </c>
      <c r="AJ1826">
        <v>90.622837759840706</v>
      </c>
      <c r="AK1826">
        <v>18.802871763160201</v>
      </c>
      <c r="AL1826">
        <v>94.966425410573095</v>
      </c>
      <c r="AM1826">
        <v>95.118999638536494</v>
      </c>
      <c r="AN1826">
        <v>0.99999999370812498</v>
      </c>
    </row>
    <row r="1827" spans="1:40" x14ac:dyDescent="0.25">
      <c r="A1827" t="str">
        <f>"20190305135618976"</f>
        <v>20190305135618976</v>
      </c>
      <c r="B1827" t="str">
        <f>"1551765378973942"</f>
        <v>1551765378973942</v>
      </c>
      <c r="C1827" t="s">
        <v>40</v>
      </c>
      <c r="D1827">
        <v>4.4666139999999999</v>
      </c>
      <c r="E1827">
        <v>0.53815190000000002</v>
      </c>
      <c r="F1827" t="s">
        <v>42</v>
      </c>
      <c r="G1827">
        <v>-490.68759999999997</v>
      </c>
      <c r="H1827" s="1">
        <v>-3.97141E-7</v>
      </c>
      <c r="I1827">
        <v>240.08840000000001</v>
      </c>
      <c r="J1827">
        <v>-493.93400000000003</v>
      </c>
      <c r="K1827">
        <v>1.1263749999999999</v>
      </c>
      <c r="L1827">
        <v>260.63330000000002</v>
      </c>
      <c r="M1827">
        <v>0.1736625</v>
      </c>
      <c r="N1827">
        <v>-2.0616809999999999E-2</v>
      </c>
      <c r="O1827">
        <v>-0.98458950000000001</v>
      </c>
      <c r="P1827">
        <v>0.25475179999999997</v>
      </c>
      <c r="Q1827">
        <v>-0.1040075</v>
      </c>
      <c r="R1827">
        <v>-0.9613971</v>
      </c>
      <c r="S1827">
        <v>0.47250370000000003</v>
      </c>
      <c r="T1827">
        <v>-0.16093099999999999</v>
      </c>
      <c r="U1827">
        <v>-2.9740600000000001</v>
      </c>
      <c r="V1827">
        <v>-8.0276029999999998E-2</v>
      </c>
      <c r="W1827">
        <v>-8.7026489999999998E-2</v>
      </c>
      <c r="X1827">
        <v>0.99296640000000003</v>
      </c>
      <c r="Y1827">
        <v>1.709542E-2</v>
      </c>
      <c r="Z1827">
        <v>3.2159E-2</v>
      </c>
      <c r="AA1827">
        <v>0.99933649999999996</v>
      </c>
      <c r="AB1827">
        <v>29</v>
      </c>
      <c r="AC1827">
        <v>3.2464000000000501</v>
      </c>
      <c r="AD1827">
        <v>-1.126375397141</v>
      </c>
      <c r="AE1827">
        <v>-20.544899999999998</v>
      </c>
      <c r="AF1827">
        <v>0.37049977187823802</v>
      </c>
      <c r="AG1827">
        <v>-1.126375397141</v>
      </c>
      <c r="AH1827">
        <v>20.735680219351401</v>
      </c>
      <c r="AI1827">
        <v>93.108792289049404</v>
      </c>
      <c r="AJ1827">
        <v>88.976362753344105</v>
      </c>
      <c r="AK1827">
        <v>20.7695552618598</v>
      </c>
      <c r="AL1827">
        <v>94.992565810380896</v>
      </c>
      <c r="AM1827">
        <v>94.622005654674297</v>
      </c>
      <c r="AN1827">
        <v>1.00000006124161</v>
      </c>
    </row>
    <row r="1828" spans="1:40" x14ac:dyDescent="0.25">
      <c r="A1828" t="str">
        <f>"20190305135618998"</f>
        <v>20190305135618998</v>
      </c>
      <c r="B1828" t="str">
        <f>"1551765378993462"</f>
        <v>1551765378993462</v>
      </c>
      <c r="C1828" t="s">
        <v>40</v>
      </c>
      <c r="D1828">
        <v>4.4728269999999997</v>
      </c>
      <c r="E1828">
        <v>0.54035449999999996</v>
      </c>
      <c r="F1828" t="s">
        <v>42</v>
      </c>
      <c r="G1828">
        <v>-490.47370000000001</v>
      </c>
      <c r="H1828" s="1">
        <v>-4.2114929999999901E-6</v>
      </c>
      <c r="I1828">
        <v>239.1156</v>
      </c>
      <c r="J1828">
        <v>-493.87049999999999</v>
      </c>
      <c r="K1828">
        <v>1.12605</v>
      </c>
      <c r="L1828">
        <v>260.37290000000002</v>
      </c>
      <c r="M1828">
        <v>0.19297890000000001</v>
      </c>
      <c r="N1828">
        <v>-2.0223459999999999E-2</v>
      </c>
      <c r="O1828">
        <v>-0.98099449999999999</v>
      </c>
      <c r="P1828">
        <v>0.26547140000000002</v>
      </c>
      <c r="Q1828">
        <v>-0.1046739</v>
      </c>
      <c r="R1828">
        <v>-0.95841989999999999</v>
      </c>
      <c r="S1828">
        <v>0.47869869999999998</v>
      </c>
      <c r="T1828">
        <v>-0.15582360000000001</v>
      </c>
      <c r="U1828">
        <v>-2.9767760000000001</v>
      </c>
      <c r="V1828">
        <v>-7.1898519999999994E-2</v>
      </c>
      <c r="W1828">
        <v>-8.7667739999999994E-2</v>
      </c>
      <c r="X1828">
        <v>0.99355170000000004</v>
      </c>
      <c r="Y1828">
        <v>3.4834629999999998E-2</v>
      </c>
      <c r="Z1828">
        <v>3.057495E-2</v>
      </c>
      <c r="AA1828">
        <v>0.99892530000000002</v>
      </c>
      <c r="AB1828">
        <v>29</v>
      </c>
      <c r="AC1828">
        <v>3.3967999999999798</v>
      </c>
      <c r="AD1828">
        <v>-1.1260542114929999</v>
      </c>
      <c r="AE1828">
        <v>-21.257300000000001</v>
      </c>
      <c r="AF1828">
        <v>0.76802424610940201</v>
      </c>
      <c r="AG1828">
        <v>-1.1260542114929999</v>
      </c>
      <c r="AH1828">
        <v>21.454499921055099</v>
      </c>
      <c r="AI1828">
        <v>93.002531946234498</v>
      </c>
      <c r="AJ1828">
        <v>87.949811674423103</v>
      </c>
      <c r="AK1828">
        <v>21.497753980180999</v>
      </c>
      <c r="AL1828">
        <v>95.029447974879005</v>
      </c>
      <c r="AM1828">
        <v>94.139002940620102</v>
      </c>
      <c r="AN1828">
        <v>1.00000000519389</v>
      </c>
    </row>
    <row r="1829" spans="1:40" x14ac:dyDescent="0.25">
      <c r="A1829" t="str">
        <f>"20190305135619021"</f>
        <v>20190305135619021</v>
      </c>
      <c r="B1829" t="str">
        <f>"1551765379013959"</f>
        <v>1551765379013959</v>
      </c>
      <c r="C1829" t="s">
        <v>40</v>
      </c>
      <c r="D1829">
        <v>4.6516780000000004</v>
      </c>
      <c r="E1829">
        <v>0.54116549999999997</v>
      </c>
      <c r="F1829" t="s">
        <v>42</v>
      </c>
      <c r="G1829">
        <v>-490.17840000000001</v>
      </c>
      <c r="H1829" s="1">
        <v>-3.7562499999999998E-6</v>
      </c>
      <c r="I1829">
        <v>238.23439999999999</v>
      </c>
      <c r="J1829">
        <v>-493.7928</v>
      </c>
      <c r="K1829">
        <v>1.1255189999999999</v>
      </c>
      <c r="L1829">
        <v>260.07909999999998</v>
      </c>
      <c r="M1829">
        <v>0.2140503</v>
      </c>
      <c r="N1829">
        <v>-1.9757449999999999E-2</v>
      </c>
      <c r="O1829">
        <v>-0.97662280000000001</v>
      </c>
      <c r="P1829">
        <v>0.27967979999999998</v>
      </c>
      <c r="Q1829">
        <v>-0.1069155</v>
      </c>
      <c r="R1829">
        <v>-0.95412149999999996</v>
      </c>
      <c r="S1829">
        <v>0.4963379</v>
      </c>
      <c r="T1829">
        <v>-0.1513796</v>
      </c>
      <c r="U1829">
        <v>-2.9761660000000001</v>
      </c>
      <c r="V1829">
        <v>-6.5336820000000004E-2</v>
      </c>
      <c r="W1829">
        <v>-9.0014769999999994E-2</v>
      </c>
      <c r="X1829">
        <v>0.99379499999999998</v>
      </c>
      <c r="Y1829">
        <v>5.0527780000000001E-2</v>
      </c>
      <c r="Z1829">
        <v>2.928412E-2</v>
      </c>
      <c r="AA1829">
        <v>0.99829319999999999</v>
      </c>
      <c r="AB1829">
        <v>29</v>
      </c>
      <c r="AC1829">
        <v>3.6143999999999799</v>
      </c>
      <c r="AD1829">
        <v>-1.1255227562500001</v>
      </c>
      <c r="AE1829">
        <v>-21.8446999999999</v>
      </c>
      <c r="AF1829">
        <v>1.14322881907739</v>
      </c>
      <c r="AG1829">
        <v>-1.1255227562500001</v>
      </c>
      <c r="AH1829">
        <v>22.0550224837129</v>
      </c>
      <c r="AI1829">
        <v>92.917501963777696</v>
      </c>
      <c r="AJ1829">
        <v>87.032711488767603</v>
      </c>
      <c r="AK1829">
        <v>22.113294425858101</v>
      </c>
      <c r="AL1829">
        <v>95.164456640728105</v>
      </c>
      <c r="AM1829">
        <v>93.761484350804693</v>
      </c>
      <c r="AN1829">
        <v>1.00000003044543</v>
      </c>
    </row>
    <row r="1830" spans="1:40" x14ac:dyDescent="0.25">
      <c r="A1830" t="str">
        <f>"20190305135619044"</f>
        <v>20190305135619044</v>
      </c>
      <c r="B1830" t="str">
        <f>"1551765379034455"</f>
        <v>1551765379034455</v>
      </c>
      <c r="C1830" t="s">
        <v>40</v>
      </c>
      <c r="D1830">
        <v>4.5672470000000001</v>
      </c>
      <c r="E1830">
        <v>0.54273349999999998</v>
      </c>
      <c r="F1830" t="s">
        <v>42</v>
      </c>
      <c r="G1830">
        <v>-490.09210000000002</v>
      </c>
      <c r="H1830" s="1">
        <v>-4.2880439999999998E-6</v>
      </c>
      <c r="I1830">
        <v>239.5394</v>
      </c>
      <c r="J1830">
        <v>-493.71600000000001</v>
      </c>
      <c r="K1830">
        <v>1.1247959999999999</v>
      </c>
      <c r="L1830">
        <v>259.80840000000001</v>
      </c>
      <c r="M1830">
        <v>0.2324621</v>
      </c>
      <c r="N1830">
        <v>-1.9299739999999999E-2</v>
      </c>
      <c r="O1830">
        <v>-0.972414</v>
      </c>
      <c r="P1830">
        <v>0.29173399999999999</v>
      </c>
      <c r="Q1830">
        <v>-0.1138412</v>
      </c>
      <c r="R1830">
        <v>-0.9497004</v>
      </c>
      <c r="S1830">
        <v>0.53497309999999998</v>
      </c>
      <c r="T1830">
        <v>-0.16270660000000001</v>
      </c>
      <c r="U1830">
        <v>-2.9692379999999998</v>
      </c>
      <c r="V1830">
        <v>-5.920458E-2</v>
      </c>
      <c r="W1830">
        <v>-9.7056100000000006E-2</v>
      </c>
      <c r="X1830">
        <v>0.99351639999999997</v>
      </c>
      <c r="Y1830">
        <v>5.6423559999999998E-2</v>
      </c>
      <c r="Z1830">
        <v>3.3142610000000003E-2</v>
      </c>
      <c r="AA1830">
        <v>0.99785670000000004</v>
      </c>
      <c r="AB1830">
        <v>29</v>
      </c>
      <c r="AC1830">
        <v>3.6238999999999901</v>
      </c>
      <c r="AD1830">
        <v>-1.124800288044</v>
      </c>
      <c r="AE1830">
        <v>-20.268999999999998</v>
      </c>
      <c r="AF1830">
        <v>1.1845296239229199</v>
      </c>
      <c r="AG1830">
        <v>-1.124800288044</v>
      </c>
      <c r="AH1830">
        <v>20.4949464974116</v>
      </c>
      <c r="AI1830">
        <v>93.136123052974</v>
      </c>
      <c r="AJ1830">
        <v>86.692202639571605</v>
      </c>
      <c r="AK1830">
        <v>20.559939641197801</v>
      </c>
      <c r="AL1830">
        <v>95.569672901465296</v>
      </c>
      <c r="AM1830">
        <v>93.410276672502903</v>
      </c>
      <c r="AN1830">
        <v>0.999999952954572</v>
      </c>
    </row>
    <row r="1831" spans="1:40" x14ac:dyDescent="0.25">
      <c r="A1831" t="str">
        <f>"20190305135619070"</f>
        <v>20190305135619070</v>
      </c>
      <c r="B1831" t="str">
        <f>"1551765379063734"</f>
        <v>1551765379063734</v>
      </c>
      <c r="C1831" t="s">
        <v>40</v>
      </c>
      <c r="D1831">
        <v>4.6683919999999999</v>
      </c>
      <c r="E1831">
        <v>0.54365369999999902</v>
      </c>
      <c r="F1831" t="s">
        <v>42</v>
      </c>
      <c r="G1831">
        <v>-490.17149999999998</v>
      </c>
      <c r="H1831" s="1">
        <v>-6.9521349999999998E-7</v>
      </c>
      <c r="I1831">
        <v>241.10329999999999</v>
      </c>
      <c r="J1831">
        <v>-493.6207</v>
      </c>
      <c r="K1831">
        <v>1.1236660000000001</v>
      </c>
      <c r="L1831">
        <v>259.4914</v>
      </c>
      <c r="M1831">
        <v>0.25244080000000002</v>
      </c>
      <c r="N1831">
        <v>-1.873855E-2</v>
      </c>
      <c r="O1831">
        <v>-0.96743089999999998</v>
      </c>
      <c r="P1831">
        <v>0.30272169999999998</v>
      </c>
      <c r="Q1831">
        <v>-0.1172869</v>
      </c>
      <c r="R1831">
        <v>-0.94583479999999998</v>
      </c>
      <c r="S1831">
        <v>0.56182860000000001</v>
      </c>
      <c r="T1831">
        <v>-0.17828859999999999</v>
      </c>
      <c r="U1831">
        <v>-2.9649049999999999</v>
      </c>
      <c r="V1831">
        <v>-5.0501400000000002E-2</v>
      </c>
      <c r="W1831">
        <v>-0.10057629999999999</v>
      </c>
      <c r="X1831">
        <v>0.99364680000000005</v>
      </c>
      <c r="Y1831">
        <v>6.8013660000000004E-2</v>
      </c>
      <c r="Z1831">
        <v>3.8291779999999997E-2</v>
      </c>
      <c r="AA1831">
        <v>0.99694930000000004</v>
      </c>
      <c r="AB1831">
        <v>29</v>
      </c>
      <c r="AC1831">
        <v>3.44920000000001</v>
      </c>
      <c r="AD1831">
        <v>-1.1236666952134999</v>
      </c>
      <c r="AE1831">
        <v>-18.388100000000001</v>
      </c>
      <c r="AF1831">
        <v>1.30058157507592</v>
      </c>
      <c r="AG1831">
        <v>-1.1236666952134999</v>
      </c>
      <c r="AH1831">
        <v>18.596129563876399</v>
      </c>
      <c r="AI1831">
        <v>93.449473885565695</v>
      </c>
      <c r="AJ1831">
        <v>85.999345333316299</v>
      </c>
      <c r="AK1831">
        <v>18.675389528249099</v>
      </c>
      <c r="AL1831">
        <v>95.772357503686393</v>
      </c>
      <c r="AM1831">
        <v>92.909514236119193</v>
      </c>
      <c r="AN1831">
        <v>0.99999997333694401</v>
      </c>
    </row>
    <row r="1832" spans="1:40" x14ac:dyDescent="0.25">
      <c r="A1832" t="str">
        <f>"20190305135619091"</f>
        <v>20190305135619091</v>
      </c>
      <c r="B1832" t="str">
        <f>"1551765379084231"</f>
        <v>1551765379084231</v>
      </c>
      <c r="C1832" t="s">
        <v>40</v>
      </c>
      <c r="D1832">
        <v>4.7186430000000001</v>
      </c>
      <c r="E1832">
        <v>0.54434229999999995</v>
      </c>
      <c r="F1832" t="s">
        <v>41</v>
      </c>
      <c r="G1832">
        <v>-493.42779999999999</v>
      </c>
      <c r="H1832">
        <v>1.059204</v>
      </c>
      <c r="I1832">
        <v>258.51960000000003</v>
      </c>
      <c r="J1832">
        <v>-493.54239999999999</v>
      </c>
      <c r="K1832">
        <v>1.122582</v>
      </c>
      <c r="L1832">
        <v>259.24340000000001</v>
      </c>
      <c r="M1832">
        <v>0.26646120000000001</v>
      </c>
      <c r="N1832">
        <v>-1.8291749999999999E-2</v>
      </c>
      <c r="O1832">
        <v>-0.96367219999999998</v>
      </c>
      <c r="P1832">
        <v>0.3069093</v>
      </c>
      <c r="Q1832">
        <v>-0.11353489999999999</v>
      </c>
      <c r="R1832">
        <v>-0.94494299999999998</v>
      </c>
      <c r="S1832">
        <v>0.58801269999999894</v>
      </c>
      <c r="T1832">
        <v>-0.19674910000000001</v>
      </c>
      <c r="U1832">
        <v>-2.9592589999999999</v>
      </c>
      <c r="V1832">
        <v>-4.0760739999999997E-2</v>
      </c>
      <c r="W1832">
        <v>-9.677877E-2</v>
      </c>
      <c r="X1832">
        <v>0.99447099999999999</v>
      </c>
      <c r="Y1832">
        <v>7.3692720000000003E-2</v>
      </c>
      <c r="Z1832">
        <v>4.4299270000000002E-2</v>
      </c>
      <c r="AA1832">
        <v>0.99629659999999998</v>
      </c>
      <c r="AB1832">
        <v>29</v>
      </c>
      <c r="AC1832">
        <v>0.114599999999995</v>
      </c>
      <c r="AD1832">
        <v>-6.3377999999999907E-2</v>
      </c>
      <c r="AE1832">
        <v>-0.72379999999998201</v>
      </c>
      <c r="AF1832">
        <v>8.1829500534634794E-2</v>
      </c>
      <c r="AG1832">
        <v>-6.3377999999999907E-2</v>
      </c>
      <c r="AH1832">
        <v>0.72275807418385496</v>
      </c>
      <c r="AI1832">
        <v>94.979743285713099</v>
      </c>
      <c r="AJ1832">
        <v>83.540570624853899</v>
      </c>
      <c r="AK1832">
        <v>0.73013154420262005</v>
      </c>
      <c r="AL1832">
        <v>95.553707258950197</v>
      </c>
      <c r="AM1832">
        <v>92.347088937267202</v>
      </c>
      <c r="AN1832">
        <v>1.0000000690445201</v>
      </c>
    </row>
    <row r="1833" spans="1:40" x14ac:dyDescent="0.25">
      <c r="A1833" t="str">
        <f>"20190305135619115"</f>
        <v>20190305135619115</v>
      </c>
      <c r="B1833" t="str">
        <f>"1551765379103750"</f>
        <v>1551765379103750</v>
      </c>
      <c r="C1833" t="s">
        <v>40</v>
      </c>
      <c r="D1833">
        <v>4.6370950000000004</v>
      </c>
      <c r="E1833">
        <v>0.54514099999999999</v>
      </c>
      <c r="F1833" t="s">
        <v>42</v>
      </c>
      <c r="G1833">
        <v>-489.99560000000002</v>
      </c>
      <c r="H1833" s="1">
        <v>-8.7089809999999999E-7</v>
      </c>
      <c r="I1833">
        <v>241.62190000000001</v>
      </c>
      <c r="J1833">
        <v>-493.44369999999998</v>
      </c>
      <c r="K1833">
        <v>1.1211549999999999</v>
      </c>
      <c r="L1833">
        <v>258.94200000000001</v>
      </c>
      <c r="M1833">
        <v>0.2815048</v>
      </c>
      <c r="N1833">
        <v>-1.7775869999999999E-2</v>
      </c>
      <c r="O1833">
        <v>-0.9593952</v>
      </c>
      <c r="P1833">
        <v>0.31240899999999999</v>
      </c>
      <c r="Q1833">
        <v>-0.108561</v>
      </c>
      <c r="R1833">
        <v>-0.94372420000000001</v>
      </c>
      <c r="S1833">
        <v>0.59551999999999905</v>
      </c>
      <c r="T1833">
        <v>-0.1884835</v>
      </c>
      <c r="U1833">
        <v>-2.9586790000000001</v>
      </c>
      <c r="V1833">
        <v>-3.1335689999999999E-2</v>
      </c>
      <c r="W1833">
        <v>-9.1860700000000003E-2</v>
      </c>
      <c r="X1833">
        <v>0.99527869999999996</v>
      </c>
      <c r="Y1833">
        <v>8.6790640000000002E-2</v>
      </c>
      <c r="Z1833">
        <v>4.1799009999999998E-2</v>
      </c>
      <c r="AA1833">
        <v>0.99534929999999999</v>
      </c>
      <c r="AB1833">
        <v>29</v>
      </c>
      <c r="AC1833">
        <v>3.44809999999995</v>
      </c>
      <c r="AD1833">
        <v>-1.1211558708981</v>
      </c>
      <c r="AE1833">
        <v>-17.320099999999901</v>
      </c>
      <c r="AF1833">
        <v>1.5615546247775101</v>
      </c>
      <c r="AG1833">
        <v>-1.1211558708981</v>
      </c>
      <c r="AH1833">
        <v>17.5196444358678</v>
      </c>
      <c r="AI1833">
        <v>93.647185877006393</v>
      </c>
      <c r="AJ1833">
        <v>84.906592907200604</v>
      </c>
      <c r="AK1833">
        <v>17.624794594327799</v>
      </c>
      <c r="AL1833">
        <v>95.270660848711799</v>
      </c>
      <c r="AM1833">
        <v>91.803323931925405</v>
      </c>
      <c r="AN1833">
        <v>1.00000000217297</v>
      </c>
    </row>
    <row r="1834" spans="1:40" x14ac:dyDescent="0.25">
      <c r="A1834" t="str">
        <f>"20190305135619135"</f>
        <v>20190305135619135</v>
      </c>
      <c r="B1834" t="str">
        <f>"1551765379124247"</f>
        <v>1551765379124247</v>
      </c>
      <c r="C1834" t="s">
        <v>40</v>
      </c>
      <c r="D1834">
        <v>4.7293159999999999</v>
      </c>
      <c r="E1834">
        <v>0.54575469999999904</v>
      </c>
      <c r="F1834" t="s">
        <v>42</v>
      </c>
      <c r="G1834">
        <v>-489.49700000000001</v>
      </c>
      <c r="H1834" s="1">
        <v>-1.5961469999999999E-7</v>
      </c>
      <c r="I1834">
        <v>239.72380000000001</v>
      </c>
      <c r="J1834">
        <v>-493.3605</v>
      </c>
      <c r="K1834">
        <v>1.11995</v>
      </c>
      <c r="L1834">
        <v>258.69400000000002</v>
      </c>
      <c r="M1834">
        <v>0.29228290000000001</v>
      </c>
      <c r="N1834">
        <v>-1.7382809999999999E-2</v>
      </c>
      <c r="O1834">
        <v>-0.95617399999999997</v>
      </c>
      <c r="P1834">
        <v>0.31272689999999997</v>
      </c>
      <c r="Q1834">
        <v>-0.104842</v>
      </c>
      <c r="R1834">
        <v>-0.94403930000000003</v>
      </c>
      <c r="S1834">
        <v>0.6074524</v>
      </c>
      <c r="T1834">
        <v>-0.1725621</v>
      </c>
      <c r="U1834">
        <v>-2.9579469999999999</v>
      </c>
      <c r="V1834">
        <v>-2.07403E-2</v>
      </c>
      <c r="W1834">
        <v>-8.813232E-2</v>
      </c>
      <c r="X1834">
        <v>0.99589280000000002</v>
      </c>
      <c r="Y1834">
        <v>9.4054589999999993E-2</v>
      </c>
      <c r="Z1834">
        <v>3.6932680000000002E-2</v>
      </c>
      <c r="AA1834">
        <v>0.99488169999999998</v>
      </c>
      <c r="AB1834">
        <v>29</v>
      </c>
      <c r="AC1834">
        <v>3.8635000000000401</v>
      </c>
      <c r="AD1834">
        <v>-1.1199501596146999</v>
      </c>
      <c r="AE1834">
        <v>-18.970199999999998</v>
      </c>
      <c r="AF1834">
        <v>1.84459318568696</v>
      </c>
      <c r="AG1834">
        <v>-1.1199501596146999</v>
      </c>
      <c r="AH1834">
        <v>19.206679993873301</v>
      </c>
      <c r="AI1834">
        <v>93.321913652709995</v>
      </c>
      <c r="AJ1834">
        <v>84.514187022134195</v>
      </c>
      <c r="AK1834">
        <v>19.327528780673301</v>
      </c>
      <c r="AL1834">
        <v>95.056170071854197</v>
      </c>
      <c r="AM1834">
        <v>91.193060037452099</v>
      </c>
      <c r="AN1834">
        <v>0.99999996748225495</v>
      </c>
    </row>
    <row r="1835" spans="1:40" x14ac:dyDescent="0.25">
      <c r="A1835" t="str">
        <f>"20190305135619157"</f>
        <v>20190305135619157</v>
      </c>
      <c r="B1835" t="str">
        <f>"1551765379153526"</f>
        <v>1551765379153526</v>
      </c>
      <c r="C1835" t="s">
        <v>40</v>
      </c>
      <c r="D1835">
        <v>4.7993769999999998</v>
      </c>
      <c r="E1835">
        <v>0.54660640000000005</v>
      </c>
      <c r="F1835" t="s">
        <v>42</v>
      </c>
      <c r="G1835">
        <v>-489.23169999999999</v>
      </c>
      <c r="H1835" s="1">
        <v>-3.917004E-6</v>
      </c>
      <c r="I1835">
        <v>238.44569999999999</v>
      </c>
      <c r="J1835">
        <v>-493.2704</v>
      </c>
      <c r="K1835">
        <v>1.11869</v>
      </c>
      <c r="L1835">
        <v>258.43099999999998</v>
      </c>
      <c r="M1835">
        <v>0.30196830000000002</v>
      </c>
      <c r="N1835">
        <v>-1.6992070000000001E-2</v>
      </c>
      <c r="O1835">
        <v>-0.95316670000000003</v>
      </c>
      <c r="P1835">
        <v>0.30929119999999999</v>
      </c>
      <c r="Q1835">
        <v>-0.1018056</v>
      </c>
      <c r="R1835">
        <v>-0.94550250000000002</v>
      </c>
      <c r="S1835">
        <v>0.60351560000000004</v>
      </c>
      <c r="T1835">
        <v>-0.16370609999999999</v>
      </c>
      <c r="U1835">
        <v>-2.9597319999999998</v>
      </c>
      <c r="V1835">
        <v>-7.2845929999999998E-3</v>
      </c>
      <c r="W1835">
        <v>-8.5084140000000003E-2</v>
      </c>
      <c r="X1835">
        <v>0.99634710000000004</v>
      </c>
      <c r="Y1835">
        <v>0.1055121</v>
      </c>
      <c r="Z1835">
        <v>3.4273020000000001E-2</v>
      </c>
      <c r="AA1835">
        <v>0.99382720000000002</v>
      </c>
      <c r="AB1835">
        <v>29</v>
      </c>
      <c r="AC1835">
        <v>4.0387000000000004</v>
      </c>
      <c r="AD1835">
        <v>-1.118693917004</v>
      </c>
      <c r="AE1835">
        <v>-19.985299999999899</v>
      </c>
      <c r="AF1835">
        <v>2.1791279446525702</v>
      </c>
      <c r="AG1835">
        <v>-1.118693917004</v>
      </c>
      <c r="AH1835">
        <v>20.210962866722301</v>
      </c>
      <c r="AI1835">
        <v>93.149918298693606</v>
      </c>
      <c r="AJ1835">
        <v>83.846192728881107</v>
      </c>
      <c r="AK1835">
        <v>20.358857892306698</v>
      </c>
      <c r="AL1835">
        <v>94.880863460325202</v>
      </c>
      <c r="AM1835">
        <v>90.418899194508299</v>
      </c>
      <c r="AN1835">
        <v>0.99999995992656099</v>
      </c>
    </row>
    <row r="1836" spans="1:40" x14ac:dyDescent="0.25">
      <c r="A1836" t="str">
        <f>"20190305135619177"</f>
        <v>20190305135619177</v>
      </c>
      <c r="B1836" t="str">
        <f>"1551765379174022"</f>
        <v>1551765379174022</v>
      </c>
      <c r="C1836" t="s">
        <v>40</v>
      </c>
      <c r="D1836">
        <v>4.7761750000000003</v>
      </c>
      <c r="E1836">
        <v>0.54715979999999997</v>
      </c>
      <c r="F1836" t="s">
        <v>42</v>
      </c>
      <c r="G1836">
        <v>-489.32170000000002</v>
      </c>
      <c r="H1836" s="1">
        <v>-3.892187E-6</v>
      </c>
      <c r="I1836">
        <v>238.42509999999999</v>
      </c>
      <c r="J1836">
        <v>-493.1823</v>
      </c>
      <c r="K1836">
        <v>1.117543</v>
      </c>
      <c r="L1836">
        <v>258.17739999999998</v>
      </c>
      <c r="M1836">
        <v>0.3096487</v>
      </c>
      <c r="N1836">
        <v>-1.6639629999999999E-2</v>
      </c>
      <c r="O1836">
        <v>-0.95070560000000004</v>
      </c>
      <c r="P1836">
        <v>0.30080980000000002</v>
      </c>
      <c r="Q1836">
        <v>-0.10147200000000001</v>
      </c>
      <c r="R1836">
        <v>-0.94827039999999996</v>
      </c>
      <c r="S1836">
        <v>0.58496090000000001</v>
      </c>
      <c r="T1836">
        <v>-0.16572310000000001</v>
      </c>
      <c r="U1836">
        <v>-2.9636689999999999</v>
      </c>
      <c r="V1836">
        <v>9.4081410000000001E-3</v>
      </c>
      <c r="W1836">
        <v>-8.472797E-2</v>
      </c>
      <c r="X1836">
        <v>0.99635969999999996</v>
      </c>
      <c r="Y1836">
        <v>0.1197589</v>
      </c>
      <c r="Z1836">
        <v>3.4952469999999999E-2</v>
      </c>
      <c r="AA1836">
        <v>0.99218759999999995</v>
      </c>
      <c r="AB1836">
        <v>29</v>
      </c>
      <c r="AC1836">
        <v>3.8605999999999701</v>
      </c>
      <c r="AD1836">
        <v>-1.117546892187</v>
      </c>
      <c r="AE1836">
        <v>-19.752299999999899</v>
      </c>
      <c r="AF1836">
        <v>2.4387987291979498</v>
      </c>
      <c r="AG1836">
        <v>-1.117546892187</v>
      </c>
      <c r="AH1836">
        <v>19.915409392249199</v>
      </c>
      <c r="AI1836">
        <v>93.188001316178301</v>
      </c>
      <c r="AJ1836">
        <v>83.018440410056201</v>
      </c>
      <c r="AK1836">
        <v>20.095277593471099</v>
      </c>
      <c r="AL1836">
        <v>94.860382283785896</v>
      </c>
      <c r="AM1836">
        <v>89.458999844577605</v>
      </c>
      <c r="AN1836">
        <v>0.99999999690074304</v>
      </c>
    </row>
    <row r="1837" spans="1:40" x14ac:dyDescent="0.25">
      <c r="A1837" t="str">
        <f>"20190305135619214"</f>
        <v>20190305135619214</v>
      </c>
      <c r="B1837" t="str">
        <f>"1551765379204279"</f>
        <v>1551765379204279</v>
      </c>
      <c r="C1837" t="s">
        <v>40</v>
      </c>
      <c r="D1837">
        <v>4.8181699999999896</v>
      </c>
      <c r="E1837">
        <v>0.54814439999999998</v>
      </c>
      <c r="F1837" t="s">
        <v>42</v>
      </c>
      <c r="G1837">
        <v>-489.52229999999997</v>
      </c>
      <c r="H1837" s="1">
        <v>-3.9104610000000001E-6</v>
      </c>
      <c r="I1837">
        <v>238.5506</v>
      </c>
      <c r="J1837">
        <v>-493.02800000000002</v>
      </c>
      <c r="K1837">
        <v>1.1156140000000001</v>
      </c>
      <c r="L1837">
        <v>257.74009999999998</v>
      </c>
      <c r="M1837">
        <v>0.31925959999999998</v>
      </c>
      <c r="N1837">
        <v>-1.60894E-2</v>
      </c>
      <c r="O1837">
        <v>-0.94753089999999995</v>
      </c>
      <c r="P1837">
        <v>0.29674210000000001</v>
      </c>
      <c r="Q1837">
        <v>-0.1044042</v>
      </c>
      <c r="R1837">
        <v>-0.94923360000000001</v>
      </c>
      <c r="S1837">
        <v>0.55380249999999998</v>
      </c>
      <c r="T1837">
        <v>-0.169102</v>
      </c>
      <c r="U1837">
        <v>-2.9698329999999999</v>
      </c>
      <c r="V1837">
        <v>2.328469E-2</v>
      </c>
      <c r="W1837">
        <v>-8.8034070000000006E-2</v>
      </c>
      <c r="X1837">
        <v>0.99584530000000004</v>
      </c>
      <c r="Y1837">
        <v>0.14021120000000001</v>
      </c>
      <c r="Z1837">
        <v>3.6115170000000002E-2</v>
      </c>
      <c r="AA1837">
        <v>0.98946270000000003</v>
      </c>
      <c r="AB1837">
        <v>29</v>
      </c>
      <c r="AC1837">
        <v>3.50570000000004</v>
      </c>
      <c r="AD1837">
        <v>-1.11561791046099</v>
      </c>
      <c r="AE1837">
        <v>-19.189499999999899</v>
      </c>
      <c r="AF1837">
        <v>2.7958909694886298</v>
      </c>
      <c r="AG1837">
        <v>-1.11561791046099</v>
      </c>
      <c r="AH1837">
        <v>19.241434173497201</v>
      </c>
      <c r="AI1837">
        <v>93.283883148980806</v>
      </c>
      <c r="AJ1837">
        <v>81.732456225308795</v>
      </c>
      <c r="AK1837">
        <v>19.475481988603899</v>
      </c>
      <c r="AL1837">
        <v>95.050518540205005</v>
      </c>
      <c r="AM1837">
        <v>88.660563624354694</v>
      </c>
      <c r="AN1837">
        <v>1.0000000179006201</v>
      </c>
    </row>
    <row r="1838" spans="1:40" x14ac:dyDescent="0.25">
      <c r="A1838" t="str">
        <f>"20190305135619255"</f>
        <v>20190305135619255</v>
      </c>
      <c r="B1838" t="str">
        <f>"1551765379253586"</f>
        <v>1551765379253586</v>
      </c>
      <c r="C1838" t="s">
        <v>40</v>
      </c>
      <c r="D1838">
        <v>6.8393129999999998</v>
      </c>
      <c r="E1838">
        <v>0.54942000000000002</v>
      </c>
      <c r="F1838" t="s">
        <v>42</v>
      </c>
      <c r="G1838">
        <v>-489.67599999999999</v>
      </c>
      <c r="H1838" s="1">
        <v>-4.1294949999999997E-6</v>
      </c>
      <c r="I1838">
        <v>239.12469999999999</v>
      </c>
      <c r="J1838">
        <v>-492.84559999999999</v>
      </c>
      <c r="K1838">
        <v>1.1134500000000001</v>
      </c>
      <c r="L1838">
        <v>257.22699999999998</v>
      </c>
      <c r="M1838">
        <v>0.32522899999999999</v>
      </c>
      <c r="N1838">
        <v>-1.555015E-2</v>
      </c>
      <c r="O1838">
        <v>-0.9455076</v>
      </c>
      <c r="P1838">
        <v>0.27628970000000003</v>
      </c>
      <c r="Q1838">
        <v>-0.1022011</v>
      </c>
      <c r="R1838">
        <v>-0.95562539999999996</v>
      </c>
      <c r="S1838">
        <v>0.53543090000000004</v>
      </c>
      <c r="T1838">
        <v>-0.17820259999999999</v>
      </c>
      <c r="U1838">
        <v>-2.9735109999999998</v>
      </c>
      <c r="V1838">
        <v>5.0474449999999997E-2</v>
      </c>
      <c r="W1838">
        <v>-8.6215420000000001E-2</v>
      </c>
      <c r="X1838">
        <v>0.99499709999999997</v>
      </c>
      <c r="Y1838">
        <v>0.15259</v>
      </c>
      <c r="Z1838">
        <v>3.9136890000000001E-2</v>
      </c>
      <c r="AA1838">
        <v>0.98751440000000001</v>
      </c>
      <c r="AB1838">
        <v>29</v>
      </c>
      <c r="AC1838">
        <v>3.1696</v>
      </c>
      <c r="AD1838">
        <v>-1.113454129495</v>
      </c>
      <c r="AE1838">
        <v>-18.1023</v>
      </c>
      <c r="AF1838">
        <v>2.8802880873259902</v>
      </c>
      <c r="AG1838">
        <v>-1.113454129495</v>
      </c>
      <c r="AH1838">
        <v>18.082521845231</v>
      </c>
      <c r="AI1838">
        <v>93.479852131471205</v>
      </c>
      <c r="AJ1838">
        <v>80.949629435280499</v>
      </c>
      <c r="AK1838">
        <v>18.344302544597799</v>
      </c>
      <c r="AL1838">
        <v>94.945919906062201</v>
      </c>
      <c r="AM1838">
        <v>87.095975363929199</v>
      </c>
      <c r="AN1838">
        <v>0.999999998878494</v>
      </c>
    </row>
    <row r="1839" spans="1:40" x14ac:dyDescent="0.25">
      <c r="A1839" t="str">
        <f>"20190305135619278"</f>
        <v>20190305135619278</v>
      </c>
      <c r="B1839" t="str">
        <f>"1551765379274082"</f>
        <v>1551765379274082</v>
      </c>
      <c r="C1839" t="s">
        <v>40</v>
      </c>
      <c r="D1839">
        <v>4.8748990000000001</v>
      </c>
      <c r="E1839">
        <v>0.55028149999999998</v>
      </c>
      <c r="F1839" t="s">
        <v>42</v>
      </c>
      <c r="G1839">
        <v>-489.99740000000003</v>
      </c>
      <c r="H1839" s="1">
        <v>-3.9303450000000001E-6</v>
      </c>
      <c r="I1839">
        <v>238.75239999999999</v>
      </c>
      <c r="J1839">
        <v>-492.74770000000001</v>
      </c>
      <c r="K1839">
        <v>1.112333</v>
      </c>
      <c r="L1839">
        <v>256.95060000000001</v>
      </c>
      <c r="M1839">
        <v>0.32653890000000002</v>
      </c>
      <c r="N1839">
        <v>-1.5302690000000001E-2</v>
      </c>
      <c r="O1839">
        <v>-0.94506000000000001</v>
      </c>
      <c r="P1839">
        <v>0.26984819999999998</v>
      </c>
      <c r="Q1839">
        <v>-0.10157339999999999</v>
      </c>
      <c r="R1839">
        <v>-0.95753080000000002</v>
      </c>
      <c r="S1839">
        <v>0.46047969999999999</v>
      </c>
      <c r="T1839">
        <v>-0.1800206</v>
      </c>
      <c r="U1839">
        <v>-2.986923</v>
      </c>
      <c r="V1839">
        <v>5.8313450000000003E-2</v>
      </c>
      <c r="W1839">
        <v>-8.5920360000000001E-2</v>
      </c>
      <c r="X1839">
        <v>0.99459399999999998</v>
      </c>
      <c r="Y1839">
        <v>0.17876989999999901</v>
      </c>
      <c r="Z1839">
        <v>3.9558900000000001E-2</v>
      </c>
      <c r="AA1839">
        <v>0.98309530000000001</v>
      </c>
      <c r="AB1839">
        <v>29</v>
      </c>
      <c r="AC1839">
        <v>2.7502999999999802</v>
      </c>
      <c r="AD1839">
        <v>-1.1123369303449999</v>
      </c>
      <c r="AE1839">
        <v>-18.1982</v>
      </c>
      <c r="AF1839">
        <v>3.3314442250154901</v>
      </c>
      <c r="AG1839">
        <v>-1.1123369303449999</v>
      </c>
      <c r="AH1839">
        <v>18.032720767502799</v>
      </c>
      <c r="AI1839">
        <v>93.471188999935194</v>
      </c>
      <c r="AJ1839">
        <v>79.532942529741405</v>
      </c>
      <c r="AK1839">
        <v>18.371576751866598</v>
      </c>
      <c r="AL1839">
        <v>94.928951262576604</v>
      </c>
      <c r="AM1839">
        <v>86.644566463424596</v>
      </c>
      <c r="AN1839">
        <v>0.99999999577471599</v>
      </c>
    </row>
    <row r="1840" spans="1:40" x14ac:dyDescent="0.25">
      <c r="A1840" t="str">
        <f>"20190305135619302"</f>
        <v>20190305135619302</v>
      </c>
      <c r="B1840" t="str">
        <f>"1551765379293602"</f>
        <v>1551765379293602</v>
      </c>
      <c r="C1840" t="s">
        <v>40</v>
      </c>
      <c r="D1840">
        <v>4.8231859999999998</v>
      </c>
      <c r="E1840">
        <v>0.55106099999999902</v>
      </c>
      <c r="F1840" t="s">
        <v>42</v>
      </c>
      <c r="G1840">
        <v>-489.96609999999998</v>
      </c>
      <c r="H1840" s="1">
        <v>-3.5352539999999998E-6</v>
      </c>
      <c r="I1840">
        <v>237.8509</v>
      </c>
      <c r="J1840">
        <v>-492.64690000000002</v>
      </c>
      <c r="K1840">
        <v>1.111105</v>
      </c>
      <c r="L1840">
        <v>256.66370000000001</v>
      </c>
      <c r="M1840">
        <v>0.32651930000000001</v>
      </c>
      <c r="N1840">
        <v>-1.507936E-2</v>
      </c>
      <c r="O1840">
        <v>-0.94507039999999998</v>
      </c>
      <c r="P1840">
        <v>0.26440089999999999</v>
      </c>
      <c r="Q1840">
        <v>-9.8681610000000003E-2</v>
      </c>
      <c r="R1840">
        <v>-0.95935099999999995</v>
      </c>
      <c r="S1840">
        <v>0.43569950000000002</v>
      </c>
      <c r="T1840">
        <v>-0.174235</v>
      </c>
      <c r="U1840">
        <v>-2.9917600000000002</v>
      </c>
      <c r="V1840">
        <v>6.375836E-2</v>
      </c>
      <c r="W1840">
        <v>-8.3404439999999996E-2</v>
      </c>
      <c r="X1840">
        <v>0.99447399999999997</v>
      </c>
      <c r="Y1840">
        <v>0.1869354</v>
      </c>
      <c r="Z1840">
        <v>3.7912429999999997E-2</v>
      </c>
      <c r="AA1840">
        <v>0.98164030000000002</v>
      </c>
      <c r="AB1840">
        <v>29</v>
      </c>
      <c r="AC1840">
        <v>2.6808000000000298</v>
      </c>
      <c r="AD1840">
        <v>-1.111108535254</v>
      </c>
      <c r="AE1840">
        <v>-18.812799999999999</v>
      </c>
      <c r="AF1840">
        <v>3.5973088908766702</v>
      </c>
      <c r="AG1840">
        <v>-1.111108535254</v>
      </c>
      <c r="AH1840">
        <v>18.5933047524431</v>
      </c>
      <c r="AI1840">
        <v>93.3577251961907</v>
      </c>
      <c r="AJ1840">
        <v>79.050081682171594</v>
      </c>
      <c r="AK1840">
        <v>18.970666173087199</v>
      </c>
      <c r="AL1840">
        <v>94.784280273728001</v>
      </c>
      <c r="AM1840">
        <v>86.331636630952602</v>
      </c>
      <c r="AN1840">
        <v>0.99999998287880099</v>
      </c>
    </row>
    <row r="1841" spans="1:40" x14ac:dyDescent="0.25">
      <c r="A1841" t="str">
        <f>"20190305135619324"</f>
        <v>20190305135619324</v>
      </c>
      <c r="B1841" t="str">
        <f>"1551765379314098"</f>
        <v>1551765379314098</v>
      </c>
      <c r="C1841" t="s">
        <v>40</v>
      </c>
      <c r="D1841">
        <v>4.8265339999999997</v>
      </c>
      <c r="E1841">
        <v>0.55179590000000001</v>
      </c>
      <c r="F1841" t="s">
        <v>42</v>
      </c>
      <c r="G1841">
        <v>-489.8734</v>
      </c>
      <c r="H1841" s="1">
        <v>-2.996422E-6</v>
      </c>
      <c r="I1841">
        <v>236.5652</v>
      </c>
      <c r="J1841">
        <v>-492.55180000000001</v>
      </c>
      <c r="K1841">
        <v>1.109847</v>
      </c>
      <c r="L1841">
        <v>256.38850000000002</v>
      </c>
      <c r="M1841">
        <v>0.32523380000000002</v>
      </c>
      <c r="N1841">
        <v>-1.490621E-2</v>
      </c>
      <c r="O1841">
        <v>-0.94551609999999997</v>
      </c>
      <c r="P1841">
        <v>0.25439230000000002</v>
      </c>
      <c r="Q1841">
        <v>-9.5035729999999999E-2</v>
      </c>
      <c r="R1841">
        <v>-0.96242019999999995</v>
      </c>
      <c r="S1841">
        <v>0.41345209999999999</v>
      </c>
      <c r="T1841">
        <v>-0.16563329999999901</v>
      </c>
      <c r="U1841">
        <v>-2.9960939999999998</v>
      </c>
      <c r="V1841">
        <v>7.2608220000000001E-2</v>
      </c>
      <c r="W1841">
        <v>-8.0116690000000004E-2</v>
      </c>
      <c r="X1841">
        <v>0.99413750000000001</v>
      </c>
      <c r="Y1841">
        <v>0.1929323</v>
      </c>
      <c r="Z1841">
        <v>3.542671E-2</v>
      </c>
      <c r="AA1841">
        <v>0.98057229999999995</v>
      </c>
      <c r="AB1841">
        <v>29</v>
      </c>
      <c r="AC1841">
        <v>2.6784000000000101</v>
      </c>
      <c r="AD1841">
        <v>-1.1098499964219899</v>
      </c>
      <c r="AE1841">
        <v>-19.8233</v>
      </c>
      <c r="AF1841">
        <v>3.9031566892396801</v>
      </c>
      <c r="AG1841">
        <v>-1.1098499964219899</v>
      </c>
      <c r="AH1841">
        <v>19.556334325378899</v>
      </c>
      <c r="AI1841">
        <v>93.185441334891095</v>
      </c>
      <c r="AJ1841">
        <v>78.712916501071703</v>
      </c>
      <c r="AK1841">
        <v>19.972896920609902</v>
      </c>
      <c r="AL1841">
        <v>94.595273094723495</v>
      </c>
      <c r="AM1841">
        <v>85.822739836876394</v>
      </c>
      <c r="AN1841">
        <v>1.0000000032671801</v>
      </c>
    </row>
    <row r="1842" spans="1:40" x14ac:dyDescent="0.25">
      <c r="A1842" t="str">
        <f>"20190305135619347"</f>
        <v>20190305135619347</v>
      </c>
      <c r="B1842" t="str">
        <f>"1551765379344354"</f>
        <v>1551765379344354</v>
      </c>
      <c r="C1842" t="s">
        <v>40</v>
      </c>
      <c r="D1842">
        <v>4.8595300000000003</v>
      </c>
      <c r="E1842">
        <v>0.55291709999999905</v>
      </c>
      <c r="F1842" t="s">
        <v>42</v>
      </c>
      <c r="G1842">
        <v>-489.96780000000001</v>
      </c>
      <c r="H1842" s="1">
        <v>-2.6162349999999999E-6</v>
      </c>
      <c r="I1842">
        <v>235.70760000000001</v>
      </c>
      <c r="J1842">
        <v>-492.45760000000001</v>
      </c>
      <c r="K1842">
        <v>1.108582</v>
      </c>
      <c r="L1842">
        <v>256.1105</v>
      </c>
      <c r="M1842">
        <v>0.32277319999999998</v>
      </c>
      <c r="N1842">
        <v>-1.4769289999999999E-2</v>
      </c>
      <c r="O1842">
        <v>-0.94636109999999896</v>
      </c>
      <c r="P1842">
        <v>0.24049709999999999</v>
      </c>
      <c r="Q1842">
        <v>-9.3948279999999995E-2</v>
      </c>
      <c r="R1842">
        <v>-0.96609279999999997</v>
      </c>
      <c r="S1842">
        <v>0.37509160000000002</v>
      </c>
      <c r="T1842">
        <v>-0.161108</v>
      </c>
      <c r="U1842">
        <v>-3.0020899999999999</v>
      </c>
      <c r="V1842">
        <v>8.4116969999999999E-2</v>
      </c>
      <c r="W1842">
        <v>-7.9418199999999994E-2</v>
      </c>
      <c r="X1842">
        <v>0.993286</v>
      </c>
      <c r="Y1842">
        <v>0.20294300000000001</v>
      </c>
      <c r="Z1842">
        <v>3.4118120000000002E-2</v>
      </c>
      <c r="AA1842">
        <v>0.97859600000000002</v>
      </c>
      <c r="AB1842">
        <v>29</v>
      </c>
      <c r="AC1842">
        <v>2.4897999999999998</v>
      </c>
      <c r="AD1842">
        <v>-1.1085846162349999</v>
      </c>
      <c r="AE1842">
        <v>-20.402899999999899</v>
      </c>
      <c r="AF1842">
        <v>4.2174524948891898</v>
      </c>
      <c r="AG1842">
        <v>-1.1085846162349999</v>
      </c>
      <c r="AH1842">
        <v>20.056003855478998</v>
      </c>
      <c r="AI1842">
        <v>93.096194211282196</v>
      </c>
      <c r="AJ1842">
        <v>78.124648598908706</v>
      </c>
      <c r="AK1842">
        <v>20.5245988036061</v>
      </c>
      <c r="AL1842">
        <v>94.555124662982706</v>
      </c>
      <c r="AM1842">
        <v>85.159425046034002</v>
      </c>
      <c r="AN1842">
        <v>0.99999999646461002</v>
      </c>
    </row>
    <row r="1843" spans="1:40" x14ac:dyDescent="0.25">
      <c r="A1843" t="str">
        <f>"20190305135619368"</f>
        <v>20190305135619368</v>
      </c>
      <c r="B1843" t="str">
        <f>"1551765379363406"</f>
        <v>1551765379363406</v>
      </c>
      <c r="C1843" t="s">
        <v>40</v>
      </c>
      <c r="D1843">
        <v>4.8699529999999998</v>
      </c>
      <c r="E1843">
        <v>0.55355290000000001</v>
      </c>
      <c r="F1843" t="s">
        <v>42</v>
      </c>
      <c r="G1843">
        <v>-490.25069999999999</v>
      </c>
      <c r="H1843" s="1">
        <v>-2.5987869999999999E-6</v>
      </c>
      <c r="I1843">
        <v>235.4914</v>
      </c>
      <c r="J1843">
        <v>-492.37180000000001</v>
      </c>
      <c r="K1843">
        <v>1.1074649999999999</v>
      </c>
      <c r="L1843">
        <v>255.8511</v>
      </c>
      <c r="M1843">
        <v>0.31945630000000003</v>
      </c>
      <c r="N1843">
        <v>-1.466688E-2</v>
      </c>
      <c r="O1843">
        <v>-0.94748750000000004</v>
      </c>
      <c r="P1843">
        <v>0.22710169999999999</v>
      </c>
      <c r="Q1843">
        <v>-9.5464389999999996E-2</v>
      </c>
      <c r="R1843">
        <v>-0.96918059999999995</v>
      </c>
      <c r="S1843">
        <v>0.32208249999999999</v>
      </c>
      <c r="T1843">
        <v>-0.16179789999999999</v>
      </c>
      <c r="U1843">
        <v>-3.0093540000000001</v>
      </c>
      <c r="V1843">
        <v>9.4102060000000001E-2</v>
      </c>
      <c r="W1843">
        <v>-8.1318719999999997E-2</v>
      </c>
      <c r="X1843">
        <v>0.99223589999999995</v>
      </c>
      <c r="Y1843">
        <v>0.21678459999999999</v>
      </c>
      <c r="Z1843">
        <v>3.4319189999999999E-2</v>
      </c>
      <c r="AA1843">
        <v>0.97561600000000004</v>
      </c>
      <c r="AB1843">
        <v>29</v>
      </c>
      <c r="AC1843">
        <v>2.12110000000001</v>
      </c>
      <c r="AD1843">
        <v>-1.107467598787</v>
      </c>
      <c r="AE1843">
        <v>-20.3597</v>
      </c>
      <c r="AF1843">
        <v>4.4816840199953001</v>
      </c>
      <c r="AG1843">
        <v>-1.107467598787</v>
      </c>
      <c r="AH1843">
        <v>19.9120244266174</v>
      </c>
      <c r="AI1843">
        <v>93.105859433479793</v>
      </c>
      <c r="AJ1843">
        <v>77.315567198805297</v>
      </c>
      <c r="AK1843">
        <v>20.440173504734599</v>
      </c>
      <c r="AL1843">
        <v>94.664369791498103</v>
      </c>
      <c r="AM1843">
        <v>84.582364120247803</v>
      </c>
      <c r="AN1843">
        <v>1.00000000658374</v>
      </c>
    </row>
    <row r="1844" spans="1:40" x14ac:dyDescent="0.25">
      <c r="A1844" t="str">
        <f>"20190305135619389"</f>
        <v>20190305135619389</v>
      </c>
      <c r="B1844" t="str">
        <f>"1551765379383902"</f>
        <v>1551765379383902</v>
      </c>
      <c r="C1844" t="s">
        <v>40</v>
      </c>
      <c r="D1844">
        <v>4.8368320000000002</v>
      </c>
      <c r="E1844">
        <v>0.55409019999999898</v>
      </c>
      <c r="F1844" t="s">
        <v>42</v>
      </c>
      <c r="G1844">
        <v>-490.50990000000002</v>
      </c>
      <c r="H1844" s="1">
        <v>-2.6907770000000001E-6</v>
      </c>
      <c r="I1844">
        <v>235.54509999999999</v>
      </c>
      <c r="J1844">
        <v>-492.2885</v>
      </c>
      <c r="K1844">
        <v>1.1064689999999999</v>
      </c>
      <c r="L1844">
        <v>255.59219999999999</v>
      </c>
      <c r="M1844">
        <v>0.31522539999999999</v>
      </c>
      <c r="N1844">
        <v>-1.458248E-2</v>
      </c>
      <c r="O1844">
        <v>-0.94890509999999995</v>
      </c>
      <c r="P1844">
        <v>0.21629370000000001</v>
      </c>
      <c r="Q1844">
        <v>-9.9037570000000005E-2</v>
      </c>
      <c r="R1844">
        <v>-0.97129279999999996</v>
      </c>
      <c r="S1844">
        <v>0.27639770000000002</v>
      </c>
      <c r="T1844">
        <v>-0.164404299999999</v>
      </c>
      <c r="U1844">
        <v>-3.0144350000000002</v>
      </c>
      <c r="V1844">
        <v>0.100382</v>
      </c>
      <c r="W1844">
        <v>-8.5257940000000004E-2</v>
      </c>
      <c r="X1844">
        <v>0.99128930000000004</v>
      </c>
      <c r="Y1844">
        <v>0.2272264</v>
      </c>
      <c r="Z1844">
        <v>3.5146860000000002E-2</v>
      </c>
      <c r="AA1844">
        <v>0.9732075</v>
      </c>
      <c r="AB1844">
        <v>29</v>
      </c>
      <c r="AC1844">
        <v>1.77859999999998</v>
      </c>
      <c r="AD1844">
        <v>-1.106471690777</v>
      </c>
      <c r="AE1844">
        <v>-20.0471</v>
      </c>
      <c r="AF1844">
        <v>4.6181650732298296</v>
      </c>
      <c r="AG1844">
        <v>-1.106471690777</v>
      </c>
      <c r="AH1844">
        <v>19.526512368087499</v>
      </c>
      <c r="AI1844">
        <v>93.156311674633699</v>
      </c>
      <c r="AJ1844">
        <v>76.693627590327495</v>
      </c>
      <c r="AK1844">
        <v>20.095681464114701</v>
      </c>
      <c r="AL1844">
        <v>94.890857737301104</v>
      </c>
      <c r="AM1844">
        <v>84.217706459828307</v>
      </c>
      <c r="AN1844">
        <v>0.99999996927576595</v>
      </c>
    </row>
    <row r="1845" spans="1:40" x14ac:dyDescent="0.25">
      <c r="A1845" t="str">
        <f>"20190305135619414"</f>
        <v>20190305135619414</v>
      </c>
      <c r="B1845" t="str">
        <f>"1551765379403423"</f>
        <v>1551765379403423</v>
      </c>
      <c r="C1845" t="s">
        <v>40</v>
      </c>
      <c r="D1845">
        <v>4.8334469999999996</v>
      </c>
      <c r="E1845">
        <v>0.55450319999999997</v>
      </c>
      <c r="F1845" t="s">
        <v>42</v>
      </c>
      <c r="G1845">
        <v>-490.74160000000001</v>
      </c>
      <c r="H1845" s="1">
        <v>-2.9967119999999999E-6</v>
      </c>
      <c r="I1845">
        <v>236.11449999999999</v>
      </c>
      <c r="J1845">
        <v>-492.1943</v>
      </c>
      <c r="K1845">
        <v>1.105456</v>
      </c>
      <c r="L1845">
        <v>255.28970000000001</v>
      </c>
      <c r="M1845">
        <v>0.30912909999999999</v>
      </c>
      <c r="N1845">
        <v>-1.4508200000000001E-2</v>
      </c>
      <c r="O1845">
        <v>-0.95090969999999997</v>
      </c>
      <c r="P1845">
        <v>0.2076489</v>
      </c>
      <c r="Q1845">
        <v>-0.102321</v>
      </c>
      <c r="R1845">
        <v>-0.97283770000000003</v>
      </c>
      <c r="S1845">
        <v>0.23965449999999999</v>
      </c>
      <c r="T1845">
        <v>-0.171432</v>
      </c>
      <c r="U1845">
        <v>-3.017792</v>
      </c>
      <c r="V1845">
        <v>0.1024854</v>
      </c>
      <c r="W1845">
        <v>-8.889002E-2</v>
      </c>
      <c r="X1845">
        <v>0.99075489999999999</v>
      </c>
      <c r="Y1845">
        <v>0.2328337</v>
      </c>
      <c r="Z1845">
        <v>3.7397399999999997E-2</v>
      </c>
      <c r="AA1845">
        <v>0.97179729999999998</v>
      </c>
      <c r="AB1845">
        <v>29</v>
      </c>
      <c r="AC1845">
        <v>1.4526999999999901</v>
      </c>
      <c r="AD1845">
        <v>-1.1054589967120001</v>
      </c>
      <c r="AE1845">
        <v>-19.1752</v>
      </c>
      <c r="AF1845">
        <v>4.5317275102069203</v>
      </c>
      <c r="AG1845">
        <v>-1.1054589967120001</v>
      </c>
      <c r="AH1845">
        <v>18.623374045575499</v>
      </c>
      <c r="AI1845">
        <v>93.300916680370094</v>
      </c>
      <c r="AJ1845">
        <v>76.323703857833706</v>
      </c>
      <c r="AK1845">
        <v>19.1986628352495</v>
      </c>
      <c r="AL1845">
        <v>95.099754069811695</v>
      </c>
      <c r="AM1845">
        <v>84.094230014948096</v>
      </c>
      <c r="AN1845">
        <v>0.99999998237138499</v>
      </c>
    </row>
    <row r="1846" spans="1:40" x14ac:dyDescent="0.25">
      <c r="A1846" t="str">
        <f>"20190305135619434"</f>
        <v>20190305135619434</v>
      </c>
      <c r="B1846" t="str">
        <f>"1551765379423918"</f>
        <v>1551765379423918</v>
      </c>
      <c r="C1846" t="s">
        <v>40</v>
      </c>
      <c r="D1846">
        <v>4.8271199999999999</v>
      </c>
      <c r="E1846">
        <v>0.55478709999999998</v>
      </c>
      <c r="F1846" t="s">
        <v>42</v>
      </c>
      <c r="G1846">
        <v>-490.90519999999998</v>
      </c>
      <c r="H1846" s="1">
        <v>-3.328594E-6</v>
      </c>
      <c r="I1846">
        <v>236.7867</v>
      </c>
      <c r="J1846">
        <v>-492.11579999999998</v>
      </c>
      <c r="K1846">
        <v>1.1047149999999999</v>
      </c>
      <c r="L1846">
        <v>255.0292</v>
      </c>
      <c r="M1846">
        <v>0.30307119999999999</v>
      </c>
      <c r="N1846">
        <v>-1.446338E-2</v>
      </c>
      <c r="O1846">
        <v>-0.95285830000000005</v>
      </c>
      <c r="P1846">
        <v>0.20153070000000001</v>
      </c>
      <c r="Q1846">
        <v>-0.1044336</v>
      </c>
      <c r="R1846">
        <v>-0.97389910000000002</v>
      </c>
      <c r="S1846">
        <v>0.2103882</v>
      </c>
      <c r="T1846">
        <v>-0.1804229</v>
      </c>
      <c r="U1846">
        <v>-3.0198969999999998</v>
      </c>
      <c r="V1846">
        <v>0.10214959999999999</v>
      </c>
      <c r="W1846">
        <v>-9.1238680000000003E-2</v>
      </c>
      <c r="X1846">
        <v>0.99057609999999996</v>
      </c>
      <c r="Y1846">
        <v>0.236063</v>
      </c>
      <c r="Z1846">
        <v>4.0250670000000002E-2</v>
      </c>
      <c r="AA1846">
        <v>0.97090379999999998</v>
      </c>
      <c r="AB1846">
        <v>29</v>
      </c>
      <c r="AC1846">
        <v>1.2105999999999899</v>
      </c>
      <c r="AD1846">
        <v>-1.1047183285940001</v>
      </c>
      <c r="AE1846">
        <v>-18.2425</v>
      </c>
      <c r="AF1846">
        <v>4.35978509516901</v>
      </c>
      <c r="AG1846">
        <v>-1.1047183285940001</v>
      </c>
      <c r="AH1846">
        <v>17.686693588407898</v>
      </c>
      <c r="AI1846">
        <v>93.470458472551798</v>
      </c>
      <c r="AJ1846">
        <v>76.152604253887404</v>
      </c>
      <c r="AK1846">
        <v>18.249582426779501</v>
      </c>
      <c r="AL1846">
        <v>95.2348713170868</v>
      </c>
      <c r="AM1846">
        <v>84.112389480245895</v>
      </c>
      <c r="AN1846">
        <v>1.0000000236997499</v>
      </c>
    </row>
    <row r="1847" spans="1:40" x14ac:dyDescent="0.25">
      <c r="A1847" t="str">
        <f>"20190305135619456"</f>
        <v>20190305135619456</v>
      </c>
      <c r="B1847" t="str">
        <f>"1551765379453706"</f>
        <v>1551765379453706</v>
      </c>
      <c r="C1847" t="s">
        <v>40</v>
      </c>
      <c r="D1847">
        <v>4.7095840000000004</v>
      </c>
      <c r="E1847">
        <v>0.55497099999999999</v>
      </c>
      <c r="F1847" t="s">
        <v>42</v>
      </c>
      <c r="G1847">
        <v>-491.01100000000002</v>
      </c>
      <c r="H1847" s="1">
        <v>-3.6077070000000002E-6</v>
      </c>
      <c r="I1847">
        <v>237.3717</v>
      </c>
      <c r="J1847">
        <v>-492.03609999999998</v>
      </c>
      <c r="K1847">
        <v>1.104085</v>
      </c>
      <c r="L1847">
        <v>254.75489999999999</v>
      </c>
      <c r="M1847">
        <v>0.29600530000000003</v>
      </c>
      <c r="N1847">
        <v>-1.4424940000000001E-2</v>
      </c>
      <c r="O1847">
        <v>-0.95507750000000002</v>
      </c>
      <c r="P1847">
        <v>0.19823350000000001</v>
      </c>
      <c r="Q1847">
        <v>-9.9179859999999995E-2</v>
      </c>
      <c r="R1847">
        <v>-0.9751244</v>
      </c>
      <c r="S1847">
        <v>0.1890259</v>
      </c>
      <c r="T1847">
        <v>-0.18900449999999999</v>
      </c>
      <c r="U1847">
        <v>-3.0209959999999998</v>
      </c>
      <c r="V1847">
        <v>9.8244650000000003E-2</v>
      </c>
      <c r="W1847">
        <v>-8.6134249999999996E-2</v>
      </c>
      <c r="X1847">
        <v>0.99142770000000002</v>
      </c>
      <c r="Y1847">
        <v>0.2357281</v>
      </c>
      <c r="Z1847">
        <v>4.305635E-2</v>
      </c>
      <c r="AA1847">
        <v>0.97086479999999997</v>
      </c>
      <c r="AB1847">
        <v>29</v>
      </c>
      <c r="AC1847">
        <v>1.0250999999999999</v>
      </c>
      <c r="AD1847">
        <v>-1.104088607707</v>
      </c>
      <c r="AE1847">
        <v>-17.383199999999899</v>
      </c>
      <c r="AF1847">
        <v>4.1502179740836098</v>
      </c>
      <c r="AG1847">
        <v>-1.104088607707</v>
      </c>
      <c r="AH1847">
        <v>16.839797002280601</v>
      </c>
      <c r="AI1847">
        <v>93.642501942524106</v>
      </c>
      <c r="AJ1847">
        <v>76.155190778553106</v>
      </c>
      <c r="AK1847">
        <v>17.378782580033999</v>
      </c>
      <c r="AL1847">
        <v>94.941251825617201</v>
      </c>
      <c r="AM1847">
        <v>84.340800980279894</v>
      </c>
      <c r="AN1847">
        <v>1.0000000023019799</v>
      </c>
    </row>
    <row r="1848" spans="1:40" x14ac:dyDescent="0.25">
      <c r="A1848" t="str">
        <f>"20190305135619478"</f>
        <v>20190305135619478</v>
      </c>
      <c r="B1848" t="str">
        <f>"1551765379474200"</f>
        <v>1551765379474200</v>
      </c>
      <c r="C1848" t="s">
        <v>40</v>
      </c>
      <c r="D1848">
        <v>4.81332</v>
      </c>
      <c r="E1848">
        <v>0.55505470000000001</v>
      </c>
      <c r="F1848" t="s">
        <v>42</v>
      </c>
      <c r="G1848">
        <v>-490.95069999999998</v>
      </c>
      <c r="H1848" s="1">
        <v>-3.060701E-6</v>
      </c>
      <c r="I1848">
        <v>236.13399999999999</v>
      </c>
      <c r="J1848">
        <v>-491.9606</v>
      </c>
      <c r="K1848">
        <v>1.103521</v>
      </c>
      <c r="L1848">
        <v>254.48500000000001</v>
      </c>
      <c r="M1848">
        <v>0.28839749999999997</v>
      </c>
      <c r="N1848">
        <v>-1.434094E-2</v>
      </c>
      <c r="O1848">
        <v>-0.95740369999999997</v>
      </c>
      <c r="P1848">
        <v>0.1962092</v>
      </c>
      <c r="Q1848">
        <v>-9.0181510000000006E-2</v>
      </c>
      <c r="R1848">
        <v>-0.97640649999999996</v>
      </c>
      <c r="S1848">
        <v>0.176178</v>
      </c>
      <c r="T1848">
        <v>-0.1792127</v>
      </c>
      <c r="U1848">
        <v>-3.022491</v>
      </c>
      <c r="V1848">
        <v>9.2671299999999998E-2</v>
      </c>
      <c r="W1848">
        <v>-7.7267359999999993E-2</v>
      </c>
      <c r="X1848">
        <v>0.99269419999999997</v>
      </c>
      <c r="Y1848">
        <v>0.23213909999999999</v>
      </c>
      <c r="Z1848">
        <v>4.037512E-2</v>
      </c>
      <c r="AA1848">
        <v>0.97184429999999999</v>
      </c>
      <c r="AB1848">
        <v>29</v>
      </c>
      <c r="AC1848">
        <v>1.00990000000001</v>
      </c>
      <c r="AD1848">
        <v>-1.103524060701</v>
      </c>
      <c r="AE1848">
        <v>-18.350999999999999</v>
      </c>
      <c r="AF1848">
        <v>4.3104041165623501</v>
      </c>
      <c r="AG1848">
        <v>-1.103524060701</v>
      </c>
      <c r="AH1848">
        <v>17.798232848707201</v>
      </c>
      <c r="AI1848">
        <v>93.448467269491999</v>
      </c>
      <c r="AJ1848">
        <v>76.386137763039898</v>
      </c>
      <c r="AK1848">
        <v>18.3459652658949</v>
      </c>
      <c r="AL1848">
        <v>94.431510661466703</v>
      </c>
      <c r="AM1848">
        <v>84.666705818979594</v>
      </c>
      <c r="AN1848">
        <v>0.99999999473934897</v>
      </c>
    </row>
    <row r="1849" spans="1:40" x14ac:dyDescent="0.25">
      <c r="A1849" t="str">
        <f>"20190305135619501"</f>
        <v>20190305135619501</v>
      </c>
      <c r="B1849" t="str">
        <f>"1551765379493721"</f>
        <v>1551765379493721</v>
      </c>
      <c r="C1849" t="s">
        <v>40</v>
      </c>
      <c r="D1849">
        <v>4.7481229999999996</v>
      </c>
      <c r="E1849">
        <v>0.55504330000000002</v>
      </c>
      <c r="F1849" t="s">
        <v>42</v>
      </c>
      <c r="G1849">
        <v>-490.7593</v>
      </c>
      <c r="H1849" s="1">
        <v>-1.6594519999999999E-6</v>
      </c>
      <c r="I1849">
        <v>232.9864</v>
      </c>
      <c r="J1849">
        <v>-491.88369999999998</v>
      </c>
      <c r="K1849">
        <v>1.102929</v>
      </c>
      <c r="L1849">
        <v>254.19829999999999</v>
      </c>
      <c r="M1849">
        <v>0.27965689999999999</v>
      </c>
      <c r="N1849">
        <v>-1.416062E-2</v>
      </c>
      <c r="O1849">
        <v>-0.95999570000000001</v>
      </c>
      <c r="P1849">
        <v>0.19204360000000001</v>
      </c>
      <c r="Q1849">
        <v>-8.5935650000000002E-2</v>
      </c>
      <c r="R1849">
        <v>-0.97761670000000001</v>
      </c>
      <c r="S1849">
        <v>0.16897579999999901</v>
      </c>
      <c r="T1849">
        <v>-0.1552317</v>
      </c>
      <c r="U1849">
        <v>-3.0242</v>
      </c>
      <c r="V1849">
        <v>8.791757E-2</v>
      </c>
      <c r="W1849">
        <v>-7.3250300000000004E-2</v>
      </c>
      <c r="X1849">
        <v>0.99343090000000001</v>
      </c>
      <c r="Y1849">
        <v>0.2256098</v>
      </c>
      <c r="Z1849">
        <v>3.3470710000000001E-2</v>
      </c>
      <c r="AA1849">
        <v>0.97364260000000002</v>
      </c>
      <c r="AB1849">
        <v>29</v>
      </c>
      <c r="AC1849">
        <v>1.1243999999999801</v>
      </c>
      <c r="AD1849">
        <v>-1.1029306594519901</v>
      </c>
      <c r="AE1849">
        <v>-21.211899999999901</v>
      </c>
      <c r="AF1849">
        <v>4.8400722353072103</v>
      </c>
      <c r="AG1849">
        <v>-1.1029306594519901</v>
      </c>
      <c r="AH1849">
        <v>20.6242471152113</v>
      </c>
      <c r="AI1849">
        <v>92.980295474485203</v>
      </c>
      <c r="AJ1849">
        <v>76.792893818848398</v>
      </c>
      <c r="AK1849">
        <v>21.213258221024301</v>
      </c>
      <c r="AL1849">
        <v>94.200695187704696</v>
      </c>
      <c r="AM1849">
        <v>84.942560842537901</v>
      </c>
      <c r="AN1849">
        <v>1.0000000293197999</v>
      </c>
    </row>
    <row r="1850" spans="1:40" x14ac:dyDescent="0.25">
      <c r="A1850" t="str">
        <f>"20190305135619524"</f>
        <v>20190305135619524</v>
      </c>
      <c r="B1850" t="str">
        <f>"1551765379514216"</f>
        <v>1551765379514216</v>
      </c>
      <c r="C1850" t="s">
        <v>40</v>
      </c>
      <c r="D1850">
        <v>4.7269170000000003</v>
      </c>
      <c r="E1850">
        <v>0.555073699999999</v>
      </c>
      <c r="F1850" t="s">
        <v>42</v>
      </c>
      <c r="G1850">
        <v>-490.7079</v>
      </c>
      <c r="H1850" s="1">
        <v>-9.2932460000000002E-7</v>
      </c>
      <c r="I1850">
        <v>231.31630000000001</v>
      </c>
      <c r="J1850">
        <v>-491.8064</v>
      </c>
      <c r="K1850">
        <v>1.1023309999999999</v>
      </c>
      <c r="L1850">
        <v>253.8963</v>
      </c>
      <c r="M1850">
        <v>0.2698815</v>
      </c>
      <c r="N1850">
        <v>-1.3950580000000001E-2</v>
      </c>
      <c r="O1850">
        <v>-0.96279250000000005</v>
      </c>
      <c r="P1850">
        <v>0.18415819999999999</v>
      </c>
      <c r="Q1850">
        <v>-8.7405789999999997E-2</v>
      </c>
      <c r="R1850">
        <v>-0.97900259999999995</v>
      </c>
      <c r="S1850">
        <v>0.1554565</v>
      </c>
      <c r="T1850">
        <v>-0.14582500000000001</v>
      </c>
      <c r="U1850">
        <v>-3.02536</v>
      </c>
      <c r="V1850">
        <v>8.5662310000000005E-2</v>
      </c>
      <c r="W1850">
        <v>-7.5010610000000005E-2</v>
      </c>
      <c r="X1850">
        <v>0.9934965</v>
      </c>
      <c r="Y1850">
        <v>0.22006490000000001</v>
      </c>
      <c r="Z1850">
        <v>3.1011589999999999E-2</v>
      </c>
      <c r="AA1850">
        <v>0.97499219999999998</v>
      </c>
      <c r="AB1850">
        <v>29</v>
      </c>
      <c r="AC1850">
        <v>1.0985</v>
      </c>
      <c r="AD1850">
        <v>-1.1023319293245999</v>
      </c>
      <c r="AE1850">
        <v>-22.579999999999899</v>
      </c>
      <c r="AF1850">
        <v>5.02483938304609</v>
      </c>
      <c r="AG1850">
        <v>-1.1023319293245999</v>
      </c>
      <c r="AH1850">
        <v>21.986187941787598</v>
      </c>
      <c r="AI1850">
        <v>92.798231576069597</v>
      </c>
      <c r="AJ1850">
        <v>77.126422502509499</v>
      </c>
      <c r="AK1850">
        <v>22.580004577488999</v>
      </c>
      <c r="AL1850">
        <v>94.301832105797999</v>
      </c>
      <c r="AM1850">
        <v>85.071970692255505</v>
      </c>
      <c r="AN1850">
        <v>0.99999995923967799</v>
      </c>
    </row>
    <row r="1851" spans="1:40" x14ac:dyDescent="0.25">
      <c r="A1851" t="str">
        <f>"20190305135619547"</f>
        <v>20190305135619547</v>
      </c>
      <c r="B1851" t="str">
        <f>"1551765379543497"</f>
        <v>1551765379543497</v>
      </c>
      <c r="C1851" t="s">
        <v>40</v>
      </c>
      <c r="D1851">
        <v>4.6837720000000003</v>
      </c>
      <c r="E1851">
        <v>0.55544659999999901</v>
      </c>
      <c r="F1851" t="s">
        <v>42</v>
      </c>
      <c r="G1851">
        <v>-490.88279999999997</v>
      </c>
      <c r="H1851" s="1">
        <v>-1.43859E-6</v>
      </c>
      <c r="I1851">
        <v>232.39490000000001</v>
      </c>
      <c r="J1851">
        <v>-491.73759999999999</v>
      </c>
      <c r="K1851">
        <v>1.1018570000000001</v>
      </c>
      <c r="L1851">
        <v>253.61420000000001</v>
      </c>
      <c r="M1851">
        <v>0.26032640000000001</v>
      </c>
      <c r="N1851">
        <v>-1.377398E-2</v>
      </c>
      <c r="O1851">
        <v>-0.96542249999999996</v>
      </c>
      <c r="P1851">
        <v>0.1756595</v>
      </c>
      <c r="Q1851">
        <v>-9.3718819999999994E-2</v>
      </c>
      <c r="R1851">
        <v>-0.97998010000000002</v>
      </c>
      <c r="S1851">
        <v>0.12997439999999999</v>
      </c>
      <c r="T1851">
        <v>-0.1551389</v>
      </c>
      <c r="U1851">
        <v>-3.0260310000000001</v>
      </c>
      <c r="V1851">
        <v>8.4089529999999996E-2</v>
      </c>
      <c r="W1851">
        <v>-8.1566650000000004E-2</v>
      </c>
      <c r="X1851">
        <v>0.99311419999999995</v>
      </c>
      <c r="Y1851">
        <v>0.2186012</v>
      </c>
      <c r="Z1851">
        <v>3.4234710000000002E-2</v>
      </c>
      <c r="AA1851">
        <v>0.97521360000000001</v>
      </c>
      <c r="AB1851">
        <v>29</v>
      </c>
      <c r="AC1851">
        <v>0.854800000000011</v>
      </c>
      <c r="AD1851">
        <v>-1.1018584385900001</v>
      </c>
      <c r="AE1851">
        <v>-21.2193</v>
      </c>
      <c r="AF1851">
        <v>4.6865298016741397</v>
      </c>
      <c r="AG1851">
        <v>-1.1018584385900001</v>
      </c>
      <c r="AH1851">
        <v>20.654476514108801</v>
      </c>
      <c r="AI1851">
        <v>92.978115233196206</v>
      </c>
      <c r="AJ1851">
        <v>77.215965644487397</v>
      </c>
      <c r="AK1851">
        <v>21.208136496933001</v>
      </c>
      <c r="AL1851">
        <v>94.678622554910206</v>
      </c>
      <c r="AM1851">
        <v>85.160163473427303</v>
      </c>
      <c r="AN1851">
        <v>0.999999990844741</v>
      </c>
    </row>
    <row r="1852" spans="1:40" x14ac:dyDescent="0.25">
      <c r="A1852" t="str">
        <f>"20190305135619566"</f>
        <v>20190305135619566</v>
      </c>
      <c r="B1852" t="str">
        <f>"1551765379563992"</f>
        <v>1551765379563992</v>
      </c>
      <c r="C1852" t="s">
        <v>40</v>
      </c>
      <c r="D1852">
        <v>4.6386580000000004</v>
      </c>
      <c r="E1852">
        <v>0.5557069</v>
      </c>
      <c r="F1852" t="s">
        <v>42</v>
      </c>
      <c r="G1852">
        <v>-491.10930000000002</v>
      </c>
      <c r="H1852" s="1">
        <v>-2.422296E-6</v>
      </c>
      <c r="I1852">
        <v>234.54750000000001</v>
      </c>
      <c r="J1852">
        <v>-491.67840000000001</v>
      </c>
      <c r="K1852">
        <v>1.1015459999999999</v>
      </c>
      <c r="L1852">
        <v>253.35910000000001</v>
      </c>
      <c r="M1852">
        <v>0.2514303</v>
      </c>
      <c r="N1852">
        <v>-1.362388E-2</v>
      </c>
      <c r="O1852">
        <v>-0.96777959999999996</v>
      </c>
      <c r="P1852">
        <v>0.167127</v>
      </c>
      <c r="Q1852">
        <v>-9.6731709999999999E-2</v>
      </c>
      <c r="R1852">
        <v>-0.98117889999999996</v>
      </c>
      <c r="S1852">
        <v>9.9731449999999999E-2</v>
      </c>
      <c r="T1852">
        <v>-0.17491019999999999</v>
      </c>
      <c r="U1852">
        <v>-3.026672</v>
      </c>
      <c r="V1852">
        <v>8.3403710000000006E-2</v>
      </c>
      <c r="W1852">
        <v>-8.4775950000000003E-2</v>
      </c>
      <c r="X1852">
        <v>0.99290319999999999</v>
      </c>
      <c r="Y1852">
        <v>0.21935730000000001</v>
      </c>
      <c r="Z1852">
        <v>4.0651809999999997E-2</v>
      </c>
      <c r="AA1852">
        <v>0.97479729999999998</v>
      </c>
      <c r="AB1852">
        <v>29</v>
      </c>
      <c r="AC1852">
        <v>0.56909999999999095</v>
      </c>
      <c r="AD1852">
        <v>-1.1015484222959999</v>
      </c>
      <c r="AE1852">
        <v>-18.811599999999999</v>
      </c>
      <c r="AF1852">
        <v>4.1651615243146596</v>
      </c>
      <c r="AG1852">
        <v>-1.1015484222959999</v>
      </c>
      <c r="AH1852">
        <v>18.287624090081099</v>
      </c>
      <c r="AI1852">
        <v>93.3611547169522</v>
      </c>
      <c r="AJ1852">
        <v>77.169271931849394</v>
      </c>
      <c r="AK1852">
        <v>18.788272254531801</v>
      </c>
      <c r="AL1852">
        <v>94.863141478055894</v>
      </c>
      <c r="AM1852">
        <v>85.198435749523</v>
      </c>
      <c r="AN1852">
        <v>0.99999995255520202</v>
      </c>
    </row>
    <row r="1853" spans="1:40" x14ac:dyDescent="0.25">
      <c r="A1853" t="str">
        <f>"20190305135619591"</f>
        <v>20190305135619591</v>
      </c>
      <c r="B1853" t="str">
        <f>"1551765379583512"</f>
        <v>1551765379583512</v>
      </c>
      <c r="C1853" t="s">
        <v>40</v>
      </c>
      <c r="D1853">
        <v>4.713838</v>
      </c>
      <c r="E1853">
        <v>0.55598709999999996</v>
      </c>
      <c r="F1853" t="s">
        <v>42</v>
      </c>
      <c r="G1853">
        <v>-491.24529999999999</v>
      </c>
      <c r="H1853" s="1">
        <v>-2.6815250000000001E-6</v>
      </c>
      <c r="I1853">
        <v>235.0675</v>
      </c>
      <c r="J1853">
        <v>-491.61180000000002</v>
      </c>
      <c r="K1853">
        <v>1.1013310000000001</v>
      </c>
      <c r="L1853">
        <v>253.0583</v>
      </c>
      <c r="M1853">
        <v>0.2408324</v>
      </c>
      <c r="N1853">
        <v>-1.3465349999999999E-2</v>
      </c>
      <c r="O1853">
        <v>-0.97047340000000004</v>
      </c>
      <c r="P1853">
        <v>0.15399949999999901</v>
      </c>
      <c r="Q1853">
        <v>-9.7667690000000001E-2</v>
      </c>
      <c r="R1853">
        <v>-0.98323229999999995</v>
      </c>
      <c r="S1853">
        <v>7.1685789999999999E-2</v>
      </c>
      <c r="T1853">
        <v>-0.18231</v>
      </c>
      <c r="U1853">
        <v>-3.0273279999999998</v>
      </c>
      <c r="V1853">
        <v>8.5732290000000003E-2</v>
      </c>
      <c r="W1853">
        <v>-8.5953680000000005E-2</v>
      </c>
      <c r="X1853">
        <v>0.99260360000000003</v>
      </c>
      <c r="Y1853">
        <v>0.217719</v>
      </c>
      <c r="Z1853">
        <v>4.3325919999999997E-2</v>
      </c>
      <c r="AA1853">
        <v>0.97504939999999996</v>
      </c>
      <c r="AB1853">
        <v>29</v>
      </c>
      <c r="AC1853">
        <v>0.36650000000003002</v>
      </c>
      <c r="AD1853">
        <v>-1.1013336815250001</v>
      </c>
      <c r="AE1853">
        <v>-17.9908</v>
      </c>
      <c r="AF1853">
        <v>3.9626057422394498</v>
      </c>
      <c r="AG1853">
        <v>-1.1013336815250001</v>
      </c>
      <c r="AH1853">
        <v>17.483954178899399</v>
      </c>
      <c r="AI1853">
        <v>93.515436949157404</v>
      </c>
      <c r="AJ1853">
        <v>77.230078611518493</v>
      </c>
      <c r="AK1853">
        <v>17.961175737583101</v>
      </c>
      <c r="AL1853">
        <v>94.930867506462704</v>
      </c>
      <c r="AM1853">
        <v>85.063549977227694</v>
      </c>
      <c r="AN1853">
        <v>0.99999998369357301</v>
      </c>
    </row>
    <row r="1854" spans="1:40" x14ac:dyDescent="0.25">
      <c r="A1854" t="str">
        <f>"20190305135619612"</f>
        <v>20190305135619612</v>
      </c>
      <c r="B1854" t="str">
        <f>"1551765379604008"</f>
        <v>1551765379604008</v>
      </c>
      <c r="C1854" t="s">
        <v>40</v>
      </c>
      <c r="D1854">
        <v>4.5761149999999997</v>
      </c>
      <c r="E1854">
        <v>0.55615029999999999</v>
      </c>
      <c r="F1854" t="s">
        <v>42</v>
      </c>
      <c r="G1854">
        <v>-491.43169999999998</v>
      </c>
      <c r="H1854" s="1">
        <v>-2.5266040000000002E-6</v>
      </c>
      <c r="I1854">
        <v>234.5907</v>
      </c>
      <c r="J1854">
        <v>-491.553</v>
      </c>
      <c r="K1854">
        <v>1.101281</v>
      </c>
      <c r="L1854">
        <v>252.77799999999999</v>
      </c>
      <c r="M1854">
        <v>0.23103860000000001</v>
      </c>
      <c r="N1854">
        <v>-1.3357890000000001E-2</v>
      </c>
      <c r="O1854">
        <v>-0.97285299999999997</v>
      </c>
      <c r="P1854">
        <v>0.1420527</v>
      </c>
      <c r="Q1854">
        <v>-9.9605559999999996E-2</v>
      </c>
      <c r="R1854">
        <v>-0.98483529999999997</v>
      </c>
      <c r="S1854">
        <v>2.9541020000000001E-2</v>
      </c>
      <c r="T1854">
        <v>-0.1806152</v>
      </c>
      <c r="U1854">
        <v>-3.0286249999999999</v>
      </c>
      <c r="V1854">
        <v>8.7690169999999998E-2</v>
      </c>
      <c r="W1854">
        <v>-8.8040320000000005E-2</v>
      </c>
      <c r="X1854">
        <v>0.99224959999999995</v>
      </c>
      <c r="Y1854">
        <v>0.2214537</v>
      </c>
      <c r="Z1854">
        <v>4.305179E-2</v>
      </c>
      <c r="AA1854">
        <v>0.97422010000000003</v>
      </c>
      <c r="AB1854">
        <v>29</v>
      </c>
      <c r="AC1854">
        <v>0.121300000000076</v>
      </c>
      <c r="AD1854">
        <v>-1.101283526604</v>
      </c>
      <c r="AE1854">
        <v>-18.1873</v>
      </c>
      <c r="AF1854">
        <v>4.0694050439851503</v>
      </c>
      <c r="AG1854">
        <v>-1.101283526604</v>
      </c>
      <c r="AH1854">
        <v>17.6584303387997</v>
      </c>
      <c r="AI1854">
        <v>93.4777588668139</v>
      </c>
      <c r="AJ1854">
        <v>77.022689273986003</v>
      </c>
      <c r="AK1854">
        <v>18.154697597267301</v>
      </c>
      <c r="AL1854">
        <v>95.050878296075695</v>
      </c>
      <c r="AM1854">
        <v>84.9495999141689</v>
      </c>
      <c r="AN1854">
        <v>0.99999996628024401</v>
      </c>
    </row>
    <row r="1855" spans="1:40" x14ac:dyDescent="0.25">
      <c r="A1855" t="str">
        <f>"20190305135619634"</f>
        <v>20190305135619634</v>
      </c>
      <c r="B1855" t="str">
        <f>"1551765379623544"</f>
        <v>1551765379623544</v>
      </c>
      <c r="C1855" t="s">
        <v>40</v>
      </c>
      <c r="D1855">
        <v>4.781612</v>
      </c>
      <c r="E1855">
        <v>0.55619810000000003</v>
      </c>
      <c r="F1855" t="s">
        <v>42</v>
      </c>
      <c r="G1855">
        <v>-491.60289999999998</v>
      </c>
      <c r="H1855" s="1">
        <v>-2.7677900000000001E-6</v>
      </c>
      <c r="I1855">
        <v>235.04669999999999</v>
      </c>
      <c r="J1855">
        <v>-491.49619999999999</v>
      </c>
      <c r="K1855">
        <v>1.1013269999999999</v>
      </c>
      <c r="L1855">
        <v>252.49379999999999</v>
      </c>
      <c r="M1855">
        <v>0.2212548</v>
      </c>
      <c r="N1855">
        <v>-1.326885E-2</v>
      </c>
      <c r="O1855">
        <v>-0.97512580000000004</v>
      </c>
      <c r="P1855">
        <v>0.13232099999999999</v>
      </c>
      <c r="Q1855">
        <v>-0.1032325</v>
      </c>
      <c r="R1855">
        <v>-0.98581660000000004</v>
      </c>
      <c r="S1855">
        <v>-8.5144039999999997E-3</v>
      </c>
      <c r="T1855">
        <v>-0.18809339999999999</v>
      </c>
      <c r="U1855">
        <v>-3.0284119999999999</v>
      </c>
      <c r="V1855">
        <v>8.7390560000000006E-2</v>
      </c>
      <c r="W1855">
        <v>-9.1732880000000003E-2</v>
      </c>
      <c r="X1855">
        <v>0.99194150000000003</v>
      </c>
      <c r="Y1855">
        <v>0.2238937</v>
      </c>
      <c r="Z1855">
        <v>4.5646659999999999E-2</v>
      </c>
      <c r="AA1855">
        <v>0.97354410000000002</v>
      </c>
      <c r="AB1855">
        <v>29</v>
      </c>
      <c r="AC1855">
        <v>-0.106699999999989</v>
      </c>
      <c r="AD1855">
        <v>-1.10132976779</v>
      </c>
      <c r="AE1855">
        <v>-17.447099999999999</v>
      </c>
      <c r="AF1855">
        <v>3.9489150378805502</v>
      </c>
      <c r="AG1855">
        <v>-1.10132976779</v>
      </c>
      <c r="AH1855">
        <v>16.923572933325101</v>
      </c>
      <c r="AI1855">
        <v>93.626229027794096</v>
      </c>
      <c r="AJ1855">
        <v>76.865716488101398</v>
      </c>
      <c r="AK1855">
        <v>17.413046202873101</v>
      </c>
      <c r="AL1855">
        <v>95.263306338176207</v>
      </c>
      <c r="AM1855">
        <v>84.965211466800596</v>
      </c>
      <c r="AN1855">
        <v>0.99999998533622902</v>
      </c>
    </row>
    <row r="1856" spans="1:40" x14ac:dyDescent="0.25">
      <c r="A1856" t="str">
        <f>"20190305135619656"</f>
        <v>20190305135619656</v>
      </c>
      <c r="B1856" t="str">
        <f>"1551765379653785"</f>
        <v>1551765379653785</v>
      </c>
      <c r="C1856" t="s">
        <v>40</v>
      </c>
      <c r="D1856">
        <v>4.8219560000000001</v>
      </c>
      <c r="E1856">
        <v>0.55604049999999905</v>
      </c>
      <c r="F1856" t="s">
        <v>42</v>
      </c>
      <c r="G1856">
        <v>-491.71210000000002</v>
      </c>
      <c r="H1856" s="1">
        <v>-3.0811710000000001E-6</v>
      </c>
      <c r="I1856">
        <v>235.70949999999999</v>
      </c>
      <c r="J1856">
        <v>-491.4434</v>
      </c>
      <c r="K1856">
        <v>1.10145</v>
      </c>
      <c r="L1856">
        <v>252.21680000000001</v>
      </c>
      <c r="M1856">
        <v>0.21201809999999999</v>
      </c>
      <c r="N1856">
        <v>-1.3209210000000001E-2</v>
      </c>
      <c r="O1856">
        <v>-0.97717670000000001</v>
      </c>
      <c r="P1856">
        <v>0.12735270000000001</v>
      </c>
      <c r="Q1856">
        <v>-0.1077032</v>
      </c>
      <c r="R1856">
        <v>-0.98599270000000006</v>
      </c>
      <c r="S1856">
        <v>-3.8940429999999998E-2</v>
      </c>
      <c r="T1856">
        <v>-0.19866059999999999</v>
      </c>
      <c r="U1856">
        <v>-3.0275880000000002</v>
      </c>
      <c r="V1856">
        <v>8.2863549999999994E-2</v>
      </c>
      <c r="W1856">
        <v>-9.6142130000000006E-2</v>
      </c>
      <c r="X1856">
        <v>0.99191249999999997</v>
      </c>
      <c r="Y1856">
        <v>0.2244478</v>
      </c>
      <c r="Z1856">
        <v>4.9200870000000001E-2</v>
      </c>
      <c r="AA1856">
        <v>0.97324330000000003</v>
      </c>
      <c r="AB1856">
        <v>29</v>
      </c>
      <c r="AC1856">
        <v>-0.26870000000002298</v>
      </c>
      <c r="AD1856">
        <v>-1.1014530811709999</v>
      </c>
      <c r="AE1856">
        <v>-16.507300000000001</v>
      </c>
      <c r="AF1856">
        <v>3.7460671521659199</v>
      </c>
      <c r="AG1856">
        <v>-1.1014530811709999</v>
      </c>
      <c r="AH1856">
        <v>16.003744580422701</v>
      </c>
      <c r="AI1856">
        <v>93.833848999219697</v>
      </c>
      <c r="AJ1856">
        <v>76.825715839096901</v>
      </c>
      <c r="AK1856">
        <v>16.473192119136101</v>
      </c>
      <c r="AL1856">
        <v>95.517059728630699</v>
      </c>
      <c r="AM1856">
        <v>85.224646097429002</v>
      </c>
      <c r="AN1856">
        <v>1.0000000423678901</v>
      </c>
    </row>
    <row r="1857" spans="1:40" x14ac:dyDescent="0.25">
      <c r="A1857" t="str">
        <f>"20190305135619678"</f>
        <v>20190305135619678</v>
      </c>
      <c r="B1857" t="str">
        <f>"1551765379674280"</f>
        <v>1551765379674280</v>
      </c>
      <c r="C1857" t="s">
        <v>40</v>
      </c>
      <c r="D1857">
        <v>4.839804</v>
      </c>
      <c r="E1857">
        <v>0.5558727</v>
      </c>
      <c r="F1857" t="s">
        <v>42</v>
      </c>
      <c r="G1857">
        <v>-491.71570000000003</v>
      </c>
      <c r="H1857" s="1">
        <v>-3.3882859999999999E-6</v>
      </c>
      <c r="I1857">
        <v>236.42320000000001</v>
      </c>
      <c r="J1857">
        <v>-491.3913</v>
      </c>
      <c r="K1857">
        <v>1.1016589999999999</v>
      </c>
      <c r="L1857">
        <v>251.93119999999999</v>
      </c>
      <c r="M1857">
        <v>0.2028915</v>
      </c>
      <c r="N1857">
        <v>-1.315054E-2</v>
      </c>
      <c r="O1857">
        <v>-0.97911320000000002</v>
      </c>
      <c r="P1857">
        <v>0.1247803</v>
      </c>
      <c r="Q1857">
        <v>-0.1134356</v>
      </c>
      <c r="R1857">
        <v>-0.98567910000000003</v>
      </c>
      <c r="S1857">
        <v>-5.2185059999999998E-2</v>
      </c>
      <c r="T1857">
        <v>-0.21105189999999999</v>
      </c>
      <c r="U1857">
        <v>-3.0262600000000002</v>
      </c>
      <c r="V1857">
        <v>7.6030009999999995E-2</v>
      </c>
      <c r="W1857">
        <v>-0.1017614</v>
      </c>
      <c r="X1857">
        <v>0.99189919999999998</v>
      </c>
      <c r="Y1857">
        <v>0.2196099</v>
      </c>
      <c r="Z1857">
        <v>5.3398880000000003E-2</v>
      </c>
      <c r="AA1857">
        <v>0.97412529999999997</v>
      </c>
      <c r="AB1857">
        <v>29</v>
      </c>
      <c r="AC1857">
        <v>-0.324400000000025</v>
      </c>
      <c r="AD1857">
        <v>-1.1016623882859999</v>
      </c>
      <c r="AE1857">
        <v>-15.5079999999999</v>
      </c>
      <c r="AF1857">
        <v>3.4469769439555402</v>
      </c>
      <c r="AG1857">
        <v>-1.1016623882859999</v>
      </c>
      <c r="AH1857">
        <v>15.043688792614001</v>
      </c>
      <c r="AI1857">
        <v>94.082907615820005</v>
      </c>
      <c r="AJ1857">
        <v>77.094527544781698</v>
      </c>
      <c r="AK1857">
        <v>15.4728110748805</v>
      </c>
      <c r="AL1857">
        <v>95.840608855317797</v>
      </c>
      <c r="AM1857">
        <v>85.616795318995997</v>
      </c>
      <c r="AN1857">
        <v>0.99999998395559997</v>
      </c>
    </row>
    <row r="1858" spans="1:40" x14ac:dyDescent="0.25">
      <c r="A1858" t="str">
        <f>"20190305135619700"</f>
        <v>20190305135619700</v>
      </c>
      <c r="B1858" t="str">
        <f>"1551765379693800"</f>
        <v>1551765379693800</v>
      </c>
      <c r="C1858" t="s">
        <v>40</v>
      </c>
      <c r="D1858">
        <v>5.0346529999999996</v>
      </c>
      <c r="E1858">
        <v>0.55578300000000003</v>
      </c>
      <c r="F1858" t="s">
        <v>42</v>
      </c>
      <c r="G1858">
        <v>-491.67329999999998</v>
      </c>
      <c r="H1858" s="1">
        <v>-3.765347E-6</v>
      </c>
      <c r="I1858">
        <v>237.32839999999999</v>
      </c>
      <c r="J1858">
        <v>-491.3417</v>
      </c>
      <c r="K1858">
        <v>1.1019270000000001</v>
      </c>
      <c r="L1858">
        <v>251.6464</v>
      </c>
      <c r="M1858">
        <v>0.1942218</v>
      </c>
      <c r="N1858">
        <v>-1.307171E-2</v>
      </c>
      <c r="O1858">
        <v>-0.98087069999999998</v>
      </c>
      <c r="P1858">
        <v>0.1206272</v>
      </c>
      <c r="Q1858">
        <v>-0.1156529</v>
      </c>
      <c r="R1858">
        <v>-0.98593799999999998</v>
      </c>
      <c r="S1858">
        <v>-5.841064E-2</v>
      </c>
      <c r="T1858">
        <v>-0.2281909</v>
      </c>
      <c r="U1858">
        <v>-3.0247190000000002</v>
      </c>
      <c r="V1858">
        <v>7.1418629999999997E-2</v>
      </c>
      <c r="W1858">
        <v>-0.103925</v>
      </c>
      <c r="X1858">
        <v>0.99201760000000005</v>
      </c>
      <c r="Y1858">
        <v>0.212977</v>
      </c>
      <c r="Z1858">
        <v>5.9144349999999998E-2</v>
      </c>
      <c r="AA1858">
        <v>0.97526539999999995</v>
      </c>
      <c r="AB1858">
        <v>29</v>
      </c>
      <c r="AC1858">
        <v>-0.33159999999998002</v>
      </c>
      <c r="AD1858">
        <v>-1.1019307653470001</v>
      </c>
      <c r="AE1858">
        <v>-14.318</v>
      </c>
      <c r="AF1858">
        <v>3.0881082333285002</v>
      </c>
      <c r="AG1858">
        <v>-1.1019307653470001</v>
      </c>
      <c r="AH1858">
        <v>13.898617301334101</v>
      </c>
      <c r="AI1858">
        <v>94.425645286313895</v>
      </c>
      <c r="AJ1858">
        <v>77.473051972463907</v>
      </c>
      <c r="AK1858">
        <v>14.2801339896134</v>
      </c>
      <c r="AL1858">
        <v>95.965234918884306</v>
      </c>
      <c r="AM1858">
        <v>85.882191662739103</v>
      </c>
      <c r="AN1858">
        <v>0.99999997252291795</v>
      </c>
    </row>
    <row r="1859" spans="1:40" x14ac:dyDescent="0.25">
      <c r="A1859" t="str">
        <f>"20190305135619726"</f>
        <v>20190305135619726</v>
      </c>
      <c r="B1859" t="str">
        <f>"1551765379714297"</f>
        <v>1551765379714297</v>
      </c>
      <c r="C1859" t="s">
        <v>40</v>
      </c>
      <c r="D1859">
        <v>5.0093920000000001</v>
      </c>
      <c r="E1859">
        <v>0.55587629999999999</v>
      </c>
      <c r="F1859" t="s">
        <v>42</v>
      </c>
      <c r="G1859">
        <v>-491.67309999999998</v>
      </c>
      <c r="H1859" s="1">
        <v>-3.8589679999999998E-6</v>
      </c>
      <c r="I1859">
        <v>237.54679999999999</v>
      </c>
      <c r="J1859">
        <v>-491.28949999999998</v>
      </c>
      <c r="K1859">
        <v>1.1022099999999999</v>
      </c>
      <c r="L1859">
        <v>251.3329</v>
      </c>
      <c r="M1859">
        <v>0.18512400000000001</v>
      </c>
      <c r="N1859">
        <v>-1.2965229999999999E-2</v>
      </c>
      <c r="O1859">
        <v>-0.9826298</v>
      </c>
      <c r="P1859">
        <v>0.1170411</v>
      </c>
      <c r="Q1859">
        <v>-0.11502510000000001</v>
      </c>
      <c r="R1859">
        <v>-0.98644359999999998</v>
      </c>
      <c r="S1859">
        <v>-7.1075440000000004E-2</v>
      </c>
      <c r="T1859">
        <v>-0.23631730000000001</v>
      </c>
      <c r="U1859">
        <v>-3.0237729999999998</v>
      </c>
      <c r="V1859">
        <v>6.5934729999999997E-2</v>
      </c>
      <c r="W1859">
        <v>-0.1032565</v>
      </c>
      <c r="X1859">
        <v>0.99246699999999999</v>
      </c>
      <c r="Y1859">
        <v>0.2080053</v>
      </c>
      <c r="Z1859">
        <v>6.2072479999999999E-2</v>
      </c>
      <c r="AA1859">
        <v>0.97615609999999997</v>
      </c>
      <c r="AB1859">
        <v>29</v>
      </c>
      <c r="AC1859">
        <v>-0.383600000000001</v>
      </c>
      <c r="AD1859">
        <v>-1.1022138589679999</v>
      </c>
      <c r="AE1859">
        <v>-13.786099999999999</v>
      </c>
      <c r="AF1859">
        <v>2.9107290149813601</v>
      </c>
      <c r="AG1859">
        <v>-1.1022138589679999</v>
      </c>
      <c r="AH1859">
        <v>13.391216912050499</v>
      </c>
      <c r="AI1859">
        <v>94.598437141385503</v>
      </c>
      <c r="AJ1859">
        <v>77.7368813160722</v>
      </c>
      <c r="AK1859">
        <v>13.748160210557</v>
      </c>
      <c r="AL1859">
        <v>95.926725227167097</v>
      </c>
      <c r="AM1859">
        <v>86.199129533617196</v>
      </c>
      <c r="AN1859">
        <v>1.00000001975071</v>
      </c>
    </row>
    <row r="1860" spans="1:40" x14ac:dyDescent="0.25">
      <c r="A1860" t="str">
        <f>"20190305135619746"</f>
        <v>20190305135619746</v>
      </c>
      <c r="B1860" t="str">
        <f>"1551765379743577"</f>
        <v>1551765379743577</v>
      </c>
      <c r="C1860" t="s">
        <v>40</v>
      </c>
      <c r="D1860">
        <v>5.1394789999999997</v>
      </c>
      <c r="E1860">
        <v>0.57420090000000001</v>
      </c>
      <c r="F1860" t="s">
        <v>42</v>
      </c>
      <c r="G1860">
        <v>-491.67790000000002</v>
      </c>
      <c r="H1860" s="1">
        <v>-3.740461E-6</v>
      </c>
      <c r="I1860">
        <v>237.26750000000001</v>
      </c>
      <c r="J1860">
        <v>-491.24540000000002</v>
      </c>
      <c r="K1860">
        <v>1.102449</v>
      </c>
      <c r="L1860">
        <v>251.05430000000001</v>
      </c>
      <c r="M1860">
        <v>0.17736469999999999</v>
      </c>
      <c r="N1860">
        <v>-1.285624E-2</v>
      </c>
      <c r="O1860">
        <v>-0.98406130000000003</v>
      </c>
      <c r="P1860">
        <v>0.1139863</v>
      </c>
      <c r="Q1860">
        <v>-0.1085875</v>
      </c>
      <c r="R1860">
        <v>-0.98753029999999997</v>
      </c>
      <c r="S1860">
        <v>-8.3496089999999995E-2</v>
      </c>
      <c r="T1860">
        <v>-0.23693059999999999</v>
      </c>
      <c r="U1860">
        <v>-3.0234679999999998</v>
      </c>
      <c r="V1860">
        <v>6.1463469999999999E-2</v>
      </c>
      <c r="W1860">
        <v>-9.6809389999999995E-2</v>
      </c>
      <c r="X1860">
        <v>0.99340329999999999</v>
      </c>
      <c r="Y1860">
        <v>0.20429839999999999</v>
      </c>
      <c r="Z1860">
        <v>6.2573190000000001E-2</v>
      </c>
      <c r="AA1860">
        <v>0.97690670000000002</v>
      </c>
      <c r="AB1860">
        <v>29</v>
      </c>
      <c r="AC1860">
        <v>-0.43250000000000399</v>
      </c>
      <c r="AD1860">
        <v>-1.1024527404610001</v>
      </c>
      <c r="AE1860">
        <v>-13.786799999999999</v>
      </c>
      <c r="AF1860">
        <v>2.8529107777809202</v>
      </c>
      <c r="AG1860">
        <v>-1.1024527404610001</v>
      </c>
      <c r="AH1860">
        <v>13.405823424691601</v>
      </c>
      <c r="AI1860">
        <v>94.598720391537896</v>
      </c>
      <c r="AJ1860">
        <v>77.986035938381306</v>
      </c>
      <c r="AK1860">
        <v>13.7502946748402</v>
      </c>
      <c r="AL1860">
        <v>95.555470504979596</v>
      </c>
      <c r="AM1860">
        <v>86.459530539074606</v>
      </c>
      <c r="AN1860">
        <v>0.99999996629374999</v>
      </c>
    </row>
    <row r="1861" spans="1:40" x14ac:dyDescent="0.25">
      <c r="A1861" t="str">
        <f>"20190305135619767"</f>
        <v>20190305135619767</v>
      </c>
      <c r="B1861" t="str">
        <f>"1551765379764072"</f>
        <v>1551765379764072</v>
      </c>
      <c r="C1861" t="s">
        <v>40</v>
      </c>
      <c r="D1861">
        <v>5.068009</v>
      </c>
      <c r="E1861">
        <v>0.57389789999999996</v>
      </c>
      <c r="F1861" t="s">
        <v>42</v>
      </c>
      <c r="G1861">
        <v>-492.52620000000002</v>
      </c>
      <c r="H1861" s="1">
        <v>-2.8161739999999999E-6</v>
      </c>
      <c r="I1861">
        <v>234.58690000000001</v>
      </c>
      <c r="J1861">
        <v>-491.20530000000002</v>
      </c>
      <c r="K1861">
        <v>1.1026279999999999</v>
      </c>
      <c r="L1861">
        <v>250.78899999999999</v>
      </c>
      <c r="M1861">
        <v>0.17018429999999901</v>
      </c>
      <c r="N1861">
        <v>-1.271855E-2</v>
      </c>
      <c r="O1861">
        <v>-0.98533029999999999</v>
      </c>
      <c r="P1861">
        <v>0.1105503</v>
      </c>
      <c r="Q1861">
        <v>-0.1015094</v>
      </c>
      <c r="R1861">
        <v>-0.98867320000000003</v>
      </c>
      <c r="S1861">
        <v>-0.23666380000000001</v>
      </c>
      <c r="T1861">
        <v>-0.20370830000000001</v>
      </c>
      <c r="U1861">
        <v>-3.0428009999999999</v>
      </c>
      <c r="V1861">
        <v>5.7949340000000002E-2</v>
      </c>
      <c r="W1861">
        <v>-8.9779100000000001E-2</v>
      </c>
      <c r="X1861">
        <v>0.9942744</v>
      </c>
      <c r="Y1861">
        <v>0.24586369999999999</v>
      </c>
      <c r="Z1861">
        <v>5.1431850000000001E-2</v>
      </c>
      <c r="AA1861">
        <v>0.96793899999999999</v>
      </c>
      <c r="AB1861">
        <v>29</v>
      </c>
      <c r="AC1861">
        <v>-1.32089999999999</v>
      </c>
      <c r="AD1861">
        <v>-1.1026308161739999</v>
      </c>
      <c r="AE1861">
        <v>-16.202100000000002</v>
      </c>
      <c r="AF1861">
        <v>4.0406033226777103</v>
      </c>
      <c r="AG1861">
        <v>-1.1026308161739999</v>
      </c>
      <c r="AH1861">
        <v>15.6688045295612</v>
      </c>
      <c r="AI1861">
        <v>93.898213808905894</v>
      </c>
      <c r="AJ1861">
        <v>75.539851345865898</v>
      </c>
      <c r="AK1861">
        <v>16.218930461458001</v>
      </c>
      <c r="AL1861">
        <v>95.150899019643305</v>
      </c>
      <c r="AM1861">
        <v>86.6644009795681</v>
      </c>
      <c r="AN1861">
        <v>0.99999999764930203</v>
      </c>
    </row>
    <row r="1862" spans="1:40" x14ac:dyDescent="0.25">
      <c r="A1862" t="str">
        <f>"20190305135619790"</f>
        <v>20190305135619790</v>
      </c>
      <c r="B1862" t="str">
        <f>"1551765379783593"</f>
        <v>1551765379783593</v>
      </c>
      <c r="C1862" t="s">
        <v>40</v>
      </c>
      <c r="D1862">
        <v>5.0570719999999998</v>
      </c>
      <c r="E1862">
        <v>0.57292219999999905</v>
      </c>
      <c r="F1862" t="s">
        <v>42</v>
      </c>
      <c r="G1862">
        <v>-492.48239999999998</v>
      </c>
      <c r="H1862" s="1">
        <v>-3.0397739999999998E-6</v>
      </c>
      <c r="I1862">
        <v>235.1353</v>
      </c>
      <c r="J1862">
        <v>-491.16219999999998</v>
      </c>
      <c r="K1862">
        <v>1.1027400000000001</v>
      </c>
      <c r="L1862">
        <v>250.4897</v>
      </c>
      <c r="M1862">
        <v>0.1622614</v>
      </c>
      <c r="N1862">
        <v>-1.249335E-2</v>
      </c>
      <c r="O1862">
        <v>-0.98666889999999996</v>
      </c>
      <c r="P1862">
        <v>0.1066028</v>
      </c>
      <c r="Q1862">
        <v>-9.7925509999999993E-2</v>
      </c>
      <c r="R1862">
        <v>-0.98946769999999995</v>
      </c>
      <c r="S1862">
        <v>-0.2480164</v>
      </c>
      <c r="T1862">
        <v>-0.2141421</v>
      </c>
      <c r="U1862">
        <v>-3.0401150000000001</v>
      </c>
      <c r="V1862">
        <v>5.406963E-2</v>
      </c>
      <c r="W1862">
        <v>-8.6335289999999995E-2</v>
      </c>
      <c r="X1862">
        <v>0.99479779999999995</v>
      </c>
      <c r="Y1862">
        <v>0.2417135</v>
      </c>
      <c r="Z1862">
        <v>5.5160760000000003E-2</v>
      </c>
      <c r="AA1862">
        <v>0.96877860000000005</v>
      </c>
      <c r="AB1862">
        <v>29</v>
      </c>
      <c r="AC1862">
        <v>-1.32019999999999</v>
      </c>
      <c r="AD1862">
        <v>-1.1027430397739999</v>
      </c>
      <c r="AE1862">
        <v>-15.354399999999901</v>
      </c>
      <c r="AF1862">
        <v>3.7749935639971199</v>
      </c>
      <c r="AG1862">
        <v>-1.1027430397739999</v>
      </c>
      <c r="AH1862">
        <v>14.8605659002321</v>
      </c>
      <c r="AI1862">
        <v>94.113727297630206</v>
      </c>
      <c r="AJ1862">
        <v>75.746774280639798</v>
      </c>
      <c r="AK1862">
        <v>15.372151361963899</v>
      </c>
      <c r="AL1862">
        <v>94.952813724410504</v>
      </c>
      <c r="AM1862">
        <v>86.888899082930706</v>
      </c>
      <c r="AN1862">
        <v>0.99999998503627996</v>
      </c>
    </row>
    <row r="1863" spans="1:40" x14ac:dyDescent="0.25">
      <c r="A1863" t="str">
        <f>"20190305135619812"</f>
        <v>20190305135619812</v>
      </c>
      <c r="B1863" t="str">
        <f>"1551765379804089"</f>
        <v>1551765379804089</v>
      </c>
      <c r="C1863" t="s">
        <v>40</v>
      </c>
      <c r="D1863">
        <v>5.2824580000000001</v>
      </c>
      <c r="E1863">
        <v>0.57251070000000004</v>
      </c>
      <c r="F1863" t="s">
        <v>42</v>
      </c>
      <c r="G1863">
        <v>-492.57330000000002</v>
      </c>
      <c r="H1863" s="1">
        <v>-2.3559289999999999E-6</v>
      </c>
      <c r="I1863">
        <v>233.48480000000001</v>
      </c>
      <c r="J1863">
        <v>-491.12189999999998</v>
      </c>
      <c r="K1863">
        <v>1.102814</v>
      </c>
      <c r="L1863">
        <v>250.19280000000001</v>
      </c>
      <c r="M1863">
        <v>0.15459129999999999</v>
      </c>
      <c r="N1863">
        <v>-1.2187079999999999E-2</v>
      </c>
      <c r="O1863">
        <v>-0.98790350000000005</v>
      </c>
      <c r="P1863">
        <v>0.1041381</v>
      </c>
      <c r="Q1863">
        <v>-9.5940940000000002E-2</v>
      </c>
      <c r="R1863">
        <v>-0.98992480000000005</v>
      </c>
      <c r="S1863">
        <v>-0.2522278</v>
      </c>
      <c r="T1863">
        <v>-0.1971146</v>
      </c>
      <c r="U1863">
        <v>-3.039612</v>
      </c>
      <c r="V1863">
        <v>4.8903950000000002E-2</v>
      </c>
      <c r="W1863">
        <v>-8.4556829999999999E-2</v>
      </c>
      <c r="X1863">
        <v>0.99521789999999999</v>
      </c>
      <c r="Y1863">
        <v>0.23555409999999999</v>
      </c>
      <c r="Z1863">
        <v>5.0281340000000001E-2</v>
      </c>
      <c r="AA1863">
        <v>0.97055970000000003</v>
      </c>
      <c r="AB1863">
        <v>29</v>
      </c>
      <c r="AC1863">
        <v>-1.45140000000003</v>
      </c>
      <c r="AD1863">
        <v>-1.1028163559289901</v>
      </c>
      <c r="AE1863">
        <v>-16.707999999999998</v>
      </c>
      <c r="AF1863">
        <v>3.9997570427318898</v>
      </c>
      <c r="AG1863">
        <v>-1.1028163559289901</v>
      </c>
      <c r="AH1863">
        <v>16.212620025880199</v>
      </c>
      <c r="AI1863">
        <v>93.778440201207005</v>
      </c>
      <c r="AJ1863">
        <v>76.141502798101797</v>
      </c>
      <c r="AK1863">
        <v>16.735092124615299</v>
      </c>
      <c r="AL1863">
        <v>94.850541056457004</v>
      </c>
      <c r="AM1863">
        <v>87.186809102675895</v>
      </c>
      <c r="AN1863">
        <v>1.0000000611528199</v>
      </c>
    </row>
    <row r="1864" spans="1:40" x14ac:dyDescent="0.25">
      <c r="A1864" t="str">
        <f>"20190305135619836"</f>
        <v>20190305135619836</v>
      </c>
      <c r="B1864" t="str">
        <f>"1551765379833369"</f>
        <v>1551765379833369</v>
      </c>
      <c r="C1864" t="s">
        <v>40</v>
      </c>
      <c r="D1864">
        <v>5.0540949999999896</v>
      </c>
      <c r="E1864">
        <v>0.57096829999999998</v>
      </c>
      <c r="F1864" t="s">
        <v>42</v>
      </c>
      <c r="G1864">
        <v>-492.57650000000001</v>
      </c>
      <c r="H1864" s="1">
        <v>-2.1390659999999999E-6</v>
      </c>
      <c r="I1864">
        <v>232.97730000000001</v>
      </c>
      <c r="J1864">
        <v>-491.084</v>
      </c>
      <c r="K1864">
        <v>1.102875</v>
      </c>
      <c r="L1864">
        <v>249.89769999999999</v>
      </c>
      <c r="M1864">
        <v>0.1471083</v>
      </c>
      <c r="N1864">
        <v>-1.186247E-2</v>
      </c>
      <c r="O1864">
        <v>-0.98904939999999997</v>
      </c>
      <c r="P1864">
        <v>0.1023992</v>
      </c>
      <c r="Q1864">
        <v>-9.5049700000000001E-2</v>
      </c>
      <c r="R1864">
        <v>-0.99019199999999996</v>
      </c>
      <c r="S1864">
        <v>-0.25674439999999998</v>
      </c>
      <c r="T1864">
        <v>-0.194657</v>
      </c>
      <c r="U1864">
        <v>-3.038681</v>
      </c>
      <c r="V1864">
        <v>4.3170689999999998E-2</v>
      </c>
      <c r="W1864">
        <v>-8.3885180000000004E-2</v>
      </c>
      <c r="X1864">
        <v>0.99553979999999997</v>
      </c>
      <c r="Y1864">
        <v>0.22965840000000001</v>
      </c>
      <c r="Z1864">
        <v>5.0002600000000001E-2</v>
      </c>
      <c r="AA1864">
        <v>0.97198600000000002</v>
      </c>
      <c r="AB1864">
        <v>29</v>
      </c>
      <c r="AC1864">
        <v>-1.4924999999999999</v>
      </c>
      <c r="AD1864">
        <v>-1.1028771390659999</v>
      </c>
      <c r="AE1864">
        <v>-16.920399999999901</v>
      </c>
      <c r="AF1864">
        <v>3.9489186102578602</v>
      </c>
      <c r="AG1864">
        <v>-1.1028771390659999</v>
      </c>
      <c r="AH1864">
        <v>16.447375331447699</v>
      </c>
      <c r="AI1864">
        <v>93.730515555656496</v>
      </c>
      <c r="AJ1864">
        <v>76.499166191277297</v>
      </c>
      <c r="AK1864">
        <v>16.9507065182496</v>
      </c>
      <c r="AL1864">
        <v>94.811921610186104</v>
      </c>
      <c r="AM1864">
        <v>87.516975557949294</v>
      </c>
      <c r="AN1864">
        <v>0.99999996264137303</v>
      </c>
    </row>
    <row r="1865" spans="1:40" x14ac:dyDescent="0.25">
      <c r="A1865" t="str">
        <f>"20190305135619857"</f>
        <v>20190305135619857</v>
      </c>
      <c r="B1865" t="str">
        <f>"1551765379853864"</f>
        <v>1551765379853864</v>
      </c>
      <c r="C1865" t="s">
        <v>40</v>
      </c>
      <c r="D1865">
        <v>5.0114159999999996</v>
      </c>
      <c r="E1865">
        <v>0.5698993</v>
      </c>
      <c r="F1865" t="s">
        <v>42</v>
      </c>
      <c r="G1865">
        <v>-492.54680000000002</v>
      </c>
      <c r="H1865" s="1">
        <v>-1.7583050000000001E-6</v>
      </c>
      <c r="I1865">
        <v>232.10820000000001</v>
      </c>
      <c r="J1865">
        <v>-491.05070000000001</v>
      </c>
      <c r="K1865">
        <v>1.1029450000000001</v>
      </c>
      <c r="L1865">
        <v>249.62450000000001</v>
      </c>
      <c r="M1865">
        <v>0.1403277</v>
      </c>
      <c r="N1865">
        <v>-1.150222E-2</v>
      </c>
      <c r="O1865">
        <v>-0.99003850000000004</v>
      </c>
      <c r="P1865">
        <v>9.8923220000000006E-2</v>
      </c>
      <c r="Q1865">
        <v>-9.6909319999999993E-2</v>
      </c>
      <c r="R1865">
        <v>-0.99036539999999995</v>
      </c>
      <c r="S1865">
        <v>-0.2497559</v>
      </c>
      <c r="T1865">
        <v>-0.1883107</v>
      </c>
      <c r="U1865">
        <v>-3.0374759999999998</v>
      </c>
      <c r="V1865">
        <v>3.9820580000000001E-2</v>
      </c>
      <c r="W1865">
        <v>-8.6039760000000007E-2</v>
      </c>
      <c r="X1865">
        <v>0.99549560000000004</v>
      </c>
      <c r="Y1865">
        <v>0.22080810000000001</v>
      </c>
      <c r="Z1865">
        <v>4.8541590000000003E-2</v>
      </c>
      <c r="AA1865">
        <v>0.97410859999999999</v>
      </c>
      <c r="AB1865">
        <v>29</v>
      </c>
      <c r="AC1865">
        <v>-1.49610000000001</v>
      </c>
      <c r="AD1865">
        <v>-1.1029467583050001</v>
      </c>
      <c r="AE1865">
        <v>-17.516300000000001</v>
      </c>
      <c r="AF1865">
        <v>3.9240330799377401</v>
      </c>
      <c r="AG1865">
        <v>-1.1029467583050001</v>
      </c>
      <c r="AH1865">
        <v>17.065824091168501</v>
      </c>
      <c r="AI1865">
        <v>93.604036520039102</v>
      </c>
      <c r="AJ1865">
        <v>77.050763664848802</v>
      </c>
      <c r="AK1865">
        <v>17.545850765204001</v>
      </c>
      <c r="AL1865">
        <v>94.935817764505401</v>
      </c>
      <c r="AM1865">
        <v>87.7093465152671</v>
      </c>
      <c r="AN1865">
        <v>1.0000000042558701</v>
      </c>
    </row>
    <row r="1866" spans="1:40" x14ac:dyDescent="0.25">
      <c r="A1866" t="str">
        <f>"20190305135619881"</f>
        <v>20190305135619881</v>
      </c>
      <c r="B1866" t="str">
        <f>"1551765379874362"</f>
        <v>1551765379874362</v>
      </c>
      <c r="C1866" t="s">
        <v>40</v>
      </c>
      <c r="D1866">
        <v>5.0361640000000003</v>
      </c>
      <c r="E1866">
        <v>0.56894409999999995</v>
      </c>
      <c r="F1866" t="s">
        <v>42</v>
      </c>
      <c r="G1866">
        <v>-492.46879999999999</v>
      </c>
      <c r="H1866" s="1">
        <v>-1.917191E-6</v>
      </c>
      <c r="I1866">
        <v>232.52690000000001</v>
      </c>
      <c r="J1866">
        <v>-491.0145</v>
      </c>
      <c r="K1866">
        <v>1.10307</v>
      </c>
      <c r="L1866">
        <v>249.31280000000001</v>
      </c>
      <c r="M1866">
        <v>0.1329041</v>
      </c>
      <c r="N1866">
        <v>-1.1008270000000001E-2</v>
      </c>
      <c r="O1866">
        <v>-0.9910679</v>
      </c>
      <c r="P1866">
        <v>9.2668269999999997E-2</v>
      </c>
      <c r="Q1866">
        <v>-9.8390469999999994E-2</v>
      </c>
      <c r="R1866">
        <v>-0.99082400000000004</v>
      </c>
      <c r="S1866">
        <v>-0.2517395</v>
      </c>
      <c r="T1866">
        <v>-0.19579630000000001</v>
      </c>
      <c r="U1866">
        <v>-3.0351720000000002</v>
      </c>
      <c r="V1866">
        <v>3.8650829999999997E-2</v>
      </c>
      <c r="W1866">
        <v>-8.7973460000000003E-2</v>
      </c>
      <c r="X1866">
        <v>0.9953727</v>
      </c>
      <c r="Y1866">
        <v>0.2141777</v>
      </c>
      <c r="Z1866">
        <v>5.1613159999999998E-2</v>
      </c>
      <c r="AA1866">
        <v>0.97543020000000003</v>
      </c>
      <c r="AB1866">
        <v>29</v>
      </c>
      <c r="AC1866">
        <v>-1.4542999999999799</v>
      </c>
      <c r="AD1866">
        <v>-1.103071917191</v>
      </c>
      <c r="AE1866">
        <v>-16.785899999999899</v>
      </c>
      <c r="AF1866">
        <v>3.6567734191029602</v>
      </c>
      <c r="AG1866">
        <v>-1.103071917191</v>
      </c>
      <c r="AH1866">
        <v>16.373498620623199</v>
      </c>
      <c r="AI1866">
        <v>93.761757611194298</v>
      </c>
      <c r="AJ1866">
        <v>77.410455826052001</v>
      </c>
      <c r="AK1866">
        <v>16.8130965789382</v>
      </c>
      <c r="AL1866">
        <v>95.047032336177395</v>
      </c>
      <c r="AM1866">
        <v>87.776292829070002</v>
      </c>
      <c r="AN1866">
        <v>1.0000000141146701</v>
      </c>
    </row>
    <row r="1867" spans="1:40" x14ac:dyDescent="0.25">
      <c r="A1867" t="str">
        <f>"20190305135619902"</f>
        <v>20190305135619902</v>
      </c>
      <c r="B1867" t="str">
        <f>"1551765379893880"</f>
        <v>1551765379893880</v>
      </c>
      <c r="C1867" t="s">
        <v>40</v>
      </c>
      <c r="D1867">
        <v>4.9814749999999997</v>
      </c>
      <c r="E1867">
        <v>0.56814390000000003</v>
      </c>
      <c r="F1867" t="s">
        <v>42</v>
      </c>
      <c r="G1867">
        <v>-492.45030000000003</v>
      </c>
      <c r="H1867" s="1">
        <v>-2.024198E-6</v>
      </c>
      <c r="I1867">
        <v>232.7878</v>
      </c>
      <c r="J1867">
        <v>-490.98239999999998</v>
      </c>
      <c r="K1867">
        <v>1.103261</v>
      </c>
      <c r="L1867">
        <v>249.02170000000001</v>
      </c>
      <c r="M1867">
        <v>0.12639649999999999</v>
      </c>
      <c r="N1867">
        <v>-1.049685E-2</v>
      </c>
      <c r="O1867">
        <v>-0.99192429999999998</v>
      </c>
      <c r="P1867">
        <v>8.5913320000000001E-2</v>
      </c>
      <c r="Q1867">
        <v>-0.1008617</v>
      </c>
      <c r="R1867">
        <v>-0.99118419999999896</v>
      </c>
      <c r="S1867">
        <v>-0.26345829999999998</v>
      </c>
      <c r="T1867">
        <v>-0.2024125</v>
      </c>
      <c r="U1867">
        <v>-3.0323180000000001</v>
      </c>
      <c r="V1867">
        <v>3.8896930000000003E-2</v>
      </c>
      <c r="W1867">
        <v>-9.0929839999999998E-2</v>
      </c>
      <c r="X1867">
        <v>0.99509740000000002</v>
      </c>
      <c r="Y1867">
        <v>0.21157429999999999</v>
      </c>
      <c r="Z1867">
        <v>5.4390420000000002E-2</v>
      </c>
      <c r="AA1867">
        <v>0.97584729999999997</v>
      </c>
      <c r="AB1867">
        <v>29</v>
      </c>
      <c r="AC1867">
        <v>-1.46790000000004</v>
      </c>
      <c r="AD1867">
        <v>-1.1032630241979999</v>
      </c>
      <c r="AE1867">
        <v>-16.233899999999998</v>
      </c>
      <c r="AF1867">
        <v>3.4921488518519901</v>
      </c>
      <c r="AG1867">
        <v>-1.1032630241979999</v>
      </c>
      <c r="AH1867">
        <v>15.845547773852701</v>
      </c>
      <c r="AI1867">
        <v>93.889803947274402</v>
      </c>
      <c r="AJ1867">
        <v>77.571446773751902</v>
      </c>
      <c r="AK1867">
        <v>16.2632615780938</v>
      </c>
      <c r="AL1867">
        <v>95.217102239083999</v>
      </c>
      <c r="AM1867">
        <v>87.761529764459993</v>
      </c>
      <c r="AN1867">
        <v>1.0000000212263001</v>
      </c>
    </row>
    <row r="1868" spans="1:40" x14ac:dyDescent="0.25">
      <c r="A1868" t="str">
        <f>"20190305135619926"</f>
        <v>20190305135619926</v>
      </c>
      <c r="B1868" t="str">
        <f>"1551765379913402"</f>
        <v>1551765379913402</v>
      </c>
      <c r="C1868" t="s">
        <v>40</v>
      </c>
      <c r="D1868">
        <v>4.9891199999999998</v>
      </c>
      <c r="E1868">
        <v>0.56751619999999903</v>
      </c>
      <c r="F1868" t="s">
        <v>42</v>
      </c>
      <c r="G1868">
        <v>-492.43380000000002</v>
      </c>
      <c r="H1868" s="1">
        <v>-2.1986009999999998E-6</v>
      </c>
      <c r="I1868">
        <v>233.2046</v>
      </c>
      <c r="J1868">
        <v>-490.95069999999998</v>
      </c>
      <c r="K1868">
        <v>1.103545</v>
      </c>
      <c r="L1868">
        <v>248.7235</v>
      </c>
      <c r="M1868">
        <v>0.1202758</v>
      </c>
      <c r="N1868">
        <v>-9.9531659999999994E-3</v>
      </c>
      <c r="O1868">
        <v>-0.99269090000000004</v>
      </c>
      <c r="P1868">
        <v>8.0603480000000005E-2</v>
      </c>
      <c r="Q1868">
        <v>-0.10459589999999901</v>
      </c>
      <c r="R1868">
        <v>-0.99124330000000005</v>
      </c>
      <c r="S1868">
        <v>-0.27798460000000003</v>
      </c>
      <c r="T1868">
        <v>-0.21129580000000001</v>
      </c>
      <c r="U1868">
        <v>-3.0292819999999998</v>
      </c>
      <c r="V1868">
        <v>3.8078330000000001E-2</v>
      </c>
      <c r="W1868">
        <v>-9.5160620000000001E-2</v>
      </c>
      <c r="X1868">
        <v>0.99473339999999999</v>
      </c>
      <c r="Y1868">
        <v>0.2102561</v>
      </c>
      <c r="Z1868">
        <v>5.7916059999999998E-2</v>
      </c>
      <c r="AA1868">
        <v>0.97592939999999995</v>
      </c>
      <c r="AB1868">
        <v>29</v>
      </c>
      <c r="AC1868">
        <v>-1.4831000000000301</v>
      </c>
      <c r="AD1868">
        <v>-1.1035471986009999</v>
      </c>
      <c r="AE1868">
        <v>-15.5189</v>
      </c>
      <c r="AF1868">
        <v>3.32232477512171</v>
      </c>
      <c r="AG1868">
        <v>-1.1035471986009999</v>
      </c>
      <c r="AH1868">
        <v>15.151915833005299</v>
      </c>
      <c r="AI1868">
        <v>94.069284470092498</v>
      </c>
      <c r="AJ1868">
        <v>77.632611778795905</v>
      </c>
      <c r="AK1868">
        <v>15.551083941044199</v>
      </c>
      <c r="AL1868">
        <v>95.460564433571193</v>
      </c>
      <c r="AM1868">
        <v>87.807791646955295</v>
      </c>
      <c r="AN1868">
        <v>1.0000000199449599</v>
      </c>
    </row>
    <row r="1869" spans="1:40" x14ac:dyDescent="0.25">
      <c r="A1869" t="str">
        <f>"20190305135619948"</f>
        <v>20190305135619948</v>
      </c>
      <c r="B1869" t="str">
        <f>"1551765379943657"</f>
        <v>1551765379943657</v>
      </c>
      <c r="C1869" t="s">
        <v>40</v>
      </c>
      <c r="D1869">
        <v>4.9129060000000004</v>
      </c>
      <c r="E1869">
        <v>0.5665057</v>
      </c>
      <c r="F1869" t="s">
        <v>42</v>
      </c>
      <c r="G1869">
        <v>-492.37099999999998</v>
      </c>
      <c r="H1869" s="1">
        <v>-2.4605180000000001E-6</v>
      </c>
      <c r="I1869">
        <v>233.85409999999999</v>
      </c>
      <c r="J1869">
        <v>-490.92020000000002</v>
      </c>
      <c r="K1869">
        <v>1.1039049999999999</v>
      </c>
      <c r="L1869">
        <v>248.42410000000001</v>
      </c>
      <c r="M1869">
        <v>0.1147697</v>
      </c>
      <c r="N1869">
        <v>-9.4134030000000007E-3</v>
      </c>
      <c r="O1869">
        <v>-0.99334750000000005</v>
      </c>
      <c r="P1869">
        <v>7.7325309999999994E-2</v>
      </c>
      <c r="Q1869">
        <v>-0.10838009999999999</v>
      </c>
      <c r="R1869">
        <v>-0.99109749999999996</v>
      </c>
      <c r="S1869">
        <v>-0.2890625</v>
      </c>
      <c r="T1869">
        <v>-0.2246003</v>
      </c>
      <c r="U1869">
        <v>-3.0263209999999998</v>
      </c>
      <c r="V1869">
        <v>3.5865139999999997E-2</v>
      </c>
      <c r="W1869">
        <v>-9.9417630000000007E-2</v>
      </c>
      <c r="X1869">
        <v>0.99439920000000004</v>
      </c>
      <c r="Y1869">
        <v>0.20843539999999999</v>
      </c>
      <c r="Z1869">
        <v>6.2858430000000007E-2</v>
      </c>
      <c r="AA1869">
        <v>0.9760141</v>
      </c>
      <c r="AB1869">
        <v>29</v>
      </c>
      <c r="AC1869">
        <v>-1.4507999999999499</v>
      </c>
      <c r="AD1869">
        <v>-1.1039074605179999</v>
      </c>
      <c r="AE1869">
        <v>-14.57</v>
      </c>
      <c r="AF1869">
        <v>3.09588380627897</v>
      </c>
      <c r="AG1869">
        <v>-1.1039074605179999</v>
      </c>
      <c r="AH1869">
        <v>14.226335595455801</v>
      </c>
      <c r="AI1869">
        <v>94.335954653506704</v>
      </c>
      <c r="AJ1869">
        <v>77.722912317312307</v>
      </c>
      <c r="AK1869">
        <v>14.6010866957874</v>
      </c>
      <c r="AL1869">
        <v>95.705636184951501</v>
      </c>
      <c r="AM1869">
        <v>87.934400180555102</v>
      </c>
      <c r="AN1869">
        <v>0.99999997119133799</v>
      </c>
    </row>
    <row r="1870" spans="1:40" x14ac:dyDescent="0.25">
      <c r="A1870" t="str">
        <f>"20190305135619969"</f>
        <v>20190305135619969</v>
      </c>
      <c r="B1870" t="str">
        <f>"1551765379964154"</f>
        <v>1551765379964154</v>
      </c>
      <c r="C1870" t="s">
        <v>40</v>
      </c>
      <c r="D1870">
        <v>4.9188000000000001</v>
      </c>
      <c r="E1870">
        <v>0.56581119999999996</v>
      </c>
      <c r="F1870" t="s">
        <v>42</v>
      </c>
      <c r="G1870">
        <v>-492.26100000000002</v>
      </c>
      <c r="H1870" s="1">
        <v>-2.7200140000000002E-6</v>
      </c>
      <c r="I1870">
        <v>234.52719999999999</v>
      </c>
      <c r="J1870">
        <v>-490.89299999999997</v>
      </c>
      <c r="K1870">
        <v>1.1042799999999999</v>
      </c>
      <c r="L1870">
        <v>248.15029999999999</v>
      </c>
      <c r="M1870">
        <v>0.1103664</v>
      </c>
      <c r="N1870">
        <v>-8.9425149999999998E-3</v>
      </c>
      <c r="O1870">
        <v>-0.99385080000000003</v>
      </c>
      <c r="P1870">
        <v>7.5538449999999993E-2</v>
      </c>
      <c r="Q1870">
        <v>-0.1094183</v>
      </c>
      <c r="R1870">
        <v>-0.99112160000000005</v>
      </c>
      <c r="S1870">
        <v>-0.29171750000000002</v>
      </c>
      <c r="T1870">
        <v>-0.24016850000000001</v>
      </c>
      <c r="U1870">
        <v>-3.0234380000000001</v>
      </c>
      <c r="V1870">
        <v>3.3331920000000001E-2</v>
      </c>
      <c r="W1870">
        <v>-0.1008603</v>
      </c>
      <c r="X1870">
        <v>0.99434210000000001</v>
      </c>
      <c r="Y1870">
        <v>0.20500209999999999</v>
      </c>
      <c r="Z1870">
        <v>6.8474629999999995E-2</v>
      </c>
      <c r="AA1870">
        <v>0.97636330000000005</v>
      </c>
      <c r="AB1870">
        <v>30</v>
      </c>
      <c r="AC1870">
        <v>-1.3679999999999299</v>
      </c>
      <c r="AD1870">
        <v>-1.104282720014</v>
      </c>
      <c r="AE1870">
        <v>-13.6230999999999</v>
      </c>
      <c r="AF1870">
        <v>2.8447295720101802</v>
      </c>
      <c r="AG1870">
        <v>-1.104282720014</v>
      </c>
      <c r="AH1870">
        <v>13.302349547225299</v>
      </c>
      <c r="AI1870">
        <v>94.641014883991105</v>
      </c>
      <c r="AJ1870">
        <v>77.929022521765503</v>
      </c>
      <c r="AK1870">
        <v>13.647872733146199</v>
      </c>
      <c r="AL1870">
        <v>95.788712433237606</v>
      </c>
      <c r="AM1870">
        <v>88.080073765425894</v>
      </c>
      <c r="AN1870">
        <v>1.0000000144196901</v>
      </c>
    </row>
    <row r="1871" spans="1:40" x14ac:dyDescent="0.25">
      <c r="A1871" t="str">
        <f>"20190305135619991"</f>
        <v>20190305135619991</v>
      </c>
      <c r="B1871" t="str">
        <f>"1551765379983673"</f>
        <v>1551765379983673</v>
      </c>
      <c r="C1871" t="s">
        <v>40</v>
      </c>
      <c r="D1871">
        <v>4.8511730000000002</v>
      </c>
      <c r="E1871">
        <v>0.56513950000000002</v>
      </c>
      <c r="F1871" t="s">
        <v>42</v>
      </c>
      <c r="G1871">
        <v>-492.20890000000003</v>
      </c>
      <c r="H1871" s="1">
        <v>-2.7020070000000001E-6</v>
      </c>
      <c r="I1871">
        <v>234.51759999999999</v>
      </c>
      <c r="J1871">
        <v>-490.86369999999999</v>
      </c>
      <c r="K1871">
        <v>1.1047119999999999</v>
      </c>
      <c r="L1871">
        <v>247.8476</v>
      </c>
      <c r="M1871">
        <v>0.1061869</v>
      </c>
      <c r="N1871">
        <v>-8.4491089999999998E-3</v>
      </c>
      <c r="O1871">
        <v>-0.99431029999999998</v>
      </c>
      <c r="P1871">
        <v>7.4468809999999996E-2</v>
      </c>
      <c r="Q1871">
        <v>-0.10712770000000001</v>
      </c>
      <c r="R1871">
        <v>-0.99145249999999996</v>
      </c>
      <c r="S1871">
        <v>-0.29168699999999997</v>
      </c>
      <c r="T1871">
        <v>-0.2447945</v>
      </c>
      <c r="U1871">
        <v>-3.0220790000000002</v>
      </c>
      <c r="V1871">
        <v>3.0386150000000001E-2</v>
      </c>
      <c r="W1871">
        <v>-9.8992179999999999E-2</v>
      </c>
      <c r="X1871">
        <v>0.99462410000000001</v>
      </c>
      <c r="Y1871">
        <v>0.20090849999999999</v>
      </c>
      <c r="Z1871">
        <v>7.0578589999999997E-2</v>
      </c>
      <c r="AA1871">
        <v>0.97706420000000005</v>
      </c>
      <c r="AB1871">
        <v>30</v>
      </c>
      <c r="AC1871">
        <v>-1.3452000000000299</v>
      </c>
      <c r="AD1871">
        <v>-1.1047147020070001</v>
      </c>
      <c r="AE1871">
        <v>-13.33</v>
      </c>
      <c r="AF1871">
        <v>2.7345240454777402</v>
      </c>
      <c r="AG1871">
        <v>-1.1047147020070001</v>
      </c>
      <c r="AH1871">
        <v>13.023237710400499</v>
      </c>
      <c r="AI1871">
        <v>94.745592376508597</v>
      </c>
      <c r="AJ1871">
        <v>78.141720425274798</v>
      </c>
      <c r="AK1871">
        <v>13.3530047850558</v>
      </c>
      <c r="AL1871">
        <v>95.681139055908105</v>
      </c>
      <c r="AM1871">
        <v>88.250136092510502</v>
      </c>
      <c r="AN1871">
        <v>0.99999993505689</v>
      </c>
    </row>
    <row r="1872" spans="1:40" x14ac:dyDescent="0.25">
      <c r="A1872" t="str">
        <f>"20190305135620012"</f>
        <v>20190305135620012</v>
      </c>
      <c r="B1872" t="str">
        <f>"1551765380004168"</f>
        <v>1551765380004168</v>
      </c>
      <c r="C1872" t="s">
        <v>40</v>
      </c>
      <c r="D1872">
        <v>4.8567580000000001</v>
      </c>
      <c r="E1872">
        <v>0.56461039999999996</v>
      </c>
      <c r="F1872" t="s">
        <v>42</v>
      </c>
      <c r="G1872">
        <v>-492.20170000000002</v>
      </c>
      <c r="H1872" s="1">
        <v>-2.4275059999999998E-6</v>
      </c>
      <c r="I1872">
        <v>233.88220000000001</v>
      </c>
      <c r="J1872">
        <v>-490.83539999999999</v>
      </c>
      <c r="K1872">
        <v>1.1051139999999999</v>
      </c>
      <c r="L1872">
        <v>247.54910000000001</v>
      </c>
      <c r="M1872">
        <v>0.1027272</v>
      </c>
      <c r="N1872">
        <v>-7.9875750000000002E-3</v>
      </c>
      <c r="O1872">
        <v>-0.9946777</v>
      </c>
      <c r="P1872">
        <v>7.5143340000000003E-2</v>
      </c>
      <c r="Q1872">
        <v>-0.1040817</v>
      </c>
      <c r="R1872">
        <v>-0.99172649999999996</v>
      </c>
      <c r="S1872">
        <v>-0.28948970000000002</v>
      </c>
      <c r="T1872">
        <v>-0.23902950000000001</v>
      </c>
      <c r="U1872">
        <v>-3.021744</v>
      </c>
      <c r="V1872">
        <v>2.6408560000000001E-2</v>
      </c>
      <c r="W1872">
        <v>-9.6339129999999995E-2</v>
      </c>
      <c r="X1872">
        <v>0.99499820000000005</v>
      </c>
      <c r="Y1872">
        <v>0.19682169999999999</v>
      </c>
      <c r="Z1872">
        <v>6.9278599999999996E-2</v>
      </c>
      <c r="AA1872">
        <v>0.97798859999999999</v>
      </c>
      <c r="AB1872">
        <v>30</v>
      </c>
      <c r="AC1872">
        <v>-1.3663000000000201</v>
      </c>
      <c r="AD1872">
        <v>-1.1051164275059999</v>
      </c>
      <c r="AE1872">
        <v>-13.666899999999901</v>
      </c>
      <c r="AF1872">
        <v>2.7453056248748098</v>
      </c>
      <c r="AG1872">
        <v>-1.1051164275059999</v>
      </c>
      <c r="AH1872">
        <v>13.367691629204</v>
      </c>
      <c r="AI1872">
        <v>94.629744136019099</v>
      </c>
      <c r="AJ1872">
        <v>78.394601553115393</v>
      </c>
      <c r="AK1872">
        <v>13.691353650600201</v>
      </c>
      <c r="AL1872">
        <v>95.528399709574799</v>
      </c>
      <c r="AM1872">
        <v>88.479651636960597</v>
      </c>
      <c r="AN1872">
        <v>1.00000002900683</v>
      </c>
    </row>
    <row r="1873" spans="1:40" x14ac:dyDescent="0.25">
      <c r="A1873" t="str">
        <f>"20190305135620035"</f>
        <v>20190305135620035</v>
      </c>
      <c r="B1873" t="str">
        <f>"1551765380023692"</f>
        <v>1551765380023692</v>
      </c>
      <c r="C1873" t="s">
        <v>40</v>
      </c>
      <c r="D1873">
        <v>4.8480460000000001</v>
      </c>
      <c r="E1873">
        <v>0.56405559999999999</v>
      </c>
      <c r="F1873" t="s">
        <v>42</v>
      </c>
      <c r="G1873">
        <v>-492.20299999999997</v>
      </c>
      <c r="H1873" s="1">
        <v>-2.0248000000000001E-6</v>
      </c>
      <c r="I1873">
        <v>232.9426</v>
      </c>
      <c r="J1873">
        <v>-490.80779999999999</v>
      </c>
      <c r="K1873">
        <v>1.1054280000000001</v>
      </c>
      <c r="L1873">
        <v>247.25129999999999</v>
      </c>
      <c r="M1873">
        <v>9.9766900000000006E-2</v>
      </c>
      <c r="N1873">
        <v>-7.5579840000000002E-3</v>
      </c>
      <c r="O1873">
        <v>-0.99498220000000004</v>
      </c>
      <c r="P1873">
        <v>7.6766349999999997E-2</v>
      </c>
      <c r="Q1873">
        <v>-0.1031946</v>
      </c>
      <c r="R1873">
        <v>-0.99169450000000003</v>
      </c>
      <c r="S1873">
        <v>-0.2829895</v>
      </c>
      <c r="T1873">
        <v>-0.22867770000000001</v>
      </c>
      <c r="U1873">
        <v>-3.0224760000000002</v>
      </c>
      <c r="V1873">
        <v>2.1917099999999998E-2</v>
      </c>
      <c r="W1873">
        <v>-9.5824709999999994E-2</v>
      </c>
      <c r="X1873">
        <v>0.99515690000000001</v>
      </c>
      <c r="Y1873">
        <v>0.19182109999999999</v>
      </c>
      <c r="Z1873">
        <v>6.6442769999999998E-2</v>
      </c>
      <c r="AA1873">
        <v>0.9791782</v>
      </c>
      <c r="AB1873">
        <v>30</v>
      </c>
      <c r="AC1873">
        <v>-1.39520000000004</v>
      </c>
      <c r="AD1873">
        <v>-1.1054300248</v>
      </c>
      <c r="AE1873">
        <v>-14.3086999999999</v>
      </c>
      <c r="AF1873">
        <v>2.7992641015507198</v>
      </c>
      <c r="AG1873">
        <v>-1.1054300248</v>
      </c>
      <c r="AH1873">
        <v>14.0152471402284</v>
      </c>
      <c r="AI1873">
        <v>94.4227786349242</v>
      </c>
      <c r="AJ1873">
        <v>78.704947919798698</v>
      </c>
      <c r="AK1873">
        <v>14.3347482521194</v>
      </c>
      <c r="AL1873">
        <v>95.498788805152699</v>
      </c>
      <c r="AM1873">
        <v>88.738335276763806</v>
      </c>
      <c r="AN1873">
        <v>0.99999999496830205</v>
      </c>
    </row>
    <row r="1874" spans="1:40" x14ac:dyDescent="0.25">
      <c r="A1874" t="str">
        <f>"20190305135620057"</f>
        <v>20190305135620057</v>
      </c>
      <c r="B1874" t="str">
        <f>"1551765380053946"</f>
        <v>1551765380053946</v>
      </c>
      <c r="C1874" t="s">
        <v>40</v>
      </c>
      <c r="D1874">
        <v>4.7828869999999997</v>
      </c>
      <c r="E1874">
        <v>0.5636253</v>
      </c>
      <c r="F1874" t="s">
        <v>42</v>
      </c>
      <c r="G1874">
        <v>-492.14890000000003</v>
      </c>
      <c r="H1874" s="1">
        <v>-1.80393E-6</v>
      </c>
      <c r="I1874">
        <v>232.46129999999999</v>
      </c>
      <c r="J1874">
        <v>-490.78050000000002</v>
      </c>
      <c r="K1874">
        <v>1.105688</v>
      </c>
      <c r="L1874">
        <v>246.95330000000001</v>
      </c>
      <c r="M1874">
        <v>9.722372E-2</v>
      </c>
      <c r="N1874">
        <v>-7.1512540000000001E-3</v>
      </c>
      <c r="O1874">
        <v>-0.99523709999999999</v>
      </c>
      <c r="P1874">
        <v>7.7298149999999996E-2</v>
      </c>
      <c r="Q1874">
        <v>-0.1042318</v>
      </c>
      <c r="R1874">
        <v>-0.99154500000000001</v>
      </c>
      <c r="S1874">
        <v>-0.27410889999999999</v>
      </c>
      <c r="T1874">
        <v>-0.22593089999999999</v>
      </c>
      <c r="U1874">
        <v>-3.0228269999999999</v>
      </c>
      <c r="V1874">
        <v>1.8890859999999999E-2</v>
      </c>
      <c r="W1874">
        <v>-9.7232890000000002E-2</v>
      </c>
      <c r="X1874">
        <v>0.99508240000000003</v>
      </c>
      <c r="Y1874">
        <v>0.18645539999999999</v>
      </c>
      <c r="Z1874">
        <v>6.6035739999999996E-2</v>
      </c>
      <c r="AA1874">
        <v>0.98024169999999999</v>
      </c>
      <c r="AB1874">
        <v>30</v>
      </c>
      <c r="AC1874">
        <v>-1.3684000000000001</v>
      </c>
      <c r="AD1874">
        <v>-1.1056898039299901</v>
      </c>
      <c r="AE1874">
        <v>-14.492000000000001</v>
      </c>
      <c r="AF1874">
        <v>2.75502307072228</v>
      </c>
      <c r="AG1874">
        <v>-1.1056898039299901</v>
      </c>
      <c r="AH1874">
        <v>14.2083190508452</v>
      </c>
      <c r="AI1874">
        <v>94.368736767321494</v>
      </c>
      <c r="AJ1874">
        <v>79.026403512440595</v>
      </c>
      <c r="AK1874">
        <v>14.5151311504008</v>
      </c>
      <c r="AL1874">
        <v>95.579849865639403</v>
      </c>
      <c r="AM1874">
        <v>88.912415143705104</v>
      </c>
      <c r="AN1874">
        <v>1.00000004113952</v>
      </c>
    </row>
    <row r="1875" spans="1:40" x14ac:dyDescent="0.25">
      <c r="A1875" t="str">
        <f>"20190305135620080"</f>
        <v>20190305135620080</v>
      </c>
      <c r="B1875" t="str">
        <f>"1551765380073465"</f>
        <v>1551765380073465</v>
      </c>
      <c r="C1875" t="s">
        <v>40</v>
      </c>
      <c r="D1875">
        <v>4.7983250000000002</v>
      </c>
      <c r="E1875">
        <v>0.56325930000000002</v>
      </c>
      <c r="F1875" t="s">
        <v>42</v>
      </c>
      <c r="G1875">
        <v>-492.07560000000001</v>
      </c>
      <c r="H1875" s="1">
        <v>-1.754521E-6</v>
      </c>
      <c r="I1875">
        <v>232.39160000000001</v>
      </c>
      <c r="J1875">
        <v>-490.7527</v>
      </c>
      <c r="K1875">
        <v>1.10592</v>
      </c>
      <c r="L1875">
        <v>246.643</v>
      </c>
      <c r="M1875">
        <v>9.4949480000000003E-2</v>
      </c>
      <c r="N1875">
        <v>-6.7651909999999899E-3</v>
      </c>
      <c r="O1875">
        <v>-0.99545939999999999</v>
      </c>
      <c r="P1875">
        <v>7.7178960000000005E-2</v>
      </c>
      <c r="Q1875">
        <v>-0.10532179999999999</v>
      </c>
      <c r="R1875">
        <v>-0.99143910000000002</v>
      </c>
      <c r="S1875">
        <v>-0.2687988</v>
      </c>
      <c r="T1875">
        <v>-0.22949339999999999</v>
      </c>
      <c r="U1875">
        <v>-3.0223849999999999</v>
      </c>
      <c r="V1875">
        <v>1.6781440000000002E-2</v>
      </c>
      <c r="W1875">
        <v>-9.8683950000000006E-2</v>
      </c>
      <c r="X1875">
        <v>0.99497729999999995</v>
      </c>
      <c r="Y1875">
        <v>0.18250749999999999</v>
      </c>
      <c r="Z1875">
        <v>6.7641670000000001E-2</v>
      </c>
      <c r="AA1875">
        <v>0.98087489999999999</v>
      </c>
      <c r="AB1875">
        <v>30</v>
      </c>
      <c r="AC1875">
        <v>-1.3229</v>
      </c>
      <c r="AD1875">
        <v>-1.1059217545209901</v>
      </c>
      <c r="AE1875">
        <v>-14.251399999999901</v>
      </c>
      <c r="AF1875">
        <v>2.6542693748037398</v>
      </c>
      <c r="AG1875">
        <v>-1.1059217545209901</v>
      </c>
      <c r="AH1875">
        <v>13.977944349523</v>
      </c>
      <c r="AI1875">
        <v>94.444667522691802</v>
      </c>
      <c r="AJ1875">
        <v>79.248125778616398</v>
      </c>
      <c r="AK1875">
        <v>14.270638986377101</v>
      </c>
      <c r="AL1875">
        <v>95.663391604981499</v>
      </c>
      <c r="AM1875">
        <v>89.033732197253897</v>
      </c>
      <c r="AN1875">
        <v>0.99999998311568195</v>
      </c>
    </row>
    <row r="1876" spans="1:40" x14ac:dyDescent="0.25">
      <c r="A1876" t="str">
        <f>"20190305135620102"</f>
        <v>20190305135620102</v>
      </c>
      <c r="B1876" t="str">
        <f>"1551765380093964"</f>
        <v>1551765380093964</v>
      </c>
      <c r="C1876" t="s">
        <v>40</v>
      </c>
      <c r="D1876">
        <v>4.6651119999999997</v>
      </c>
      <c r="E1876">
        <v>0.56303199999999998</v>
      </c>
      <c r="F1876" t="s">
        <v>42</v>
      </c>
      <c r="G1876">
        <v>-492.00380000000001</v>
      </c>
      <c r="H1876" s="1">
        <v>-1.7721360000000001E-6</v>
      </c>
      <c r="I1876">
        <v>232.47720000000001</v>
      </c>
      <c r="J1876">
        <v>-490.72550000000001</v>
      </c>
      <c r="K1876">
        <v>1.1061449999999999</v>
      </c>
      <c r="L1876">
        <v>246.3348</v>
      </c>
      <c r="M1876">
        <v>9.2973280000000005E-2</v>
      </c>
      <c r="N1876">
        <v>-6.4526990000000001E-3</v>
      </c>
      <c r="O1876">
        <v>-0.99564799999999998</v>
      </c>
      <c r="P1876">
        <v>7.7105779999999999E-2</v>
      </c>
      <c r="Q1876">
        <v>-0.10421329999999999</v>
      </c>
      <c r="R1876">
        <v>-0.99156169999999999</v>
      </c>
      <c r="S1876">
        <v>-0.26684570000000002</v>
      </c>
      <c r="T1876">
        <v>-0.23589969999999999</v>
      </c>
      <c r="U1876">
        <v>-3.0216370000000001</v>
      </c>
      <c r="V1876">
        <v>1.495031E-2</v>
      </c>
      <c r="W1876">
        <v>-9.7867090000000004E-2</v>
      </c>
      <c r="X1876">
        <v>0.99508719999999995</v>
      </c>
      <c r="Y1876">
        <v>0.1799346</v>
      </c>
      <c r="Z1876">
        <v>7.0082610000000004E-2</v>
      </c>
      <c r="AA1876">
        <v>0.98117889999999996</v>
      </c>
      <c r="AB1876">
        <v>30</v>
      </c>
      <c r="AC1876">
        <v>-1.2783</v>
      </c>
      <c r="AD1876">
        <v>-1.1061467721359901</v>
      </c>
      <c r="AE1876">
        <v>-13.8575999999999</v>
      </c>
      <c r="AF1876">
        <v>2.54509635779173</v>
      </c>
      <c r="AG1876">
        <v>-1.1061467721359901</v>
      </c>
      <c r="AH1876">
        <v>13.5928469728234</v>
      </c>
      <c r="AI1876">
        <v>94.573187118779401</v>
      </c>
      <c r="AJ1876">
        <v>79.394851657816204</v>
      </c>
      <c r="AK1876">
        <v>13.873231958651299</v>
      </c>
      <c r="AL1876">
        <v>95.616361173741893</v>
      </c>
      <c r="AM1876">
        <v>89.139246064932806</v>
      </c>
      <c r="AN1876">
        <v>1.0000000073390001</v>
      </c>
    </row>
    <row r="1877" spans="1:40" x14ac:dyDescent="0.25">
      <c r="A1877" t="str">
        <f>"20190305135620118"</f>
        <v>20190305135620118</v>
      </c>
      <c r="B1877" t="str">
        <f>"1551765380113481"</f>
        <v>1551765380113481</v>
      </c>
      <c r="C1877" t="s">
        <v>40</v>
      </c>
      <c r="D1877">
        <v>4.7669499999999996</v>
      </c>
      <c r="E1877">
        <v>0.56286150000000001</v>
      </c>
      <c r="F1877" t="s">
        <v>42</v>
      </c>
      <c r="G1877">
        <v>-491.97059999999999</v>
      </c>
      <c r="H1877" s="1">
        <v>-1.6275789999999999E-6</v>
      </c>
      <c r="I1877">
        <v>232.16079999999999</v>
      </c>
      <c r="J1877">
        <v>-490.70699999999999</v>
      </c>
      <c r="K1877">
        <v>1.106301</v>
      </c>
      <c r="L1877">
        <v>246.1216</v>
      </c>
      <c r="M1877">
        <v>9.1723509999999994E-2</v>
      </c>
      <c r="N1877">
        <v>-6.3189199999999996E-3</v>
      </c>
      <c r="O1877">
        <v>-0.99576469999999995</v>
      </c>
      <c r="P1877">
        <v>7.6823890000000006E-2</v>
      </c>
      <c r="Q1877">
        <v>-0.1033138</v>
      </c>
      <c r="R1877">
        <v>-0.99167780000000005</v>
      </c>
      <c r="S1877">
        <v>-0.26541140000000002</v>
      </c>
      <c r="T1877">
        <v>-0.23579030000000001</v>
      </c>
      <c r="U1877">
        <v>-3.0213779999999999</v>
      </c>
      <c r="V1877">
        <v>1.4028870000000001E-2</v>
      </c>
      <c r="W1877">
        <v>-9.7090819999999994E-2</v>
      </c>
      <c r="X1877">
        <v>0.99517670000000003</v>
      </c>
      <c r="Y1877">
        <v>0.1782456</v>
      </c>
      <c r="Z1877">
        <v>7.0215310000000003E-2</v>
      </c>
      <c r="AA1877">
        <v>0.98147759999999995</v>
      </c>
      <c r="AB1877">
        <v>31</v>
      </c>
      <c r="AC1877">
        <v>-1.2635999999999901</v>
      </c>
      <c r="AD1877">
        <v>-1.106302627579</v>
      </c>
      <c r="AE1877">
        <v>-13.960800000000001</v>
      </c>
      <c r="AF1877">
        <v>2.52311669482846</v>
      </c>
      <c r="AG1877">
        <v>-1.106302627579</v>
      </c>
      <c r="AH1877">
        <v>13.7007070472396</v>
      </c>
      <c r="AI1877">
        <v>94.540469664056005</v>
      </c>
      <c r="AJ1877">
        <v>79.565346914079797</v>
      </c>
      <c r="AK1877">
        <v>13.9749560626784</v>
      </c>
      <c r="AL1877">
        <v>95.571671106181498</v>
      </c>
      <c r="AM1877">
        <v>89.192362718214497</v>
      </c>
      <c r="AN1877">
        <v>1.0000000503723101</v>
      </c>
    </row>
    <row r="1878" spans="1:40" x14ac:dyDescent="0.25">
      <c r="A1878" t="str">
        <f>"20190305135620137"</f>
        <v>20190305135620137</v>
      </c>
      <c r="B1878" t="str">
        <f>"1551765380133977"</f>
        <v>1551765380133977</v>
      </c>
      <c r="C1878" t="s">
        <v>40</v>
      </c>
      <c r="D1878">
        <v>4.7499699999999896</v>
      </c>
      <c r="E1878">
        <v>0.56269190000000002</v>
      </c>
      <c r="F1878" t="s">
        <v>42</v>
      </c>
      <c r="G1878">
        <v>-491.96159999999998</v>
      </c>
      <c r="H1878" s="1">
        <v>-1.4711420000000001E-6</v>
      </c>
      <c r="I1878">
        <v>231.80179999999999</v>
      </c>
      <c r="J1878">
        <v>-490.6841</v>
      </c>
      <c r="K1878">
        <v>1.106498</v>
      </c>
      <c r="L1878">
        <v>245.8561</v>
      </c>
      <c r="M1878">
        <v>9.0254059999999997E-2</v>
      </c>
      <c r="N1878">
        <v>-6.2924269999999997E-3</v>
      </c>
      <c r="O1878">
        <v>-0.99589910000000004</v>
      </c>
      <c r="P1878">
        <v>7.5360750000000004E-2</v>
      </c>
      <c r="Q1878">
        <v>-0.1014475</v>
      </c>
      <c r="R1878">
        <v>-0.99198280000000005</v>
      </c>
      <c r="S1878">
        <v>-0.26470949999999999</v>
      </c>
      <c r="T1878">
        <v>-0.23342060000000001</v>
      </c>
      <c r="U1878">
        <v>-3.0213779999999999</v>
      </c>
      <c r="V1878">
        <v>1.408596E-2</v>
      </c>
      <c r="W1878">
        <v>-9.5245159999999995E-2</v>
      </c>
      <c r="X1878">
        <v>0.99535419999999997</v>
      </c>
      <c r="Y1878">
        <v>0.176572799999999</v>
      </c>
      <c r="Z1878">
        <v>6.9505159999999996E-2</v>
      </c>
      <c r="AA1878">
        <v>0.98183050000000005</v>
      </c>
      <c r="AB1878">
        <v>31</v>
      </c>
      <c r="AC1878">
        <v>-1.2774999999999701</v>
      </c>
      <c r="AD1878">
        <v>-1.106499471142</v>
      </c>
      <c r="AE1878">
        <v>-14.0543</v>
      </c>
      <c r="AF1878">
        <v>2.5252441554112099</v>
      </c>
      <c r="AG1878">
        <v>-1.106499471142</v>
      </c>
      <c r="AH1878">
        <v>13.7968188865022</v>
      </c>
      <c r="AI1878">
        <v>94.510669970787006</v>
      </c>
      <c r="AJ1878">
        <v>79.627907848163602</v>
      </c>
      <c r="AK1878">
        <v>14.0695916966705</v>
      </c>
      <c r="AL1878">
        <v>95.465430324618893</v>
      </c>
      <c r="AM1878">
        <v>89.189221095753794</v>
      </c>
      <c r="AN1878">
        <v>1.00000001911509</v>
      </c>
    </row>
    <row r="1879" spans="1:40" x14ac:dyDescent="0.25">
      <c r="A1879" t="str">
        <f>"20190305135620160"</f>
        <v>20190305135620160</v>
      </c>
      <c r="B1879" t="str">
        <f>"1551765380153497"</f>
        <v>1551765380153497</v>
      </c>
      <c r="C1879" t="s">
        <v>40</v>
      </c>
      <c r="D1879">
        <v>4.7399469999999999</v>
      </c>
      <c r="E1879">
        <v>0.56254609999999905</v>
      </c>
      <c r="F1879" t="s">
        <v>42</v>
      </c>
      <c r="G1879">
        <v>-491.97980000000001</v>
      </c>
      <c r="H1879" s="1">
        <v>-1.2434799999999999E-6</v>
      </c>
      <c r="I1879">
        <v>231.25980000000001</v>
      </c>
      <c r="J1879">
        <v>-490.65870000000001</v>
      </c>
      <c r="K1879">
        <v>1.106714</v>
      </c>
      <c r="L1879">
        <v>245.5566</v>
      </c>
      <c r="M1879">
        <v>8.8669590000000006E-2</v>
      </c>
      <c r="N1879">
        <v>-6.4917589999999997E-3</v>
      </c>
      <c r="O1879">
        <v>-0.99604029999999999</v>
      </c>
      <c r="P1879">
        <v>7.3853950000000002E-2</v>
      </c>
      <c r="Q1879">
        <v>-0.10147340000000001</v>
      </c>
      <c r="R1879">
        <v>-0.99209340000000001</v>
      </c>
      <c r="S1879">
        <v>-0.2681885</v>
      </c>
      <c r="T1879">
        <v>-0.22902700000000001</v>
      </c>
      <c r="U1879">
        <v>-3.0211939999999999</v>
      </c>
      <c r="V1879">
        <v>1.4039640000000001E-2</v>
      </c>
      <c r="W1879">
        <v>-9.5068710000000001E-2</v>
      </c>
      <c r="X1879">
        <v>0.99537169999999997</v>
      </c>
      <c r="Y1879">
        <v>0.17614340000000001</v>
      </c>
      <c r="Z1879">
        <v>6.7906069999999999E-2</v>
      </c>
      <c r="AA1879">
        <v>0.98201950000000005</v>
      </c>
      <c r="AB1879">
        <v>31</v>
      </c>
      <c r="AC1879">
        <v>-1.3210999999999999</v>
      </c>
      <c r="AD1879">
        <v>-1.1067152434799901</v>
      </c>
      <c r="AE1879">
        <v>-14.2967999999999</v>
      </c>
      <c r="AF1879">
        <v>2.5683536841028101</v>
      </c>
      <c r="AG1879">
        <v>-1.1067152434799901</v>
      </c>
      <c r="AH1879">
        <v>14.039920865684</v>
      </c>
      <c r="AI1879">
        <v>94.433819657458301</v>
      </c>
      <c r="AJ1879">
        <v>79.633379354608095</v>
      </c>
      <c r="AK1879">
        <v>14.3157478739836</v>
      </c>
      <c r="AL1879">
        <v>95.455274525530797</v>
      </c>
      <c r="AM1879">
        <v>89.191901097211897</v>
      </c>
      <c r="AN1879">
        <v>0.99999999613664103</v>
      </c>
    </row>
    <row r="1880" spans="1:40" x14ac:dyDescent="0.25">
      <c r="A1880" t="str">
        <f>"20190305135620180"</f>
        <v>20190305135620180</v>
      </c>
      <c r="B1880" t="str">
        <f>"1551765380173993"</f>
        <v>1551765380173993</v>
      </c>
      <c r="C1880" t="s">
        <v>40</v>
      </c>
      <c r="D1880">
        <v>4.7102050000000002</v>
      </c>
      <c r="E1880">
        <v>0.56233820000000001</v>
      </c>
      <c r="F1880" t="s">
        <v>42</v>
      </c>
      <c r="G1880">
        <v>-491.97370000000001</v>
      </c>
      <c r="H1880" s="1">
        <v>-1.1031850000000001E-6</v>
      </c>
      <c r="I1880">
        <v>230.9365</v>
      </c>
      <c r="J1880">
        <v>-490.63350000000003</v>
      </c>
      <c r="K1880">
        <v>1.106919</v>
      </c>
      <c r="L1880">
        <v>245.25540000000001</v>
      </c>
      <c r="M1880">
        <v>8.7118730000000005E-2</v>
      </c>
      <c r="N1880">
        <v>-6.9275090000000001E-3</v>
      </c>
      <c r="O1880">
        <v>-0.99617389999999995</v>
      </c>
      <c r="P1880">
        <v>7.5082739999999995E-2</v>
      </c>
      <c r="Q1880">
        <v>-0.1030452</v>
      </c>
      <c r="R1880">
        <v>-0.99183909999999997</v>
      </c>
      <c r="S1880">
        <v>-0.271698</v>
      </c>
      <c r="T1880">
        <v>-0.22866520000000001</v>
      </c>
      <c r="U1880">
        <v>-3.0207519999999999</v>
      </c>
      <c r="V1880">
        <v>1.1254790000000001E-2</v>
      </c>
      <c r="W1880">
        <v>-9.6195160000000002E-2</v>
      </c>
      <c r="X1880">
        <v>0.99529889999999999</v>
      </c>
      <c r="Y1880">
        <v>0.17575579999999999</v>
      </c>
      <c r="Z1880">
        <v>6.7377880000000001E-2</v>
      </c>
      <c r="AA1880">
        <v>0.98212529999999998</v>
      </c>
      <c r="AB1880">
        <v>31</v>
      </c>
      <c r="AC1880">
        <v>-1.3401999999999801</v>
      </c>
      <c r="AD1880">
        <v>-1.106920103185</v>
      </c>
      <c r="AE1880">
        <v>-14.318899999999999</v>
      </c>
      <c r="AF1880">
        <v>2.5673690303130599</v>
      </c>
      <c r="AG1880">
        <v>-1.106920103185</v>
      </c>
      <c r="AH1880">
        <v>14.0643773622871</v>
      </c>
      <c r="AI1880">
        <v>94.427259044533301</v>
      </c>
      <c r="AJ1880">
        <v>79.654897883405596</v>
      </c>
      <c r="AK1880">
        <v>14.3395734400107</v>
      </c>
      <c r="AL1880">
        <v>95.520112286705</v>
      </c>
      <c r="AM1880">
        <v>89.352129814739399</v>
      </c>
      <c r="AN1880">
        <v>1.00000003972328</v>
      </c>
    </row>
    <row r="1881" spans="1:40" x14ac:dyDescent="0.25">
      <c r="A1881" t="str">
        <f>"20190305135620204"</f>
        <v>20190305135620204</v>
      </c>
      <c r="B1881" t="str">
        <f>"1551765380193513"</f>
        <v>1551765380193513</v>
      </c>
      <c r="C1881" t="s">
        <v>40</v>
      </c>
      <c r="D1881">
        <v>4.7033379999999996</v>
      </c>
      <c r="E1881">
        <v>0.56225509999999901</v>
      </c>
      <c r="F1881" t="s">
        <v>42</v>
      </c>
      <c r="G1881">
        <v>-491.89589999999998</v>
      </c>
      <c r="H1881" s="1">
        <v>-1.0887230000000001E-6</v>
      </c>
      <c r="I1881">
        <v>230.95099999999999</v>
      </c>
      <c r="J1881">
        <v>-490.60789999999997</v>
      </c>
      <c r="K1881">
        <v>1.107108</v>
      </c>
      <c r="L1881">
        <v>244.94280000000001</v>
      </c>
      <c r="M1881">
        <v>8.5514270000000003E-2</v>
      </c>
      <c r="N1881">
        <v>-7.518566E-3</v>
      </c>
      <c r="O1881">
        <v>-0.99630859999999999</v>
      </c>
      <c r="P1881">
        <v>7.9355220000000004E-2</v>
      </c>
      <c r="Q1881">
        <v>-0.105797</v>
      </c>
      <c r="R1881">
        <v>-0.9912164</v>
      </c>
      <c r="S1881">
        <v>-0.266571</v>
      </c>
      <c r="T1881">
        <v>-0.23374300000000001</v>
      </c>
      <c r="U1881">
        <v>-3.0205839999999999</v>
      </c>
      <c r="V1881">
        <v>5.3423949999999998E-3</v>
      </c>
      <c r="W1881">
        <v>-9.8337960000000002E-2</v>
      </c>
      <c r="X1881">
        <v>0.99513879999999999</v>
      </c>
      <c r="Y1881">
        <v>0.17250960000000001</v>
      </c>
      <c r="Z1881">
        <v>6.8476460000000003E-2</v>
      </c>
      <c r="AA1881">
        <v>0.98262479999999996</v>
      </c>
      <c r="AB1881">
        <v>31</v>
      </c>
      <c r="AC1881">
        <v>-1.28800000000001</v>
      </c>
      <c r="AD1881">
        <v>-1.107109088723</v>
      </c>
      <c r="AE1881">
        <v>-13.9918</v>
      </c>
      <c r="AF1881">
        <v>2.46451376469272</v>
      </c>
      <c r="AG1881">
        <v>-1.107109088723</v>
      </c>
      <c r="AH1881">
        <v>13.745066123345</v>
      </c>
      <c r="AI1881">
        <v>94.533018955468506</v>
      </c>
      <c r="AJ1881">
        <v>79.834784833737402</v>
      </c>
      <c r="AK1881">
        <v>14.008082001681</v>
      </c>
      <c r="AL1881">
        <v>95.643470488390307</v>
      </c>
      <c r="AM1881">
        <v>89.692411002966196</v>
      </c>
      <c r="AN1881">
        <v>1.0000000634133599</v>
      </c>
    </row>
    <row r="1882" spans="1:40" x14ac:dyDescent="0.25">
      <c r="A1882" t="str">
        <f>"20190305135620236"</f>
        <v>20190305135620236</v>
      </c>
      <c r="B1882" t="str">
        <f>"1551765380233529"</f>
        <v>1551765380233529</v>
      </c>
      <c r="C1882" t="s">
        <v>40</v>
      </c>
      <c r="D1882">
        <v>4.6814710000000002</v>
      </c>
      <c r="E1882">
        <v>0.56207019999999996</v>
      </c>
      <c r="F1882" t="s">
        <v>41</v>
      </c>
      <c r="G1882">
        <v>-490.6764</v>
      </c>
      <c r="H1882">
        <v>1.042036</v>
      </c>
      <c r="I1882">
        <v>244.12389999999999</v>
      </c>
      <c r="J1882">
        <v>-490.5729</v>
      </c>
      <c r="K1882">
        <v>1.1072759999999999</v>
      </c>
      <c r="L1882">
        <v>244.50409999999999</v>
      </c>
      <c r="M1882">
        <v>8.3210590000000001E-2</v>
      </c>
      <c r="N1882">
        <v>-8.3582769999999904E-3</v>
      </c>
      <c r="O1882">
        <v>-0.99649699999999997</v>
      </c>
      <c r="P1882">
        <v>8.4841239999999998E-2</v>
      </c>
      <c r="Q1882">
        <v>-0.1102896</v>
      </c>
      <c r="R1882">
        <v>-0.99027189999999998</v>
      </c>
      <c r="S1882">
        <v>-0.25183109999999997</v>
      </c>
      <c r="T1882">
        <v>-0.24008969999999999</v>
      </c>
      <c r="U1882">
        <v>-3.021118</v>
      </c>
      <c r="V1882">
        <v>-2.5124650000000002E-3</v>
      </c>
      <c r="W1882">
        <v>-0.10197000000000001</v>
      </c>
      <c r="X1882">
        <v>0.99478429999999995</v>
      </c>
      <c r="Y1882">
        <v>0.16544120000000001</v>
      </c>
      <c r="Z1882">
        <v>6.9763989999999998E-2</v>
      </c>
      <c r="AA1882">
        <v>0.98374899999999998</v>
      </c>
      <c r="AB1882">
        <v>31</v>
      </c>
      <c r="AC1882">
        <v>-0.103499999999996</v>
      </c>
      <c r="AD1882">
        <v>-6.5239999999999895E-2</v>
      </c>
      <c r="AE1882">
        <v>-0.38020000000000198</v>
      </c>
      <c r="AF1882">
        <v>0.13118269552078701</v>
      </c>
      <c r="AG1882">
        <v>-6.5239999999999895E-2</v>
      </c>
      <c r="AH1882">
        <v>0.36038942265551999</v>
      </c>
      <c r="AI1882">
        <v>99.654026042433699</v>
      </c>
      <c r="AJ1882">
        <v>69.998361307063206</v>
      </c>
      <c r="AK1882">
        <v>0.389031737993288</v>
      </c>
      <c r="AL1882">
        <v>95.852623166963596</v>
      </c>
      <c r="AM1882">
        <v>90.144708088566901</v>
      </c>
      <c r="AN1882">
        <v>0.99999999845343301</v>
      </c>
    </row>
    <row r="1883" spans="1:40" x14ac:dyDescent="0.25">
      <c r="A1883" t="str">
        <f>"20190305135620259"</f>
        <v>20190305135620259</v>
      </c>
      <c r="B1883" t="str">
        <f>"1551765380254025"</f>
        <v>1551765380254025</v>
      </c>
      <c r="C1883" t="s">
        <v>40</v>
      </c>
      <c r="D1883">
        <v>4.6931479999999999</v>
      </c>
      <c r="E1883">
        <v>0.56205680000000002</v>
      </c>
      <c r="F1883" t="s">
        <v>41</v>
      </c>
      <c r="G1883">
        <v>-490.64420000000001</v>
      </c>
      <c r="H1883">
        <v>1.030184</v>
      </c>
      <c r="I1883">
        <v>243.5829</v>
      </c>
      <c r="J1883">
        <v>-490.54820000000001</v>
      </c>
      <c r="K1883">
        <v>1.1073660000000001</v>
      </c>
      <c r="L1883">
        <v>244.18379999999999</v>
      </c>
      <c r="M1883">
        <v>8.1505899999999895E-2</v>
      </c>
      <c r="N1883">
        <v>-8.9515440000000005E-3</v>
      </c>
      <c r="O1883">
        <v>-0.99663259999999998</v>
      </c>
      <c r="P1883">
        <v>8.5718230000000006E-2</v>
      </c>
      <c r="Q1883">
        <v>-0.1120329</v>
      </c>
      <c r="R1883">
        <v>-0.9900004</v>
      </c>
      <c r="S1883">
        <v>-0.23355100000000001</v>
      </c>
      <c r="T1883">
        <v>-0.2528726</v>
      </c>
      <c r="U1883">
        <v>-3.0213169999999998</v>
      </c>
      <c r="V1883">
        <v>-5.1112839999999998E-3</v>
      </c>
      <c r="W1883">
        <v>-0.1031156</v>
      </c>
      <c r="X1883">
        <v>0.99465630000000005</v>
      </c>
      <c r="Y1883">
        <v>0.1578059</v>
      </c>
      <c r="Z1883">
        <v>7.3391620000000005E-2</v>
      </c>
      <c r="AA1883">
        <v>0.98473909999999998</v>
      </c>
      <c r="AB1883">
        <v>31</v>
      </c>
      <c r="AC1883">
        <v>-9.6000000000003596E-2</v>
      </c>
      <c r="AD1883">
        <v>-7.7182000000000001E-2</v>
      </c>
      <c r="AE1883">
        <v>-0.60089999999999499</v>
      </c>
      <c r="AF1883">
        <v>0.14236910064248101</v>
      </c>
      <c r="AG1883">
        <v>-7.7182000000000001E-2</v>
      </c>
      <c r="AH1883">
        <v>0.58171744018923299</v>
      </c>
      <c r="AI1883">
        <v>97.343572889804904</v>
      </c>
      <c r="AJ1883">
        <v>76.247793065747402</v>
      </c>
      <c r="AK1883">
        <v>0.60383872197968802</v>
      </c>
      <c r="AL1883">
        <v>95.918608726368404</v>
      </c>
      <c r="AM1883">
        <v>90.294425746216604</v>
      </c>
      <c r="AN1883">
        <v>1.00000005365858</v>
      </c>
    </row>
    <row r="1884" spans="1:40" x14ac:dyDescent="0.25">
      <c r="A1884" t="str">
        <f>"20190305135620281"</f>
        <v>20190305135620281</v>
      </c>
      <c r="B1884" t="str">
        <f>"1551765380273648"</f>
        <v>1551765380273648</v>
      </c>
      <c r="C1884" t="s">
        <v>40</v>
      </c>
      <c r="D1884">
        <v>4.781269</v>
      </c>
      <c r="E1884">
        <v>0.56214459999999999</v>
      </c>
      <c r="F1884" t="s">
        <v>41</v>
      </c>
      <c r="G1884">
        <v>-490.6155</v>
      </c>
      <c r="H1884">
        <v>1.032492</v>
      </c>
      <c r="I1884">
        <v>243.309</v>
      </c>
      <c r="J1884">
        <v>-490.5247</v>
      </c>
      <c r="K1884">
        <v>1.107442</v>
      </c>
      <c r="L1884">
        <v>243.87459999999999</v>
      </c>
      <c r="M1884">
        <v>7.9892840000000007E-2</v>
      </c>
      <c r="N1884">
        <v>-9.4948110000000006E-3</v>
      </c>
      <c r="O1884">
        <v>-0.99675829999999999</v>
      </c>
      <c r="P1884">
        <v>8.2025840000000003E-2</v>
      </c>
      <c r="Q1884">
        <v>-0.107929</v>
      </c>
      <c r="R1884">
        <v>-0.99076909999999896</v>
      </c>
      <c r="S1884">
        <v>-0.23083500000000001</v>
      </c>
      <c r="T1884">
        <v>-0.25860070000000002</v>
      </c>
      <c r="U1884">
        <v>-3.021042</v>
      </c>
      <c r="V1884">
        <v>-2.9518080000000002E-3</v>
      </c>
      <c r="W1884">
        <v>-9.8475080000000006E-2</v>
      </c>
      <c r="X1884">
        <v>0.99513510000000005</v>
      </c>
      <c r="Y1884">
        <v>0.15532219999999999</v>
      </c>
      <c r="Z1884">
        <v>7.4746300000000002E-2</v>
      </c>
      <c r="AA1884">
        <v>0.98503200000000002</v>
      </c>
      <c r="AB1884">
        <v>31</v>
      </c>
      <c r="AC1884">
        <v>-9.0800000000001505E-2</v>
      </c>
      <c r="AD1884">
        <v>-7.4950000000000003E-2</v>
      </c>
      <c r="AE1884">
        <v>-0.56559999999996002</v>
      </c>
      <c r="AF1884">
        <v>0.13341524239819999</v>
      </c>
      <c r="AG1884">
        <v>-7.4950000000000003E-2</v>
      </c>
      <c r="AH1884">
        <v>0.547170372080937</v>
      </c>
      <c r="AI1884">
        <v>97.5803064421345</v>
      </c>
      <c r="AJ1884">
        <v>76.297085890638797</v>
      </c>
      <c r="AK1884">
        <v>0.56816594889817296</v>
      </c>
      <c r="AL1884">
        <v>95.651365784983497</v>
      </c>
      <c r="AM1884">
        <v>90.169952445967198</v>
      </c>
      <c r="AN1884">
        <v>0.99999996090174104</v>
      </c>
    </row>
    <row r="1885" spans="1:40" x14ac:dyDescent="0.25">
      <c r="A1885" t="str">
        <f>"20190305135620305"</f>
        <v>20190305135620305</v>
      </c>
      <c r="B1885" t="str">
        <f>"1551765380294144"</f>
        <v>1551765380294144</v>
      </c>
      <c r="C1885" t="s">
        <v>40</v>
      </c>
      <c r="D1885">
        <v>5.4828039999999998</v>
      </c>
      <c r="E1885">
        <v>0.56213049999999998</v>
      </c>
      <c r="F1885" t="s">
        <v>41</v>
      </c>
      <c r="G1885">
        <v>-490.59249999999997</v>
      </c>
      <c r="H1885">
        <v>1.0380130000000001</v>
      </c>
      <c r="I1885">
        <v>243.03120000000001</v>
      </c>
      <c r="J1885">
        <v>-490.50130000000001</v>
      </c>
      <c r="K1885">
        <v>1.1075360000000001</v>
      </c>
      <c r="L1885">
        <v>243.56180000000001</v>
      </c>
      <c r="M1885">
        <v>7.8419849999999999E-2</v>
      </c>
      <c r="N1885">
        <v>-1.000116E-2</v>
      </c>
      <c r="O1885">
        <v>-0.99687020000000004</v>
      </c>
      <c r="P1885">
        <v>7.1500090000000002E-2</v>
      </c>
      <c r="Q1885">
        <v>-0.1045553</v>
      </c>
      <c r="R1885">
        <v>-0.99194559999999998</v>
      </c>
      <c r="S1885">
        <v>-0.24319460000000001</v>
      </c>
      <c r="T1885">
        <v>-0.2486969</v>
      </c>
      <c r="U1885">
        <v>-3.0209809999999999</v>
      </c>
      <c r="V1885">
        <v>6.2043150000000002E-3</v>
      </c>
      <c r="W1885">
        <v>-9.4624650000000005E-2</v>
      </c>
      <c r="X1885">
        <v>0.99549370000000004</v>
      </c>
      <c r="Y1885">
        <v>0.15788849999999999</v>
      </c>
      <c r="Z1885">
        <v>7.1018579999999998E-2</v>
      </c>
      <c r="AA1885">
        <v>0.98489979999999999</v>
      </c>
      <c r="AB1885">
        <v>31</v>
      </c>
      <c r="AC1885">
        <v>-9.1199999999957898E-2</v>
      </c>
      <c r="AD1885">
        <v>-6.9523000000000196E-2</v>
      </c>
      <c r="AE1885">
        <v>-0.53059999999999197</v>
      </c>
      <c r="AF1885">
        <v>0.130357006090218</v>
      </c>
      <c r="AG1885">
        <v>-6.9523000000000196E-2</v>
      </c>
      <c r="AH1885">
        <v>0.51325479986535605</v>
      </c>
      <c r="AI1885">
        <v>97.479407945084205</v>
      </c>
      <c r="AJ1885">
        <v>75.749277194956804</v>
      </c>
      <c r="AK1885">
        <v>0.53409445433428004</v>
      </c>
      <c r="AL1885">
        <v>95.429716455055598</v>
      </c>
      <c r="AM1885">
        <v>89.642914403427</v>
      </c>
      <c r="AN1885">
        <v>1.00000001232596</v>
      </c>
    </row>
    <row r="1886" spans="1:40" x14ac:dyDescent="0.25">
      <c r="A1886" t="str">
        <f>"20190305135620327"</f>
        <v>20190305135620327</v>
      </c>
      <c r="B1886" t="str">
        <f>"1551765380323424"</f>
        <v>1551765380323424</v>
      </c>
      <c r="C1886" t="s">
        <v>40</v>
      </c>
      <c r="D1886">
        <v>4.9389539999999998</v>
      </c>
      <c r="E1886">
        <v>0.68949879999999997</v>
      </c>
      <c r="F1886" t="s">
        <v>41</v>
      </c>
      <c r="G1886">
        <v>-490.57580000000002</v>
      </c>
      <c r="H1886">
        <v>1.041828</v>
      </c>
      <c r="I1886">
        <v>242.75370000000001</v>
      </c>
      <c r="J1886">
        <v>-490.47919999999999</v>
      </c>
      <c r="K1886">
        <v>1.1077030000000001</v>
      </c>
      <c r="L1886">
        <v>243.26300000000001</v>
      </c>
      <c r="M1886">
        <v>7.7277670000000007E-2</v>
      </c>
      <c r="N1886">
        <v>-1.043993E-2</v>
      </c>
      <c r="O1886">
        <v>-0.99695489999999998</v>
      </c>
      <c r="P1886">
        <v>5.5630199999999998E-2</v>
      </c>
      <c r="Q1886">
        <v>-0.12001879999999999</v>
      </c>
      <c r="R1886">
        <v>-0.99121199999999998</v>
      </c>
      <c r="S1886">
        <v>-0.27609250000000002</v>
      </c>
      <c r="T1886">
        <v>-0.24559429999999999</v>
      </c>
      <c r="U1886">
        <v>-3.0183870000000002</v>
      </c>
      <c r="V1886">
        <v>2.0835510000000002E-2</v>
      </c>
      <c r="W1886">
        <v>-0.10970820000000001</v>
      </c>
      <c r="X1886">
        <v>0.9937454</v>
      </c>
      <c r="Y1886">
        <v>0.16747519999999999</v>
      </c>
      <c r="Z1886">
        <v>6.9548509999999994E-2</v>
      </c>
      <c r="AA1886">
        <v>0.98342010000000002</v>
      </c>
      <c r="AB1886">
        <v>31</v>
      </c>
      <c r="AC1886">
        <v>-9.66000000000235E-2</v>
      </c>
      <c r="AD1886">
        <v>-6.58750000000001E-2</v>
      </c>
      <c r="AE1886">
        <v>-0.50929999999999598</v>
      </c>
      <c r="AF1886">
        <v>0.13351463910948499</v>
      </c>
      <c r="AG1886">
        <v>-6.58750000000001E-2</v>
      </c>
      <c r="AH1886">
        <v>0.49236029355640298</v>
      </c>
      <c r="AI1886">
        <v>97.357928536203801</v>
      </c>
      <c r="AJ1886">
        <v>74.8278213753523</v>
      </c>
      <c r="AK1886">
        <v>0.51437761727400599</v>
      </c>
      <c r="AL1886">
        <v>96.298495086014597</v>
      </c>
      <c r="AM1886">
        <v>88.798875543534706</v>
      </c>
      <c r="AN1886">
        <v>0.99999996382267897</v>
      </c>
    </row>
    <row r="1887" spans="1:40" x14ac:dyDescent="0.25">
      <c r="A1887" t="str">
        <f>"20190305135620349"</f>
        <v>20190305135620349</v>
      </c>
      <c r="B1887" t="str">
        <f>"1551765380343920"</f>
        <v>1551765380343920</v>
      </c>
      <c r="C1887" t="s">
        <v>40</v>
      </c>
      <c r="D1887">
        <v>4.811159</v>
      </c>
      <c r="E1887">
        <v>0.68868069999999904</v>
      </c>
      <c r="F1887" t="s">
        <v>42</v>
      </c>
      <c r="G1887">
        <v>-493.5317</v>
      </c>
      <c r="H1887" s="1">
        <v>-3.8240439999999997E-6</v>
      </c>
      <c r="I1887">
        <v>236.38300000000001</v>
      </c>
      <c r="J1887">
        <v>-490.4563</v>
      </c>
      <c r="K1887">
        <v>1.1079239999999999</v>
      </c>
      <c r="L1887">
        <v>242.95339999999999</v>
      </c>
      <c r="M1887">
        <v>7.6405210000000001E-2</v>
      </c>
      <c r="N1887">
        <v>-1.085042E-2</v>
      </c>
      <c r="O1887">
        <v>-0.99701799999999996</v>
      </c>
      <c r="P1887">
        <v>4.7261360000000002E-2</v>
      </c>
      <c r="Q1887">
        <v>-0.14038239999999999</v>
      </c>
      <c r="R1887">
        <v>-0.98896919999999999</v>
      </c>
      <c r="S1887">
        <v>-1.350128</v>
      </c>
      <c r="T1887">
        <v>-0.48993999999999999</v>
      </c>
      <c r="U1887">
        <v>-3.0430450000000002</v>
      </c>
      <c r="V1887">
        <v>2.817163E-2</v>
      </c>
      <c r="W1887">
        <v>-0.129694899999999</v>
      </c>
      <c r="X1887">
        <v>0.99115370000000003</v>
      </c>
      <c r="Y1887">
        <v>0.47024850000000001</v>
      </c>
      <c r="Z1887">
        <v>0.13147590000000001</v>
      </c>
      <c r="AA1887">
        <v>0.87268579999999996</v>
      </c>
      <c r="AB1887">
        <v>31</v>
      </c>
      <c r="AC1887">
        <v>-3.0754000000000001</v>
      </c>
      <c r="AD1887">
        <v>-1.10792782404399</v>
      </c>
      <c r="AE1887">
        <v>-6.5704000000000002</v>
      </c>
      <c r="AF1887">
        <v>3.4871176093637901</v>
      </c>
      <c r="AG1887">
        <v>-1.10792782404399</v>
      </c>
      <c r="AH1887">
        <v>6.1722394430288903</v>
      </c>
      <c r="AI1887">
        <v>98.882574978361305</v>
      </c>
      <c r="AJ1887">
        <v>60.534942704542203</v>
      </c>
      <c r="AK1887">
        <v>7.1752374892338899</v>
      </c>
      <c r="AL1887">
        <v>97.451961873456099</v>
      </c>
      <c r="AM1887">
        <v>88.371916438435605</v>
      </c>
      <c r="AN1887">
        <v>1.0000000324232701</v>
      </c>
    </row>
    <row r="1888" spans="1:40" x14ac:dyDescent="0.25">
      <c r="A1888" t="str">
        <f>"20190305135620371"</f>
        <v>20190305135620371</v>
      </c>
      <c r="B1888" t="str">
        <f>"1551765380363440"</f>
        <v>1551765380363440</v>
      </c>
      <c r="C1888" t="s">
        <v>40</v>
      </c>
      <c r="D1888">
        <v>4.6488430000000003</v>
      </c>
      <c r="E1888">
        <v>0.68867400000000001</v>
      </c>
      <c r="F1888" t="s">
        <v>42</v>
      </c>
      <c r="G1888">
        <v>-493.63690000000003</v>
      </c>
      <c r="H1888" s="1">
        <v>-3.6754969999999999E-6</v>
      </c>
      <c r="I1888">
        <v>235.90110000000001</v>
      </c>
      <c r="J1888">
        <v>-490.4341</v>
      </c>
      <c r="K1888">
        <v>1.1081810000000001</v>
      </c>
      <c r="L1888">
        <v>242.65369999999999</v>
      </c>
      <c r="M1888">
        <v>7.5821830000000007E-2</v>
      </c>
      <c r="N1888">
        <v>-1.1202439999999999E-2</v>
      </c>
      <c r="O1888">
        <v>-0.99705869999999996</v>
      </c>
      <c r="P1888">
        <v>5.1150210000000002E-2</v>
      </c>
      <c r="Q1888">
        <v>-0.1533012</v>
      </c>
      <c r="R1888">
        <v>-0.98685520000000004</v>
      </c>
      <c r="S1888">
        <v>-1.367065</v>
      </c>
      <c r="T1888">
        <v>-0.47620299999999999</v>
      </c>
      <c r="U1888">
        <v>-3.031174</v>
      </c>
      <c r="V1888">
        <v>2.361282E-2</v>
      </c>
      <c r="W1888">
        <v>-0.14226050000000001</v>
      </c>
      <c r="X1888">
        <v>0.98954759999999997</v>
      </c>
      <c r="Y1888">
        <v>0.47526839999999998</v>
      </c>
      <c r="Z1888">
        <v>0.12735779999999999</v>
      </c>
      <c r="AA1888">
        <v>0.87057450000000003</v>
      </c>
      <c r="AB1888">
        <v>31</v>
      </c>
      <c r="AC1888">
        <v>-3.2028000000000199</v>
      </c>
      <c r="AD1888">
        <v>-1.1081846754969999</v>
      </c>
      <c r="AE1888">
        <v>-6.75259999999997</v>
      </c>
      <c r="AF1888">
        <v>3.6258848212989898</v>
      </c>
      <c r="AG1888">
        <v>-1.1081846754969999</v>
      </c>
      <c r="AH1888">
        <v>6.3506723824211999</v>
      </c>
      <c r="AI1888">
        <v>98.616980377354807</v>
      </c>
      <c r="AJ1888">
        <v>60.276008358619599</v>
      </c>
      <c r="AK1888">
        <v>7.396360843089</v>
      </c>
      <c r="AL1888">
        <v>98.178672546050393</v>
      </c>
      <c r="AM1888">
        <v>88.633053902649394</v>
      </c>
      <c r="AN1888">
        <v>1.00000003389718</v>
      </c>
    </row>
    <row r="1889" spans="1:40" x14ac:dyDescent="0.25">
      <c r="A1889" t="str">
        <f>"20190305135620393"</f>
        <v>20190305135620393</v>
      </c>
      <c r="B1889" t="str">
        <f>"1551765380383939"</f>
        <v>1551765380383939</v>
      </c>
      <c r="C1889" t="s">
        <v>40</v>
      </c>
      <c r="D1889">
        <v>4.6706709999999996</v>
      </c>
      <c r="E1889">
        <v>0.68898559999999998</v>
      </c>
      <c r="F1889" t="s">
        <v>42</v>
      </c>
      <c r="G1889">
        <v>-494.90530000000001</v>
      </c>
      <c r="H1889" s="1">
        <v>-2.5404770000000001E-6</v>
      </c>
      <c r="I1889">
        <v>232.46860000000001</v>
      </c>
      <c r="J1889">
        <v>-490.41109999999998</v>
      </c>
      <c r="K1889">
        <v>1.108384</v>
      </c>
      <c r="L1889">
        <v>242.34469999999999</v>
      </c>
      <c r="M1889">
        <v>7.5303519999999999E-2</v>
      </c>
      <c r="N1889">
        <v>-1.1522060000000001E-2</v>
      </c>
      <c r="O1889">
        <v>-0.99709420000000004</v>
      </c>
      <c r="P1889">
        <v>5.6822419999999998E-2</v>
      </c>
      <c r="Q1889">
        <v>-0.1448402</v>
      </c>
      <c r="R1889">
        <v>-0.98782219999999998</v>
      </c>
      <c r="S1889">
        <v>-1.3424069999999999</v>
      </c>
      <c r="T1889">
        <v>-0.33271089999999998</v>
      </c>
      <c r="U1889">
        <v>-3.057877</v>
      </c>
      <c r="V1889">
        <v>1.756837E-2</v>
      </c>
      <c r="W1889">
        <v>-0.13345319999999999</v>
      </c>
      <c r="X1889">
        <v>0.99089939999999999</v>
      </c>
      <c r="Y1889">
        <v>0.46800839999999999</v>
      </c>
      <c r="Z1889">
        <v>8.5347210000000007E-2</v>
      </c>
      <c r="AA1889">
        <v>0.87959310000000002</v>
      </c>
      <c r="AB1889">
        <v>31</v>
      </c>
      <c r="AC1889">
        <v>-4.4942000000000304</v>
      </c>
      <c r="AD1889">
        <v>-1.1083865404769999</v>
      </c>
      <c r="AE1889">
        <v>-9.8760999999999797</v>
      </c>
      <c r="AF1889">
        <v>5.1712323305745098</v>
      </c>
      <c r="AG1889">
        <v>-1.1083865404769999</v>
      </c>
      <c r="AH1889">
        <v>9.4113988775436397</v>
      </c>
      <c r="AI1889">
        <v>95.892963818735495</v>
      </c>
      <c r="AJ1889">
        <v>61.212754868147201</v>
      </c>
      <c r="AK1889">
        <v>10.795582122892601</v>
      </c>
      <c r="AL1889">
        <v>97.669185348113501</v>
      </c>
      <c r="AM1889">
        <v>88.984268229509198</v>
      </c>
      <c r="AN1889">
        <v>1.0000000125675199</v>
      </c>
    </row>
    <row r="1890" spans="1:40" x14ac:dyDescent="0.25">
      <c r="A1890" t="str">
        <f>"20190305135620415"</f>
        <v>20190305135620415</v>
      </c>
      <c r="B1890" t="str">
        <f>"1551765380403456"</f>
        <v>1551765380403456</v>
      </c>
      <c r="C1890" t="s">
        <v>40</v>
      </c>
      <c r="D1890">
        <v>3.7460870000000002</v>
      </c>
      <c r="E1890">
        <v>0.68871949999999904</v>
      </c>
      <c r="F1890" t="s">
        <v>54</v>
      </c>
      <c r="G1890">
        <v>-497.48750000000001</v>
      </c>
      <c r="H1890" s="1">
        <v>3.7777599999999998E-6</v>
      </c>
      <c r="I1890">
        <v>225.7895</v>
      </c>
      <c r="J1890">
        <v>-490.38990000000001</v>
      </c>
      <c r="K1890">
        <v>1.108517</v>
      </c>
      <c r="L1890">
        <v>242.05520000000001</v>
      </c>
      <c r="M1890">
        <v>7.4810269999999998E-2</v>
      </c>
      <c r="N1890">
        <v>-1.178621E-2</v>
      </c>
      <c r="O1890">
        <v>-0.99712809999999996</v>
      </c>
      <c r="P1890">
        <v>5.8457540000000002E-2</v>
      </c>
      <c r="Q1890">
        <v>-0.1214819</v>
      </c>
      <c r="R1890">
        <v>-0.9908709</v>
      </c>
      <c r="S1890">
        <v>-1.317596</v>
      </c>
      <c r="T1890">
        <v>-0.206375</v>
      </c>
      <c r="U1890">
        <v>-3.0825040000000001</v>
      </c>
      <c r="V1890">
        <v>1.5702219999999999E-2</v>
      </c>
      <c r="W1890">
        <v>-0.10979559999999999</v>
      </c>
      <c r="X1890">
        <v>0.99383010000000005</v>
      </c>
      <c r="Y1890">
        <v>0.46007969999999998</v>
      </c>
      <c r="Z1890">
        <v>4.8204839999999999E-2</v>
      </c>
      <c r="AA1890">
        <v>0.88656809999999997</v>
      </c>
      <c r="AB1890">
        <v>30</v>
      </c>
      <c r="AC1890">
        <v>-7.0975999999999999</v>
      </c>
      <c r="AD1890">
        <v>-1.10851322223999</v>
      </c>
      <c r="AE1890">
        <v>-16.265699999999999</v>
      </c>
      <c r="AF1890">
        <v>8.2623977193205693</v>
      </c>
      <c r="AG1890">
        <v>-1.10851322223999</v>
      </c>
      <c r="AH1890">
        <v>15.628128852540501</v>
      </c>
      <c r="AI1890">
        <v>93.588114782876005</v>
      </c>
      <c r="AJ1890">
        <v>62.135147581953298</v>
      </c>
      <c r="AK1890">
        <v>17.712550044183999</v>
      </c>
      <c r="AL1890">
        <v>96.303533256160193</v>
      </c>
      <c r="AM1890">
        <v>89.094819039594697</v>
      </c>
      <c r="AN1890">
        <v>0.99999995057914803</v>
      </c>
    </row>
    <row r="1891" spans="1:40" x14ac:dyDescent="0.25">
      <c r="A1891" t="str">
        <f>"20190305135620436"</f>
        <v>20190305135620436</v>
      </c>
      <c r="B1891" t="str">
        <f>"1551765380433713"</f>
        <v>1551765380433713</v>
      </c>
      <c r="C1891" t="s">
        <v>40</v>
      </c>
      <c r="D1891">
        <v>4.951225</v>
      </c>
      <c r="E1891">
        <v>0.68754539999999997</v>
      </c>
      <c r="F1891" t="s">
        <v>54</v>
      </c>
      <c r="G1891">
        <v>-502.74180000000001</v>
      </c>
      <c r="H1891">
        <v>7.9980159999999995E-2</v>
      </c>
      <c r="I1891">
        <v>212.8631</v>
      </c>
      <c r="J1891">
        <v>-490.3691</v>
      </c>
      <c r="K1891">
        <v>1.1084689999999999</v>
      </c>
      <c r="L1891">
        <v>241.76689999999999</v>
      </c>
      <c r="M1891">
        <v>7.4104729999999994E-2</v>
      </c>
      <c r="N1891">
        <v>-1.2019230000000001E-2</v>
      </c>
      <c r="O1891">
        <v>-0.99717800000000001</v>
      </c>
      <c r="P1891">
        <v>5.5487300000000003E-2</v>
      </c>
      <c r="Q1891">
        <v>-0.10250769999999999</v>
      </c>
      <c r="R1891">
        <v>-0.99318360000000006</v>
      </c>
      <c r="S1891">
        <v>-1.3080750000000001</v>
      </c>
      <c r="T1891">
        <v>-0.10892309999999999</v>
      </c>
      <c r="U1891">
        <v>-3.0914760000000001</v>
      </c>
      <c r="V1891">
        <v>1.8124370000000001E-2</v>
      </c>
      <c r="W1891">
        <v>-9.0575719999999998E-2</v>
      </c>
      <c r="X1891">
        <v>0.99572459999999996</v>
      </c>
      <c r="Y1891">
        <v>0.45666279999999998</v>
      </c>
      <c r="Z1891">
        <v>1.956434E-2</v>
      </c>
      <c r="AA1891">
        <v>0.88942469999999996</v>
      </c>
      <c r="AB1891">
        <v>30</v>
      </c>
      <c r="AC1891">
        <v>-12.3727</v>
      </c>
      <c r="AD1891">
        <v>-1.0284888400000001</v>
      </c>
      <c r="AE1891">
        <v>-28.903799999999901</v>
      </c>
      <c r="AF1891">
        <v>14.465259991168599</v>
      </c>
      <c r="AG1891">
        <v>-1.0284888400000001</v>
      </c>
      <c r="AH1891">
        <v>27.877543389829398</v>
      </c>
      <c r="AI1891">
        <v>91.875600139986105</v>
      </c>
      <c r="AJ1891">
        <v>62.575844645141302</v>
      </c>
      <c r="AK1891">
        <v>31.423859746344501</v>
      </c>
      <c r="AL1891">
        <v>95.196728870587606</v>
      </c>
      <c r="AM1891">
        <v>88.957206396432397</v>
      </c>
      <c r="AN1891">
        <v>0.99999996644328704</v>
      </c>
    </row>
    <row r="1892" spans="1:40" x14ac:dyDescent="0.25">
      <c r="A1892" t="str">
        <f>"20190305135620460"</f>
        <v>20190305135620460</v>
      </c>
      <c r="B1892" t="str">
        <f>"1551765380454208"</f>
        <v>1551765380454208</v>
      </c>
      <c r="C1892" t="s">
        <v>40</v>
      </c>
      <c r="D1892">
        <v>4.981592</v>
      </c>
      <c r="E1892">
        <v>0.68640659999999998</v>
      </c>
      <c r="F1892" t="s">
        <v>43</v>
      </c>
      <c r="G1892">
        <v>-509.94400000000002</v>
      </c>
      <c r="H1892">
        <v>-0.05</v>
      </c>
      <c r="I1892">
        <v>195.715</v>
      </c>
      <c r="J1892">
        <v>-490.34750000000003</v>
      </c>
      <c r="K1892">
        <v>1.1081730000000001</v>
      </c>
      <c r="L1892">
        <v>241.45679999999999</v>
      </c>
      <c r="M1892">
        <v>7.2846469999999997E-2</v>
      </c>
      <c r="N1892">
        <v>-1.22431E-2</v>
      </c>
      <c r="O1892">
        <v>-0.99726809999999999</v>
      </c>
      <c r="P1892">
        <v>5.1557070000000003E-2</v>
      </c>
      <c r="Q1892">
        <v>-9.4717090000000004E-2</v>
      </c>
      <c r="R1892">
        <v>-0.9941683</v>
      </c>
      <c r="S1892">
        <v>-1.3116760000000001</v>
      </c>
      <c r="T1892">
        <v>-7.7627059999999998E-2</v>
      </c>
      <c r="U1892">
        <v>-3.085861</v>
      </c>
      <c r="V1892">
        <v>2.0810240000000001E-2</v>
      </c>
      <c r="W1892">
        <v>-8.2574499999999995E-2</v>
      </c>
      <c r="X1892">
        <v>0.99636760000000002</v>
      </c>
      <c r="Y1892">
        <v>0.45707809999999999</v>
      </c>
      <c r="Z1892">
        <v>1.0251120000000001E-2</v>
      </c>
      <c r="AA1892">
        <v>0.88936749999999998</v>
      </c>
      <c r="AB1892">
        <v>30</v>
      </c>
      <c r="AC1892">
        <v>-19.596499999999899</v>
      </c>
      <c r="AD1892">
        <v>-1.1581729999999999</v>
      </c>
      <c r="AE1892">
        <v>-45.741799999999898</v>
      </c>
      <c r="AF1892">
        <v>22.8644206553194</v>
      </c>
      <c r="AG1892">
        <v>-1.1581729999999999</v>
      </c>
      <c r="AH1892">
        <v>44.168685698829897</v>
      </c>
      <c r="AI1892">
        <v>91.333976146888901</v>
      </c>
      <c r="AJ1892">
        <v>62.631144623368698</v>
      </c>
      <c r="AK1892">
        <v>49.749330578042397</v>
      </c>
      <c r="AL1892">
        <v>94.736563508622098</v>
      </c>
      <c r="AM1892">
        <v>88.803488200304301</v>
      </c>
      <c r="AN1892">
        <v>1.0000000042344299</v>
      </c>
    </row>
    <row r="1893" spans="1:40" x14ac:dyDescent="0.25">
      <c r="A1893" t="str">
        <f>"20190305135620482"</f>
        <v>20190305135620482</v>
      </c>
      <c r="B1893" t="str">
        <f>"1551765380473731"</f>
        <v>1551765380473731</v>
      </c>
      <c r="C1893" t="s">
        <v>40</v>
      </c>
      <c r="D1893">
        <v>4.9667529999999998</v>
      </c>
      <c r="E1893">
        <v>0.68656949999999894</v>
      </c>
      <c r="F1893" t="s">
        <v>54</v>
      </c>
      <c r="G1893">
        <v>-504.89929999999998</v>
      </c>
      <c r="H1893">
        <v>7.9999570000000006E-2</v>
      </c>
      <c r="I1893">
        <v>207.51089999999999</v>
      </c>
      <c r="J1893">
        <v>-490.32670000000002</v>
      </c>
      <c r="K1893">
        <v>1.107661</v>
      </c>
      <c r="L1893">
        <v>241.14320000000001</v>
      </c>
      <c r="M1893">
        <v>7.0849670000000003E-2</v>
      </c>
      <c r="N1893">
        <v>-1.2449119999999999E-2</v>
      </c>
      <c r="O1893">
        <v>-0.9974094</v>
      </c>
      <c r="P1893">
        <v>4.3410520000000001E-2</v>
      </c>
      <c r="Q1893">
        <v>-0.1002845</v>
      </c>
      <c r="R1893">
        <v>-0.99401150000000005</v>
      </c>
      <c r="S1893">
        <v>-1.3190919999999999</v>
      </c>
      <c r="T1893">
        <v>-9.3201759999999995E-2</v>
      </c>
      <c r="U1893">
        <v>-3.077118</v>
      </c>
      <c r="V1893">
        <v>2.6820650000000001E-2</v>
      </c>
      <c r="W1893">
        <v>-8.7989730000000002E-2</v>
      </c>
      <c r="X1893">
        <v>0.99576030000000004</v>
      </c>
      <c r="Y1893">
        <v>0.45798159999999999</v>
      </c>
      <c r="Z1893">
        <v>1.465136E-2</v>
      </c>
      <c r="AA1893">
        <v>0.88884089999999905</v>
      </c>
      <c r="AB1893">
        <v>30</v>
      </c>
      <c r="AC1893">
        <v>-14.5725999999999</v>
      </c>
      <c r="AD1893">
        <v>-1.02766143</v>
      </c>
      <c r="AE1893">
        <v>-33.632300000000001</v>
      </c>
      <c r="AF1893">
        <v>16.9057060879496</v>
      </c>
      <c r="AG1893">
        <v>-1.02766143</v>
      </c>
      <c r="AH1893">
        <v>32.489685864583997</v>
      </c>
      <c r="AI1893">
        <v>91.607246249597495</v>
      </c>
      <c r="AJ1893">
        <v>62.5102044674328</v>
      </c>
      <c r="AK1893">
        <v>36.6393050415288</v>
      </c>
      <c r="AL1893">
        <v>95.047967948213596</v>
      </c>
      <c r="AM1893">
        <v>88.4571200619461</v>
      </c>
      <c r="AN1893">
        <v>1.00000005745399</v>
      </c>
    </row>
    <row r="1894" spans="1:40" x14ac:dyDescent="0.25">
      <c r="A1894" t="str">
        <f>"20190305135620503"</f>
        <v>20190305135620503</v>
      </c>
      <c r="B1894" t="str">
        <f>"1551765380494224"</f>
        <v>1551765380494224</v>
      </c>
      <c r="C1894" t="s">
        <v>40</v>
      </c>
      <c r="D1894">
        <v>4.9716110000000002</v>
      </c>
      <c r="E1894">
        <v>0.68703789999999998</v>
      </c>
      <c r="F1894" t="s">
        <v>54</v>
      </c>
      <c r="G1894">
        <v>-499.47489999999999</v>
      </c>
      <c r="H1894" s="1">
        <v>2.0417709999999999E-6</v>
      </c>
      <c r="I1894">
        <v>220.4014</v>
      </c>
      <c r="J1894">
        <v>-490.30860000000001</v>
      </c>
      <c r="K1894">
        <v>1.1070599999999999</v>
      </c>
      <c r="L1894">
        <v>240.8502</v>
      </c>
      <c r="M1894">
        <v>6.8198889999999998E-2</v>
      </c>
      <c r="N1894">
        <v>-1.262783E-2</v>
      </c>
      <c r="O1894">
        <v>-0.99759189999999998</v>
      </c>
      <c r="P1894">
        <v>2.8061610000000001E-2</v>
      </c>
      <c r="Q1894">
        <v>-0.1116094</v>
      </c>
      <c r="R1894">
        <v>-0.99335609999999996</v>
      </c>
      <c r="S1894">
        <v>-1.3498540000000001</v>
      </c>
      <c r="T1894">
        <v>-0.16343920000000001</v>
      </c>
      <c r="U1894">
        <v>-3.0605319999999998</v>
      </c>
      <c r="V1894">
        <v>3.9277939999999997E-2</v>
      </c>
      <c r="W1894">
        <v>-9.9251740000000005E-2</v>
      </c>
      <c r="X1894">
        <v>0.99428680000000003</v>
      </c>
      <c r="Y1894">
        <v>0.4645842</v>
      </c>
      <c r="Z1894">
        <v>3.5070700000000003E-2</v>
      </c>
      <c r="AA1894">
        <v>0.88483419999999902</v>
      </c>
      <c r="AB1894">
        <v>30</v>
      </c>
      <c r="AC1894">
        <v>-9.1662999999999695</v>
      </c>
      <c r="AD1894">
        <v>-1.1070579582290001</v>
      </c>
      <c r="AE1894">
        <v>-20.448799999999999</v>
      </c>
      <c r="AF1894">
        <v>10.5139918505874</v>
      </c>
      <c r="AG1894">
        <v>-1.1070579582290001</v>
      </c>
      <c r="AH1894">
        <v>19.7278544691018</v>
      </c>
      <c r="AI1894">
        <v>92.835108215242499</v>
      </c>
      <c r="AJ1894">
        <v>61.944543352161702</v>
      </c>
      <c r="AK1894">
        <v>22.382087568212999</v>
      </c>
      <c r="AL1894">
        <v>95.696084250644802</v>
      </c>
      <c r="AM1894">
        <v>87.737784869768007</v>
      </c>
      <c r="AN1894">
        <v>0.99999995255895402</v>
      </c>
    </row>
    <row r="1895" spans="1:40" x14ac:dyDescent="0.25">
      <c r="A1895" t="str">
        <f>"20190305135620526"</f>
        <v>20190305135620526</v>
      </c>
      <c r="B1895" t="str">
        <f>"1551765380523504"</f>
        <v>1551765380523504</v>
      </c>
      <c r="C1895" t="s">
        <v>40</v>
      </c>
      <c r="D1895">
        <v>4.719563</v>
      </c>
      <c r="E1895">
        <v>0.68739090000000003</v>
      </c>
      <c r="F1895" t="s">
        <v>54</v>
      </c>
      <c r="G1895">
        <v>-496.71319999999997</v>
      </c>
      <c r="H1895" s="1">
        <v>4.2601040000000002E-6</v>
      </c>
      <c r="I1895">
        <v>227.01429999999999</v>
      </c>
      <c r="J1895">
        <v>-490.29129999999998</v>
      </c>
      <c r="K1895">
        <v>1.1063730000000001</v>
      </c>
      <c r="L1895">
        <v>240.5446</v>
      </c>
      <c r="M1895">
        <v>6.4571660000000003E-2</v>
      </c>
      <c r="N1895">
        <v>-1.280306E-2</v>
      </c>
      <c r="O1895">
        <v>-0.99783100000000002</v>
      </c>
      <c r="P1895">
        <v>5.9030559999999899E-3</v>
      </c>
      <c r="Q1895">
        <v>-0.1228886</v>
      </c>
      <c r="R1895">
        <v>-0.99240309999999998</v>
      </c>
      <c r="S1895">
        <v>-1.4037170000000001</v>
      </c>
      <c r="T1895">
        <v>-0.24263680000000001</v>
      </c>
      <c r="U1895">
        <v>-3.0324550000000001</v>
      </c>
      <c r="V1895">
        <v>5.7497300000000001E-2</v>
      </c>
      <c r="W1895">
        <v>-0.1105604</v>
      </c>
      <c r="X1895">
        <v>0.9922048</v>
      </c>
      <c r="Y1895">
        <v>0.47683179999999997</v>
      </c>
      <c r="Z1895">
        <v>5.812643E-2</v>
      </c>
      <c r="AA1895">
        <v>0.87707049999999998</v>
      </c>
      <c r="AB1895">
        <v>30</v>
      </c>
      <c r="AC1895">
        <v>-6.4218999999999902</v>
      </c>
      <c r="AD1895">
        <v>-1.106368739896</v>
      </c>
      <c r="AE1895">
        <v>-13.5303</v>
      </c>
      <c r="AF1895">
        <v>7.2427179666289296</v>
      </c>
      <c r="AG1895">
        <v>-1.106368739896</v>
      </c>
      <c r="AH1895">
        <v>13.0163222380219</v>
      </c>
      <c r="AI1895">
        <v>94.247810720152899</v>
      </c>
      <c r="AJ1895">
        <v>60.906970754814502</v>
      </c>
      <c r="AK1895">
        <v>14.936721860460899</v>
      </c>
      <c r="AL1895">
        <v>96.347621468800398</v>
      </c>
      <c r="AM1895">
        <v>86.683474562243006</v>
      </c>
      <c r="AN1895">
        <v>0.99999995334924396</v>
      </c>
    </row>
    <row r="1896" spans="1:40" x14ac:dyDescent="0.25">
      <c r="A1896" t="str">
        <f>"20190305135620550"</f>
        <v>20190305135620550</v>
      </c>
      <c r="B1896" t="str">
        <f>"1551765380544001"</f>
        <v>1551765380544001</v>
      </c>
      <c r="C1896" t="s">
        <v>40</v>
      </c>
      <c r="D1896">
        <v>4.7577999999999996</v>
      </c>
      <c r="E1896">
        <v>0.68724730000000001</v>
      </c>
      <c r="F1896" t="s">
        <v>54</v>
      </c>
      <c r="G1896">
        <v>-496.64010000000002</v>
      </c>
      <c r="H1896" s="1">
        <v>4.4120350000000002E-6</v>
      </c>
      <c r="I1896">
        <v>227.61359999999999</v>
      </c>
      <c r="J1896">
        <v>-490.27539999999999</v>
      </c>
      <c r="K1896">
        <v>1.1056779999999999</v>
      </c>
      <c r="L1896">
        <v>240.2278</v>
      </c>
      <c r="M1896">
        <v>5.9891609999999998E-2</v>
      </c>
      <c r="N1896">
        <v>-1.2973749999999999E-2</v>
      </c>
      <c r="O1896">
        <v>-0.99812080000000003</v>
      </c>
      <c r="P1896">
        <v>-1.72701E-2</v>
      </c>
      <c r="Q1896">
        <v>-0.12835150000000001</v>
      </c>
      <c r="R1896">
        <v>-0.99157879999999998</v>
      </c>
      <c r="S1896">
        <v>-1.4729000000000001</v>
      </c>
      <c r="T1896">
        <v>-0.2566737</v>
      </c>
      <c r="U1896">
        <v>-2.9999539999999998</v>
      </c>
      <c r="V1896">
        <v>7.5709100000000001E-2</v>
      </c>
      <c r="W1896">
        <v>-0.11611929999999999</v>
      </c>
      <c r="X1896">
        <v>0.99034560000000005</v>
      </c>
      <c r="Y1896">
        <v>0.49256090000000002</v>
      </c>
      <c r="Z1896">
        <v>6.2110079999999998E-2</v>
      </c>
      <c r="AA1896">
        <v>0.86805880000000002</v>
      </c>
      <c r="AB1896">
        <v>30</v>
      </c>
      <c r="AC1896">
        <v>-6.3647000000000196</v>
      </c>
      <c r="AD1896">
        <v>-1.1056735879649999</v>
      </c>
      <c r="AE1896">
        <v>-12.6142</v>
      </c>
      <c r="AF1896">
        <v>7.0655516019671998</v>
      </c>
      <c r="AG1896">
        <v>-1.1056735879649999</v>
      </c>
      <c r="AH1896">
        <v>12.1360075013485</v>
      </c>
      <c r="AI1896">
        <v>94.501900721359107</v>
      </c>
      <c r="AJ1896">
        <v>59.792148517854301</v>
      </c>
      <c r="AK1896">
        <v>14.0864194029558</v>
      </c>
      <c r="AL1896">
        <v>96.668188870335996</v>
      </c>
      <c r="AM1896">
        <v>85.628403751590099</v>
      </c>
      <c r="AN1896">
        <v>0.999999983547329</v>
      </c>
    </row>
    <row r="1897" spans="1:40" x14ac:dyDescent="0.25">
      <c r="A1897" t="str">
        <f>"20190305135620571"</f>
        <v>20190305135620571</v>
      </c>
      <c r="B1897" t="str">
        <f>"1551765380563520"</f>
        <v>1551765380563520</v>
      </c>
      <c r="C1897" t="s">
        <v>40</v>
      </c>
      <c r="D1897">
        <v>4.7658589999999998</v>
      </c>
      <c r="E1897">
        <v>0.68675739999999996</v>
      </c>
      <c r="F1897" t="s">
        <v>54</v>
      </c>
      <c r="G1897">
        <v>-496.99849999999998</v>
      </c>
      <c r="H1897" s="1">
        <v>4.2430639999999999E-6</v>
      </c>
      <c r="I1897">
        <v>227.28059999999999</v>
      </c>
      <c r="J1897">
        <v>-490.2629</v>
      </c>
      <c r="K1897">
        <v>1.1050759999999999</v>
      </c>
      <c r="L1897">
        <v>239.93260000000001</v>
      </c>
      <c r="M1897">
        <v>5.4650079999999997E-2</v>
      </c>
      <c r="N1897">
        <v>-1.312134E-2</v>
      </c>
      <c r="O1897">
        <v>-0.99841959999999996</v>
      </c>
      <c r="P1897">
        <v>-4.0594360000000003E-2</v>
      </c>
      <c r="Q1897">
        <v>-0.127863</v>
      </c>
      <c r="R1897">
        <v>-0.99096099999999998</v>
      </c>
      <c r="S1897">
        <v>-1.5400700000000001</v>
      </c>
      <c r="T1897">
        <v>-0.25327939999999999</v>
      </c>
      <c r="U1897">
        <v>-2.9658509999999998</v>
      </c>
      <c r="V1897">
        <v>9.3604300000000001E-2</v>
      </c>
      <c r="W1897">
        <v>-0.11578769999999999</v>
      </c>
      <c r="X1897">
        <v>0.9888536</v>
      </c>
      <c r="Y1897">
        <v>0.50750779999999995</v>
      </c>
      <c r="Z1897">
        <v>6.1070869999999999E-2</v>
      </c>
      <c r="AA1897">
        <v>0.85948019999999903</v>
      </c>
      <c r="AB1897">
        <v>30</v>
      </c>
      <c r="AC1897">
        <v>-6.7355999999999696</v>
      </c>
      <c r="AD1897">
        <v>-1.105071756936</v>
      </c>
      <c r="AE1897">
        <v>-12.651999999999999</v>
      </c>
      <c r="AF1897">
        <v>7.3731968298417501</v>
      </c>
      <c r="AG1897">
        <v>-1.105071756936</v>
      </c>
      <c r="AH1897">
        <v>12.1924820372017</v>
      </c>
      <c r="AI1897">
        <v>94.434804667351898</v>
      </c>
      <c r="AJ1897">
        <v>58.837259991551697</v>
      </c>
      <c r="AK1897">
        <v>14.291320208680901</v>
      </c>
      <c r="AL1897">
        <v>96.649060456683898</v>
      </c>
      <c r="AM1897">
        <v>84.592527853858002</v>
      </c>
      <c r="AN1897">
        <v>0.99999999934136996</v>
      </c>
    </row>
    <row r="1898" spans="1:40" x14ac:dyDescent="0.25">
      <c r="A1898" t="str">
        <f>"20190305135620593"</f>
        <v>20190305135620593</v>
      </c>
      <c r="B1898" t="str">
        <f>"1551765380584019"</f>
        <v>1551765380584019</v>
      </c>
      <c r="C1898" t="s">
        <v>40</v>
      </c>
      <c r="D1898">
        <v>4.7612059999999996</v>
      </c>
      <c r="E1898">
        <v>0.68597359999999996</v>
      </c>
      <c r="F1898" t="s">
        <v>54</v>
      </c>
      <c r="G1898">
        <v>-497.98829999999998</v>
      </c>
      <c r="H1898" s="1">
        <v>3.6548519999999999E-6</v>
      </c>
      <c r="I1898">
        <v>225.81139999999999</v>
      </c>
      <c r="J1898">
        <v>-490.2525</v>
      </c>
      <c r="K1898">
        <v>1.1045229999999999</v>
      </c>
      <c r="L1898">
        <v>239.63220000000001</v>
      </c>
      <c r="M1898">
        <v>4.8658699999999999E-2</v>
      </c>
      <c r="N1898">
        <v>-1.3257089999999999E-2</v>
      </c>
      <c r="O1898">
        <v>-0.99872760000000005</v>
      </c>
      <c r="P1898">
        <v>-6.2914800000000007E-2</v>
      </c>
      <c r="Q1898">
        <v>-0.124332</v>
      </c>
      <c r="R1898">
        <v>-0.99024429999999997</v>
      </c>
      <c r="S1898">
        <v>-1.6040650000000001</v>
      </c>
      <c r="T1898">
        <v>-0.22945119999999999</v>
      </c>
      <c r="U1898">
        <v>-2.9320680000000001</v>
      </c>
      <c r="V1898">
        <v>0.1098209</v>
      </c>
      <c r="W1898">
        <v>-0.11244170000000001</v>
      </c>
      <c r="X1898">
        <v>0.98757090000000003</v>
      </c>
      <c r="Y1898">
        <v>0.52109680000000003</v>
      </c>
      <c r="Z1898">
        <v>5.4079410000000001E-2</v>
      </c>
      <c r="AA1898">
        <v>0.85178259999999995</v>
      </c>
      <c r="AB1898">
        <v>30</v>
      </c>
      <c r="AC1898">
        <v>-7.7357999999999798</v>
      </c>
      <c r="AD1898">
        <v>-1.104519345148</v>
      </c>
      <c r="AE1898">
        <v>-13.8208</v>
      </c>
      <c r="AF1898">
        <v>8.3585471322097096</v>
      </c>
      <c r="AG1898">
        <v>-1.104519345148</v>
      </c>
      <c r="AH1898">
        <v>13.3629922596577</v>
      </c>
      <c r="AI1898">
        <v>94.0084854128404</v>
      </c>
      <c r="AJ1898">
        <v>57.974034640588698</v>
      </c>
      <c r="AK1898">
        <v>15.800469463811799</v>
      </c>
      <c r="AL1898">
        <v>96.456087946437805</v>
      </c>
      <c r="AM1898">
        <v>83.654604617255401</v>
      </c>
      <c r="AN1898">
        <v>1.0000000242512499</v>
      </c>
    </row>
    <row r="1899" spans="1:40" x14ac:dyDescent="0.25">
      <c r="A1899" t="str">
        <f>"20190305135620615"</f>
        <v>20190305135620615</v>
      </c>
      <c r="B1899" t="str">
        <f>"1551765380603536"</f>
        <v>1551765380603536</v>
      </c>
      <c r="C1899" t="s">
        <v>40</v>
      </c>
      <c r="D1899">
        <v>4.84511</v>
      </c>
      <c r="E1899">
        <v>0.68495600000000001</v>
      </c>
      <c r="F1899" t="s">
        <v>54</v>
      </c>
      <c r="G1899">
        <v>-499.31079999999997</v>
      </c>
      <c r="H1899" s="1">
        <v>2.837702E-6</v>
      </c>
      <c r="I1899">
        <v>223.83670000000001</v>
      </c>
      <c r="J1899">
        <v>-490.2448</v>
      </c>
      <c r="K1899">
        <v>1.1040570000000001</v>
      </c>
      <c r="L1899">
        <v>239.3416</v>
      </c>
      <c r="M1899">
        <v>4.2297399999999999E-2</v>
      </c>
      <c r="N1899">
        <v>-1.3370999999999999E-2</v>
      </c>
      <c r="O1899">
        <v>-0.99901569999999995</v>
      </c>
      <c r="P1899">
        <v>-8.8257210000000003E-2</v>
      </c>
      <c r="Q1899">
        <v>-0.1234603</v>
      </c>
      <c r="R1899">
        <v>-0.98841710000000005</v>
      </c>
      <c r="S1899">
        <v>-1.66220099999999</v>
      </c>
      <c r="T1899">
        <v>-0.20268030000000001</v>
      </c>
      <c r="U1899">
        <v>-2.8984830000000001</v>
      </c>
      <c r="V1899">
        <v>0.12866169999999999</v>
      </c>
      <c r="W1899">
        <v>-0.11184089999999999</v>
      </c>
      <c r="X1899">
        <v>0.98536179999999995</v>
      </c>
      <c r="Y1899">
        <v>0.53294219999999903</v>
      </c>
      <c r="Z1899">
        <v>4.6254249999999997E-2</v>
      </c>
      <c r="AA1899">
        <v>0.84488649999999998</v>
      </c>
      <c r="AB1899">
        <v>30</v>
      </c>
      <c r="AC1899">
        <v>-9.0659999999999705</v>
      </c>
      <c r="AD1899">
        <v>-1.104054162298</v>
      </c>
      <c r="AE1899">
        <v>-15.5048999999999</v>
      </c>
      <c r="AF1899">
        <v>9.6771949079756805</v>
      </c>
      <c r="AG1899">
        <v>-1.104054162298</v>
      </c>
      <c r="AH1899">
        <v>15.050649675146699</v>
      </c>
      <c r="AI1899">
        <v>93.530793782729305</v>
      </c>
      <c r="AJ1899">
        <v>57.259986641725398</v>
      </c>
      <c r="AK1899">
        <v>17.927328092167802</v>
      </c>
      <c r="AL1899">
        <v>96.421445975301907</v>
      </c>
      <c r="AM1899">
        <v>82.560802302782804</v>
      </c>
      <c r="AN1899">
        <v>1.00000004842946</v>
      </c>
    </row>
    <row r="1900" spans="1:40" x14ac:dyDescent="0.25">
      <c r="A1900" t="str">
        <f>"20190305135620636"</f>
        <v>20190305135620636</v>
      </c>
      <c r="B1900" t="str">
        <f>"1551765380633793"</f>
        <v>1551765380633793</v>
      </c>
      <c r="C1900" t="s">
        <v>40</v>
      </c>
      <c r="D1900">
        <v>4.8876660000000003</v>
      </c>
      <c r="E1900">
        <v>0.6828478</v>
      </c>
      <c r="F1900" t="s">
        <v>54</v>
      </c>
      <c r="G1900">
        <v>-499.95780000000002</v>
      </c>
      <c r="H1900">
        <v>4.3714000000000003E-2</v>
      </c>
      <c r="I1900">
        <v>223.26910000000001</v>
      </c>
      <c r="J1900">
        <v>-490.23930000000001</v>
      </c>
      <c r="K1900">
        <v>1.1036410000000001</v>
      </c>
      <c r="L1900">
        <v>239.05090000000001</v>
      </c>
      <c r="M1900">
        <v>3.5425239999999997E-2</v>
      </c>
      <c r="N1900">
        <v>-1.347392E-2</v>
      </c>
      <c r="O1900">
        <v>-0.99928159999999999</v>
      </c>
      <c r="P1900">
        <v>-0.1151828</v>
      </c>
      <c r="Q1900">
        <v>-0.1242991</v>
      </c>
      <c r="R1900">
        <v>-0.985537</v>
      </c>
      <c r="S1900">
        <v>-1.726837</v>
      </c>
      <c r="T1900">
        <v>-0.18851399999999999</v>
      </c>
      <c r="U1900">
        <v>-2.8574679999999999</v>
      </c>
      <c r="V1900">
        <v>0.14857010000000001</v>
      </c>
      <c r="W1900">
        <v>-0.1130129</v>
      </c>
      <c r="X1900">
        <v>0.98242309999999999</v>
      </c>
      <c r="Y1900">
        <v>0.54651019999999995</v>
      </c>
      <c r="Z1900">
        <v>4.215522E-2</v>
      </c>
      <c r="AA1900">
        <v>0.83639079999999999</v>
      </c>
      <c r="AB1900">
        <v>30</v>
      </c>
      <c r="AC1900">
        <v>-9.7185000000000006</v>
      </c>
      <c r="AD1900">
        <v>-1.0599270000000001</v>
      </c>
      <c r="AE1900">
        <v>-15.7818</v>
      </c>
      <c r="AF1900">
        <v>10.2380406719017</v>
      </c>
      <c r="AG1900">
        <v>-1.0599270000000001</v>
      </c>
      <c r="AH1900">
        <v>15.3772904254855</v>
      </c>
      <c r="AI1900">
        <v>93.283735969989195</v>
      </c>
      <c r="AJ1900">
        <v>56.344734928208503</v>
      </c>
      <c r="AK1900">
        <v>18.504107189339599</v>
      </c>
      <c r="AL1900">
        <v>96.489024948554999</v>
      </c>
      <c r="AM1900">
        <v>81.400423335143401</v>
      </c>
      <c r="AN1900">
        <v>1.0000000687970101</v>
      </c>
    </row>
    <row r="1901" spans="1:40" x14ac:dyDescent="0.25">
      <c r="A1901" t="str">
        <f>"20190305135620660"</f>
        <v>20190305135620660</v>
      </c>
      <c r="B1901" t="str">
        <f>"1551765380654290"</f>
        <v>1551765380654290</v>
      </c>
      <c r="C1901" t="s">
        <v>40</v>
      </c>
      <c r="D1901">
        <v>4.8689629999999999</v>
      </c>
      <c r="E1901">
        <v>0.6514238</v>
      </c>
      <c r="F1901" t="s">
        <v>54</v>
      </c>
      <c r="G1901">
        <v>-499.97840000000002</v>
      </c>
      <c r="H1901">
        <v>7.0654659999999994E-2</v>
      </c>
      <c r="I1901">
        <v>223.73349999999999</v>
      </c>
      <c r="J1901">
        <v>-490.23610000000002</v>
      </c>
      <c r="K1901">
        <v>1.103224</v>
      </c>
      <c r="L1901">
        <v>238.72900000000001</v>
      </c>
      <c r="M1901">
        <v>2.7312949999999999E-2</v>
      </c>
      <c r="N1901">
        <v>-1.357917E-2</v>
      </c>
      <c r="O1901">
        <v>-0.9995347</v>
      </c>
      <c r="P1901">
        <v>-0.14389270000000001</v>
      </c>
      <c r="Q1901">
        <v>-0.1239261</v>
      </c>
      <c r="R1901">
        <v>-0.98180279999999998</v>
      </c>
      <c r="S1901">
        <v>-1.787445</v>
      </c>
      <c r="T1901">
        <v>-0.18958700000000001</v>
      </c>
      <c r="U1901">
        <v>-2.8112490000000001</v>
      </c>
      <c r="V1901">
        <v>0.1690875</v>
      </c>
      <c r="W1901">
        <v>-0.11302570000000001</v>
      </c>
      <c r="X1901">
        <v>0.97909889999999999</v>
      </c>
      <c r="Y1901">
        <v>0.55866260000000001</v>
      </c>
      <c r="Z1901">
        <v>4.2654669999999999E-2</v>
      </c>
      <c r="AA1901">
        <v>0.82829750000000002</v>
      </c>
      <c r="AB1901">
        <v>30</v>
      </c>
      <c r="AC1901">
        <v>-9.7423000000000002</v>
      </c>
      <c r="AD1901">
        <v>-1.03256934</v>
      </c>
      <c r="AE1901">
        <v>-14.9955</v>
      </c>
      <c r="AF1901">
        <v>10.1145500389779</v>
      </c>
      <c r="AG1901">
        <v>-1.03256934</v>
      </c>
      <c r="AH1901">
        <v>14.674860329585201</v>
      </c>
      <c r="AI1901">
        <v>93.315724011959503</v>
      </c>
      <c r="AJ1901">
        <v>55.423704315419201</v>
      </c>
      <c r="AK1901">
        <v>17.8527826297675</v>
      </c>
      <c r="AL1901">
        <v>96.489763357346405</v>
      </c>
      <c r="AM1901">
        <v>80.201832335936004</v>
      </c>
      <c r="AN1901">
        <v>1.0000000237489699</v>
      </c>
    </row>
    <row r="1902" spans="1:40" x14ac:dyDescent="0.25">
      <c r="A1902" t="str">
        <f>"20190305135620682"</f>
        <v>20190305135620682</v>
      </c>
      <c r="B1902" t="str">
        <f>"1551765380673945"</f>
        <v>1551765380673945</v>
      </c>
      <c r="C1902" t="s">
        <v>40</v>
      </c>
      <c r="D1902">
        <v>4.9260570000000001</v>
      </c>
      <c r="E1902">
        <v>0.64764560000000004</v>
      </c>
      <c r="F1902" t="s">
        <v>54</v>
      </c>
      <c r="G1902">
        <v>-499.95780000000002</v>
      </c>
      <c r="H1902">
        <v>2.0152360000000001E-2</v>
      </c>
      <c r="I1902">
        <v>221.95189999999999</v>
      </c>
      <c r="J1902">
        <v>-490.23590000000002</v>
      </c>
      <c r="K1902">
        <v>1.102868</v>
      </c>
      <c r="L1902">
        <v>238.4228</v>
      </c>
      <c r="M1902">
        <v>1.920442E-2</v>
      </c>
      <c r="N1902">
        <v>-1.3669479999999999E-2</v>
      </c>
      <c r="O1902">
        <v>-0.99972220000000001</v>
      </c>
      <c r="P1902">
        <v>-0.17353740000000001</v>
      </c>
      <c r="Q1902">
        <v>-0.122976</v>
      </c>
      <c r="R1902">
        <v>-0.97711939999999997</v>
      </c>
      <c r="S1902">
        <v>-1.619812</v>
      </c>
      <c r="T1902">
        <v>-0.1804597</v>
      </c>
      <c r="U1902">
        <v>-2.7953800000000002</v>
      </c>
      <c r="V1902">
        <v>0.1906168</v>
      </c>
      <c r="W1902">
        <v>-0.1125087</v>
      </c>
      <c r="X1902">
        <v>0.9751959</v>
      </c>
      <c r="Y1902">
        <v>0.5172274</v>
      </c>
      <c r="Z1902">
        <v>4.173905E-2</v>
      </c>
      <c r="AA1902">
        <v>0.85482959999999997</v>
      </c>
      <c r="AB1902">
        <v>30</v>
      </c>
      <c r="AC1902">
        <v>-9.7218999999999998</v>
      </c>
      <c r="AD1902">
        <v>-1.08271564</v>
      </c>
      <c r="AE1902">
        <v>-16.4709</v>
      </c>
      <c r="AF1902">
        <v>10.0043899638806</v>
      </c>
      <c r="AG1902">
        <v>-1.08271564</v>
      </c>
      <c r="AH1902">
        <v>16.229132561677002</v>
      </c>
      <c r="AI1902">
        <v>93.250386320663793</v>
      </c>
      <c r="AJ1902">
        <v>58.348394113433201</v>
      </c>
      <c r="AK1902">
        <v>19.0956758301711</v>
      </c>
      <c r="AL1902">
        <v>96.459951385611802</v>
      </c>
      <c r="AM1902">
        <v>78.940119124440898</v>
      </c>
      <c r="AN1902">
        <v>1.0000000076973601</v>
      </c>
    </row>
    <row r="1903" spans="1:40" x14ac:dyDescent="0.25">
      <c r="A1903" t="str">
        <f>"20190305135620703"</f>
        <v>20190305135620703</v>
      </c>
      <c r="B1903" t="str">
        <f>"1551765380694441"</f>
        <v>1551765380694441</v>
      </c>
      <c r="C1903" t="s">
        <v>40</v>
      </c>
      <c r="D1903">
        <v>4.9131269999999896</v>
      </c>
      <c r="E1903">
        <v>0.64416850000000003</v>
      </c>
      <c r="F1903" t="s">
        <v>54</v>
      </c>
      <c r="G1903">
        <v>-499.95780000000002</v>
      </c>
      <c r="H1903">
        <v>4.156642E-2</v>
      </c>
      <c r="I1903">
        <v>222.447</v>
      </c>
      <c r="J1903">
        <v>-490.23829999999998</v>
      </c>
      <c r="K1903">
        <v>1.102582</v>
      </c>
      <c r="L1903">
        <v>238.13239999999999</v>
      </c>
      <c r="M1903">
        <v>1.1229390000000001E-2</v>
      </c>
      <c r="N1903">
        <v>-1.3744950000000001E-2</v>
      </c>
      <c r="O1903">
        <v>-0.99984260000000003</v>
      </c>
      <c r="P1903">
        <v>-0.20403470000000001</v>
      </c>
      <c r="Q1903">
        <v>-0.1249098</v>
      </c>
      <c r="R1903">
        <v>-0.97096229999999994</v>
      </c>
      <c r="S1903">
        <v>-1.6735230000000001</v>
      </c>
      <c r="T1903">
        <v>-0.18269250000000001</v>
      </c>
      <c r="U1903">
        <v>-2.750076</v>
      </c>
      <c r="V1903">
        <v>0.2131603</v>
      </c>
      <c r="W1903">
        <v>-0.11492189999999999</v>
      </c>
      <c r="X1903">
        <v>0.97023490000000001</v>
      </c>
      <c r="Y1903">
        <v>0.52869750000000004</v>
      </c>
      <c r="Z1903">
        <v>4.2704480000000003E-2</v>
      </c>
      <c r="AA1903">
        <v>0.84773539999999903</v>
      </c>
      <c r="AB1903">
        <v>30</v>
      </c>
      <c r="AC1903">
        <v>-9.7195000000000302</v>
      </c>
      <c r="AD1903">
        <v>-1.0610155799999901</v>
      </c>
      <c r="AE1903">
        <v>-15.6853999999999</v>
      </c>
      <c r="AF1903">
        <v>9.8624342144602402</v>
      </c>
      <c r="AG1903">
        <v>-1.0610155799999901</v>
      </c>
      <c r="AH1903">
        <v>15.523931636478601</v>
      </c>
      <c r="AI1903">
        <v>93.301702487843897</v>
      </c>
      <c r="AJ1903">
        <v>57.571993350552098</v>
      </c>
      <c r="AK1903">
        <v>18.422426988581599</v>
      </c>
      <c r="AL1903">
        <v>96.599119992138796</v>
      </c>
      <c r="AM1903">
        <v>77.608995034741397</v>
      </c>
      <c r="AN1903">
        <v>1.0000000588868501</v>
      </c>
    </row>
    <row r="1904" spans="1:40" x14ac:dyDescent="0.25">
      <c r="A1904" t="str">
        <f>"20190305135620725"</f>
        <v>20190305135620725</v>
      </c>
      <c r="B1904" t="str">
        <f>"1551765380713961"</f>
        <v>1551765380713961</v>
      </c>
      <c r="C1904" t="s">
        <v>40</v>
      </c>
      <c r="D1904">
        <v>4.9359840000000004</v>
      </c>
      <c r="E1904">
        <v>0.64236190000000004</v>
      </c>
      <c r="F1904" t="s">
        <v>54</v>
      </c>
      <c r="G1904">
        <v>-499.95780000000002</v>
      </c>
      <c r="H1904">
        <v>2.2433499999999999E-3</v>
      </c>
      <c r="I1904">
        <v>222.9743</v>
      </c>
      <c r="J1904">
        <v>-490.24349999999998</v>
      </c>
      <c r="K1904">
        <v>1.1023350000000001</v>
      </c>
      <c r="L1904">
        <v>237.8347</v>
      </c>
      <c r="M1904">
        <v>2.8287020000000002E-3</v>
      </c>
      <c r="N1904">
        <v>-1.3812629999999999E-2</v>
      </c>
      <c r="O1904">
        <v>-0.99990060000000003</v>
      </c>
      <c r="P1904">
        <v>-0.22480359999999999</v>
      </c>
      <c r="Q1904">
        <v>-0.12752669999999999</v>
      </c>
      <c r="R1904">
        <v>-0.96602290000000002</v>
      </c>
      <c r="S1904">
        <v>-1.7316279999999999</v>
      </c>
      <c r="T1904">
        <v>-0.19603809999999999</v>
      </c>
      <c r="U1904">
        <v>-2.7006070000000002</v>
      </c>
      <c r="V1904">
        <v>0.22566059999999999</v>
      </c>
      <c r="W1904">
        <v>-0.11784210000000001</v>
      </c>
      <c r="X1904">
        <v>0.96705249999999998</v>
      </c>
      <c r="Y1904">
        <v>0.54129259999999901</v>
      </c>
      <c r="Z1904">
        <v>4.71419E-2</v>
      </c>
      <c r="AA1904">
        <v>0.83951180000000003</v>
      </c>
      <c r="AB1904">
        <v>30</v>
      </c>
      <c r="AC1904">
        <v>-9.7143000000000299</v>
      </c>
      <c r="AD1904">
        <v>-1.10009165</v>
      </c>
      <c r="AE1904">
        <v>-14.860399999999901</v>
      </c>
      <c r="AF1904">
        <v>9.7189849040552296</v>
      </c>
      <c r="AG1904">
        <v>-1.10009165</v>
      </c>
      <c r="AH1904">
        <v>14.7761263676709</v>
      </c>
      <c r="AI1904">
        <v>93.559296105029006</v>
      </c>
      <c r="AJ1904">
        <v>56.665113829728803</v>
      </c>
      <c r="AK1904">
        <v>17.720123578492199</v>
      </c>
      <c r="AL1904">
        <v>96.767580329971196</v>
      </c>
      <c r="AM1904">
        <v>76.865133929732195</v>
      </c>
      <c r="AN1904">
        <v>1.0000000023405</v>
      </c>
    </row>
    <row r="1905" spans="1:40" x14ac:dyDescent="0.25">
      <c r="A1905" t="str">
        <f>"20190305135620749"</f>
        <v>20190305135620749</v>
      </c>
      <c r="B1905" t="str">
        <f>"1551765380744217"</f>
        <v>1551765380744217</v>
      </c>
      <c r="C1905" t="s">
        <v>40</v>
      </c>
      <c r="D1905">
        <v>4.9844970000000002</v>
      </c>
      <c r="E1905">
        <v>0.62100049999999996</v>
      </c>
      <c r="F1905" t="s">
        <v>54</v>
      </c>
      <c r="G1905">
        <v>-499.66899999999998</v>
      </c>
      <c r="H1905" s="1">
        <v>2.7240399999999999E-6</v>
      </c>
      <c r="I1905">
        <v>223.68190000000001</v>
      </c>
      <c r="J1905">
        <v>-490.25170000000003</v>
      </c>
      <c r="K1905">
        <v>1.102149</v>
      </c>
      <c r="L1905">
        <v>237.5223</v>
      </c>
      <c r="M1905">
        <v>-6.160464E-3</v>
      </c>
      <c r="N1905">
        <v>-1.3874010000000001E-2</v>
      </c>
      <c r="O1905">
        <v>-0.99988500000000002</v>
      </c>
      <c r="P1905">
        <v>-0.25394949999999999</v>
      </c>
      <c r="Q1905">
        <v>-0.1278493</v>
      </c>
      <c r="R1905">
        <v>-0.95873090000000005</v>
      </c>
      <c r="S1905">
        <v>-1.774902</v>
      </c>
      <c r="T1905">
        <v>-0.2075775</v>
      </c>
      <c r="U1905">
        <v>-2.6650849999999999</v>
      </c>
      <c r="V1905">
        <v>0.2461015</v>
      </c>
      <c r="W1905">
        <v>-0.1186183</v>
      </c>
      <c r="X1905">
        <v>0.96195830000000004</v>
      </c>
      <c r="Y1905">
        <v>0.54817579999999999</v>
      </c>
      <c r="Z1905">
        <v>5.0987440000000002E-2</v>
      </c>
      <c r="AA1905">
        <v>0.83480759999999898</v>
      </c>
      <c r="AB1905">
        <v>30</v>
      </c>
      <c r="AC1905">
        <v>-9.4173000000000098</v>
      </c>
      <c r="AD1905">
        <v>-1.10214627596</v>
      </c>
      <c r="AE1905">
        <v>-13.840399999999899</v>
      </c>
      <c r="AF1905">
        <v>9.2915749104915495</v>
      </c>
      <c r="AG1905">
        <v>-1.10214627596</v>
      </c>
      <c r="AH1905">
        <v>13.838175436689699</v>
      </c>
      <c r="AI1905">
        <v>93.783047148046194</v>
      </c>
      <c r="AJ1905">
        <v>56.120807963946</v>
      </c>
      <c r="AK1905">
        <v>16.704585901706501</v>
      </c>
      <c r="AL1905">
        <v>96.812367388780601</v>
      </c>
      <c r="AM1905">
        <v>75.649597739912707</v>
      </c>
      <c r="AN1905">
        <v>1.00000001016801</v>
      </c>
    </row>
    <row r="1906" spans="1:40" x14ac:dyDescent="0.25">
      <c r="A1906" t="str">
        <f>"20190305135620763"</f>
        <v>20190305135620763</v>
      </c>
      <c r="B1906" t="str">
        <f>"1551765380753977"</f>
        <v>1551765380753977</v>
      </c>
      <c r="C1906" t="s">
        <v>40</v>
      </c>
      <c r="D1906">
        <v>4.974024</v>
      </c>
      <c r="E1906">
        <v>0.61899789999999999</v>
      </c>
      <c r="F1906" t="s">
        <v>54</v>
      </c>
      <c r="G1906">
        <v>-497.54559999999998</v>
      </c>
      <c r="H1906" s="1">
        <v>3.8381730000000003E-6</v>
      </c>
      <c r="I1906">
        <v>226.10769999999999</v>
      </c>
      <c r="J1906">
        <v>-490.25880000000001</v>
      </c>
      <c r="K1906">
        <v>1.102071</v>
      </c>
      <c r="L1906">
        <v>237.32130000000001</v>
      </c>
      <c r="M1906">
        <v>-1.2024699999999999E-2</v>
      </c>
      <c r="N1906">
        <v>-1.3908190000000001E-2</v>
      </c>
      <c r="O1906">
        <v>-0.99983100000000003</v>
      </c>
      <c r="P1906">
        <v>-0.26934439999999998</v>
      </c>
      <c r="Q1906">
        <v>-0.12649859999999999</v>
      </c>
      <c r="R1906">
        <v>-0.95469979999999999</v>
      </c>
      <c r="S1906">
        <v>-1.6914370000000001</v>
      </c>
      <c r="T1906">
        <v>-0.25558639999999999</v>
      </c>
      <c r="U1906">
        <v>-2.647049</v>
      </c>
      <c r="V1906">
        <v>0.25590469999999998</v>
      </c>
      <c r="W1906">
        <v>-0.1174833</v>
      </c>
      <c r="X1906">
        <v>0.95953659999999996</v>
      </c>
      <c r="Y1906">
        <v>0.52672989999999997</v>
      </c>
      <c r="Z1906">
        <v>6.7550699999999894E-2</v>
      </c>
      <c r="AA1906">
        <v>0.8473444</v>
      </c>
      <c r="AB1906">
        <v>30</v>
      </c>
      <c r="AC1906">
        <v>-7.2867999999999702</v>
      </c>
      <c r="AD1906">
        <v>-1.1020671618269999</v>
      </c>
      <c r="AE1906">
        <v>-11.2136</v>
      </c>
      <c r="AF1906">
        <v>7.1031807964492204</v>
      </c>
      <c r="AG1906">
        <v>-1.1020671618269999</v>
      </c>
      <c r="AH1906">
        <v>11.224193525721899</v>
      </c>
      <c r="AI1906">
        <v>94.7428723840396</v>
      </c>
      <c r="AJ1906">
        <v>57.672508341278899</v>
      </c>
      <c r="AK1906">
        <v>13.3286252013881</v>
      </c>
      <c r="AL1906">
        <v>96.746878724479103</v>
      </c>
      <c r="AM1906">
        <v>75.067006661540304</v>
      </c>
      <c r="AN1906">
        <v>1.0000000140002601</v>
      </c>
    </row>
    <row r="1907" spans="1:40" x14ac:dyDescent="0.25">
      <c r="A1907" t="str">
        <f>"20190305135620776"</f>
        <v>20190305135620776</v>
      </c>
      <c r="B1907" t="str">
        <f>"1551765380763737"</f>
        <v>1551765380763737</v>
      </c>
      <c r="C1907" t="s">
        <v>40</v>
      </c>
      <c r="D1907">
        <v>4.9401400000000004</v>
      </c>
      <c r="E1907">
        <v>0.61699599999999999</v>
      </c>
      <c r="F1907" t="s">
        <v>54</v>
      </c>
      <c r="G1907">
        <v>-497.5009</v>
      </c>
      <c r="H1907" s="1">
        <v>3.8861339999999996E-6</v>
      </c>
      <c r="I1907">
        <v>226.27090000000001</v>
      </c>
      <c r="J1907">
        <v>-490.26549999999997</v>
      </c>
      <c r="K1907">
        <v>1.1020219999999901</v>
      </c>
      <c r="L1907">
        <v>237.15600000000001</v>
      </c>
      <c r="M1907">
        <v>-1.6866530000000001E-2</v>
      </c>
      <c r="N1907">
        <v>-1.393401E-2</v>
      </c>
      <c r="O1907">
        <v>-0.99976069999999995</v>
      </c>
      <c r="P1907">
        <v>-0.2838638</v>
      </c>
      <c r="Q1907">
        <v>-0.12486360000000001</v>
      </c>
      <c r="R1907">
        <v>-0.95069999999999999</v>
      </c>
      <c r="S1907">
        <v>-1.7189029999999901</v>
      </c>
      <c r="T1907">
        <v>-0.26157209999999997</v>
      </c>
      <c r="U1907">
        <v>-2.6227719999999999</v>
      </c>
      <c r="V1907">
        <v>0.26585779999999998</v>
      </c>
      <c r="W1907">
        <v>-0.11606279999999999</v>
      </c>
      <c r="X1907">
        <v>0.95699999999999996</v>
      </c>
      <c r="Y1907">
        <v>0.53230049999999995</v>
      </c>
      <c r="Z1907">
        <v>6.9699079999999997E-2</v>
      </c>
      <c r="AA1907">
        <v>0.84368129999999997</v>
      </c>
      <c r="AB1907">
        <v>30</v>
      </c>
      <c r="AC1907">
        <v>-7.2354000000000198</v>
      </c>
      <c r="AD1907">
        <v>-1.1020181138659999</v>
      </c>
      <c r="AE1907">
        <v>-10.8850999999999</v>
      </c>
      <c r="AF1907">
        <v>7.0009901602022699</v>
      </c>
      <c r="AG1907">
        <v>-1.1020181138659999</v>
      </c>
      <c r="AH1907">
        <v>10.9279147386088</v>
      </c>
      <c r="AI1907">
        <v>94.853521905927494</v>
      </c>
      <c r="AJ1907">
        <v>57.354264051299801</v>
      </c>
      <c r="AK1907">
        <v>13.024884939255299</v>
      </c>
      <c r="AL1907">
        <v>96.664929701012994</v>
      </c>
      <c r="AM1907">
        <v>74.474529118131898</v>
      </c>
      <c r="AN1907">
        <v>0.99999997168233901</v>
      </c>
    </row>
    <row r="1908" spans="1:40" x14ac:dyDescent="0.25">
      <c r="A1908" t="str">
        <f>"20190305135620793"</f>
        <v>20190305135620793</v>
      </c>
      <c r="B1908" t="str">
        <f>"1551765380784236"</f>
        <v>1551765380784236</v>
      </c>
      <c r="C1908" t="s">
        <v>40</v>
      </c>
      <c r="D1908">
        <v>5.1010330000000002</v>
      </c>
      <c r="E1908">
        <v>0.61474790000000001</v>
      </c>
      <c r="F1908" t="s">
        <v>54</v>
      </c>
      <c r="G1908">
        <v>-497.66649999999998</v>
      </c>
      <c r="H1908" s="1">
        <v>3.807424E-6</v>
      </c>
      <c r="I1908">
        <v>226.11410000000001</v>
      </c>
      <c r="J1908">
        <v>-490.27600000000001</v>
      </c>
      <c r="K1908">
        <v>1.101974</v>
      </c>
      <c r="L1908">
        <v>236.9256</v>
      </c>
      <c r="M1908">
        <v>-2.3641079999999998E-2</v>
      </c>
      <c r="N1908">
        <v>-1.3966660000000001E-2</v>
      </c>
      <c r="O1908">
        <v>-0.99962309999999999</v>
      </c>
      <c r="P1908">
        <v>-0.31062210000000001</v>
      </c>
      <c r="Q1908">
        <v>-0.12117360000000001</v>
      </c>
      <c r="R1908">
        <v>-0.94277860000000002</v>
      </c>
      <c r="S1908">
        <v>-1.74331699999999</v>
      </c>
      <c r="T1908">
        <v>-0.25958219999999999</v>
      </c>
      <c r="U1908">
        <v>-2.6009370000000001</v>
      </c>
      <c r="V1908">
        <v>0.2863579</v>
      </c>
      <c r="W1908">
        <v>-0.1128077</v>
      </c>
      <c r="X1908">
        <v>0.95145860000000004</v>
      </c>
      <c r="Y1908">
        <v>0.5353078</v>
      </c>
      <c r="Z1908">
        <v>6.9342890000000004E-2</v>
      </c>
      <c r="AA1908">
        <v>0.8418059</v>
      </c>
      <c r="AB1908">
        <v>30</v>
      </c>
      <c r="AC1908">
        <v>-7.3904999999999701</v>
      </c>
      <c r="AD1908">
        <v>-1.1019701925759999</v>
      </c>
      <c r="AE1908">
        <v>-10.811499999999899</v>
      </c>
      <c r="AF1908">
        <v>7.0826657878936299</v>
      </c>
      <c r="AG1908">
        <v>-1.1019701925759999</v>
      </c>
      <c r="AH1908">
        <v>10.905995768800199</v>
      </c>
      <c r="AI1908">
        <v>94.843709111330696</v>
      </c>
      <c r="AJ1908">
        <v>56.999152604932398</v>
      </c>
      <c r="AK1908">
        <v>13.050641236254</v>
      </c>
      <c r="AL1908">
        <v>96.477192987212106</v>
      </c>
      <c r="AM1908">
        <v>73.249924680842398</v>
      </c>
      <c r="AN1908">
        <v>0.99999994579282803</v>
      </c>
    </row>
    <row r="1909" spans="1:40" x14ac:dyDescent="0.25">
      <c r="A1909" t="str">
        <f>"20190305135620802"</f>
        <v>20190305135620802</v>
      </c>
      <c r="B1909" t="str">
        <f>"1551765380793993"</f>
        <v>1551765380793993</v>
      </c>
      <c r="C1909" t="s">
        <v>40</v>
      </c>
      <c r="D1909">
        <v>5.3263749999999996</v>
      </c>
      <c r="E1909">
        <v>0.62604569999999904</v>
      </c>
      <c r="F1909" t="s">
        <v>54</v>
      </c>
      <c r="G1909">
        <v>-498.16820000000001</v>
      </c>
      <c r="H1909" s="1">
        <v>3.5850369999999999E-6</v>
      </c>
      <c r="I1909">
        <v>225.71209999999999</v>
      </c>
      <c r="J1909">
        <v>-490.28379999999999</v>
      </c>
      <c r="K1909">
        <v>1.1019429999999999</v>
      </c>
      <c r="L1909">
        <v>236.77789999999999</v>
      </c>
      <c r="M1909">
        <v>-2.7997709999999999E-2</v>
      </c>
      <c r="N1909">
        <v>-1.398543E-2</v>
      </c>
      <c r="O1909">
        <v>-0.99951020000000002</v>
      </c>
      <c r="P1909">
        <v>-0.3249205</v>
      </c>
      <c r="Q1909">
        <v>-0.1208781</v>
      </c>
      <c r="R1909">
        <v>-0.9379845</v>
      </c>
      <c r="S1909">
        <v>-1.799561</v>
      </c>
      <c r="T1909">
        <v>-0.25126850000000001</v>
      </c>
      <c r="U1909">
        <v>-2.5568849999999999</v>
      </c>
      <c r="V1909">
        <v>0.29663800000000001</v>
      </c>
      <c r="W1909">
        <v>-0.11273370000000001</v>
      </c>
      <c r="X1909">
        <v>0.94831270000000001</v>
      </c>
      <c r="Y1909">
        <v>0.55081550000000001</v>
      </c>
      <c r="Z1909">
        <v>6.6927940000000005E-2</v>
      </c>
      <c r="AA1909">
        <v>0.83193919999999999</v>
      </c>
      <c r="AB1909">
        <v>30</v>
      </c>
      <c r="AC1909">
        <v>-7.8844000000000198</v>
      </c>
      <c r="AD1909">
        <v>-1.101939414963</v>
      </c>
      <c r="AE1909">
        <v>-11.0657999999999</v>
      </c>
      <c r="AF1909">
        <v>7.5219869935049397</v>
      </c>
      <c r="AG1909">
        <v>-1.101939414963</v>
      </c>
      <c r="AH1909">
        <v>11.208506373819899</v>
      </c>
      <c r="AI1909">
        <v>94.666929253492299</v>
      </c>
      <c r="AJ1909">
        <v>56.134584881080499</v>
      </c>
      <c r="AK1909">
        <v>13.543455022137699</v>
      </c>
      <c r="AL1909">
        <v>96.472925634003602</v>
      </c>
      <c r="AM1909">
        <v>72.629998709418203</v>
      </c>
      <c r="AN1909">
        <v>0.99999998357048903</v>
      </c>
    </row>
    <row r="1910" spans="1:40" x14ac:dyDescent="0.25">
      <c r="A1910" t="str">
        <f>"20190305135620815"</f>
        <v>20190305135620815</v>
      </c>
      <c r="B1910" t="str">
        <f>"1551765380803753"</f>
        <v>1551765380803753</v>
      </c>
      <c r="C1910" t="s">
        <v>40</v>
      </c>
      <c r="D1910">
        <v>4.8674720000000002</v>
      </c>
      <c r="E1910">
        <v>0.62604569999999904</v>
      </c>
      <c r="F1910" t="s">
        <v>66</v>
      </c>
      <c r="G1910">
        <v>-511.05880000000002</v>
      </c>
      <c r="H1910">
        <v>0.46999370000000001</v>
      </c>
      <c r="I1910">
        <v>209.36070000000001</v>
      </c>
      <c r="J1910">
        <v>-490.29239999999999</v>
      </c>
      <c r="K1910">
        <v>1.101912</v>
      </c>
      <c r="L1910">
        <v>236.62450000000001</v>
      </c>
      <c r="M1910">
        <v>-3.2526310000000003E-2</v>
      </c>
      <c r="N1910">
        <v>-1.4003710000000001E-2</v>
      </c>
      <c r="O1910">
        <v>-0.9993727</v>
      </c>
      <c r="P1910">
        <v>-0.33914630000000001</v>
      </c>
      <c r="Q1910">
        <v>-0.12122140000000001</v>
      </c>
      <c r="R1910">
        <v>-0.93289080000000002</v>
      </c>
      <c r="S1910">
        <v>-1.9151309999999999</v>
      </c>
      <c r="T1910">
        <v>-5.8249710000000003E-2</v>
      </c>
      <c r="U1910">
        <v>-2.5274200000000002</v>
      </c>
      <c r="V1910">
        <v>0.30671510000000002</v>
      </c>
      <c r="W1910">
        <v>-0.1132961</v>
      </c>
      <c r="X1910">
        <v>0.94503429999999999</v>
      </c>
      <c r="Y1910">
        <v>0.57757199999999997</v>
      </c>
      <c r="Z1910">
        <v>4.6962430000000001E-3</v>
      </c>
      <c r="AA1910">
        <v>0.8163262</v>
      </c>
      <c r="AB1910">
        <v>30</v>
      </c>
      <c r="AC1910">
        <v>-20.766400000000001</v>
      </c>
      <c r="AD1910">
        <v>-0.63191829999999904</v>
      </c>
      <c r="AE1910">
        <v>-27.2638</v>
      </c>
      <c r="AF1910">
        <v>19.861779564832499</v>
      </c>
      <c r="AG1910">
        <v>-0.63191829999999904</v>
      </c>
      <c r="AH1910">
        <v>27.915401439621899</v>
      </c>
      <c r="AI1910">
        <v>91.056682909740999</v>
      </c>
      <c r="AJ1910">
        <v>54.568187923770303</v>
      </c>
      <c r="AK1910">
        <v>34.266007146370598</v>
      </c>
      <c r="AL1910">
        <v>96.505356491858706</v>
      </c>
      <c r="AM1910">
        <v>72.018930054481402</v>
      </c>
      <c r="AN1910">
        <v>0.99999999350985402</v>
      </c>
    </row>
    <row r="1911" spans="1:40" x14ac:dyDescent="0.25">
      <c r="A1911" t="str">
        <f>"20190305135620828"</f>
        <v>20190305135620828</v>
      </c>
      <c r="B1911" t="str">
        <f>"1551765380824250"</f>
        <v>1551765380824250</v>
      </c>
      <c r="C1911" t="s">
        <v>40</v>
      </c>
      <c r="D1911">
        <v>5.303795</v>
      </c>
      <c r="E1911">
        <v>0.69740029999999997</v>
      </c>
      <c r="F1911" t="s">
        <v>66</v>
      </c>
      <c r="G1911">
        <v>-511.05880000000002</v>
      </c>
      <c r="H1911">
        <v>0.47648699999999999</v>
      </c>
      <c r="I1911">
        <v>210.06890000000001</v>
      </c>
      <c r="J1911">
        <v>-490.30290000000002</v>
      </c>
      <c r="K1911">
        <v>1.101877</v>
      </c>
      <c r="L1911">
        <v>236.45070000000001</v>
      </c>
      <c r="M1911">
        <v>-3.7660689999999997E-2</v>
      </c>
      <c r="N1911">
        <v>-1.4023020000000001E-2</v>
      </c>
      <c r="O1911">
        <v>-0.99919239999999998</v>
      </c>
      <c r="P1911">
        <v>-0.35376279999999999</v>
      </c>
      <c r="Q1911">
        <v>-0.1220053</v>
      </c>
      <c r="R1911">
        <v>-0.92734419999999995</v>
      </c>
      <c r="S1911">
        <v>-1.95343</v>
      </c>
      <c r="T1911">
        <v>-5.8825490000000001E-2</v>
      </c>
      <c r="U1911">
        <v>-2.497986</v>
      </c>
      <c r="V1911">
        <v>0.31665749999999998</v>
      </c>
      <c r="W1911">
        <v>-0.1142966</v>
      </c>
      <c r="X1911">
        <v>0.94162849999999998</v>
      </c>
      <c r="Y1911">
        <v>0.58577969999999902</v>
      </c>
      <c r="Z1911">
        <v>4.9194360000000001E-3</v>
      </c>
      <c r="AA1911">
        <v>0.81045540000000005</v>
      </c>
      <c r="AB1911">
        <v>30</v>
      </c>
      <c r="AC1911">
        <v>-20.7559</v>
      </c>
      <c r="AD1911">
        <v>-0.62539</v>
      </c>
      <c r="AE1911">
        <v>-26.381799999999998</v>
      </c>
      <c r="AF1911">
        <v>19.7406663191531</v>
      </c>
      <c r="AG1911">
        <v>-0.62539</v>
      </c>
      <c r="AH1911">
        <v>27.135420230702199</v>
      </c>
      <c r="AI1911">
        <v>91.067700105488996</v>
      </c>
      <c r="AJ1911">
        <v>53.964596472183501</v>
      </c>
      <c r="AK1911">
        <v>33.562122258180402</v>
      </c>
      <c r="AL1911">
        <v>96.563055961301401</v>
      </c>
      <c r="AM1911">
        <v>71.412872817566196</v>
      </c>
      <c r="AN1911">
        <v>0.99999995854502899</v>
      </c>
    </row>
    <row r="1912" spans="1:40" x14ac:dyDescent="0.25">
      <c r="A1912" t="str">
        <f>"20190305135620840"</f>
        <v>20190305135620840</v>
      </c>
      <c r="B1912" t="str">
        <f>"1551765380834009"</f>
        <v>1551765380834009</v>
      </c>
      <c r="C1912" t="s">
        <v>40</v>
      </c>
      <c r="D1912">
        <v>4.8621449999999999</v>
      </c>
      <c r="E1912">
        <v>0.69725499999999996</v>
      </c>
      <c r="F1912" t="s">
        <v>54</v>
      </c>
      <c r="G1912">
        <v>-503.99310000000003</v>
      </c>
      <c r="H1912">
        <v>8.0003050000000006E-2</v>
      </c>
      <c r="I1912">
        <v>224.30959999999999</v>
      </c>
      <c r="J1912">
        <v>-490.31349999999998</v>
      </c>
      <c r="K1912">
        <v>1.1018509999999999</v>
      </c>
      <c r="L1912">
        <v>236.29339999999999</v>
      </c>
      <c r="M1912">
        <v>-4.2311439999999999E-2</v>
      </c>
      <c r="N1912">
        <v>-1.403869E-2</v>
      </c>
      <c r="O1912">
        <v>-0.9990059</v>
      </c>
      <c r="P1912">
        <v>-0.36806319999999998</v>
      </c>
      <c r="Q1912">
        <v>-0.12341299999999999</v>
      </c>
      <c r="R1912">
        <v>-0.92157420000000001</v>
      </c>
      <c r="S1912">
        <v>-2.5310359999999998</v>
      </c>
      <c r="T1912">
        <v>-0.1889238</v>
      </c>
      <c r="U1912">
        <v>-2.244659</v>
      </c>
      <c r="V1912">
        <v>0.32678020000000002</v>
      </c>
      <c r="W1912">
        <v>-0.1159259</v>
      </c>
      <c r="X1912">
        <v>0.93796369999999896</v>
      </c>
      <c r="Y1912">
        <v>0.71845040000000004</v>
      </c>
      <c r="Z1912">
        <v>4.2956929999999997E-2</v>
      </c>
      <c r="AA1912">
        <v>0.69425049999999999</v>
      </c>
      <c r="AB1912">
        <v>30</v>
      </c>
      <c r="AC1912">
        <v>-13.679600000000001</v>
      </c>
      <c r="AD1912">
        <v>-1.0218479499999999</v>
      </c>
      <c r="AE1912">
        <v>-11.9838</v>
      </c>
      <c r="AF1912">
        <v>13.1188284699617</v>
      </c>
      <c r="AG1912">
        <v>-1.0218479499999999</v>
      </c>
      <c r="AH1912">
        <v>12.5124242166789</v>
      </c>
      <c r="AI1912">
        <v>93.226066205874702</v>
      </c>
      <c r="AJ1912">
        <v>43.644704400338398</v>
      </c>
      <c r="AK1912">
        <v>18.1578796514167</v>
      </c>
      <c r="AL1912">
        <v>96.657032359552005</v>
      </c>
      <c r="AM1912">
        <v>70.792009379600003</v>
      </c>
      <c r="AN1912">
        <v>1.00000000796026</v>
      </c>
    </row>
    <row r="1913" spans="1:40" x14ac:dyDescent="0.25">
      <c r="A1913" t="str">
        <f>"20190305135620860"</f>
        <v>20190305135620860</v>
      </c>
      <c r="B1913" t="str">
        <f>"1551765380854505"</f>
        <v>1551765380854505</v>
      </c>
      <c r="C1913" t="s">
        <v>40</v>
      </c>
      <c r="D1913">
        <v>4.8465109999999996</v>
      </c>
      <c r="E1913">
        <v>0.69367519999999905</v>
      </c>
      <c r="F1913" t="s">
        <v>43</v>
      </c>
      <c r="G1913">
        <v>-515.66859999999997</v>
      </c>
      <c r="H1913">
        <v>-0.05</v>
      </c>
      <c r="I1913">
        <v>214.3569</v>
      </c>
      <c r="J1913">
        <v>-490.33390000000003</v>
      </c>
      <c r="K1913">
        <v>1.101809</v>
      </c>
      <c r="L1913">
        <v>236.01419999999999</v>
      </c>
      <c r="M1913">
        <v>-5.0556049999999998E-2</v>
      </c>
      <c r="N1913">
        <v>-1.4064170000000001E-2</v>
      </c>
      <c r="O1913">
        <v>-0.99862220000000002</v>
      </c>
      <c r="P1913">
        <v>-0.39482349999999999</v>
      </c>
      <c r="Q1913">
        <v>-0.12660460000000001</v>
      </c>
      <c r="R1913">
        <v>-0.90999200000000002</v>
      </c>
      <c r="S1913">
        <v>-2.5619510000000001</v>
      </c>
      <c r="T1913">
        <v>-0.1163867</v>
      </c>
      <c r="U1913">
        <v>-2.2165219999999999</v>
      </c>
      <c r="V1913">
        <v>0.34628809999999999</v>
      </c>
      <c r="W1913">
        <v>-0.11955010000000001</v>
      </c>
      <c r="X1913">
        <v>0.93047959999999996</v>
      </c>
      <c r="Y1913">
        <v>0.72183529999999996</v>
      </c>
      <c r="Z1913">
        <v>2.129721E-2</v>
      </c>
      <c r="AA1913">
        <v>0.69173719999999905</v>
      </c>
      <c r="AB1913">
        <v>30</v>
      </c>
      <c r="AC1913">
        <v>-25.334699999999899</v>
      </c>
      <c r="AD1913">
        <v>-1.1518090000000001</v>
      </c>
      <c r="AE1913">
        <v>-21.6572999999999</v>
      </c>
      <c r="AF1913">
        <v>24.178405559205299</v>
      </c>
      <c r="AG1913">
        <v>-1.1518090000000001</v>
      </c>
      <c r="AH1913">
        <v>22.883220698966198</v>
      </c>
      <c r="AI1913">
        <v>91.981588865959296</v>
      </c>
      <c r="AJ1913">
        <v>43.423558529594501</v>
      </c>
      <c r="AK1913">
        <v>33.310114813904299</v>
      </c>
      <c r="AL1913">
        <v>96.866138428292203</v>
      </c>
      <c r="AM1913">
        <v>69.586702530756597</v>
      </c>
      <c r="AN1913">
        <v>0.99999998031388904</v>
      </c>
    </row>
    <row r="1914" spans="1:40" x14ac:dyDescent="0.25">
      <c r="A1914" t="str">
        <f>"20190305135620883"</f>
        <v>20190305135620883</v>
      </c>
      <c r="B1914" t="str">
        <f>"1551765380874534"</f>
        <v>1551765380874534</v>
      </c>
      <c r="C1914" t="s">
        <v>40</v>
      </c>
      <c r="D1914">
        <v>4.8686509999999998</v>
      </c>
      <c r="E1914">
        <v>0.68876729999999997</v>
      </c>
      <c r="F1914" t="s">
        <v>66</v>
      </c>
      <c r="G1914">
        <v>-522.5652</v>
      </c>
      <c r="H1914">
        <v>0.32145089999999998</v>
      </c>
      <c r="I1914">
        <v>209.2</v>
      </c>
      <c r="J1914">
        <v>-490.35890000000001</v>
      </c>
      <c r="K1914">
        <v>1.1017889999999999</v>
      </c>
      <c r="L1914">
        <v>235.70750000000001</v>
      </c>
      <c r="M1914">
        <v>-5.9610580000000003E-2</v>
      </c>
      <c r="N1914">
        <v>-1.408857E-2</v>
      </c>
      <c r="O1914">
        <v>-0.99812250000000002</v>
      </c>
      <c r="P1914">
        <v>-0.42103620000000003</v>
      </c>
      <c r="Q1914">
        <v>-0.12981529999999999</v>
      </c>
      <c r="R1914">
        <v>-0.89770629999999996</v>
      </c>
      <c r="S1914">
        <v>-2.5975649999999999</v>
      </c>
      <c r="T1914">
        <v>-6.2884809999999999E-2</v>
      </c>
      <c r="U1914">
        <v>-2.1609799999999999</v>
      </c>
      <c r="V1914">
        <v>0.36468630000000002</v>
      </c>
      <c r="W1914">
        <v>-0.1231724</v>
      </c>
      <c r="X1914">
        <v>0.92294770000000004</v>
      </c>
      <c r="Y1914">
        <v>0.72911510000000002</v>
      </c>
      <c r="Z1914">
        <v>5.3568380000000001E-3</v>
      </c>
      <c r="AA1914">
        <v>0.68437019999999904</v>
      </c>
      <c r="AB1914">
        <v>30</v>
      </c>
      <c r="AC1914">
        <v>-32.206299999999999</v>
      </c>
      <c r="AD1914">
        <v>-0.78033809999999904</v>
      </c>
      <c r="AE1914">
        <v>-26.5075</v>
      </c>
      <c r="AF1914">
        <v>30.558037801703101</v>
      </c>
      <c r="AG1914">
        <v>-0.78033809999999904</v>
      </c>
      <c r="AH1914">
        <v>28.370449865800602</v>
      </c>
      <c r="AI1914">
        <v>91.072124966660198</v>
      </c>
      <c r="AJ1914">
        <v>42.873998947120697</v>
      </c>
      <c r="AK1914">
        <v>41.704736270938596</v>
      </c>
      <c r="AL1914">
        <v>97.075226429153503</v>
      </c>
      <c r="AM1914">
        <v>68.439431143036302</v>
      </c>
      <c r="AN1914">
        <v>0.99999999723236999</v>
      </c>
    </row>
    <row r="1915" spans="1:40" x14ac:dyDescent="0.25">
      <c r="A1915" t="str">
        <f>"20190305135620896"</f>
        <v>20190305135620896</v>
      </c>
      <c r="B1915" t="str">
        <f>"1551765380884294"</f>
        <v>1551765380884294</v>
      </c>
      <c r="C1915" t="s">
        <v>40</v>
      </c>
      <c r="D1915">
        <v>4.8400410000000003</v>
      </c>
      <c r="E1915">
        <v>0.68641039999999998</v>
      </c>
      <c r="F1915" t="s">
        <v>66</v>
      </c>
      <c r="G1915">
        <v>-523.40099999999995</v>
      </c>
      <c r="H1915">
        <v>0.4303515</v>
      </c>
      <c r="I1915">
        <v>209.2</v>
      </c>
      <c r="J1915">
        <v>-490.37360000000001</v>
      </c>
      <c r="K1915">
        <v>1.101783</v>
      </c>
      <c r="L1915">
        <v>235.54130000000001</v>
      </c>
      <c r="M1915">
        <v>-6.4518569999999997E-2</v>
      </c>
      <c r="N1915">
        <v>-1.410046E-2</v>
      </c>
      <c r="O1915">
        <v>-0.99781679999999995</v>
      </c>
      <c r="P1915">
        <v>-0.4334094</v>
      </c>
      <c r="Q1915">
        <v>-0.13226479999999999</v>
      </c>
      <c r="R1915">
        <v>-0.89143819999999996</v>
      </c>
      <c r="S1915">
        <v>-2.6227109999999998</v>
      </c>
      <c r="T1915">
        <v>-5.3290129999999998E-2</v>
      </c>
      <c r="U1915">
        <v>-2.1040190000000001</v>
      </c>
      <c r="V1915">
        <v>0.37285780000000002</v>
      </c>
      <c r="W1915">
        <v>-0.12580759999999999</v>
      </c>
      <c r="X1915">
        <v>0.91932009999999997</v>
      </c>
      <c r="Y1915">
        <v>0.73789259999999901</v>
      </c>
      <c r="Z1915">
        <v>2.5956999999999998E-3</v>
      </c>
      <c r="AA1915">
        <v>0.67491319999999999</v>
      </c>
      <c r="AB1915">
        <v>30</v>
      </c>
      <c r="AC1915">
        <v>-33.027399999999901</v>
      </c>
      <c r="AD1915">
        <v>-0.67143149999999996</v>
      </c>
      <c r="AE1915">
        <v>-26.3413</v>
      </c>
      <c r="AF1915">
        <v>31.251007585443201</v>
      </c>
      <c r="AG1915">
        <v>-0.67143149999999996</v>
      </c>
      <c r="AH1915">
        <v>28.410323165210201</v>
      </c>
      <c r="AI1915">
        <v>90.910789673455795</v>
      </c>
      <c r="AJ1915">
        <v>42.274006478970101</v>
      </c>
      <c r="AK1915">
        <v>42.240061052468903</v>
      </c>
      <c r="AL1915">
        <v>97.227396269672994</v>
      </c>
      <c r="AM1915">
        <v>67.923511938936699</v>
      </c>
      <c r="AN1915">
        <v>0.99999996875130404</v>
      </c>
    </row>
    <row r="1916" spans="1:40" x14ac:dyDescent="0.25">
      <c r="A1916" t="str">
        <f>"20190305135620908"</f>
        <v>20190305135620908</v>
      </c>
      <c r="B1916" t="str">
        <f>"1551765380903814"</f>
        <v>1551765380903814</v>
      </c>
      <c r="C1916" t="s">
        <v>40</v>
      </c>
      <c r="D1916">
        <v>4.9547679999999996</v>
      </c>
      <c r="E1916">
        <v>0.68193510000000002</v>
      </c>
      <c r="F1916" t="s">
        <v>66</v>
      </c>
      <c r="G1916">
        <v>-523.81039999999996</v>
      </c>
      <c r="H1916">
        <v>0.3311057</v>
      </c>
      <c r="I1916">
        <v>209.2</v>
      </c>
      <c r="J1916">
        <v>-490.39030000000002</v>
      </c>
      <c r="K1916">
        <v>1.10178</v>
      </c>
      <c r="L1916">
        <v>235.3612</v>
      </c>
      <c r="M1916">
        <v>-6.9834499999999994E-2</v>
      </c>
      <c r="N1916">
        <v>-1.411258E-2</v>
      </c>
      <c r="O1916">
        <v>-0.99745890000000004</v>
      </c>
      <c r="P1916">
        <v>-0.44577250000000002</v>
      </c>
      <c r="Q1916">
        <v>-0.1346512</v>
      </c>
      <c r="R1916">
        <v>-0.884961</v>
      </c>
      <c r="S1916">
        <v>-2.6344910000000001</v>
      </c>
      <c r="T1916">
        <v>-6.071675E-2</v>
      </c>
      <c r="U1916">
        <v>-2.0754239999999999</v>
      </c>
      <c r="V1916">
        <v>0.3807043</v>
      </c>
      <c r="W1916">
        <v>-0.12837299999999999</v>
      </c>
      <c r="X1916">
        <v>0.91574259999999996</v>
      </c>
      <c r="Y1916">
        <v>0.74024749999999995</v>
      </c>
      <c r="Z1916">
        <v>4.97651E-3</v>
      </c>
      <c r="AA1916">
        <v>0.67231609999999997</v>
      </c>
      <c r="AB1916">
        <v>30</v>
      </c>
      <c r="AC1916">
        <v>-33.420099999999898</v>
      </c>
      <c r="AD1916">
        <v>-0.77067430000000003</v>
      </c>
      <c r="AE1916">
        <v>-26.161200000000001</v>
      </c>
      <c r="AF1916">
        <v>31.5009689105418</v>
      </c>
      <c r="AG1916">
        <v>-0.77067430000000003</v>
      </c>
      <c r="AH1916">
        <v>28.422053702124501</v>
      </c>
      <c r="AI1916">
        <v>91.040625632194804</v>
      </c>
      <c r="AJ1916">
        <v>42.058662206536603</v>
      </c>
      <c r="AK1916">
        <v>42.434869127005101</v>
      </c>
      <c r="AL1916">
        <v>97.3755846831978</v>
      </c>
      <c r="AM1916">
        <v>67.425738143433804</v>
      </c>
      <c r="AN1916">
        <v>0.99999995031112299</v>
      </c>
    </row>
    <row r="1917" spans="1:40" x14ac:dyDescent="0.25">
      <c r="A1917" t="str">
        <f>"20190305135620920"</f>
        <v>20190305135620920</v>
      </c>
      <c r="B1917" t="str">
        <f>"1551765380913573"</f>
        <v>1551765380913573</v>
      </c>
      <c r="C1917" t="s">
        <v>40</v>
      </c>
      <c r="D1917">
        <v>4.9466970000000003</v>
      </c>
      <c r="E1917">
        <v>0.68193510000000002</v>
      </c>
      <c r="F1917" t="s">
        <v>66</v>
      </c>
      <c r="G1917">
        <v>-523.91740000000004</v>
      </c>
      <c r="H1917">
        <v>0.14800450000000001</v>
      </c>
      <c r="I1917">
        <v>209.2</v>
      </c>
      <c r="J1917">
        <v>-490.40530000000001</v>
      </c>
      <c r="K1917">
        <v>1.10178</v>
      </c>
      <c r="L1917">
        <v>235.21129999999999</v>
      </c>
      <c r="M1917">
        <v>-7.4265410000000004E-2</v>
      </c>
      <c r="N1917">
        <v>-1.412183E-2</v>
      </c>
      <c r="O1917">
        <v>-0.99713859999999999</v>
      </c>
      <c r="P1917">
        <v>-0.45540269999999999</v>
      </c>
      <c r="Q1917">
        <v>-0.13708229999999999</v>
      </c>
      <c r="R1917">
        <v>-0.87966860000000002</v>
      </c>
      <c r="S1917">
        <v>-2.6312259999999998</v>
      </c>
      <c r="T1917">
        <v>-7.4847579999999997E-2</v>
      </c>
      <c r="U1917">
        <v>-2.053131</v>
      </c>
      <c r="V1917">
        <v>0.38659209999999999</v>
      </c>
      <c r="W1917">
        <v>-0.13094130000000001</v>
      </c>
      <c r="X1917">
        <v>0.91290800000000005</v>
      </c>
      <c r="Y1917">
        <v>0.74033859999999996</v>
      </c>
      <c r="Z1917">
        <v>9.480914E-3</v>
      </c>
      <c r="AA1917">
        <v>0.67216719999999996</v>
      </c>
      <c r="AB1917">
        <v>30</v>
      </c>
      <c r="AC1917">
        <v>-33.512099999999997</v>
      </c>
      <c r="AD1917">
        <v>-0.953775499999999</v>
      </c>
      <c r="AE1917">
        <v>-26.011299999999999</v>
      </c>
      <c r="AF1917">
        <v>31.471697567177198</v>
      </c>
      <c r="AG1917">
        <v>-0.953775499999999</v>
      </c>
      <c r="AH1917">
        <v>28.414130806537699</v>
      </c>
      <c r="AI1917">
        <v>91.288609057699603</v>
      </c>
      <c r="AJ1917">
        <v>42.077210250345203</v>
      </c>
      <c r="AK1917">
        <v>42.411558152882201</v>
      </c>
      <c r="AL1917">
        <v>97.523989467060304</v>
      </c>
      <c r="AM1917">
        <v>67.048642876427294</v>
      </c>
      <c r="AN1917">
        <v>1.0000000461460401</v>
      </c>
    </row>
    <row r="1918" spans="1:40" x14ac:dyDescent="0.25">
      <c r="A1918" t="str">
        <f>"20190305135620933"</f>
        <v>20190305135620933</v>
      </c>
      <c r="B1918" t="str">
        <f>"1551765380924310"</f>
        <v>1551765380924310</v>
      </c>
      <c r="C1918" t="s">
        <v>40</v>
      </c>
      <c r="D1918">
        <v>5.0493199999999998</v>
      </c>
      <c r="E1918">
        <v>0.64568009999999998</v>
      </c>
      <c r="F1918" t="s">
        <v>65</v>
      </c>
      <c r="G1918">
        <v>-511.9588</v>
      </c>
      <c r="H1918">
        <v>0.44244600000000001</v>
      </c>
      <c r="I1918">
        <v>218.77090000000001</v>
      </c>
      <c r="J1918">
        <v>-490.42270000000002</v>
      </c>
      <c r="K1918">
        <v>1.1017859999999999</v>
      </c>
      <c r="L1918">
        <v>235.0421</v>
      </c>
      <c r="M1918">
        <v>-7.9272049999999997E-2</v>
      </c>
      <c r="N1918">
        <v>-1.413201E-2</v>
      </c>
      <c r="O1918">
        <v>-0.996753</v>
      </c>
      <c r="P1918">
        <v>-0.46353759999999999</v>
      </c>
      <c r="Q1918">
        <v>-0.1382573</v>
      </c>
      <c r="R1918">
        <v>-0.87522440000000001</v>
      </c>
      <c r="S1918">
        <v>-2.6535340000000001</v>
      </c>
      <c r="T1918">
        <v>-8.1164959999999994E-2</v>
      </c>
      <c r="U1918">
        <v>-2.0240330000000002</v>
      </c>
      <c r="V1918">
        <v>0.39045089999999999</v>
      </c>
      <c r="W1918">
        <v>-0.13220419999999999</v>
      </c>
      <c r="X1918">
        <v>0.9110819</v>
      </c>
      <c r="Y1918">
        <v>0.74430929999999995</v>
      </c>
      <c r="Z1918">
        <v>1.1513000000000001E-2</v>
      </c>
      <c r="AA1918">
        <v>0.66773579999999999</v>
      </c>
      <c r="AB1918">
        <v>30</v>
      </c>
      <c r="AC1918">
        <v>-21.536099999999902</v>
      </c>
      <c r="AD1918">
        <v>-0.65934000000000004</v>
      </c>
      <c r="AE1918">
        <v>-16.271199999999901</v>
      </c>
      <c r="AF1918">
        <v>20.166299539393201</v>
      </c>
      <c r="AG1918">
        <v>-0.65934000000000004</v>
      </c>
      <c r="AH1918">
        <v>17.916674765609599</v>
      </c>
      <c r="AI1918">
        <v>91.400146000901699</v>
      </c>
      <c r="AJ1918">
        <v>41.619371335450502</v>
      </c>
      <c r="AK1918">
        <v>26.983728448914601</v>
      </c>
      <c r="AL1918">
        <v>97.5969829061643</v>
      </c>
      <c r="AM1918">
        <v>66.802088025615305</v>
      </c>
      <c r="AN1918">
        <v>1.00000004215802</v>
      </c>
    </row>
    <row r="1919" spans="1:40" x14ac:dyDescent="0.25">
      <c r="A1919" t="str">
        <f>"20190305135620948"</f>
        <v>20190305135620948</v>
      </c>
      <c r="B1919" t="str">
        <f>"1551765380943830"</f>
        <v>1551765380943830</v>
      </c>
      <c r="C1919" t="s">
        <v>40</v>
      </c>
      <c r="D1919">
        <v>3.5774530000000002</v>
      </c>
      <c r="E1919">
        <v>0.64411030000000002</v>
      </c>
      <c r="F1919" t="s">
        <v>54</v>
      </c>
      <c r="G1919">
        <v>-499.96820000000002</v>
      </c>
      <c r="H1919">
        <v>6.0451409999999997E-2</v>
      </c>
      <c r="I1919">
        <v>226.7372</v>
      </c>
      <c r="J1919">
        <v>-490.44540000000001</v>
      </c>
      <c r="K1919">
        <v>1.101809</v>
      </c>
      <c r="L1919">
        <v>234.8339</v>
      </c>
      <c r="M1919">
        <v>-8.5443060000000001E-2</v>
      </c>
      <c r="N1919">
        <v>-1.4143879999999999E-2</v>
      </c>
      <c r="O1919">
        <v>-0.99624279999999998</v>
      </c>
      <c r="P1919">
        <v>-0.47262539999999997</v>
      </c>
      <c r="Q1919">
        <v>-0.13713029999999901</v>
      </c>
      <c r="R1919">
        <v>-0.87052890000000005</v>
      </c>
      <c r="S1919">
        <v>-2.4191889999999998</v>
      </c>
      <c r="T1919">
        <v>-0.26391350000000002</v>
      </c>
      <c r="U1919">
        <v>-2.104752</v>
      </c>
      <c r="V1919">
        <v>0.39428489999999999</v>
      </c>
      <c r="W1919">
        <v>-0.1311618</v>
      </c>
      <c r="X1919">
        <v>0.9095801</v>
      </c>
      <c r="Y1919">
        <v>0.6933262</v>
      </c>
      <c r="Z1919">
        <v>7.1000740000000007E-2</v>
      </c>
      <c r="AA1919">
        <v>0.71711759999999902</v>
      </c>
      <c r="AB1919">
        <v>30</v>
      </c>
      <c r="AC1919">
        <v>-9.5228000000000108</v>
      </c>
      <c r="AD1919">
        <v>-1.0413575900000001</v>
      </c>
      <c r="AE1919">
        <v>-8.0966999999999896</v>
      </c>
      <c r="AF1919">
        <v>8.7354620277438801</v>
      </c>
      <c r="AG1919">
        <v>-1.0413575900000001</v>
      </c>
      <c r="AH1919">
        <v>8.8196085891741003</v>
      </c>
      <c r="AI1919">
        <v>94.795283268331005</v>
      </c>
      <c r="AJ1919">
        <v>45.274633239164601</v>
      </c>
      <c r="AK1919">
        <v>12.4570549543075</v>
      </c>
      <c r="AL1919">
        <v>97.536733599818405</v>
      </c>
      <c r="AM1919">
        <v>66.564226422818805</v>
      </c>
      <c r="AN1919">
        <v>0.99999997923162898</v>
      </c>
    </row>
    <row r="1920" spans="1:40" x14ac:dyDescent="0.25">
      <c r="A1920" t="str">
        <f>"20190305135620962"</f>
        <v>20190305135620962</v>
      </c>
      <c r="B1920" t="str">
        <f>"1551765380953745"</f>
        <v>1551765380953745</v>
      </c>
      <c r="C1920" t="s">
        <v>40</v>
      </c>
      <c r="D1920">
        <v>4.9651319999999997</v>
      </c>
      <c r="E1920">
        <v>0.64282079999999997</v>
      </c>
      <c r="F1920" t="s">
        <v>54</v>
      </c>
      <c r="G1920">
        <v>-503.72379999999998</v>
      </c>
      <c r="H1920">
        <v>8.000322E-2</v>
      </c>
      <c r="I1920">
        <v>223.35919999999999</v>
      </c>
      <c r="J1920">
        <v>-490.46629999999999</v>
      </c>
      <c r="K1920">
        <v>1.101817</v>
      </c>
      <c r="L1920">
        <v>234.65440000000001</v>
      </c>
      <c r="M1920">
        <v>-9.0776930000000006E-2</v>
      </c>
      <c r="N1920">
        <v>-1.415362E-2</v>
      </c>
      <c r="O1920">
        <v>-0.99577079999999996</v>
      </c>
      <c r="P1920">
        <v>-0.4758405</v>
      </c>
      <c r="Q1920">
        <v>-0.13534570000000001</v>
      </c>
      <c r="R1920">
        <v>-0.86905540000000003</v>
      </c>
      <c r="S1920">
        <v>-2.4282530000000002</v>
      </c>
      <c r="T1920">
        <v>-0.1868609</v>
      </c>
      <c r="U1920">
        <v>-2.0984039999999999</v>
      </c>
      <c r="V1920">
        <v>0.39278299999999999</v>
      </c>
      <c r="W1920">
        <v>-0.12933639999999999</v>
      </c>
      <c r="X1920">
        <v>0.91049089999999999</v>
      </c>
      <c r="Y1920">
        <v>0.69305169999999905</v>
      </c>
      <c r="Z1920">
        <v>4.645962E-2</v>
      </c>
      <c r="AA1920">
        <v>0.71938930000000001</v>
      </c>
      <c r="AB1920">
        <v>30</v>
      </c>
      <c r="AC1920">
        <v>-13.257499999999901</v>
      </c>
      <c r="AD1920">
        <v>-1.02181378</v>
      </c>
      <c r="AE1920">
        <v>-11.295199999999999</v>
      </c>
      <c r="AF1920">
        <v>12.1355355694831</v>
      </c>
      <c r="AG1920">
        <v>-1.02181378</v>
      </c>
      <c r="AH1920">
        <v>12.4094379827035</v>
      </c>
      <c r="AI1920">
        <v>93.3691381108912</v>
      </c>
      <c r="AJ1920">
        <v>45.6393488616798</v>
      </c>
      <c r="AK1920">
        <v>17.387049146009598</v>
      </c>
      <c r="AL1920">
        <v>97.431246848935302</v>
      </c>
      <c r="AM1920">
        <v>66.664779856477196</v>
      </c>
      <c r="AN1920">
        <v>1.0000000342183799</v>
      </c>
    </row>
    <row r="1921" spans="1:40" x14ac:dyDescent="0.25">
      <c r="A1921" t="str">
        <f>"20190305135620977"</f>
        <v>20190305135620977</v>
      </c>
      <c r="B1921" t="str">
        <f>"1551765380973919"</f>
        <v>1551765380973919</v>
      </c>
      <c r="C1921" t="s">
        <v>40</v>
      </c>
      <c r="D1921">
        <v>4.9534399999999996</v>
      </c>
      <c r="E1921">
        <v>0.64047129999999997</v>
      </c>
      <c r="F1921" t="s">
        <v>43</v>
      </c>
      <c r="G1921">
        <v>-508.6463</v>
      </c>
      <c r="H1921">
        <v>-0.05</v>
      </c>
      <c r="I1921">
        <v>218.9188</v>
      </c>
      <c r="J1921">
        <v>-490.48919999999998</v>
      </c>
      <c r="K1921">
        <v>1.1018319999999999</v>
      </c>
      <c r="L1921">
        <v>234.46510000000001</v>
      </c>
      <c r="M1921">
        <v>-9.6411499999999997E-2</v>
      </c>
      <c r="N1921">
        <v>-1.416331E-2</v>
      </c>
      <c r="O1921">
        <v>-0.99524100000000004</v>
      </c>
      <c r="P1921">
        <v>-0.47606739999999997</v>
      </c>
      <c r="Q1921">
        <v>-0.13503309999999999</v>
      </c>
      <c r="R1921">
        <v>-0.86898030000000004</v>
      </c>
      <c r="S1921">
        <v>-2.4259949999999999</v>
      </c>
      <c r="T1921">
        <v>-0.15370229999999999</v>
      </c>
      <c r="U1921">
        <v>-2.0998079999999999</v>
      </c>
      <c r="V1921">
        <v>0.38787129999999997</v>
      </c>
      <c r="W1921">
        <v>-0.1289052</v>
      </c>
      <c r="X1921">
        <v>0.91265510000000005</v>
      </c>
      <c r="Y1921">
        <v>0.68875980000000003</v>
      </c>
      <c r="Z1921">
        <v>3.5933369999999999E-2</v>
      </c>
      <c r="AA1921">
        <v>0.72409860000000004</v>
      </c>
      <c r="AB1921">
        <v>30</v>
      </c>
      <c r="AC1921">
        <v>-18.1571</v>
      </c>
      <c r="AD1921">
        <v>-1.151832</v>
      </c>
      <c r="AE1921">
        <v>-15.5463</v>
      </c>
      <c r="AF1921">
        <v>16.535112575882199</v>
      </c>
      <c r="AG1921">
        <v>-1.151832</v>
      </c>
      <c r="AH1921">
        <v>17.184689571774499</v>
      </c>
      <c r="AI1921">
        <v>92.765182614929699</v>
      </c>
      <c r="AJ1921">
        <v>46.103607231239799</v>
      </c>
      <c r="AK1921">
        <v>23.8757245027575</v>
      </c>
      <c r="AL1921">
        <v>97.406332499390302</v>
      </c>
      <c r="AM1921">
        <v>66.974886462523799</v>
      </c>
      <c r="AN1921">
        <v>1.00000001375337</v>
      </c>
    </row>
    <row r="1922" spans="1:40" x14ac:dyDescent="0.25">
      <c r="A1922" t="str">
        <f>"20190305135620988"</f>
        <v>20190305135620988</v>
      </c>
      <c r="B1922" t="str">
        <f>"1551765380983517"</f>
        <v>1551765380983517</v>
      </c>
      <c r="C1922" t="s">
        <v>40</v>
      </c>
      <c r="D1922">
        <v>4.962256</v>
      </c>
      <c r="E1922">
        <v>0.63900690000000004</v>
      </c>
      <c r="F1922" t="s">
        <v>43</v>
      </c>
      <c r="G1922">
        <v>-513.16030000000001</v>
      </c>
      <c r="H1922">
        <v>-0.05</v>
      </c>
      <c r="I1922">
        <v>214.57740000000001</v>
      </c>
      <c r="J1922">
        <v>-490.51029999999997</v>
      </c>
      <c r="K1922">
        <v>1.10185</v>
      </c>
      <c r="L1922">
        <v>234.29669999999999</v>
      </c>
      <c r="M1922">
        <v>-0.1014273</v>
      </c>
      <c r="N1922">
        <v>-1.4171400000000001E-2</v>
      </c>
      <c r="O1922">
        <v>-0.99474200000000002</v>
      </c>
      <c r="P1922">
        <v>-0.47638839999999999</v>
      </c>
      <c r="Q1922">
        <v>-0.13606509999999999</v>
      </c>
      <c r="R1922">
        <v>-0.8686429</v>
      </c>
      <c r="S1922">
        <v>-2.4092099999999999</v>
      </c>
      <c r="T1922">
        <v>-0.1224025</v>
      </c>
      <c r="U1922">
        <v>-2.1134189999999999</v>
      </c>
      <c r="V1922">
        <v>0.38361000000000001</v>
      </c>
      <c r="W1922">
        <v>-0.12983699999999901</v>
      </c>
      <c r="X1922">
        <v>0.91432259999999999</v>
      </c>
      <c r="Y1922">
        <v>0.68052419999999902</v>
      </c>
      <c r="Z1922">
        <v>2.5965309999999998E-2</v>
      </c>
      <c r="AA1922">
        <v>0.73226539999999996</v>
      </c>
      <c r="AB1922">
        <v>30</v>
      </c>
      <c r="AC1922">
        <v>-22.65</v>
      </c>
      <c r="AD1922">
        <v>-1.15185</v>
      </c>
      <c r="AE1922">
        <v>-19.719299999999901</v>
      </c>
      <c r="AF1922">
        <v>20.502731271716499</v>
      </c>
      <c r="AG1922">
        <v>-1.15185</v>
      </c>
      <c r="AH1922">
        <v>21.882952954735199</v>
      </c>
      <c r="AI1922">
        <v>92.199737036457705</v>
      </c>
      <c r="AJ1922">
        <v>46.8650859284012</v>
      </c>
      <c r="AK1922">
        <v>30.009204888531698</v>
      </c>
      <c r="AL1922">
        <v>97.460172916518701</v>
      </c>
      <c r="AM1922">
        <v>67.239197524975793</v>
      </c>
      <c r="AN1922">
        <v>1.0000000477698701</v>
      </c>
    </row>
    <row r="1923" spans="1:40" x14ac:dyDescent="0.25">
      <c r="A1923" t="str">
        <f>"20190305135621003"</f>
        <v>20190305135621003</v>
      </c>
      <c r="B1923" t="str">
        <f>"1551765380993652"</f>
        <v>1551765380993652</v>
      </c>
      <c r="C1923" t="s">
        <v>40</v>
      </c>
      <c r="D1923">
        <v>4.95181</v>
      </c>
      <c r="E1923">
        <v>0.63766509999999998</v>
      </c>
      <c r="F1923" t="s">
        <v>43</v>
      </c>
      <c r="G1923">
        <v>-511.46629999999999</v>
      </c>
      <c r="H1923">
        <v>-0.05</v>
      </c>
      <c r="I1923">
        <v>215.80959999999999</v>
      </c>
      <c r="J1923">
        <v>-490.53640000000001</v>
      </c>
      <c r="K1923">
        <v>1.1018870000000001</v>
      </c>
      <c r="L1923">
        <v>234.1003</v>
      </c>
      <c r="M1923">
        <v>-0.10727730000000001</v>
      </c>
      <c r="N1923">
        <v>-1.4178990000000001E-2</v>
      </c>
      <c r="O1923">
        <v>-0.99412809999999996</v>
      </c>
      <c r="P1923">
        <v>-0.46447569999999999</v>
      </c>
      <c r="Q1923">
        <v>-0.1410583</v>
      </c>
      <c r="R1923">
        <v>-0.8742799</v>
      </c>
      <c r="S1923">
        <v>-2.399689</v>
      </c>
      <c r="T1923">
        <v>-0.1318994</v>
      </c>
      <c r="U1923">
        <v>-2.1169739999999999</v>
      </c>
      <c r="V1923">
        <v>0.3657049</v>
      </c>
      <c r="W1923">
        <v>-0.13441520000000001</v>
      </c>
      <c r="X1923">
        <v>0.92097370000000001</v>
      </c>
      <c r="Y1923">
        <v>0.67406730000000004</v>
      </c>
      <c r="Z1923">
        <v>2.9163060000000001E-2</v>
      </c>
      <c r="AA1923">
        <v>0.73809399999999903</v>
      </c>
      <c r="AB1923">
        <v>30</v>
      </c>
      <c r="AC1923">
        <v>-20.9298999999999</v>
      </c>
      <c r="AD1923">
        <v>-1.1518870000000001</v>
      </c>
      <c r="AE1923">
        <v>-18.290700000000001</v>
      </c>
      <c r="AF1923">
        <v>18.814407122777101</v>
      </c>
      <c r="AG1923">
        <v>-1.1518870000000001</v>
      </c>
      <c r="AH1923">
        <v>20.3956279174778</v>
      </c>
      <c r="AI1923">
        <v>92.377103790713505</v>
      </c>
      <c r="AJ1923">
        <v>47.309312249877202</v>
      </c>
      <c r="AK1923">
        <v>27.772115461206301</v>
      </c>
      <c r="AL1923">
        <v>97.724804812579094</v>
      </c>
      <c r="AM1923">
        <v>68.342712287953802</v>
      </c>
      <c r="AN1923">
        <v>1.00000003798336</v>
      </c>
    </row>
    <row r="1924" spans="1:40" x14ac:dyDescent="0.25">
      <c r="A1924" t="str">
        <f>"20190305135621015"</f>
        <v>20190305135621015</v>
      </c>
      <c r="B1924" t="str">
        <f>"1551765381003706"</f>
        <v>1551765381003706</v>
      </c>
      <c r="C1924" t="s">
        <v>40</v>
      </c>
      <c r="D1924">
        <v>4.9368470000000002</v>
      </c>
      <c r="E1924">
        <v>0.63661630000000002</v>
      </c>
      <c r="F1924" t="s">
        <v>43</v>
      </c>
      <c r="G1924">
        <v>-508.4169</v>
      </c>
      <c r="H1924">
        <v>-0.05</v>
      </c>
      <c r="I1924">
        <v>217.7962</v>
      </c>
      <c r="J1924">
        <v>-490.55759999999998</v>
      </c>
      <c r="K1924">
        <v>1.1019129999999999</v>
      </c>
      <c r="L1924">
        <v>233.9453</v>
      </c>
      <c r="M1924">
        <v>-0.1118745</v>
      </c>
      <c r="N1924">
        <v>-1.4183629999999999E-2</v>
      </c>
      <c r="O1924">
        <v>-0.99362110000000003</v>
      </c>
      <c r="P1924">
        <v>-0.45986559999999999</v>
      </c>
      <c r="Q1924">
        <v>-0.1441838</v>
      </c>
      <c r="R1924">
        <v>-0.87620469999999895</v>
      </c>
      <c r="S1924">
        <v>-2.3608090000000002</v>
      </c>
      <c r="T1924">
        <v>-0.1520859</v>
      </c>
      <c r="U1924">
        <v>-2.1526640000000001</v>
      </c>
      <c r="V1924">
        <v>0.35660570000000003</v>
      </c>
      <c r="W1924">
        <v>-0.1373219</v>
      </c>
      <c r="X1924">
        <v>0.92410769999999998</v>
      </c>
      <c r="Y1924">
        <v>0.65820380000000001</v>
      </c>
      <c r="Z1924">
        <v>3.5765449999999997E-2</v>
      </c>
      <c r="AA1924">
        <v>0.75198969999999998</v>
      </c>
      <c r="AB1924">
        <v>30</v>
      </c>
      <c r="AC1924">
        <v>-17.859300000000001</v>
      </c>
      <c r="AD1924">
        <v>-1.151913</v>
      </c>
      <c r="AE1924">
        <v>-16.149100000000001</v>
      </c>
      <c r="AF1924">
        <v>15.9039083313488</v>
      </c>
      <c r="AG1924">
        <v>-1.151913</v>
      </c>
      <c r="AH1924">
        <v>18.0046939194321</v>
      </c>
      <c r="AI1924">
        <v>92.745257032878996</v>
      </c>
      <c r="AJ1924">
        <v>48.545191822306997</v>
      </c>
      <c r="AK1924">
        <v>24.050576020211</v>
      </c>
      <c r="AL1924">
        <v>97.892905747076298</v>
      </c>
      <c r="AM1924">
        <v>68.898801130434506</v>
      </c>
      <c r="AN1924">
        <v>0.99999998534569401</v>
      </c>
    </row>
    <row r="1925" spans="1:40" x14ac:dyDescent="0.25">
      <c r="A1925" t="str">
        <f>"20190305135621025"</f>
        <v>20190305135621025</v>
      </c>
      <c r="B1925" t="str">
        <f>"1551765381014443"</f>
        <v>1551765381014443</v>
      </c>
      <c r="C1925" t="s">
        <v>40</v>
      </c>
      <c r="D1925">
        <v>4.9141629999999896</v>
      </c>
      <c r="E1925">
        <v>0.635629</v>
      </c>
      <c r="F1925" t="s">
        <v>54</v>
      </c>
      <c r="G1925">
        <v>-504.84039999999999</v>
      </c>
      <c r="H1925">
        <v>8.0003850000000001E-2</v>
      </c>
      <c r="I1925">
        <v>220.7355</v>
      </c>
      <c r="J1925">
        <v>-490.57749999999999</v>
      </c>
      <c r="K1925">
        <v>1.101939</v>
      </c>
      <c r="L1925">
        <v>233.8048</v>
      </c>
      <c r="M1925">
        <v>-0.1160216</v>
      </c>
      <c r="N1925">
        <v>-1.418677E-2</v>
      </c>
      <c r="O1925">
        <v>-0.99314550000000001</v>
      </c>
      <c r="P1925">
        <v>-0.45080969999999998</v>
      </c>
      <c r="Q1925">
        <v>-0.1478911</v>
      </c>
      <c r="R1925">
        <v>-0.880283499999999</v>
      </c>
      <c r="S1925">
        <v>-2.3427120000000001</v>
      </c>
      <c r="T1925">
        <v>-0.16761679999999901</v>
      </c>
      <c r="U1925">
        <v>-2.1667179999999999</v>
      </c>
      <c r="V1925">
        <v>0.34323150000000002</v>
      </c>
      <c r="W1925">
        <v>-0.1407098</v>
      </c>
      <c r="X1925">
        <v>0.92865109999999995</v>
      </c>
      <c r="Y1925">
        <v>0.64954389999999995</v>
      </c>
      <c r="Z1925">
        <v>4.0882500000000002E-2</v>
      </c>
      <c r="AA1925">
        <v>0.75922419999999902</v>
      </c>
      <c r="AB1925">
        <v>30</v>
      </c>
      <c r="AC1925">
        <v>-14.2629</v>
      </c>
      <c r="AD1925">
        <v>-1.02193515</v>
      </c>
      <c r="AE1925">
        <v>-13.069299999999901</v>
      </c>
      <c r="AF1925">
        <v>12.614881990139899</v>
      </c>
      <c r="AG1925">
        <v>-1.02193515</v>
      </c>
      <c r="AH1925">
        <v>14.595262214346899</v>
      </c>
      <c r="AI1925">
        <v>93.032334929153606</v>
      </c>
      <c r="AJ1925">
        <v>49.1627017478339</v>
      </c>
      <c r="AK1925">
        <v>19.318418107637701</v>
      </c>
      <c r="AL1925">
        <v>98.088921482664603</v>
      </c>
      <c r="AM1925">
        <v>69.715576047269806</v>
      </c>
      <c r="AN1925">
        <v>0.99999998796974898</v>
      </c>
    </row>
    <row r="1926" spans="1:40" x14ac:dyDescent="0.25">
      <c r="A1926" t="str">
        <f>"20190305135621036"</f>
        <v>20190305135621036</v>
      </c>
      <c r="B1926" t="str">
        <f>"1551765381033962"</f>
        <v>1551765381033962</v>
      </c>
      <c r="C1926" t="s">
        <v>40</v>
      </c>
      <c r="D1926">
        <v>4.8536530000000004</v>
      </c>
      <c r="E1926">
        <v>0.63447699999999996</v>
      </c>
      <c r="F1926" t="s">
        <v>54</v>
      </c>
      <c r="G1926">
        <v>-503.11900000000003</v>
      </c>
      <c r="H1926">
        <v>8.0003409999999997E-2</v>
      </c>
      <c r="I1926">
        <v>221.93010000000001</v>
      </c>
      <c r="J1926">
        <v>-490.59910000000002</v>
      </c>
      <c r="K1926">
        <v>1.101985</v>
      </c>
      <c r="L1926">
        <v>233.6574</v>
      </c>
      <c r="M1926">
        <v>-0.1203181</v>
      </c>
      <c r="N1926">
        <v>-1.418677E-2</v>
      </c>
      <c r="O1926">
        <v>-0.99263420000000002</v>
      </c>
      <c r="P1926">
        <v>-0.44284079999999898</v>
      </c>
      <c r="Q1926">
        <v>-0.15103839999999999</v>
      </c>
      <c r="R1926">
        <v>-0.883787199999999</v>
      </c>
      <c r="S1926">
        <v>-2.3142399999999999</v>
      </c>
      <c r="T1926">
        <v>-0.1885742</v>
      </c>
      <c r="U1926">
        <v>-2.191208</v>
      </c>
      <c r="V1926">
        <v>0.3308507</v>
      </c>
      <c r="W1926">
        <v>-0.1435467</v>
      </c>
      <c r="X1926">
        <v>0.93270149999999996</v>
      </c>
      <c r="Y1926">
        <v>0.63704669999999997</v>
      </c>
      <c r="Z1926">
        <v>4.775041E-2</v>
      </c>
      <c r="AA1926">
        <v>0.7693449</v>
      </c>
      <c r="AB1926">
        <v>30</v>
      </c>
      <c r="AC1926">
        <v>-12.5199</v>
      </c>
      <c r="AD1926">
        <v>-1.02198159</v>
      </c>
      <c r="AE1926">
        <v>-11.7272999999999</v>
      </c>
      <c r="AF1926">
        <v>10.9788153648002</v>
      </c>
      <c r="AG1926">
        <v>-1.02198159</v>
      </c>
      <c r="AH1926">
        <v>13.1021086151875</v>
      </c>
      <c r="AI1926">
        <v>93.421442275561304</v>
      </c>
      <c r="AJ1926">
        <v>50.038923457700498</v>
      </c>
      <c r="AK1926">
        <v>17.124371035131301</v>
      </c>
      <c r="AL1926">
        <v>98.253131149496795</v>
      </c>
      <c r="AM1926">
        <v>70.469232147830098</v>
      </c>
      <c r="AN1926">
        <v>0.99999996443681405</v>
      </c>
    </row>
    <row r="1927" spans="1:40" x14ac:dyDescent="0.25">
      <c r="A1927" t="str">
        <f>"20190305135621048"</f>
        <v>20190305135621048</v>
      </c>
      <c r="B1927" t="str">
        <f>"1551765381043722"</f>
        <v>1551765381043722</v>
      </c>
      <c r="C1927" t="s">
        <v>40</v>
      </c>
      <c r="D1927">
        <v>4.8173170000000001</v>
      </c>
      <c r="E1927">
        <v>0.63422599999999996</v>
      </c>
      <c r="F1927" t="s">
        <v>54</v>
      </c>
      <c r="G1927">
        <v>-501.79180000000002</v>
      </c>
      <c r="H1927">
        <v>8.0003080000000004E-2</v>
      </c>
      <c r="I1927">
        <v>222.82839999999999</v>
      </c>
      <c r="J1927">
        <v>-490.62189999999998</v>
      </c>
      <c r="K1927">
        <v>1.102047</v>
      </c>
      <c r="L1927">
        <v>233.50360000000001</v>
      </c>
      <c r="M1927">
        <v>-0.12477190000000001</v>
      </c>
      <c r="N1927">
        <v>-1.418545E-2</v>
      </c>
      <c r="O1927">
        <v>-0.99208410000000002</v>
      </c>
      <c r="P1927">
        <v>-0.43250769999999999</v>
      </c>
      <c r="Q1927">
        <v>-0.15506500000000001</v>
      </c>
      <c r="R1927">
        <v>-0.88819609999999904</v>
      </c>
      <c r="S1927">
        <v>-2.2871090000000001</v>
      </c>
      <c r="T1927">
        <v>-0.20883109999999999</v>
      </c>
      <c r="U1927">
        <v>-2.212799</v>
      </c>
      <c r="V1927">
        <v>0.3158242</v>
      </c>
      <c r="W1927">
        <v>-0.14720269999999999</v>
      </c>
      <c r="X1927">
        <v>0.93732939999999998</v>
      </c>
      <c r="Y1927">
        <v>0.62495649999999903</v>
      </c>
      <c r="Z1927">
        <v>5.4416409999999998E-2</v>
      </c>
      <c r="AA1927">
        <v>0.77876069999999997</v>
      </c>
      <c r="AB1927">
        <v>30</v>
      </c>
      <c r="AC1927">
        <v>-11.1699</v>
      </c>
      <c r="AD1927">
        <v>-1.02204392</v>
      </c>
      <c r="AE1927">
        <v>-10.6752</v>
      </c>
      <c r="AF1927">
        <v>9.7080172445774</v>
      </c>
      <c r="AG1927">
        <v>-1.02204392</v>
      </c>
      <c r="AH1927">
        <v>11.933375342003099</v>
      </c>
      <c r="AI1927">
        <v>93.801020454784606</v>
      </c>
      <c r="AJ1927">
        <v>50.871020479654803</v>
      </c>
      <c r="AK1927">
        <v>15.4173804405466</v>
      </c>
      <c r="AL1927">
        <v>98.464853702880305</v>
      </c>
      <c r="AM1927">
        <v>71.379247030538593</v>
      </c>
      <c r="AN1927">
        <v>0.99999998214864405</v>
      </c>
    </row>
    <row r="1928" spans="1:40" x14ac:dyDescent="0.25">
      <c r="A1928" t="str">
        <f>"20190305135621062"</f>
        <v>20190305135621062</v>
      </c>
      <c r="B1928" t="str">
        <f>"1551765381053483"</f>
        <v>1551765381053483</v>
      </c>
      <c r="C1928" t="s">
        <v>40</v>
      </c>
      <c r="D1928">
        <v>4.7480580000000003</v>
      </c>
      <c r="E1928">
        <v>0.63444849999999997</v>
      </c>
      <c r="F1928" t="s">
        <v>54</v>
      </c>
      <c r="G1928">
        <v>-500.9665</v>
      </c>
      <c r="H1928">
        <v>8.0002870000000004E-2</v>
      </c>
      <c r="I1928">
        <v>223.25810000000001</v>
      </c>
      <c r="J1928">
        <v>-490.64870000000002</v>
      </c>
      <c r="K1928">
        <v>1.1021780000000001</v>
      </c>
      <c r="L1928">
        <v>233.33109999999999</v>
      </c>
      <c r="M1928">
        <v>-0.1296011</v>
      </c>
      <c r="N1928">
        <v>-1.4177169999999999E-2</v>
      </c>
      <c r="O1928">
        <v>-0.99146500000000004</v>
      </c>
      <c r="P1928">
        <v>-0.42189769999999999</v>
      </c>
      <c r="Q1928">
        <v>-0.15822130000000001</v>
      </c>
      <c r="R1928">
        <v>-0.89273089999999999</v>
      </c>
      <c r="S1928">
        <v>-2.259827</v>
      </c>
      <c r="T1928">
        <v>-0.2232721</v>
      </c>
      <c r="U1928">
        <v>-2.2382049999999998</v>
      </c>
      <c r="V1928">
        <v>0.3001547</v>
      </c>
      <c r="W1928">
        <v>-0.14993819999999999</v>
      </c>
      <c r="X1928">
        <v>0.9420328</v>
      </c>
      <c r="Y1928">
        <v>0.61176030000000003</v>
      </c>
      <c r="Z1928">
        <v>5.9142920000000002E-2</v>
      </c>
      <c r="AA1928">
        <v>0.78882919999999901</v>
      </c>
      <c r="AB1928">
        <v>30</v>
      </c>
      <c r="AC1928">
        <v>-10.317799999999901</v>
      </c>
      <c r="AD1928">
        <v>-1.0221751299999999</v>
      </c>
      <c r="AE1928">
        <v>-10.072999999999899</v>
      </c>
      <c r="AF1928">
        <v>8.8805353501332895</v>
      </c>
      <c r="AG1928">
        <v>-1.0221751299999999</v>
      </c>
      <c r="AH1928">
        <v>11.2687346380681</v>
      </c>
      <c r="AI1928">
        <v>94.075126814763493</v>
      </c>
      <c r="AJ1928">
        <v>51.759467148804298</v>
      </c>
      <c r="AK1928">
        <v>14.3837801166645</v>
      </c>
      <c r="AL1928">
        <v>98.623344724573599</v>
      </c>
      <c r="AM1928">
        <v>72.326848333488698</v>
      </c>
      <c r="AN1928">
        <v>1.0000000520135801</v>
      </c>
    </row>
    <row r="1929" spans="1:40" x14ac:dyDescent="0.25">
      <c r="A1929" t="str">
        <f>"20190305135621073"</f>
        <v>20190305135621073</v>
      </c>
      <c r="B1929" t="str">
        <f>"1551765381064218"</f>
        <v>1551765381064218</v>
      </c>
      <c r="C1929" t="s">
        <v>40</v>
      </c>
      <c r="D1929">
        <v>4.7471759999999996</v>
      </c>
      <c r="E1929">
        <v>0.63503880000000001</v>
      </c>
      <c r="F1929" t="s">
        <v>54</v>
      </c>
      <c r="G1929">
        <v>-500.46969999999999</v>
      </c>
      <c r="H1929">
        <v>8.0002779999999996E-2</v>
      </c>
      <c r="I1929">
        <v>223.3896</v>
      </c>
      <c r="J1929">
        <v>-490.6721</v>
      </c>
      <c r="K1929">
        <v>1.1023160000000001</v>
      </c>
      <c r="L1929">
        <v>233.18279999999999</v>
      </c>
      <c r="M1929">
        <v>-0.1336638</v>
      </c>
      <c r="N1929">
        <v>-1.4167870000000001E-2</v>
      </c>
      <c r="O1929">
        <v>-0.99092539999999996</v>
      </c>
      <c r="P1929">
        <v>-0.40752329999999998</v>
      </c>
      <c r="Q1929">
        <v>-0.16116259999999999</v>
      </c>
      <c r="R1929">
        <v>-0.89886109999999897</v>
      </c>
      <c r="S1929">
        <v>-2.235382</v>
      </c>
      <c r="T1929">
        <v>-0.23266200000000001</v>
      </c>
      <c r="U1929">
        <v>-2.2628330000000001</v>
      </c>
      <c r="V1929">
        <v>0.2812405</v>
      </c>
      <c r="W1929">
        <v>-0.15239929999999999</v>
      </c>
      <c r="X1929">
        <v>0.94745889999999999</v>
      </c>
      <c r="Y1929">
        <v>0.59971560000000002</v>
      </c>
      <c r="Z1929">
        <v>6.217723E-2</v>
      </c>
      <c r="AA1929">
        <v>0.79779389999999994</v>
      </c>
      <c r="AB1929">
        <v>30</v>
      </c>
      <c r="AC1929">
        <v>-9.7975999999999797</v>
      </c>
      <c r="AD1929">
        <v>-1.02231322</v>
      </c>
      <c r="AE1929">
        <v>-9.7931999999999793</v>
      </c>
      <c r="AF1929">
        <v>8.3550348075833298</v>
      </c>
      <c r="AG1929">
        <v>-1.02231322</v>
      </c>
      <c r="AH1929">
        <v>10.9553561983734</v>
      </c>
      <c r="AI1929">
        <v>94.2435871735848</v>
      </c>
      <c r="AJ1929">
        <v>52.669268795674498</v>
      </c>
      <c r="AK1929">
        <v>13.8156273975869</v>
      </c>
      <c r="AL1929">
        <v>98.765994610531607</v>
      </c>
      <c r="AM1929">
        <v>73.467182923357001</v>
      </c>
      <c r="AN1929">
        <v>1.00000006633497</v>
      </c>
    </row>
    <row r="1930" spans="1:40" x14ac:dyDescent="0.25">
      <c r="A1930" t="str">
        <f>"20190305135621085"</f>
        <v>20190305135621085</v>
      </c>
      <c r="B1930" t="str">
        <f>"1551765381073979"</f>
        <v>1551765381073979</v>
      </c>
      <c r="C1930" t="s">
        <v>40</v>
      </c>
      <c r="D1930">
        <v>4.7101319999999998</v>
      </c>
      <c r="E1930">
        <v>0.63588169999999899</v>
      </c>
      <c r="F1930" t="s">
        <v>54</v>
      </c>
      <c r="G1930">
        <v>-500.00740000000002</v>
      </c>
      <c r="H1930">
        <v>8.0002719999999999E-2</v>
      </c>
      <c r="I1930">
        <v>223.4573</v>
      </c>
      <c r="J1930">
        <v>-490.69900000000001</v>
      </c>
      <c r="K1930">
        <v>1.10253</v>
      </c>
      <c r="L1930">
        <v>233.01650000000001</v>
      </c>
      <c r="M1930">
        <v>-0.1380082</v>
      </c>
      <c r="N1930">
        <v>-1.415164E-2</v>
      </c>
      <c r="O1930">
        <v>-0.99033020000000005</v>
      </c>
      <c r="P1930">
        <v>-0.39099509999999998</v>
      </c>
      <c r="Q1930">
        <v>-0.16443489999999999</v>
      </c>
      <c r="R1930">
        <v>-0.90558499999999997</v>
      </c>
      <c r="S1930">
        <v>-2.2033079999999998</v>
      </c>
      <c r="T1930">
        <v>-0.24128620000000001</v>
      </c>
      <c r="U1930">
        <v>-2.29541</v>
      </c>
      <c r="V1930">
        <v>0.25982640000000001</v>
      </c>
      <c r="W1930">
        <v>-0.1551168</v>
      </c>
      <c r="X1930">
        <v>0.95311539999999995</v>
      </c>
      <c r="Y1930">
        <v>0.58452309999999996</v>
      </c>
      <c r="Z1930">
        <v>6.4920699999999998E-2</v>
      </c>
      <c r="AA1930">
        <v>0.80877559999999904</v>
      </c>
      <c r="AB1930">
        <v>30</v>
      </c>
      <c r="AC1930">
        <v>-9.3084000000000007</v>
      </c>
      <c r="AD1930">
        <v>-1.02252728</v>
      </c>
      <c r="AE1930">
        <v>-9.5592000000000006</v>
      </c>
      <c r="AF1930">
        <v>7.8538045861118597</v>
      </c>
      <c r="AG1930">
        <v>-1.02252728</v>
      </c>
      <c r="AH1930">
        <v>10.689692400072399</v>
      </c>
      <c r="AI1930">
        <v>94.408011141723094</v>
      </c>
      <c r="AJ1930">
        <v>53.694970199282302</v>
      </c>
      <c r="AK1930">
        <v>13.3040344303275</v>
      </c>
      <c r="AL1930">
        <v>98.923570575608693</v>
      </c>
      <c r="AM1930">
        <v>74.751269227121497</v>
      </c>
      <c r="AN1930">
        <v>0.99999997274817898</v>
      </c>
    </row>
    <row r="1931" spans="1:40" x14ac:dyDescent="0.25">
      <c r="A1931" t="str">
        <f>"20190305135621097"</f>
        <v>20190305135621097</v>
      </c>
      <c r="B1931" t="str">
        <f>"1551765381094474"</f>
        <v>1551765381094474</v>
      </c>
      <c r="C1931" t="s">
        <v>40</v>
      </c>
      <c r="D1931">
        <v>2.8707180000000001</v>
      </c>
      <c r="E1931">
        <v>0.63600089999999998</v>
      </c>
      <c r="F1931" t="s">
        <v>54</v>
      </c>
      <c r="G1931">
        <v>-499.95780000000002</v>
      </c>
      <c r="H1931">
        <v>4.3954420000000001E-2</v>
      </c>
      <c r="I1931">
        <v>223.05369999999999</v>
      </c>
      <c r="J1931">
        <v>-490.72340000000003</v>
      </c>
      <c r="K1931">
        <v>1.1027709999999999</v>
      </c>
      <c r="L1931">
        <v>232.86879999999999</v>
      </c>
      <c r="M1931">
        <v>-0.14165510000000001</v>
      </c>
      <c r="N1931">
        <v>-1.413298E-2</v>
      </c>
      <c r="O1931">
        <v>-0.98981529999999995</v>
      </c>
      <c r="P1931">
        <v>-0.36946230000000002</v>
      </c>
      <c r="Q1931">
        <v>-0.1689021</v>
      </c>
      <c r="R1931">
        <v>-0.913767</v>
      </c>
      <c r="S1931">
        <v>-2.1672359999999999</v>
      </c>
      <c r="T1931">
        <v>-0.2477859</v>
      </c>
      <c r="U1931">
        <v>-2.3320470000000002</v>
      </c>
      <c r="V1931">
        <v>0.233875</v>
      </c>
      <c r="W1931">
        <v>-0.15896360000000001</v>
      </c>
      <c r="X1931">
        <v>0.95918349999999997</v>
      </c>
      <c r="Y1931">
        <v>0.56828059999999903</v>
      </c>
      <c r="Z1931">
        <v>6.6922540000000003E-2</v>
      </c>
      <c r="AA1931">
        <v>0.82010879999999997</v>
      </c>
      <c r="AB1931">
        <v>30</v>
      </c>
      <c r="AC1931">
        <v>-9.2343999999999902</v>
      </c>
      <c r="AD1931">
        <v>-1.05881658</v>
      </c>
      <c r="AE1931">
        <v>-9.8150999999999993</v>
      </c>
      <c r="AF1931">
        <v>7.70321219242512</v>
      </c>
      <c r="AG1931">
        <v>-1.05881658</v>
      </c>
      <c r="AH1931">
        <v>10.9566993363495</v>
      </c>
      <c r="AI1931">
        <v>94.520052807635807</v>
      </c>
      <c r="AJ1931">
        <v>54.890497986315701</v>
      </c>
      <c r="AK1931">
        <v>13.435394708707699</v>
      </c>
      <c r="AL1931">
        <v>99.146745319168204</v>
      </c>
      <c r="AM1931">
        <v>76.297109424188704</v>
      </c>
      <c r="AN1931">
        <v>0.99999996421110404</v>
      </c>
    </row>
    <row r="1932" spans="1:40" x14ac:dyDescent="0.25">
      <c r="A1932" t="str">
        <f>"20190305135621208"</f>
        <v>20190305135621208</v>
      </c>
      <c r="B1932" t="str">
        <f>"1551765381203786"</f>
        <v>1551765381203786</v>
      </c>
      <c r="C1932" t="s">
        <v>40</v>
      </c>
      <c r="D1932">
        <v>4.4745400000000002</v>
      </c>
      <c r="E1932">
        <v>0.37445070000000003</v>
      </c>
      <c r="F1932" t="s">
        <v>54</v>
      </c>
      <c r="G1932">
        <v>-499.76280000000003</v>
      </c>
      <c r="H1932" s="1">
        <v>2.480782E-6</v>
      </c>
      <c r="I1932">
        <v>222.67570000000001</v>
      </c>
      <c r="J1932">
        <v>-490.97199999999998</v>
      </c>
      <c r="K1932">
        <v>1.107469</v>
      </c>
      <c r="L1932">
        <v>231.40459999999999</v>
      </c>
      <c r="M1932">
        <v>-0.1617111</v>
      </c>
      <c r="N1932">
        <v>-1.393935E-2</v>
      </c>
      <c r="O1932">
        <v>-0.9867399</v>
      </c>
      <c r="P1932">
        <v>-9.0722780000000003E-2</v>
      </c>
      <c r="Q1932">
        <v>-0.1590289</v>
      </c>
      <c r="R1932">
        <v>-0.9830972</v>
      </c>
      <c r="S1932">
        <v>-2.1119690000000002</v>
      </c>
      <c r="T1932">
        <v>-0.25765130000000003</v>
      </c>
      <c r="U1932">
        <v>-2.3815309999999998</v>
      </c>
      <c r="V1932">
        <v>-7.0049810000000004E-2</v>
      </c>
      <c r="W1932">
        <v>-0.14500439999999901</v>
      </c>
      <c r="X1932">
        <v>0.98694820000000005</v>
      </c>
      <c r="Y1932">
        <v>0.53182439999999997</v>
      </c>
      <c r="Z1932">
        <v>7.0319220000000002E-2</v>
      </c>
      <c r="AA1932">
        <v>0.84393009999999902</v>
      </c>
      <c r="AB1932">
        <v>29</v>
      </c>
      <c r="AC1932">
        <v>-8.7908000000000399</v>
      </c>
      <c r="AD1932">
        <v>-1.107466519218</v>
      </c>
      <c r="AE1932">
        <v>-8.7288999999999799</v>
      </c>
      <c r="AF1932">
        <v>7.2057916396422002</v>
      </c>
      <c r="AG1932">
        <v>-1.107466519218</v>
      </c>
      <c r="AH1932">
        <v>9.9561316218316591</v>
      </c>
      <c r="AI1932">
        <v>95.149018049796595</v>
      </c>
      <c r="AJ1932">
        <v>54.104704265949302</v>
      </c>
      <c r="AK1932">
        <v>12.3399542996059</v>
      </c>
      <c r="AL1932">
        <v>98.337533977362199</v>
      </c>
      <c r="AM1932">
        <v>94.059827228553104</v>
      </c>
      <c r="AN1932">
        <v>1.0000000006918099</v>
      </c>
    </row>
    <row r="1933" spans="1:40" x14ac:dyDescent="0.25">
      <c r="A1933" t="str">
        <f>"20190305135621221"</f>
        <v>20190305135621221</v>
      </c>
      <c r="B1933" t="str">
        <f>"1551765381213546"</f>
        <v>1551765381213546</v>
      </c>
      <c r="C1933" t="s">
        <v>40</v>
      </c>
      <c r="D1933">
        <v>4.3902989999999997</v>
      </c>
      <c r="E1933">
        <v>0.3801273</v>
      </c>
      <c r="F1933" t="s">
        <v>67</v>
      </c>
      <c r="G1933">
        <v>-463.94439999999997</v>
      </c>
      <c r="H1933">
        <v>2.3439079999999999</v>
      </c>
      <c r="I1933">
        <v>119.395</v>
      </c>
      <c r="J1933">
        <v>-490.9991</v>
      </c>
      <c r="K1933">
        <v>1.1081179999999999</v>
      </c>
      <c r="L1933">
        <v>231.23939999999999</v>
      </c>
      <c r="M1933">
        <v>-0.1615132</v>
      </c>
      <c r="N1933">
        <v>-1.393112E-2</v>
      </c>
      <c r="O1933">
        <v>-0.98677250000000005</v>
      </c>
      <c r="P1933">
        <v>-6.2327569999999999E-2</v>
      </c>
      <c r="Q1933">
        <v>-0.153282</v>
      </c>
      <c r="R1933">
        <v>-0.98621539999999996</v>
      </c>
      <c r="S1933">
        <v>0.75448609999999905</v>
      </c>
      <c r="T1933">
        <v>3.4516690000000003E-2</v>
      </c>
      <c r="U1933">
        <v>-3.1268159999999998</v>
      </c>
      <c r="V1933">
        <v>-9.8141539999999999E-2</v>
      </c>
      <c r="W1933">
        <v>-0.13932359999999999</v>
      </c>
      <c r="X1933">
        <v>0.98537160000000001</v>
      </c>
      <c r="Y1933">
        <v>-0.3884261</v>
      </c>
      <c r="Z1933">
        <v>-2.4440320000000001E-2</v>
      </c>
      <c r="AA1933">
        <v>0.92115570000000002</v>
      </c>
      <c r="AB1933">
        <v>29</v>
      </c>
      <c r="AC1933">
        <v>27.0547</v>
      </c>
      <c r="AD1933">
        <v>1.2357899999999999</v>
      </c>
      <c r="AE1933">
        <v>-111.84439999999999</v>
      </c>
      <c r="AF1933">
        <v>-44.760350136381298</v>
      </c>
      <c r="AG1933">
        <v>1.2357899999999999</v>
      </c>
      <c r="AH1933">
        <v>105.993319759331</v>
      </c>
      <c r="AI1933">
        <v>89.384627297660998</v>
      </c>
      <c r="AJ1933">
        <v>112.89404518795099</v>
      </c>
      <c r="AK1933">
        <v>115.063460554858</v>
      </c>
      <c r="AL1933">
        <v>98.008707725158004</v>
      </c>
      <c r="AM1933">
        <v>95.687816128277206</v>
      </c>
      <c r="AN1933">
        <v>1.0000000087385399</v>
      </c>
    </row>
    <row r="1934" spans="1:40" x14ac:dyDescent="0.25">
      <c r="A1934" t="str">
        <f>"20190305135621241"</f>
        <v>20190305135621241</v>
      </c>
      <c r="B1934" t="str">
        <f>"1551765381234042"</f>
        <v>1551765381234042</v>
      </c>
      <c r="C1934" t="s">
        <v>40</v>
      </c>
      <c r="D1934">
        <v>4.4007069999999997</v>
      </c>
      <c r="E1934">
        <v>0.39166269999999997</v>
      </c>
      <c r="F1934" t="s">
        <v>68</v>
      </c>
      <c r="G1934">
        <v>-473.52499999999998</v>
      </c>
      <c r="H1934">
        <v>1.3568559999999901</v>
      </c>
      <c r="I1934">
        <v>163.1592</v>
      </c>
      <c r="J1934">
        <v>-491.0401</v>
      </c>
      <c r="K1934">
        <v>1.1091340000000001</v>
      </c>
      <c r="L1934">
        <v>230.98500000000001</v>
      </c>
      <c r="M1934">
        <v>-0.1604034</v>
      </c>
      <c r="N1934">
        <v>-1.3926239999999999E-2</v>
      </c>
      <c r="O1934">
        <v>-0.98695339999999998</v>
      </c>
      <c r="P1934">
        <v>-8.9723589999999992E-3</v>
      </c>
      <c r="Q1934">
        <v>-0.143813</v>
      </c>
      <c r="R1934">
        <v>-0.98956449999999996</v>
      </c>
      <c r="S1934">
        <v>0.79409790000000002</v>
      </c>
      <c r="T1934">
        <v>1.130366E-2</v>
      </c>
      <c r="U1934">
        <v>-3.0938569999999999</v>
      </c>
      <c r="V1934">
        <v>-0.14990229999999999</v>
      </c>
      <c r="W1934">
        <v>-0.1301611</v>
      </c>
      <c r="X1934">
        <v>0.98009559999999996</v>
      </c>
      <c r="Y1934">
        <v>-0.40070630000000002</v>
      </c>
      <c r="Z1934">
        <v>-1.7586979999999999E-2</v>
      </c>
      <c r="AA1934">
        <v>0.91603769999999995</v>
      </c>
      <c r="AB1934">
        <v>29</v>
      </c>
      <c r="AC1934">
        <v>17.5151</v>
      </c>
      <c r="AD1934">
        <v>0.247721999999999</v>
      </c>
      <c r="AE1934">
        <v>-67.825800000000001</v>
      </c>
      <c r="AF1934">
        <v>-28.168452943078599</v>
      </c>
      <c r="AG1934">
        <v>0.247721999999999</v>
      </c>
      <c r="AH1934">
        <v>64.136833429529403</v>
      </c>
      <c r="AI1934">
        <v>89.7973822046376</v>
      </c>
      <c r="AJ1934">
        <v>113.71074844563699</v>
      </c>
      <c r="AK1934">
        <v>70.0503855075968</v>
      </c>
      <c r="AL1934">
        <v>97.4789017775378</v>
      </c>
      <c r="AM1934">
        <v>98.695807108669399</v>
      </c>
      <c r="AN1934">
        <v>0.99999999831892905</v>
      </c>
    </row>
    <row r="1935" spans="1:40" x14ac:dyDescent="0.25">
      <c r="A1935" t="str">
        <f>"20190305135621264"</f>
        <v>20190305135621264</v>
      </c>
      <c r="B1935" t="str">
        <f>"1551765381253562"</f>
        <v>1551765381253562</v>
      </c>
      <c r="C1935" t="s">
        <v>40</v>
      </c>
      <c r="D1935">
        <v>4.3570669999999998</v>
      </c>
      <c r="E1935">
        <v>0.40225329999999998</v>
      </c>
      <c r="F1935" t="s">
        <v>68</v>
      </c>
      <c r="G1935">
        <v>-473.87380000000002</v>
      </c>
      <c r="H1935">
        <v>0.77155229999999997</v>
      </c>
      <c r="I1935">
        <v>170.5538</v>
      </c>
      <c r="J1935">
        <v>-491.0856</v>
      </c>
      <c r="K1935">
        <v>1.110309</v>
      </c>
      <c r="L1935">
        <v>230.6919</v>
      </c>
      <c r="M1935">
        <v>-0.15768929999999901</v>
      </c>
      <c r="N1935">
        <v>-1.3937410000000001E-2</v>
      </c>
      <c r="O1935">
        <v>-0.9873904</v>
      </c>
      <c r="P1935">
        <v>4.733354E-2</v>
      </c>
      <c r="Q1935">
        <v>-0.13696900000000001</v>
      </c>
      <c r="R1935">
        <v>-0.98944399999999999</v>
      </c>
      <c r="S1935">
        <v>0.86270139999999995</v>
      </c>
      <c r="T1935">
        <v>-1.696539E-2</v>
      </c>
      <c r="U1935">
        <v>-3.0370029999999999</v>
      </c>
      <c r="V1935">
        <v>-0.20244780000000001</v>
      </c>
      <c r="W1935">
        <v>-0.12398820000000001</v>
      </c>
      <c r="X1935">
        <v>0.97141230000000001</v>
      </c>
      <c r="Y1935">
        <v>-0.42146919999999999</v>
      </c>
      <c r="Z1935">
        <v>-9.1301319999999991E-3</v>
      </c>
      <c r="AA1935">
        <v>0.90679679999999996</v>
      </c>
      <c r="AB1935">
        <v>29</v>
      </c>
      <c r="AC1935">
        <v>17.211799999999901</v>
      </c>
      <c r="AD1935">
        <v>-0.33875670000000002</v>
      </c>
      <c r="AE1935">
        <v>-60.138100000000001</v>
      </c>
      <c r="AF1935">
        <v>-26.479696852970999</v>
      </c>
      <c r="AG1935">
        <v>-0.33875670000000002</v>
      </c>
      <c r="AH1935">
        <v>56.669509291306703</v>
      </c>
      <c r="AI1935">
        <v>90.310293823847502</v>
      </c>
      <c r="AJ1935">
        <v>115.045053709619</v>
      </c>
      <c r="AK1935">
        <v>62.551757647923402</v>
      </c>
      <c r="AL1935">
        <v>97.122329221443295</v>
      </c>
      <c r="AM1935">
        <v>101.772259291411</v>
      </c>
      <c r="AN1935">
        <v>1.00000002102768</v>
      </c>
    </row>
    <row r="1936" spans="1:40" x14ac:dyDescent="0.25">
      <c r="A1936" t="str">
        <f>"20190305135621286"</f>
        <v>20190305135621286</v>
      </c>
      <c r="B1936" t="str">
        <f>"1551765381283818"</f>
        <v>1551765381283818</v>
      </c>
      <c r="C1936" t="s">
        <v>40</v>
      </c>
      <c r="D1936">
        <v>4.7135179999999997</v>
      </c>
      <c r="E1936">
        <v>0.45293509999999998</v>
      </c>
      <c r="F1936" t="s">
        <v>68</v>
      </c>
      <c r="G1936">
        <v>-473.52499999999998</v>
      </c>
      <c r="H1936">
        <v>0.68414370000000002</v>
      </c>
      <c r="I1936">
        <v>175.28700000000001</v>
      </c>
      <c r="J1936">
        <v>-491.1266</v>
      </c>
      <c r="K1936">
        <v>1.111405</v>
      </c>
      <c r="L1936">
        <v>230.41290000000001</v>
      </c>
      <c r="M1936">
        <v>-0.1537491</v>
      </c>
      <c r="N1936">
        <v>-1.3964870000000001E-2</v>
      </c>
      <c r="O1936">
        <v>-0.98801139999999998</v>
      </c>
      <c r="P1936">
        <v>0.10638590000000001</v>
      </c>
      <c r="Q1936">
        <v>-0.135409</v>
      </c>
      <c r="R1936">
        <v>-0.98506179999999999</v>
      </c>
      <c r="S1936">
        <v>0.94564820000000005</v>
      </c>
      <c r="T1936">
        <v>-2.2949339999999999E-2</v>
      </c>
      <c r="U1936">
        <v>-2.9835970000000001</v>
      </c>
      <c r="V1936">
        <v>-0.2559324</v>
      </c>
      <c r="W1936">
        <v>-0.12340039999999999</v>
      </c>
      <c r="X1936">
        <v>0.95878620000000003</v>
      </c>
      <c r="Y1936">
        <v>-0.44504860000000002</v>
      </c>
      <c r="Z1936">
        <v>-7.3229879999999999E-3</v>
      </c>
      <c r="AA1936">
        <v>0.89547649999999901</v>
      </c>
      <c r="AB1936">
        <v>29</v>
      </c>
      <c r="AC1936">
        <v>17.601600000000001</v>
      </c>
      <c r="AD1936">
        <v>-0.42726130000000001</v>
      </c>
      <c r="AE1936">
        <v>-55.125900000000001</v>
      </c>
      <c r="AF1936">
        <v>-25.867247103241802</v>
      </c>
      <c r="AG1936">
        <v>-0.42726130000000001</v>
      </c>
      <c r="AH1936">
        <v>51.761004879020803</v>
      </c>
      <c r="AI1936">
        <v>90.423053285310303</v>
      </c>
      <c r="AJ1936">
        <v>116.553311797286</v>
      </c>
      <c r="AK1936">
        <v>57.866213380561398</v>
      </c>
      <c r="AL1936">
        <v>97.088390167869804</v>
      </c>
      <c r="AM1936">
        <v>104.94570325913701</v>
      </c>
      <c r="AN1936">
        <v>1.00000001470018</v>
      </c>
    </row>
    <row r="1937" spans="1:40" x14ac:dyDescent="0.25">
      <c r="A1937" t="str">
        <f>"20190305135621309"</f>
        <v>20190305135621309</v>
      </c>
      <c r="B1937" t="str">
        <f>"1551765381304314"</f>
        <v>1551765381304314</v>
      </c>
      <c r="C1937" t="s">
        <v>40</v>
      </c>
      <c r="D1937">
        <v>4.6787330000000003</v>
      </c>
      <c r="E1937">
        <v>0.46333530000000001</v>
      </c>
      <c r="F1937" t="s">
        <v>54</v>
      </c>
      <c r="G1937">
        <v>-487.82060000000001</v>
      </c>
      <c r="H1937" s="1">
        <v>3.0246459999999998E-6</v>
      </c>
      <c r="I1937">
        <v>216.61420000000001</v>
      </c>
      <c r="J1937">
        <v>-491.1678</v>
      </c>
      <c r="K1937">
        <v>1.112528</v>
      </c>
      <c r="L1937">
        <v>230.11660000000001</v>
      </c>
      <c r="M1937">
        <v>-0.14824519999999999</v>
      </c>
      <c r="N1937">
        <v>-1.400536E-2</v>
      </c>
      <c r="O1937">
        <v>-0.98885160000000005</v>
      </c>
      <c r="P1937">
        <v>0.1621821</v>
      </c>
      <c r="Q1937">
        <v>-0.13740820000000001</v>
      </c>
      <c r="R1937">
        <v>-0.97714719999999999</v>
      </c>
      <c r="S1937">
        <v>0.70367429999999997</v>
      </c>
      <c r="T1937">
        <v>-0.2365525</v>
      </c>
      <c r="U1937">
        <v>-2.9369510000000001</v>
      </c>
      <c r="V1937">
        <v>-0.3042494</v>
      </c>
      <c r="W1937">
        <v>-0.12665660000000001</v>
      </c>
      <c r="X1937">
        <v>0.94413469999999999</v>
      </c>
      <c r="Y1937">
        <v>-0.373913</v>
      </c>
      <c r="Z1937">
        <v>6.0762570000000002E-2</v>
      </c>
      <c r="AA1937">
        <v>0.92547120000000005</v>
      </c>
      <c r="AB1937">
        <v>29</v>
      </c>
      <c r="AC1937">
        <v>3.34719999999998</v>
      </c>
      <c r="AD1937">
        <v>-1.1125249753540001</v>
      </c>
      <c r="AE1937">
        <v>-13.5023999999999</v>
      </c>
      <c r="AF1937">
        <v>-5.2783111551219504</v>
      </c>
      <c r="AG1937">
        <v>-1.1125249753540001</v>
      </c>
      <c r="AH1937">
        <v>12.775214635243</v>
      </c>
      <c r="AI1937">
        <v>94.601556670845696</v>
      </c>
      <c r="AJ1937">
        <v>112.44885275287599</v>
      </c>
      <c r="AK1937">
        <v>13.867385818805101</v>
      </c>
      <c r="AL1937">
        <v>97.276432695907999</v>
      </c>
      <c r="AM1937">
        <v>107.861645470428</v>
      </c>
      <c r="AN1937">
        <v>0.99999996173400396</v>
      </c>
    </row>
    <row r="1938" spans="1:40" x14ac:dyDescent="0.25">
      <c r="A1938" t="str">
        <f>"20190305135621332"</f>
        <v>20190305135621332</v>
      </c>
      <c r="B1938" t="str">
        <f>"1551765381323834"</f>
        <v>1551765381323834</v>
      </c>
      <c r="C1938" t="s">
        <v>40</v>
      </c>
      <c r="D1938">
        <v>5.0287920000000002</v>
      </c>
      <c r="E1938">
        <v>0.4639915</v>
      </c>
      <c r="F1938" t="s">
        <v>54</v>
      </c>
      <c r="G1938">
        <v>-487.709</v>
      </c>
      <c r="H1938" s="1">
        <v>3.0369390000000001E-6</v>
      </c>
      <c r="I1938">
        <v>217.34809999999999</v>
      </c>
      <c r="J1938">
        <v>-491.2056</v>
      </c>
      <c r="K1938">
        <v>1.113588</v>
      </c>
      <c r="L1938">
        <v>229.8194</v>
      </c>
      <c r="M1938">
        <v>-0.14130599999999999</v>
      </c>
      <c r="N1938">
        <v>-1.40585E-2</v>
      </c>
      <c r="O1938">
        <v>-0.98986629999999998</v>
      </c>
      <c r="P1938">
        <v>0.21570410000000001</v>
      </c>
      <c r="Q1938">
        <v>-0.14088139999999999</v>
      </c>
      <c r="R1938">
        <v>-0.96624270000000001</v>
      </c>
      <c r="S1938">
        <v>0.78665160000000001</v>
      </c>
      <c r="T1938">
        <v>-0.25302730000000001</v>
      </c>
      <c r="U1938">
        <v>-2.9039920000000001</v>
      </c>
      <c r="V1938">
        <v>-0.34870559999999901</v>
      </c>
      <c r="W1938">
        <v>-0.13157369999999999</v>
      </c>
      <c r="X1938">
        <v>0.92795090000000002</v>
      </c>
      <c r="Y1938">
        <v>-0.39437549999999999</v>
      </c>
      <c r="Z1938">
        <v>6.6246929999999996E-2</v>
      </c>
      <c r="AA1938">
        <v>0.9165584</v>
      </c>
      <c r="AB1938">
        <v>29</v>
      </c>
      <c r="AC1938">
        <v>3.4965999999999999</v>
      </c>
      <c r="AD1938">
        <v>-1.113584963061</v>
      </c>
      <c r="AE1938">
        <v>-12.471299999999999</v>
      </c>
      <c r="AF1938">
        <v>-5.1856195663513898</v>
      </c>
      <c r="AG1938">
        <v>-1.113584963061</v>
      </c>
      <c r="AH1938">
        <v>11.765031795097</v>
      </c>
      <c r="AI1938">
        <v>94.950150495735997</v>
      </c>
      <c r="AJ1938">
        <v>113.786227767838</v>
      </c>
      <c r="AK1938">
        <v>12.905297164208401</v>
      </c>
      <c r="AL1938">
        <v>97.560539481682596</v>
      </c>
      <c r="AM1938">
        <v>110.595227468353</v>
      </c>
      <c r="AN1938">
        <v>1.00000005340692</v>
      </c>
    </row>
    <row r="1939" spans="1:40" x14ac:dyDescent="0.25">
      <c r="A1939" t="str">
        <f>"20190305135621357"</f>
        <v>20190305135621357</v>
      </c>
      <c r="B1939" t="str">
        <f>"1551765381354090"</f>
        <v>1551765381354090</v>
      </c>
      <c r="C1939" t="s">
        <v>40</v>
      </c>
      <c r="D1939">
        <v>4.5341279999999999</v>
      </c>
      <c r="E1939">
        <v>0.40774850000000001</v>
      </c>
      <c r="F1939" t="s">
        <v>41</v>
      </c>
      <c r="G1939">
        <v>-490.8766</v>
      </c>
      <c r="H1939">
        <v>1.0280609999999999</v>
      </c>
      <c r="I1939">
        <v>228.81870000000001</v>
      </c>
      <c r="J1939">
        <v>-491.24329999999998</v>
      </c>
      <c r="K1939">
        <v>1.114668</v>
      </c>
      <c r="L1939">
        <v>229.49080000000001</v>
      </c>
      <c r="M1939">
        <v>-0.1321985</v>
      </c>
      <c r="N1939">
        <v>-1.413384E-2</v>
      </c>
      <c r="O1939">
        <v>-0.99112259999999996</v>
      </c>
      <c r="P1939">
        <v>0.26906210000000003</v>
      </c>
      <c r="Q1939">
        <v>-0.14112959999999999</v>
      </c>
      <c r="R1939">
        <v>-0.95272699999999999</v>
      </c>
      <c r="S1939">
        <v>0.94119260000000005</v>
      </c>
      <c r="T1939">
        <v>-0.24431</v>
      </c>
      <c r="U1939">
        <v>-2.8591000000000002</v>
      </c>
      <c r="V1939">
        <v>-0.39091959999999998</v>
      </c>
      <c r="W1939">
        <v>-0.13348570000000001</v>
      </c>
      <c r="X1939">
        <v>0.91069389999999995</v>
      </c>
      <c r="Y1939">
        <v>-0.43458289999999999</v>
      </c>
      <c r="Z1939">
        <v>6.3347280000000006E-2</v>
      </c>
      <c r="AA1939">
        <v>0.89840129999999996</v>
      </c>
      <c r="AB1939">
        <v>29</v>
      </c>
      <c r="AC1939">
        <v>0.36669999999997999</v>
      </c>
      <c r="AD1939">
        <v>-8.6606999999999795E-2</v>
      </c>
      <c r="AE1939">
        <v>-0.67210000000000003</v>
      </c>
      <c r="AF1939">
        <v>-0.44662544535486198</v>
      </c>
      <c r="AG1939">
        <v>-8.6606999999999795E-2</v>
      </c>
      <c r="AH1939">
        <v>0.60991357428167303</v>
      </c>
      <c r="AI1939">
        <v>96.5356677304637</v>
      </c>
      <c r="AJ1939">
        <v>126.21444568054601</v>
      </c>
      <c r="AK1939">
        <v>0.760900538165452</v>
      </c>
      <c r="AL1939">
        <v>97.6710645799741</v>
      </c>
      <c r="AM1939">
        <v>113.23165416403199</v>
      </c>
      <c r="AN1939">
        <v>0.99999997263292895</v>
      </c>
    </row>
    <row r="1940" spans="1:40" x14ac:dyDescent="0.25">
      <c r="A1940" t="str">
        <f>"20190305135621378"</f>
        <v>20190305135621378</v>
      </c>
      <c r="B1940" t="str">
        <f>"1551765381373611"</f>
        <v>1551765381373611</v>
      </c>
      <c r="C1940" t="s">
        <v>40</v>
      </c>
      <c r="D1940">
        <v>4.5620729999999998</v>
      </c>
      <c r="E1940">
        <v>0.42119839999999997</v>
      </c>
      <c r="F1940" t="s">
        <v>54</v>
      </c>
      <c r="G1940">
        <v>-476.6157</v>
      </c>
      <c r="H1940">
        <v>7.9999280000000006E-2</v>
      </c>
      <c r="I1940">
        <v>203.88560000000001</v>
      </c>
      <c r="J1940">
        <v>-491.27050000000003</v>
      </c>
      <c r="K1940">
        <v>1.115467</v>
      </c>
      <c r="L1940">
        <v>229.2253</v>
      </c>
      <c r="M1940">
        <v>-0.1239273</v>
      </c>
      <c r="N1940">
        <v>-1.4199740000000001E-2</v>
      </c>
      <c r="O1940">
        <v>-0.99218989999999996</v>
      </c>
      <c r="P1940">
        <v>0.31034929999999999</v>
      </c>
      <c r="Q1940">
        <v>-0.1357807</v>
      </c>
      <c r="R1940">
        <v>-0.94087589999999999</v>
      </c>
      <c r="S1940">
        <v>1.5410159999999999</v>
      </c>
      <c r="T1940">
        <v>-0.109002</v>
      </c>
      <c r="U1940">
        <v>-2.697495</v>
      </c>
      <c r="V1940">
        <v>-0.4226454</v>
      </c>
      <c r="W1940">
        <v>-0.1295057</v>
      </c>
      <c r="X1940">
        <v>0.89699449999999903</v>
      </c>
      <c r="Y1940">
        <v>-0.59954459999999998</v>
      </c>
      <c r="Z1940">
        <v>1.8678230000000001E-2</v>
      </c>
      <c r="AA1940">
        <v>0.80012329999999998</v>
      </c>
      <c r="AB1940">
        <v>29</v>
      </c>
      <c r="AC1940">
        <v>14.6548</v>
      </c>
      <c r="AD1940">
        <v>-1.03546772</v>
      </c>
      <c r="AE1940">
        <v>-25.339700000000001</v>
      </c>
      <c r="AF1940">
        <v>-17.660305983908898</v>
      </c>
      <c r="AG1940">
        <v>-1.03546772</v>
      </c>
      <c r="AH1940">
        <v>23.2988579782062</v>
      </c>
      <c r="AI1940">
        <v>92.028453021792998</v>
      </c>
      <c r="AJ1940">
        <v>127.161770669436</v>
      </c>
      <c r="AK1940">
        <v>29.253980651068201</v>
      </c>
      <c r="AL1940">
        <v>97.441029577483107</v>
      </c>
      <c r="AM1940">
        <v>115.228851252345</v>
      </c>
      <c r="AN1940">
        <v>0.99999999675194995</v>
      </c>
    </row>
    <row r="1941" spans="1:40" x14ac:dyDescent="0.25">
      <c r="A1941" t="str">
        <f>"20190305135621399"</f>
        <v>20190305135621399</v>
      </c>
      <c r="B1941" t="str">
        <f>"1551765381394107"</f>
        <v>1551765381394107</v>
      </c>
      <c r="C1941" t="s">
        <v>40</v>
      </c>
      <c r="D1941">
        <v>4.7546499999999998</v>
      </c>
      <c r="E1941">
        <v>0.43054540000000002</v>
      </c>
      <c r="F1941" t="s">
        <v>54</v>
      </c>
      <c r="G1941">
        <v>-477.54590000000002</v>
      </c>
      <c r="H1941">
        <v>7.9999699999999896E-2</v>
      </c>
      <c r="I1941">
        <v>205.7089</v>
      </c>
      <c r="J1941">
        <v>-491.29450000000003</v>
      </c>
      <c r="K1941">
        <v>1.1161840000000001</v>
      </c>
      <c r="L1941">
        <v>228.9615</v>
      </c>
      <c r="M1941">
        <v>-0.1148801</v>
      </c>
      <c r="N1941">
        <v>-1.4266279999999999E-2</v>
      </c>
      <c r="O1941">
        <v>-0.99327699999999997</v>
      </c>
      <c r="P1941">
        <v>0.34283809999999998</v>
      </c>
      <c r="Q1941">
        <v>-0.1309816</v>
      </c>
      <c r="R1941">
        <v>-0.93021830000000005</v>
      </c>
      <c r="S1941">
        <v>1.552216</v>
      </c>
      <c r="T1941">
        <v>-0.11710859999999999</v>
      </c>
      <c r="U1941">
        <v>-2.659637</v>
      </c>
      <c r="V1941">
        <v>-0.4453684</v>
      </c>
      <c r="W1941">
        <v>-0.1259275</v>
      </c>
      <c r="X1941">
        <v>0.88644750000000005</v>
      </c>
      <c r="Y1941">
        <v>-0.59961500000000001</v>
      </c>
      <c r="Z1941">
        <v>2.1586439999999998E-2</v>
      </c>
      <c r="AA1941">
        <v>0.79999739999999997</v>
      </c>
      <c r="AB1941">
        <v>29</v>
      </c>
      <c r="AC1941">
        <v>13.7486</v>
      </c>
      <c r="AD1941">
        <v>-1.0361842999999999</v>
      </c>
      <c r="AE1941">
        <v>-23.252600000000001</v>
      </c>
      <c r="AF1941">
        <v>-16.3050986148045</v>
      </c>
      <c r="AG1941">
        <v>-1.0361842999999999</v>
      </c>
      <c r="AH1941">
        <v>21.487404267677601</v>
      </c>
      <c r="AI1941">
        <v>92.199937335976898</v>
      </c>
      <c r="AJ1941">
        <v>127.19199885389099</v>
      </c>
      <c r="AK1941">
        <v>26.993304001264399</v>
      </c>
      <c r="AL1941">
        <v>97.234321180422896</v>
      </c>
      <c r="AM1941">
        <v>116.675839860141</v>
      </c>
      <c r="AN1941">
        <v>0.99999995861552904</v>
      </c>
    </row>
    <row r="1942" spans="1:40" x14ac:dyDescent="0.25">
      <c r="A1942" t="str">
        <f>"20190305135621426"</f>
        <v>20190305135621426</v>
      </c>
      <c r="B1942" t="str">
        <f>"1551765381413628"</f>
        <v>1551765381413628</v>
      </c>
      <c r="C1942" t="s">
        <v>40</v>
      </c>
      <c r="D1942">
        <v>4.8289999999999997</v>
      </c>
      <c r="E1942">
        <v>0.43429210000000001</v>
      </c>
      <c r="F1942" t="s">
        <v>54</v>
      </c>
      <c r="G1942">
        <v>-479.99779999999998</v>
      </c>
      <c r="H1942" s="1">
        <v>1.3516309999999999E-6</v>
      </c>
      <c r="I1942">
        <v>210.08529999999999</v>
      </c>
      <c r="J1942">
        <v>-491.32069999999999</v>
      </c>
      <c r="K1942">
        <v>1.117035</v>
      </c>
      <c r="L1942">
        <v>228.6225</v>
      </c>
      <c r="M1942">
        <v>-0.1020821</v>
      </c>
      <c r="N1942">
        <v>-1.4366149999999999E-2</v>
      </c>
      <c r="O1942">
        <v>-0.99467240000000001</v>
      </c>
      <c r="P1942">
        <v>0.37365090000000001</v>
      </c>
      <c r="Q1942">
        <v>-0.13063239999999901</v>
      </c>
      <c r="R1942">
        <v>-0.91832519999999995</v>
      </c>
      <c r="S1942">
        <v>1.570587</v>
      </c>
      <c r="T1942">
        <v>-0.155183399999999</v>
      </c>
      <c r="U1942">
        <v>-2.6243590000000001</v>
      </c>
      <c r="V1942">
        <v>-0.4631113</v>
      </c>
      <c r="W1942">
        <v>-0.126918899999999</v>
      </c>
      <c r="X1942">
        <v>0.87716559999999899</v>
      </c>
      <c r="Y1942">
        <v>-0.59788140000000001</v>
      </c>
      <c r="Z1942">
        <v>3.3931129999999997E-2</v>
      </c>
      <c r="AA1942">
        <v>0.80086610000000003</v>
      </c>
      <c r="AB1942">
        <v>29</v>
      </c>
      <c r="AC1942">
        <v>11.322900000000001</v>
      </c>
      <c r="AD1942">
        <v>-1.117033648369</v>
      </c>
      <c r="AE1942">
        <v>-18.537199999999999</v>
      </c>
      <c r="AF1942">
        <v>-13.121548215331201</v>
      </c>
      <c r="AG1942">
        <v>-1.117033648369</v>
      </c>
      <c r="AH1942">
        <v>17.238769000196601</v>
      </c>
      <c r="AI1942">
        <v>92.951589644631895</v>
      </c>
      <c r="AJ1942">
        <v>127.277122364457</v>
      </c>
      <c r="AK1942">
        <v>21.693269656300998</v>
      </c>
      <c r="AL1942">
        <v>97.291583467420693</v>
      </c>
      <c r="AM1942">
        <v>117.83241239458999</v>
      </c>
      <c r="AN1942">
        <v>0.99999998659412903</v>
      </c>
    </row>
    <row r="1943" spans="1:40" x14ac:dyDescent="0.25">
      <c r="A1943" t="str">
        <f>"20190305135621446"</f>
        <v>20190305135621446</v>
      </c>
      <c r="B1943" t="str">
        <f>"1551765381443882"</f>
        <v>1551765381443882</v>
      </c>
      <c r="C1943" t="s">
        <v>40</v>
      </c>
      <c r="D1943">
        <v>4.778346</v>
      </c>
      <c r="E1943">
        <v>0.48263349999999999</v>
      </c>
      <c r="F1943" t="s">
        <v>41</v>
      </c>
      <c r="G1943">
        <v>-490.81810000000002</v>
      </c>
      <c r="H1943">
        <v>1.0662529999999999</v>
      </c>
      <c r="I1943">
        <v>227.82550000000001</v>
      </c>
      <c r="J1943">
        <v>-491.33699999999999</v>
      </c>
      <c r="K1943">
        <v>1.117669</v>
      </c>
      <c r="L1943">
        <v>228.36070000000001</v>
      </c>
      <c r="M1943">
        <v>-9.1256100000000007E-2</v>
      </c>
      <c r="N1943">
        <v>-1.446446E-2</v>
      </c>
      <c r="O1943">
        <v>-0.99572249999999995</v>
      </c>
      <c r="P1943">
        <v>0.39393729999999999</v>
      </c>
      <c r="Q1943">
        <v>-0.13648289999999999</v>
      </c>
      <c r="R1943">
        <v>-0.90894779999999997</v>
      </c>
      <c r="S1943">
        <v>1.628906</v>
      </c>
      <c r="T1943">
        <v>-0.16438889999999901</v>
      </c>
      <c r="U1943">
        <v>-2.5806580000000001</v>
      </c>
      <c r="V1943">
        <v>-0.47258060000000002</v>
      </c>
      <c r="W1943">
        <v>-0.13371369999999999</v>
      </c>
      <c r="X1943">
        <v>0.87108459999999999</v>
      </c>
      <c r="Y1943">
        <v>-0.60805880000000001</v>
      </c>
      <c r="Z1943">
        <v>3.7067990000000002E-2</v>
      </c>
      <c r="AA1943">
        <v>0.79302620000000001</v>
      </c>
      <c r="AB1943">
        <v>29</v>
      </c>
      <c r="AC1943">
        <v>0.51889999999997305</v>
      </c>
      <c r="AD1943">
        <v>-5.1415999999999899E-2</v>
      </c>
      <c r="AE1943">
        <v>-0.53520000000000301</v>
      </c>
      <c r="AF1943">
        <v>-0.56290189946119595</v>
      </c>
      <c r="AG1943">
        <v>-5.1415999999999899E-2</v>
      </c>
      <c r="AH1943">
        <v>0.48330940680991802</v>
      </c>
      <c r="AI1943">
        <v>93.964327606779193</v>
      </c>
      <c r="AJ1943">
        <v>139.35050396745601</v>
      </c>
      <c r="AK1943">
        <v>0.74370029997572096</v>
      </c>
      <c r="AL1943">
        <v>97.684245366167104</v>
      </c>
      <c r="AM1943">
        <v>118.480705448596</v>
      </c>
      <c r="AN1943">
        <v>1.0000000787106</v>
      </c>
    </row>
    <row r="1944" spans="1:40" x14ac:dyDescent="0.25">
      <c r="A1944" t="str">
        <f>"20190305135621470"</f>
        <v>20190305135621470</v>
      </c>
      <c r="B1944" t="str">
        <f>"1551765381464379"</f>
        <v>1551765381464379</v>
      </c>
      <c r="C1944" t="s">
        <v>40</v>
      </c>
      <c r="D1944">
        <v>5.2870309999999998</v>
      </c>
      <c r="E1944">
        <v>0.48814010000000002</v>
      </c>
      <c r="F1944" t="s">
        <v>41</v>
      </c>
      <c r="G1944">
        <v>-490.9461</v>
      </c>
      <c r="H1944">
        <v>0.99868400000000002</v>
      </c>
      <c r="I1944">
        <v>227.56319999999999</v>
      </c>
      <c r="J1944">
        <v>-491.35079999999999</v>
      </c>
      <c r="K1944">
        <v>1.1183890000000001</v>
      </c>
      <c r="L1944">
        <v>228.06960000000001</v>
      </c>
      <c r="M1944">
        <v>-7.8288010000000005E-2</v>
      </c>
      <c r="N1944">
        <v>-1.459236E-2</v>
      </c>
      <c r="O1944">
        <v>-0.99682400000000004</v>
      </c>
      <c r="P1944">
        <v>0.42115780000000003</v>
      </c>
      <c r="Q1944">
        <v>-0.1416355</v>
      </c>
      <c r="R1944">
        <v>-0.89586049999999995</v>
      </c>
      <c r="S1944">
        <v>1.31012</v>
      </c>
      <c r="T1944">
        <v>-0.39878340000000001</v>
      </c>
      <c r="U1944">
        <v>-2.6728209999999999</v>
      </c>
      <c r="V1944">
        <v>-0.48698239999999998</v>
      </c>
      <c r="W1944">
        <v>-0.14005219999999999</v>
      </c>
      <c r="X1944">
        <v>0.86211000000000004</v>
      </c>
      <c r="Y1944">
        <v>-0.50560430000000001</v>
      </c>
      <c r="Z1944">
        <v>0.11481719999999999</v>
      </c>
      <c r="AA1944">
        <v>0.85509139999999995</v>
      </c>
      <c r="AB1944">
        <v>29</v>
      </c>
      <c r="AC1944">
        <v>0.40469999999999101</v>
      </c>
      <c r="AD1944">
        <v>-0.11970499999999901</v>
      </c>
      <c r="AE1944">
        <v>-0.50640000000001295</v>
      </c>
      <c r="AF1944">
        <v>-0.42849552043019601</v>
      </c>
      <c r="AG1944">
        <v>-0.11970499999999901</v>
      </c>
      <c r="AH1944">
        <v>0.45755655530231498</v>
      </c>
      <c r="AI1944">
        <v>100.810854875871</v>
      </c>
      <c r="AJ1944">
        <v>133.12146710145299</v>
      </c>
      <c r="AK1944">
        <v>0.63819722606249596</v>
      </c>
      <c r="AL1944">
        <v>98.050866324860806</v>
      </c>
      <c r="AM1944">
        <v>119.460918986198</v>
      </c>
      <c r="AN1944">
        <v>1.0000000643672899</v>
      </c>
    </row>
    <row r="1945" spans="1:40" x14ac:dyDescent="0.25">
      <c r="A1945" t="str">
        <f>"20190305135621504"</f>
        <v>20190305135621504</v>
      </c>
      <c r="B1945" t="str">
        <f>"1551765381493659"</f>
        <v>1551765381493659</v>
      </c>
      <c r="C1945" t="s">
        <v>40</v>
      </c>
      <c r="D1945">
        <v>4.7748429999999997</v>
      </c>
      <c r="E1945">
        <v>0.49319459999999998</v>
      </c>
      <c r="F1945" t="s">
        <v>54</v>
      </c>
      <c r="G1945">
        <v>-487.74770000000001</v>
      </c>
      <c r="H1945" s="1">
        <v>3.4738149999999999E-6</v>
      </c>
      <c r="I1945">
        <v>221.00069999999999</v>
      </c>
      <c r="J1945">
        <v>-491.36200000000002</v>
      </c>
      <c r="K1945">
        <v>1.1195120000000001</v>
      </c>
      <c r="L1945">
        <v>227.6292</v>
      </c>
      <c r="M1945">
        <v>-5.6631910000000001E-2</v>
      </c>
      <c r="N1945">
        <v>-1.4838830000000001E-2</v>
      </c>
      <c r="O1945">
        <v>-0.99828490000000003</v>
      </c>
      <c r="P1945">
        <v>0.44487090000000001</v>
      </c>
      <c r="Q1945">
        <v>-0.1389281</v>
      </c>
      <c r="R1945">
        <v>-0.88475360000000003</v>
      </c>
      <c r="S1945">
        <v>1.349701</v>
      </c>
      <c r="T1945">
        <v>-0.41894579999999998</v>
      </c>
      <c r="U1945">
        <v>-2.6479949999999999</v>
      </c>
      <c r="V1945">
        <v>-0.49094579999999999</v>
      </c>
      <c r="W1945">
        <v>-0.13854250000000001</v>
      </c>
      <c r="X1945">
        <v>0.86010370000000003</v>
      </c>
      <c r="Y1945">
        <v>-0.49985479999999999</v>
      </c>
      <c r="Z1945">
        <v>0.1223323</v>
      </c>
      <c r="AA1945">
        <v>0.85742640000000003</v>
      </c>
      <c r="AB1945">
        <v>29</v>
      </c>
      <c r="AC1945">
        <v>3.6142999999999499</v>
      </c>
      <c r="AD1945">
        <v>-1.119508526185</v>
      </c>
      <c r="AE1945">
        <v>-6.6284999999999998</v>
      </c>
      <c r="AF1945">
        <v>-3.8982116816751602</v>
      </c>
      <c r="AG1945">
        <v>-1.119508526185</v>
      </c>
      <c r="AH1945">
        <v>6.2751761939148398</v>
      </c>
      <c r="AI1945">
        <v>98.617189739254798</v>
      </c>
      <c r="AJ1945">
        <v>121.849026068475</v>
      </c>
      <c r="AK1945">
        <v>7.4717594929190003</v>
      </c>
      <c r="AL1945">
        <v>97.963515066954599</v>
      </c>
      <c r="AM1945">
        <v>119.717654622447</v>
      </c>
      <c r="AN1945">
        <v>1.0000000887987801</v>
      </c>
    </row>
    <row r="1946" spans="1:40" x14ac:dyDescent="0.25">
      <c r="A1946" t="str">
        <f>"20190305135621526"</f>
        <v>20190305135621526</v>
      </c>
      <c r="B1946" t="str">
        <f>"1551765381523915"</f>
        <v>1551765381523915</v>
      </c>
      <c r="C1946" t="s">
        <v>40</v>
      </c>
      <c r="D1946">
        <v>4.7182940000000002</v>
      </c>
      <c r="E1946">
        <v>0.49649599999999999</v>
      </c>
      <c r="F1946" t="s">
        <v>41</v>
      </c>
      <c r="G1946">
        <v>-490.93689999999998</v>
      </c>
      <c r="H1946">
        <v>0.99817739999999999</v>
      </c>
      <c r="I1946">
        <v>226.821</v>
      </c>
      <c r="J1946">
        <v>-491.36329999999998</v>
      </c>
      <c r="K1946">
        <v>1.120166</v>
      </c>
      <c r="L1946">
        <v>227.35509999999999</v>
      </c>
      <c r="M1946">
        <v>-4.2126950000000003E-2</v>
      </c>
      <c r="N1946">
        <v>-1.5006449999999999E-2</v>
      </c>
      <c r="O1946">
        <v>-0.99899970000000005</v>
      </c>
      <c r="P1946">
        <v>0.4564532</v>
      </c>
      <c r="Q1946">
        <v>-0.13615639999999901</v>
      </c>
      <c r="R1946">
        <v>-0.87926819999999895</v>
      </c>
      <c r="S1946">
        <v>1.3854679999999999</v>
      </c>
      <c r="T1946">
        <v>-0.3950533</v>
      </c>
      <c r="U1946">
        <v>-2.6321110000000001</v>
      </c>
      <c r="V1946">
        <v>-0.48963849999999998</v>
      </c>
      <c r="W1946">
        <v>-0.13632569999999999</v>
      </c>
      <c r="X1946">
        <v>0.86120229999999998</v>
      </c>
      <c r="Y1946">
        <v>-0.49901640000000003</v>
      </c>
      <c r="Z1946">
        <v>0.1150191</v>
      </c>
      <c r="AA1946">
        <v>0.85892559999999996</v>
      </c>
      <c r="AB1946">
        <v>29</v>
      </c>
      <c r="AC1946">
        <v>0.426400000000001</v>
      </c>
      <c r="AD1946">
        <v>-0.1219886</v>
      </c>
      <c r="AE1946">
        <v>-0.53409999999999502</v>
      </c>
      <c r="AF1946">
        <v>-0.43467511745446102</v>
      </c>
      <c r="AG1946">
        <v>-0.1219886</v>
      </c>
      <c r="AH1946">
        <v>0.49973905528322199</v>
      </c>
      <c r="AI1946">
        <v>100.4358325629</v>
      </c>
      <c r="AJ1946">
        <v>131.01688223734101</v>
      </c>
      <c r="AK1946">
        <v>0.67347071179033202</v>
      </c>
      <c r="AL1946">
        <v>97.835285842890798</v>
      </c>
      <c r="AM1946">
        <v>119.62049244175201</v>
      </c>
      <c r="AN1946">
        <v>0.99999997934401397</v>
      </c>
    </row>
    <row r="1947" spans="1:40" x14ac:dyDescent="0.25">
      <c r="A1947" t="str">
        <f>"20190305135621553"</f>
        <v>20190305135621553</v>
      </c>
      <c r="B1947" t="str">
        <f>"1551765381544410"</f>
        <v>1551765381544410</v>
      </c>
      <c r="C1947" t="s">
        <v>40</v>
      </c>
      <c r="D1947">
        <v>4.8100050000000003</v>
      </c>
      <c r="E1947">
        <v>0.49838680000000002</v>
      </c>
      <c r="F1947" t="s">
        <v>41</v>
      </c>
      <c r="G1947">
        <v>-490.94720000000001</v>
      </c>
      <c r="H1947">
        <v>1.004346</v>
      </c>
      <c r="I1947">
        <v>226.572</v>
      </c>
      <c r="J1947">
        <v>-491.35860000000002</v>
      </c>
      <c r="K1947">
        <v>1.120879</v>
      </c>
      <c r="L1947">
        <v>227.02760000000001</v>
      </c>
      <c r="M1947">
        <v>-2.366623E-2</v>
      </c>
      <c r="N1947">
        <v>-1.521633E-2</v>
      </c>
      <c r="O1947">
        <v>-0.99960420000000005</v>
      </c>
      <c r="P1947">
        <v>0.47114630000000002</v>
      </c>
      <c r="Q1947">
        <v>-0.1329658</v>
      </c>
      <c r="R1947">
        <v>-0.87197569999999902</v>
      </c>
      <c r="S1947">
        <v>1.3958740000000001</v>
      </c>
      <c r="T1947">
        <v>-0.38851419999999998</v>
      </c>
      <c r="U1947">
        <v>-2.627075</v>
      </c>
      <c r="V1947">
        <v>-0.48805870000000001</v>
      </c>
      <c r="W1947">
        <v>-0.1337429</v>
      </c>
      <c r="X1947">
        <v>0.86250309999999897</v>
      </c>
      <c r="Y1947">
        <v>-0.48643750000000002</v>
      </c>
      <c r="Z1947">
        <v>0.1134819</v>
      </c>
      <c r="AA1947">
        <v>0.86631420000000003</v>
      </c>
      <c r="AB1947">
        <v>29</v>
      </c>
      <c r="AC1947">
        <v>0.41140000000001398</v>
      </c>
      <c r="AD1947">
        <v>-0.116533</v>
      </c>
      <c r="AE1947">
        <v>-0.455600000000003</v>
      </c>
      <c r="AF1947">
        <v>-0.40738686300221</v>
      </c>
      <c r="AG1947">
        <v>-0.116533</v>
      </c>
      <c r="AH1947">
        <v>0.43023025178185997</v>
      </c>
      <c r="AI1947">
        <v>101.12682900403099</v>
      </c>
      <c r="AJ1947">
        <v>133.43782391079799</v>
      </c>
      <c r="AK1947">
        <v>0.60385599755576103</v>
      </c>
      <c r="AL1947">
        <v>97.685933960368899</v>
      </c>
      <c r="AM1947">
        <v>119.503921164421</v>
      </c>
      <c r="AN1947">
        <v>1.00000002772785</v>
      </c>
    </row>
    <row r="1948" spans="1:40" x14ac:dyDescent="0.25">
      <c r="A1948" t="str">
        <f>"20190305135621574"</f>
        <v>20190305135621574</v>
      </c>
      <c r="B1948" t="str">
        <f>"1551765381563930"</f>
        <v>1551765381563930</v>
      </c>
      <c r="C1948" t="s">
        <v>40</v>
      </c>
      <c r="D1948">
        <v>4.7898719999999999</v>
      </c>
      <c r="E1948">
        <v>0.50024099999999905</v>
      </c>
      <c r="F1948" t="s">
        <v>41</v>
      </c>
      <c r="G1948">
        <v>-490.85039999999998</v>
      </c>
      <c r="H1948">
        <v>0.98586280000000004</v>
      </c>
      <c r="I1948">
        <v>226.09710000000001</v>
      </c>
      <c r="J1948">
        <v>-491.3492</v>
      </c>
      <c r="K1948">
        <v>1.1214010000000001</v>
      </c>
      <c r="L1948">
        <v>226.7561</v>
      </c>
      <c r="M1948">
        <v>-7.4357569999999899E-3</v>
      </c>
      <c r="N1948">
        <v>-1.5407880000000001E-2</v>
      </c>
      <c r="O1948">
        <v>-0.99985380000000001</v>
      </c>
      <c r="P1948">
        <v>0.48622520000000002</v>
      </c>
      <c r="Q1948">
        <v>-0.1314659</v>
      </c>
      <c r="R1948">
        <v>-0.86388799999999899</v>
      </c>
      <c r="S1948">
        <v>1.426666</v>
      </c>
      <c r="T1948">
        <v>-0.37897720000000001</v>
      </c>
      <c r="U1948">
        <v>-2.6118320000000002</v>
      </c>
      <c r="V1948">
        <v>-0.48890650000000002</v>
      </c>
      <c r="W1948">
        <v>-0.13278180000000001</v>
      </c>
      <c r="X1948">
        <v>0.86217129999999997</v>
      </c>
      <c r="Y1948">
        <v>-0.48244110000000001</v>
      </c>
      <c r="Z1948">
        <v>0.1107571</v>
      </c>
      <c r="AA1948">
        <v>0.868897899999999</v>
      </c>
      <c r="AB1948">
        <v>29</v>
      </c>
      <c r="AC1948">
        <v>0.49880000000001701</v>
      </c>
      <c r="AD1948">
        <v>-0.1355382</v>
      </c>
      <c r="AE1948">
        <v>-0.65899999999999104</v>
      </c>
      <c r="AF1948">
        <v>-0.49049571491725302</v>
      </c>
      <c r="AG1948">
        <v>-0.1355382</v>
      </c>
      <c r="AH1948">
        <v>0.63811122001397302</v>
      </c>
      <c r="AI1948">
        <v>99.559108215998805</v>
      </c>
      <c r="AJ1948">
        <v>127.54833118421701</v>
      </c>
      <c r="AK1948">
        <v>0.81617558106031796</v>
      </c>
      <c r="AL1948">
        <v>97.630371921824405</v>
      </c>
      <c r="AM1948">
        <v>119.55602117811399</v>
      </c>
      <c r="AN1948">
        <v>0.99999996134858904</v>
      </c>
    </row>
    <row r="1949" spans="1:40" x14ac:dyDescent="0.25">
      <c r="A1949" t="str">
        <f>"20190305135621595"</f>
        <v>20190305135621595</v>
      </c>
      <c r="B1949" t="str">
        <f>"1551765381584426"</f>
        <v>1551765381584426</v>
      </c>
      <c r="C1949" t="s">
        <v>40</v>
      </c>
      <c r="D1949">
        <v>4.7572640000000002</v>
      </c>
      <c r="E1949">
        <v>0.50186500000000001</v>
      </c>
      <c r="F1949" t="s">
        <v>41</v>
      </c>
      <c r="G1949">
        <v>-490.8415</v>
      </c>
      <c r="H1949">
        <v>0.99198960000000003</v>
      </c>
      <c r="I1949">
        <v>225.85300000000001</v>
      </c>
      <c r="J1949">
        <v>-491.33600000000001</v>
      </c>
      <c r="K1949">
        <v>1.121821</v>
      </c>
      <c r="L1949">
        <v>226.50380000000001</v>
      </c>
      <c r="M1949">
        <v>8.3324290000000006E-3</v>
      </c>
      <c r="N1949">
        <v>-1.5600279999999999E-2</v>
      </c>
      <c r="O1949">
        <v>-0.99984379999999995</v>
      </c>
      <c r="P1949">
        <v>0.49938369999999999</v>
      </c>
      <c r="Q1949">
        <v>-0.13688629999999999</v>
      </c>
      <c r="R1949">
        <v>-0.85549929999999996</v>
      </c>
      <c r="S1949">
        <v>1.459473</v>
      </c>
      <c r="T1949">
        <v>-0.37174810000000003</v>
      </c>
      <c r="U1949">
        <v>-2.594681</v>
      </c>
      <c r="V1949">
        <v>-0.48818529999999999</v>
      </c>
      <c r="W1949">
        <v>-0.1386164</v>
      </c>
      <c r="X1949">
        <v>0.86166149999999997</v>
      </c>
      <c r="Y1949">
        <v>-0.47957850000000002</v>
      </c>
      <c r="Z1949">
        <v>0.1087207</v>
      </c>
      <c r="AA1949">
        <v>0.87073780000000001</v>
      </c>
      <c r="AB1949">
        <v>29</v>
      </c>
      <c r="AC1949">
        <v>0.49450000000001598</v>
      </c>
      <c r="AD1949">
        <v>-0.12983139999999899</v>
      </c>
      <c r="AE1949">
        <v>-0.65080000000003202</v>
      </c>
      <c r="AF1949">
        <v>-0.477023575255205</v>
      </c>
      <c r="AG1949">
        <v>-0.12983139999999899</v>
      </c>
      <c r="AH1949">
        <v>0.63878111074210697</v>
      </c>
      <c r="AI1949">
        <v>99.2494749516664</v>
      </c>
      <c r="AJ1949">
        <v>126.75132994444699</v>
      </c>
      <c r="AK1949">
        <v>0.80774314680852499</v>
      </c>
      <c r="AL1949">
        <v>97.967791453243393</v>
      </c>
      <c r="AM1949">
        <v>119.534274803016</v>
      </c>
      <c r="AN1949">
        <v>0.99999996703364902</v>
      </c>
    </row>
    <row r="1950" spans="1:40" x14ac:dyDescent="0.25">
      <c r="A1950" t="str">
        <f>"20190305135621614"</f>
        <v>20190305135621614</v>
      </c>
      <c r="B1950" t="str">
        <f>"1551765381603947"</f>
        <v>1551765381603947</v>
      </c>
      <c r="C1950" t="s">
        <v>40</v>
      </c>
      <c r="D1950">
        <v>4.7655900000000004</v>
      </c>
      <c r="E1950">
        <v>0.50331539999999997</v>
      </c>
      <c r="F1950" t="s">
        <v>41</v>
      </c>
      <c r="G1950">
        <v>-490.82040000000001</v>
      </c>
      <c r="H1950">
        <v>0.98865389999999997</v>
      </c>
      <c r="I1950">
        <v>225.61179999999999</v>
      </c>
      <c r="J1950">
        <v>-491.31920000000002</v>
      </c>
      <c r="K1950">
        <v>1.122201</v>
      </c>
      <c r="L1950">
        <v>226.26249999999999</v>
      </c>
      <c r="M1950">
        <v>2.401615E-2</v>
      </c>
      <c r="N1950">
        <v>-1.579206E-2</v>
      </c>
      <c r="O1950">
        <v>-0.99958689999999994</v>
      </c>
      <c r="P1950">
        <v>0.50631179999999998</v>
      </c>
      <c r="Q1950">
        <v>-0.14440359999999999</v>
      </c>
      <c r="R1950">
        <v>-0.85017410000000004</v>
      </c>
      <c r="S1950">
        <v>1.4884029999999999</v>
      </c>
      <c r="T1950">
        <v>-0.38467259999999998</v>
      </c>
      <c r="U1950">
        <v>-2.576355</v>
      </c>
      <c r="V1950">
        <v>-0.48131230000000003</v>
      </c>
      <c r="W1950">
        <v>-0.1462464</v>
      </c>
      <c r="X1950">
        <v>0.864262999999999</v>
      </c>
      <c r="Y1950">
        <v>-0.47557149999999998</v>
      </c>
      <c r="Z1950">
        <v>0.11339630000000001</v>
      </c>
      <c r="AA1950">
        <v>0.87233769999999999</v>
      </c>
      <c r="AB1950">
        <v>29</v>
      </c>
      <c r="AC1950">
        <v>0.49880000000001701</v>
      </c>
      <c r="AD1950">
        <v>-0.133547099999999</v>
      </c>
      <c r="AE1950">
        <v>-0.65069999999999995</v>
      </c>
      <c r="AF1950">
        <v>-0.47054261155874499</v>
      </c>
      <c r="AG1950">
        <v>-0.133547099999999</v>
      </c>
      <c r="AH1950">
        <v>0.64537034222497602</v>
      </c>
      <c r="AI1950">
        <v>99.492424554043595</v>
      </c>
      <c r="AJ1950">
        <v>126.095969490972</v>
      </c>
      <c r="AK1950">
        <v>0.80978272137315799</v>
      </c>
      <c r="AL1950">
        <v>98.409461806081197</v>
      </c>
      <c r="AM1950">
        <v>119.113648116927</v>
      </c>
      <c r="AN1950">
        <v>1.0000000364066199</v>
      </c>
    </row>
    <row r="1951" spans="1:40" x14ac:dyDescent="0.25">
      <c r="A1951" t="str">
        <f>"20190305135621637"</f>
        <v>20190305135621637</v>
      </c>
      <c r="B1951" t="str">
        <f>"1551765381634202"</f>
        <v>1551765381634202</v>
      </c>
      <c r="C1951" t="s">
        <v>40</v>
      </c>
      <c r="D1951">
        <v>4.774915</v>
      </c>
      <c r="E1951">
        <v>0.50528770000000001</v>
      </c>
      <c r="F1951" t="s">
        <v>54</v>
      </c>
      <c r="G1951">
        <v>-487.18290000000002</v>
      </c>
      <c r="H1951" s="1">
        <v>3.0236920000000002E-6</v>
      </c>
      <c r="I1951">
        <v>219.18010000000001</v>
      </c>
      <c r="J1951">
        <v>-491.29410000000001</v>
      </c>
      <c r="K1951">
        <v>1.122636</v>
      </c>
      <c r="L1951">
        <v>225.98330000000001</v>
      </c>
      <c r="M1951">
        <v>4.2908259999999997E-2</v>
      </c>
      <c r="N1951">
        <v>-1.6024839999999999E-2</v>
      </c>
      <c r="O1951">
        <v>-0.99895049999999996</v>
      </c>
      <c r="P1951">
        <v>0.51327529999999999</v>
      </c>
      <c r="Q1951">
        <v>-0.14733189999999999</v>
      </c>
      <c r="R1951">
        <v>-0.84548310000000004</v>
      </c>
      <c r="S1951">
        <v>1.4990840000000001</v>
      </c>
      <c r="T1951">
        <v>-0.40671089999999999</v>
      </c>
      <c r="U1951">
        <v>-2.5668329999999999</v>
      </c>
      <c r="V1951">
        <v>-0.47183170000000002</v>
      </c>
      <c r="W1951">
        <v>-0.1491574</v>
      </c>
      <c r="X1951">
        <v>0.86898039999999999</v>
      </c>
      <c r="Y1951">
        <v>-0.46256609999999998</v>
      </c>
      <c r="Z1951">
        <v>0.121168899999999</v>
      </c>
      <c r="AA1951">
        <v>0.87826569999999904</v>
      </c>
      <c r="AB1951">
        <v>28</v>
      </c>
      <c r="AC1951">
        <v>4.1111999999999904</v>
      </c>
      <c r="AD1951">
        <v>-1.1226329763079901</v>
      </c>
      <c r="AE1951">
        <v>-6.8032000000000004</v>
      </c>
      <c r="AF1951">
        <v>-3.7408463885839098</v>
      </c>
      <c r="AG1951">
        <v>-1.1226329763079901</v>
      </c>
      <c r="AH1951">
        <v>6.8369885264240304</v>
      </c>
      <c r="AI1951">
        <v>98.196940692333897</v>
      </c>
      <c r="AJ1951">
        <v>118.68519735876001</v>
      </c>
      <c r="AK1951">
        <v>7.8739220603793898</v>
      </c>
      <c r="AL1951">
        <v>98.578099743151697</v>
      </c>
      <c r="AM1951">
        <v>118.500704708927</v>
      </c>
      <c r="AN1951">
        <v>1.0000000093418999</v>
      </c>
    </row>
    <row r="1952" spans="1:40" x14ac:dyDescent="0.25">
      <c r="A1952" t="str">
        <f>"20190305135621658"</f>
        <v>20190305135621658</v>
      </c>
      <c r="B1952" t="str">
        <f>"1551765381653723"</f>
        <v>1551765381653723</v>
      </c>
      <c r="C1952" t="s">
        <v>40</v>
      </c>
      <c r="D1952">
        <v>4.7554689999999997</v>
      </c>
      <c r="E1952">
        <v>0.50622239999999996</v>
      </c>
      <c r="F1952" t="s">
        <v>41</v>
      </c>
      <c r="G1952">
        <v>-490.78960000000001</v>
      </c>
      <c r="H1952">
        <v>0.98444880000000001</v>
      </c>
      <c r="I1952">
        <v>225.12549999999999</v>
      </c>
      <c r="J1952">
        <v>-491.26519999999999</v>
      </c>
      <c r="K1952">
        <v>1.123032</v>
      </c>
      <c r="L1952">
        <v>225.72139999999999</v>
      </c>
      <c r="M1952">
        <v>6.123456E-2</v>
      </c>
      <c r="N1952">
        <v>-1.6293760000000001E-2</v>
      </c>
      <c r="O1952">
        <v>-0.9979905</v>
      </c>
      <c r="P1952">
        <v>0.51842670000000002</v>
      </c>
      <c r="Q1952">
        <v>-0.14715619999999999</v>
      </c>
      <c r="R1952">
        <v>-0.84236529999999998</v>
      </c>
      <c r="S1952">
        <v>1.5069269999999999</v>
      </c>
      <c r="T1952">
        <v>-0.4126494</v>
      </c>
      <c r="U1952">
        <v>-2.5615389999999998</v>
      </c>
      <c r="V1952">
        <v>-0.4610495</v>
      </c>
      <c r="W1952">
        <v>-0.14876410000000001</v>
      </c>
      <c r="X1952">
        <v>0.87481580000000003</v>
      </c>
      <c r="Y1952">
        <v>-0.44893460000000002</v>
      </c>
      <c r="Z1952">
        <v>0.1234</v>
      </c>
      <c r="AA1952">
        <v>0.88500290000000004</v>
      </c>
      <c r="AB1952">
        <v>28</v>
      </c>
      <c r="AC1952">
        <v>0.47559999999998498</v>
      </c>
      <c r="AD1952">
        <v>-0.13858319999999899</v>
      </c>
      <c r="AE1952">
        <v>-0.59589999999999999</v>
      </c>
      <c r="AF1952">
        <v>-0.42419767747533299</v>
      </c>
      <c r="AG1952">
        <v>-0.13858319999999899</v>
      </c>
      <c r="AH1952">
        <v>0.60395441867368505</v>
      </c>
      <c r="AI1952">
        <v>100.63469123167501</v>
      </c>
      <c r="AJ1952">
        <v>125.082940100111</v>
      </c>
      <c r="AK1952">
        <v>0.75093935356537</v>
      </c>
      <c r="AL1952">
        <v>98.555310785858794</v>
      </c>
      <c r="AM1952">
        <v>117.79033636243101</v>
      </c>
      <c r="AN1952">
        <v>1.00000004141434</v>
      </c>
    </row>
    <row r="1953" spans="1:40" x14ac:dyDescent="0.25">
      <c r="A1953" t="str">
        <f>"20190305135621681"</f>
        <v>20190305135621681</v>
      </c>
      <c r="B1953" t="str">
        <f>"1551765381674219"</f>
        <v>1551765381674219</v>
      </c>
      <c r="C1953" t="s">
        <v>40</v>
      </c>
      <c r="D1953">
        <v>4.7868380000000004</v>
      </c>
      <c r="E1953">
        <v>0.50709090000000001</v>
      </c>
      <c r="F1953" t="s">
        <v>41</v>
      </c>
      <c r="G1953">
        <v>-490.76889999999997</v>
      </c>
      <c r="H1953">
        <v>0.98799740000000003</v>
      </c>
      <c r="I1953">
        <v>224.88419999999999</v>
      </c>
      <c r="J1953">
        <v>-491.22980000000001</v>
      </c>
      <c r="K1953">
        <v>1.1234249999999999</v>
      </c>
      <c r="L1953">
        <v>225.45070000000001</v>
      </c>
      <c r="M1953">
        <v>8.0683370000000004E-2</v>
      </c>
      <c r="N1953">
        <v>-1.67127E-2</v>
      </c>
      <c r="O1953">
        <v>-0.99659989999999998</v>
      </c>
      <c r="P1953">
        <v>0.52558749999999999</v>
      </c>
      <c r="Q1953">
        <v>-0.1507491</v>
      </c>
      <c r="R1953">
        <v>-0.83727719999999894</v>
      </c>
      <c r="S1953">
        <v>1.516052</v>
      </c>
      <c r="T1953">
        <v>-0.41227560000000002</v>
      </c>
      <c r="U1953">
        <v>-2.5563349999999998</v>
      </c>
      <c r="V1953">
        <v>-0.4512584</v>
      </c>
      <c r="W1953">
        <v>-0.1519867</v>
      </c>
      <c r="X1953">
        <v>0.87935540000000001</v>
      </c>
      <c r="Y1953">
        <v>-0.43463170000000001</v>
      </c>
      <c r="Z1953">
        <v>0.1233018</v>
      </c>
      <c r="AA1953">
        <v>0.89212780000000003</v>
      </c>
      <c r="AB1953">
        <v>28</v>
      </c>
      <c r="AC1953">
        <v>0.460900000000037</v>
      </c>
      <c r="AD1953">
        <v>-0.13542759999999901</v>
      </c>
      <c r="AE1953">
        <v>-0.56650000000001899</v>
      </c>
      <c r="AF1953">
        <v>-0.39993080369210998</v>
      </c>
      <c r="AG1953">
        <v>-0.13542759999999901</v>
      </c>
      <c r="AH1953">
        <v>0.58183678166291097</v>
      </c>
      <c r="AI1953">
        <v>100.858334302939</v>
      </c>
      <c r="AJ1953">
        <v>124.50304051893499</v>
      </c>
      <c r="AK1953">
        <v>0.71890146966008595</v>
      </c>
      <c r="AL1953">
        <v>98.742076233523605</v>
      </c>
      <c r="AM1953">
        <v>117.165512886431</v>
      </c>
      <c r="AN1953">
        <v>1.0000000100283</v>
      </c>
    </row>
    <row r="1954" spans="1:40" x14ac:dyDescent="0.25">
      <c r="A1954" t="str">
        <f>"20190305135621703"</f>
        <v>20190305135621703</v>
      </c>
      <c r="B1954" t="str">
        <f>"1551765381693739"</f>
        <v>1551765381693739</v>
      </c>
      <c r="C1954" t="s">
        <v>40</v>
      </c>
      <c r="D1954">
        <v>4.7694749999999999</v>
      </c>
      <c r="E1954">
        <v>0.5078549</v>
      </c>
      <c r="F1954" t="s">
        <v>54</v>
      </c>
      <c r="G1954">
        <v>-487.12150000000003</v>
      </c>
      <c r="H1954" s="1">
        <v>2.9887139999999998E-6</v>
      </c>
      <c r="I1954">
        <v>218.62909999999999</v>
      </c>
      <c r="J1954">
        <v>-491.18759999999997</v>
      </c>
      <c r="K1954">
        <v>1.1237710000000001</v>
      </c>
      <c r="L1954">
        <v>225.17449999999999</v>
      </c>
      <c r="M1954">
        <v>0.10103810000000001</v>
      </c>
      <c r="N1954">
        <v>-1.7307159999999999E-2</v>
      </c>
      <c r="O1954">
        <v>-0.99473199999999995</v>
      </c>
      <c r="P1954">
        <v>0.53618189999999999</v>
      </c>
      <c r="Q1954">
        <v>-0.15569769999999999</v>
      </c>
      <c r="R1954">
        <v>-0.82961909999999905</v>
      </c>
      <c r="S1954">
        <v>1.5328980000000001</v>
      </c>
      <c r="T1954">
        <v>-0.41917090000000001</v>
      </c>
      <c r="U1954">
        <v>-2.5453030000000001</v>
      </c>
      <c r="V1954">
        <v>-0.44428630000000002</v>
      </c>
      <c r="W1954">
        <v>-0.15645339999999999</v>
      </c>
      <c r="X1954">
        <v>0.88211790000000001</v>
      </c>
      <c r="Y1954">
        <v>-0.42210979999999998</v>
      </c>
      <c r="Z1954">
        <v>0.12544939999999999</v>
      </c>
      <c r="AA1954">
        <v>0.89782280000000003</v>
      </c>
      <c r="AB1954">
        <v>28</v>
      </c>
      <c r="AC1954">
        <v>4.0660999999999401</v>
      </c>
      <c r="AD1954">
        <v>-1.12376801128599</v>
      </c>
      <c r="AE1954">
        <v>-6.5453999999999999</v>
      </c>
      <c r="AF1954">
        <v>-3.31337967137741</v>
      </c>
      <c r="AG1954">
        <v>-1.12376801128599</v>
      </c>
      <c r="AH1954">
        <v>6.7786126482365701</v>
      </c>
      <c r="AI1954">
        <v>98.471399082643998</v>
      </c>
      <c r="AJ1954">
        <v>116.049342429999</v>
      </c>
      <c r="AK1954">
        <v>7.6282978982679701</v>
      </c>
      <c r="AL1954">
        <v>99.001098544253693</v>
      </c>
      <c r="AM1954">
        <v>116.73250524739601</v>
      </c>
      <c r="AN1954">
        <v>0.99999998611982999</v>
      </c>
    </row>
    <row r="1955" spans="1:40" x14ac:dyDescent="0.25">
      <c r="A1955" t="str">
        <f>"20190305135621725"</f>
        <v>20190305135621725</v>
      </c>
      <c r="B1955" t="str">
        <f>"1551765381714234"</f>
        <v>1551765381714234</v>
      </c>
      <c r="C1955" t="s">
        <v>40</v>
      </c>
      <c r="D1955">
        <v>4.7856969999999999</v>
      </c>
      <c r="E1955">
        <v>0.50853530000000002</v>
      </c>
      <c r="F1955" t="s">
        <v>54</v>
      </c>
      <c r="G1955">
        <v>-487.11279999999999</v>
      </c>
      <c r="H1955" s="1">
        <v>2.9848959999999999E-6</v>
      </c>
      <c r="I1955">
        <v>218.577</v>
      </c>
      <c r="J1955">
        <v>-491.1422</v>
      </c>
      <c r="K1955">
        <v>1.1240790000000001</v>
      </c>
      <c r="L1955">
        <v>224.91499999999999</v>
      </c>
      <c r="M1955">
        <v>0.1206743</v>
      </c>
      <c r="N1955">
        <v>-1.79683E-2</v>
      </c>
      <c r="O1955">
        <v>-0.99252969999999896</v>
      </c>
      <c r="P1955">
        <v>0.54580240000000002</v>
      </c>
      <c r="Q1955">
        <v>-0.15958020000000001</v>
      </c>
      <c r="R1955">
        <v>-0.82257800000000003</v>
      </c>
      <c r="S1955">
        <v>1.5605469999999999</v>
      </c>
      <c r="T1955">
        <v>-0.43037920000000002</v>
      </c>
      <c r="U1955">
        <v>-2.5267029999999999</v>
      </c>
      <c r="V1955">
        <v>-0.43701210000000001</v>
      </c>
      <c r="W1955">
        <v>-0.1597025</v>
      </c>
      <c r="X1955">
        <v>0.88516410000000001</v>
      </c>
      <c r="Y1955">
        <v>-0.41401779999999999</v>
      </c>
      <c r="Z1955">
        <v>0.1289573</v>
      </c>
      <c r="AA1955">
        <v>0.90108779999999999</v>
      </c>
      <c r="AB1955">
        <v>28</v>
      </c>
      <c r="AC1955">
        <v>4.0294000000000096</v>
      </c>
      <c r="AD1955">
        <v>-1.1240760151039999</v>
      </c>
      <c r="AE1955">
        <v>-6.3379999999999903</v>
      </c>
      <c r="AF1955">
        <v>-3.1641085676156302</v>
      </c>
      <c r="AG1955">
        <v>-1.1240760151039999</v>
      </c>
      <c r="AH1955">
        <v>6.62948549691406</v>
      </c>
      <c r="AI1955">
        <v>98.7000111120594</v>
      </c>
      <c r="AJ1955">
        <v>115.514123442108</v>
      </c>
      <c r="AK1955">
        <v>7.4313664873416503</v>
      </c>
      <c r="AL1955">
        <v>99.189628926674303</v>
      </c>
      <c r="AM1955">
        <v>116.275896018067</v>
      </c>
      <c r="AN1955">
        <v>0.99999997399073404</v>
      </c>
    </row>
    <row r="1956" spans="1:40" x14ac:dyDescent="0.25">
      <c r="A1956" t="str">
        <f>"20190305135621749"</f>
        <v>20190305135621749</v>
      </c>
      <c r="B1956" t="str">
        <f>"1551765381743515"</f>
        <v>1551765381743515</v>
      </c>
      <c r="C1956" t="s">
        <v>40</v>
      </c>
      <c r="D1956">
        <v>4.7606799999999998</v>
      </c>
      <c r="E1956">
        <v>0.50918160000000001</v>
      </c>
      <c r="F1956" t="s">
        <v>54</v>
      </c>
      <c r="G1956">
        <v>-487.07670000000002</v>
      </c>
      <c r="H1956" s="1">
        <v>2.9744019999999999E-6</v>
      </c>
      <c r="I1956">
        <v>218.48330000000001</v>
      </c>
      <c r="J1956">
        <v>-491.08580000000001</v>
      </c>
      <c r="K1956">
        <v>1.124433</v>
      </c>
      <c r="L1956">
        <v>224.62979999999999</v>
      </c>
      <c r="M1956">
        <v>0.14285709999999999</v>
      </c>
      <c r="N1956">
        <v>-1.873147E-2</v>
      </c>
      <c r="O1956">
        <v>-0.9895661</v>
      </c>
      <c r="P1956">
        <v>0.55868079999999998</v>
      </c>
      <c r="Q1956">
        <v>-0.16046479999999999</v>
      </c>
      <c r="R1956">
        <v>-0.81371199999999999</v>
      </c>
      <c r="S1956">
        <v>1.586273</v>
      </c>
      <c r="T1956">
        <v>-0.43859700000000001</v>
      </c>
      <c r="U1956">
        <v>-2.5095369999999999</v>
      </c>
      <c r="V1956">
        <v>-0.43106220000000001</v>
      </c>
      <c r="W1956">
        <v>-0.15991379999999999</v>
      </c>
      <c r="X1956">
        <v>0.88803880000000002</v>
      </c>
      <c r="Y1956">
        <v>-0.40285260000000001</v>
      </c>
      <c r="Z1956">
        <v>0.13128329999999999</v>
      </c>
      <c r="AA1956">
        <v>0.90580050000000001</v>
      </c>
      <c r="AB1956">
        <v>28</v>
      </c>
      <c r="AC1956">
        <v>4.0090999999999797</v>
      </c>
      <c r="AD1956">
        <v>-1.124430025598</v>
      </c>
      <c r="AE1956">
        <v>-6.1464999999999703</v>
      </c>
      <c r="AF1956">
        <v>-3.0188635088948699</v>
      </c>
      <c r="AG1956">
        <v>-1.124430025598</v>
      </c>
      <c r="AH1956">
        <v>6.5035733896570402</v>
      </c>
      <c r="AI1956">
        <v>98.9126813608909</v>
      </c>
      <c r="AJ1956">
        <v>114.900038067295</v>
      </c>
      <c r="AK1956">
        <v>7.2577094597716298</v>
      </c>
      <c r="AL1956">
        <v>99.201893115872707</v>
      </c>
      <c r="AM1956">
        <v>115.89236269315801</v>
      </c>
      <c r="AN1956">
        <v>0.99999997700235899</v>
      </c>
    </row>
    <row r="1957" spans="1:40" x14ac:dyDescent="0.25">
      <c r="A1957" t="str">
        <f>"20190305135621774"</f>
        <v>20190305135621774</v>
      </c>
      <c r="B1957" t="str">
        <f>"1551765381764010"</f>
        <v>1551765381764010</v>
      </c>
      <c r="C1957" t="s">
        <v>40</v>
      </c>
      <c r="D1957">
        <v>4.7690659999999996</v>
      </c>
      <c r="E1957">
        <v>0.50953930000000003</v>
      </c>
      <c r="F1957" t="s">
        <v>54</v>
      </c>
      <c r="G1957">
        <v>-486.93459999999999</v>
      </c>
      <c r="H1957" s="1">
        <v>2.9395080000000002E-6</v>
      </c>
      <c r="I1957">
        <v>218.26179999999999</v>
      </c>
      <c r="J1957">
        <v>-491.02359999999999</v>
      </c>
      <c r="K1957">
        <v>1.1248</v>
      </c>
      <c r="L1957">
        <v>224.35380000000001</v>
      </c>
      <c r="M1957">
        <v>0.165015299999999</v>
      </c>
      <c r="N1957">
        <v>-1.94567E-2</v>
      </c>
      <c r="O1957">
        <v>-0.98609919999999995</v>
      </c>
      <c r="P1957">
        <v>0.57279279999999999</v>
      </c>
      <c r="Q1957">
        <v>-0.15558839999999999</v>
      </c>
      <c r="R1957">
        <v>-0.80479869999999898</v>
      </c>
      <c r="S1957">
        <v>1.6213070000000001</v>
      </c>
      <c r="T1957">
        <v>-0.43915720000000003</v>
      </c>
      <c r="U1957">
        <v>-2.4870610000000002</v>
      </c>
      <c r="V1957">
        <v>-0.42660569999999998</v>
      </c>
      <c r="W1957">
        <v>-0.1544189</v>
      </c>
      <c r="X1957">
        <v>0.89115789999999995</v>
      </c>
      <c r="Y1957">
        <v>-0.3950535</v>
      </c>
      <c r="Z1957">
        <v>0.13099930000000001</v>
      </c>
      <c r="AA1957">
        <v>0.90927000000000002</v>
      </c>
      <c r="AB1957">
        <v>28</v>
      </c>
      <c r="AC1957">
        <v>4.0889999999999898</v>
      </c>
      <c r="AD1957">
        <v>-1.1247970604919999</v>
      </c>
      <c r="AE1957">
        <v>-6.0920000000000103</v>
      </c>
      <c r="AF1957">
        <v>-2.9579416190413799</v>
      </c>
      <c r="AG1957">
        <v>-1.1247970604919999</v>
      </c>
      <c r="AH1957">
        <v>6.5298634059314002</v>
      </c>
      <c r="AI1957">
        <v>98.917376140123295</v>
      </c>
      <c r="AJ1957">
        <v>114.369896593904</v>
      </c>
      <c r="AK1957">
        <v>7.2562871462663798</v>
      </c>
      <c r="AL1957">
        <v>98.8830958218918</v>
      </c>
      <c r="AM1957">
        <v>115.580878375037</v>
      </c>
      <c r="AN1957">
        <v>1.0000000113410501</v>
      </c>
    </row>
    <row r="1958" spans="1:40" x14ac:dyDescent="0.25">
      <c r="A1958" t="str">
        <f>"20190305135621796"</f>
        <v>20190305135621796</v>
      </c>
      <c r="B1958" t="str">
        <f>"1551765381783531"</f>
        <v>1551765381783531</v>
      </c>
      <c r="C1958" t="s">
        <v>40</v>
      </c>
      <c r="D1958">
        <v>4.716755</v>
      </c>
      <c r="E1958">
        <v>0.51002689999999995</v>
      </c>
      <c r="F1958" t="s">
        <v>54</v>
      </c>
      <c r="G1958">
        <v>-486.60680000000002</v>
      </c>
      <c r="H1958" s="1">
        <v>2.861613E-6</v>
      </c>
      <c r="I1958">
        <v>217.80969999999999</v>
      </c>
      <c r="J1958">
        <v>-490.96050000000002</v>
      </c>
      <c r="K1958">
        <v>1.1251310000000001</v>
      </c>
      <c r="L1958">
        <v>224.10130000000001</v>
      </c>
      <c r="M1958">
        <v>0.18579329999999999</v>
      </c>
      <c r="N1958">
        <v>-2.0082389999999999E-2</v>
      </c>
      <c r="O1958">
        <v>-0.98238369999999997</v>
      </c>
      <c r="P1958">
        <v>0.58429909999999996</v>
      </c>
      <c r="Q1958">
        <v>-0.14660860000000001</v>
      </c>
      <c r="R1958">
        <v>-0.79818639999999996</v>
      </c>
      <c r="S1958">
        <v>1.66220099999999</v>
      </c>
      <c r="T1958">
        <v>-0.42331049999999998</v>
      </c>
      <c r="U1958">
        <v>-2.4628299999999999</v>
      </c>
      <c r="V1958">
        <v>-0.42058269999999998</v>
      </c>
      <c r="W1958">
        <v>-0.14477979999999999</v>
      </c>
      <c r="X1958">
        <v>0.89562770000000003</v>
      </c>
      <c r="Y1958">
        <v>-0.39065149999999998</v>
      </c>
      <c r="Z1958">
        <v>0.125168899999999</v>
      </c>
      <c r="AA1958">
        <v>0.9119891</v>
      </c>
      <c r="AB1958">
        <v>27</v>
      </c>
      <c r="AC1958">
        <v>4.3536999999999999</v>
      </c>
      <c r="AD1958">
        <v>-1.125128138387</v>
      </c>
      <c r="AE1958">
        <v>-6.2916000000000096</v>
      </c>
      <c r="AF1958">
        <v>-3.04289046543101</v>
      </c>
      <c r="AG1958">
        <v>-1.125128138387</v>
      </c>
      <c r="AH1958">
        <v>6.8430801763417604</v>
      </c>
      <c r="AI1958">
        <v>98.543934065560407</v>
      </c>
      <c r="AJ1958">
        <v>113.97312599227099</v>
      </c>
      <c r="AK1958">
        <v>7.5731659173850696</v>
      </c>
      <c r="AL1958">
        <v>98.324528210696002</v>
      </c>
      <c r="AM1958">
        <v>115.15453676363499</v>
      </c>
      <c r="AN1958">
        <v>0.99999998751730901</v>
      </c>
    </row>
    <row r="1959" spans="1:40" x14ac:dyDescent="0.25">
      <c r="A1959" t="str">
        <f>"20190305135621815"</f>
        <v>20190305135621815</v>
      </c>
      <c r="B1959" t="str">
        <f>"1551765381804027"</f>
        <v>1551765381804027</v>
      </c>
      <c r="C1959" t="s">
        <v>40</v>
      </c>
      <c r="D1959">
        <v>5.0998989999999997</v>
      </c>
      <c r="E1959">
        <v>0.50996549999999996</v>
      </c>
      <c r="F1959" t="s">
        <v>54</v>
      </c>
      <c r="G1959">
        <v>-486.15600000000001</v>
      </c>
      <c r="H1959" s="1">
        <v>2.7535110000000001E-6</v>
      </c>
      <c r="I1959">
        <v>217.1661</v>
      </c>
      <c r="J1959">
        <v>-490.89729999999997</v>
      </c>
      <c r="K1959">
        <v>1.1254139999999999</v>
      </c>
      <c r="L1959">
        <v>223.87020000000001</v>
      </c>
      <c r="M1959">
        <v>0.20524049999999999</v>
      </c>
      <c r="N1959">
        <v>-2.0603940000000001E-2</v>
      </c>
      <c r="O1959">
        <v>-0.97849489999999995</v>
      </c>
      <c r="P1959">
        <v>0.59162169999999903</v>
      </c>
      <c r="Q1959">
        <v>-0.13963239999999999</v>
      </c>
      <c r="R1959">
        <v>-0.79403219999999997</v>
      </c>
      <c r="S1959">
        <v>1.69415299999999</v>
      </c>
      <c r="T1959">
        <v>-0.39674340000000002</v>
      </c>
      <c r="U1959">
        <v>-2.4454799999999999</v>
      </c>
      <c r="V1959">
        <v>-0.41104220000000002</v>
      </c>
      <c r="W1959">
        <v>-0.1370371</v>
      </c>
      <c r="X1959">
        <v>0.90125759999999999</v>
      </c>
      <c r="Y1959">
        <v>-0.384189</v>
      </c>
      <c r="Z1959">
        <v>0.11567429999999999</v>
      </c>
      <c r="AA1959">
        <v>0.9159794</v>
      </c>
      <c r="AB1959">
        <v>27</v>
      </c>
      <c r="AC1959">
        <v>4.7412999999999599</v>
      </c>
      <c r="AD1959">
        <v>-1.12541124648899</v>
      </c>
      <c r="AE1959">
        <v>-6.7041000000000102</v>
      </c>
      <c r="AF1959">
        <v>-3.2038932989701898</v>
      </c>
      <c r="AG1959">
        <v>-1.12541124648899</v>
      </c>
      <c r="AH1959">
        <v>7.3957067040443603</v>
      </c>
      <c r="AI1959">
        <v>97.948904002919093</v>
      </c>
      <c r="AJ1959">
        <v>113.422737979838</v>
      </c>
      <c r="AK1959">
        <v>8.1380563033906803</v>
      </c>
      <c r="AL1959">
        <v>97.876431585104299</v>
      </c>
      <c r="AM1959">
        <v>114.51660316398601</v>
      </c>
      <c r="AN1959">
        <v>1.0000000592575</v>
      </c>
    </row>
    <row r="1960" spans="1:40" x14ac:dyDescent="0.25">
      <c r="A1960" t="str">
        <f>"20190305135621841"</f>
        <v>20190305135621841</v>
      </c>
      <c r="B1960" t="str">
        <f>"1551765381834283"</f>
        <v>1551765381834283</v>
      </c>
      <c r="C1960" t="s">
        <v>40</v>
      </c>
      <c r="D1960">
        <v>4.7223459999999999</v>
      </c>
      <c r="E1960">
        <v>0.452517</v>
      </c>
      <c r="F1960" t="s">
        <v>54</v>
      </c>
      <c r="G1960">
        <v>-485.75029999999998</v>
      </c>
      <c r="H1960" s="1">
        <v>2.655644E-6</v>
      </c>
      <c r="I1960">
        <v>216.5736</v>
      </c>
      <c r="J1960">
        <v>-490.81630000000001</v>
      </c>
      <c r="K1960">
        <v>1.1256820000000001</v>
      </c>
      <c r="L1960">
        <v>223.59909999999999</v>
      </c>
      <c r="M1960">
        <v>0.2285769</v>
      </c>
      <c r="N1960">
        <v>-2.1146370000000001E-2</v>
      </c>
      <c r="O1960">
        <v>-0.97329600000000005</v>
      </c>
      <c r="P1960">
        <v>0.60364530000000005</v>
      </c>
      <c r="Q1960">
        <v>-0.1346396</v>
      </c>
      <c r="R1960">
        <v>-0.78580150000000004</v>
      </c>
      <c r="S1960">
        <v>1.716461</v>
      </c>
      <c r="T1960">
        <v>-0.37530780000000002</v>
      </c>
      <c r="U1960">
        <v>-2.4332889999999998</v>
      </c>
      <c r="V1960">
        <v>-0.40318199999999998</v>
      </c>
      <c r="W1960">
        <v>-0.13134849999999901</v>
      </c>
      <c r="X1960">
        <v>0.90564449999999996</v>
      </c>
      <c r="Y1960">
        <v>-0.37041560000000001</v>
      </c>
      <c r="Z1960">
        <v>0.1077486</v>
      </c>
      <c r="AA1960">
        <v>0.92259559999999996</v>
      </c>
      <c r="AB1960">
        <v>27</v>
      </c>
      <c r="AC1960">
        <v>5.06600000000003</v>
      </c>
      <c r="AD1960">
        <v>-1.125679344356</v>
      </c>
      <c r="AE1960">
        <v>-7.0254999999999903</v>
      </c>
      <c r="AF1960">
        <v>-3.27035696817856</v>
      </c>
      <c r="AG1960">
        <v>-1.125679344356</v>
      </c>
      <c r="AH1960">
        <v>7.8648112387801996</v>
      </c>
      <c r="AI1960">
        <v>97.5284860556702</v>
      </c>
      <c r="AJ1960">
        <v>112.57858750790299</v>
      </c>
      <c r="AK1960">
        <v>8.5917195314597699</v>
      </c>
      <c r="AL1960">
        <v>97.547523484385806</v>
      </c>
      <c r="AM1960">
        <v>113.99805115676</v>
      </c>
      <c r="AN1960">
        <v>1.0000000569782399</v>
      </c>
    </row>
    <row r="1961" spans="1:40" x14ac:dyDescent="0.25">
      <c r="A1961" t="str">
        <f>"20190305135621884"</f>
        <v>20190305135621884</v>
      </c>
      <c r="B1961" t="str">
        <f>"1551765381874300"</f>
        <v>1551765381874300</v>
      </c>
      <c r="C1961" t="s">
        <v>40</v>
      </c>
      <c r="D1961">
        <v>4.5807469999999997</v>
      </c>
      <c r="E1961">
        <v>0.45187349999999998</v>
      </c>
      <c r="F1961" t="s">
        <v>41</v>
      </c>
      <c r="G1961">
        <v>-490.13650000000001</v>
      </c>
      <c r="H1961">
        <v>1.023741</v>
      </c>
      <c r="I1961">
        <v>222.91579999999999</v>
      </c>
      <c r="J1961">
        <v>-490.65550000000002</v>
      </c>
      <c r="K1961">
        <v>1.1260300000000001</v>
      </c>
      <c r="L1961">
        <v>223.12450000000001</v>
      </c>
      <c r="M1961">
        <v>0.27070539999999998</v>
      </c>
      <c r="N1961">
        <v>-2.195716E-2</v>
      </c>
      <c r="O1961">
        <v>-0.96241189999999999</v>
      </c>
      <c r="P1961">
        <v>0.6293704</v>
      </c>
      <c r="Q1961">
        <v>-0.12470290000000001</v>
      </c>
      <c r="R1961">
        <v>-0.76703469999999996</v>
      </c>
      <c r="S1961">
        <v>2.1221619999999999</v>
      </c>
      <c r="T1961">
        <v>-0.31819770000000003</v>
      </c>
      <c r="U1961">
        <v>-2.1329799999999999</v>
      </c>
      <c r="V1961">
        <v>-0.3937022</v>
      </c>
      <c r="W1961">
        <v>-0.1204287</v>
      </c>
      <c r="X1961">
        <v>0.91131530000000005</v>
      </c>
      <c r="Y1961">
        <v>-0.48359279999999999</v>
      </c>
      <c r="Z1961">
        <v>8.9117940000000007E-2</v>
      </c>
      <c r="AA1961">
        <v>0.87074449999999903</v>
      </c>
      <c r="AB1961">
        <v>27</v>
      </c>
      <c r="AC1961">
        <v>0.51900000000000501</v>
      </c>
      <c r="AD1961">
        <v>-0.10228899999999901</v>
      </c>
      <c r="AE1961">
        <v>-0.20870000000002101</v>
      </c>
      <c r="AF1961">
        <v>-0.42876564481067397</v>
      </c>
      <c r="AG1961">
        <v>-0.10228899999999901</v>
      </c>
      <c r="AH1961">
        <v>0.33038656589029503</v>
      </c>
      <c r="AI1961">
        <v>100.70113682602199</v>
      </c>
      <c r="AJ1961">
        <v>142.38385042850899</v>
      </c>
      <c r="AK1961">
        <v>0.55087049350250705</v>
      </c>
      <c r="AL1961">
        <v>96.916844467618205</v>
      </c>
      <c r="AM1961">
        <v>113.365085732615</v>
      </c>
      <c r="AN1961">
        <v>1.0000000350413001</v>
      </c>
    </row>
    <row r="1962" spans="1:40" x14ac:dyDescent="0.25">
      <c r="A1962" t="str">
        <f>"20190305135621905"</f>
        <v>20190305135621905</v>
      </c>
      <c r="B1962" t="str">
        <f>"1551765381893819"</f>
        <v>1551765381893819</v>
      </c>
      <c r="C1962" t="s">
        <v>40</v>
      </c>
      <c r="D1962">
        <v>4.7480949999999904</v>
      </c>
      <c r="E1962">
        <v>0.4516693</v>
      </c>
      <c r="F1962" t="s">
        <v>41</v>
      </c>
      <c r="G1962">
        <v>-489.98610000000002</v>
      </c>
      <c r="H1962">
        <v>1.050735</v>
      </c>
      <c r="I1962">
        <v>222.4958</v>
      </c>
      <c r="J1962">
        <v>-490.56819999999999</v>
      </c>
      <c r="K1962">
        <v>1.1261289999999999</v>
      </c>
      <c r="L1962">
        <v>222.8939</v>
      </c>
      <c r="M1962">
        <v>0.29175220000000002</v>
      </c>
      <c r="N1962">
        <v>-2.231727E-2</v>
      </c>
      <c r="O1962">
        <v>-0.95623369999999996</v>
      </c>
      <c r="P1962">
        <v>0.64393909999999999</v>
      </c>
      <c r="Q1962">
        <v>-0.12389790000000001</v>
      </c>
      <c r="R1962">
        <v>-0.75497829999999999</v>
      </c>
      <c r="S1962">
        <v>2.2001040000000001</v>
      </c>
      <c r="T1962">
        <v>-0.24737999999999999</v>
      </c>
      <c r="U1962">
        <v>-2.0657040000000002</v>
      </c>
      <c r="V1962">
        <v>-0.39114470000000001</v>
      </c>
      <c r="W1962">
        <v>-0.11924650000000001</v>
      </c>
      <c r="X1962">
        <v>0.91257109999999997</v>
      </c>
      <c r="Y1962">
        <v>-0.49549579999999999</v>
      </c>
      <c r="Z1962">
        <v>6.4921300000000001E-2</v>
      </c>
      <c r="AA1962">
        <v>0.86618079999999997</v>
      </c>
      <c r="AB1962">
        <v>27</v>
      </c>
      <c r="AC1962">
        <v>0.58209999999996798</v>
      </c>
      <c r="AD1962">
        <v>-7.53940000000001E-2</v>
      </c>
      <c r="AE1962">
        <v>-0.39809999999999901</v>
      </c>
      <c r="AF1962">
        <v>-0.435607894317593</v>
      </c>
      <c r="AG1962">
        <v>-7.53940000000001E-2</v>
      </c>
      <c r="AH1962">
        <v>0.544420105407739</v>
      </c>
      <c r="AI1962">
        <v>96.171507399788595</v>
      </c>
      <c r="AJ1962">
        <v>128.66441613833101</v>
      </c>
      <c r="AK1962">
        <v>0.70130716807970905</v>
      </c>
      <c r="AL1962">
        <v>96.848618247698496</v>
      </c>
      <c r="AM1962">
        <v>113.200860694215</v>
      </c>
      <c r="AN1962">
        <v>0.999999958327774</v>
      </c>
    </row>
    <row r="1963" spans="1:40" x14ac:dyDescent="0.25">
      <c r="A1963" t="str">
        <f>"20190305135621927"</f>
        <v>20190305135621927</v>
      </c>
      <c r="B1963" t="str">
        <f>"1551765381924075"</f>
        <v>1551765381924075</v>
      </c>
      <c r="C1963" t="s">
        <v>40</v>
      </c>
      <c r="D1963">
        <v>4.6353679999999997</v>
      </c>
      <c r="E1963">
        <v>0.45204729999999999</v>
      </c>
      <c r="F1963" t="s">
        <v>41</v>
      </c>
      <c r="G1963">
        <v>-489.90159999999997</v>
      </c>
      <c r="H1963">
        <v>1.054772</v>
      </c>
      <c r="I1963">
        <v>222.2921</v>
      </c>
      <c r="J1963">
        <v>-490.4717</v>
      </c>
      <c r="K1963">
        <v>1.126193</v>
      </c>
      <c r="L1963">
        <v>222.65620000000001</v>
      </c>
      <c r="M1963">
        <v>0.31384139999999999</v>
      </c>
      <c r="N1963">
        <v>-2.2678179999999999E-2</v>
      </c>
      <c r="O1963">
        <v>-0.94920459999999995</v>
      </c>
      <c r="P1963">
        <v>0.66184829999999994</v>
      </c>
      <c r="Q1963">
        <v>-0.1282915</v>
      </c>
      <c r="R1963">
        <v>-0.73857890000000004</v>
      </c>
      <c r="S1963">
        <v>2.241425</v>
      </c>
      <c r="T1963">
        <v>-0.239782</v>
      </c>
      <c r="U1963">
        <v>-2.022446</v>
      </c>
      <c r="V1963">
        <v>-0.39191019999999999</v>
      </c>
      <c r="W1963">
        <v>-0.1234232</v>
      </c>
      <c r="X1963">
        <v>0.91168700000000003</v>
      </c>
      <c r="Y1963">
        <v>-0.49267369999999999</v>
      </c>
      <c r="Z1963">
        <v>6.2137020000000001E-2</v>
      </c>
      <c r="AA1963">
        <v>0.86799289999999996</v>
      </c>
      <c r="AB1963">
        <v>26</v>
      </c>
      <c r="AC1963">
        <v>0.57010000000002403</v>
      </c>
      <c r="AD1963">
        <v>-7.1420999999999901E-2</v>
      </c>
      <c r="AE1963">
        <v>-0.36410000000000697</v>
      </c>
      <c r="AF1963">
        <v>-0.42227432687412603</v>
      </c>
      <c r="AG1963">
        <v>-7.1420999999999901E-2</v>
      </c>
      <c r="AH1963">
        <v>0.51887704163316295</v>
      </c>
      <c r="AI1963">
        <v>96.093774747991503</v>
      </c>
      <c r="AJ1963">
        <v>129.13950609964601</v>
      </c>
      <c r="AK1963">
        <v>0.67279265060788196</v>
      </c>
      <c r="AL1963">
        <v>97.089706404769203</v>
      </c>
      <c r="AM1963">
        <v>113.261593908847</v>
      </c>
      <c r="AN1963">
        <v>1.00000003856563</v>
      </c>
    </row>
    <row r="1964" spans="1:40" x14ac:dyDescent="0.25">
      <c r="A1964" t="str">
        <f>"20190305135621952"</f>
        <v>20190305135621952</v>
      </c>
      <c r="B1964" t="str">
        <f>"1551765381943596"</f>
        <v>1551765381943596</v>
      </c>
      <c r="C1964" t="s">
        <v>40</v>
      </c>
      <c r="D1964">
        <v>4.6308259999999999</v>
      </c>
      <c r="E1964">
        <v>0.45243640000000002</v>
      </c>
      <c r="F1964" t="s">
        <v>41</v>
      </c>
      <c r="G1964">
        <v>-489.81439999999998</v>
      </c>
      <c r="H1964">
        <v>1.054449</v>
      </c>
      <c r="I1964">
        <v>222.0908</v>
      </c>
      <c r="J1964">
        <v>-490.36360000000002</v>
      </c>
      <c r="K1964">
        <v>1.1262369999999999</v>
      </c>
      <c r="L1964">
        <v>222.4092</v>
      </c>
      <c r="M1964">
        <v>0.33728509999999901</v>
      </c>
      <c r="N1964">
        <v>-2.304378E-2</v>
      </c>
      <c r="O1964">
        <v>-0.94112050000000003</v>
      </c>
      <c r="P1964">
        <v>0.68215609999999904</v>
      </c>
      <c r="Q1964">
        <v>-0.13342789999999999</v>
      </c>
      <c r="R1964">
        <v>-0.71893019999999996</v>
      </c>
      <c r="S1964">
        <v>2.288116</v>
      </c>
      <c r="T1964">
        <v>-0.2497462</v>
      </c>
      <c r="U1964">
        <v>-1.9680629999999999</v>
      </c>
      <c r="V1964">
        <v>-0.39477980000000001</v>
      </c>
      <c r="W1964">
        <v>-0.12842870000000001</v>
      </c>
      <c r="X1964">
        <v>0.90975550000000005</v>
      </c>
      <c r="Y1964">
        <v>-0.49152859999999998</v>
      </c>
      <c r="Z1964">
        <v>6.5376379999999998E-2</v>
      </c>
      <c r="AA1964">
        <v>0.86840399999999995</v>
      </c>
      <c r="AB1964">
        <v>26</v>
      </c>
      <c r="AC1964">
        <v>0.54920000000004099</v>
      </c>
      <c r="AD1964">
        <v>-7.1788000000000102E-2</v>
      </c>
      <c r="AE1964">
        <v>-0.31839999999999602</v>
      </c>
      <c r="AF1964">
        <v>-0.40440900838567401</v>
      </c>
      <c r="AG1964">
        <v>-7.1788000000000102E-2</v>
      </c>
      <c r="AH1964">
        <v>0.47889446666214602</v>
      </c>
      <c r="AI1964">
        <v>96.533602679206197</v>
      </c>
      <c r="AJ1964">
        <v>130.179878994538</v>
      </c>
      <c r="AK1964">
        <v>0.63090417117586595</v>
      </c>
      <c r="AL1964">
        <v>97.378801988633398</v>
      </c>
      <c r="AM1964">
        <v>113.457977003343</v>
      </c>
      <c r="AN1964">
        <v>1.0000000456259801</v>
      </c>
    </row>
    <row r="1965" spans="1:40" x14ac:dyDescent="0.25">
      <c r="A1965" t="str">
        <f>"20190305135621975"</f>
        <v>20190305135621975</v>
      </c>
      <c r="B1965" t="str">
        <f>"1551765381964091"</f>
        <v>1551765381964091</v>
      </c>
      <c r="C1965" t="s">
        <v>40</v>
      </c>
      <c r="D1965">
        <v>4.6493219999999997</v>
      </c>
      <c r="E1965">
        <v>0.45273799999999997</v>
      </c>
      <c r="F1965" t="s">
        <v>41</v>
      </c>
      <c r="G1965">
        <v>-489.55079999999998</v>
      </c>
      <c r="H1965">
        <v>1.033434</v>
      </c>
      <c r="I1965">
        <v>221.74860000000001</v>
      </c>
      <c r="J1965">
        <v>-490.25540000000001</v>
      </c>
      <c r="K1965">
        <v>1.1262760000000001</v>
      </c>
      <c r="L1965">
        <v>222.17869999999999</v>
      </c>
      <c r="M1965">
        <v>0.35961169999999998</v>
      </c>
      <c r="N1965">
        <v>-2.33704E-2</v>
      </c>
      <c r="O1965">
        <v>-0.93280940000000001</v>
      </c>
      <c r="P1965">
        <v>0.70059640000000001</v>
      </c>
      <c r="Q1965">
        <v>-0.13396820000000001</v>
      </c>
      <c r="R1965">
        <v>-0.70086919999999897</v>
      </c>
      <c r="S1965">
        <v>2.3407290000000001</v>
      </c>
      <c r="T1965">
        <v>-0.26723750000000002</v>
      </c>
      <c r="U1965">
        <v>-1.902344</v>
      </c>
      <c r="V1965">
        <v>-0.39673920000000001</v>
      </c>
      <c r="W1965">
        <v>-0.1287971</v>
      </c>
      <c r="X1965">
        <v>0.90885059999999995</v>
      </c>
      <c r="Y1965">
        <v>-0.4946509</v>
      </c>
      <c r="Z1965">
        <v>7.1268590000000007E-2</v>
      </c>
      <c r="AA1965">
        <v>0.86616469999999901</v>
      </c>
      <c r="AB1965">
        <v>26</v>
      </c>
      <c r="AC1965">
        <v>0.70460000000002698</v>
      </c>
      <c r="AD1965">
        <v>-9.2841999999999994E-2</v>
      </c>
      <c r="AE1965">
        <v>-0.430099999999981</v>
      </c>
      <c r="AF1965">
        <v>-0.49644622925640702</v>
      </c>
      <c r="AG1965">
        <v>-9.2841999999999994E-2</v>
      </c>
      <c r="AH1965">
        <v>0.64658386677152502</v>
      </c>
      <c r="AI1965">
        <v>96.497446178353897</v>
      </c>
      <c r="AJ1965">
        <v>127.517005956701</v>
      </c>
      <c r="AK1965">
        <v>0.82045669738025895</v>
      </c>
      <c r="AL1965">
        <v>97.400086495235897</v>
      </c>
      <c r="AM1965">
        <v>113.58264134906899</v>
      </c>
      <c r="AN1965">
        <v>1.0000000494526999</v>
      </c>
    </row>
    <row r="1966" spans="1:40" x14ac:dyDescent="0.25">
      <c r="A1966" t="str">
        <f>"20190305135622018"</f>
        <v>20190305135622018</v>
      </c>
      <c r="B1966" t="str">
        <f>"1551765382013867"</f>
        <v>1551765382013867</v>
      </c>
      <c r="C1966" t="s">
        <v>40</v>
      </c>
      <c r="D1966">
        <v>4.6544689999999997</v>
      </c>
      <c r="E1966">
        <v>0.45434419999999998</v>
      </c>
      <c r="F1966" t="s">
        <v>41</v>
      </c>
      <c r="G1966">
        <v>-489.45269999999999</v>
      </c>
      <c r="H1966">
        <v>1.0357529999999999</v>
      </c>
      <c r="I1966">
        <v>221.5592</v>
      </c>
      <c r="J1966">
        <v>-490.04</v>
      </c>
      <c r="K1966">
        <v>1.1262890000000001</v>
      </c>
      <c r="L1966">
        <v>221.75989999999999</v>
      </c>
      <c r="M1966">
        <v>0.40132879999999999</v>
      </c>
      <c r="N1966">
        <v>-2.38739E-2</v>
      </c>
      <c r="O1966">
        <v>-0.91562310000000002</v>
      </c>
      <c r="P1966">
        <v>0.73319330000000005</v>
      </c>
      <c r="Q1966">
        <v>-0.13420029999999999</v>
      </c>
      <c r="R1966">
        <v>-0.66664709999999905</v>
      </c>
      <c r="S1966">
        <v>2.3878780000000002</v>
      </c>
      <c r="T1966">
        <v>-0.26914919999999998</v>
      </c>
      <c r="U1966">
        <v>-1.841995</v>
      </c>
      <c r="V1966">
        <v>-0.39903699999999998</v>
      </c>
      <c r="W1966">
        <v>-0.1287374</v>
      </c>
      <c r="X1966">
        <v>0.90785249999999995</v>
      </c>
      <c r="Y1966">
        <v>-0.4773596</v>
      </c>
      <c r="Z1966">
        <v>7.1162050000000004E-2</v>
      </c>
      <c r="AA1966">
        <v>0.87582179999999998</v>
      </c>
      <c r="AB1966">
        <v>26</v>
      </c>
      <c r="AC1966">
        <v>0.58730000000002702</v>
      </c>
      <c r="AD1966">
        <v>-9.05359999999997E-2</v>
      </c>
      <c r="AE1966">
        <v>-0.200699999999983</v>
      </c>
      <c r="AF1966">
        <v>-0.44780019843919899</v>
      </c>
      <c r="AG1966">
        <v>-9.05359999999997E-2</v>
      </c>
      <c r="AH1966">
        <v>0.41084306912894603</v>
      </c>
      <c r="AI1966">
        <v>98.473479418203098</v>
      </c>
      <c r="AJ1966">
        <v>137.46456412928401</v>
      </c>
      <c r="AK1966">
        <v>0.61442152669765604</v>
      </c>
      <c r="AL1966">
        <v>97.396637562368099</v>
      </c>
      <c r="AM1966">
        <v>113.72738379702</v>
      </c>
      <c r="AN1966">
        <v>1.000000003642</v>
      </c>
    </row>
    <row r="1967" spans="1:40" x14ac:dyDescent="0.25">
      <c r="A1967" t="str">
        <f>"20190305135622040"</f>
        <v>20190305135622040</v>
      </c>
      <c r="B1967" t="str">
        <f>"1551765382034362"</f>
        <v>1551765382034362</v>
      </c>
      <c r="C1967" t="s">
        <v>40</v>
      </c>
      <c r="D1967">
        <v>4.6829130000000001</v>
      </c>
      <c r="E1967">
        <v>0.4551134</v>
      </c>
      <c r="F1967" t="s">
        <v>41</v>
      </c>
      <c r="G1967">
        <v>-489.23910000000001</v>
      </c>
      <c r="H1967">
        <v>1.0377670000000001</v>
      </c>
      <c r="I1967">
        <v>221.19579999999999</v>
      </c>
      <c r="J1967">
        <v>-489.9212</v>
      </c>
      <c r="K1967">
        <v>1.1262799999999999</v>
      </c>
      <c r="L1967">
        <v>221.54839999999999</v>
      </c>
      <c r="M1967">
        <v>0.42298609999999998</v>
      </c>
      <c r="N1967">
        <v>-2.406076E-2</v>
      </c>
      <c r="O1967">
        <v>-0.90581690000000004</v>
      </c>
      <c r="P1967">
        <v>0.74995639999999997</v>
      </c>
      <c r="Q1967">
        <v>-0.14016289999999901</v>
      </c>
      <c r="R1967">
        <v>-0.64646759999999903</v>
      </c>
      <c r="S1967">
        <v>2.464172</v>
      </c>
      <c r="T1967">
        <v>-0.2722716</v>
      </c>
      <c r="U1967">
        <v>-1.7351989999999999</v>
      </c>
      <c r="V1967">
        <v>-0.40088410000000002</v>
      </c>
      <c r="W1967">
        <v>-0.13468620000000001</v>
      </c>
      <c r="X1967">
        <v>0.90617409999999998</v>
      </c>
      <c r="Y1967">
        <v>-0.49440000000000001</v>
      </c>
      <c r="Z1967">
        <v>7.2602940000000005E-2</v>
      </c>
      <c r="AA1967">
        <v>0.86619709999999905</v>
      </c>
      <c r="AB1967">
        <v>25</v>
      </c>
      <c r="AC1967">
        <v>0.68209999999999105</v>
      </c>
      <c r="AD1967">
        <v>-8.85129999999998E-2</v>
      </c>
      <c r="AE1967">
        <v>-0.35259999999999497</v>
      </c>
      <c r="AF1967">
        <v>-0.46269999410956197</v>
      </c>
      <c r="AG1967">
        <v>-8.85129999999998E-2</v>
      </c>
      <c r="AH1967">
        <v>0.60011137400367298</v>
      </c>
      <c r="AI1967">
        <v>96.662314325835496</v>
      </c>
      <c r="AJ1967">
        <v>127.633069021773</v>
      </c>
      <c r="AK1967">
        <v>0.76292823838586898</v>
      </c>
      <c r="AL1967">
        <v>97.740475011202903</v>
      </c>
      <c r="AM1967">
        <v>113.86421132231099</v>
      </c>
      <c r="AN1967">
        <v>0.99999996680702896</v>
      </c>
    </row>
    <row r="1968" spans="1:40" x14ac:dyDescent="0.25">
      <c r="A1968" t="str">
        <f>"20190305135622062"</f>
        <v>20190305135622062</v>
      </c>
      <c r="B1968" t="str">
        <f>"1551765382053883"</f>
        <v>1551765382053883</v>
      </c>
      <c r="C1968" t="s">
        <v>40</v>
      </c>
      <c r="D1968">
        <v>4.6969699999999897</v>
      </c>
      <c r="E1968">
        <v>0.45605810000000002</v>
      </c>
      <c r="F1968" t="s">
        <v>41</v>
      </c>
      <c r="G1968">
        <v>-489.12849999999997</v>
      </c>
      <c r="H1968">
        <v>1.033755</v>
      </c>
      <c r="I1968">
        <v>221.01849999999999</v>
      </c>
      <c r="J1968">
        <v>-489.7946</v>
      </c>
      <c r="K1968">
        <v>1.1262700000000001</v>
      </c>
      <c r="L1968">
        <v>221.33600000000001</v>
      </c>
      <c r="M1968">
        <v>0.4451524</v>
      </c>
      <c r="N1968">
        <v>-2.4188709999999999E-2</v>
      </c>
      <c r="O1968">
        <v>-0.89512800000000003</v>
      </c>
      <c r="P1968">
        <v>0.76518160000000002</v>
      </c>
      <c r="Q1968">
        <v>-0.14665810000000001</v>
      </c>
      <c r="R1968">
        <v>-0.626888</v>
      </c>
      <c r="S1968">
        <v>2.503479</v>
      </c>
      <c r="T1968">
        <v>-0.29209610000000003</v>
      </c>
      <c r="U1968">
        <v>-1.67301899999999</v>
      </c>
      <c r="V1968">
        <v>-0.4006112</v>
      </c>
      <c r="W1968">
        <v>-0.1411231</v>
      </c>
      <c r="X1968">
        <v>0.90531490000000003</v>
      </c>
      <c r="Y1968">
        <v>-0.49367810000000001</v>
      </c>
      <c r="Z1968">
        <v>7.9139360000000006E-2</v>
      </c>
      <c r="AA1968">
        <v>0.86603639999999904</v>
      </c>
      <c r="AB1968">
        <v>25</v>
      </c>
      <c r="AC1968">
        <v>0.666100000000028</v>
      </c>
      <c r="AD1968">
        <v>-9.2515000000000097E-2</v>
      </c>
      <c r="AE1968">
        <v>-0.31749999999999501</v>
      </c>
      <c r="AF1968">
        <v>-0.44799984681849597</v>
      </c>
      <c r="AG1968">
        <v>-9.2515000000000097E-2</v>
      </c>
      <c r="AH1968">
        <v>0.57189935580297102</v>
      </c>
      <c r="AI1968">
        <v>97.2573815768434</v>
      </c>
      <c r="AJ1968">
        <v>128.07352804050399</v>
      </c>
      <c r="AK1968">
        <v>0.73234674925355503</v>
      </c>
      <c r="AL1968">
        <v>98.112839871412802</v>
      </c>
      <c r="AM1968">
        <v>113.869885270289</v>
      </c>
      <c r="AN1968">
        <v>1.0000000655405199</v>
      </c>
    </row>
    <row r="1969" spans="1:40" x14ac:dyDescent="0.25">
      <c r="A1969" t="str">
        <f>"20190305135622087"</f>
        <v>20190305135622087</v>
      </c>
      <c r="B1969" t="str">
        <f>"1551765382084138"</f>
        <v>1551765382084138</v>
      </c>
      <c r="C1969" t="s">
        <v>40</v>
      </c>
      <c r="D1969">
        <v>4.6738289999999996</v>
      </c>
      <c r="E1969">
        <v>0.47491040000000001</v>
      </c>
      <c r="F1969" t="s">
        <v>41</v>
      </c>
      <c r="G1969">
        <v>-489.0181</v>
      </c>
      <c r="H1969">
        <v>1.0297639999999999</v>
      </c>
      <c r="I1969">
        <v>220.84190000000001</v>
      </c>
      <c r="J1969">
        <v>-489.65839999999997</v>
      </c>
      <c r="K1969">
        <v>1.126269</v>
      </c>
      <c r="L1969">
        <v>221.1207</v>
      </c>
      <c r="M1969">
        <v>0.46804560000000001</v>
      </c>
      <c r="N1969">
        <v>-2.4251129999999999E-2</v>
      </c>
      <c r="O1969">
        <v>-0.88337149999999998</v>
      </c>
      <c r="P1969">
        <v>0.77916779999999997</v>
      </c>
      <c r="Q1969">
        <v>-0.14898610000000001</v>
      </c>
      <c r="R1969">
        <v>-0.60885210000000001</v>
      </c>
      <c r="S1969">
        <v>2.5377809999999998</v>
      </c>
      <c r="T1969">
        <v>-0.31526910000000002</v>
      </c>
      <c r="U1969">
        <v>-1.614212</v>
      </c>
      <c r="V1969">
        <v>-0.39795570000000002</v>
      </c>
      <c r="W1969">
        <v>-0.1433131</v>
      </c>
      <c r="X1969">
        <v>0.90614159999999999</v>
      </c>
      <c r="Y1969">
        <v>-0.49026579999999897</v>
      </c>
      <c r="Z1969">
        <v>8.6635779999999996E-2</v>
      </c>
      <c r="AA1969">
        <v>0.86725640000000004</v>
      </c>
      <c r="AB1969">
        <v>25</v>
      </c>
      <c r="AC1969">
        <v>0.64029999999996701</v>
      </c>
      <c r="AD1969">
        <v>-9.6504999999999994E-2</v>
      </c>
      <c r="AE1969">
        <v>-0.278799999999989</v>
      </c>
      <c r="AF1969">
        <v>-0.427103834642172</v>
      </c>
      <c r="AG1969">
        <v>-9.6504999999999994E-2</v>
      </c>
      <c r="AH1969">
        <v>0.53590080561807996</v>
      </c>
      <c r="AI1969">
        <v>98.016013003080801</v>
      </c>
      <c r="AJ1969">
        <v>128.55424993787901</v>
      </c>
      <c r="AK1969">
        <v>0.69204087599877795</v>
      </c>
      <c r="AL1969">
        <v>98.239606797157407</v>
      </c>
      <c r="AM1969">
        <v>113.70993142826499</v>
      </c>
      <c r="AN1969">
        <v>0.99999999152232999</v>
      </c>
    </row>
    <row r="1970" spans="1:40" x14ac:dyDescent="0.25">
      <c r="A1970" t="str">
        <f>"20190305135622108"</f>
        <v>20190305135622108</v>
      </c>
      <c r="B1970" t="str">
        <f>"1551765382103659"</f>
        <v>1551765382103659</v>
      </c>
      <c r="C1970" t="s">
        <v>40</v>
      </c>
      <c r="D1970">
        <v>4.672523</v>
      </c>
      <c r="E1970">
        <v>0.47640670000000002</v>
      </c>
      <c r="F1970" t="s">
        <v>41</v>
      </c>
      <c r="G1970">
        <v>-488.87709999999998</v>
      </c>
      <c r="H1970">
        <v>1.023784</v>
      </c>
      <c r="I1970">
        <v>220.59350000000001</v>
      </c>
      <c r="J1970">
        <v>-489.53019999999998</v>
      </c>
      <c r="K1970">
        <v>1.126296</v>
      </c>
      <c r="L1970">
        <v>220.92939999999999</v>
      </c>
      <c r="M1970">
        <v>0.48878660000000002</v>
      </c>
      <c r="N1970">
        <v>-2.4213060000000002E-2</v>
      </c>
      <c r="O1970">
        <v>-0.872067499999999</v>
      </c>
      <c r="P1970">
        <v>0.79036850000000003</v>
      </c>
      <c r="Q1970">
        <v>-0.1458169</v>
      </c>
      <c r="R1970">
        <v>-0.59502569999999999</v>
      </c>
      <c r="S1970">
        <v>2.480194</v>
      </c>
      <c r="T1970">
        <v>-0.32537070000000001</v>
      </c>
      <c r="U1970">
        <v>-1.6736150000000001</v>
      </c>
      <c r="V1970">
        <v>-0.39316099999999998</v>
      </c>
      <c r="W1970">
        <v>-0.13996439999999999</v>
      </c>
      <c r="X1970">
        <v>0.90875430000000001</v>
      </c>
      <c r="Y1970">
        <v>-0.44543660000000002</v>
      </c>
      <c r="Z1970">
        <v>8.8587189999999996E-2</v>
      </c>
      <c r="AA1970">
        <v>0.89092009999999899</v>
      </c>
      <c r="AB1970">
        <v>25</v>
      </c>
      <c r="AC1970">
        <v>0.65309999999999402</v>
      </c>
      <c r="AD1970">
        <v>-0.10251199999999901</v>
      </c>
      <c r="AE1970">
        <v>-0.33589999999998099</v>
      </c>
      <c r="AF1970">
        <v>-0.39773349043496198</v>
      </c>
      <c r="AG1970">
        <v>-0.10251199999999901</v>
      </c>
      <c r="AH1970">
        <v>0.60063110854156199</v>
      </c>
      <c r="AI1970">
        <v>98.098948752573094</v>
      </c>
      <c r="AJ1970">
        <v>123.512232158214</v>
      </c>
      <c r="AK1970">
        <v>0.72763889952739802</v>
      </c>
      <c r="AL1970">
        <v>98.045786303735298</v>
      </c>
      <c r="AM1970">
        <v>113.39510881559301</v>
      </c>
      <c r="AN1970">
        <v>0.999999991478425</v>
      </c>
    </row>
    <row r="1971" spans="1:40" x14ac:dyDescent="0.25">
      <c r="A1971" t="str">
        <f>"20190305135622153"</f>
        <v>20190305135622153</v>
      </c>
      <c r="B1971" t="str">
        <f>"1551765382143675"</f>
        <v>1551765382143675</v>
      </c>
      <c r="C1971" t="s">
        <v>40</v>
      </c>
      <c r="D1971">
        <v>4.69984</v>
      </c>
      <c r="E1971">
        <v>0.4722788</v>
      </c>
      <c r="F1971" t="s">
        <v>54</v>
      </c>
      <c r="G1971">
        <v>-480.51389999999998</v>
      </c>
      <c r="H1971" s="1">
        <v>1.6591750000000001E-6</v>
      </c>
      <c r="I1971">
        <v>215.02680000000001</v>
      </c>
      <c r="J1971">
        <v>-489.25510000000003</v>
      </c>
      <c r="K1971">
        <v>1.1263639999999999</v>
      </c>
      <c r="L1971">
        <v>220.55199999999999</v>
      </c>
      <c r="M1971">
        <v>0.53091840000000001</v>
      </c>
      <c r="N1971">
        <v>-2.3770309999999999E-2</v>
      </c>
      <c r="O1971">
        <v>-0.8470896</v>
      </c>
      <c r="P1971">
        <v>0.8128533</v>
      </c>
      <c r="Q1971">
        <v>-0.13724529999999999</v>
      </c>
      <c r="R1971">
        <v>-0.56606859999999903</v>
      </c>
      <c r="S1971">
        <v>2.5039669999999998</v>
      </c>
      <c r="T1971">
        <v>-0.31278689999999998</v>
      </c>
      <c r="U1971">
        <v>-1.63922099999999</v>
      </c>
      <c r="V1971">
        <v>-0.38306889999999999</v>
      </c>
      <c r="W1971">
        <v>-0.1313617</v>
      </c>
      <c r="X1971">
        <v>0.91433160000000002</v>
      </c>
      <c r="Y1971">
        <v>-0.41427320000000001</v>
      </c>
      <c r="Z1971">
        <v>8.2826140000000006E-2</v>
      </c>
      <c r="AA1971">
        <v>0.90637610000000002</v>
      </c>
      <c r="AB1971">
        <v>25</v>
      </c>
      <c r="AC1971">
        <v>8.74120000000004</v>
      </c>
      <c r="AD1971">
        <v>-1.1263623408250001</v>
      </c>
      <c r="AE1971">
        <v>-5.5252000000000097</v>
      </c>
      <c r="AF1971">
        <v>-4.4199740829205103</v>
      </c>
      <c r="AG1971">
        <v>-1.1263623408250001</v>
      </c>
      <c r="AH1971">
        <v>9.2145161960683897</v>
      </c>
      <c r="AI1971">
        <v>96.289422843564907</v>
      </c>
      <c r="AJ1971">
        <v>115.625874887769</v>
      </c>
      <c r="AK1971">
        <v>10.281642463348099</v>
      </c>
      <c r="AL1971">
        <v>97.548287009504307</v>
      </c>
      <c r="AM1971">
        <v>112.73176282657199</v>
      </c>
      <c r="AN1971">
        <v>0.999999976566329</v>
      </c>
    </row>
    <row r="1972" spans="1:40" x14ac:dyDescent="0.25">
      <c r="A1972" t="str">
        <f>"20190305135622176"</f>
        <v>20190305135622176</v>
      </c>
      <c r="B1972" t="str">
        <f>"1551765382173932"</f>
        <v>1551765382173932</v>
      </c>
      <c r="C1972" t="s">
        <v>40</v>
      </c>
      <c r="D1972">
        <v>4.4994050000000003</v>
      </c>
      <c r="E1972">
        <v>0.41409869999999999</v>
      </c>
      <c r="F1972" t="s">
        <v>54</v>
      </c>
      <c r="G1972">
        <v>-482.62830000000002</v>
      </c>
      <c r="H1972" s="1">
        <v>2.1043170000000002E-6</v>
      </c>
      <c r="I1972">
        <v>216.63</v>
      </c>
      <c r="J1972">
        <v>-489.09660000000002</v>
      </c>
      <c r="K1972">
        <v>1.1263620000000001</v>
      </c>
      <c r="L1972">
        <v>220.35239999999999</v>
      </c>
      <c r="M1972">
        <v>0.55374679999999998</v>
      </c>
      <c r="N1972">
        <v>-2.3412479999999999E-2</v>
      </c>
      <c r="O1972">
        <v>-0.83235619999999999</v>
      </c>
      <c r="P1972">
        <v>0.82860119999999904</v>
      </c>
      <c r="Q1972">
        <v>-0.1363181</v>
      </c>
      <c r="R1972">
        <v>-0.54299030000000004</v>
      </c>
      <c r="S1972">
        <v>2.5614319999999999</v>
      </c>
      <c r="T1972">
        <v>-0.43537009999999998</v>
      </c>
      <c r="U1972">
        <v>-1.5159609999999999</v>
      </c>
      <c r="V1972">
        <v>-0.38406259999999998</v>
      </c>
      <c r="W1972">
        <v>-0.130855</v>
      </c>
      <c r="X1972">
        <v>0.91398740000000001</v>
      </c>
      <c r="Y1972">
        <v>-0.42624210000000001</v>
      </c>
      <c r="Z1972">
        <v>0.1223274</v>
      </c>
      <c r="AA1972">
        <v>0.89629999999999999</v>
      </c>
      <c r="AB1972">
        <v>25</v>
      </c>
      <c r="AC1972">
        <v>6.4682999999999904</v>
      </c>
      <c r="AD1972">
        <v>-1.1263598956829901</v>
      </c>
      <c r="AE1972">
        <v>-3.7223999999999902</v>
      </c>
      <c r="AF1972">
        <v>-3.24955080971852</v>
      </c>
      <c r="AG1972">
        <v>-1.1263598956829901</v>
      </c>
      <c r="AH1972">
        <v>6.5331731484459601</v>
      </c>
      <c r="AI1972">
        <v>98.775228969483905</v>
      </c>
      <c r="AJ1972">
        <v>116.44540394202799</v>
      </c>
      <c r="AK1972">
        <v>7.3831306684306099</v>
      </c>
      <c r="AL1972">
        <v>97.519001977712605</v>
      </c>
      <c r="AM1972">
        <v>112.792417338077</v>
      </c>
      <c r="AN1972">
        <v>1.0000000395512501</v>
      </c>
    </row>
    <row r="1973" spans="1:40" x14ac:dyDescent="0.25">
      <c r="A1973" t="str">
        <f>"20190305135622219"</f>
        <v>20190305135622219</v>
      </c>
      <c r="B1973" t="str">
        <f>"1551765382213946"</f>
        <v>1551765382213946</v>
      </c>
      <c r="C1973" t="s">
        <v>40</v>
      </c>
      <c r="D1973">
        <v>4.4438620000000002</v>
      </c>
      <c r="E1973">
        <v>0.40833259999999899</v>
      </c>
      <c r="F1973" t="s">
        <v>41</v>
      </c>
      <c r="G1973">
        <v>-488.13490000000002</v>
      </c>
      <c r="H1973">
        <v>1.082589</v>
      </c>
      <c r="I1973">
        <v>220.00290000000001</v>
      </c>
      <c r="J1973">
        <v>-488.80500000000001</v>
      </c>
      <c r="K1973">
        <v>1.1262810000000001</v>
      </c>
      <c r="L1973">
        <v>220.0128</v>
      </c>
      <c r="M1973">
        <v>0.59328939999999997</v>
      </c>
      <c r="N1973">
        <v>-2.278148E-2</v>
      </c>
      <c r="O1973">
        <v>-0.80466700000000002</v>
      </c>
      <c r="P1973">
        <v>0.85689289999999996</v>
      </c>
      <c r="Q1973">
        <v>-0.1270589</v>
      </c>
      <c r="R1973">
        <v>-0.4995909</v>
      </c>
      <c r="S1973">
        <v>2.90686</v>
      </c>
      <c r="T1973">
        <v>-0.13225809999999999</v>
      </c>
      <c r="U1973">
        <v>-1.055801</v>
      </c>
      <c r="V1973">
        <v>-0.38850699999999999</v>
      </c>
      <c r="W1973">
        <v>-0.1223723</v>
      </c>
      <c r="X1973">
        <v>0.91328379999999998</v>
      </c>
      <c r="Y1973">
        <v>-0.5532184</v>
      </c>
      <c r="Z1973">
        <v>2.7804280000000001E-2</v>
      </c>
      <c r="AA1973">
        <v>0.83257209999999904</v>
      </c>
      <c r="AB1973">
        <v>25</v>
      </c>
      <c r="AC1973">
        <v>0.67009999999999004</v>
      </c>
      <c r="AD1973">
        <v>-4.36919999999998E-2</v>
      </c>
      <c r="AE1973">
        <v>-9.8999999999875802E-3</v>
      </c>
      <c r="AF1973">
        <v>-0.53121429406445297</v>
      </c>
      <c r="AG1973">
        <v>-4.36919999999998E-2</v>
      </c>
      <c r="AH1973">
        <v>0.40391783416698201</v>
      </c>
      <c r="AI1973">
        <v>93.745934344782398</v>
      </c>
      <c r="AJ1973">
        <v>142.75183852448299</v>
      </c>
      <c r="AK1973">
        <v>0.66876545502929596</v>
      </c>
      <c r="AL1973">
        <v>97.029034719836801</v>
      </c>
      <c r="AM1973">
        <v>113.044692535628</v>
      </c>
      <c r="AN1973">
        <v>0.99999998409936397</v>
      </c>
    </row>
    <row r="1974" spans="1:40" x14ac:dyDescent="0.25">
      <c r="A1974" t="str">
        <f>"20190305135622242"</f>
        <v>20190305135622242</v>
      </c>
      <c r="B1974" t="str">
        <f>"1551765382234443"</f>
        <v>1551765382234443</v>
      </c>
      <c r="C1974" t="s">
        <v>40</v>
      </c>
      <c r="D1974">
        <v>4.5064479999999998</v>
      </c>
      <c r="E1974">
        <v>0.41018139999999997</v>
      </c>
      <c r="F1974" t="s">
        <v>43</v>
      </c>
      <c r="G1974">
        <v>-389.62020000000001</v>
      </c>
      <c r="H1974">
        <v>-0.05</v>
      </c>
      <c r="I1974">
        <v>191.40889999999999</v>
      </c>
      <c r="J1974">
        <v>-488.64139999999998</v>
      </c>
      <c r="K1974">
        <v>1.126196</v>
      </c>
      <c r="L1974">
        <v>219.8364</v>
      </c>
      <c r="M1974">
        <v>0.61422359999999998</v>
      </c>
      <c r="N1974">
        <v>-2.2472369999999998E-2</v>
      </c>
      <c r="O1974">
        <v>-0.78881190000000001</v>
      </c>
      <c r="P1974">
        <v>0.86917749999999905</v>
      </c>
      <c r="Q1974">
        <v>-0.12620309999999901</v>
      </c>
      <c r="R1974">
        <v>-0.4781244</v>
      </c>
      <c r="S1974">
        <v>2.9925540000000002</v>
      </c>
      <c r="T1974">
        <v>-3.549016E-2</v>
      </c>
      <c r="U1974">
        <v>-0.86302190000000001</v>
      </c>
      <c r="V1974">
        <v>-0.38736480000000001</v>
      </c>
      <c r="W1974">
        <v>-0.1217203</v>
      </c>
      <c r="X1974">
        <v>0.913856</v>
      </c>
      <c r="Y1974">
        <v>-0.58770829999999996</v>
      </c>
      <c r="Z1974">
        <v>-1.9793179999999999E-3</v>
      </c>
      <c r="AA1974">
        <v>0.80907050000000003</v>
      </c>
      <c r="AB1974">
        <v>24</v>
      </c>
      <c r="AC1974">
        <v>99.021199999999894</v>
      </c>
      <c r="AD1974">
        <v>-1.176196</v>
      </c>
      <c r="AE1974">
        <v>-28.427499999999998</v>
      </c>
      <c r="AF1974">
        <v>-60.655677319792403</v>
      </c>
      <c r="AG1974">
        <v>-1.176196</v>
      </c>
      <c r="AH1974">
        <v>83.255289810328307</v>
      </c>
      <c r="AI1974">
        <v>90.654205840566604</v>
      </c>
      <c r="AJ1974">
        <v>126.075225666547</v>
      </c>
      <c r="AK1974">
        <v>103.014260709646</v>
      </c>
      <c r="AL1974">
        <v>96.991396009620999</v>
      </c>
      <c r="AM1974">
        <v>112.97109087729901</v>
      </c>
      <c r="AN1974">
        <v>1.0000000542235601</v>
      </c>
    </row>
    <row r="1975" spans="1:40" x14ac:dyDescent="0.25">
      <c r="A1975" t="str">
        <f>"20190305135622264"</f>
        <v>20190305135622264</v>
      </c>
      <c r="B1975" t="str">
        <f>"1551765382253963"</f>
        <v>1551765382253963</v>
      </c>
      <c r="C1975" t="s">
        <v>40</v>
      </c>
      <c r="D1975">
        <v>4.479482</v>
      </c>
      <c r="E1975">
        <v>0.4119623</v>
      </c>
      <c r="F1975" t="s">
        <v>43</v>
      </c>
      <c r="G1975">
        <v>-384.00459999999998</v>
      </c>
      <c r="H1975">
        <v>-0.05</v>
      </c>
      <c r="I1975">
        <v>191.87700000000001</v>
      </c>
      <c r="J1975">
        <v>-488.4803</v>
      </c>
      <c r="K1975">
        <v>1.126104</v>
      </c>
      <c r="L1975">
        <v>219.67150000000001</v>
      </c>
      <c r="M1975">
        <v>0.63405089999999997</v>
      </c>
      <c r="N1975">
        <v>-2.220422E-2</v>
      </c>
      <c r="O1975">
        <v>-0.77297249999999995</v>
      </c>
      <c r="P1975">
        <v>0.87991939999999902</v>
      </c>
      <c r="Q1975">
        <v>-0.13061339999999999</v>
      </c>
      <c r="R1975">
        <v>-0.45681739999999998</v>
      </c>
      <c r="S1975">
        <v>3.0049440000000001</v>
      </c>
      <c r="T1975">
        <v>-3.3777830000000002E-2</v>
      </c>
      <c r="U1975">
        <v>-0.80293269999999906</v>
      </c>
      <c r="V1975">
        <v>-0.38574380000000003</v>
      </c>
      <c r="W1975">
        <v>-0.12629280000000001</v>
      </c>
      <c r="X1975">
        <v>0.91392119999999999</v>
      </c>
      <c r="Y1975">
        <v>-0.58308149999999903</v>
      </c>
      <c r="Z1975">
        <v>-2.0237879999999999E-3</v>
      </c>
      <c r="AA1975">
        <v>0.81241109999999905</v>
      </c>
      <c r="AB1975">
        <v>24</v>
      </c>
      <c r="AC1975">
        <v>104.4757</v>
      </c>
      <c r="AD1975">
        <v>-1.176104</v>
      </c>
      <c r="AE1975">
        <v>-27.794499999999999</v>
      </c>
      <c r="AF1975">
        <v>-63.141809833819103</v>
      </c>
      <c r="AG1975">
        <v>-1.176104</v>
      </c>
      <c r="AH1975">
        <v>87.738543533844293</v>
      </c>
      <c r="AI1975">
        <v>90.623358630981699</v>
      </c>
      <c r="AJ1975">
        <v>125.741008021479</v>
      </c>
      <c r="AK1975">
        <v>108.103299631182</v>
      </c>
      <c r="AL1975">
        <v>97.255419071245001</v>
      </c>
      <c r="AM1975">
        <v>112.883419420149</v>
      </c>
      <c r="AN1975">
        <v>1.00000005518985</v>
      </c>
    </row>
    <row r="1976" spans="1:40" x14ac:dyDescent="0.25">
      <c r="A1976" t="str">
        <f>"20190305135622288"</f>
        <v>20190305135622288</v>
      </c>
      <c r="B1976" t="str">
        <f>"1551765382284219"</f>
        <v>1551765382284219</v>
      </c>
      <c r="C1976" t="s">
        <v>40</v>
      </c>
      <c r="D1976">
        <v>4.451168</v>
      </c>
      <c r="E1976">
        <v>0.41410989999999998</v>
      </c>
      <c r="F1976" t="s">
        <v>61</v>
      </c>
      <c r="G1976">
        <v>-419.3861</v>
      </c>
      <c r="H1976" s="1">
        <v>6.768933E-6</v>
      </c>
      <c r="I1976">
        <v>202.58240000000001</v>
      </c>
      <c r="J1976">
        <v>-488.30959999999999</v>
      </c>
      <c r="K1976">
        <v>1.126023</v>
      </c>
      <c r="L1976">
        <v>219.50559999999999</v>
      </c>
      <c r="M1976">
        <v>0.65423430000000005</v>
      </c>
      <c r="N1976">
        <v>-2.1957839999999999E-2</v>
      </c>
      <c r="O1976">
        <v>-0.75597320000000001</v>
      </c>
      <c r="P1976">
        <v>0.88959489999999997</v>
      </c>
      <c r="Q1976">
        <v>-0.13778199999999999</v>
      </c>
      <c r="R1976">
        <v>-0.43547400000000003</v>
      </c>
      <c r="S1976">
        <v>3.0149840000000001</v>
      </c>
      <c r="T1976">
        <v>-4.9138189999999998E-2</v>
      </c>
      <c r="U1976">
        <v>-0.74569700000000005</v>
      </c>
      <c r="V1976">
        <v>-0.38254579999999999</v>
      </c>
      <c r="W1976">
        <v>-0.13353960000000001</v>
      </c>
      <c r="X1976">
        <v>0.91423509999999997</v>
      </c>
      <c r="Y1976">
        <v>-0.57674969999999903</v>
      </c>
      <c r="Z1976">
        <v>3.2076029999999998E-3</v>
      </c>
      <c r="AA1976">
        <v>0.81691459999999905</v>
      </c>
      <c r="AB1976">
        <v>24</v>
      </c>
      <c r="AC1976">
        <v>68.923499999999905</v>
      </c>
      <c r="AD1976">
        <v>-1.1260162310670001</v>
      </c>
      <c r="AE1976">
        <v>-16.923199999999898</v>
      </c>
      <c r="AF1976">
        <v>-41.0321444818834</v>
      </c>
      <c r="AG1976">
        <v>-1.1260162310670001</v>
      </c>
      <c r="AH1976">
        <v>57.884987706546703</v>
      </c>
      <c r="AI1976">
        <v>90.909203098096995</v>
      </c>
      <c r="AJ1976">
        <v>125.33116541109101</v>
      </c>
      <c r="AK1976">
        <v>70.961796729802799</v>
      </c>
      <c r="AL1976">
        <v>97.674180772496598</v>
      </c>
      <c r="AM1976">
        <v>112.70602546341701</v>
      </c>
      <c r="AN1976">
        <v>0.99999996596890395</v>
      </c>
    </row>
    <row r="1977" spans="1:40" x14ac:dyDescent="0.25">
      <c r="A1977" t="str">
        <f>"20190305135622311"</f>
        <v>20190305135622311</v>
      </c>
      <c r="B1977" t="str">
        <f>"1551765382303739"</f>
        <v>1551765382303739</v>
      </c>
      <c r="C1977" t="s">
        <v>40</v>
      </c>
      <c r="D1977">
        <v>4.4168200000000004</v>
      </c>
      <c r="E1977">
        <v>0.41597070000000003</v>
      </c>
      <c r="F1977" t="s">
        <v>55</v>
      </c>
      <c r="G1977">
        <v>-441.02800000000002</v>
      </c>
      <c r="H1977">
        <v>8.0001420000000004E-2</v>
      </c>
      <c r="I1977">
        <v>208.6876</v>
      </c>
      <c r="J1977">
        <v>-488.13339999999999</v>
      </c>
      <c r="K1977">
        <v>1.125969</v>
      </c>
      <c r="L1977">
        <v>219.34370000000001</v>
      </c>
      <c r="M1977">
        <v>0.6742243</v>
      </c>
      <c r="N1977">
        <v>-2.1740860000000001E-2</v>
      </c>
      <c r="O1977">
        <v>-0.73820669999999899</v>
      </c>
      <c r="P1977">
        <v>0.89851239999999999</v>
      </c>
      <c r="Q1977">
        <v>-0.1434211</v>
      </c>
      <c r="R1977">
        <v>-0.41485719999999998</v>
      </c>
      <c r="S1977">
        <v>3.0233460000000001</v>
      </c>
      <c r="T1977">
        <v>-6.6886189999999998E-2</v>
      </c>
      <c r="U1977">
        <v>-0.69174190000000002</v>
      </c>
      <c r="V1977">
        <v>-0.37828430000000002</v>
      </c>
      <c r="W1977">
        <v>-0.13917850000000001</v>
      </c>
      <c r="X1977">
        <v>0.91516679999999995</v>
      </c>
      <c r="Y1977">
        <v>-0.56914259999999905</v>
      </c>
      <c r="Z1977">
        <v>8.9911769999999995E-3</v>
      </c>
      <c r="AA1977">
        <v>0.82218969999999902</v>
      </c>
      <c r="AB1977">
        <v>24</v>
      </c>
      <c r="AC1977">
        <v>47.105399999999896</v>
      </c>
      <c r="AD1977">
        <v>-1.0459675799999999</v>
      </c>
      <c r="AE1977">
        <v>-10.6561</v>
      </c>
      <c r="AF1977">
        <v>-27.5825023795589</v>
      </c>
      <c r="AG1977">
        <v>-1.0459675799999999</v>
      </c>
      <c r="AH1977">
        <v>39.616791654878803</v>
      </c>
      <c r="AI1977">
        <v>91.241276175540307</v>
      </c>
      <c r="AJ1977">
        <v>124.846894275753</v>
      </c>
      <c r="AK1977">
        <v>48.284352193260901</v>
      </c>
      <c r="AL1977">
        <v>98.000312630786297</v>
      </c>
      <c r="AM1977">
        <v>112.457760104961</v>
      </c>
      <c r="AN1977">
        <v>0.99999996915548905</v>
      </c>
    </row>
    <row r="1978" spans="1:40" x14ac:dyDescent="0.25">
      <c r="A1978" t="str">
        <f>"20190305135622333"</f>
        <v>20190305135622333</v>
      </c>
      <c r="B1978" t="str">
        <f>"1551765382324235"</f>
        <v>1551765382324235</v>
      </c>
      <c r="C1978" t="s">
        <v>40</v>
      </c>
      <c r="D1978">
        <v>4.501728</v>
      </c>
      <c r="E1978">
        <v>0.43162099999999998</v>
      </c>
      <c r="F1978" t="s">
        <v>41</v>
      </c>
      <c r="G1978">
        <v>-487.07600000000002</v>
      </c>
      <c r="H1978">
        <v>1.0985480000000001</v>
      </c>
      <c r="I1978">
        <v>219.12129999999999</v>
      </c>
      <c r="J1978">
        <v>-487.95769999999999</v>
      </c>
      <c r="K1978">
        <v>1.125939</v>
      </c>
      <c r="L1978">
        <v>219.19130000000001</v>
      </c>
      <c r="M1978">
        <v>0.69331379999999998</v>
      </c>
      <c r="N1978">
        <v>-2.1557690000000001E-2</v>
      </c>
      <c r="O1978">
        <v>-0.72031339999999999</v>
      </c>
      <c r="P1978">
        <v>0.90608809999999995</v>
      </c>
      <c r="Q1978">
        <v>-0.1468458</v>
      </c>
      <c r="R1978">
        <v>-0.39678799999999997</v>
      </c>
      <c r="S1978">
        <v>3.0318909999999999</v>
      </c>
      <c r="T1978">
        <v>-7.8627230000000006E-2</v>
      </c>
      <c r="U1978">
        <v>-0.63757319999999995</v>
      </c>
      <c r="V1978">
        <v>-0.3721294</v>
      </c>
      <c r="W1978">
        <v>-0.1424764</v>
      </c>
      <c r="X1978">
        <v>0.91718060000000001</v>
      </c>
      <c r="Y1978">
        <v>-0.56206610000000001</v>
      </c>
      <c r="Z1978">
        <v>1.2762870000000001E-2</v>
      </c>
      <c r="AA1978">
        <v>0.8269938</v>
      </c>
      <c r="AB1978">
        <v>24</v>
      </c>
      <c r="AC1978">
        <v>0.88170000000002302</v>
      </c>
      <c r="AD1978">
        <v>-2.7391000000000099E-2</v>
      </c>
      <c r="AE1978">
        <v>-7.00000000000216E-2</v>
      </c>
      <c r="AF1978">
        <v>-0.58614251518868199</v>
      </c>
      <c r="AG1978">
        <v>-2.7391000000000099E-2</v>
      </c>
      <c r="AH1978">
        <v>0.66123631480709799</v>
      </c>
      <c r="AI1978">
        <v>91.775507623852604</v>
      </c>
      <c r="AJ1978">
        <v>131.55487876817301</v>
      </c>
      <c r="AK1978">
        <v>0.88405134410416797</v>
      </c>
      <c r="AL1978">
        <v>98.191170006420094</v>
      </c>
      <c r="AM1978">
        <v>112.083962483558</v>
      </c>
      <c r="AN1978">
        <v>1.00000003395883</v>
      </c>
    </row>
    <row r="1979" spans="1:40" x14ac:dyDescent="0.25">
      <c r="A1979" t="str">
        <f>"20190305135622354"</f>
        <v>20190305135622354</v>
      </c>
      <c r="B1979" t="str">
        <f>"1551765382343755"</f>
        <v>1551765382343755</v>
      </c>
      <c r="C1979" t="s">
        <v>40</v>
      </c>
      <c r="D1979">
        <v>4.4780639999999998</v>
      </c>
      <c r="E1979">
        <v>0.43152659999999998</v>
      </c>
      <c r="F1979" t="s">
        <v>41</v>
      </c>
      <c r="G1979">
        <v>-486.95179999999999</v>
      </c>
      <c r="H1979">
        <v>1.0786260000000001</v>
      </c>
      <c r="I1979">
        <v>218.95820000000001</v>
      </c>
      <c r="J1979">
        <v>-487.78960000000001</v>
      </c>
      <c r="K1979">
        <v>1.1259410000000001</v>
      </c>
      <c r="L1979">
        <v>219.05279999999999</v>
      </c>
      <c r="M1979">
        <v>0.71087029999999995</v>
      </c>
      <c r="N1979">
        <v>-2.1406910000000001E-2</v>
      </c>
      <c r="O1979">
        <v>-0.70299719999999999</v>
      </c>
      <c r="P1979">
        <v>0.91313040000000001</v>
      </c>
      <c r="Q1979">
        <v>-0.147572799999999</v>
      </c>
      <c r="R1979">
        <v>-0.38001980000000002</v>
      </c>
      <c r="S1979">
        <v>2.9854129999999999</v>
      </c>
      <c r="T1979">
        <v>-0.14036580000000001</v>
      </c>
      <c r="U1979">
        <v>-0.69133</v>
      </c>
      <c r="V1979">
        <v>-0.36631190000000002</v>
      </c>
      <c r="W1979">
        <v>-0.14305789999999999</v>
      </c>
      <c r="X1979">
        <v>0.91942919999999995</v>
      </c>
      <c r="Y1979">
        <v>-0.52378000000000002</v>
      </c>
      <c r="Z1979">
        <v>3.065263E-2</v>
      </c>
      <c r="AA1979">
        <v>0.85130189999999994</v>
      </c>
      <c r="AB1979">
        <v>24</v>
      </c>
      <c r="AC1979">
        <v>0.83780000000001498</v>
      </c>
      <c r="AD1979">
        <v>-4.7315000000000003E-2</v>
      </c>
      <c r="AE1979">
        <v>-9.4599999999985501E-2</v>
      </c>
      <c r="AF1979">
        <v>-0.52020404994930602</v>
      </c>
      <c r="AG1979">
        <v>-4.7315000000000003E-2</v>
      </c>
      <c r="AH1979">
        <v>0.660143462165107</v>
      </c>
      <c r="AI1979">
        <v>93.222088539032796</v>
      </c>
      <c r="AJ1979">
        <v>128.238699016178</v>
      </c>
      <c r="AK1979">
        <v>0.84180778889720098</v>
      </c>
      <c r="AL1979">
        <v>98.224832507339798</v>
      </c>
      <c r="AM1979">
        <v>111.72294532760699</v>
      </c>
      <c r="AN1979">
        <v>1.0000000123233299</v>
      </c>
    </row>
    <row r="1980" spans="1:40" x14ac:dyDescent="0.25">
      <c r="A1980" t="str">
        <f>"20190305135622379"</f>
        <v>20190305135622379</v>
      </c>
      <c r="B1980" t="str">
        <f>"1551765382374011"</f>
        <v>1551765382374011</v>
      </c>
      <c r="C1980" t="s">
        <v>40</v>
      </c>
      <c r="D1980">
        <v>4.4786729999999997</v>
      </c>
      <c r="E1980">
        <v>0.43191249999999998</v>
      </c>
      <c r="F1980" t="s">
        <v>41</v>
      </c>
      <c r="G1980">
        <v>-486.79379999999998</v>
      </c>
      <c r="H1980">
        <v>1.0907899999999999</v>
      </c>
      <c r="I1980">
        <v>218.84229999999999</v>
      </c>
      <c r="J1980">
        <v>-487.58749999999998</v>
      </c>
      <c r="K1980">
        <v>1.1259790000000001</v>
      </c>
      <c r="L1980">
        <v>218.8956</v>
      </c>
      <c r="M1980">
        <v>0.73106249999999995</v>
      </c>
      <c r="N1980">
        <v>-2.125382E-2</v>
      </c>
      <c r="O1980">
        <v>-0.68197959999999902</v>
      </c>
      <c r="P1980">
        <v>0.92190930000000004</v>
      </c>
      <c r="Q1980">
        <v>-0.144783</v>
      </c>
      <c r="R1980">
        <v>-0.35933510000000002</v>
      </c>
      <c r="S1980">
        <v>3.0039980000000002</v>
      </c>
      <c r="T1980">
        <v>-0.10604669999999999</v>
      </c>
      <c r="U1980">
        <v>-0.63511660000000003</v>
      </c>
      <c r="V1980">
        <v>-0.36066599999999999</v>
      </c>
      <c r="W1980">
        <v>-0.14012349999999901</v>
      </c>
      <c r="X1980">
        <v>0.92210919999999996</v>
      </c>
      <c r="Y1980">
        <v>-0.51565550000000004</v>
      </c>
      <c r="Z1980">
        <v>2.0383559999999998E-2</v>
      </c>
      <c r="AA1980">
        <v>0.85655360000000003</v>
      </c>
      <c r="AB1980">
        <v>24</v>
      </c>
      <c r="AC1980">
        <v>0.79370000000000096</v>
      </c>
      <c r="AD1980">
        <v>-3.5189000000000102E-2</v>
      </c>
      <c r="AE1980">
        <v>-5.3300000000007203E-2</v>
      </c>
      <c r="AF1980">
        <v>-0.50145375534457204</v>
      </c>
      <c r="AG1980">
        <v>-3.5189000000000102E-2</v>
      </c>
      <c r="AH1980">
        <v>0.61552857773918201</v>
      </c>
      <c r="AI1980">
        <v>92.537820945289198</v>
      </c>
      <c r="AJ1980">
        <v>129.16873196710301</v>
      </c>
      <c r="AK1980">
        <v>0.794713510948313</v>
      </c>
      <c r="AL1980">
        <v>98.054992981877106</v>
      </c>
      <c r="AM1980">
        <v>111.36203581191801</v>
      </c>
      <c r="AN1980">
        <v>0.99999996776644395</v>
      </c>
    </row>
    <row r="1981" spans="1:40" x14ac:dyDescent="0.25">
      <c r="A1981" t="str">
        <f>"20190305135622422"</f>
        <v>20190305135622422</v>
      </c>
      <c r="B1981" t="str">
        <f>"1551765382414027"</f>
        <v>1551765382414027</v>
      </c>
      <c r="C1981" t="s">
        <v>40</v>
      </c>
      <c r="D1981">
        <v>4.5490089999999999</v>
      </c>
      <c r="E1981">
        <v>0.43296190000000001</v>
      </c>
      <c r="F1981" t="s">
        <v>55</v>
      </c>
      <c r="G1981">
        <v>-443.5847</v>
      </c>
      <c r="H1981" s="1">
        <v>5.4574340000000001E-7</v>
      </c>
      <c r="I1981">
        <v>210.61490000000001</v>
      </c>
      <c r="J1981">
        <v>-487.23349999999999</v>
      </c>
      <c r="K1981">
        <v>1.1261060000000001</v>
      </c>
      <c r="L1981">
        <v>218.64230000000001</v>
      </c>
      <c r="M1981">
        <v>0.76424459999999905</v>
      </c>
      <c r="N1981">
        <v>-2.1044420000000001E-2</v>
      </c>
      <c r="O1981">
        <v>-0.64458319999999902</v>
      </c>
      <c r="P1981">
        <v>0.93729470000000004</v>
      </c>
      <c r="Q1981">
        <v>-0.1343628</v>
      </c>
      <c r="R1981">
        <v>-0.3215981</v>
      </c>
      <c r="S1981">
        <v>3.020416</v>
      </c>
      <c r="T1981">
        <v>-7.7288869999999996E-2</v>
      </c>
      <c r="U1981">
        <v>-0.56840519999999894</v>
      </c>
      <c r="V1981">
        <v>-0.35344579999999998</v>
      </c>
      <c r="W1981">
        <v>-0.12950989999999901</v>
      </c>
      <c r="X1981">
        <v>0.92644660000000001</v>
      </c>
      <c r="Y1981">
        <v>-0.49197750000000001</v>
      </c>
      <c r="Z1981">
        <v>1.192914E-2</v>
      </c>
      <c r="AA1981">
        <v>0.87052619999999903</v>
      </c>
      <c r="AB1981">
        <v>24</v>
      </c>
      <c r="AC1981">
        <v>43.648800000000001</v>
      </c>
      <c r="AD1981">
        <v>-1.1261054542566</v>
      </c>
      <c r="AE1981">
        <v>-8.0274000000000001</v>
      </c>
      <c r="AF1981">
        <v>-21.991098957376899</v>
      </c>
      <c r="AG1981">
        <v>-1.1261054542566</v>
      </c>
      <c r="AH1981">
        <v>38.5164209018129</v>
      </c>
      <c r="AI1981">
        <v>91.454429339185694</v>
      </c>
      <c r="AJ1981">
        <v>119.724373013799</v>
      </c>
      <c r="AK1981">
        <v>44.366555263315803</v>
      </c>
      <c r="AL1981">
        <v>97.441272050722006</v>
      </c>
      <c r="AM1981">
        <v>110.88219962027399</v>
      </c>
      <c r="AN1981">
        <v>1.0000000251936001</v>
      </c>
    </row>
    <row r="1982" spans="1:40" x14ac:dyDescent="0.25">
      <c r="A1982" t="str">
        <f>"20190305135622444"</f>
        <v>20190305135622444</v>
      </c>
      <c r="B1982" t="str">
        <f>"1551765382433547"</f>
        <v>1551765382433547</v>
      </c>
      <c r="C1982" t="s">
        <v>40</v>
      </c>
      <c r="D1982">
        <v>4.521388</v>
      </c>
      <c r="E1982">
        <v>0.43396829999999997</v>
      </c>
      <c r="F1982" t="s">
        <v>61</v>
      </c>
      <c r="G1982">
        <v>-427.34739999999999</v>
      </c>
      <c r="H1982" s="1">
        <v>3.0867949999999999E-6</v>
      </c>
      <c r="I1982">
        <v>209.7491</v>
      </c>
      <c r="J1982">
        <v>-487.0455</v>
      </c>
      <c r="K1982">
        <v>1.12617099999999</v>
      </c>
      <c r="L1982">
        <v>218.51849999999999</v>
      </c>
      <c r="M1982">
        <v>0.78078630000000004</v>
      </c>
      <c r="N1982">
        <v>-2.0958580000000001E-2</v>
      </c>
      <c r="O1982">
        <v>-0.62444669999999902</v>
      </c>
      <c r="P1982">
        <v>0.94525349999999997</v>
      </c>
      <c r="Q1982">
        <v>-0.13030919999999999</v>
      </c>
      <c r="R1982">
        <v>-0.29919200000000001</v>
      </c>
      <c r="S1982">
        <v>3.03775</v>
      </c>
      <c r="T1982">
        <v>-5.7122109999999997E-2</v>
      </c>
      <c r="U1982">
        <v>-0.45111079999999998</v>
      </c>
      <c r="V1982">
        <v>-0.3518792</v>
      </c>
      <c r="W1982">
        <v>-0.12544829999999901</v>
      </c>
      <c r="X1982">
        <v>0.92760109999999996</v>
      </c>
      <c r="Y1982">
        <v>-0.50292429999999999</v>
      </c>
      <c r="Z1982">
        <v>6.8601979999999996E-3</v>
      </c>
      <c r="AA1982">
        <v>0.86430319999999905</v>
      </c>
      <c r="AB1982">
        <v>24</v>
      </c>
      <c r="AC1982">
        <v>59.698099999999997</v>
      </c>
      <c r="AD1982">
        <v>-1.12616791320499</v>
      </c>
      <c r="AE1982">
        <v>-8.7693999999999903</v>
      </c>
      <c r="AF1982">
        <v>-30.427337818868502</v>
      </c>
      <c r="AG1982">
        <v>-1.12616791320499</v>
      </c>
      <c r="AH1982">
        <v>52.080778120683703</v>
      </c>
      <c r="AI1982">
        <v>91.069621761748706</v>
      </c>
      <c r="AJ1982">
        <v>120.294905555477</v>
      </c>
      <c r="AK1982">
        <v>60.3282569826791</v>
      </c>
      <c r="AL1982">
        <v>97.206645095185095</v>
      </c>
      <c r="AM1982">
        <v>110.773901993029</v>
      </c>
      <c r="AN1982">
        <v>1.00000002404336</v>
      </c>
    </row>
    <row r="1983" spans="1:40" x14ac:dyDescent="0.25">
      <c r="A1983" t="str">
        <f>"20190305135622466"</f>
        <v>20190305135622466</v>
      </c>
      <c r="B1983" t="str">
        <f>"1551765382463804"</f>
        <v>1551765382463804</v>
      </c>
      <c r="C1983" t="s">
        <v>40</v>
      </c>
      <c r="D1983">
        <v>4.4327819999999996</v>
      </c>
      <c r="E1983">
        <v>0.43591940000000001</v>
      </c>
      <c r="F1983" t="s">
        <v>61</v>
      </c>
      <c r="G1983">
        <v>-415.86750000000001</v>
      </c>
      <c r="H1983" s="1">
        <v>3.7297850000000001E-6</v>
      </c>
      <c r="I1983">
        <v>209.48589999999999</v>
      </c>
      <c r="J1983">
        <v>-486.85559999999998</v>
      </c>
      <c r="K1983">
        <v>1.1262209999999999</v>
      </c>
      <c r="L1983">
        <v>218.4006</v>
      </c>
      <c r="M1983">
        <v>0.79675830000000003</v>
      </c>
      <c r="N1983">
        <v>-2.0886979999999999E-2</v>
      </c>
      <c r="O1983">
        <v>-0.60393699999999995</v>
      </c>
      <c r="P1983">
        <v>0.95278180000000001</v>
      </c>
      <c r="Q1983">
        <v>-0.12630150000000001</v>
      </c>
      <c r="R1983">
        <v>-0.27614349999999999</v>
      </c>
      <c r="S1983">
        <v>3.044861</v>
      </c>
      <c r="T1983">
        <v>-4.8175330000000002E-2</v>
      </c>
      <c r="U1983">
        <v>-0.38639829999999997</v>
      </c>
      <c r="V1983">
        <v>-0.35078599999999999</v>
      </c>
      <c r="W1983">
        <v>-0.12144199999999999</v>
      </c>
      <c r="X1983">
        <v>0.92854780000000003</v>
      </c>
      <c r="Y1983">
        <v>-0.49879519999999999</v>
      </c>
      <c r="Z1983">
        <v>4.6543169999999998E-3</v>
      </c>
      <c r="AA1983">
        <v>0.86670740000000002</v>
      </c>
      <c r="AB1983">
        <v>24</v>
      </c>
      <c r="AC1983">
        <v>70.988099999999903</v>
      </c>
      <c r="AD1983">
        <v>-1.126217270215</v>
      </c>
      <c r="AE1983">
        <v>-8.9146999999999998</v>
      </c>
      <c r="AF1983">
        <v>-35.768421869526101</v>
      </c>
      <c r="AG1983">
        <v>-1.126217270215</v>
      </c>
      <c r="AH1983">
        <v>61.942444466813797</v>
      </c>
      <c r="AI1983">
        <v>90.902055384571895</v>
      </c>
      <c r="AJ1983">
        <v>120.00411708327201</v>
      </c>
      <c r="AK1983">
        <v>71.536807273601696</v>
      </c>
      <c r="AL1983">
        <v>96.975331820743193</v>
      </c>
      <c r="AM1983">
        <v>110.695519611856</v>
      </c>
      <c r="AN1983">
        <v>0.99999999702242004</v>
      </c>
    </row>
    <row r="1984" spans="1:40" x14ac:dyDescent="0.25">
      <c r="A1984" t="str">
        <f>"20190305135622489"</f>
        <v>20190305135622489</v>
      </c>
      <c r="B1984" t="str">
        <f>"1551765382484299"</f>
        <v>1551765382484299</v>
      </c>
      <c r="C1984" t="s">
        <v>40</v>
      </c>
      <c r="D1984">
        <v>4.5607059999999997</v>
      </c>
      <c r="E1984">
        <v>0.43775809999999998</v>
      </c>
      <c r="F1984" t="s">
        <v>61</v>
      </c>
      <c r="G1984">
        <v>-408.85930000000002</v>
      </c>
      <c r="H1984" s="1">
        <v>5.4237000000000003E-6</v>
      </c>
      <c r="I1984">
        <v>210.0179</v>
      </c>
      <c r="J1984">
        <v>-486.66090000000003</v>
      </c>
      <c r="K1984">
        <v>1.1262620000000001</v>
      </c>
      <c r="L1984">
        <v>218.2868</v>
      </c>
      <c r="M1984">
        <v>0.81241200000000002</v>
      </c>
      <c r="N1984">
        <v>-2.082707E-2</v>
      </c>
      <c r="O1984">
        <v>-0.5827118</v>
      </c>
      <c r="P1984">
        <v>0.95973569999999997</v>
      </c>
      <c r="Q1984">
        <v>-0.1236898</v>
      </c>
      <c r="R1984">
        <v>-0.25220749999999997</v>
      </c>
      <c r="S1984">
        <v>3.047882</v>
      </c>
      <c r="T1984">
        <v>-4.4009449999999999E-2</v>
      </c>
      <c r="U1984">
        <v>-0.32757570000000003</v>
      </c>
      <c r="V1984">
        <v>-0.34984330000000002</v>
      </c>
      <c r="W1984">
        <v>-0.1188319</v>
      </c>
      <c r="X1984">
        <v>0.92924090000000004</v>
      </c>
      <c r="Y1984">
        <v>-0.4925389</v>
      </c>
      <c r="Z1984">
        <v>3.7580880000000001E-3</v>
      </c>
      <c r="AA1984">
        <v>0.87028240000000001</v>
      </c>
      <c r="AB1984">
        <v>24</v>
      </c>
      <c r="AC1984">
        <v>77.801599999999993</v>
      </c>
      <c r="AD1984">
        <v>-1.1262565762999901</v>
      </c>
      <c r="AE1984">
        <v>-8.2689000000000004</v>
      </c>
      <c r="AF1984">
        <v>-38.618531565901698</v>
      </c>
      <c r="AG1984">
        <v>-1.1262565762999901</v>
      </c>
      <c r="AH1984">
        <v>68.025999221026495</v>
      </c>
      <c r="AI1984">
        <v>90.824882917116298</v>
      </c>
      <c r="AJ1984">
        <v>119.583686867043</v>
      </c>
      <c r="AK1984">
        <v>78.231681588735498</v>
      </c>
      <c r="AL1984">
        <v>96.824692995566906</v>
      </c>
      <c r="AM1984">
        <v>110.630497311658</v>
      </c>
      <c r="AN1984">
        <v>1.0000000026226501</v>
      </c>
    </row>
    <row r="1985" spans="1:40" x14ac:dyDescent="0.25">
      <c r="A1985" t="str">
        <f>"20190305135622513"</f>
        <v>20190305135622513</v>
      </c>
      <c r="B1985" t="str">
        <f>"1551765382503819"</f>
        <v>1551765382503819</v>
      </c>
      <c r="C1985" t="s">
        <v>40</v>
      </c>
      <c r="D1985">
        <v>4.5261129999999996</v>
      </c>
      <c r="E1985">
        <v>0.43871500000000002</v>
      </c>
      <c r="F1985" t="s">
        <v>61</v>
      </c>
      <c r="G1985">
        <v>-407.93090000000001</v>
      </c>
      <c r="H1985" s="1">
        <v>5.546273E-6</v>
      </c>
      <c r="I1985">
        <v>211.4171</v>
      </c>
      <c r="J1985">
        <v>-486.44369999999998</v>
      </c>
      <c r="K1985">
        <v>1.1262840000000001</v>
      </c>
      <c r="L1985">
        <v>218.1687</v>
      </c>
      <c r="M1985">
        <v>0.82902119999999901</v>
      </c>
      <c r="N1985">
        <v>-2.0774600000000001E-2</v>
      </c>
      <c r="O1985">
        <v>-0.55883099999999997</v>
      </c>
      <c r="P1985">
        <v>0.96644439999999998</v>
      </c>
      <c r="Q1985">
        <v>-0.1232317</v>
      </c>
      <c r="R1985">
        <v>-0.22538649999999999</v>
      </c>
      <c r="S1985">
        <v>3.0502929999999999</v>
      </c>
      <c r="T1985">
        <v>-4.363537E-2</v>
      </c>
      <c r="U1985">
        <v>-0.26615909999999998</v>
      </c>
      <c r="V1985">
        <v>-0.34873710000000002</v>
      </c>
      <c r="W1985">
        <v>-0.118366899999999</v>
      </c>
      <c r="X1985">
        <v>0.92971590000000004</v>
      </c>
      <c r="Y1985">
        <v>-0.4846317</v>
      </c>
      <c r="Z1985">
        <v>3.8618709999999998E-3</v>
      </c>
      <c r="AA1985">
        <v>0.87470979999999998</v>
      </c>
      <c r="AB1985">
        <v>24</v>
      </c>
      <c r="AC1985">
        <v>78.512799999999899</v>
      </c>
      <c r="AD1985">
        <v>-1.1262784537270001</v>
      </c>
      <c r="AE1985">
        <v>-6.7515999999999901</v>
      </c>
      <c r="AF1985">
        <v>-38.278613949757798</v>
      </c>
      <c r="AG1985">
        <v>-1.1262784537270001</v>
      </c>
      <c r="AH1985">
        <v>68.862583100880897</v>
      </c>
      <c r="AI1985">
        <v>90.819006205650794</v>
      </c>
      <c r="AJ1985">
        <v>119.068350319974</v>
      </c>
      <c r="AK1985">
        <v>78.7945184666779</v>
      </c>
      <c r="AL1985">
        <v>96.797861297009803</v>
      </c>
      <c r="AM1985">
        <v>110.561104222347</v>
      </c>
      <c r="AN1985">
        <v>0.99999997132241403</v>
      </c>
    </row>
    <row r="1986" spans="1:40" x14ac:dyDescent="0.25">
      <c r="A1986" t="str">
        <f>"20190305135622534"</f>
        <v>20190305135622534</v>
      </c>
      <c r="B1986" t="str">
        <f>"1551765382524315"</f>
        <v>1551765382524315</v>
      </c>
      <c r="C1986" t="s">
        <v>40</v>
      </c>
      <c r="D1986">
        <v>4.6849509999999999</v>
      </c>
      <c r="E1986">
        <v>0.45462469999999999</v>
      </c>
      <c r="F1986" t="s">
        <v>61</v>
      </c>
      <c r="G1986">
        <v>-406.05419999999998</v>
      </c>
      <c r="H1986" s="1">
        <v>6.0098459999999996E-6</v>
      </c>
      <c r="I1986">
        <v>213.20140000000001</v>
      </c>
      <c r="J1986">
        <v>-486.25850000000003</v>
      </c>
      <c r="K1986">
        <v>1.1262920000000001</v>
      </c>
      <c r="L1986">
        <v>218.07429999999999</v>
      </c>
      <c r="M1986">
        <v>0.84251399999999999</v>
      </c>
      <c r="N1986">
        <v>-2.0739250000000001E-2</v>
      </c>
      <c r="O1986">
        <v>-0.53827530000000001</v>
      </c>
      <c r="P1986">
        <v>0.97120490000000004</v>
      </c>
      <c r="Q1986">
        <v>-0.1233871</v>
      </c>
      <c r="R1986">
        <v>-0.20380719999999999</v>
      </c>
      <c r="S1986">
        <v>3.0546880000000001</v>
      </c>
      <c r="T1986">
        <v>-4.2796969999999997E-2</v>
      </c>
      <c r="U1986">
        <v>-0.18875120000000001</v>
      </c>
      <c r="V1986">
        <v>-0.34656759999999998</v>
      </c>
      <c r="W1986">
        <v>-0.1184475</v>
      </c>
      <c r="X1986">
        <v>0.93051660000000003</v>
      </c>
      <c r="Y1986">
        <v>-0.48527239999999999</v>
      </c>
      <c r="Z1986">
        <v>3.9386869999999997E-3</v>
      </c>
      <c r="AA1986">
        <v>0.87435409999999902</v>
      </c>
      <c r="AB1986">
        <v>23</v>
      </c>
      <c r="AC1986">
        <v>80.204300000000003</v>
      </c>
      <c r="AD1986">
        <v>-1.1262859901540001</v>
      </c>
      <c r="AE1986">
        <v>-4.87289999999998</v>
      </c>
      <c r="AF1986">
        <v>-39.067230830546698</v>
      </c>
      <c r="AG1986">
        <v>-1.1262859901540001</v>
      </c>
      <c r="AH1986">
        <v>70.197507615028002</v>
      </c>
      <c r="AI1986">
        <v>90.803212481579095</v>
      </c>
      <c r="AJ1986">
        <v>119.09738224885901</v>
      </c>
      <c r="AK1986">
        <v>80.344303595592507</v>
      </c>
      <c r="AL1986">
        <v>96.802511672231006</v>
      </c>
      <c r="AM1986">
        <v>110.42766771423</v>
      </c>
      <c r="AN1986">
        <v>1.0000000272507801</v>
      </c>
    </row>
    <row r="1987" spans="1:40" x14ac:dyDescent="0.25">
      <c r="A1987" t="str">
        <f>"20190305135622555"</f>
        <v>20190305135622555</v>
      </c>
      <c r="B1987" t="str">
        <f>"1551765382543836"</f>
        <v>1551765382543836</v>
      </c>
      <c r="C1987" t="s">
        <v>40</v>
      </c>
      <c r="D1987">
        <v>4.6367240000000001</v>
      </c>
      <c r="E1987">
        <v>0.45519660000000001</v>
      </c>
      <c r="F1987" t="s">
        <v>41</v>
      </c>
      <c r="G1987">
        <v>-485.27300000000002</v>
      </c>
      <c r="H1987">
        <v>1.0492049999999999</v>
      </c>
      <c r="I1987">
        <v>217.99170000000001</v>
      </c>
      <c r="J1987">
        <v>-486.0668</v>
      </c>
      <c r="K1987">
        <v>1.1262890000000001</v>
      </c>
      <c r="L1987">
        <v>217.9828</v>
      </c>
      <c r="M1987">
        <v>0.85583750000000003</v>
      </c>
      <c r="N1987">
        <v>-2.0710659999999999E-2</v>
      </c>
      <c r="O1987">
        <v>-0.51683029999999996</v>
      </c>
      <c r="P1987">
        <v>0.97515770000000002</v>
      </c>
      <c r="Q1987">
        <v>-0.1208905</v>
      </c>
      <c r="R1987">
        <v>-0.18561610000000001</v>
      </c>
      <c r="S1987">
        <v>3.006256</v>
      </c>
      <c r="T1987">
        <v>-0.2351056</v>
      </c>
      <c r="U1987">
        <v>-0.25170900000000002</v>
      </c>
      <c r="V1987">
        <v>-0.34074460000000001</v>
      </c>
      <c r="W1987">
        <v>-0.11568000000000001</v>
      </c>
      <c r="X1987">
        <v>0.93301190000000001</v>
      </c>
      <c r="Y1987">
        <v>-0.44134760000000001</v>
      </c>
      <c r="Z1987">
        <v>4.9151559999999997E-2</v>
      </c>
      <c r="AA1987">
        <v>0.89598909999999998</v>
      </c>
      <c r="AB1987">
        <v>23</v>
      </c>
      <c r="AC1987">
        <v>0.79379999999997597</v>
      </c>
      <c r="AD1987">
        <v>-7.7083999999999903E-2</v>
      </c>
      <c r="AE1987">
        <v>8.9000000000112305E-3</v>
      </c>
      <c r="AF1987">
        <v>-0.41406235997558299</v>
      </c>
      <c r="AG1987">
        <v>-7.7083999999999903E-2</v>
      </c>
      <c r="AH1987">
        <v>0.66860460060721705</v>
      </c>
      <c r="AI1987">
        <v>95.598079796462898</v>
      </c>
      <c r="AJ1987">
        <v>121.769656218382</v>
      </c>
      <c r="AK1987">
        <v>0.79020357690767695</v>
      </c>
      <c r="AL1987">
        <v>96.642848116016594</v>
      </c>
      <c r="AM1987">
        <v>110.062662386239</v>
      </c>
      <c r="AN1987">
        <v>0.99999997518538397</v>
      </c>
    </row>
    <row r="1988" spans="1:40" x14ac:dyDescent="0.25">
      <c r="A1988" t="str">
        <f>"20190305135622579"</f>
        <v>20190305135622579</v>
      </c>
      <c r="B1988" t="str">
        <f>"1551765382573622"</f>
        <v>1551765382573622</v>
      </c>
      <c r="C1988" t="s">
        <v>40</v>
      </c>
      <c r="D1988">
        <v>4.8529390000000001</v>
      </c>
      <c r="E1988">
        <v>0.45708589999999999</v>
      </c>
      <c r="F1988" t="s">
        <v>41</v>
      </c>
      <c r="G1988">
        <v>-485.0779</v>
      </c>
      <c r="H1988">
        <v>1.0562229999999999</v>
      </c>
      <c r="I1988">
        <v>217.91730000000001</v>
      </c>
      <c r="J1988">
        <v>-485.84750000000003</v>
      </c>
      <c r="K1988">
        <v>1.1262460000000001</v>
      </c>
      <c r="L1988">
        <v>217.88560000000001</v>
      </c>
      <c r="M1988">
        <v>0.87030269999999998</v>
      </c>
      <c r="N1988">
        <v>-2.068627E-2</v>
      </c>
      <c r="O1988">
        <v>-0.49208249999999998</v>
      </c>
      <c r="P1988">
        <v>0.97879079999999996</v>
      </c>
      <c r="Q1988">
        <v>-0.1181806</v>
      </c>
      <c r="R1988">
        <v>-0.16733809999999999</v>
      </c>
      <c r="S1988">
        <v>3.0119630000000002</v>
      </c>
      <c r="T1988">
        <v>-0.21344070000000001</v>
      </c>
      <c r="U1988">
        <v>-0.19987489999999999</v>
      </c>
      <c r="V1988">
        <v>-0.33174330000000002</v>
      </c>
      <c r="W1988">
        <v>-0.112539</v>
      </c>
      <c r="X1988">
        <v>0.93663300000000005</v>
      </c>
      <c r="Y1988">
        <v>-0.43158059999999998</v>
      </c>
      <c r="Z1988">
        <v>4.2622569999999999E-2</v>
      </c>
      <c r="AA1988">
        <v>0.9010669</v>
      </c>
      <c r="AB1988">
        <v>23</v>
      </c>
      <c r="AC1988">
        <v>0.76960000000002504</v>
      </c>
      <c r="AD1988">
        <v>-7.0022999999999905E-2</v>
      </c>
      <c r="AE1988">
        <v>3.17000000000007E-2</v>
      </c>
      <c r="AF1988">
        <v>-0.403051261769106</v>
      </c>
      <c r="AG1988">
        <v>-7.0022999999999905E-2</v>
      </c>
      <c r="AH1988">
        <v>0.64896265764920802</v>
      </c>
      <c r="AI1988">
        <v>95.237123157737997</v>
      </c>
      <c r="AJ1988">
        <v>121.843176926773</v>
      </c>
      <c r="AK1988">
        <v>0.76714149357585404</v>
      </c>
      <c r="AL1988">
        <v>96.461698527945998</v>
      </c>
      <c r="AM1988">
        <v>109.503487344704</v>
      </c>
      <c r="AN1988">
        <v>1.00000001015244</v>
      </c>
    </row>
    <row r="1989" spans="1:40" x14ac:dyDescent="0.25">
      <c r="A1989" t="str">
        <f>"20190305135622602"</f>
        <v>20190305135622602</v>
      </c>
      <c r="B1989" t="str">
        <f>"1551765382594118"</f>
        <v>1551765382594118</v>
      </c>
      <c r="C1989" t="s">
        <v>40</v>
      </c>
      <c r="D1989">
        <v>4.7160349999999998</v>
      </c>
      <c r="E1989">
        <v>0.45832679999999998</v>
      </c>
      <c r="F1989" t="s">
        <v>55</v>
      </c>
      <c r="G1989">
        <v>-469.20100000000002</v>
      </c>
      <c r="H1989" s="1">
        <v>3.2552460000000002E-6</v>
      </c>
      <c r="I1989">
        <v>217.00219999999999</v>
      </c>
      <c r="J1989">
        <v>-485.6302</v>
      </c>
      <c r="K1989">
        <v>1.1261749999999999</v>
      </c>
      <c r="L1989">
        <v>217.79669999999999</v>
      </c>
      <c r="M1989">
        <v>0.88384640000000003</v>
      </c>
      <c r="N1989">
        <v>-2.0669300000000002E-2</v>
      </c>
      <c r="O1989">
        <v>-0.46732059999999997</v>
      </c>
      <c r="P1989">
        <v>0.98107800000000001</v>
      </c>
      <c r="Q1989">
        <v>-0.121495699999999</v>
      </c>
      <c r="R1989">
        <v>-0.15074889999999999</v>
      </c>
      <c r="S1989">
        <v>3.0130309999999998</v>
      </c>
      <c r="T1989">
        <v>-0.2038507</v>
      </c>
      <c r="U1989">
        <v>-0.1599121</v>
      </c>
      <c r="V1989">
        <v>-0.32084689999999999</v>
      </c>
      <c r="W1989">
        <v>-0.11534709999999999</v>
      </c>
      <c r="X1989">
        <v>0.9400811</v>
      </c>
      <c r="Y1989">
        <v>-0.41824420000000001</v>
      </c>
      <c r="Z1989">
        <v>3.8972199999999999E-2</v>
      </c>
      <c r="AA1989">
        <v>0.90749820000000003</v>
      </c>
      <c r="AB1989">
        <v>23</v>
      </c>
      <c r="AC1989">
        <v>16.429200000000002</v>
      </c>
      <c r="AD1989">
        <v>-1.1261717447539901</v>
      </c>
      <c r="AE1989">
        <v>-0.79449999999999898</v>
      </c>
      <c r="AF1989">
        <v>-6.9444238362085304</v>
      </c>
      <c r="AG1989">
        <v>-1.1261717447539901</v>
      </c>
      <c r="AH1989">
        <v>14.8258564623243</v>
      </c>
      <c r="AI1989">
        <v>93.935057814390206</v>
      </c>
      <c r="AJ1989">
        <v>115.098368443157</v>
      </c>
      <c r="AK1989">
        <v>16.410341405864401</v>
      </c>
      <c r="AL1989">
        <v>96.6236451066884</v>
      </c>
      <c r="AM1989">
        <v>108.844621349938</v>
      </c>
      <c r="AN1989">
        <v>1.0000000806476099</v>
      </c>
    </row>
    <row r="1990" spans="1:40" x14ac:dyDescent="0.25">
      <c r="A1990" t="str">
        <f>"20190305135622644"</f>
        <v>20190305135622644</v>
      </c>
      <c r="B1990" t="str">
        <f>"1551765382634134"</f>
        <v>1551765382634134</v>
      </c>
      <c r="C1990" t="s">
        <v>40</v>
      </c>
      <c r="D1990">
        <v>4.7668819999999998</v>
      </c>
      <c r="E1990">
        <v>0.46069130000000003</v>
      </c>
      <c r="F1990" t="s">
        <v>55</v>
      </c>
      <c r="G1990">
        <v>-469.72050000000002</v>
      </c>
      <c r="H1990" s="1">
        <v>3.5246749999999998E-6</v>
      </c>
      <c r="I1990">
        <v>217.16249999999999</v>
      </c>
      <c r="J1990">
        <v>-485.24799999999999</v>
      </c>
      <c r="K1990">
        <v>1.1260680000000001</v>
      </c>
      <c r="L1990">
        <v>217.65790000000001</v>
      </c>
      <c r="M1990">
        <v>0.9057887</v>
      </c>
      <c r="N1990">
        <v>-2.0653810000000002E-2</v>
      </c>
      <c r="O1990">
        <v>-0.42322589999999999</v>
      </c>
      <c r="P1990">
        <v>0.98200109999999996</v>
      </c>
      <c r="Q1990">
        <v>-0.1426982</v>
      </c>
      <c r="R1990">
        <v>-0.1237381</v>
      </c>
      <c r="S1990">
        <v>3.0129999999999999</v>
      </c>
      <c r="T1990">
        <v>-0.2132754</v>
      </c>
      <c r="U1990">
        <v>-0.1201019</v>
      </c>
      <c r="V1990">
        <v>-0.29828880000000002</v>
      </c>
      <c r="W1990">
        <v>-0.13554730000000001</v>
      </c>
      <c r="X1990">
        <v>0.94480200000000003</v>
      </c>
      <c r="Y1990">
        <v>-0.38519419999999999</v>
      </c>
      <c r="Z1990">
        <v>3.7739880000000003E-2</v>
      </c>
      <c r="AA1990">
        <v>0.92206350000000004</v>
      </c>
      <c r="AB1990">
        <v>23</v>
      </c>
      <c r="AC1990">
        <v>15.5275</v>
      </c>
      <c r="AD1990">
        <v>-1.126064475325</v>
      </c>
      <c r="AE1990">
        <v>-0.49540000000001699</v>
      </c>
      <c r="AF1990">
        <v>-6.0922112323088902</v>
      </c>
      <c r="AG1990">
        <v>-1.126064475325</v>
      </c>
      <c r="AH1990">
        <v>14.2027266527453</v>
      </c>
      <c r="AI1990">
        <v>94.167468866546301</v>
      </c>
      <c r="AJ1990">
        <v>113.216747980863</v>
      </c>
      <c r="AK1990">
        <v>15.495176774540599</v>
      </c>
      <c r="AL1990">
        <v>97.790268393100902</v>
      </c>
      <c r="AM1990">
        <v>107.52172330200101</v>
      </c>
      <c r="AN1990">
        <v>1.00000004897336</v>
      </c>
    </row>
    <row r="1991" spans="1:40" x14ac:dyDescent="0.25">
      <c r="A1991" t="str">
        <f>"20190305135622667"</f>
        <v>20190305135622667</v>
      </c>
      <c r="B1991" t="str">
        <f>"1551765382664390"</f>
        <v>1551765382664390</v>
      </c>
      <c r="C1991" t="s">
        <v>40</v>
      </c>
      <c r="D1991">
        <v>4.7653410000000003</v>
      </c>
      <c r="E1991">
        <v>0.46251890000000001</v>
      </c>
      <c r="F1991" t="s">
        <v>54</v>
      </c>
      <c r="G1991">
        <v>-473.8365</v>
      </c>
      <c r="H1991" s="1">
        <v>4.380798E-6</v>
      </c>
      <c r="I1991">
        <v>217.4462</v>
      </c>
      <c r="J1991">
        <v>-485.0308</v>
      </c>
      <c r="K1991">
        <v>1.1260540000000001</v>
      </c>
      <c r="L1991">
        <v>217.58850000000001</v>
      </c>
      <c r="M1991">
        <v>0.91721560000000002</v>
      </c>
      <c r="N1991">
        <v>-2.065148E-2</v>
      </c>
      <c r="O1991">
        <v>-0.39785549999999997</v>
      </c>
      <c r="P1991">
        <v>0.98315949999999996</v>
      </c>
      <c r="Q1991">
        <v>-0.15010370000000001</v>
      </c>
      <c r="R1991">
        <v>-0.1042426</v>
      </c>
      <c r="S1991">
        <v>3.0048520000000001</v>
      </c>
      <c r="T1991">
        <v>-0.29651309999999997</v>
      </c>
      <c r="U1991">
        <v>-5.5755619999999999E-2</v>
      </c>
      <c r="V1991">
        <v>-0.29001100000000002</v>
      </c>
      <c r="W1991">
        <v>-0.1425814</v>
      </c>
      <c r="X1991">
        <v>0.94634249999999998</v>
      </c>
      <c r="Y1991">
        <v>-0.37753209999999998</v>
      </c>
      <c r="Z1991">
        <v>5.2385769999999998E-2</v>
      </c>
      <c r="AA1991">
        <v>0.92451349999999999</v>
      </c>
      <c r="AB1991">
        <v>23</v>
      </c>
      <c r="AC1991">
        <v>11.194299999999901</v>
      </c>
      <c r="AD1991">
        <v>-1.126049619202</v>
      </c>
      <c r="AE1991">
        <v>-0.14230000000000501</v>
      </c>
      <c r="AF1991">
        <v>-4.2808075008095701</v>
      </c>
      <c r="AG1991">
        <v>-1.126049619202</v>
      </c>
      <c r="AH1991">
        <v>10.222978304586</v>
      </c>
      <c r="AI1991">
        <v>95.801390249296006</v>
      </c>
      <c r="AJ1991">
        <v>112.721189804227</v>
      </c>
      <c r="AK1991">
        <v>11.140134021632299</v>
      </c>
      <c r="AL1991">
        <v>98.197248549430896</v>
      </c>
      <c r="AM1991">
        <v>107.03792356965199</v>
      </c>
      <c r="AN1991">
        <v>0.99999998152660396</v>
      </c>
    </row>
    <row r="1992" spans="1:40" x14ac:dyDescent="0.25">
      <c r="A1992" t="str">
        <f>"20190305135622691"</f>
        <v>20190305135622691</v>
      </c>
      <c r="B1992" t="str">
        <f>"1551765382683443"</f>
        <v>1551765382683443</v>
      </c>
      <c r="C1992" t="s">
        <v>40</v>
      </c>
      <c r="D1992">
        <v>4.596298</v>
      </c>
      <c r="E1992">
        <v>0.46318749999999997</v>
      </c>
      <c r="F1992" t="s">
        <v>54</v>
      </c>
      <c r="G1992">
        <v>-474.80549999999999</v>
      </c>
      <c r="H1992" s="1">
        <v>3.9559009999999999E-6</v>
      </c>
      <c r="I1992">
        <v>217.55539999999999</v>
      </c>
      <c r="J1992">
        <v>-484.80959999999999</v>
      </c>
      <c r="K1992">
        <v>1.1260779999999999</v>
      </c>
      <c r="L1992">
        <v>217.52500000000001</v>
      </c>
      <c r="M1992">
        <v>0.92808740000000001</v>
      </c>
      <c r="N1992">
        <v>-2.0653149999999999E-2</v>
      </c>
      <c r="O1992">
        <v>-0.37178939999999999</v>
      </c>
      <c r="P1992">
        <v>0.98485109999999998</v>
      </c>
      <c r="Q1992">
        <v>-0.1519124</v>
      </c>
      <c r="R1992">
        <v>-8.3612160000000005E-2</v>
      </c>
      <c r="S1992">
        <v>2.9999389999999999</v>
      </c>
      <c r="T1992">
        <v>-0.3303642</v>
      </c>
      <c r="U1992">
        <v>-9.7198489999999992E-3</v>
      </c>
      <c r="V1992">
        <v>-0.28296379999999999</v>
      </c>
      <c r="W1992">
        <v>-0.14405109999999999</v>
      </c>
      <c r="X1992">
        <v>0.94825139999999997</v>
      </c>
      <c r="Y1992">
        <v>-0.36485440000000002</v>
      </c>
      <c r="Z1992">
        <v>5.6058179999999999E-2</v>
      </c>
      <c r="AA1992">
        <v>0.92937550000000002</v>
      </c>
      <c r="AB1992">
        <v>23</v>
      </c>
      <c r="AC1992">
        <v>10.0040999999999</v>
      </c>
      <c r="AD1992">
        <v>-1.126074044099</v>
      </c>
      <c r="AE1992">
        <v>3.03999999999859E-2</v>
      </c>
      <c r="AF1992">
        <v>-3.7015333541327702</v>
      </c>
      <c r="AG1992">
        <v>-1.126074044099</v>
      </c>
      <c r="AH1992">
        <v>9.1593068936333299</v>
      </c>
      <c r="AI1992">
        <v>96.502899423082496</v>
      </c>
      <c r="AJ1992">
        <v>112.005018013802</v>
      </c>
      <c r="AK1992">
        <v>9.9429520111639906</v>
      </c>
      <c r="AL1992">
        <v>98.282334571699906</v>
      </c>
      <c r="AM1992">
        <v>106.615413059945</v>
      </c>
      <c r="AN1992">
        <v>0.99999997456180401</v>
      </c>
    </row>
    <row r="1993" spans="1:40" x14ac:dyDescent="0.25">
      <c r="A1993" t="str">
        <f>"20190305135622712"</f>
        <v>20190305135622712</v>
      </c>
      <c r="B1993" t="str">
        <f>"1551765382703939"</f>
        <v>1551765382703939</v>
      </c>
      <c r="C1993" t="s">
        <v>40</v>
      </c>
      <c r="D1993">
        <v>4.7599330000000002</v>
      </c>
      <c r="E1993">
        <v>0.4646728</v>
      </c>
      <c r="F1993" t="s">
        <v>54</v>
      </c>
      <c r="G1993">
        <v>-474.87920000000003</v>
      </c>
      <c r="H1993" s="1">
        <v>3.9288999999999998E-6</v>
      </c>
      <c r="I1993">
        <v>217.68559999999999</v>
      </c>
      <c r="J1993">
        <v>-484.60610000000003</v>
      </c>
      <c r="K1993">
        <v>1.1261099999999999</v>
      </c>
      <c r="L1993">
        <v>217.47300000000001</v>
      </c>
      <c r="M1993">
        <v>0.93741260000000004</v>
      </c>
      <c r="N1993">
        <v>-2.0657430000000001E-2</v>
      </c>
      <c r="O1993">
        <v>-0.34760740000000001</v>
      </c>
      <c r="P1993">
        <v>0.98667320000000003</v>
      </c>
      <c r="Q1993">
        <v>-0.14799189999999901</v>
      </c>
      <c r="R1993">
        <v>-6.7634440000000004E-2</v>
      </c>
      <c r="S1993">
        <v>2.997833</v>
      </c>
      <c r="T1993">
        <v>-0.33994390000000002</v>
      </c>
      <c r="U1993">
        <v>4.8461909999999997E-2</v>
      </c>
      <c r="V1993">
        <v>-0.27415410000000001</v>
      </c>
      <c r="W1993">
        <v>-0.13968420000000001</v>
      </c>
      <c r="X1993">
        <v>0.95148719999999998</v>
      </c>
      <c r="Y1993">
        <v>-0.35866199999999998</v>
      </c>
      <c r="Z1993">
        <v>5.5397849999999998E-2</v>
      </c>
      <c r="AA1993">
        <v>0.93182220000000004</v>
      </c>
      <c r="AB1993">
        <v>23</v>
      </c>
      <c r="AC1993">
        <v>9.7269000000000005</v>
      </c>
      <c r="AD1993">
        <v>-1.1261060710999999</v>
      </c>
      <c r="AE1993">
        <v>0.212600000000008</v>
      </c>
      <c r="AF1993">
        <v>-3.5338579721242498</v>
      </c>
      <c r="AG1993">
        <v>-1.1261060710999999</v>
      </c>
      <c r="AH1993">
        <v>8.9265598773792902</v>
      </c>
      <c r="AI1993">
        <v>96.689957930638897</v>
      </c>
      <c r="AJ1993">
        <v>111.597685546119</v>
      </c>
      <c r="AK1993">
        <v>9.6664232420762701</v>
      </c>
      <c r="AL1993">
        <v>98.029572526910997</v>
      </c>
      <c r="AM1993">
        <v>106.073394639423</v>
      </c>
      <c r="AN1993">
        <v>1.0000000190201399</v>
      </c>
    </row>
    <row r="1994" spans="1:40" x14ac:dyDescent="0.25">
      <c r="A1994" t="str">
        <f>"20190305135622757"</f>
        <v>20190305135622757</v>
      </c>
      <c r="B1994" t="str">
        <f>"1551765382753715"</f>
        <v>1551765382753715</v>
      </c>
      <c r="C1994" t="s">
        <v>40</v>
      </c>
      <c r="D1994">
        <v>4.7696949999999996</v>
      </c>
      <c r="E1994">
        <v>0.46824680000000002</v>
      </c>
      <c r="F1994" t="s">
        <v>54</v>
      </c>
      <c r="G1994">
        <v>-474.46679999999998</v>
      </c>
      <c r="H1994" s="1">
        <v>4.1150770000000002E-6</v>
      </c>
      <c r="I1994">
        <v>217.76130000000001</v>
      </c>
      <c r="J1994">
        <v>-484.18759999999997</v>
      </c>
      <c r="K1994">
        <v>1.12616</v>
      </c>
      <c r="L1994">
        <v>217.38380000000001</v>
      </c>
      <c r="M1994">
        <v>0.95457749999999997</v>
      </c>
      <c r="N1994">
        <v>-2.0672940000000001E-2</v>
      </c>
      <c r="O1994">
        <v>-0.29724519999999999</v>
      </c>
      <c r="P1994">
        <v>0.99048409999999998</v>
      </c>
      <c r="Q1994">
        <v>-0.13224739999999999</v>
      </c>
      <c r="R1994">
        <v>-3.8111529999999998E-2</v>
      </c>
      <c r="S1994">
        <v>2.9964599999999999</v>
      </c>
      <c r="T1994">
        <v>-0.3327966</v>
      </c>
      <c r="U1994">
        <v>8.5205080000000002E-2</v>
      </c>
      <c r="V1994">
        <v>-0.25329160000000001</v>
      </c>
      <c r="W1994">
        <v>-0.1228665</v>
      </c>
      <c r="X1994">
        <v>0.95955570000000001</v>
      </c>
      <c r="Y1994">
        <v>-0.32082050000000001</v>
      </c>
      <c r="Z1994">
        <v>4.7451430000000003E-2</v>
      </c>
      <c r="AA1994">
        <v>0.94595059999999997</v>
      </c>
      <c r="AB1994">
        <v>23</v>
      </c>
      <c r="AC1994">
        <v>9.7207999999999899</v>
      </c>
      <c r="AD1994">
        <v>-1.126155884923</v>
      </c>
      <c r="AE1994">
        <v>0.377499999999997</v>
      </c>
      <c r="AF1994">
        <v>-3.2075241829230801</v>
      </c>
      <c r="AG1994">
        <v>-1.126155884923</v>
      </c>
      <c r="AH1994">
        <v>9.0477557453597708</v>
      </c>
      <c r="AI1994">
        <v>96.691025535337502</v>
      </c>
      <c r="AJ1994">
        <v>109.519949851627</v>
      </c>
      <c r="AK1994">
        <v>9.6653154365946001</v>
      </c>
      <c r="AL1994">
        <v>97.057565649844605</v>
      </c>
      <c r="AM1994">
        <v>104.786941321388</v>
      </c>
      <c r="AN1994">
        <v>0.99999997642764904</v>
      </c>
    </row>
    <row r="1995" spans="1:40" x14ac:dyDescent="0.25">
      <c r="A1995" t="str">
        <f>"20190305135622780"</f>
        <v>20190305135622780</v>
      </c>
      <c r="B1995" t="str">
        <f>"1551765382773743"</f>
        <v>1551765382773743</v>
      </c>
      <c r="C1995" t="s">
        <v>40</v>
      </c>
      <c r="D1995">
        <v>4.8086669999999998</v>
      </c>
      <c r="E1995">
        <v>0.4694275</v>
      </c>
      <c r="F1995" t="s">
        <v>54</v>
      </c>
      <c r="G1995">
        <v>-472.52370000000002</v>
      </c>
      <c r="H1995" s="1">
        <v>4.9850620000000001E-6</v>
      </c>
      <c r="I1995">
        <v>217.95150000000001</v>
      </c>
      <c r="J1995">
        <v>-483.96839999999997</v>
      </c>
      <c r="K1995">
        <v>1.1261479999999999</v>
      </c>
      <c r="L1995">
        <v>217.3466</v>
      </c>
      <c r="M1995">
        <v>0.96248650000000002</v>
      </c>
      <c r="N1995">
        <v>-2.068304E-2</v>
      </c>
      <c r="O1995">
        <v>-0.27054010000000001</v>
      </c>
      <c r="P1995">
        <v>0.99125339999999995</v>
      </c>
      <c r="Q1995">
        <v>-0.13074249999999901</v>
      </c>
      <c r="R1995">
        <v>-1.7981850000000001E-2</v>
      </c>
      <c r="S1995">
        <v>2.9958499999999999</v>
      </c>
      <c r="T1995">
        <v>-0.28925060000000002</v>
      </c>
      <c r="U1995">
        <v>0.1457977</v>
      </c>
      <c r="V1995">
        <v>-0.24619579999999999</v>
      </c>
      <c r="W1995">
        <v>-0.12100519999999999</v>
      </c>
      <c r="X1995">
        <v>0.96163679999999996</v>
      </c>
      <c r="Y1995">
        <v>-0.3145464</v>
      </c>
      <c r="Z1995">
        <v>3.8617970000000001E-2</v>
      </c>
      <c r="AA1995">
        <v>0.94845619999999997</v>
      </c>
      <c r="AB1995">
        <v>23</v>
      </c>
      <c r="AC1995">
        <v>11.4446999999999</v>
      </c>
      <c r="AD1995">
        <v>-1.1261430149379901</v>
      </c>
      <c r="AE1995">
        <v>0.60490000000001398</v>
      </c>
      <c r="AF1995">
        <v>-3.6440608472452301</v>
      </c>
      <c r="AG1995">
        <v>-1.1261430149379901</v>
      </c>
      <c r="AH1995">
        <v>10.7502443586929</v>
      </c>
      <c r="AI1995">
        <v>95.665787800667403</v>
      </c>
      <c r="AJ1995">
        <v>108.725358645955</v>
      </c>
      <c r="AK1995">
        <v>11.4068019760198</v>
      </c>
      <c r="AL1995">
        <v>96.950119185494501</v>
      </c>
      <c r="AM1995">
        <v>104.360274781903</v>
      </c>
      <c r="AN1995">
        <v>0.999999982739459</v>
      </c>
    </row>
    <row r="1996" spans="1:40" x14ac:dyDescent="0.25">
      <c r="A1996" t="str">
        <f>"20190305135622824"</f>
        <v>20190305135622824</v>
      </c>
      <c r="B1996" t="str">
        <f>"1551765382813758"</f>
        <v>1551765382813758</v>
      </c>
      <c r="C1996" t="s">
        <v>40</v>
      </c>
      <c r="D1996">
        <v>4.8039759999999996</v>
      </c>
      <c r="E1996">
        <v>0.47155560000000002</v>
      </c>
      <c r="F1996" t="s">
        <v>54</v>
      </c>
      <c r="G1996">
        <v>-472.15780000000001</v>
      </c>
      <c r="H1996" s="1">
        <v>5.1548950000000001E-6</v>
      </c>
      <c r="I1996">
        <v>218.125</v>
      </c>
      <c r="J1996">
        <v>-483.54759999999999</v>
      </c>
      <c r="K1996">
        <v>1.126028</v>
      </c>
      <c r="L1996">
        <v>217.2929</v>
      </c>
      <c r="M1996">
        <v>0.97555069999999999</v>
      </c>
      <c r="N1996">
        <v>-2.0680830000000001E-2</v>
      </c>
      <c r="O1996">
        <v>-0.2187994</v>
      </c>
      <c r="P1996">
        <v>0.99031009999999997</v>
      </c>
      <c r="Q1996">
        <v>-0.13636709999999999</v>
      </c>
      <c r="R1996">
        <v>2.627092E-2</v>
      </c>
      <c r="S1996">
        <v>2.992432</v>
      </c>
      <c r="T1996">
        <v>-0.28532920000000001</v>
      </c>
      <c r="U1996">
        <v>0.1972351</v>
      </c>
      <c r="V1996">
        <v>-0.23743600000000001</v>
      </c>
      <c r="W1996">
        <v>-0.12620789999999901</v>
      </c>
      <c r="X1996">
        <v>0.96316959999999996</v>
      </c>
      <c r="Y1996">
        <v>-0.28040559999999998</v>
      </c>
      <c r="Z1996">
        <v>3.2405169999999997E-2</v>
      </c>
      <c r="AA1996">
        <v>0.95933449999999998</v>
      </c>
      <c r="AB1996">
        <v>23</v>
      </c>
      <c r="AC1996">
        <v>11.3897999999999</v>
      </c>
      <c r="AD1996">
        <v>-1.1260228451050001</v>
      </c>
      <c r="AE1996">
        <v>0.83209999999999695</v>
      </c>
      <c r="AF1996">
        <v>-3.2727267511425899</v>
      </c>
      <c r="AG1996">
        <v>-1.1260228451050001</v>
      </c>
      <c r="AH1996">
        <v>10.826349592645901</v>
      </c>
      <c r="AI1996">
        <v>95.6855286884458</v>
      </c>
      <c r="AJ1996">
        <v>106.81968514690401</v>
      </c>
      <c r="AK1996">
        <v>11.3661124988945</v>
      </c>
      <c r="AL1996">
        <v>97.2505159473276</v>
      </c>
      <c r="AM1996">
        <v>103.848173556052</v>
      </c>
      <c r="AN1996">
        <v>0.99999998324128403</v>
      </c>
    </row>
    <row r="1997" spans="1:40" x14ac:dyDescent="0.25">
      <c r="A1997" t="str">
        <f>"20190305135622846"</f>
        <v>20190305135622846</v>
      </c>
      <c r="B1997" t="str">
        <f>"1551765382844015"</f>
        <v>1551765382844015</v>
      </c>
      <c r="C1997" t="s">
        <v>40</v>
      </c>
      <c r="D1997">
        <v>4.8532690000000001</v>
      </c>
      <c r="E1997">
        <v>0.49658540000000001</v>
      </c>
      <c r="F1997" t="s">
        <v>54</v>
      </c>
      <c r="G1997">
        <v>-472.5564</v>
      </c>
      <c r="H1997" s="1">
        <v>4.9922600000000002E-6</v>
      </c>
      <c r="I1997">
        <v>218.4479</v>
      </c>
      <c r="J1997">
        <v>-483.33</v>
      </c>
      <c r="K1997">
        <v>1.1259399999999999</v>
      </c>
      <c r="L1997">
        <v>217.2741</v>
      </c>
      <c r="M1997">
        <v>0.98119020000000001</v>
      </c>
      <c r="N1997">
        <v>-2.065256E-2</v>
      </c>
      <c r="O1997">
        <v>-0.19193569999999999</v>
      </c>
      <c r="P1997">
        <v>0.98926080000000005</v>
      </c>
      <c r="Q1997">
        <v>-0.137679</v>
      </c>
      <c r="R1997">
        <v>4.9067819999999998E-2</v>
      </c>
      <c r="S1997">
        <v>2.979034</v>
      </c>
      <c r="T1997">
        <v>-0.30519459999999998</v>
      </c>
      <c r="U1997">
        <v>0.31304929999999997</v>
      </c>
      <c r="V1997">
        <v>-0.2331162</v>
      </c>
      <c r="W1997">
        <v>-0.1273167</v>
      </c>
      <c r="X1997">
        <v>0.96407849999999995</v>
      </c>
      <c r="Y1997">
        <v>-0.29104219999999997</v>
      </c>
      <c r="Z1997">
        <v>3.3414010000000001E-2</v>
      </c>
      <c r="AA1997">
        <v>0.95612649999999999</v>
      </c>
      <c r="AB1997">
        <v>22</v>
      </c>
      <c r="AC1997">
        <v>10.773599999999901</v>
      </c>
      <c r="AD1997">
        <v>-1.1259350077400001</v>
      </c>
      <c r="AE1997">
        <v>1.1738</v>
      </c>
      <c r="AF1997">
        <v>-3.1858583033978101</v>
      </c>
      <c r="AG1997">
        <v>-1.1259350077400001</v>
      </c>
      <c r="AH1997">
        <v>10.2373619378104</v>
      </c>
      <c r="AI1997">
        <v>95.994961045925194</v>
      </c>
      <c r="AJ1997">
        <v>107.286097212923</v>
      </c>
      <c r="AK1997">
        <v>10.7805845025542</v>
      </c>
      <c r="AL1997">
        <v>97.314561825125693</v>
      </c>
      <c r="AM1997">
        <v>103.59332222595</v>
      </c>
      <c r="AN1997">
        <v>1.0000000294817799</v>
      </c>
    </row>
    <row r="1998" spans="1:40" x14ac:dyDescent="0.25">
      <c r="A1998" t="str">
        <f>"20190305135622868"</f>
        <v>20190305135622868</v>
      </c>
      <c r="B1998" t="str">
        <f>"1551765382863534"</f>
        <v>1551765382863534</v>
      </c>
      <c r="C1998" t="s">
        <v>40</v>
      </c>
      <c r="D1998">
        <v>4.7944519999999997</v>
      </c>
      <c r="E1998">
        <v>0.50673349999999995</v>
      </c>
      <c r="F1998" t="s">
        <v>54</v>
      </c>
      <c r="G1998">
        <v>-473.40750000000003</v>
      </c>
      <c r="H1998" s="1">
        <v>4.589688E-6</v>
      </c>
      <c r="I1998">
        <v>217.87200000000001</v>
      </c>
      <c r="J1998">
        <v>-483.12310000000002</v>
      </c>
      <c r="K1998">
        <v>1.12582</v>
      </c>
      <c r="L1998">
        <v>217.2619</v>
      </c>
      <c r="M1998">
        <v>0.9858422</v>
      </c>
      <c r="N1998">
        <v>-2.0596179999999999E-2</v>
      </c>
      <c r="O1998">
        <v>-0.16640579999999999</v>
      </c>
      <c r="P1998">
        <v>0.98797040000000003</v>
      </c>
      <c r="Q1998">
        <v>-0.13818829999999999</v>
      </c>
      <c r="R1998">
        <v>6.941783E-2</v>
      </c>
      <c r="S1998">
        <v>2.9766539999999999</v>
      </c>
      <c r="T1998">
        <v>-0.3377677</v>
      </c>
      <c r="U1998">
        <v>0.1793671</v>
      </c>
      <c r="V1998">
        <v>-0.22794629999999999</v>
      </c>
      <c r="W1998">
        <v>-0.1275946</v>
      </c>
      <c r="X1998">
        <v>0.96527719999999995</v>
      </c>
      <c r="Y1998">
        <v>-0.22305259999999999</v>
      </c>
      <c r="Z1998">
        <v>3.0250409999999998E-2</v>
      </c>
      <c r="AA1998">
        <v>0.97433689999999995</v>
      </c>
      <c r="AB1998">
        <v>22</v>
      </c>
      <c r="AC1998">
        <v>9.7155999999999896</v>
      </c>
      <c r="AD1998">
        <v>-1.1258154103119999</v>
      </c>
      <c r="AE1998">
        <v>0.61010000000001696</v>
      </c>
      <c r="AF1998">
        <v>-2.1893827549966698</v>
      </c>
      <c r="AG1998">
        <v>-1.1258154103119999</v>
      </c>
      <c r="AH1998">
        <v>9.35343529296245</v>
      </c>
      <c r="AI1998">
        <v>96.684348448345602</v>
      </c>
      <c r="AJ1998">
        <v>103.174184618727</v>
      </c>
      <c r="AK1998">
        <v>9.6720012906124193</v>
      </c>
      <c r="AL1998">
        <v>97.330615575339095</v>
      </c>
      <c r="AM1998">
        <v>103.286757107802</v>
      </c>
      <c r="AN1998">
        <v>0.99999998523634404</v>
      </c>
    </row>
    <row r="1999" spans="1:40" x14ac:dyDescent="0.25">
      <c r="A1999" t="str">
        <f>"20190305135622891"</f>
        <v>20190305135622891</v>
      </c>
      <c r="B1999" t="str">
        <f>"1551765382883446"</f>
        <v>1551765382883446</v>
      </c>
      <c r="C1999" t="s">
        <v>40</v>
      </c>
      <c r="D1999">
        <v>5.1727339999999904</v>
      </c>
      <c r="E1999">
        <v>0.51473080000000004</v>
      </c>
      <c r="F1999" t="s">
        <v>54</v>
      </c>
      <c r="G1999">
        <v>-472.04219999999998</v>
      </c>
      <c r="H1999" s="1">
        <v>5.1947539999999998E-6</v>
      </c>
      <c r="I1999">
        <v>217.86330000000001</v>
      </c>
      <c r="J1999">
        <v>-482.90899999999999</v>
      </c>
      <c r="K1999">
        <v>1.1256010000000001</v>
      </c>
      <c r="L1999">
        <v>217.2551</v>
      </c>
      <c r="M1999">
        <v>0.98991309999999999</v>
      </c>
      <c r="N1999">
        <v>-2.049753E-2</v>
      </c>
      <c r="O1999">
        <v>-0.14018549999999999</v>
      </c>
      <c r="P1999">
        <v>0.985823</v>
      </c>
      <c r="Q1999">
        <v>-0.14146199999999901</v>
      </c>
      <c r="R1999">
        <v>9.0231049999999993E-2</v>
      </c>
      <c r="S1999">
        <v>2.9827270000000001</v>
      </c>
      <c r="T1999">
        <v>-0.3030429</v>
      </c>
      <c r="U1999">
        <v>0.16188050000000001</v>
      </c>
      <c r="V1999">
        <v>-0.22254779999999999</v>
      </c>
      <c r="W1999">
        <v>-0.13063810000000001</v>
      </c>
      <c r="X1999">
        <v>0.96612949999999997</v>
      </c>
      <c r="Y1999">
        <v>-0.19202340000000001</v>
      </c>
      <c r="Z1999">
        <v>2.3002089999999999E-2</v>
      </c>
      <c r="AA1999">
        <v>0.98112080000000002</v>
      </c>
      <c r="AB1999">
        <v>22</v>
      </c>
      <c r="AC1999">
        <v>10.8668</v>
      </c>
      <c r="AD1999">
        <v>-1.125595805246</v>
      </c>
      <c r="AE1999">
        <v>0.60820000000000995</v>
      </c>
      <c r="AF1999">
        <v>-2.1033826624987602</v>
      </c>
      <c r="AG1999">
        <v>-1.125595805246</v>
      </c>
      <c r="AH1999">
        <v>10.5612110879295</v>
      </c>
      <c r="AI1999">
        <v>95.967197771983095</v>
      </c>
      <c r="AJ1999">
        <v>101.26370954566001</v>
      </c>
      <c r="AK1999">
        <v>10.82729717822</v>
      </c>
      <c r="AL1999">
        <v>97.506467040822102</v>
      </c>
      <c r="AM1999">
        <v>102.97180170716</v>
      </c>
      <c r="AN1999">
        <v>1.00000002361334</v>
      </c>
    </row>
    <row r="2000" spans="1:40" x14ac:dyDescent="0.25">
      <c r="A2000" t="str">
        <f>"20190305135622933"</f>
        <v>20190305135622933</v>
      </c>
      <c r="B2000" t="str">
        <f>"1551765382924438"</f>
        <v>1551765382924438</v>
      </c>
      <c r="C2000" t="s">
        <v>40</v>
      </c>
      <c r="D2000">
        <v>4.7396900000000004</v>
      </c>
      <c r="E2000">
        <v>0.52184129999999995</v>
      </c>
      <c r="F2000" t="s">
        <v>54</v>
      </c>
      <c r="G2000">
        <v>-471.09890000000001</v>
      </c>
      <c r="H2000" s="1">
        <v>5.6146000000000004E-6</v>
      </c>
      <c r="I2000">
        <v>217.89850000000001</v>
      </c>
      <c r="J2000">
        <v>-482.5009</v>
      </c>
      <c r="K2000">
        <v>1.1248419999999999</v>
      </c>
      <c r="L2000">
        <v>217.25720000000001</v>
      </c>
      <c r="M2000">
        <v>0.99558990000000003</v>
      </c>
      <c r="N2000">
        <v>-2.0147979999999999E-2</v>
      </c>
      <c r="O2000">
        <v>-9.1623220000000005E-2</v>
      </c>
      <c r="P2000">
        <v>0.98159739999999995</v>
      </c>
      <c r="Q2000">
        <v>-0.144813</v>
      </c>
      <c r="R2000">
        <v>0.1244828</v>
      </c>
      <c r="S2000">
        <v>2.9874269999999998</v>
      </c>
      <c r="T2000">
        <v>-0.28472509999999901</v>
      </c>
      <c r="U2000">
        <v>0.16275020000000001</v>
      </c>
      <c r="V2000">
        <v>-0.20897850000000001</v>
      </c>
      <c r="W2000">
        <v>-0.13338849999999999</v>
      </c>
      <c r="X2000">
        <v>0.96878039999999999</v>
      </c>
      <c r="Y2000">
        <v>-0.1446249</v>
      </c>
      <c r="Z2000">
        <v>1.519359E-2</v>
      </c>
      <c r="AA2000">
        <v>0.98936990000000002</v>
      </c>
      <c r="AB2000">
        <v>22</v>
      </c>
      <c r="AC2000">
        <v>11.4019999999999</v>
      </c>
      <c r="AD2000">
        <v>-1.1248363854000001</v>
      </c>
      <c r="AE2000">
        <v>0.64130000000000098</v>
      </c>
      <c r="AF2000">
        <v>-1.6673257036681499</v>
      </c>
      <c r="AG2000">
        <v>-1.1248363854000001</v>
      </c>
      <c r="AH2000">
        <v>11.186721389223599</v>
      </c>
      <c r="AI2000">
        <v>95.679530333170305</v>
      </c>
      <c r="AJ2000">
        <v>98.477248789387403</v>
      </c>
      <c r="AK2000">
        <v>11.3660884800421</v>
      </c>
      <c r="AL2000">
        <v>97.665445086512605</v>
      </c>
      <c r="AM2000">
        <v>102.172919896563</v>
      </c>
      <c r="AN2000">
        <v>0.99999998440932902</v>
      </c>
    </row>
    <row r="2001" spans="1:40" x14ac:dyDescent="0.25">
      <c r="A2001" t="str">
        <f>"20190305135622956"</f>
        <v>20190305135622956</v>
      </c>
      <c r="B2001" t="str">
        <f>"1551765382953719"</f>
        <v>1551765382953719</v>
      </c>
      <c r="C2001" t="s">
        <v>40</v>
      </c>
      <c r="D2001">
        <v>4.6179360000000003</v>
      </c>
      <c r="E2001">
        <v>0.52728940000000002</v>
      </c>
      <c r="F2001" t="s">
        <v>55</v>
      </c>
      <c r="G2001">
        <v>-469.38170000000002</v>
      </c>
      <c r="H2001" s="1">
        <v>3.2995400000000002E-6</v>
      </c>
      <c r="I2001">
        <v>218.18799999999999</v>
      </c>
      <c r="J2001">
        <v>-482.2824</v>
      </c>
      <c r="K2001">
        <v>1.124277</v>
      </c>
      <c r="L2001">
        <v>217.26580000000001</v>
      </c>
      <c r="M2001">
        <v>0.99758340000000001</v>
      </c>
      <c r="N2001">
        <v>-1.9888110000000001E-2</v>
      </c>
      <c r="O2001">
        <v>-6.6574410000000001E-2</v>
      </c>
      <c r="P2001">
        <v>0.97979930000000004</v>
      </c>
      <c r="Q2001">
        <v>-0.1435941</v>
      </c>
      <c r="R2001">
        <v>0.1391917</v>
      </c>
      <c r="S2001">
        <v>2.9915470000000002</v>
      </c>
      <c r="T2001">
        <v>-0.25649509999999998</v>
      </c>
      <c r="U2001">
        <v>0.21224979999999999</v>
      </c>
      <c r="V2001">
        <v>-0.19940340000000001</v>
      </c>
      <c r="W2001">
        <v>-0.13174820000000001</v>
      </c>
      <c r="X2001">
        <v>0.97102049999999995</v>
      </c>
      <c r="Y2001">
        <v>-0.13627790000000001</v>
      </c>
      <c r="Z2001">
        <v>1.1554389999999999E-2</v>
      </c>
      <c r="AA2001">
        <v>0.99060329999999996</v>
      </c>
      <c r="AB2001">
        <v>22</v>
      </c>
      <c r="AC2001">
        <v>12.900699999999899</v>
      </c>
      <c r="AD2001">
        <v>-1.1242737004600001</v>
      </c>
      <c r="AE2001">
        <v>0.92219999999997504</v>
      </c>
      <c r="AF2001">
        <v>-1.76583648133924</v>
      </c>
      <c r="AG2001">
        <v>-1.1242737004600001</v>
      </c>
      <c r="AH2001">
        <v>12.714586863780699</v>
      </c>
      <c r="AI2001">
        <v>95.005380468910204</v>
      </c>
      <c r="AJ2001">
        <v>97.906816267704599</v>
      </c>
      <c r="AK2001">
        <v>12.8857630332472</v>
      </c>
      <c r="AL2001">
        <v>97.570625361214098</v>
      </c>
      <c r="AM2001">
        <v>101.604615402093</v>
      </c>
      <c r="AN2001">
        <v>1.0000000577775201</v>
      </c>
    </row>
    <row r="2002" spans="1:40" x14ac:dyDescent="0.25">
      <c r="A2002" t="str">
        <f>"20190305135622993"</f>
        <v>20190305135622993</v>
      </c>
      <c r="B2002" t="str">
        <f>"1551765382983507"</f>
        <v>1551765382983507</v>
      </c>
      <c r="C2002" t="s">
        <v>40</v>
      </c>
      <c r="D2002">
        <v>4.7676299999999996</v>
      </c>
      <c r="E2002">
        <v>0.53111609999999998</v>
      </c>
      <c r="F2002" t="s">
        <v>55</v>
      </c>
      <c r="G2002">
        <v>-467.80079999999998</v>
      </c>
      <c r="H2002" s="1">
        <v>2.4531810000000002E-6</v>
      </c>
      <c r="I2002">
        <v>218.30449999999999</v>
      </c>
      <c r="J2002">
        <v>-481.93099999999998</v>
      </c>
      <c r="K2002">
        <v>1.1232230000000001</v>
      </c>
      <c r="L2002">
        <v>217.28890000000001</v>
      </c>
      <c r="M2002">
        <v>0.99942370000000003</v>
      </c>
      <c r="N2002">
        <v>-1.942806E-2</v>
      </c>
      <c r="O2002">
        <v>-2.7837779999999999E-2</v>
      </c>
      <c r="P2002">
        <v>0.97594119999999995</v>
      </c>
      <c r="Q2002">
        <v>-0.1451587</v>
      </c>
      <c r="R2002">
        <v>0.16268940000000001</v>
      </c>
      <c r="S2002">
        <v>2.997223</v>
      </c>
      <c r="T2002">
        <v>-0.23268800000000001</v>
      </c>
      <c r="U2002">
        <v>0.21498110000000001</v>
      </c>
      <c r="V2002">
        <v>-0.18534429999999999</v>
      </c>
      <c r="W2002">
        <v>-0.13271939999999999</v>
      </c>
      <c r="X2002">
        <v>0.97366989999999998</v>
      </c>
      <c r="Y2002">
        <v>-9.8869319999999997E-2</v>
      </c>
      <c r="Z2002">
        <v>6.4067109999999998E-3</v>
      </c>
      <c r="AA2002">
        <v>0.99507979999999996</v>
      </c>
      <c r="AB2002">
        <v>22</v>
      </c>
      <c r="AC2002">
        <v>14.1302</v>
      </c>
      <c r="AD2002">
        <v>-1.123220546819</v>
      </c>
      <c r="AE2002">
        <v>1.0155999999999701</v>
      </c>
      <c r="AF2002">
        <v>-1.39983410155944</v>
      </c>
      <c r="AG2002">
        <v>-1.123220546819</v>
      </c>
      <c r="AH2002">
        <v>14.0083834222589</v>
      </c>
      <c r="AI2002">
        <v>94.561661595273407</v>
      </c>
      <c r="AJ2002">
        <v>95.706526325238599</v>
      </c>
      <c r="AK2002">
        <v>14.122888019583799</v>
      </c>
      <c r="AL2002">
        <v>97.6267643554052</v>
      </c>
      <c r="AM2002">
        <v>100.77767470331</v>
      </c>
      <c r="AN2002">
        <v>1.0000000114224299</v>
      </c>
    </row>
    <row r="2003" spans="1:40" x14ac:dyDescent="0.25">
      <c r="A2003" t="str">
        <f>"20190305135623014"</f>
        <v>20190305135623014</v>
      </c>
      <c r="B2003" t="str">
        <f>"1551765383004001"</f>
        <v>1551765383004001</v>
      </c>
      <c r="C2003" t="s">
        <v>40</v>
      </c>
      <c r="D2003">
        <v>4.7836720000000001</v>
      </c>
      <c r="E2003">
        <v>0.53252549999999998</v>
      </c>
      <c r="F2003" t="s">
        <v>55</v>
      </c>
      <c r="G2003">
        <v>-466.11869999999999</v>
      </c>
      <c r="H2003" s="1">
        <v>1.5427409999999999E-6</v>
      </c>
      <c r="I2003">
        <v>218.655</v>
      </c>
      <c r="J2003">
        <v>-481.72629999999998</v>
      </c>
      <c r="K2003">
        <v>1.1224879999999999</v>
      </c>
      <c r="L2003">
        <v>217.3075</v>
      </c>
      <c r="M2003">
        <v>0.9997954</v>
      </c>
      <c r="N2003">
        <v>-1.9119980000000002E-2</v>
      </c>
      <c r="O2003">
        <v>-6.5963879999999999E-3</v>
      </c>
      <c r="P2003">
        <v>0.97406910000000002</v>
      </c>
      <c r="Q2003">
        <v>-0.1451007</v>
      </c>
      <c r="R2003">
        <v>0.17359430000000001</v>
      </c>
      <c r="S2003">
        <v>2.9991150000000002</v>
      </c>
      <c r="T2003">
        <v>-0.21304110000000001</v>
      </c>
      <c r="U2003">
        <v>0.25910949999999999</v>
      </c>
      <c r="V2003">
        <v>-0.175792899999999</v>
      </c>
      <c r="W2003">
        <v>-0.13228119999999999</v>
      </c>
      <c r="X2003">
        <v>0.97549920000000001</v>
      </c>
      <c r="Y2003">
        <v>-9.2343400000000006E-2</v>
      </c>
      <c r="Z2003">
        <v>4.4968930000000001E-3</v>
      </c>
      <c r="AA2003">
        <v>0.99571699999999996</v>
      </c>
      <c r="AB2003">
        <v>22</v>
      </c>
      <c r="AC2003">
        <v>15.6075999999999</v>
      </c>
      <c r="AD2003">
        <v>-1.1224864572590001</v>
      </c>
      <c r="AE2003">
        <v>1.3474999999999899</v>
      </c>
      <c r="AF2003">
        <v>-1.44303459377888</v>
      </c>
      <c r="AG2003">
        <v>-1.1224864572590001</v>
      </c>
      <c r="AH2003">
        <v>15.5186954356376</v>
      </c>
      <c r="AI2003">
        <v>94.119360697579594</v>
      </c>
      <c r="AJ2003">
        <v>95.312477618765797</v>
      </c>
      <c r="AK2003">
        <v>15.6260114139741</v>
      </c>
      <c r="AL2003">
        <v>97.601433524917098</v>
      </c>
      <c r="AM2003">
        <v>100.215524789008</v>
      </c>
      <c r="AN2003">
        <v>1.0000000743822399</v>
      </c>
    </row>
    <row r="2004" spans="1:40" x14ac:dyDescent="0.25">
      <c r="A2004" t="str">
        <f>"20190305135623056"</f>
        <v>20190305135623056</v>
      </c>
      <c r="B2004" t="str">
        <f>"1551765383053777"</f>
        <v>1551765383053777</v>
      </c>
      <c r="C2004" t="s">
        <v>40</v>
      </c>
      <c r="D2004">
        <v>4.9356479999999996</v>
      </c>
      <c r="E2004">
        <v>0.5756559</v>
      </c>
      <c r="F2004" t="s">
        <v>55</v>
      </c>
      <c r="G2004">
        <v>-464.71469999999999</v>
      </c>
      <c r="H2004" s="1">
        <v>7.8458799999999996E-7</v>
      </c>
      <c r="I2004">
        <v>218.90690000000001</v>
      </c>
      <c r="J2004">
        <v>-481.32089999999999</v>
      </c>
      <c r="K2004">
        <v>1.1209579999999999</v>
      </c>
      <c r="L2004">
        <v>217.3537</v>
      </c>
      <c r="M2004">
        <v>0.99930110000000005</v>
      </c>
      <c r="N2004">
        <v>-1.8450210000000002E-2</v>
      </c>
      <c r="O2004">
        <v>3.250803E-2</v>
      </c>
      <c r="P2004">
        <v>0.97091059999999996</v>
      </c>
      <c r="Q2004">
        <v>-0.1469944</v>
      </c>
      <c r="R2004">
        <v>0.18901100000000001</v>
      </c>
      <c r="S2004">
        <v>3.000092</v>
      </c>
      <c r="T2004">
        <v>-0.19795670000000001</v>
      </c>
      <c r="U2004">
        <v>0.2820587</v>
      </c>
      <c r="V2004">
        <v>-0.15353310000000001</v>
      </c>
      <c r="W2004">
        <v>-0.13346569999999999</v>
      </c>
      <c r="X2004">
        <v>0.97908859999999998</v>
      </c>
      <c r="Y2004">
        <v>-6.1051260000000003E-2</v>
      </c>
      <c r="Z2004">
        <v>1.034344E-3</v>
      </c>
      <c r="AA2004">
        <v>0.99813410000000002</v>
      </c>
      <c r="AB2004">
        <v>22</v>
      </c>
      <c r="AC2004">
        <v>16.606200000000001</v>
      </c>
      <c r="AD2004">
        <v>-1.120957215412</v>
      </c>
      <c r="AE2004">
        <v>1.5531999999999999</v>
      </c>
      <c r="AF2004">
        <v>-1.0078992947763801</v>
      </c>
      <c r="AG2004">
        <v>-1.120957215412</v>
      </c>
      <c r="AH2004">
        <v>16.573058956769401</v>
      </c>
      <c r="AI2004">
        <v>93.8623250353956</v>
      </c>
      <c r="AJ2004">
        <v>93.480186658565401</v>
      </c>
      <c r="AK2004">
        <v>16.641474972241799</v>
      </c>
      <c r="AL2004">
        <v>97.669908135905601</v>
      </c>
      <c r="AM2004">
        <v>98.912104040085495</v>
      </c>
      <c r="AN2004">
        <v>0.99999999626102998</v>
      </c>
    </row>
    <row r="2005" spans="1:40" x14ac:dyDescent="0.25">
      <c r="A2005" t="str">
        <f>"20190305135623079"</f>
        <v>20190305135623079</v>
      </c>
      <c r="B2005" t="str">
        <f>"1551765383073804"</f>
        <v>1551765383073804</v>
      </c>
      <c r="C2005" t="s">
        <v>40</v>
      </c>
      <c r="D2005">
        <v>4.9182100000000002</v>
      </c>
      <c r="E2005">
        <v>0.58510010000000001</v>
      </c>
      <c r="F2005" t="s">
        <v>55</v>
      </c>
      <c r="G2005">
        <v>-451.75049999999999</v>
      </c>
      <c r="H2005" s="1">
        <v>-7.2329419999999995E-7</v>
      </c>
      <c r="I2005">
        <v>217.3168</v>
      </c>
      <c r="J2005">
        <v>-481.10610000000003</v>
      </c>
      <c r="K2005">
        <v>1.120174</v>
      </c>
      <c r="L2005">
        <v>217.3827</v>
      </c>
      <c r="M2005">
        <v>0.99850819999999996</v>
      </c>
      <c r="N2005">
        <v>-1.8090149999999999E-2</v>
      </c>
      <c r="O2005">
        <v>5.151853E-2</v>
      </c>
      <c r="P2005">
        <v>0.96865599999999996</v>
      </c>
      <c r="Q2005">
        <v>-0.1501073</v>
      </c>
      <c r="R2005">
        <v>0.19792309999999999</v>
      </c>
      <c r="S2005">
        <v>3.072937</v>
      </c>
      <c r="T2005">
        <v>-0.1164893</v>
      </c>
      <c r="U2005">
        <v>-3.8299559999999998E-3</v>
      </c>
      <c r="V2005">
        <v>-0.14409930000000001</v>
      </c>
      <c r="W2005">
        <v>-0.13636129999999999</v>
      </c>
      <c r="X2005">
        <v>0.98012290000000002</v>
      </c>
      <c r="Y2005">
        <v>5.2705620000000002E-2</v>
      </c>
      <c r="Z2005">
        <v>-2.4951000000000001E-3</v>
      </c>
      <c r="AA2005">
        <v>0.99860700000000002</v>
      </c>
      <c r="AB2005">
        <v>22</v>
      </c>
      <c r="AC2005">
        <v>29.355599999999999</v>
      </c>
      <c r="AD2005">
        <v>-1.1201747232942001</v>
      </c>
      <c r="AE2005">
        <v>-6.5899999999999098E-2</v>
      </c>
      <c r="AF2005">
        <v>1.5761223403742</v>
      </c>
      <c r="AG2005">
        <v>-1.1201747232942001</v>
      </c>
      <c r="AH2005">
        <v>29.270587974145101</v>
      </c>
      <c r="AI2005">
        <v>92.188451796770195</v>
      </c>
      <c r="AJ2005">
        <v>86.917792324358103</v>
      </c>
      <c r="AK2005">
        <v>29.3343872169627</v>
      </c>
      <c r="AL2005">
        <v>97.837344986069795</v>
      </c>
      <c r="AM2005">
        <v>98.363802116371104</v>
      </c>
      <c r="AN2005">
        <v>0.99999995575129397</v>
      </c>
    </row>
    <row r="2006" spans="1:40" x14ac:dyDescent="0.25">
      <c r="A2006" t="str">
        <f>"20190305135623111"</f>
        <v>20190305135623111</v>
      </c>
      <c r="B2006" t="str">
        <f>"1551765383104060"</f>
        <v>1551765383104060</v>
      </c>
      <c r="C2006" t="s">
        <v>40</v>
      </c>
      <c r="D2006">
        <v>4.9309409999999998</v>
      </c>
      <c r="E2006">
        <v>0.58772709999999995</v>
      </c>
      <c r="F2006" t="s">
        <v>55</v>
      </c>
      <c r="G2006">
        <v>-455.2894</v>
      </c>
      <c r="H2006" s="1">
        <v>1.1746839999999999E-6</v>
      </c>
      <c r="I2006">
        <v>216.9794</v>
      </c>
      <c r="J2006">
        <v>-480.80040000000002</v>
      </c>
      <c r="K2006">
        <v>1.1191899999999999</v>
      </c>
      <c r="L2006">
        <v>217.42869999999999</v>
      </c>
      <c r="M2006">
        <v>0.99689919999999999</v>
      </c>
      <c r="N2006">
        <v>-1.7584550000000001E-2</v>
      </c>
      <c r="O2006">
        <v>7.6700069999999995E-2</v>
      </c>
      <c r="P2006">
        <v>0.96611029999999998</v>
      </c>
      <c r="Q2006">
        <v>-0.1478159</v>
      </c>
      <c r="R2006">
        <v>0.2116161</v>
      </c>
      <c r="S2006">
        <v>3.086182</v>
      </c>
      <c r="T2006">
        <v>-0.13390779999999999</v>
      </c>
      <c r="U2006">
        <v>-4.8202509999999997E-2</v>
      </c>
      <c r="V2006">
        <v>-0.13361319999999999</v>
      </c>
      <c r="W2006">
        <v>-0.1339101</v>
      </c>
      <c r="X2006">
        <v>0.98194479999999995</v>
      </c>
      <c r="Y2006">
        <v>9.2126250000000007E-2</v>
      </c>
      <c r="Z2006">
        <v>-4.7833169999999996E-3</v>
      </c>
      <c r="AA2006">
        <v>0.99573579999999995</v>
      </c>
      <c r="AB2006">
        <v>22</v>
      </c>
      <c r="AC2006">
        <v>25.510999999999999</v>
      </c>
      <c r="AD2006">
        <v>-1.1191888253159901</v>
      </c>
      <c r="AE2006">
        <v>-0.44929999999999298</v>
      </c>
      <c r="AF2006">
        <v>2.4003555830768399</v>
      </c>
      <c r="AG2006">
        <v>-1.1191888253159901</v>
      </c>
      <c r="AH2006">
        <v>25.352580320754399</v>
      </c>
      <c r="AI2006">
        <v>92.516440107661097</v>
      </c>
      <c r="AJ2006">
        <v>84.591418560903904</v>
      </c>
      <c r="AK2006">
        <v>25.4905398034687</v>
      </c>
      <c r="AL2006">
        <v>97.695601013864902</v>
      </c>
      <c r="AM2006">
        <v>97.748646721634202</v>
      </c>
      <c r="AN2006">
        <v>0.99999999617164403</v>
      </c>
    </row>
    <row r="2007" spans="1:40" x14ac:dyDescent="0.25">
      <c r="A2007" t="str">
        <f>"20190305135623134"</f>
        <v>20190305135623134</v>
      </c>
      <c r="B2007" t="str">
        <f>"1551765383124557"</f>
        <v>1551765383124557</v>
      </c>
      <c r="C2007" t="s">
        <v>40</v>
      </c>
      <c r="D2007">
        <v>4.9191719999999997</v>
      </c>
      <c r="E2007">
        <v>0.58836849999999996</v>
      </c>
      <c r="F2007" t="s">
        <v>55</v>
      </c>
      <c r="G2007">
        <v>-453.89609999999999</v>
      </c>
      <c r="H2007" s="1">
        <v>4.2193119999999998E-7</v>
      </c>
      <c r="I2007">
        <v>217.23759999999999</v>
      </c>
      <c r="J2007">
        <v>-480.5847</v>
      </c>
      <c r="K2007">
        <v>1.1186199999999999</v>
      </c>
      <c r="L2007">
        <v>217.4648</v>
      </c>
      <c r="M2007">
        <v>0.99551000000000001</v>
      </c>
      <c r="N2007">
        <v>-1.7239359999999999E-2</v>
      </c>
      <c r="O2007">
        <v>9.3072810000000006E-2</v>
      </c>
      <c r="P2007">
        <v>0.96552369999999998</v>
      </c>
      <c r="Q2007">
        <v>-0.1418606</v>
      </c>
      <c r="R2007">
        <v>0.21826499999999999</v>
      </c>
      <c r="S2007">
        <v>3.0904240000000001</v>
      </c>
      <c r="T2007">
        <v>-0.12855839999999999</v>
      </c>
      <c r="U2007">
        <v>-2.1957399999999998E-2</v>
      </c>
      <c r="V2007">
        <v>-0.1245079</v>
      </c>
      <c r="W2007">
        <v>-0.12783910000000001</v>
      </c>
      <c r="X2007">
        <v>0.98394859999999995</v>
      </c>
      <c r="Y2007">
        <v>0.1000085</v>
      </c>
      <c r="Z2007">
        <v>-5.2021400000000001E-3</v>
      </c>
      <c r="AA2007">
        <v>0.994973</v>
      </c>
      <c r="AB2007">
        <v>22</v>
      </c>
      <c r="AC2007">
        <v>26.688600000000001</v>
      </c>
      <c r="AD2007">
        <v>-1.1186195780688</v>
      </c>
      <c r="AE2007">
        <v>-0.22720000000001001</v>
      </c>
      <c r="AF2007">
        <v>2.7058126856772402</v>
      </c>
      <c r="AG2007">
        <v>-1.1186195780688</v>
      </c>
      <c r="AH2007">
        <v>26.505009467367099</v>
      </c>
      <c r="AI2007">
        <v>92.404200864245695</v>
      </c>
      <c r="AJ2007">
        <v>84.171048140850502</v>
      </c>
      <c r="AK2007">
        <v>26.666238184558999</v>
      </c>
      <c r="AL2007">
        <v>97.344740323651294</v>
      </c>
      <c r="AM2007">
        <v>97.211823067909293</v>
      </c>
      <c r="AN2007">
        <v>0.99999995004658804</v>
      </c>
    </row>
    <row r="2008" spans="1:40" x14ac:dyDescent="0.25">
      <c r="A2008" t="str">
        <f>"20190305135623156"</f>
        <v>20190305135623156</v>
      </c>
      <c r="B2008" t="str">
        <f>"1551765383144077"</f>
        <v>1551765383144077</v>
      </c>
      <c r="C2008" t="s">
        <v>40</v>
      </c>
      <c r="D2008">
        <v>5.0062790000000001</v>
      </c>
      <c r="E2008">
        <v>0.58863880000000002</v>
      </c>
      <c r="F2008" t="s">
        <v>55</v>
      </c>
      <c r="G2008">
        <v>-449.65030000000002</v>
      </c>
      <c r="H2008" s="1">
        <v>3.4771909999999999E-6</v>
      </c>
      <c r="I2008">
        <v>217.3938</v>
      </c>
      <c r="J2008">
        <v>-480.37110000000001</v>
      </c>
      <c r="K2008">
        <v>1.118188</v>
      </c>
      <c r="L2008">
        <v>217.50309999999999</v>
      </c>
      <c r="M2008">
        <v>0.99395909999999998</v>
      </c>
      <c r="N2008">
        <v>-1.6917999999999999E-2</v>
      </c>
      <c r="O2008">
        <v>0.1084396</v>
      </c>
      <c r="P2008">
        <v>0.96534160000000002</v>
      </c>
      <c r="Q2008">
        <v>-0.13757349999999999</v>
      </c>
      <c r="R2008">
        <v>0.2217866</v>
      </c>
      <c r="S2008">
        <v>3.0923159999999998</v>
      </c>
      <c r="T2008">
        <v>-0.111820699999999</v>
      </c>
      <c r="U2008">
        <v>-7.0953369999999898E-3</v>
      </c>
      <c r="V2008">
        <v>-0.1131003</v>
      </c>
      <c r="W2008">
        <v>-0.1234239</v>
      </c>
      <c r="X2008">
        <v>0.98588779999999998</v>
      </c>
      <c r="Y2008">
        <v>0.11061</v>
      </c>
      <c r="Z2008">
        <v>-5.0126420000000003E-3</v>
      </c>
      <c r="AA2008">
        <v>0.99385120000000005</v>
      </c>
      <c r="AB2008">
        <v>22</v>
      </c>
      <c r="AC2008">
        <v>30.720800000000001</v>
      </c>
      <c r="AD2008">
        <v>-1.1181845228089999</v>
      </c>
      <c r="AE2008">
        <v>-0.10929999999999</v>
      </c>
      <c r="AF2008">
        <v>3.43593130837196</v>
      </c>
      <c r="AG2008">
        <v>-1.1181845228089999</v>
      </c>
      <c r="AH2008">
        <v>30.487344301596799</v>
      </c>
      <c r="AI2008">
        <v>92.087294049721507</v>
      </c>
      <c r="AJ2008">
        <v>83.569883468643894</v>
      </c>
      <c r="AK2008">
        <v>30.700718609618999</v>
      </c>
      <c r="AL2008">
        <v>97.089747483531895</v>
      </c>
      <c r="AM2008">
        <v>96.544319546605607</v>
      </c>
      <c r="AN2008">
        <v>0.99999994557006799</v>
      </c>
    </row>
    <row r="2009" spans="1:40" x14ac:dyDescent="0.25">
      <c r="A2009" t="str">
        <f>"20190305135623180"</f>
        <v>20190305135623180</v>
      </c>
      <c r="B2009" t="str">
        <f>"1551765383173863"</f>
        <v>1551765383173863</v>
      </c>
      <c r="C2009" t="s">
        <v>40</v>
      </c>
      <c r="D2009">
        <v>4.8665089999999998</v>
      </c>
      <c r="E2009">
        <v>0.58999959999999996</v>
      </c>
      <c r="F2009" t="s">
        <v>55</v>
      </c>
      <c r="G2009">
        <v>-446.7749</v>
      </c>
      <c r="H2009" s="1">
        <v>1.9421660000000001E-6</v>
      </c>
      <c r="I2009">
        <v>217.50559999999999</v>
      </c>
      <c r="J2009">
        <v>-480.14260000000002</v>
      </c>
      <c r="K2009">
        <v>1.1177539999999999</v>
      </c>
      <c r="L2009">
        <v>217.54689999999999</v>
      </c>
      <c r="M2009">
        <v>0.99214829999999998</v>
      </c>
      <c r="N2009">
        <v>-1.659542E-2</v>
      </c>
      <c r="O2009">
        <v>0.12396210000000001</v>
      </c>
      <c r="P2009">
        <v>0.96507039999999999</v>
      </c>
      <c r="Q2009">
        <v>-0.13223089999999901</v>
      </c>
      <c r="R2009">
        <v>0.2261727</v>
      </c>
      <c r="S2009">
        <v>3.0929869999999999</v>
      </c>
      <c r="T2009">
        <v>-0.1029441</v>
      </c>
      <c r="U2009">
        <v>2.2888180000000001E-4</v>
      </c>
      <c r="V2009">
        <v>-0.1023544</v>
      </c>
      <c r="W2009">
        <v>-0.118003</v>
      </c>
      <c r="X2009">
        <v>0.98772409999999999</v>
      </c>
      <c r="Y2009">
        <v>0.1237861</v>
      </c>
      <c r="Z2009">
        <v>-5.1427199999999999E-3</v>
      </c>
      <c r="AA2009">
        <v>0.99229560000000006</v>
      </c>
      <c r="AB2009">
        <v>22</v>
      </c>
      <c r="AC2009">
        <v>33.367699999999999</v>
      </c>
      <c r="AD2009">
        <v>-1.1177520578339999</v>
      </c>
      <c r="AE2009">
        <v>-4.1300000000006699E-2</v>
      </c>
      <c r="AF2009">
        <v>4.1731978854267204</v>
      </c>
      <c r="AG2009">
        <v>-1.1177520578339999</v>
      </c>
      <c r="AH2009">
        <v>33.068035753469402</v>
      </c>
      <c r="AI2009">
        <v>91.920727846497897</v>
      </c>
      <c r="AJ2009">
        <v>82.8072764328425</v>
      </c>
      <c r="AK2009">
        <v>33.349062038481001</v>
      </c>
      <c r="AL2009">
        <v>96.776863912364604</v>
      </c>
      <c r="AM2009">
        <v>95.916244789383697</v>
      </c>
      <c r="AN2009">
        <v>1.00000001446458</v>
      </c>
    </row>
    <row r="2010" spans="1:40" x14ac:dyDescent="0.25">
      <c r="A2010" t="str">
        <f>"20190305135623204"</f>
        <v>20190305135623204</v>
      </c>
      <c r="B2010" t="str">
        <f>"1551765383194358"</f>
        <v>1551765383194358</v>
      </c>
      <c r="C2010" t="s">
        <v>40</v>
      </c>
      <c r="D2010">
        <v>4.8657579999999996</v>
      </c>
      <c r="E2010">
        <v>0.59076830000000002</v>
      </c>
      <c r="F2010" t="s">
        <v>55</v>
      </c>
      <c r="G2010">
        <v>-441.3897</v>
      </c>
      <c r="H2010" s="1">
        <v>-9.2672460000000004E-7</v>
      </c>
      <c r="I2010">
        <v>217.57820000000001</v>
      </c>
      <c r="J2010">
        <v>-479.92079999999999</v>
      </c>
      <c r="K2010">
        <v>1.1173249999999999</v>
      </c>
      <c r="L2010">
        <v>217.59190000000001</v>
      </c>
      <c r="M2010">
        <v>0.9902763</v>
      </c>
      <c r="N2010">
        <v>-1.6295489999999999E-2</v>
      </c>
      <c r="O2010">
        <v>0.13815749999999999</v>
      </c>
      <c r="P2010">
        <v>0.96449399999999996</v>
      </c>
      <c r="Q2010">
        <v>-0.1264972</v>
      </c>
      <c r="R2010">
        <v>0.23184070000000001</v>
      </c>
      <c r="S2010">
        <v>3.095764</v>
      </c>
      <c r="T2010">
        <v>-8.9291570000000001E-2</v>
      </c>
      <c r="U2010">
        <v>2.5024410000000002E-3</v>
      </c>
      <c r="V2010">
        <v>-9.4169500000000003E-2</v>
      </c>
      <c r="W2010">
        <v>-0.1122556</v>
      </c>
      <c r="X2010">
        <v>0.98920710000000001</v>
      </c>
      <c r="Y2010">
        <v>0.13727549999999999</v>
      </c>
      <c r="Z2010">
        <v>-4.8159049999999997E-3</v>
      </c>
      <c r="AA2010">
        <v>0.99052119999999999</v>
      </c>
      <c r="AB2010">
        <v>22</v>
      </c>
      <c r="AC2010">
        <v>38.531099999999903</v>
      </c>
      <c r="AD2010">
        <v>-1.1173259267245901</v>
      </c>
      <c r="AE2010">
        <v>-1.37E-2</v>
      </c>
      <c r="AF2010">
        <v>5.3331508948281297</v>
      </c>
      <c r="AG2010">
        <v>-1.1173259267245901</v>
      </c>
      <c r="AH2010">
        <v>38.127544738425499</v>
      </c>
      <c r="AI2010">
        <v>91.662394989542506</v>
      </c>
      <c r="AJ2010">
        <v>82.037324741469703</v>
      </c>
      <c r="AK2010">
        <v>38.5149397438731</v>
      </c>
      <c r="AL2010">
        <v>96.445357741421901</v>
      </c>
      <c r="AM2010">
        <v>95.437995830672307</v>
      </c>
      <c r="AN2010">
        <v>0.99999995057600799</v>
      </c>
    </row>
    <row r="2011" spans="1:40" x14ac:dyDescent="0.25">
      <c r="A2011" t="str">
        <f>"20190305135623226"</f>
        <v>20190305135623226</v>
      </c>
      <c r="B2011" t="str">
        <f>"1551765383213878"</f>
        <v>1551765383213878</v>
      </c>
      <c r="C2011" t="s">
        <v>40</v>
      </c>
      <c r="D2011">
        <v>4.8476210000000002</v>
      </c>
      <c r="E2011">
        <v>0.59163920000000003</v>
      </c>
      <c r="F2011" t="s">
        <v>61</v>
      </c>
      <c r="G2011">
        <v>-431.95409999999998</v>
      </c>
      <c r="H2011" s="1">
        <v>2.8037029999999998E-6</v>
      </c>
      <c r="I2011">
        <v>217.81739999999999</v>
      </c>
      <c r="J2011">
        <v>-479.7131</v>
      </c>
      <c r="K2011">
        <v>1.116879</v>
      </c>
      <c r="L2011">
        <v>217.63630000000001</v>
      </c>
      <c r="M2011">
        <v>0.98844639999999995</v>
      </c>
      <c r="N2011">
        <v>-1.6026990000000001E-2</v>
      </c>
      <c r="O2011">
        <v>0.1507213</v>
      </c>
      <c r="P2011">
        <v>0.96394849999999999</v>
      </c>
      <c r="Q2011">
        <v>-0.1191697</v>
      </c>
      <c r="R2011">
        <v>0.2379114</v>
      </c>
      <c r="S2011">
        <v>3.0974430000000002</v>
      </c>
      <c r="T2011">
        <v>-7.2150950000000005E-2</v>
      </c>
      <c r="U2011">
        <v>1.4556879999999999E-2</v>
      </c>
      <c r="V2011">
        <v>-8.7969530000000004E-2</v>
      </c>
      <c r="W2011">
        <v>-0.1049447</v>
      </c>
      <c r="X2011">
        <v>0.9905796</v>
      </c>
      <c r="Y2011">
        <v>0.1460226</v>
      </c>
      <c r="Z2011">
        <v>-3.9481309999999997E-3</v>
      </c>
      <c r="AA2011">
        <v>0.98927339999999997</v>
      </c>
      <c r="AB2011">
        <v>22</v>
      </c>
      <c r="AC2011">
        <v>47.759</v>
      </c>
      <c r="AD2011">
        <v>-1.116876196297</v>
      </c>
      <c r="AE2011">
        <v>0.18109999999998599</v>
      </c>
      <c r="AF2011">
        <v>7.0163552723038896</v>
      </c>
      <c r="AG2011">
        <v>-1.116876196297</v>
      </c>
      <c r="AH2011">
        <v>47.214752536647403</v>
      </c>
      <c r="AI2011">
        <v>91.340378725460894</v>
      </c>
      <c r="AJ2011">
        <v>81.547410878456304</v>
      </c>
      <c r="AK2011">
        <v>47.746303635379903</v>
      </c>
      <c r="AL2011">
        <v>96.023980585030699</v>
      </c>
      <c r="AM2011">
        <v>95.074902646551394</v>
      </c>
      <c r="AN2011">
        <v>0.999999986101335</v>
      </c>
    </row>
    <row r="2012" spans="1:40" x14ac:dyDescent="0.25">
      <c r="A2012" t="str">
        <f>"20190305135623247"</f>
        <v>20190305135623247</v>
      </c>
      <c r="B2012" t="str">
        <f>"1551765383244135"</f>
        <v>1551765383244135</v>
      </c>
      <c r="C2012" t="s">
        <v>40</v>
      </c>
      <c r="D2012">
        <v>4.9282059999999897</v>
      </c>
      <c r="E2012">
        <v>0.59255599999999997</v>
      </c>
      <c r="F2012" t="s">
        <v>55</v>
      </c>
      <c r="G2012">
        <v>-396.26920000000001</v>
      </c>
      <c r="H2012" s="1">
        <v>1.799342E-6</v>
      </c>
      <c r="I2012">
        <v>218.4401</v>
      </c>
      <c r="J2012">
        <v>-479.51990000000001</v>
      </c>
      <c r="K2012">
        <v>1.1164149999999999</v>
      </c>
      <c r="L2012">
        <v>217.67930000000001</v>
      </c>
      <c r="M2012">
        <v>0.98669340000000005</v>
      </c>
      <c r="N2012">
        <v>-1.5794160000000002E-2</v>
      </c>
      <c r="O2012">
        <v>0.1618222</v>
      </c>
      <c r="P2012">
        <v>0.96338690000000005</v>
      </c>
      <c r="Q2012">
        <v>-0.113447699999999</v>
      </c>
      <c r="R2012">
        <v>0.2429307</v>
      </c>
      <c r="S2012">
        <v>3.099701</v>
      </c>
      <c r="T2012">
        <v>-4.1488770000000001E-2</v>
      </c>
      <c r="U2012">
        <v>2.9861450000000001E-2</v>
      </c>
      <c r="V2012">
        <v>-8.210257E-2</v>
      </c>
      <c r="W2012">
        <v>-9.9236060000000001E-2</v>
      </c>
      <c r="X2012">
        <v>0.99167099999999997</v>
      </c>
      <c r="Y2012">
        <v>0.15229870000000001</v>
      </c>
      <c r="Z2012">
        <v>-1.81536E-3</v>
      </c>
      <c r="AA2012">
        <v>0.98833289999999996</v>
      </c>
      <c r="AB2012">
        <v>22</v>
      </c>
      <c r="AC2012">
        <v>83.250699999999995</v>
      </c>
      <c r="AD2012">
        <v>-1.1164132006580001</v>
      </c>
      <c r="AE2012">
        <v>0.76079999999998804</v>
      </c>
      <c r="AF2012">
        <v>12.7204362933564</v>
      </c>
      <c r="AG2012">
        <v>-1.1164132006580001</v>
      </c>
      <c r="AH2012">
        <v>82.2615115529577</v>
      </c>
      <c r="AI2012">
        <v>90.768411075721602</v>
      </c>
      <c r="AJ2012">
        <v>81.209739803520193</v>
      </c>
      <c r="AK2012">
        <v>83.246694594472203</v>
      </c>
      <c r="AL2012">
        <v>95.695181124869094</v>
      </c>
      <c r="AM2012">
        <v>94.732846398468695</v>
      </c>
      <c r="AN2012">
        <v>0.99999999992296396</v>
      </c>
    </row>
    <row r="2013" spans="1:40" x14ac:dyDescent="0.25">
      <c r="A2013" t="str">
        <f>"20190305135623269"</f>
        <v>20190305135623269</v>
      </c>
      <c r="B2013" t="str">
        <f>"1551765383263655"</f>
        <v>1551765383263655</v>
      </c>
      <c r="C2013" t="s">
        <v>40</v>
      </c>
      <c r="D2013">
        <v>4.9097780000000002</v>
      </c>
      <c r="E2013">
        <v>0.59319500000000003</v>
      </c>
      <c r="F2013" t="s">
        <v>55</v>
      </c>
      <c r="G2013">
        <v>-279.17419999999998</v>
      </c>
      <c r="H2013">
        <v>8.0000989999999994E-2</v>
      </c>
      <c r="I2013">
        <v>220.3622</v>
      </c>
      <c r="J2013">
        <v>-479.30779999999999</v>
      </c>
      <c r="K2013">
        <v>1.1159190000000001</v>
      </c>
      <c r="L2013">
        <v>217.72829999999999</v>
      </c>
      <c r="M2013">
        <v>0.98472119999999996</v>
      </c>
      <c r="N2013">
        <v>-1.555989E-2</v>
      </c>
      <c r="O2013">
        <v>0.1734424</v>
      </c>
      <c r="P2013">
        <v>0.96270299999999998</v>
      </c>
      <c r="Q2013">
        <v>-0.1154371</v>
      </c>
      <c r="R2013">
        <v>0.24469840000000001</v>
      </c>
      <c r="S2013">
        <v>3.1016240000000002</v>
      </c>
      <c r="T2013">
        <v>-1.6045090000000001E-2</v>
      </c>
      <c r="U2013">
        <v>4.1534420000000002E-2</v>
      </c>
      <c r="V2013">
        <v>-7.2363239999999995E-2</v>
      </c>
      <c r="W2013">
        <v>-0.1011975</v>
      </c>
      <c r="X2013">
        <v>0.99223110000000003</v>
      </c>
      <c r="Y2013">
        <v>0.16024289999999999</v>
      </c>
      <c r="Z2013">
        <v>1.551023E-4</v>
      </c>
      <c r="AA2013">
        <v>0.9870776</v>
      </c>
      <c r="AB2013">
        <v>22</v>
      </c>
      <c r="AC2013">
        <v>200.1336</v>
      </c>
      <c r="AD2013">
        <v>-1.0359180100000001</v>
      </c>
      <c r="AE2013">
        <v>2.6339000000000099</v>
      </c>
      <c r="AF2013">
        <v>32.121019537824097</v>
      </c>
      <c r="AG2013">
        <v>-1.0359180100000001</v>
      </c>
      <c r="AH2013">
        <v>197.551231876722</v>
      </c>
      <c r="AI2013">
        <v>90.296550155716204</v>
      </c>
      <c r="AJ2013">
        <v>80.764760760547901</v>
      </c>
      <c r="AK2013">
        <v>200.14825065007</v>
      </c>
      <c r="AL2013">
        <v>95.808132222854397</v>
      </c>
      <c r="AM2013">
        <v>94.1711864261177</v>
      </c>
      <c r="AN2013">
        <v>0.999999964158378</v>
      </c>
    </row>
    <row r="2014" spans="1:40" x14ac:dyDescent="0.25">
      <c r="A2014" t="str">
        <f>"20190305135623292"</f>
        <v>20190305135623292</v>
      </c>
      <c r="B2014" t="str">
        <f>"1551765383283683"</f>
        <v>1551765383283683</v>
      </c>
      <c r="C2014" t="s">
        <v>40</v>
      </c>
      <c r="D2014">
        <v>4.8123120000000004</v>
      </c>
      <c r="E2014">
        <v>0.59373589999999998</v>
      </c>
      <c r="F2014" t="s">
        <v>55</v>
      </c>
      <c r="G2014">
        <v>-355.54950000000002</v>
      </c>
      <c r="H2014" s="1">
        <v>1.2097250000000001E-6</v>
      </c>
      <c r="I2014">
        <v>219.34370000000001</v>
      </c>
      <c r="J2014">
        <v>-479.08800000000002</v>
      </c>
      <c r="K2014">
        <v>1.115462</v>
      </c>
      <c r="L2014">
        <v>217.78110000000001</v>
      </c>
      <c r="M2014">
        <v>0.98266010000000004</v>
      </c>
      <c r="N2014">
        <v>-1.5337119999999999E-2</v>
      </c>
      <c r="O2014">
        <v>0.18478130000000001</v>
      </c>
      <c r="P2014">
        <v>0.96264329999999998</v>
      </c>
      <c r="Q2014">
        <v>-0.1206184</v>
      </c>
      <c r="R2014">
        <v>0.2424241</v>
      </c>
      <c r="S2014">
        <v>3.1025390000000002</v>
      </c>
      <c r="T2014">
        <v>-2.7975320000000001E-2</v>
      </c>
      <c r="U2014">
        <v>4.0496829999999998E-2</v>
      </c>
      <c r="V2014">
        <v>-5.8744110000000002E-2</v>
      </c>
      <c r="W2014">
        <v>-0.1063103</v>
      </c>
      <c r="X2014">
        <v>0.99259620000000004</v>
      </c>
      <c r="Y2014">
        <v>0.17193789999999901</v>
      </c>
      <c r="Z2014">
        <v>-9.0489919999999998E-4</v>
      </c>
      <c r="AA2014">
        <v>0.98510739999999997</v>
      </c>
      <c r="AB2014">
        <v>22</v>
      </c>
      <c r="AC2014">
        <v>123.5385</v>
      </c>
      <c r="AD2014">
        <v>-1.115460790275</v>
      </c>
      <c r="AE2014">
        <v>1.5626</v>
      </c>
      <c r="AF2014">
        <v>21.292866534458</v>
      </c>
      <c r="AG2014">
        <v>-1.115460790275</v>
      </c>
      <c r="AH2014">
        <v>121.689475035629</v>
      </c>
      <c r="AI2014">
        <v>90.517325012523997</v>
      </c>
      <c r="AJ2014">
        <v>80.075029825538493</v>
      </c>
      <c r="AK2014">
        <v>123.543347665813</v>
      </c>
      <c r="AL2014">
        <v>96.102663898772803</v>
      </c>
      <c r="AM2014">
        <v>93.386944463989707</v>
      </c>
      <c r="AN2014">
        <v>0.99999998330010997</v>
      </c>
    </row>
    <row r="2015" spans="1:40" x14ac:dyDescent="0.25">
      <c r="A2015" t="str">
        <f>"20190305135623314"</f>
        <v>20190305135623314</v>
      </c>
      <c r="B2015" t="str">
        <f>"1551765383304178"</f>
        <v>1551765383304178</v>
      </c>
      <c r="C2015" t="s">
        <v>40</v>
      </c>
      <c r="D2015">
        <v>4.8555830000000002</v>
      </c>
      <c r="E2015">
        <v>0.594171</v>
      </c>
      <c r="F2015" t="s">
        <v>61</v>
      </c>
      <c r="G2015">
        <v>-414.5883</v>
      </c>
      <c r="H2015" s="1">
        <v>2.6940069999999902E-6</v>
      </c>
      <c r="I2015">
        <v>218.34119999999999</v>
      </c>
      <c r="J2015">
        <v>-478.8777</v>
      </c>
      <c r="K2015">
        <v>1.1150260000000001</v>
      </c>
      <c r="L2015">
        <v>217.83330000000001</v>
      </c>
      <c r="M2015">
        <v>0.98069519999999999</v>
      </c>
      <c r="N2015">
        <v>-1.513668E-2</v>
      </c>
      <c r="O2015">
        <v>0.1949563</v>
      </c>
      <c r="P2015">
        <v>0.96220039999999996</v>
      </c>
      <c r="Q2015">
        <v>-0.12859719999999999</v>
      </c>
      <c r="R2015">
        <v>0.24006939999999999</v>
      </c>
      <c r="S2015">
        <v>3.102875</v>
      </c>
      <c r="T2015">
        <v>-5.3661229999999997E-2</v>
      </c>
      <c r="U2015">
        <v>2.6947019999999999E-2</v>
      </c>
      <c r="V2015">
        <v>-4.6235180000000001E-2</v>
      </c>
      <c r="W2015">
        <v>-0.1142572</v>
      </c>
      <c r="X2015">
        <v>0.99237470000000005</v>
      </c>
      <c r="Y2015">
        <v>0.1864016</v>
      </c>
      <c r="Z2015">
        <v>-3.4109449999999999E-3</v>
      </c>
      <c r="AA2015">
        <v>0.98246770000000005</v>
      </c>
      <c r="AB2015">
        <v>22</v>
      </c>
      <c r="AC2015">
        <v>64.289400000000001</v>
      </c>
      <c r="AD2015">
        <v>-1.1150233059929999</v>
      </c>
      <c r="AE2015">
        <v>0.50789999999997704</v>
      </c>
      <c r="AF2015">
        <v>12.033287078784699</v>
      </c>
      <c r="AG2015">
        <v>-1.1150233059929999</v>
      </c>
      <c r="AH2015">
        <v>63.135564338542999</v>
      </c>
      <c r="AI2015">
        <v>90.993895443411603</v>
      </c>
      <c r="AJ2015">
        <v>79.209164676418297</v>
      </c>
      <c r="AK2015">
        <v>64.281745147745198</v>
      </c>
      <c r="AL2015">
        <v>96.560783529880595</v>
      </c>
      <c r="AM2015">
        <v>92.6675069526258</v>
      </c>
      <c r="AN2015">
        <v>0.99999997241078098</v>
      </c>
    </row>
    <row r="2016" spans="1:40" x14ac:dyDescent="0.25">
      <c r="A2016" t="str">
        <f>"20190305135623336"</f>
        <v>20190305135623336</v>
      </c>
      <c r="B2016" t="str">
        <f>"1551765383323699"</f>
        <v>1551765383323699</v>
      </c>
      <c r="C2016" t="s">
        <v>40</v>
      </c>
      <c r="D2016">
        <v>4.8586159999999996</v>
      </c>
      <c r="E2016">
        <v>0.59469289999999997</v>
      </c>
      <c r="F2016" t="s">
        <v>61</v>
      </c>
      <c r="G2016">
        <v>-434.65260000000001</v>
      </c>
      <c r="H2016" s="1">
        <v>3.9758470000000004E-6</v>
      </c>
      <c r="I2016">
        <v>218.09819999999999</v>
      </c>
      <c r="J2016">
        <v>-478.67360000000002</v>
      </c>
      <c r="K2016">
        <v>1.114628</v>
      </c>
      <c r="L2016">
        <v>217.88550000000001</v>
      </c>
      <c r="M2016">
        <v>0.97879539999999998</v>
      </c>
      <c r="N2016">
        <v>-1.495516E-2</v>
      </c>
      <c r="O2016">
        <v>0.20429359999999999</v>
      </c>
      <c r="P2016">
        <v>0.96198479999999997</v>
      </c>
      <c r="Q2016">
        <v>-0.1357583</v>
      </c>
      <c r="R2016">
        <v>0.2369704</v>
      </c>
      <c r="S2016">
        <v>3.102722</v>
      </c>
      <c r="T2016">
        <v>-7.8227160000000004E-2</v>
      </c>
      <c r="U2016">
        <v>1.8585210000000001E-2</v>
      </c>
      <c r="V2016">
        <v>-3.3802800000000001E-2</v>
      </c>
      <c r="W2016">
        <v>-0.12139850000000001</v>
      </c>
      <c r="X2016">
        <v>0.99202809999999997</v>
      </c>
      <c r="Y2016">
        <v>0.1983393</v>
      </c>
      <c r="Z2016">
        <v>-6.033152E-3</v>
      </c>
      <c r="AA2016">
        <v>0.98011490000000001</v>
      </c>
      <c r="AB2016">
        <v>22</v>
      </c>
      <c r="AC2016">
        <v>44.021000000000001</v>
      </c>
      <c r="AD2016">
        <v>-1.1146240241529899</v>
      </c>
      <c r="AE2016">
        <v>0.21269999999998301</v>
      </c>
      <c r="AF2016">
        <v>8.78037239836606</v>
      </c>
      <c r="AG2016">
        <v>-1.1146240241529899</v>
      </c>
      <c r="AH2016">
        <v>43.108193616213498</v>
      </c>
      <c r="AI2016">
        <v>91.451347783162205</v>
      </c>
      <c r="AJ2016">
        <v>78.487350930171303</v>
      </c>
      <c r="AK2016">
        <v>44.007427589239498</v>
      </c>
      <c r="AL2016">
        <v>96.972820938570806</v>
      </c>
      <c r="AM2016">
        <v>91.951566421100495</v>
      </c>
      <c r="AN2016">
        <v>0.99999998813984903</v>
      </c>
    </row>
    <row r="2017" spans="1:40" x14ac:dyDescent="0.25">
      <c r="A2017" t="str">
        <f>"20190305135623358"</f>
        <v>20190305135623358</v>
      </c>
      <c r="B2017" t="str">
        <f>"1551765383353954"</f>
        <v>1551765383353954</v>
      </c>
      <c r="C2017" t="s">
        <v>40</v>
      </c>
      <c r="D2017">
        <v>4.8743429999999996</v>
      </c>
      <c r="E2017">
        <v>0.59541429999999995</v>
      </c>
      <c r="F2017" t="s">
        <v>55</v>
      </c>
      <c r="G2017">
        <v>-443.18119999999999</v>
      </c>
      <c r="H2017" s="1">
        <v>9.3726410000000003E-9</v>
      </c>
      <c r="I2017">
        <v>217.97239999999999</v>
      </c>
      <c r="J2017">
        <v>-478.47019999999998</v>
      </c>
      <c r="K2017">
        <v>1.114223</v>
      </c>
      <c r="L2017">
        <v>217.93879999999999</v>
      </c>
      <c r="M2017">
        <v>0.97694559999999997</v>
      </c>
      <c r="N2017">
        <v>-1.4784800000000001E-2</v>
      </c>
      <c r="O2017">
        <v>0.21297569999999999</v>
      </c>
      <c r="P2017">
        <v>0.96337689999999998</v>
      </c>
      <c r="Q2017">
        <v>-0.13731380000000001</v>
      </c>
      <c r="R2017">
        <v>0.23032559999999999</v>
      </c>
      <c r="S2017">
        <v>3.1029360000000001</v>
      </c>
      <c r="T2017">
        <v>-9.7446679999999994E-2</v>
      </c>
      <c r="U2017">
        <v>7.59887699999999E-3</v>
      </c>
      <c r="V2017">
        <v>-1.830967E-2</v>
      </c>
      <c r="W2017">
        <v>-0.12289509999999999</v>
      </c>
      <c r="X2017">
        <v>0.99225070000000004</v>
      </c>
      <c r="Y2017">
        <v>0.21042540000000001</v>
      </c>
      <c r="Z2017">
        <v>-8.3400390000000005E-3</v>
      </c>
      <c r="AA2017">
        <v>0.97757430000000001</v>
      </c>
      <c r="AB2017">
        <v>22</v>
      </c>
      <c r="AC2017">
        <v>35.288999999999902</v>
      </c>
      <c r="AD2017">
        <v>-1.11422299062735</v>
      </c>
      <c r="AE2017">
        <v>3.3600000000006902E-2</v>
      </c>
      <c r="AF2017">
        <v>7.4762389940188196</v>
      </c>
      <c r="AG2017">
        <v>-1.11422299062735</v>
      </c>
      <c r="AH2017">
        <v>34.452013335038998</v>
      </c>
      <c r="AI2017">
        <v>91.810270187407994</v>
      </c>
      <c r="AJ2017">
        <v>77.756394784826597</v>
      </c>
      <c r="AK2017">
        <v>35.271473816757798</v>
      </c>
      <c r="AL2017">
        <v>97.059217005697903</v>
      </c>
      <c r="AM2017">
        <v>91.057139864164299</v>
      </c>
      <c r="AN2017">
        <v>0.99999995063500302</v>
      </c>
    </row>
    <row r="2018" spans="1:40" x14ac:dyDescent="0.25">
      <c r="A2018" t="str">
        <f>"20190305135623381"</f>
        <v>20190305135623381</v>
      </c>
      <c r="B2018" t="str">
        <f>"1551765383374450"</f>
        <v>1551765383374450</v>
      </c>
      <c r="C2018" t="s">
        <v>40</v>
      </c>
      <c r="D2018">
        <v>4.8792770000000001</v>
      </c>
      <c r="E2018">
        <v>0.59569300000000003</v>
      </c>
      <c r="F2018" t="s">
        <v>55</v>
      </c>
      <c r="G2018">
        <v>-446.12790000000001</v>
      </c>
      <c r="H2018" s="1">
        <v>1.5882450000000001E-6</v>
      </c>
      <c r="I2018">
        <v>217.7259</v>
      </c>
      <c r="J2018">
        <v>-478.25920000000002</v>
      </c>
      <c r="K2018">
        <v>1.113723</v>
      </c>
      <c r="L2018">
        <v>217.99529999999999</v>
      </c>
      <c r="M2018">
        <v>0.97512200000000004</v>
      </c>
      <c r="N2018">
        <v>-1.4546180000000001E-2</v>
      </c>
      <c r="O2018">
        <v>0.22119140000000001</v>
      </c>
      <c r="P2018">
        <v>0.96538159999999895</v>
      </c>
      <c r="Q2018">
        <v>-0.1325482</v>
      </c>
      <c r="R2018">
        <v>0.22465399999999999</v>
      </c>
      <c r="S2018">
        <v>3.1036990000000002</v>
      </c>
      <c r="T2018">
        <v>-0.1069251</v>
      </c>
      <c r="U2018">
        <v>-2.0431520000000002E-2</v>
      </c>
      <c r="V2018">
        <v>-4.1888330000000003E-3</v>
      </c>
      <c r="W2018">
        <v>-0.11817179999999999</v>
      </c>
      <c r="X2018">
        <v>0.99298430000000004</v>
      </c>
      <c r="Y2018">
        <v>0.2273963</v>
      </c>
      <c r="Z2018">
        <v>-9.9053049999999997E-3</v>
      </c>
      <c r="AA2018">
        <v>0.9737519</v>
      </c>
      <c r="AB2018">
        <v>22</v>
      </c>
      <c r="AC2018">
        <v>32.131300000000003</v>
      </c>
      <c r="AD2018">
        <v>-1.1137214117550001</v>
      </c>
      <c r="AE2018">
        <v>-0.26939999999998998</v>
      </c>
      <c r="AF2018">
        <v>7.3618003721753897</v>
      </c>
      <c r="AG2018">
        <v>-1.1137214117550001</v>
      </c>
      <c r="AH2018">
        <v>31.2381277248322</v>
      </c>
      <c r="AI2018">
        <v>91.987480258654102</v>
      </c>
      <c r="AJ2018">
        <v>76.739230084503504</v>
      </c>
      <c r="AK2018">
        <v>32.113192053355498</v>
      </c>
      <c r="AL2018">
        <v>96.786603887166706</v>
      </c>
      <c r="AM2018">
        <v>90.241696699912396</v>
      </c>
      <c r="AN2018">
        <v>0.99999997034181498</v>
      </c>
    </row>
    <row r="2019" spans="1:40" x14ac:dyDescent="0.25">
      <c r="A2019" t="str">
        <f>"20190305135623403"</f>
        <v>20190305135623403</v>
      </c>
      <c r="B2019" t="str">
        <f>"1551765383393971"</f>
        <v>1551765383393971</v>
      </c>
      <c r="C2019" t="s">
        <v>40</v>
      </c>
      <c r="D2019">
        <v>4.8856299999999999</v>
      </c>
      <c r="E2019">
        <v>0.59586669999999997</v>
      </c>
      <c r="F2019" t="s">
        <v>55</v>
      </c>
      <c r="G2019">
        <v>-442.76459999999997</v>
      </c>
      <c r="H2019" s="1">
        <v>-1.919006E-7</v>
      </c>
      <c r="I2019">
        <v>217.50579999999999</v>
      </c>
      <c r="J2019">
        <v>-478.03899999999999</v>
      </c>
      <c r="K2019">
        <v>1.113019</v>
      </c>
      <c r="L2019">
        <v>218.05510000000001</v>
      </c>
      <c r="M2019">
        <v>0.97338990000000003</v>
      </c>
      <c r="N2019">
        <v>-1.412305E-2</v>
      </c>
      <c r="O2019">
        <v>0.2287199</v>
      </c>
      <c r="P2019">
        <v>0.96603939999999999</v>
      </c>
      <c r="Q2019">
        <v>-0.12964249999999999</v>
      </c>
      <c r="R2019">
        <v>0.22352</v>
      </c>
      <c r="S2019">
        <v>3.1041560000000001</v>
      </c>
      <c r="T2019">
        <v>-9.7400070000000005E-2</v>
      </c>
      <c r="U2019">
        <v>-4.2816159999999999E-2</v>
      </c>
      <c r="V2019">
        <v>4.5202289999999997E-3</v>
      </c>
      <c r="W2019">
        <v>-0.11558690000000001</v>
      </c>
      <c r="X2019">
        <v>0.99328709999999998</v>
      </c>
      <c r="Y2019">
        <v>0.2419425</v>
      </c>
      <c r="Z2019">
        <v>-9.3828179999999994E-3</v>
      </c>
      <c r="AA2019">
        <v>0.97024520000000003</v>
      </c>
      <c r="AB2019">
        <v>22</v>
      </c>
      <c r="AC2019">
        <v>35.2744</v>
      </c>
      <c r="AD2019">
        <v>-1.1130191919006001</v>
      </c>
      <c r="AE2019">
        <v>-0.549300000000016</v>
      </c>
      <c r="AF2019">
        <v>8.5949426636134199</v>
      </c>
      <c r="AG2019">
        <v>-1.1130191919006001</v>
      </c>
      <c r="AH2019">
        <v>34.179497616384502</v>
      </c>
      <c r="AI2019">
        <v>91.808842471327694</v>
      </c>
      <c r="AJ2019">
        <v>75.884790453011405</v>
      </c>
      <c r="AK2019">
        <v>35.261167144902799</v>
      </c>
      <c r="AL2019">
        <v>96.637477599563397</v>
      </c>
      <c r="AM2019">
        <v>89.739261431768696</v>
      </c>
      <c r="AN2019">
        <v>1.00000001347411</v>
      </c>
    </row>
    <row r="2020" spans="1:40" x14ac:dyDescent="0.25">
      <c r="A2020" t="str">
        <f>"20190305135623450"</f>
        <v>20190305135623450</v>
      </c>
      <c r="B2020" t="str">
        <f>"1551765383443746"</f>
        <v>1551765383443746</v>
      </c>
      <c r="C2020" t="s">
        <v>40</v>
      </c>
      <c r="D2020">
        <v>5.2406410000000001</v>
      </c>
      <c r="E2020">
        <v>0.59624869999999996</v>
      </c>
      <c r="F2020" t="s">
        <v>61</v>
      </c>
      <c r="G2020">
        <v>-435.23149999999998</v>
      </c>
      <c r="H2020" s="1">
        <v>4.2893660000000003E-6</v>
      </c>
      <c r="I2020">
        <v>217.44810000000001</v>
      </c>
      <c r="J2020">
        <v>-477.60480000000001</v>
      </c>
      <c r="K2020">
        <v>1.1111089999999999</v>
      </c>
      <c r="L2020">
        <v>218.17339999999999</v>
      </c>
      <c r="M2020">
        <v>0.9707962</v>
      </c>
      <c r="N2020">
        <v>-1.303383E-2</v>
      </c>
      <c r="O2020">
        <v>0.23955180000000001</v>
      </c>
      <c r="P2020">
        <v>0.96618689999999996</v>
      </c>
      <c r="Q2020">
        <v>-0.134461</v>
      </c>
      <c r="R2020">
        <v>0.22000729999999999</v>
      </c>
      <c r="S2020">
        <v>3.1048279999999999</v>
      </c>
      <c r="T2020">
        <v>-8.0726859999999998E-2</v>
      </c>
      <c r="U2020">
        <v>-4.4021610000000003E-2</v>
      </c>
      <c r="V2020">
        <v>1.8555100000000001E-2</v>
      </c>
      <c r="W2020">
        <v>-0.12143370000000001</v>
      </c>
      <c r="X2020">
        <v>0.99242609999999998</v>
      </c>
      <c r="Y2020">
        <v>0.25316539999999998</v>
      </c>
      <c r="Z2020">
        <v>-7.9809019999999998E-3</v>
      </c>
      <c r="AA2020">
        <v>0.96739010000000003</v>
      </c>
      <c r="AB2020">
        <v>22</v>
      </c>
      <c r="AC2020">
        <v>42.3733</v>
      </c>
      <c r="AD2020">
        <v>-1.111104710634</v>
      </c>
      <c r="AE2020">
        <v>-0.72529999999997496</v>
      </c>
      <c r="AF2020">
        <v>10.8481829192938</v>
      </c>
      <c r="AG2020">
        <v>-1.111104710634</v>
      </c>
      <c r="AH2020">
        <v>40.937427575170602</v>
      </c>
      <c r="AI2020">
        <v>91.502866932633694</v>
      </c>
      <c r="AJ2020">
        <v>75.158080772953397</v>
      </c>
      <c r="AK2020">
        <v>42.364969052281701</v>
      </c>
      <c r="AL2020">
        <v>96.974852701922003</v>
      </c>
      <c r="AM2020">
        <v>88.928882396171204</v>
      </c>
      <c r="AN2020">
        <v>0.99999999959645403</v>
      </c>
    </row>
    <row r="2021" spans="1:40" x14ac:dyDescent="0.25">
      <c r="A2021" t="str">
        <f>"20190305135623471"</f>
        <v>20190305135623471</v>
      </c>
      <c r="B2021" t="str">
        <f>"1551765383464243"</f>
        <v>1551765383464243</v>
      </c>
      <c r="C2021" t="s">
        <v>40</v>
      </c>
      <c r="D2021">
        <v>4.974882</v>
      </c>
      <c r="E2021">
        <v>0.59625799999999995</v>
      </c>
      <c r="F2021" t="s">
        <v>61</v>
      </c>
      <c r="G2021">
        <v>-435.50830000000002</v>
      </c>
      <c r="H2021" s="1">
        <v>4.410679E-6</v>
      </c>
      <c r="I2021">
        <v>217.46469999999999</v>
      </c>
      <c r="J2021">
        <v>-477.40859999999998</v>
      </c>
      <c r="K2021">
        <v>1.110214</v>
      </c>
      <c r="L2021">
        <v>218.226</v>
      </c>
      <c r="M2021">
        <v>0.97006599999999998</v>
      </c>
      <c r="N2021">
        <v>-1.2554289999999999E-2</v>
      </c>
      <c r="O2021">
        <v>0.24251710000000001</v>
      </c>
      <c r="P2021">
        <v>0.96689230000000004</v>
      </c>
      <c r="Q2021">
        <v>-0.13932800000000001</v>
      </c>
      <c r="R2021">
        <v>0.21379239999999999</v>
      </c>
      <c r="S2021">
        <v>3.1054689999999998</v>
      </c>
      <c r="T2021">
        <v>-8.1966520000000001E-2</v>
      </c>
      <c r="U2021">
        <v>-5.2276610000000001E-2</v>
      </c>
      <c r="V2021">
        <v>2.7539089999999999E-2</v>
      </c>
      <c r="W2021">
        <v>-0.12679469999999901</v>
      </c>
      <c r="X2021">
        <v>0.99154659999999994</v>
      </c>
      <c r="Y2021">
        <v>0.25867639999999997</v>
      </c>
      <c r="Z2021">
        <v>-8.3257820000000003E-3</v>
      </c>
      <c r="AA2021">
        <v>0.96592820000000001</v>
      </c>
      <c r="AB2021">
        <v>22</v>
      </c>
      <c r="AC2021">
        <v>41.900299999999902</v>
      </c>
      <c r="AD2021">
        <v>-1.110209589321</v>
      </c>
      <c r="AE2021">
        <v>-0.76130000000000497</v>
      </c>
      <c r="AF2021">
        <v>10.8932632646583</v>
      </c>
      <c r="AG2021">
        <v>-1.110209589321</v>
      </c>
      <c r="AH2021">
        <v>40.436233693217098</v>
      </c>
      <c r="AI2021">
        <v>91.518594359982998</v>
      </c>
      <c r="AJ2021">
        <v>74.922812302656396</v>
      </c>
      <c r="AK2021">
        <v>41.892538060827</v>
      </c>
      <c r="AL2021">
        <v>97.284409430110003</v>
      </c>
      <c r="AM2021">
        <v>88.409083245626405</v>
      </c>
      <c r="AN2021">
        <v>0.99999997869883805</v>
      </c>
    </row>
    <row r="2022" spans="1:40" x14ac:dyDescent="0.25">
      <c r="A2022" t="str">
        <f>"20190305135623493"</f>
        <v>20190305135623493</v>
      </c>
      <c r="B2022" t="str">
        <f>"1551765383483763"</f>
        <v>1551765383483763</v>
      </c>
      <c r="C2022" t="s">
        <v>40</v>
      </c>
      <c r="D2022">
        <v>4.9615850000000004</v>
      </c>
      <c r="E2022">
        <v>0.59619440000000001</v>
      </c>
      <c r="F2022" t="s">
        <v>55</v>
      </c>
      <c r="G2022">
        <v>-442.90210000000002</v>
      </c>
      <c r="H2022" s="1">
        <v>-1.148864E-7</v>
      </c>
      <c r="I2022">
        <v>217.41749999999999</v>
      </c>
      <c r="J2022">
        <v>-477.18610000000001</v>
      </c>
      <c r="K2022">
        <v>1.1092409999999999</v>
      </c>
      <c r="L2022">
        <v>218.28469999999999</v>
      </c>
      <c r="M2022">
        <v>0.96960710000000006</v>
      </c>
      <c r="N2022">
        <v>-1.197819E-2</v>
      </c>
      <c r="O2022">
        <v>0.24437410000000001</v>
      </c>
      <c r="P2022">
        <v>0.96886719999999904</v>
      </c>
      <c r="Q2022">
        <v>-0.1359784</v>
      </c>
      <c r="R2022">
        <v>0.20689650000000001</v>
      </c>
      <c r="S2022">
        <v>3.1044619999999998</v>
      </c>
      <c r="T2022">
        <v>-9.9882960000000007E-2</v>
      </c>
      <c r="U2022">
        <v>-7.2738650000000002E-2</v>
      </c>
      <c r="V2022">
        <v>3.630808E-2</v>
      </c>
      <c r="W2022">
        <v>-0.1240665</v>
      </c>
      <c r="X2022">
        <v>0.99160939999999997</v>
      </c>
      <c r="Y2022">
        <v>0.26680150000000002</v>
      </c>
      <c r="Z2022">
        <v>-1.0746759999999999E-2</v>
      </c>
      <c r="AA2022">
        <v>0.96369159999999998</v>
      </c>
      <c r="AB2022">
        <v>22</v>
      </c>
      <c r="AC2022">
        <v>34.283999999999899</v>
      </c>
      <c r="AD2022">
        <v>-1.1092411148864001</v>
      </c>
      <c r="AE2022">
        <v>-0.86719999999999597</v>
      </c>
      <c r="AF2022">
        <v>9.2099908881800108</v>
      </c>
      <c r="AG2022">
        <v>-1.1092411148864001</v>
      </c>
      <c r="AH2022">
        <v>32.997936059277897</v>
      </c>
      <c r="AI2022">
        <v>91.854473443571706</v>
      </c>
      <c r="AJ2022">
        <v>74.405152038306795</v>
      </c>
      <c r="AK2022">
        <v>34.277078816367997</v>
      </c>
      <c r="AL2022">
        <v>97.126850628971795</v>
      </c>
      <c r="AM2022">
        <v>87.903034379363802</v>
      </c>
      <c r="AN2022">
        <v>0.99999998763194797</v>
      </c>
    </row>
    <row r="2023" spans="1:40" x14ac:dyDescent="0.25">
      <c r="A2023" t="str">
        <f>"20190305135623514"</f>
        <v>20190305135623514</v>
      </c>
      <c r="B2023" t="str">
        <f>"1551765383504259"</f>
        <v>1551765383504259</v>
      </c>
      <c r="C2023" t="s">
        <v>40</v>
      </c>
      <c r="D2023">
        <v>5.000648</v>
      </c>
      <c r="E2023">
        <v>0.59607180000000004</v>
      </c>
      <c r="F2023" t="s">
        <v>55</v>
      </c>
      <c r="G2023">
        <v>-440.60789999999997</v>
      </c>
      <c r="H2023" s="1">
        <v>-1.3242369999999999E-6</v>
      </c>
      <c r="I2023">
        <v>217.1542</v>
      </c>
      <c r="J2023">
        <v>-476.98200000000003</v>
      </c>
      <c r="K2023">
        <v>1.108406</v>
      </c>
      <c r="L2023">
        <v>218.3373</v>
      </c>
      <c r="M2023">
        <v>0.96952450000000001</v>
      </c>
      <c r="N2023">
        <v>-1.144677E-2</v>
      </c>
      <c r="O2023">
        <v>0.2447269</v>
      </c>
      <c r="P2023">
        <v>0.97158529999999999</v>
      </c>
      <c r="Q2023">
        <v>-0.1288512</v>
      </c>
      <c r="R2023">
        <v>0.19854450000000001</v>
      </c>
      <c r="S2023">
        <v>3.1036380000000001</v>
      </c>
      <c r="T2023">
        <v>-9.4118599999999997E-2</v>
      </c>
      <c r="U2023">
        <v>-9.5916749999999995E-2</v>
      </c>
      <c r="V2023">
        <v>4.5188140000000002E-2</v>
      </c>
      <c r="W2023">
        <v>-0.1175394</v>
      </c>
      <c r="X2023">
        <v>0.99203960000000002</v>
      </c>
      <c r="Y2023">
        <v>0.27436149999999998</v>
      </c>
      <c r="Z2023">
        <v>-1.0277629999999999E-2</v>
      </c>
      <c r="AA2023">
        <v>0.96157170000000003</v>
      </c>
      <c r="AB2023">
        <v>22</v>
      </c>
      <c r="AC2023">
        <v>36.374099999999999</v>
      </c>
      <c r="AD2023">
        <v>-1.1084073242370001</v>
      </c>
      <c r="AE2023">
        <v>-1.18309999999999</v>
      </c>
      <c r="AF2023">
        <v>10.040110285054199</v>
      </c>
      <c r="AG2023">
        <v>-1.1084073242370001</v>
      </c>
      <c r="AH2023">
        <v>34.945920260862302</v>
      </c>
      <c r="AI2023">
        <v>91.746096892072302</v>
      </c>
      <c r="AJ2023">
        <v>73.970418319047894</v>
      </c>
      <c r="AK2023">
        <v>36.376499614600398</v>
      </c>
      <c r="AL2023">
        <v>96.750115380356505</v>
      </c>
      <c r="AM2023">
        <v>87.391937522401093</v>
      </c>
      <c r="AN2023">
        <v>1.00000002325858</v>
      </c>
    </row>
    <row r="2024" spans="1:40" x14ac:dyDescent="0.25">
      <c r="A2024" t="str">
        <f>"20190305135623547"</f>
        <v>20190305135623547</v>
      </c>
      <c r="B2024" t="str">
        <f>"1551765383544275"</f>
        <v>1551765383544275</v>
      </c>
      <c r="C2024" t="s">
        <v>40</v>
      </c>
      <c r="D2024">
        <v>5.043831</v>
      </c>
      <c r="E2024">
        <v>0.59569759999999905</v>
      </c>
      <c r="F2024" t="s">
        <v>61</v>
      </c>
      <c r="G2024">
        <v>-433.65730000000002</v>
      </c>
      <c r="H2024" s="1">
        <v>3.6653779999999999E-6</v>
      </c>
      <c r="I2024">
        <v>216.60059999999999</v>
      </c>
      <c r="J2024">
        <v>-476.65030000000002</v>
      </c>
      <c r="K2024">
        <v>1.1071569999999999</v>
      </c>
      <c r="L2024">
        <v>218.4203</v>
      </c>
      <c r="M2024">
        <v>0.97003300000000003</v>
      </c>
      <c r="N2024">
        <v>-1.0625300000000001E-2</v>
      </c>
      <c r="O2024">
        <v>0.2427414</v>
      </c>
      <c r="P2024">
        <v>0.97579039999999995</v>
      </c>
      <c r="Q2024">
        <v>-0.1217401</v>
      </c>
      <c r="R2024">
        <v>0.18169450000000001</v>
      </c>
      <c r="S2024">
        <v>3.1026310000000001</v>
      </c>
      <c r="T2024">
        <v>-7.9376459999999996E-2</v>
      </c>
      <c r="U2024">
        <v>-0.1243744</v>
      </c>
      <c r="V2024">
        <v>6.0198019999999998E-2</v>
      </c>
      <c r="W2024">
        <v>-0.1114348</v>
      </c>
      <c r="X2024">
        <v>0.99194680000000002</v>
      </c>
      <c r="Y2024">
        <v>0.28126099999999998</v>
      </c>
      <c r="Z2024">
        <v>-8.6637260000000001E-3</v>
      </c>
      <c r="AA2024">
        <v>0.95959220000000001</v>
      </c>
      <c r="AB2024">
        <v>23</v>
      </c>
      <c r="AC2024">
        <v>42.993000000000002</v>
      </c>
      <c r="AD2024">
        <v>-1.1071533346219999</v>
      </c>
      <c r="AE2024">
        <v>-1.8197000000000101</v>
      </c>
      <c r="AF2024">
        <v>12.1939648822905</v>
      </c>
      <c r="AG2024">
        <v>-1.1071533346219999</v>
      </c>
      <c r="AH2024">
        <v>41.237936814422298</v>
      </c>
      <c r="AI2024">
        <v>91.474807921661395</v>
      </c>
      <c r="AJ2024">
        <v>73.527170497787097</v>
      </c>
      <c r="AK2024">
        <v>43.017275608378398</v>
      </c>
      <c r="AL2024">
        <v>96.398032203768295</v>
      </c>
      <c r="AM2024">
        <v>86.527164950573805</v>
      </c>
      <c r="AN2024">
        <v>0.99999998514660005</v>
      </c>
    </row>
    <row r="2025" spans="1:40" x14ac:dyDescent="0.25">
      <c r="A2025" t="str">
        <f>"20190305135623571"</f>
        <v>20190305135623571</v>
      </c>
      <c r="B2025" t="str">
        <f>"1551765383563795"</f>
        <v>1551765383563795</v>
      </c>
      <c r="C2025" t="s">
        <v>40</v>
      </c>
      <c r="D2025">
        <v>5.0161110000000004</v>
      </c>
      <c r="E2025">
        <v>0.5954526</v>
      </c>
      <c r="F2025" t="s">
        <v>61</v>
      </c>
      <c r="G2025">
        <v>-423.83460000000002</v>
      </c>
      <c r="H2025" s="1">
        <v>3.215953E-6</v>
      </c>
      <c r="I2025">
        <v>215.39930000000001</v>
      </c>
      <c r="J2025">
        <v>-476.41340000000002</v>
      </c>
      <c r="K2025">
        <v>1.1064020000000001</v>
      </c>
      <c r="L2025">
        <v>218.47720000000001</v>
      </c>
      <c r="M2025">
        <v>0.97078410000000004</v>
      </c>
      <c r="N2025">
        <v>-1.003238E-2</v>
      </c>
      <c r="O2025">
        <v>0.23974509999999999</v>
      </c>
      <c r="P2025">
        <v>0.9780915</v>
      </c>
      <c r="Q2025">
        <v>-0.1226786</v>
      </c>
      <c r="R2025">
        <v>0.16818749999999999</v>
      </c>
      <c r="S2025">
        <v>3.0993040000000001</v>
      </c>
      <c r="T2025">
        <v>-6.496942E-2</v>
      </c>
      <c r="U2025">
        <v>-0.17727660000000001</v>
      </c>
      <c r="V2025">
        <v>7.0594939999999995E-2</v>
      </c>
      <c r="W2025">
        <v>-0.1131356</v>
      </c>
      <c r="X2025">
        <v>0.99106850000000002</v>
      </c>
      <c r="Y2025">
        <v>0.29469699999999999</v>
      </c>
      <c r="Z2025">
        <v>-7.1413300000000004E-3</v>
      </c>
      <c r="AA2025">
        <v>0.95556399999999997</v>
      </c>
      <c r="AB2025">
        <v>23</v>
      </c>
      <c r="AC2025">
        <v>52.578800000000001</v>
      </c>
      <c r="AD2025">
        <v>-1.106398784047</v>
      </c>
      <c r="AE2025">
        <v>-3.0779000000000001</v>
      </c>
      <c r="AF2025">
        <v>15.587391381665601</v>
      </c>
      <c r="AG2025">
        <v>-1.106398784047</v>
      </c>
      <c r="AH2025">
        <v>50.285090144273397</v>
      </c>
      <c r="AI2025">
        <v>91.203950090693795</v>
      </c>
      <c r="AJ2025">
        <v>72.777589367469204</v>
      </c>
      <c r="AK2025">
        <v>52.657204437496198</v>
      </c>
      <c r="AL2025">
        <v>96.4961007029504</v>
      </c>
      <c r="AM2025">
        <v>85.925637890818905</v>
      </c>
      <c r="AN2025">
        <v>1.0000000406166001</v>
      </c>
    </row>
    <row r="2026" spans="1:40" x14ac:dyDescent="0.25">
      <c r="A2026" t="str">
        <f>"20190305135623593"</f>
        <v>20190305135623593</v>
      </c>
      <c r="B2026" t="str">
        <f>"1551765383584291"</f>
        <v>1551765383584291</v>
      </c>
      <c r="C2026" t="s">
        <v>40</v>
      </c>
      <c r="D2026">
        <v>5.3330109999999999</v>
      </c>
      <c r="E2026">
        <v>0.59510589999999997</v>
      </c>
      <c r="F2026" t="s">
        <v>61</v>
      </c>
      <c r="G2026">
        <v>-428.0872</v>
      </c>
      <c r="H2026" s="1">
        <v>2.4912220000000002E-6</v>
      </c>
      <c r="I2026">
        <v>215.0607</v>
      </c>
      <c r="J2026">
        <v>-476.19400000000002</v>
      </c>
      <c r="K2026">
        <v>1.1057629999999901</v>
      </c>
      <c r="L2026">
        <v>218.52809999999999</v>
      </c>
      <c r="M2026">
        <v>0.97170900000000004</v>
      </c>
      <c r="N2026">
        <v>-9.4423719999999992E-3</v>
      </c>
      <c r="O2026">
        <v>0.2359928</v>
      </c>
      <c r="P2026">
        <v>0.98085840000000002</v>
      </c>
      <c r="Q2026">
        <v>-0.1190572</v>
      </c>
      <c r="R2026">
        <v>0.1540851</v>
      </c>
      <c r="S2026">
        <v>3.0959469999999998</v>
      </c>
      <c r="T2026">
        <v>-7.0879819999999996E-2</v>
      </c>
      <c r="U2026">
        <v>-0.21887210000000001</v>
      </c>
      <c r="V2026">
        <v>8.0986970000000005E-2</v>
      </c>
      <c r="W2026">
        <v>-0.1102755</v>
      </c>
      <c r="X2026">
        <v>0.99059600000000003</v>
      </c>
      <c r="Y2026">
        <v>0.30381170000000002</v>
      </c>
      <c r="Z2026">
        <v>-8.0407910000000003E-3</v>
      </c>
      <c r="AA2026">
        <v>0.95269820000000005</v>
      </c>
      <c r="AB2026">
        <v>23</v>
      </c>
      <c r="AC2026">
        <v>48.1068</v>
      </c>
      <c r="AD2026">
        <v>-1.10576050877799</v>
      </c>
      <c r="AE2026">
        <v>-3.4673999999999898</v>
      </c>
      <c r="AF2026">
        <v>14.715083217807001</v>
      </c>
      <c r="AG2026">
        <v>-1.10576050877799</v>
      </c>
      <c r="AH2026">
        <v>45.905445307893402</v>
      </c>
      <c r="AI2026">
        <v>91.314026458290201</v>
      </c>
      <c r="AJ2026">
        <v>72.226642470992601</v>
      </c>
      <c r="AK2026">
        <v>48.218941188352098</v>
      </c>
      <c r="AL2026">
        <v>96.331197141934396</v>
      </c>
      <c r="AM2026">
        <v>85.326132517891097</v>
      </c>
      <c r="AN2026">
        <v>1.00000000521301</v>
      </c>
    </row>
    <row r="2027" spans="1:40" x14ac:dyDescent="0.25">
      <c r="A2027" t="str">
        <f>"20190305135623616"</f>
        <v>20190305135623616</v>
      </c>
      <c r="B2027" t="str">
        <f>"1551765383614547"</f>
        <v>1551765383614547</v>
      </c>
      <c r="C2027" t="s">
        <v>40</v>
      </c>
      <c r="D2027">
        <v>5.0864770000000004</v>
      </c>
      <c r="E2027">
        <v>0.58162100000000005</v>
      </c>
      <c r="F2027" t="s">
        <v>61</v>
      </c>
      <c r="G2027">
        <v>-423.6474</v>
      </c>
      <c r="H2027" s="1">
        <v>3.3656730000000001E-6</v>
      </c>
      <c r="I2027">
        <v>214.06659999999999</v>
      </c>
      <c r="J2027">
        <v>-475.95639999999997</v>
      </c>
      <c r="K2027">
        <v>1.10517</v>
      </c>
      <c r="L2027">
        <v>218.58109999999999</v>
      </c>
      <c r="M2027">
        <v>0.9728755</v>
      </c>
      <c r="N2027">
        <v>-8.80597199999999E-3</v>
      </c>
      <c r="O2027">
        <v>0.23116159999999999</v>
      </c>
      <c r="P2027">
        <v>0.9832708</v>
      </c>
      <c r="Q2027">
        <v>-0.1173039</v>
      </c>
      <c r="R2027">
        <v>0.13934969999999999</v>
      </c>
      <c r="S2027">
        <v>3.0918580000000002</v>
      </c>
      <c r="T2027">
        <v>-6.5063239999999994E-2</v>
      </c>
      <c r="U2027">
        <v>-0.26251219999999997</v>
      </c>
      <c r="V2027">
        <v>9.0831419999999996E-2</v>
      </c>
      <c r="W2027">
        <v>-0.1093426</v>
      </c>
      <c r="X2027">
        <v>0.98984539999999999</v>
      </c>
      <c r="Y2027">
        <v>0.31253609999999998</v>
      </c>
      <c r="Z2027">
        <v>-7.4538879999999997E-3</v>
      </c>
      <c r="AA2027">
        <v>0.94987659999999996</v>
      </c>
      <c r="AB2027">
        <v>23</v>
      </c>
      <c r="AC2027">
        <v>52.308999999999898</v>
      </c>
      <c r="AD2027">
        <v>-1.1051666343269999</v>
      </c>
      <c r="AE2027">
        <v>-4.5144999999999902</v>
      </c>
      <c r="AF2027">
        <v>16.477217307611198</v>
      </c>
      <c r="AG2027">
        <v>-1.1051666343269999</v>
      </c>
      <c r="AH2027">
        <v>49.826422077309097</v>
      </c>
      <c r="AI2027">
        <v>91.206398415066303</v>
      </c>
      <c r="AJ2027">
        <v>71.701343659206003</v>
      </c>
      <c r="AK2027">
        <v>52.491831940960303</v>
      </c>
      <c r="AL2027">
        <v>96.277420527223896</v>
      </c>
      <c r="AM2027">
        <v>84.757036901733301</v>
      </c>
      <c r="AN2027">
        <v>1.0000000334675601</v>
      </c>
    </row>
    <row r="2028" spans="1:40" x14ac:dyDescent="0.25">
      <c r="A2028" t="str">
        <f>"20190305135623639"</f>
        <v>20190305135623639</v>
      </c>
      <c r="B2028" t="str">
        <f>"1551765383634066"</f>
        <v>1551765383634066</v>
      </c>
      <c r="C2028" t="s">
        <v>40</v>
      </c>
      <c r="D2028">
        <v>5.0479789999999998</v>
      </c>
      <c r="E2028">
        <v>0.57850829999999998</v>
      </c>
      <c r="F2028" t="s">
        <v>55</v>
      </c>
      <c r="G2028">
        <v>-449.29399999999998</v>
      </c>
      <c r="H2028" s="1">
        <v>3.315E-6</v>
      </c>
      <c r="I2028">
        <v>216.76689999999999</v>
      </c>
      <c r="J2028">
        <v>-475.71789999999999</v>
      </c>
      <c r="K2028">
        <v>1.104609</v>
      </c>
      <c r="L2028">
        <v>218.63220000000001</v>
      </c>
      <c r="M2028">
        <v>0.97418530000000003</v>
      </c>
      <c r="N2028">
        <v>-8.201669E-3</v>
      </c>
      <c r="O2028">
        <v>0.225601</v>
      </c>
      <c r="P2028">
        <v>0.98470429999999998</v>
      </c>
      <c r="Q2028">
        <v>-0.120420899999999</v>
      </c>
      <c r="R2028">
        <v>0.12592159999999999</v>
      </c>
      <c r="S2028">
        <v>3.0654910000000002</v>
      </c>
      <c r="T2028">
        <v>-0.1270657</v>
      </c>
      <c r="U2028">
        <v>-0.20858760000000001</v>
      </c>
      <c r="V2028">
        <v>9.8426529999999998E-2</v>
      </c>
      <c r="W2028">
        <v>-0.1132427</v>
      </c>
      <c r="X2028">
        <v>0.98868009999999995</v>
      </c>
      <c r="Y2028">
        <v>0.29080420000000001</v>
      </c>
      <c r="Z2028">
        <v>-1.4649290000000001E-2</v>
      </c>
      <c r="AA2028">
        <v>0.95667049999999998</v>
      </c>
      <c r="AB2028">
        <v>23</v>
      </c>
      <c r="AC2028">
        <v>26.4238999999999</v>
      </c>
      <c r="AD2028">
        <v>-1.1046056849999999</v>
      </c>
      <c r="AE2028">
        <v>-1.86530000000001</v>
      </c>
      <c r="AF2028">
        <v>7.7651649815496402</v>
      </c>
      <c r="AG2028">
        <v>-1.1046056849999999</v>
      </c>
      <c r="AH2028">
        <v>25.277857720460101</v>
      </c>
      <c r="AI2028">
        <v>92.391969884506494</v>
      </c>
      <c r="AJ2028">
        <v>72.923441763017806</v>
      </c>
      <c r="AK2028">
        <v>26.4667344386467</v>
      </c>
      <c r="AL2028">
        <v>96.5022769353168</v>
      </c>
      <c r="AM2028">
        <v>84.314739223746201</v>
      </c>
      <c r="AN2028">
        <v>1.00000001552357</v>
      </c>
    </row>
    <row r="2029" spans="1:40" x14ac:dyDescent="0.25">
      <c r="A2029" t="str">
        <f>"20190305135623661"</f>
        <v>20190305135623661</v>
      </c>
      <c r="B2029" t="str">
        <f>"1551765383654563"</f>
        <v>1551765383654563</v>
      </c>
      <c r="C2029" t="s">
        <v>40</v>
      </c>
      <c r="D2029">
        <v>5.2205919999999999</v>
      </c>
      <c r="E2029">
        <v>0.57742689999999997</v>
      </c>
      <c r="F2029" t="s">
        <v>55</v>
      </c>
      <c r="G2029">
        <v>-454.16239999999999</v>
      </c>
      <c r="H2029" s="1">
        <v>5.7258769999999999E-7</v>
      </c>
      <c r="I2029">
        <v>217.03380000000001</v>
      </c>
      <c r="J2029">
        <v>-475.4898</v>
      </c>
      <c r="K2029">
        <v>1.1040639999999999</v>
      </c>
      <c r="L2029">
        <v>218.679</v>
      </c>
      <c r="M2029">
        <v>0.97555389999999997</v>
      </c>
      <c r="N2029">
        <v>-7.673839E-3</v>
      </c>
      <c r="O2029">
        <v>0.2196265</v>
      </c>
      <c r="P2029">
        <v>0.98508709999999999</v>
      </c>
      <c r="Q2029">
        <v>-0.1275155</v>
      </c>
      <c r="R2029">
        <v>0.1155142</v>
      </c>
      <c r="S2029">
        <v>3.0563959999999999</v>
      </c>
      <c r="T2029">
        <v>-0.15662490000000001</v>
      </c>
      <c r="U2029">
        <v>-0.2266388</v>
      </c>
      <c r="V2029">
        <v>0.10240580000000001</v>
      </c>
      <c r="W2029">
        <v>-0.1210183</v>
      </c>
      <c r="X2029">
        <v>0.98735390000000001</v>
      </c>
      <c r="Y2029">
        <v>0.2905335</v>
      </c>
      <c r="Z2029">
        <v>-1.8042559999999999E-2</v>
      </c>
      <c r="AA2029">
        <v>0.95669470000000001</v>
      </c>
      <c r="AB2029">
        <v>23</v>
      </c>
      <c r="AC2029">
        <v>21.327400000000001</v>
      </c>
      <c r="AD2029">
        <v>-1.1040634274123</v>
      </c>
      <c r="AE2029">
        <v>-1.64519999999998</v>
      </c>
      <c r="AF2029">
        <v>6.2725183224881302</v>
      </c>
      <c r="AG2029">
        <v>-1.1040634274123</v>
      </c>
      <c r="AH2029">
        <v>20.390977981176</v>
      </c>
      <c r="AI2029">
        <v>92.962501475699696</v>
      </c>
      <c r="AJ2029">
        <v>72.901451869236695</v>
      </c>
      <c r="AK2029">
        <v>21.362477037705698</v>
      </c>
      <c r="AL2029">
        <v>96.950874844862994</v>
      </c>
      <c r="AM2029">
        <v>84.0786017133439</v>
      </c>
      <c r="AN2029">
        <v>1.00000005032686</v>
      </c>
    </row>
    <row r="2030" spans="1:40" x14ac:dyDescent="0.25">
      <c r="A2030" t="str">
        <f>"20190305135623681"</f>
        <v>20190305135623681</v>
      </c>
      <c r="B2030" t="str">
        <f>"1551765383674083"</f>
        <v>1551765383674083</v>
      </c>
      <c r="C2030" t="s">
        <v>40</v>
      </c>
      <c r="D2030">
        <v>5.0149049999999997</v>
      </c>
      <c r="E2030">
        <v>0.57530109999999901</v>
      </c>
      <c r="F2030" t="s">
        <v>55</v>
      </c>
      <c r="G2030">
        <v>-456.07870000000003</v>
      </c>
      <c r="H2030" s="1">
        <v>1.589447E-6</v>
      </c>
      <c r="I2030">
        <v>217.09970000000001</v>
      </c>
      <c r="J2030">
        <v>-475.27539999999999</v>
      </c>
      <c r="K2030">
        <v>1.1035509999999999</v>
      </c>
      <c r="L2030">
        <v>218.7209</v>
      </c>
      <c r="M2030">
        <v>0.97693770000000002</v>
      </c>
      <c r="N2030">
        <v>-7.2355769999999896E-3</v>
      </c>
      <c r="O2030">
        <v>0.21340239999999999</v>
      </c>
      <c r="P2030">
        <v>0.98505180000000003</v>
      </c>
      <c r="Q2030">
        <v>-0.1336656</v>
      </c>
      <c r="R2030">
        <v>0.1086579</v>
      </c>
      <c r="S2030">
        <v>3.052063</v>
      </c>
      <c r="T2030">
        <v>-0.17359469999999999</v>
      </c>
      <c r="U2030">
        <v>-0.24830630000000001</v>
      </c>
      <c r="V2030">
        <v>0.1025985</v>
      </c>
      <c r="W2030">
        <v>-0.12772159999999999</v>
      </c>
      <c r="X2030">
        <v>0.98648910000000001</v>
      </c>
      <c r="Y2030">
        <v>0.29113899999999998</v>
      </c>
      <c r="Z2030">
        <v>-1.9833070000000001E-2</v>
      </c>
      <c r="AA2030">
        <v>0.95647510000000002</v>
      </c>
      <c r="AB2030">
        <v>23</v>
      </c>
      <c r="AC2030">
        <v>19.1966999999999</v>
      </c>
      <c r="AD2030">
        <v>-1.1035494105529999</v>
      </c>
      <c r="AE2030">
        <v>-1.62119999999998</v>
      </c>
      <c r="AF2030">
        <v>5.6620027184217303</v>
      </c>
      <c r="AG2030">
        <v>-1.1035494105529999</v>
      </c>
      <c r="AH2030">
        <v>18.3482859898632</v>
      </c>
      <c r="AI2030">
        <v>93.289196853621704</v>
      </c>
      <c r="AJ2030">
        <v>72.850567706225803</v>
      </c>
      <c r="AK2030">
        <v>19.233712456277299</v>
      </c>
      <c r="AL2030">
        <v>97.337952043033596</v>
      </c>
      <c r="AM2030">
        <v>84.062375117493204</v>
      </c>
      <c r="AN2030">
        <v>1.00000000186381</v>
      </c>
    </row>
    <row r="2031" spans="1:40" x14ac:dyDescent="0.25">
      <c r="A2031" t="str">
        <f>"20190305135623706"</f>
        <v>20190305135623706</v>
      </c>
      <c r="B2031" t="str">
        <f>"1551765383693604"</f>
        <v>1551765383693604</v>
      </c>
      <c r="C2031" t="s">
        <v>40</v>
      </c>
      <c r="D2031">
        <v>5.5490719999999998</v>
      </c>
      <c r="E2031">
        <v>0.57582219999999995</v>
      </c>
      <c r="F2031" t="s">
        <v>55</v>
      </c>
      <c r="G2031">
        <v>-457.5102</v>
      </c>
      <c r="H2031" s="1">
        <v>2.3439609999999999E-6</v>
      </c>
      <c r="I2031">
        <v>217.26589999999999</v>
      </c>
      <c r="J2031">
        <v>-475.02480000000003</v>
      </c>
      <c r="K2031">
        <v>1.1029580000000001</v>
      </c>
      <c r="L2031">
        <v>218.7672</v>
      </c>
      <c r="M2031">
        <v>0.9786572</v>
      </c>
      <c r="N2031">
        <v>-6.7933380000000003E-3</v>
      </c>
      <c r="O2031">
        <v>0.20538780000000001</v>
      </c>
      <c r="P2031">
        <v>0.98647220000000002</v>
      </c>
      <c r="Q2031">
        <v>-0.13042139999999999</v>
      </c>
      <c r="R2031">
        <v>9.9311979999999994E-2</v>
      </c>
      <c r="S2031">
        <v>3.0473629999999998</v>
      </c>
      <c r="T2031">
        <v>-0.1892983</v>
      </c>
      <c r="U2031">
        <v>-0.24957280000000001</v>
      </c>
      <c r="V2031">
        <v>0.1038188</v>
      </c>
      <c r="W2031">
        <v>-0.1250676</v>
      </c>
      <c r="X2031">
        <v>0.98670139999999995</v>
      </c>
      <c r="Y2031">
        <v>0.28367759999999997</v>
      </c>
      <c r="Z2031">
        <v>-2.1040619999999999E-2</v>
      </c>
      <c r="AA2031">
        <v>0.95868889999999995</v>
      </c>
      <c r="AB2031">
        <v>24</v>
      </c>
      <c r="AC2031">
        <v>17.514600000000002</v>
      </c>
      <c r="AD2031">
        <v>-1.1029556560389999</v>
      </c>
      <c r="AE2031">
        <v>-1.5013000000000101</v>
      </c>
      <c r="AF2031">
        <v>5.04679169919629</v>
      </c>
      <c r="AG2031">
        <v>-1.1029556560389999</v>
      </c>
      <c r="AH2031">
        <v>16.766820755452802</v>
      </c>
      <c r="AI2031">
        <v>93.604323455402195</v>
      </c>
      <c r="AJ2031">
        <v>73.248272199786598</v>
      </c>
      <c r="AK2031">
        <v>17.544597341624801</v>
      </c>
      <c r="AL2031">
        <v>97.184659970615101</v>
      </c>
      <c r="AM2031">
        <v>83.993550064801894</v>
      </c>
      <c r="AN2031">
        <v>0.99999995028257804</v>
      </c>
    </row>
    <row r="2032" spans="1:40" x14ac:dyDescent="0.25">
      <c r="A2032" t="str">
        <f>"20190305135623727"</f>
        <v>20190305135623727</v>
      </c>
      <c r="B2032" t="str">
        <f>"1551765383723859"</f>
        <v>1551765383723859</v>
      </c>
      <c r="C2032" t="s">
        <v>40</v>
      </c>
      <c r="D2032">
        <v>5.1463809999999999</v>
      </c>
      <c r="E2032">
        <v>0.57470650000000001</v>
      </c>
      <c r="F2032" t="s">
        <v>55</v>
      </c>
      <c r="G2032">
        <v>-456.81740000000002</v>
      </c>
      <c r="H2032" s="1">
        <v>1.9836509999999999E-6</v>
      </c>
      <c r="I2032">
        <v>217.07480000000001</v>
      </c>
      <c r="J2032">
        <v>-474.78960000000001</v>
      </c>
      <c r="K2032">
        <v>1.1023889999999901</v>
      </c>
      <c r="L2032">
        <v>218.80789999999999</v>
      </c>
      <c r="M2032">
        <v>0.98035640000000002</v>
      </c>
      <c r="N2032">
        <v>-6.4401099999999998E-3</v>
      </c>
      <c r="O2032">
        <v>0.19712950000000001</v>
      </c>
      <c r="P2032">
        <v>0.98885769999999995</v>
      </c>
      <c r="Q2032">
        <v>-0.12154</v>
      </c>
      <c r="R2032">
        <v>8.5956909999999997E-2</v>
      </c>
      <c r="S2032">
        <v>3.045258</v>
      </c>
      <c r="T2032">
        <v>-0.1844742</v>
      </c>
      <c r="U2032">
        <v>-0.28306579999999998</v>
      </c>
      <c r="V2032">
        <v>0.1090238</v>
      </c>
      <c r="W2032">
        <v>-0.1167412</v>
      </c>
      <c r="X2032">
        <v>0.98716020000000004</v>
      </c>
      <c r="Y2032">
        <v>0.28616320000000001</v>
      </c>
      <c r="Z2032">
        <v>-2.0169590000000001E-2</v>
      </c>
      <c r="AA2032">
        <v>0.95796859999999995</v>
      </c>
      <c r="AB2032">
        <v>24</v>
      </c>
      <c r="AC2032">
        <v>17.972199999999901</v>
      </c>
      <c r="AD2032">
        <v>-1.1023870163489999</v>
      </c>
      <c r="AE2032">
        <v>-1.7330999999999701</v>
      </c>
      <c r="AF2032">
        <v>5.2225463949902302</v>
      </c>
      <c r="AG2032">
        <v>-1.1023870163489999</v>
      </c>
      <c r="AH2032">
        <v>17.213704615555798</v>
      </c>
      <c r="AI2032">
        <v>93.506861805188507</v>
      </c>
      <c r="AJ2032">
        <v>73.122481797135407</v>
      </c>
      <c r="AK2032">
        <v>18.0222605289472</v>
      </c>
      <c r="AL2032">
        <v>96.704065149090297</v>
      </c>
      <c r="AM2032">
        <v>83.697689163463394</v>
      </c>
      <c r="AN2032">
        <v>0.99999997860395895</v>
      </c>
    </row>
    <row r="2033" spans="1:40" x14ac:dyDescent="0.25">
      <c r="A2033" t="str">
        <f>"20190305135623751"</f>
        <v>20190305135623751</v>
      </c>
      <c r="B2033" t="str">
        <f>"1551765383744354"</f>
        <v>1551765383744354</v>
      </c>
      <c r="C2033" t="s">
        <v>40</v>
      </c>
      <c r="D2033">
        <v>5.0738789999999998</v>
      </c>
      <c r="E2033">
        <v>0.57342740000000003</v>
      </c>
      <c r="F2033" t="s">
        <v>55</v>
      </c>
      <c r="G2033">
        <v>-455.0247</v>
      </c>
      <c r="H2033" s="1">
        <v>1.0445070000000001E-6</v>
      </c>
      <c r="I2033">
        <v>216.73509999999999</v>
      </c>
      <c r="J2033">
        <v>-474.54079999999999</v>
      </c>
      <c r="K2033">
        <v>1.1017809999999999</v>
      </c>
      <c r="L2033">
        <v>218.84780000000001</v>
      </c>
      <c r="M2033">
        <v>0.98222189999999998</v>
      </c>
      <c r="N2033">
        <v>-6.1241000000000004E-3</v>
      </c>
      <c r="O2033">
        <v>0.1876237</v>
      </c>
      <c r="P2033">
        <v>0.99047350000000001</v>
      </c>
      <c r="Q2033">
        <v>-0.11854099999999999</v>
      </c>
      <c r="R2033">
        <v>7.0072120000000002E-2</v>
      </c>
      <c r="S2033">
        <v>3.0406490000000002</v>
      </c>
      <c r="T2033">
        <v>-0.169592299999999</v>
      </c>
      <c r="U2033">
        <v>-0.3188782</v>
      </c>
      <c r="V2033">
        <v>0.1152518</v>
      </c>
      <c r="W2033">
        <v>-0.1143031</v>
      </c>
      <c r="X2033">
        <v>0.986738</v>
      </c>
      <c r="Y2033">
        <v>0.28832980000000002</v>
      </c>
      <c r="Z2033">
        <v>-1.8158250000000001E-2</v>
      </c>
      <c r="AA2033">
        <v>0.95735899999999996</v>
      </c>
      <c r="AB2033">
        <v>24</v>
      </c>
      <c r="AC2033">
        <v>19.516099999999899</v>
      </c>
      <c r="AD2033">
        <v>-1.1017799554929999</v>
      </c>
      <c r="AE2033">
        <v>-2.11270000000001</v>
      </c>
      <c r="AF2033">
        <v>5.7189146699680604</v>
      </c>
      <c r="AG2033">
        <v>-1.1017799554929999</v>
      </c>
      <c r="AH2033">
        <v>18.7141460337042</v>
      </c>
      <c r="AI2033">
        <v>93.222568861228694</v>
      </c>
      <c r="AJ2033">
        <v>73.007207124542106</v>
      </c>
      <c r="AK2033">
        <v>19.599468509209899</v>
      </c>
      <c r="AL2033">
        <v>96.563430380502197</v>
      </c>
      <c r="AM2033">
        <v>83.337992298226695</v>
      </c>
      <c r="AN2033">
        <v>1.0000000283584201</v>
      </c>
    </row>
    <row r="2034" spans="1:40" x14ac:dyDescent="0.25">
      <c r="A2034" t="str">
        <f>"20190305135623771"</f>
        <v>20190305135623771</v>
      </c>
      <c r="B2034" t="str">
        <f>"1551765383763875"</f>
        <v>1551765383763875</v>
      </c>
      <c r="C2034" t="s">
        <v>40</v>
      </c>
      <c r="D2034">
        <v>4.977786</v>
      </c>
      <c r="E2034">
        <v>0.57197949999999997</v>
      </c>
      <c r="F2034" t="s">
        <v>55</v>
      </c>
      <c r="G2034">
        <v>-454.4699</v>
      </c>
      <c r="H2034" s="1">
        <v>7.6044999999999996E-7</v>
      </c>
      <c r="I2034">
        <v>216.47900000000001</v>
      </c>
      <c r="J2034">
        <v>-474.30579999999998</v>
      </c>
      <c r="K2034">
        <v>1.101207</v>
      </c>
      <c r="L2034">
        <v>218.88239999999999</v>
      </c>
      <c r="M2034">
        <v>0.98402710000000004</v>
      </c>
      <c r="N2034">
        <v>-5.8785349999999998E-3</v>
      </c>
      <c r="O2034">
        <v>0.177922</v>
      </c>
      <c r="P2034">
        <v>0.99048979999999998</v>
      </c>
      <c r="Q2034">
        <v>-0.1245222</v>
      </c>
      <c r="R2034">
        <v>5.8516539999999999E-2</v>
      </c>
      <c r="S2034">
        <v>3.0342410000000002</v>
      </c>
      <c r="T2034">
        <v>-0.16656270000000001</v>
      </c>
      <c r="U2034">
        <v>-0.3581085</v>
      </c>
      <c r="V2034">
        <v>0.11664620000000001</v>
      </c>
      <c r="W2034">
        <v>-0.1206985</v>
      </c>
      <c r="X2034">
        <v>0.98581209999999997</v>
      </c>
      <c r="Y2034">
        <v>0.2913462</v>
      </c>
      <c r="Z2034">
        <v>-1.7492279999999999E-2</v>
      </c>
      <c r="AA2034">
        <v>0.95645769999999997</v>
      </c>
      <c r="AB2034">
        <v>24</v>
      </c>
      <c r="AC2034">
        <v>19.835899999999899</v>
      </c>
      <c r="AD2034">
        <v>-1.10120623955</v>
      </c>
      <c r="AE2034">
        <v>-2.4033999999999698</v>
      </c>
      <c r="AF2034">
        <v>5.8765058144618996</v>
      </c>
      <c r="AG2034">
        <v>-1.10120623955</v>
      </c>
      <c r="AH2034">
        <v>19.0339600411064</v>
      </c>
      <c r="AI2034">
        <v>93.164098584982497</v>
      </c>
      <c r="AJ2034">
        <v>72.842557689551001</v>
      </c>
      <c r="AK2034">
        <v>19.950879945903701</v>
      </c>
      <c r="AL2034">
        <v>96.932416838776504</v>
      </c>
      <c r="AM2034">
        <v>83.251854284810193</v>
      </c>
      <c r="AN2034">
        <v>0.99999998019154901</v>
      </c>
    </row>
    <row r="2035" spans="1:40" x14ac:dyDescent="0.25">
      <c r="A2035" t="str">
        <f>"20190305135623795"</f>
        <v>20190305135623795</v>
      </c>
      <c r="B2035" t="str">
        <f>"1551765383784370"</f>
        <v>1551765383784370</v>
      </c>
      <c r="C2035" t="s">
        <v>40</v>
      </c>
      <c r="D2035">
        <v>5.0015479999999997</v>
      </c>
      <c r="E2035">
        <v>0.57050069999999997</v>
      </c>
      <c r="F2035" t="s">
        <v>55</v>
      </c>
      <c r="G2035">
        <v>-455.94560000000001</v>
      </c>
      <c r="H2035" s="1">
        <v>1.5414259999999901E-6</v>
      </c>
      <c r="I2035">
        <v>216.57849999999999</v>
      </c>
      <c r="J2035">
        <v>-474.05149999999998</v>
      </c>
      <c r="K2035">
        <v>1.1006579999999999</v>
      </c>
      <c r="L2035">
        <v>218.91630000000001</v>
      </c>
      <c r="M2035">
        <v>0.98597999999999997</v>
      </c>
      <c r="N2035">
        <v>-5.6491639999999999E-3</v>
      </c>
      <c r="O2035">
        <v>0.16676779999999999</v>
      </c>
      <c r="P2035">
        <v>0.98981330000000001</v>
      </c>
      <c r="Q2035">
        <v>-0.1336668</v>
      </c>
      <c r="R2035">
        <v>4.9020630000000003E-2</v>
      </c>
      <c r="S2035">
        <v>3.0284119999999999</v>
      </c>
      <c r="T2035">
        <v>-0.18163779999999999</v>
      </c>
      <c r="U2035">
        <v>-0.38000489999999998</v>
      </c>
      <c r="V2035">
        <v>0.114425</v>
      </c>
      <c r="W2035">
        <v>-0.13017480000000001</v>
      </c>
      <c r="X2035">
        <v>0.98486620000000002</v>
      </c>
      <c r="Y2035">
        <v>0.28743190000000002</v>
      </c>
      <c r="Z2035">
        <v>-1.84012E-2</v>
      </c>
      <c r="AA2035">
        <v>0.95762429999999998</v>
      </c>
      <c r="AB2035">
        <v>24</v>
      </c>
      <c r="AC2035">
        <v>18.105899999999899</v>
      </c>
      <c r="AD2035">
        <v>-1.100656458574</v>
      </c>
      <c r="AE2035">
        <v>-2.3378000000000099</v>
      </c>
      <c r="AF2035">
        <v>5.3053063656476196</v>
      </c>
      <c r="AG2035">
        <v>-1.100656458574</v>
      </c>
      <c r="AH2035">
        <v>17.399221394869699</v>
      </c>
      <c r="AI2035">
        <v>93.462665268369705</v>
      </c>
      <c r="AJ2035">
        <v>73.042681257551493</v>
      </c>
      <c r="AK2035">
        <v>18.2233538466681</v>
      </c>
      <c r="AL2035">
        <v>97.479693486326596</v>
      </c>
      <c r="AM2035">
        <v>83.372899743078605</v>
      </c>
      <c r="AN2035">
        <v>0.99999999554123997</v>
      </c>
    </row>
    <row r="2036" spans="1:40" x14ac:dyDescent="0.25">
      <c r="A2036" t="str">
        <f>"20190305135623819"</f>
        <v>20190305135623819</v>
      </c>
      <c r="B2036" t="str">
        <f>"1551765383814627"</f>
        <v>1551765383814627</v>
      </c>
      <c r="C2036" t="s">
        <v>40</v>
      </c>
      <c r="D2036">
        <v>4.9445249999999996</v>
      </c>
      <c r="E2036">
        <v>0.56924659999999905</v>
      </c>
      <c r="F2036" t="s">
        <v>55</v>
      </c>
      <c r="G2036">
        <v>-458.13319999999999</v>
      </c>
      <c r="H2036" s="1">
        <v>2.6946719999999999E-6</v>
      </c>
      <c r="I2036">
        <v>216.82650000000001</v>
      </c>
      <c r="J2036">
        <v>-473.7792</v>
      </c>
      <c r="K2036">
        <v>1.1001749999999999</v>
      </c>
      <c r="L2036">
        <v>218.94880000000001</v>
      </c>
      <c r="M2036">
        <v>0.98802809999999996</v>
      </c>
      <c r="N2036">
        <v>-5.4394559999999996E-3</v>
      </c>
      <c r="O2036">
        <v>0.1541786</v>
      </c>
      <c r="P2036">
        <v>0.98982219999999999</v>
      </c>
      <c r="Q2036">
        <v>-0.1372507</v>
      </c>
      <c r="R2036">
        <v>3.7607410000000001E-2</v>
      </c>
      <c r="S2036">
        <v>3.0223080000000002</v>
      </c>
      <c r="T2036">
        <v>-0.20897479999999999</v>
      </c>
      <c r="U2036">
        <v>-0.39678960000000002</v>
      </c>
      <c r="V2036">
        <v>0.112924</v>
      </c>
      <c r="W2036">
        <v>-0.13406970000000001</v>
      </c>
      <c r="X2036">
        <v>0.98451690000000003</v>
      </c>
      <c r="Y2036">
        <v>0.28046179999999998</v>
      </c>
      <c r="Z2036">
        <v>-2.0173190000000001E-2</v>
      </c>
      <c r="AA2036">
        <v>0.95965319999999998</v>
      </c>
      <c r="AB2036">
        <v>24</v>
      </c>
      <c r="AC2036">
        <v>15.646000000000001</v>
      </c>
      <c r="AD2036">
        <v>-1.1001723053279999</v>
      </c>
      <c r="AE2036">
        <v>-2.1222999999999899</v>
      </c>
      <c r="AF2036">
        <v>4.4874498356751298</v>
      </c>
      <c r="AG2036">
        <v>-1.1001723053279999</v>
      </c>
      <c r="AH2036">
        <v>15.058586424168499</v>
      </c>
      <c r="AI2036">
        <v>94.005125858850903</v>
      </c>
      <c r="AJ2036">
        <v>73.405974586783401</v>
      </c>
      <c r="AK2036">
        <v>15.7514637485938</v>
      </c>
      <c r="AL2036">
        <v>97.704828441404104</v>
      </c>
      <c r="AM2036">
        <v>83.456773636034399</v>
      </c>
      <c r="AN2036">
        <v>1.00000002030984</v>
      </c>
    </row>
    <row r="2037" spans="1:40" x14ac:dyDescent="0.25">
      <c r="A2037" t="str">
        <f>"20190305135623842"</f>
        <v>20190305135623842</v>
      </c>
      <c r="B2037" t="str">
        <f>"1551765383834147"</f>
        <v>1551765383834147</v>
      </c>
      <c r="C2037" t="s">
        <v>40</v>
      </c>
      <c r="D2037">
        <v>5.2853779999999997</v>
      </c>
      <c r="E2037">
        <v>0.56897330000000002</v>
      </c>
      <c r="F2037" t="s">
        <v>55</v>
      </c>
      <c r="G2037">
        <v>-459.02190000000002</v>
      </c>
      <c r="H2037" s="1">
        <v>3.1651130000000001E-6</v>
      </c>
      <c r="I2037">
        <v>216.88300000000001</v>
      </c>
      <c r="J2037">
        <v>-473.52730000000003</v>
      </c>
      <c r="K2037">
        <v>1.099801</v>
      </c>
      <c r="L2037">
        <v>218.9753</v>
      </c>
      <c r="M2037">
        <v>0.98985619999999996</v>
      </c>
      <c r="N2037">
        <v>-5.2741239999999998E-3</v>
      </c>
      <c r="O2037">
        <v>0.14197560000000001</v>
      </c>
      <c r="P2037">
        <v>0.99067720000000004</v>
      </c>
      <c r="Q2037">
        <v>-0.1333259</v>
      </c>
      <c r="R2037">
        <v>2.7983290000000001E-2</v>
      </c>
      <c r="S2037">
        <v>3.0157470000000002</v>
      </c>
      <c r="T2037">
        <v>-0.22482569999999999</v>
      </c>
      <c r="U2037">
        <v>-0.42216490000000001</v>
      </c>
      <c r="V2037">
        <v>0.1103715</v>
      </c>
      <c r="W2037">
        <v>-0.13036229999999999</v>
      </c>
      <c r="X2037">
        <v>0.98530390000000001</v>
      </c>
      <c r="Y2037">
        <v>0.27669280000000002</v>
      </c>
      <c r="Z2037">
        <v>-2.0757660000000001E-2</v>
      </c>
      <c r="AA2037">
        <v>0.96073419999999998</v>
      </c>
      <c r="AB2037">
        <v>25</v>
      </c>
      <c r="AC2037">
        <v>14.5054</v>
      </c>
      <c r="AD2037">
        <v>-1.0997978348869999</v>
      </c>
      <c r="AE2037">
        <v>-2.0923000000000198</v>
      </c>
      <c r="AF2037">
        <v>4.1074152086210702</v>
      </c>
      <c r="AG2037">
        <v>-1.0997978348869999</v>
      </c>
      <c r="AH2037">
        <v>13.9826557069328</v>
      </c>
      <c r="AI2037">
        <v>94.315693750869698</v>
      </c>
      <c r="AJ2037">
        <v>73.629811021287296</v>
      </c>
      <c r="AK2037">
        <v>14.614892253870799</v>
      </c>
      <c r="AL2037">
        <v>97.490528844804899</v>
      </c>
      <c r="AM2037">
        <v>83.608501776413405</v>
      </c>
      <c r="AN2037">
        <v>0.99999998631437403</v>
      </c>
    </row>
    <row r="2038" spans="1:40" x14ac:dyDescent="0.25">
      <c r="A2038" t="str">
        <f>"20190305135623884"</f>
        <v>20190305135623884</v>
      </c>
      <c r="B2038" t="str">
        <f>"1551765383874162"</f>
        <v>1551765383874162</v>
      </c>
      <c r="C2038" t="s">
        <v>40</v>
      </c>
      <c r="D2038">
        <v>5.040152</v>
      </c>
      <c r="E2038">
        <v>0.59938659999999999</v>
      </c>
      <c r="F2038" t="s">
        <v>55</v>
      </c>
      <c r="G2038">
        <v>-458.12849999999997</v>
      </c>
      <c r="H2038" s="1">
        <v>2.698774E-6</v>
      </c>
      <c r="I2038">
        <v>216.67580000000001</v>
      </c>
      <c r="J2038">
        <v>-473.03910000000002</v>
      </c>
      <c r="K2038">
        <v>1.0991219999999999</v>
      </c>
      <c r="L2038">
        <v>219.0164</v>
      </c>
      <c r="M2038">
        <v>0.99311719999999903</v>
      </c>
      <c r="N2038">
        <v>-5.0327080000000003E-3</v>
      </c>
      <c r="O2038">
        <v>0.117018</v>
      </c>
      <c r="P2038">
        <v>0.99249419999999999</v>
      </c>
      <c r="Q2038">
        <v>-0.122111999999999</v>
      </c>
      <c r="R2038">
        <v>6.660918E-3</v>
      </c>
      <c r="S2038">
        <v>3.0119929999999999</v>
      </c>
      <c r="T2038">
        <v>-0.21512010000000001</v>
      </c>
      <c r="U2038">
        <v>-0.4497833</v>
      </c>
      <c r="V2038">
        <v>0.10695730000000001</v>
      </c>
      <c r="W2038">
        <v>-0.119495699999999</v>
      </c>
      <c r="X2038">
        <v>0.98705670000000001</v>
      </c>
      <c r="Y2038">
        <v>0.26146140000000001</v>
      </c>
      <c r="Z2038">
        <v>-1.7656399999999999E-2</v>
      </c>
      <c r="AA2038">
        <v>0.96505240000000003</v>
      </c>
      <c r="AB2038">
        <v>25</v>
      </c>
      <c r="AC2038">
        <v>14.910600000000001</v>
      </c>
      <c r="AD2038">
        <v>-1.0991193012260001</v>
      </c>
      <c r="AE2038">
        <v>-2.34059999999999</v>
      </c>
      <c r="AF2038">
        <v>4.0478833874822602</v>
      </c>
      <c r="AG2038">
        <v>-1.0991193012260001</v>
      </c>
      <c r="AH2038">
        <v>14.4575931145193</v>
      </c>
      <c r="AI2038">
        <v>94.1870616518204</v>
      </c>
      <c r="AJ2038">
        <v>74.358645390777497</v>
      </c>
      <c r="AK2038">
        <v>15.053751088083599</v>
      </c>
      <c r="AL2038">
        <v>96.862998844187103</v>
      </c>
      <c r="AM2038">
        <v>83.815569084293799</v>
      </c>
      <c r="AN2038">
        <v>1.00000000767833</v>
      </c>
    </row>
    <row r="2039" spans="1:40" x14ac:dyDescent="0.25">
      <c r="A2039" t="str">
        <f>"20190305135623907"</f>
        <v>20190305135623907</v>
      </c>
      <c r="B2039" t="str">
        <f>"1551765383904419"</f>
        <v>1551765383904419</v>
      </c>
      <c r="C2039" t="s">
        <v>40</v>
      </c>
      <c r="D2039">
        <v>5.2260019999999896</v>
      </c>
      <c r="E2039">
        <v>0.5992864</v>
      </c>
      <c r="F2039" t="s">
        <v>55</v>
      </c>
      <c r="G2039">
        <v>-445.21030000000002</v>
      </c>
      <c r="H2039" s="1">
        <v>1.3475739999999999E-6</v>
      </c>
      <c r="I2039">
        <v>212.06049999999999</v>
      </c>
      <c r="J2039">
        <v>-472.78109999999998</v>
      </c>
      <c r="K2039">
        <v>1.0987769999999999</v>
      </c>
      <c r="L2039">
        <v>219.03270000000001</v>
      </c>
      <c r="M2039">
        <v>0.99463990000000002</v>
      </c>
      <c r="N2039">
        <v>-4.9339910000000004E-3</v>
      </c>
      <c r="O2039">
        <v>0.10328180000000001</v>
      </c>
      <c r="P2039">
        <v>0.99290849999999997</v>
      </c>
      <c r="Q2039">
        <v>-0.1185802</v>
      </c>
      <c r="R2039">
        <v>-8.4648910000000004E-3</v>
      </c>
      <c r="S2039">
        <v>3.0131230000000002</v>
      </c>
      <c r="T2039">
        <v>-0.11900570000000001</v>
      </c>
      <c r="U2039">
        <v>-0.75314329999999996</v>
      </c>
      <c r="V2039">
        <v>0.108381199999999</v>
      </c>
      <c r="W2039">
        <v>-0.11618050000000001</v>
      </c>
      <c r="X2039">
        <v>0.98729710000000004</v>
      </c>
      <c r="Y2039">
        <v>0.34105459999999999</v>
      </c>
      <c r="Z2039">
        <v>-1.1007690000000001E-2</v>
      </c>
      <c r="AA2039">
        <v>0.93997900000000001</v>
      </c>
      <c r="AB2039">
        <v>25</v>
      </c>
      <c r="AC2039">
        <v>27.570799999999899</v>
      </c>
      <c r="AD2039">
        <v>-1.0987756524259999</v>
      </c>
      <c r="AE2039">
        <v>-6.9722000000000097</v>
      </c>
      <c r="AF2039">
        <v>9.7679277683666008</v>
      </c>
      <c r="AG2039">
        <v>-1.0987756524259999</v>
      </c>
      <c r="AH2039">
        <v>26.663438501915198</v>
      </c>
      <c r="AI2039">
        <v>92.215913934815006</v>
      </c>
      <c r="AJ2039">
        <v>69.880113996474705</v>
      </c>
      <c r="AK2039">
        <v>28.4175768419442</v>
      </c>
      <c r="AL2039">
        <v>96.671719301525201</v>
      </c>
      <c r="AM2039">
        <v>83.735401354909101</v>
      </c>
      <c r="AN2039">
        <v>0.99999997838104904</v>
      </c>
    </row>
    <row r="2040" spans="1:40" x14ac:dyDescent="0.25">
      <c r="A2040" t="str">
        <f>"20190305135623962"</f>
        <v>20190305135623962</v>
      </c>
      <c r="B2040" t="str">
        <f>"1551765383954195"</f>
        <v>1551765383954195</v>
      </c>
      <c r="C2040" t="s">
        <v>40</v>
      </c>
      <c r="D2040">
        <v>5.0582209999999996</v>
      </c>
      <c r="E2040">
        <v>0.59618190000000004</v>
      </c>
      <c r="F2040" t="s">
        <v>55</v>
      </c>
      <c r="G2040">
        <v>-444.20740000000001</v>
      </c>
      <c r="H2040" s="1">
        <v>8.4222519999999904E-7</v>
      </c>
      <c r="I2040">
        <v>211.4119</v>
      </c>
      <c r="J2040">
        <v>-472.13909999999998</v>
      </c>
      <c r="K2040">
        <v>1.098034</v>
      </c>
      <c r="L2040">
        <v>219.05619999999999</v>
      </c>
      <c r="M2040">
        <v>0.9976701</v>
      </c>
      <c r="N2040">
        <v>-4.7201309999999998E-3</v>
      </c>
      <c r="O2040">
        <v>6.8059649999999999E-2</v>
      </c>
      <c r="P2040">
        <v>0.99172879999999997</v>
      </c>
      <c r="Q2040">
        <v>-0.1215387</v>
      </c>
      <c r="R2040">
        <v>-4.1260680000000001E-2</v>
      </c>
      <c r="S2040">
        <v>3.0008240000000002</v>
      </c>
      <c r="T2040">
        <v>-0.115394</v>
      </c>
      <c r="U2040">
        <v>-0.80033869999999996</v>
      </c>
      <c r="V2040">
        <v>0.105822</v>
      </c>
      <c r="W2040">
        <v>-0.1194583</v>
      </c>
      <c r="X2040">
        <v>0.98718360000000005</v>
      </c>
      <c r="Y2040">
        <v>0.32257390000000002</v>
      </c>
      <c r="Z2040">
        <v>-9.1286279999999997E-3</v>
      </c>
      <c r="AA2040">
        <v>0.94650020000000001</v>
      </c>
      <c r="AB2040">
        <v>25</v>
      </c>
      <c r="AC2040">
        <v>27.9316999999999</v>
      </c>
      <c r="AD2040">
        <v>-1.0980331577747999</v>
      </c>
      <c r="AE2040">
        <v>-7.6442999999999799</v>
      </c>
      <c r="AF2040">
        <v>9.51393910584469</v>
      </c>
      <c r="AG2040">
        <v>-1.0980331577747999</v>
      </c>
      <c r="AH2040">
        <v>27.3073980212728</v>
      </c>
      <c r="AI2040">
        <v>92.174563356038107</v>
      </c>
      <c r="AJ2040">
        <v>70.791585404215695</v>
      </c>
      <c r="AK2040">
        <v>28.938118474038799</v>
      </c>
      <c r="AL2040">
        <v>96.860840432730498</v>
      </c>
      <c r="AM2040">
        <v>83.881493788530307</v>
      </c>
      <c r="AN2040">
        <v>1.0000000206159201</v>
      </c>
    </row>
    <row r="2041" spans="1:40" x14ac:dyDescent="0.25">
      <c r="A2041" t="str">
        <f>"20190305135623984"</f>
        <v>20190305135623984</v>
      </c>
      <c r="B2041" t="str">
        <f>"1551765383973714"</f>
        <v>1551765383973714</v>
      </c>
      <c r="C2041" t="s">
        <v>40</v>
      </c>
      <c r="D2041">
        <v>5.1084389999999997</v>
      </c>
      <c r="E2041">
        <v>0.59504489999999999</v>
      </c>
      <c r="F2041" t="s">
        <v>55</v>
      </c>
      <c r="G2041">
        <v>-449.04349999999999</v>
      </c>
      <c r="H2041" s="1">
        <v>3.379553E-6</v>
      </c>
      <c r="I2041">
        <v>212.24109999999999</v>
      </c>
      <c r="J2041">
        <v>-471.87389999999999</v>
      </c>
      <c r="K2041">
        <v>1.0977840000000001</v>
      </c>
      <c r="L2041">
        <v>219.0592</v>
      </c>
      <c r="M2041">
        <v>0.99856849999999997</v>
      </c>
      <c r="N2041">
        <v>-4.640318E-3</v>
      </c>
      <c r="O2041">
        <v>5.3286E-2</v>
      </c>
      <c r="P2041">
        <v>0.99038910000000002</v>
      </c>
      <c r="Q2041">
        <v>-0.12729380000000001</v>
      </c>
      <c r="R2041">
        <v>-5.4092759999999997E-2</v>
      </c>
      <c r="S2041">
        <v>2.9711910000000001</v>
      </c>
      <c r="T2041">
        <v>-0.1412592</v>
      </c>
      <c r="U2041">
        <v>-0.8767395</v>
      </c>
      <c r="V2041">
        <v>0.103757</v>
      </c>
      <c r="W2041">
        <v>-0.12529169999999901</v>
      </c>
      <c r="X2041">
        <v>0.98667959999999999</v>
      </c>
      <c r="Y2041">
        <v>0.3332927</v>
      </c>
      <c r="Z2041">
        <v>-1.0784790000000001E-2</v>
      </c>
      <c r="AA2041">
        <v>0.94276170000000004</v>
      </c>
      <c r="AB2041">
        <v>26</v>
      </c>
      <c r="AC2041">
        <v>22.830400000000001</v>
      </c>
      <c r="AD2041">
        <v>-1.097780620447</v>
      </c>
      <c r="AE2041">
        <v>-6.81810000000001</v>
      </c>
      <c r="AF2041">
        <v>8.00796803690214</v>
      </c>
      <c r="AG2041">
        <v>-1.097780620447</v>
      </c>
      <c r="AH2041">
        <v>22.387128177063801</v>
      </c>
      <c r="AI2041">
        <v>92.643541472043694</v>
      </c>
      <c r="AJ2041">
        <v>70.317660682435303</v>
      </c>
      <c r="AK2041">
        <v>23.801600416504801</v>
      </c>
      <c r="AL2041">
        <v>97.197600822306796</v>
      </c>
      <c r="AM2041">
        <v>83.996967735228907</v>
      </c>
      <c r="AN2041">
        <v>1.00000007909702</v>
      </c>
    </row>
    <row r="2042" spans="1:40" x14ac:dyDescent="0.25">
      <c r="A2042" t="str">
        <f>"20190305135624007"</f>
        <v>20190305135624007</v>
      </c>
      <c r="B2042" t="str">
        <f>"1551765384003971"</f>
        <v>1551765384003971</v>
      </c>
      <c r="C2042" t="s">
        <v>40</v>
      </c>
      <c r="D2042">
        <v>5.2604680000000004</v>
      </c>
      <c r="E2042">
        <v>0.59308119999999998</v>
      </c>
      <c r="F2042" t="s">
        <v>55</v>
      </c>
      <c r="G2042">
        <v>-450.8938</v>
      </c>
      <c r="H2042" s="1">
        <v>-9.7503029999999999E-7</v>
      </c>
      <c r="I2042">
        <v>212.64580000000001</v>
      </c>
      <c r="J2042">
        <v>-471.6</v>
      </c>
      <c r="K2042">
        <v>1.0975870000000001</v>
      </c>
      <c r="L2042">
        <v>219.0583</v>
      </c>
      <c r="M2042">
        <v>0.99926720000000002</v>
      </c>
      <c r="N2042">
        <v>-4.5590190000000001E-3</v>
      </c>
      <c r="O2042">
        <v>3.8005959999999998E-2</v>
      </c>
      <c r="P2042">
        <v>0.9888053</v>
      </c>
      <c r="Q2042">
        <v>-0.1333252</v>
      </c>
      <c r="R2042">
        <v>-6.6994490000000004E-2</v>
      </c>
      <c r="S2042">
        <v>2.9598080000000002</v>
      </c>
      <c r="T2042">
        <v>-0.1548717</v>
      </c>
      <c r="U2042">
        <v>-0.90478519999999896</v>
      </c>
      <c r="V2042">
        <v>0.1013053</v>
      </c>
      <c r="W2042">
        <v>-0.13137939999999901</v>
      </c>
      <c r="X2042">
        <v>0.98614230000000003</v>
      </c>
      <c r="Y2042">
        <v>0.32798169999999999</v>
      </c>
      <c r="Z2042">
        <v>-1.0925020000000001E-2</v>
      </c>
      <c r="AA2042">
        <v>0.94462089999999999</v>
      </c>
      <c r="AB2042">
        <v>26</v>
      </c>
      <c r="AC2042">
        <v>20.706199999999999</v>
      </c>
      <c r="AD2042">
        <v>-1.0975879750302999</v>
      </c>
      <c r="AE2042">
        <v>-6.4124999999999899</v>
      </c>
      <c r="AF2042">
        <v>7.1764342948977999</v>
      </c>
      <c r="AG2042">
        <v>-1.0975879750302999</v>
      </c>
      <c r="AH2042">
        <v>20.395232321412202</v>
      </c>
      <c r="AI2042">
        <v>92.906122878676399</v>
      </c>
      <c r="AJ2042">
        <v>70.614649307983598</v>
      </c>
      <c r="AK2042">
        <v>21.6488200601394</v>
      </c>
      <c r="AL2042">
        <v>97.549310036391901</v>
      </c>
      <c r="AM2042">
        <v>84.134643454583397</v>
      </c>
      <c r="AN2042">
        <v>0.99999997320086897</v>
      </c>
    </row>
    <row r="2043" spans="1:40" x14ac:dyDescent="0.25">
      <c r="A2043" t="str">
        <f>"20190305135624052"</f>
        <v>20190305135624052</v>
      </c>
      <c r="B2043" t="str">
        <f>"1551765384043987"</f>
        <v>1551765384043987</v>
      </c>
      <c r="C2043" t="s">
        <v>40</v>
      </c>
      <c r="D2043">
        <v>5.1048900000000001</v>
      </c>
      <c r="E2043">
        <v>0.5905745</v>
      </c>
      <c r="F2043" t="s">
        <v>55</v>
      </c>
      <c r="G2043">
        <v>-453.4864</v>
      </c>
      <c r="H2043" s="1">
        <v>3.735359E-7</v>
      </c>
      <c r="I2043">
        <v>213.35720000000001</v>
      </c>
      <c r="J2043">
        <v>-471.06509999999997</v>
      </c>
      <c r="K2043">
        <v>1.097445</v>
      </c>
      <c r="L2043">
        <v>219.04480000000001</v>
      </c>
      <c r="M2043">
        <v>0.99995449999999997</v>
      </c>
      <c r="N2043">
        <v>-4.3914920000000003E-3</v>
      </c>
      <c r="O2043">
        <v>8.4645239999999993E-3</v>
      </c>
      <c r="P2043">
        <v>0.98688100000000001</v>
      </c>
      <c r="Q2043">
        <v>-0.1344197</v>
      </c>
      <c r="R2043">
        <v>-8.942841E-2</v>
      </c>
      <c r="S2043">
        <v>2.9470519999999998</v>
      </c>
      <c r="T2043">
        <v>-0.17857500000000001</v>
      </c>
      <c r="U2043">
        <v>-0.92756649999999996</v>
      </c>
      <c r="V2043">
        <v>9.4502089999999997E-2</v>
      </c>
      <c r="W2043">
        <v>-0.13248740000000001</v>
      </c>
      <c r="X2043">
        <v>0.98666940000000003</v>
      </c>
      <c r="Y2043">
        <v>0.30772149999999998</v>
      </c>
      <c r="Z2043">
        <v>-1.0251730000000001E-2</v>
      </c>
      <c r="AA2043">
        <v>0.95142130000000003</v>
      </c>
      <c r="AB2043">
        <v>26</v>
      </c>
      <c r="AC2043">
        <v>17.578699999999898</v>
      </c>
      <c r="AD2043">
        <v>-1.0974446264641</v>
      </c>
      <c r="AE2043">
        <v>-5.6875999999999998</v>
      </c>
      <c r="AF2043">
        <v>5.8156741426749701</v>
      </c>
      <c r="AG2043">
        <v>-1.0974446264641</v>
      </c>
      <c r="AH2043">
        <v>17.468295295354899</v>
      </c>
      <c r="AI2043">
        <v>93.4112634543214</v>
      </c>
      <c r="AJ2043">
        <v>71.585986143373503</v>
      </c>
      <c r="AK2043">
        <v>18.443638224809401</v>
      </c>
      <c r="AL2043">
        <v>97.613353157694704</v>
      </c>
      <c r="AM2043">
        <v>84.528963372226698</v>
      </c>
      <c r="AN2043">
        <v>1.0000000305347401</v>
      </c>
    </row>
    <row r="2044" spans="1:40" x14ac:dyDescent="0.25">
      <c r="A2044" t="str">
        <f>"20190305135624074"</f>
        <v>20190305135624074</v>
      </c>
      <c r="B2044" t="str">
        <f>"1551765384064483"</f>
        <v>1551765384064483</v>
      </c>
      <c r="C2044" t="s">
        <v>40</v>
      </c>
      <c r="D2044">
        <v>5.1655040000000003</v>
      </c>
      <c r="E2044">
        <v>0.58962389999999998</v>
      </c>
      <c r="F2044" t="s">
        <v>55</v>
      </c>
      <c r="G2044">
        <v>-453.92489999999998</v>
      </c>
      <c r="H2044" s="1">
        <v>6.0793879999999996E-7</v>
      </c>
      <c r="I2044">
        <v>213.3329</v>
      </c>
      <c r="J2044">
        <v>-470.79390000000001</v>
      </c>
      <c r="K2044">
        <v>1.0974630000000001</v>
      </c>
      <c r="L2044">
        <v>219.03210000000001</v>
      </c>
      <c r="M2044">
        <v>0.99997119999999995</v>
      </c>
      <c r="N2044">
        <v>-4.310515E-3</v>
      </c>
      <c r="O2044">
        <v>-6.2618329999999996E-3</v>
      </c>
      <c r="P2044">
        <v>0.98662720000000004</v>
      </c>
      <c r="Q2044">
        <v>-0.12903489999999901</v>
      </c>
      <c r="R2044">
        <v>-9.9583989999999997E-2</v>
      </c>
      <c r="S2044">
        <v>2.9259949999999999</v>
      </c>
      <c r="T2044">
        <v>-0.18734439999999999</v>
      </c>
      <c r="U2044">
        <v>-0.97508240000000002</v>
      </c>
      <c r="V2044">
        <v>9.0263019999999999E-2</v>
      </c>
      <c r="W2044">
        <v>-0.12706869999999901</v>
      </c>
      <c r="X2044">
        <v>0.98777839999999995</v>
      </c>
      <c r="Y2044">
        <v>0.3096061</v>
      </c>
      <c r="Z2044">
        <v>-9.9635260000000003E-3</v>
      </c>
      <c r="AA2044">
        <v>0.95081269999999996</v>
      </c>
      <c r="AB2044">
        <v>26</v>
      </c>
      <c r="AC2044">
        <v>16.869</v>
      </c>
      <c r="AD2044">
        <v>-1.0974623920612001</v>
      </c>
      <c r="AE2044">
        <v>-5.69920000000001</v>
      </c>
      <c r="AF2044">
        <v>5.5722877768316499</v>
      </c>
      <c r="AG2044">
        <v>-1.0974623920612001</v>
      </c>
      <c r="AH2044">
        <v>16.840381838980601</v>
      </c>
      <c r="AI2044">
        <v>93.540348257655197</v>
      </c>
      <c r="AJ2044">
        <v>71.6912170644882</v>
      </c>
      <c r="AK2044">
        <v>17.772261399509201</v>
      </c>
      <c r="AL2044">
        <v>97.300236207831205</v>
      </c>
      <c r="AM2044">
        <v>84.7788220736889</v>
      </c>
      <c r="AN2044">
        <v>1.00000001740288</v>
      </c>
    </row>
    <row r="2045" spans="1:40" x14ac:dyDescent="0.25">
      <c r="A2045" t="str">
        <f>"20190305135624095"</f>
        <v>20190305135624095</v>
      </c>
      <c r="B2045" t="str">
        <f>"1551765384084003"</f>
        <v>1551765384084003</v>
      </c>
      <c r="C2045" t="s">
        <v>40</v>
      </c>
      <c r="D2045">
        <v>5.0759189999999998</v>
      </c>
      <c r="E2045">
        <v>0.58871049999999903</v>
      </c>
      <c r="F2045" t="s">
        <v>55</v>
      </c>
      <c r="G2045">
        <v>-452.51280000000003</v>
      </c>
      <c r="H2045" s="1">
        <v>-1.190307E-7</v>
      </c>
      <c r="I2045">
        <v>212.77330000000001</v>
      </c>
      <c r="J2045">
        <v>-470.5308</v>
      </c>
      <c r="K2045">
        <v>1.0974900000000001</v>
      </c>
      <c r="L2045">
        <v>219.0163</v>
      </c>
      <c r="M2045">
        <v>0.99978359999999999</v>
      </c>
      <c r="N2045">
        <v>-4.239067E-3</v>
      </c>
      <c r="O2045">
        <v>-2.037098E-2</v>
      </c>
      <c r="P2045">
        <v>0.98629560000000005</v>
      </c>
      <c r="Q2045">
        <v>-0.1239348</v>
      </c>
      <c r="R2045">
        <v>-0.108909199999999</v>
      </c>
      <c r="S2045">
        <v>2.9169309999999999</v>
      </c>
      <c r="T2045">
        <v>-0.1751114</v>
      </c>
      <c r="U2045">
        <v>-0.99865720000000002</v>
      </c>
      <c r="V2045">
        <v>8.578566E-2</v>
      </c>
      <c r="W2045">
        <v>-0.121917899999999</v>
      </c>
      <c r="X2045">
        <v>0.98882599999999998</v>
      </c>
      <c r="Y2045">
        <v>0.30406949999999999</v>
      </c>
      <c r="Z2045">
        <v>-8.4267619999999904E-3</v>
      </c>
      <c r="AA2045">
        <v>0.95261260000000003</v>
      </c>
      <c r="AB2045">
        <v>27</v>
      </c>
      <c r="AC2045">
        <v>18.017999999999901</v>
      </c>
      <c r="AD2045">
        <v>-1.09749011903069</v>
      </c>
      <c r="AE2045">
        <v>-6.2429999999999897</v>
      </c>
      <c r="AF2045">
        <v>5.8552616457727797</v>
      </c>
      <c r="AG2045">
        <v>-1.09749011903069</v>
      </c>
      <c r="AH2045">
        <v>18.081543951738102</v>
      </c>
      <c r="AI2045">
        <v>93.304848421368703</v>
      </c>
      <c r="AJ2045">
        <v>72.056734067920601</v>
      </c>
      <c r="AK2045">
        <v>19.0376155329512</v>
      </c>
      <c r="AL2045">
        <v>97.002802946865103</v>
      </c>
      <c r="AM2045">
        <v>85.041715692533003</v>
      </c>
      <c r="AN2045">
        <v>1.00000000603902</v>
      </c>
    </row>
    <row r="2046" spans="1:40" x14ac:dyDescent="0.25">
      <c r="A2046" t="str">
        <f>"20190305135624118"</f>
        <v>20190305135624118</v>
      </c>
      <c r="B2046" t="str">
        <f>"1551765384114260"</f>
        <v>1551765384114260</v>
      </c>
      <c r="C2046" t="s">
        <v>40</v>
      </c>
      <c r="D2046">
        <v>5.0402399999999998</v>
      </c>
      <c r="E2046">
        <v>0.58726820000000002</v>
      </c>
      <c r="F2046" t="s">
        <v>55</v>
      </c>
      <c r="G2046">
        <v>-450.67320000000001</v>
      </c>
      <c r="H2046" s="1">
        <v>-1.0668460000000001E-6</v>
      </c>
      <c r="I2046">
        <v>212.06059999999999</v>
      </c>
      <c r="J2046">
        <v>-470.25850000000003</v>
      </c>
      <c r="K2046">
        <v>1.097548</v>
      </c>
      <c r="L2046">
        <v>218.99629999999999</v>
      </c>
      <c r="M2046">
        <v>0.99938910000000003</v>
      </c>
      <c r="N2046">
        <v>-4.163117E-3</v>
      </c>
      <c r="O2046">
        <v>-3.47009E-2</v>
      </c>
      <c r="P2046">
        <v>0.98567640000000001</v>
      </c>
      <c r="Q2046">
        <v>-0.119865899999999</v>
      </c>
      <c r="R2046">
        <v>-0.11863460000000001</v>
      </c>
      <c r="S2046">
        <v>2.9089659999999999</v>
      </c>
      <c r="T2046">
        <v>-0.1607729</v>
      </c>
      <c r="U2046">
        <v>-1.0189509999999999</v>
      </c>
      <c r="V2046">
        <v>8.1466559999999993E-2</v>
      </c>
      <c r="W2046">
        <v>-0.1178003</v>
      </c>
      <c r="X2046">
        <v>0.98968999999999996</v>
      </c>
      <c r="Y2046">
        <v>0.29724020000000001</v>
      </c>
      <c r="Z2046">
        <v>-6.8902369999999996E-3</v>
      </c>
      <c r="AA2046">
        <v>0.95477780000000001</v>
      </c>
      <c r="AB2046">
        <v>27</v>
      </c>
      <c r="AC2046">
        <v>19.5853</v>
      </c>
      <c r="AD2046">
        <v>-1.097549066846</v>
      </c>
      <c r="AE2046">
        <v>-6.93569999999999</v>
      </c>
      <c r="AF2046">
        <v>6.2344922535119496</v>
      </c>
      <c r="AG2046">
        <v>-1.097549066846</v>
      </c>
      <c r="AH2046">
        <v>19.7590444089603</v>
      </c>
      <c r="AI2046">
        <v>93.032257694678705</v>
      </c>
      <c r="AJ2046">
        <v>72.488159674967307</v>
      </c>
      <c r="AK2046">
        <v>20.7483335130439</v>
      </c>
      <c r="AL2046">
        <v>96.765168559563804</v>
      </c>
      <c r="AM2046">
        <v>85.294293897164195</v>
      </c>
      <c r="AN2046">
        <v>1.0000000035891601</v>
      </c>
    </row>
    <row r="2047" spans="1:40" x14ac:dyDescent="0.25">
      <c r="A2047" t="str">
        <f>"20190305135624142"</f>
        <v>20190305135624142</v>
      </c>
      <c r="B2047" t="str">
        <f>"1551765384133780"</f>
        <v>1551765384133780</v>
      </c>
      <c r="C2047" t="s">
        <v>40</v>
      </c>
      <c r="D2047">
        <v>5.1495649999999999</v>
      </c>
      <c r="E2047">
        <v>0.58637039999999996</v>
      </c>
      <c r="F2047" t="s">
        <v>55</v>
      </c>
      <c r="G2047">
        <v>-449.19299999999998</v>
      </c>
      <c r="H2047" s="1">
        <v>3.4928260000000001E-6</v>
      </c>
      <c r="I2047">
        <v>211.46950000000001</v>
      </c>
      <c r="J2047">
        <v>-469.95400000000001</v>
      </c>
      <c r="K2047">
        <v>1.0976549999999901</v>
      </c>
      <c r="L2047">
        <v>218.96979999999999</v>
      </c>
      <c r="M2047">
        <v>0.9987258</v>
      </c>
      <c r="N2047">
        <v>-4.0675030000000001E-3</v>
      </c>
      <c r="O2047">
        <v>-5.0301749999999999E-2</v>
      </c>
      <c r="P2047">
        <v>0.98430039999999996</v>
      </c>
      <c r="Q2047">
        <v>-0.1180213</v>
      </c>
      <c r="R2047">
        <v>-0.13123969999999999</v>
      </c>
      <c r="S2047">
        <v>2.9004819999999998</v>
      </c>
      <c r="T2047">
        <v>-0.151119899999999</v>
      </c>
      <c r="U2047">
        <v>-1.036362</v>
      </c>
      <c r="V2047">
        <v>7.8748280000000004E-2</v>
      </c>
      <c r="W2047">
        <v>-0.11595569999999999</v>
      </c>
      <c r="X2047">
        <v>0.99012770000000005</v>
      </c>
      <c r="Y2047">
        <v>0.2883542</v>
      </c>
      <c r="Z2047">
        <v>-5.5508719999999897E-3</v>
      </c>
      <c r="AA2047">
        <v>0.95750769999999996</v>
      </c>
      <c r="AB2047">
        <v>27</v>
      </c>
      <c r="AC2047">
        <v>20.7609999999999</v>
      </c>
      <c r="AD2047">
        <v>-1.0976515071739901</v>
      </c>
      <c r="AE2047">
        <v>-7.5002999999999798</v>
      </c>
      <c r="AF2047">
        <v>6.4305813674102597</v>
      </c>
      <c r="AG2047">
        <v>-1.0976515071739901</v>
      </c>
      <c r="AH2047">
        <v>21.059925798288699</v>
      </c>
      <c r="AI2047">
        <v>92.853736326006398</v>
      </c>
      <c r="AJ2047">
        <v>73.020115767733898</v>
      </c>
      <c r="AK2047">
        <v>22.047169663780199</v>
      </c>
      <c r="AL2047">
        <v>96.658751826890807</v>
      </c>
      <c r="AM2047">
        <v>85.452640612038195</v>
      </c>
      <c r="AN2047">
        <v>0.99999993913636698</v>
      </c>
    </row>
    <row r="2048" spans="1:40" x14ac:dyDescent="0.25">
      <c r="A2048" t="str">
        <f>"20190305135624164"</f>
        <v>20190305135624164</v>
      </c>
      <c r="B2048" t="str">
        <f>"1551765384154275"</f>
        <v>1551765384154275</v>
      </c>
      <c r="C2048" t="s">
        <v>40</v>
      </c>
      <c r="D2048">
        <v>4.9578170000000004</v>
      </c>
      <c r="E2048">
        <v>0.58540800000000004</v>
      </c>
      <c r="F2048" t="s">
        <v>55</v>
      </c>
      <c r="G2048">
        <v>-447.9581</v>
      </c>
      <c r="H2048" s="1">
        <v>2.862694E-6</v>
      </c>
      <c r="I2048">
        <v>210.851</v>
      </c>
      <c r="J2048">
        <v>-469.69029999999998</v>
      </c>
      <c r="K2048">
        <v>1.0978019999999999</v>
      </c>
      <c r="L2048">
        <v>218.9435</v>
      </c>
      <c r="M2048">
        <v>0.99798229999999999</v>
      </c>
      <c r="N2048">
        <v>-3.9748429999999996E-3</v>
      </c>
      <c r="O2048">
        <v>-6.337044E-2</v>
      </c>
      <c r="P2048">
        <v>0.98257570000000005</v>
      </c>
      <c r="Q2048">
        <v>-0.11757910000000001</v>
      </c>
      <c r="R2048">
        <v>-0.1439463</v>
      </c>
      <c r="S2048">
        <v>2.8884280000000002</v>
      </c>
      <c r="T2048">
        <v>-0.14413960000000001</v>
      </c>
      <c r="U2048">
        <v>-1.0661320000000001</v>
      </c>
      <c r="V2048">
        <v>7.8634949999999995E-2</v>
      </c>
      <c r="W2048">
        <v>-0.1155678</v>
      </c>
      <c r="X2048">
        <v>0.99018209999999995</v>
      </c>
      <c r="Y2048">
        <v>0.28584290000000001</v>
      </c>
      <c r="Z2048">
        <v>-4.6821999999999897E-3</v>
      </c>
      <c r="AA2048">
        <v>0.95826509999999998</v>
      </c>
      <c r="AB2048">
        <v>27</v>
      </c>
      <c r="AC2048">
        <v>21.732199999999899</v>
      </c>
      <c r="AD2048">
        <v>-1.0977991373060001</v>
      </c>
      <c r="AE2048">
        <v>-8.0924999999999994</v>
      </c>
      <c r="AF2048">
        <v>6.6840656114343604</v>
      </c>
      <c r="AG2048">
        <v>-1.0977991373060001</v>
      </c>
      <c r="AH2048">
        <v>22.151706306714999</v>
      </c>
      <c r="AI2048">
        <v>92.7163828961707</v>
      </c>
      <c r="AJ2048">
        <v>73.209313521546306</v>
      </c>
      <c r="AK2048">
        <v>23.164196259373799</v>
      </c>
      <c r="AL2048">
        <v>96.6363760803265</v>
      </c>
      <c r="AM2048">
        <v>85.459405950019004</v>
      </c>
      <c r="AN2048">
        <v>0.99999998145937596</v>
      </c>
    </row>
    <row r="2049" spans="1:40" x14ac:dyDescent="0.25">
      <c r="A2049" t="str">
        <f>"20190305135624185"</f>
        <v>20190305135624185</v>
      </c>
      <c r="B2049" t="str">
        <f>"1551765384173795"</f>
        <v>1551765384173795</v>
      </c>
      <c r="C2049" t="s">
        <v>40</v>
      </c>
      <c r="D2049">
        <v>4.9220009999999998</v>
      </c>
      <c r="E2049">
        <v>0.56830809999999998</v>
      </c>
      <c r="F2049" t="s">
        <v>55</v>
      </c>
      <c r="G2049">
        <v>-447.93869999999998</v>
      </c>
      <c r="H2049" s="1">
        <v>2.8611E-6</v>
      </c>
      <c r="I2049">
        <v>210.65180000000001</v>
      </c>
      <c r="J2049">
        <v>-469.42770000000002</v>
      </c>
      <c r="K2049">
        <v>1.097988</v>
      </c>
      <c r="L2049">
        <v>218.9144</v>
      </c>
      <c r="M2049">
        <v>0.99710810000000005</v>
      </c>
      <c r="N2049">
        <v>-3.8767440000000001E-3</v>
      </c>
      <c r="O2049">
        <v>-7.5898300000000002E-2</v>
      </c>
      <c r="P2049">
        <v>0.98038539999999996</v>
      </c>
      <c r="Q2049">
        <v>-0.1193992</v>
      </c>
      <c r="R2049">
        <v>-0.15680720000000001</v>
      </c>
      <c r="S2049">
        <v>2.875305</v>
      </c>
      <c r="T2049">
        <v>-0.1451162</v>
      </c>
      <c r="U2049">
        <v>-1.096069</v>
      </c>
      <c r="V2049">
        <v>7.9209479999999999E-2</v>
      </c>
      <c r="W2049">
        <v>-0.11745410000000001</v>
      </c>
      <c r="X2049">
        <v>0.98991439999999997</v>
      </c>
      <c r="Y2049">
        <v>0.28398099999999998</v>
      </c>
      <c r="Z2049">
        <v>-4.0910549999999997E-3</v>
      </c>
      <c r="AA2049">
        <v>0.95882120000000004</v>
      </c>
      <c r="AB2049">
        <v>27</v>
      </c>
      <c r="AC2049">
        <v>21.489000000000001</v>
      </c>
      <c r="AD2049">
        <v>-1.0979851388999999</v>
      </c>
      <c r="AE2049">
        <v>-8.2625999999999902</v>
      </c>
      <c r="AF2049">
        <v>6.5927809911198896</v>
      </c>
      <c r="AG2049">
        <v>-1.0979851388999999</v>
      </c>
      <c r="AH2049">
        <v>22.004090006688401</v>
      </c>
      <c r="AI2049">
        <v>92.7366411599168</v>
      </c>
      <c r="AJ2049">
        <v>73.320934328467999</v>
      </c>
      <c r="AK2049">
        <v>22.996745630296498</v>
      </c>
      <c r="AL2049">
        <v>96.7451936895893</v>
      </c>
      <c r="AM2049">
        <v>85.425139694277206</v>
      </c>
      <c r="AN2049">
        <v>1.0000000633280099</v>
      </c>
    </row>
    <row r="2050" spans="1:40" x14ac:dyDescent="0.25">
      <c r="A2050" t="str">
        <f>"20190305135624208"</f>
        <v>20190305135624208</v>
      </c>
      <c r="B2050" t="str">
        <f>"1551765384204051"</f>
        <v>1551765384204051</v>
      </c>
      <c r="C2050" t="s">
        <v>40</v>
      </c>
      <c r="D2050">
        <v>4.8898950000000001</v>
      </c>
      <c r="E2050">
        <v>0.57011469999999997</v>
      </c>
      <c r="F2050" t="s">
        <v>55</v>
      </c>
      <c r="G2050">
        <v>-450.71589999999998</v>
      </c>
      <c r="H2050" s="1">
        <v>-1.0595410000000001E-6</v>
      </c>
      <c r="I2050">
        <v>212.41390000000001</v>
      </c>
      <c r="J2050">
        <v>-469.13839999999999</v>
      </c>
      <c r="K2050">
        <v>1.0982449999999999</v>
      </c>
      <c r="L2050">
        <v>218.8792</v>
      </c>
      <c r="M2050">
        <v>0.99601510000000004</v>
      </c>
      <c r="N2050">
        <v>-3.766466E-3</v>
      </c>
      <c r="O2050">
        <v>-8.9105450000000003E-2</v>
      </c>
      <c r="P2050">
        <v>0.97799150000000001</v>
      </c>
      <c r="Q2050">
        <v>-0.12274589999999901</v>
      </c>
      <c r="R2050">
        <v>-0.1687205</v>
      </c>
      <c r="S2050">
        <v>2.8794559999999998</v>
      </c>
      <c r="T2050">
        <v>-0.16896329999999901</v>
      </c>
      <c r="U2050">
        <v>-1.0003200000000001</v>
      </c>
      <c r="V2050">
        <v>7.8179349999999995E-2</v>
      </c>
      <c r="W2050">
        <v>-0.1208269</v>
      </c>
      <c r="X2050">
        <v>0.98959019999999998</v>
      </c>
      <c r="Y2050">
        <v>0.24240709999999999</v>
      </c>
      <c r="Z2050">
        <v>-2.6497209999999998E-3</v>
      </c>
      <c r="AA2050">
        <v>0.97017100000000001</v>
      </c>
      <c r="AB2050">
        <v>27</v>
      </c>
      <c r="AC2050">
        <v>18.422499999999999</v>
      </c>
      <c r="AD2050">
        <v>-1.098246059541</v>
      </c>
      <c r="AE2050">
        <v>-6.4652999999999796</v>
      </c>
      <c r="AF2050">
        <v>4.7828913272863796</v>
      </c>
      <c r="AG2050">
        <v>-1.098246059541</v>
      </c>
      <c r="AH2050">
        <v>18.865621465791001</v>
      </c>
      <c r="AI2050">
        <v>93.229713585977706</v>
      </c>
      <c r="AJ2050">
        <v>75.773871400259097</v>
      </c>
      <c r="AK2050">
        <v>19.493431384608598</v>
      </c>
      <c r="AL2050">
        <v>96.939828015365094</v>
      </c>
      <c r="AM2050">
        <v>85.4829154563039</v>
      </c>
      <c r="AN2050">
        <v>0.99999995723303503</v>
      </c>
    </row>
    <row r="2051" spans="1:40" x14ac:dyDescent="0.25">
      <c r="A2051" t="str">
        <f>"20190305135624253"</f>
        <v>20190305135624253</v>
      </c>
      <c r="B2051" t="str">
        <f>"1551765384244068"</f>
        <v>1551765384244068</v>
      </c>
      <c r="C2051" t="s">
        <v>40</v>
      </c>
      <c r="D2051">
        <v>4.8819679999999996</v>
      </c>
      <c r="E2051">
        <v>0.56595740000000005</v>
      </c>
      <c r="F2051" t="s">
        <v>55</v>
      </c>
      <c r="G2051">
        <v>-448.16669999999999</v>
      </c>
      <c r="H2051" s="1">
        <v>2.9578249999999999E-6</v>
      </c>
      <c r="I2051">
        <v>211.21459999999999</v>
      </c>
      <c r="J2051">
        <v>-468.57479999999998</v>
      </c>
      <c r="K2051">
        <v>1.098854</v>
      </c>
      <c r="L2051">
        <v>218.8013</v>
      </c>
      <c r="M2051">
        <v>0.99359969999999997</v>
      </c>
      <c r="N2051">
        <v>-3.5670340000000002E-3</v>
      </c>
      <c r="O2051">
        <v>-0.11290260000000001</v>
      </c>
      <c r="P2051">
        <v>0.97491570000000005</v>
      </c>
      <c r="Q2051">
        <v>-0.1273243</v>
      </c>
      <c r="R2051">
        <v>-0.1825591</v>
      </c>
      <c r="S2051">
        <v>2.8677980000000001</v>
      </c>
      <c r="T2051">
        <v>-0.15018020000000001</v>
      </c>
      <c r="U2051">
        <v>-1.0480959999999999</v>
      </c>
      <c r="V2051">
        <v>6.8687860000000003E-2</v>
      </c>
      <c r="W2051">
        <v>-0.12527449999999901</v>
      </c>
      <c r="X2051">
        <v>0.98974150000000005</v>
      </c>
      <c r="Y2051">
        <v>0.23484060000000001</v>
      </c>
      <c r="Z2051">
        <v>-1.0913470000000001E-3</v>
      </c>
      <c r="AA2051">
        <v>0.97203329999999999</v>
      </c>
      <c r="AB2051">
        <v>28</v>
      </c>
      <c r="AC2051">
        <v>20.408099999999902</v>
      </c>
      <c r="AD2051">
        <v>-1.098851042175</v>
      </c>
      <c r="AE2051">
        <v>-7.5867000000000004</v>
      </c>
      <c r="AF2051">
        <v>5.2207503266034196</v>
      </c>
      <c r="AG2051">
        <v>-1.098851042175</v>
      </c>
      <c r="AH2051">
        <v>21.080478574268</v>
      </c>
      <c r="AI2051">
        <v>92.896574072825203</v>
      </c>
      <c r="AJ2051">
        <v>76.090116359553406</v>
      </c>
      <c r="AK2051">
        <v>21.745120935644199</v>
      </c>
      <c r="AL2051">
        <v>97.196608228220597</v>
      </c>
      <c r="AM2051">
        <v>86.030049852779399</v>
      </c>
      <c r="AN2051">
        <v>0.99999997964193899</v>
      </c>
    </row>
    <row r="2052" spans="1:40" x14ac:dyDescent="0.25">
      <c r="A2052" t="str">
        <f>"20190305135624276"</f>
        <v>20190305135624276</v>
      </c>
      <c r="B2052" t="str">
        <f>"1551765384264563"</f>
        <v>1551765384264563</v>
      </c>
      <c r="C2052" t="s">
        <v>40</v>
      </c>
      <c r="D2052">
        <v>4.7923819999999999</v>
      </c>
      <c r="E2052">
        <v>0.56525249999999905</v>
      </c>
      <c r="F2052" t="s">
        <v>55</v>
      </c>
      <c r="G2052">
        <v>-451.3261</v>
      </c>
      <c r="H2052" s="1">
        <v>-7.3537559999999999E-7</v>
      </c>
      <c r="I2052">
        <v>212.4265</v>
      </c>
      <c r="J2052">
        <v>-468.28250000000003</v>
      </c>
      <c r="K2052">
        <v>1.0991280000000001</v>
      </c>
      <c r="L2052">
        <v>218.75640000000001</v>
      </c>
      <c r="M2052">
        <v>0.99222549999999998</v>
      </c>
      <c r="N2052">
        <v>-3.4844979999999999E-3</v>
      </c>
      <c r="O2052">
        <v>-0.12440469999999999</v>
      </c>
      <c r="P2052">
        <v>0.97414389999999995</v>
      </c>
      <c r="Q2052">
        <v>-0.12828139999999999</v>
      </c>
      <c r="R2052">
        <v>-0.18597820000000001</v>
      </c>
      <c r="S2052">
        <v>2.8557739999999998</v>
      </c>
      <c r="T2052">
        <v>-0.18193200000000001</v>
      </c>
      <c r="U2052">
        <v>-1.0554349999999999</v>
      </c>
      <c r="V2052">
        <v>6.0774509999999997E-2</v>
      </c>
      <c r="W2052">
        <v>-0.1261032</v>
      </c>
      <c r="X2052">
        <v>0.99015370000000003</v>
      </c>
      <c r="Y2052">
        <v>0.22704779999999999</v>
      </c>
      <c r="Z2052">
        <v>-2.178936E-4</v>
      </c>
      <c r="AA2052">
        <v>0.97388359999999996</v>
      </c>
      <c r="AB2052">
        <v>28</v>
      </c>
      <c r="AC2052">
        <v>16.956399999999999</v>
      </c>
      <c r="AD2052">
        <v>-1.0991287353756001</v>
      </c>
      <c r="AE2052">
        <v>-6.3299000000000003</v>
      </c>
      <c r="AF2052">
        <v>4.1559310770017603</v>
      </c>
      <c r="AG2052">
        <v>-1.0991287353756001</v>
      </c>
      <c r="AH2052">
        <v>17.547435826561301</v>
      </c>
      <c r="AI2052">
        <v>93.487943836892697</v>
      </c>
      <c r="AJ2052">
        <v>76.675594159073299</v>
      </c>
      <c r="AK2052">
        <v>18.0663319791541</v>
      </c>
      <c r="AL2052">
        <v>97.244468978898595</v>
      </c>
      <c r="AM2052">
        <v>86.487656438134195</v>
      </c>
      <c r="AN2052">
        <v>0.99999995386983298</v>
      </c>
    </row>
    <row r="2053" spans="1:40" x14ac:dyDescent="0.25">
      <c r="A2053" t="str">
        <f>"20190305135624297"</f>
        <v>20190305135624297</v>
      </c>
      <c r="B2053" t="str">
        <f>"1551765384293843"</f>
        <v>1551765384293843</v>
      </c>
      <c r="C2053" t="s">
        <v>40</v>
      </c>
      <c r="D2053">
        <v>4.7690109999999999</v>
      </c>
      <c r="E2053">
        <v>0.53523679999999996</v>
      </c>
      <c r="F2053" t="s">
        <v>55</v>
      </c>
      <c r="G2053">
        <v>-450.30880000000002</v>
      </c>
      <c r="H2053" s="1">
        <v>-1.2619909999999999E-6</v>
      </c>
      <c r="I2053">
        <v>212.08879999999999</v>
      </c>
      <c r="J2053">
        <v>-468.00670000000002</v>
      </c>
      <c r="K2053">
        <v>1.0993310000000001</v>
      </c>
      <c r="L2053">
        <v>218.7114</v>
      </c>
      <c r="M2053">
        <v>0.99085650000000003</v>
      </c>
      <c r="N2053">
        <v>-3.4213059999999998E-3</v>
      </c>
      <c r="O2053">
        <v>-0.134877</v>
      </c>
      <c r="P2053">
        <v>0.97439319999999896</v>
      </c>
      <c r="Q2053">
        <v>-0.12764229999999999</v>
      </c>
      <c r="R2053">
        <v>-0.18510969999999999</v>
      </c>
      <c r="S2053">
        <v>2.854492</v>
      </c>
      <c r="T2053">
        <v>-0.17455770000000001</v>
      </c>
      <c r="U2053">
        <v>-1.0589139999999999</v>
      </c>
      <c r="V2053">
        <v>4.9495789999999998E-2</v>
      </c>
      <c r="W2053">
        <v>-0.12526909999999999</v>
      </c>
      <c r="X2053">
        <v>0.99088739999999997</v>
      </c>
      <c r="Y2053">
        <v>0.21798680000000001</v>
      </c>
      <c r="Z2053">
        <v>6.2914980000000002E-4</v>
      </c>
      <c r="AA2053">
        <v>0.97595149999999997</v>
      </c>
      <c r="AB2053">
        <v>28</v>
      </c>
      <c r="AC2053">
        <v>17.697900000000001</v>
      </c>
      <c r="AD2053">
        <v>-1.099332261991</v>
      </c>
      <c r="AE2053">
        <v>-6.6226000000000003</v>
      </c>
      <c r="AF2053">
        <v>4.1609479183339397</v>
      </c>
      <c r="AG2053">
        <v>-1.099332261991</v>
      </c>
      <c r="AH2053">
        <v>18.367257839920299</v>
      </c>
      <c r="AI2053">
        <v>93.340773535268596</v>
      </c>
      <c r="AJ2053">
        <v>77.2355734185752</v>
      </c>
      <c r="AK2053">
        <v>18.864733752678699</v>
      </c>
      <c r="AL2053">
        <v>97.196296154303297</v>
      </c>
      <c r="AM2053">
        <v>87.140396802187595</v>
      </c>
      <c r="AN2053">
        <v>1.0000000100606401</v>
      </c>
    </row>
    <row r="2054" spans="1:40" x14ac:dyDescent="0.25">
      <c r="A2054" t="str">
        <f>"20190305135624320"</f>
        <v>20190305135624320</v>
      </c>
      <c r="B2054" t="str">
        <f>"1551765384314340"</f>
        <v>1551765384314340</v>
      </c>
      <c r="C2054" t="s">
        <v>40</v>
      </c>
      <c r="D2054">
        <v>4.6369429999999996</v>
      </c>
      <c r="E2054">
        <v>0.53050559999999902</v>
      </c>
      <c r="F2054" t="s">
        <v>55</v>
      </c>
      <c r="G2054">
        <v>-444.51920000000001</v>
      </c>
      <c r="H2054" s="1">
        <v>9.781359E-7</v>
      </c>
      <c r="I2054">
        <v>212.09950000000001</v>
      </c>
      <c r="J2054">
        <v>-467.7165</v>
      </c>
      <c r="K2054">
        <v>1.0995349999999999</v>
      </c>
      <c r="L2054">
        <v>218.66120000000001</v>
      </c>
      <c r="M2054">
        <v>0.98935700000000004</v>
      </c>
      <c r="N2054">
        <v>-3.3597589999999999E-3</v>
      </c>
      <c r="O2054">
        <v>-0.14546999999999999</v>
      </c>
      <c r="P2054">
        <v>0.97490390000000005</v>
      </c>
      <c r="Q2054">
        <v>-0.1244503</v>
      </c>
      <c r="R2054">
        <v>-0.1845928</v>
      </c>
      <c r="S2054">
        <v>2.9056090000000001</v>
      </c>
      <c r="T2054">
        <v>-0.13599710000000001</v>
      </c>
      <c r="U2054">
        <v>-0.81794739999999999</v>
      </c>
      <c r="V2054">
        <v>3.8428869999999997E-2</v>
      </c>
      <c r="W2054">
        <v>-0.1218949</v>
      </c>
      <c r="X2054">
        <v>0.99179879999999998</v>
      </c>
      <c r="Y2054">
        <v>0.12805</v>
      </c>
      <c r="Z2054">
        <v>2.9840800000000001E-3</v>
      </c>
      <c r="AA2054">
        <v>0.99176319999999996</v>
      </c>
      <c r="AB2054">
        <v>28</v>
      </c>
      <c r="AC2054">
        <v>23.197299999999899</v>
      </c>
      <c r="AD2054">
        <v>-1.0995340218641001</v>
      </c>
      <c r="AE2054">
        <v>-6.5617000000000001</v>
      </c>
      <c r="AF2054">
        <v>3.1108986426763301</v>
      </c>
      <c r="AG2054">
        <v>-1.0995340218641001</v>
      </c>
      <c r="AH2054">
        <v>23.855450481827599</v>
      </c>
      <c r="AI2054">
        <v>92.616856124466395</v>
      </c>
      <c r="AJ2054">
        <v>82.570202311050195</v>
      </c>
      <c r="AK2054">
        <v>24.082549348463299</v>
      </c>
      <c r="AL2054">
        <v>97.001475268481698</v>
      </c>
      <c r="AM2054">
        <v>87.781091091972201</v>
      </c>
      <c r="AN2054">
        <v>1.0000000021884601</v>
      </c>
    </row>
    <row r="2055" spans="1:40" x14ac:dyDescent="0.25">
      <c r="A2055" t="str">
        <f>"20190305135624364"</f>
        <v>20190305135624364</v>
      </c>
      <c r="B2055" t="str">
        <f>"1551765384354355"</f>
        <v>1551765384354355</v>
      </c>
      <c r="C2055" t="s">
        <v>40</v>
      </c>
      <c r="D2055">
        <v>4.7572299999999998</v>
      </c>
      <c r="E2055">
        <v>0.53052349999999904</v>
      </c>
      <c r="F2055" t="s">
        <v>61</v>
      </c>
      <c r="G2055">
        <v>-435.1825</v>
      </c>
      <c r="H2055" s="1">
        <v>4.9197779999999997E-6</v>
      </c>
      <c r="I2055">
        <v>209.98859999999999</v>
      </c>
      <c r="J2055">
        <v>-467.15559999999999</v>
      </c>
      <c r="K2055">
        <v>1.099963</v>
      </c>
      <c r="L2055">
        <v>218.5565</v>
      </c>
      <c r="M2055">
        <v>0.98633890000000002</v>
      </c>
      <c r="N2055">
        <v>-3.232483E-3</v>
      </c>
      <c r="O2055">
        <v>-0.16469700000000001</v>
      </c>
      <c r="P2055">
        <v>0.97503019999999996</v>
      </c>
      <c r="Q2055">
        <v>-0.1147759</v>
      </c>
      <c r="R2055">
        <v>-0.19011130000000001</v>
      </c>
      <c r="S2055">
        <v>2.9174190000000002</v>
      </c>
      <c r="T2055">
        <v>-9.8598119999999997E-2</v>
      </c>
      <c r="U2055">
        <v>-0.77769469999999996</v>
      </c>
      <c r="V2055">
        <v>2.4847399999999999E-2</v>
      </c>
      <c r="W2055">
        <v>-0.1120476</v>
      </c>
      <c r="X2055">
        <v>0.99339219999999895</v>
      </c>
      <c r="Y2055">
        <v>9.49319E-2</v>
      </c>
      <c r="Z2055">
        <v>3.1609810000000002E-3</v>
      </c>
      <c r="AA2055">
        <v>0.99547870000000005</v>
      </c>
      <c r="AB2055">
        <v>29</v>
      </c>
      <c r="AC2055">
        <v>31.973099999999899</v>
      </c>
      <c r="AD2055">
        <v>-1.0999580802219999</v>
      </c>
      <c r="AE2055">
        <v>-8.5678999999999998</v>
      </c>
      <c r="AF2055">
        <v>3.18148295224709</v>
      </c>
      <c r="AG2055">
        <v>-1.0999580802219999</v>
      </c>
      <c r="AH2055">
        <v>32.911250157020199</v>
      </c>
      <c r="AI2055">
        <v>91.905348743665996</v>
      </c>
      <c r="AJ2055">
        <v>84.478456468821307</v>
      </c>
      <c r="AK2055">
        <v>33.082958278419603</v>
      </c>
      <c r="AL2055">
        <v>96.433363844866903</v>
      </c>
      <c r="AM2055">
        <v>88.567177829290401</v>
      </c>
      <c r="AN2055">
        <v>1.0000000604866699</v>
      </c>
    </row>
    <row r="2056" spans="1:40" x14ac:dyDescent="0.25">
      <c r="A2056" t="str">
        <f>"20190305135624386"</f>
        <v>20190305135624386</v>
      </c>
      <c r="B2056" t="str">
        <f>"1551765384383635"</f>
        <v>1551765384383635</v>
      </c>
      <c r="C2056" t="s">
        <v>40</v>
      </c>
      <c r="D2056">
        <v>4.7884180000000001</v>
      </c>
      <c r="E2056">
        <v>0.53077350000000001</v>
      </c>
      <c r="F2056" t="s">
        <v>61</v>
      </c>
      <c r="G2056">
        <v>-432.90350000000001</v>
      </c>
      <c r="H2056">
        <v>8.0001119999999995E-2</v>
      </c>
      <c r="I2056">
        <v>209.1738</v>
      </c>
      <c r="J2056">
        <v>-466.86090000000002</v>
      </c>
      <c r="K2056">
        <v>1.1001840000000001</v>
      </c>
      <c r="L2056">
        <v>218.49780000000001</v>
      </c>
      <c r="M2056">
        <v>0.98470780000000002</v>
      </c>
      <c r="N2056">
        <v>-3.166332E-3</v>
      </c>
      <c r="O2056">
        <v>-0.17418599999999901</v>
      </c>
      <c r="P2056">
        <v>0.97453650000000003</v>
      </c>
      <c r="Q2056">
        <v>-0.1133609</v>
      </c>
      <c r="R2056">
        <v>-0.19346369999999999</v>
      </c>
      <c r="S2056">
        <v>2.9111020000000001</v>
      </c>
      <c r="T2056">
        <v>-8.6686849999999996E-2</v>
      </c>
      <c r="U2056">
        <v>-0.79743960000000003</v>
      </c>
      <c r="V2056">
        <v>1.8761380000000001E-2</v>
      </c>
      <c r="W2056">
        <v>-0.1105718</v>
      </c>
      <c r="X2056">
        <v>0.99369099999999999</v>
      </c>
      <c r="Y2056">
        <v>9.2174820000000005E-2</v>
      </c>
      <c r="Z2056">
        <v>3.0001939999999999E-3</v>
      </c>
      <c r="AA2056">
        <v>0.99573829999999997</v>
      </c>
      <c r="AB2056">
        <v>29</v>
      </c>
      <c r="AC2056">
        <v>33.9574</v>
      </c>
      <c r="AD2056">
        <v>-1.0201828799999999</v>
      </c>
      <c r="AE2056">
        <v>-9.3240000000000105</v>
      </c>
      <c r="AF2056">
        <v>3.2637885208533</v>
      </c>
      <c r="AG2056">
        <v>-1.0201828799999999</v>
      </c>
      <c r="AH2056">
        <v>35.032995114344601</v>
      </c>
      <c r="AI2056">
        <v>91.660829915118399</v>
      </c>
      <c r="AJ2056">
        <v>84.677500810297502</v>
      </c>
      <c r="AK2056">
        <v>35.199486293115001</v>
      </c>
      <c r="AL2056">
        <v>96.348278641110198</v>
      </c>
      <c r="AM2056">
        <v>88.918355717092695</v>
      </c>
      <c r="AN2056">
        <v>0.999999957907871</v>
      </c>
    </row>
    <row r="2057" spans="1:40" x14ac:dyDescent="0.25">
      <c r="A2057" t="str">
        <f>"20190305135624411"</f>
        <v>20190305135624411</v>
      </c>
      <c r="B2057" t="str">
        <f>"1551765384404133"</f>
        <v>1551765384404133</v>
      </c>
      <c r="C2057" t="s">
        <v>40</v>
      </c>
      <c r="D2057">
        <v>4.7450340000000004</v>
      </c>
      <c r="E2057">
        <v>0.53055010000000002</v>
      </c>
      <c r="F2057" t="s">
        <v>61</v>
      </c>
      <c r="G2057">
        <v>-435.04570000000001</v>
      </c>
      <c r="H2057">
        <v>1.3130340000000001E-2</v>
      </c>
      <c r="I2057">
        <v>209.6163</v>
      </c>
      <c r="J2057">
        <v>-466.5498</v>
      </c>
      <c r="K2057">
        <v>1.100441</v>
      </c>
      <c r="L2057">
        <v>218.4331</v>
      </c>
      <c r="M2057">
        <v>0.98298459999999999</v>
      </c>
      <c r="N2057">
        <v>-3.096966E-3</v>
      </c>
      <c r="O2057">
        <v>-0.1836624</v>
      </c>
      <c r="P2057">
        <v>0.97346750000000004</v>
      </c>
      <c r="Q2057">
        <v>-0.1172863</v>
      </c>
      <c r="R2057">
        <v>-0.19648260000000001</v>
      </c>
      <c r="S2057">
        <v>2.9057919999999999</v>
      </c>
      <c r="T2057">
        <v>-9.9284170000000005E-2</v>
      </c>
      <c r="U2057">
        <v>-0.81117249999999996</v>
      </c>
      <c r="V2057">
        <v>1.236832E-2</v>
      </c>
      <c r="W2057">
        <v>-0.114442</v>
      </c>
      <c r="X2057">
        <v>0.99335289999999998</v>
      </c>
      <c r="Y2057">
        <v>8.7432350000000006E-2</v>
      </c>
      <c r="Z2057">
        <v>3.923986E-3</v>
      </c>
      <c r="AA2057">
        <v>0.99616269999999996</v>
      </c>
      <c r="AB2057">
        <v>29</v>
      </c>
      <c r="AC2057">
        <v>31.504099999999902</v>
      </c>
      <c r="AD2057">
        <v>-1.08731066</v>
      </c>
      <c r="AE2057">
        <v>-8.8168000000000006</v>
      </c>
      <c r="AF2057">
        <v>2.8774949207603302</v>
      </c>
      <c r="AG2057">
        <v>-1.08731066</v>
      </c>
      <c r="AH2057">
        <v>32.551554881785599</v>
      </c>
      <c r="AI2057">
        <v>91.905698131002694</v>
      </c>
      <c r="AJ2057">
        <v>84.948294227980796</v>
      </c>
      <c r="AK2057">
        <v>32.6965739292705</v>
      </c>
      <c r="AL2057">
        <v>96.571441748558897</v>
      </c>
      <c r="AM2057">
        <v>89.286642321782494</v>
      </c>
      <c r="AN2057">
        <v>0.99999996532101498</v>
      </c>
    </row>
    <row r="2058" spans="1:40" x14ac:dyDescent="0.25">
      <c r="A2058" t="str">
        <f>"20190305135624455"</f>
        <v>20190305135624455</v>
      </c>
      <c r="B2058" t="str">
        <f>"1551765384444148"</f>
        <v>1551765384444148</v>
      </c>
      <c r="C2058" t="s">
        <v>40</v>
      </c>
      <c r="D2058">
        <v>4.7803250000000004</v>
      </c>
      <c r="E2058">
        <v>0.53020909999999999</v>
      </c>
      <c r="F2058" t="s">
        <v>61</v>
      </c>
      <c r="G2058">
        <v>-439.86829999999998</v>
      </c>
      <c r="H2058" s="1">
        <v>6.9177260000000001E-6</v>
      </c>
      <c r="I2058">
        <v>210.90369999999999</v>
      </c>
      <c r="J2058">
        <v>-465.96289999999999</v>
      </c>
      <c r="K2058">
        <v>1.101029</v>
      </c>
      <c r="L2058">
        <v>218.30430000000001</v>
      </c>
      <c r="M2058">
        <v>0.97984470000000001</v>
      </c>
      <c r="N2058">
        <v>-2.9595680000000001E-3</v>
      </c>
      <c r="O2058">
        <v>-0.1997391</v>
      </c>
      <c r="P2058">
        <v>0.97151290000000001</v>
      </c>
      <c r="Q2058">
        <v>-0.12763859999999999</v>
      </c>
      <c r="R2058">
        <v>-0.19967840000000001</v>
      </c>
      <c r="S2058">
        <v>2.9020389999999998</v>
      </c>
      <c r="T2058">
        <v>-0.11968959999999999</v>
      </c>
      <c r="U2058">
        <v>-0.81893919999999998</v>
      </c>
      <c r="V2058">
        <v>-3.4898470000000001E-4</v>
      </c>
      <c r="W2058">
        <v>-0.12471260000000001</v>
      </c>
      <c r="X2058">
        <v>0.99219290000000004</v>
      </c>
      <c r="Y2058">
        <v>7.3952500000000004E-2</v>
      </c>
      <c r="Z2058">
        <v>5.7871709999999998E-3</v>
      </c>
      <c r="AA2058">
        <v>0.99724500000000005</v>
      </c>
      <c r="AB2058">
        <v>29</v>
      </c>
      <c r="AC2058">
        <v>26.0946</v>
      </c>
      <c r="AD2058">
        <v>-1.101022082274</v>
      </c>
      <c r="AE2058">
        <v>-7.4006000000000203</v>
      </c>
      <c r="AF2058">
        <v>2.0359807932720102</v>
      </c>
      <c r="AG2058">
        <v>-1.101022082274</v>
      </c>
      <c r="AH2058">
        <v>27.002468254153499</v>
      </c>
      <c r="AI2058">
        <v>92.328332661820696</v>
      </c>
      <c r="AJ2058">
        <v>85.688068444815499</v>
      </c>
      <c r="AK2058">
        <v>27.1014899817851</v>
      </c>
      <c r="AL2058">
        <v>97.164158723816001</v>
      </c>
      <c r="AM2058">
        <v>90.020152683616303</v>
      </c>
      <c r="AN2058">
        <v>1.0000000525997399</v>
      </c>
    </row>
    <row r="2059" spans="1:40" x14ac:dyDescent="0.25">
      <c r="A2059" t="str">
        <f>"20190305135624475"</f>
        <v>20190305135624475</v>
      </c>
      <c r="B2059" t="str">
        <f>"1551765384464644"</f>
        <v>1551765384464644</v>
      </c>
      <c r="C2059" t="s">
        <v>40</v>
      </c>
      <c r="D2059">
        <v>4.747611</v>
      </c>
      <c r="E2059">
        <v>0.52962819999999899</v>
      </c>
      <c r="F2059" t="s">
        <v>41</v>
      </c>
      <c r="G2059">
        <v>-465.06810000000002</v>
      </c>
      <c r="H2059">
        <v>1.0517860000000001</v>
      </c>
      <c r="I2059">
        <v>218.0489</v>
      </c>
      <c r="J2059">
        <v>-465.69600000000003</v>
      </c>
      <c r="K2059">
        <v>1.1012999999999999</v>
      </c>
      <c r="L2059">
        <v>218.2432</v>
      </c>
      <c r="M2059">
        <v>0.97846809999999995</v>
      </c>
      <c r="N2059">
        <v>-2.9047230000000001E-3</v>
      </c>
      <c r="O2059">
        <v>-0.2063788</v>
      </c>
      <c r="P2059">
        <v>0.97095949999999998</v>
      </c>
      <c r="Q2059">
        <v>-0.13009599999999999</v>
      </c>
      <c r="R2059">
        <v>-0.20078090000000001</v>
      </c>
      <c r="S2059">
        <v>2.8972169999999999</v>
      </c>
      <c r="T2059">
        <v>-0.15926660000000001</v>
      </c>
      <c r="U2059">
        <v>-0.82637019999999906</v>
      </c>
      <c r="V2059">
        <v>-5.8262790000000002E-3</v>
      </c>
      <c r="W2059">
        <v>-0.1271427</v>
      </c>
      <c r="X2059">
        <v>0.99186730000000001</v>
      </c>
      <c r="Y2059">
        <v>7.0069800000000002E-2</v>
      </c>
      <c r="Z2059">
        <v>8.3900940000000007E-3</v>
      </c>
      <c r="AA2059">
        <v>0.99750680000000003</v>
      </c>
      <c r="AB2059">
        <v>30</v>
      </c>
      <c r="AC2059">
        <v>0.62789999999995405</v>
      </c>
      <c r="AD2059">
        <v>-4.9513999999999801E-2</v>
      </c>
      <c r="AE2059">
        <v>-0.194299999999998</v>
      </c>
      <c r="AF2059">
        <v>6.0189771097505701E-2</v>
      </c>
      <c r="AG2059">
        <v>-4.9513999999999801E-2</v>
      </c>
      <c r="AH2059">
        <v>0.65078893977878605</v>
      </c>
      <c r="AI2059">
        <v>94.332435419334601</v>
      </c>
      <c r="AJ2059">
        <v>84.715895224838903</v>
      </c>
      <c r="AK2059">
        <v>0.65543930983666698</v>
      </c>
      <c r="AL2059">
        <v>97.304511067861895</v>
      </c>
      <c r="AM2059">
        <v>90.336554454011704</v>
      </c>
      <c r="AN2059">
        <v>0.99999997624978199</v>
      </c>
    </row>
    <row r="2060" spans="1:40" x14ac:dyDescent="0.25">
      <c r="A2060" t="str">
        <f>"20190305135624520"</f>
        <v>20190305135624520</v>
      </c>
      <c r="B2060" t="str">
        <f>"1551765384514420"</f>
        <v>1551765384514420</v>
      </c>
      <c r="C2060" t="s">
        <v>40</v>
      </c>
      <c r="D2060">
        <v>4.7843200000000001</v>
      </c>
      <c r="E2060">
        <v>0.52888489999999999</v>
      </c>
      <c r="F2060" t="s">
        <v>41</v>
      </c>
      <c r="G2060">
        <v>-464.80669999999998</v>
      </c>
      <c r="H2060">
        <v>1.0487390000000001</v>
      </c>
      <c r="I2060">
        <v>217.98949999999999</v>
      </c>
      <c r="J2060">
        <v>-465.11340000000001</v>
      </c>
      <c r="K2060">
        <v>1.1019479999999999</v>
      </c>
      <c r="L2060">
        <v>218.10499999999999</v>
      </c>
      <c r="M2060">
        <v>0.97564779999999995</v>
      </c>
      <c r="N2060">
        <v>-2.796195E-3</v>
      </c>
      <c r="O2060">
        <v>-0.21932550000000001</v>
      </c>
      <c r="P2060">
        <v>0.97075690000000003</v>
      </c>
      <c r="Q2060">
        <v>-0.13251060000000001</v>
      </c>
      <c r="R2060">
        <v>-0.20018050000000001</v>
      </c>
      <c r="S2060">
        <v>2.8959959999999998</v>
      </c>
      <c r="T2060">
        <v>-0.17104610000000001</v>
      </c>
      <c r="U2060">
        <v>-0.82591250000000005</v>
      </c>
      <c r="V2060">
        <v>-1.9328999999999999E-2</v>
      </c>
      <c r="W2060">
        <v>-0.12949349999999901</v>
      </c>
      <c r="X2060">
        <v>0.99139180000000005</v>
      </c>
      <c r="Y2060">
        <v>5.687789E-2</v>
      </c>
      <c r="Z2060">
        <v>1.0180389999999999E-2</v>
      </c>
      <c r="AA2060">
        <v>0.99832920000000003</v>
      </c>
      <c r="AB2060">
        <v>30</v>
      </c>
      <c r="AC2060">
        <v>0.306700000000034</v>
      </c>
      <c r="AD2060">
        <v>-5.3208999999999999E-2</v>
      </c>
      <c r="AE2060">
        <v>-0.11549999999999699</v>
      </c>
      <c r="AF2060">
        <v>4.4253834482927301E-2</v>
      </c>
      <c r="AG2060">
        <v>-5.3208999999999999E-2</v>
      </c>
      <c r="AH2060">
        <v>0.31622874007901702</v>
      </c>
      <c r="AI2060">
        <v>99.460686264771695</v>
      </c>
      <c r="AJ2060">
        <v>82.033621869340806</v>
      </c>
      <c r="AK2060">
        <v>0.32371316871484301</v>
      </c>
      <c r="AL2060">
        <v>97.440325065501895</v>
      </c>
      <c r="AM2060">
        <v>91.1169447114288</v>
      </c>
      <c r="AN2060">
        <v>0.99999993894524297</v>
      </c>
    </row>
    <row r="2061" spans="1:40" x14ac:dyDescent="0.25">
      <c r="A2061" t="str">
        <f>"20190305135624542"</f>
        <v>20190305135624542</v>
      </c>
      <c r="B2061" t="str">
        <f>"1551765384533939"</f>
        <v>1551765384533939</v>
      </c>
      <c r="C2061" t="s">
        <v>40</v>
      </c>
      <c r="D2061">
        <v>4.7897720000000001</v>
      </c>
      <c r="E2061">
        <v>0.52877879999999999</v>
      </c>
      <c r="F2061" t="s">
        <v>41</v>
      </c>
      <c r="G2061">
        <v>-464.27550000000002</v>
      </c>
      <c r="H2061">
        <v>1.047679</v>
      </c>
      <c r="I2061">
        <v>217.8681</v>
      </c>
      <c r="J2061">
        <v>-464.803</v>
      </c>
      <c r="K2061">
        <v>1.102365</v>
      </c>
      <c r="L2061">
        <v>218.029</v>
      </c>
      <c r="M2061">
        <v>0.97428729999999997</v>
      </c>
      <c r="N2061">
        <v>-2.7382690000000002E-3</v>
      </c>
      <c r="O2061">
        <v>-0.2252923</v>
      </c>
      <c r="P2061">
        <v>0.97073419999999999</v>
      </c>
      <c r="Q2061">
        <v>-0.13392119999999999</v>
      </c>
      <c r="R2061">
        <v>-0.19935</v>
      </c>
      <c r="S2061">
        <v>2.8960569999999999</v>
      </c>
      <c r="T2061">
        <v>-0.1874672</v>
      </c>
      <c r="U2061">
        <v>-0.81799319999999998</v>
      </c>
      <c r="V2061">
        <v>-2.6088920000000002E-2</v>
      </c>
      <c r="W2061">
        <v>-0.1308966</v>
      </c>
      <c r="X2061">
        <v>0.99105270000000001</v>
      </c>
      <c r="Y2061">
        <v>4.830914E-2</v>
      </c>
      <c r="Z2061">
        <v>1.1873969999999999E-2</v>
      </c>
      <c r="AA2061">
        <v>0.99876180000000003</v>
      </c>
      <c r="AB2061">
        <v>30</v>
      </c>
      <c r="AC2061">
        <v>0.52750000000003106</v>
      </c>
      <c r="AD2061">
        <v>-5.4685999999999998E-2</v>
      </c>
      <c r="AE2061">
        <v>-0.16090000000002599</v>
      </c>
      <c r="AF2061">
        <v>3.7552046165024403E-2</v>
      </c>
      <c r="AG2061">
        <v>-5.4685999999999998E-2</v>
      </c>
      <c r="AH2061">
        <v>0.54483103775798702</v>
      </c>
      <c r="AI2061">
        <v>95.718242097648897</v>
      </c>
      <c r="AJ2061">
        <v>86.057169586945307</v>
      </c>
      <c r="AK2061">
        <v>0.548854784502809</v>
      </c>
      <c r="AL2061">
        <v>97.521406438177607</v>
      </c>
      <c r="AM2061">
        <v>91.507931785830806</v>
      </c>
      <c r="AN2061">
        <v>1.0000000029078</v>
      </c>
    </row>
    <row r="2062" spans="1:40" x14ac:dyDescent="0.25">
      <c r="A2062" t="str">
        <f>"20190305135624565"</f>
        <v>20190305135624565</v>
      </c>
      <c r="B2062" t="str">
        <f>"1551765384554436"</f>
        <v>1551765384554436</v>
      </c>
      <c r="C2062" t="s">
        <v>40</v>
      </c>
      <c r="D2062">
        <v>4.7498170000000002</v>
      </c>
      <c r="E2062">
        <v>0.52882200000000001</v>
      </c>
      <c r="F2062" t="s">
        <v>41</v>
      </c>
      <c r="G2062">
        <v>-464.0068</v>
      </c>
      <c r="H2062">
        <v>1.048878</v>
      </c>
      <c r="I2062">
        <v>217.8048</v>
      </c>
      <c r="J2062">
        <v>-464.5</v>
      </c>
      <c r="K2062">
        <v>1.1028089999999999</v>
      </c>
      <c r="L2062">
        <v>217.95349999999999</v>
      </c>
      <c r="M2062">
        <v>0.97306499999999996</v>
      </c>
      <c r="N2062">
        <v>-2.6860669999999999E-3</v>
      </c>
      <c r="O2062">
        <v>-0.23051550000000001</v>
      </c>
      <c r="P2062">
        <v>0.97134109999999996</v>
      </c>
      <c r="Q2062">
        <v>-0.13162750000000001</v>
      </c>
      <c r="R2062">
        <v>-0.19791610000000001</v>
      </c>
      <c r="S2062">
        <v>2.8963320000000001</v>
      </c>
      <c r="T2062">
        <v>-0.1944351</v>
      </c>
      <c r="U2062">
        <v>-0.81475830000000005</v>
      </c>
      <c r="V2062">
        <v>-3.2781299999999999E-2</v>
      </c>
      <c r="W2062">
        <v>-0.1286031</v>
      </c>
      <c r="X2062">
        <v>0.99115419999999999</v>
      </c>
      <c r="Y2062">
        <v>4.1939280000000002E-2</v>
      </c>
      <c r="Z2062">
        <v>1.2889100000000001E-2</v>
      </c>
      <c r="AA2062">
        <v>0.99903699999999995</v>
      </c>
      <c r="AB2062">
        <v>30</v>
      </c>
      <c r="AC2062">
        <v>0.49320000000000103</v>
      </c>
      <c r="AD2062">
        <v>-5.3930999999999903E-2</v>
      </c>
      <c r="AE2062">
        <v>-0.14869999999999001</v>
      </c>
      <c r="AF2062">
        <v>3.0668478038411599E-2</v>
      </c>
      <c r="AG2062">
        <v>-5.3930999999999903E-2</v>
      </c>
      <c r="AH2062">
        <v>0.50862022262833995</v>
      </c>
      <c r="AI2062">
        <v>96.0417883977277</v>
      </c>
      <c r="AJ2062">
        <v>86.549391182988202</v>
      </c>
      <c r="AK2062">
        <v>0.51239012399995998</v>
      </c>
      <c r="AL2062">
        <v>97.388878195282601</v>
      </c>
      <c r="AM2062">
        <v>91.894302352714007</v>
      </c>
      <c r="AN2062">
        <v>1.00000000956847</v>
      </c>
    </row>
    <row r="2063" spans="1:40" x14ac:dyDescent="0.25">
      <c r="A2063" t="str">
        <f>"20190305135624588"</f>
        <v>20190305135624588</v>
      </c>
      <c r="B2063" t="str">
        <f>"1551765384584253"</f>
        <v>1551765384584253</v>
      </c>
      <c r="C2063" t="s">
        <v>40</v>
      </c>
      <c r="D2063">
        <v>4.7469929999999998</v>
      </c>
      <c r="E2063">
        <v>0.52877510000000005</v>
      </c>
      <c r="F2063" t="s">
        <v>41</v>
      </c>
      <c r="G2063">
        <v>-463.73309999999998</v>
      </c>
      <c r="H2063">
        <v>1.0531239999999999</v>
      </c>
      <c r="I2063">
        <v>217.7388</v>
      </c>
      <c r="J2063">
        <v>-464.20490000000001</v>
      </c>
      <c r="K2063">
        <v>1.103256</v>
      </c>
      <c r="L2063">
        <v>217.87889999999999</v>
      </c>
      <c r="M2063">
        <v>0.97199709999999995</v>
      </c>
      <c r="N2063">
        <v>-2.6395720000000002E-3</v>
      </c>
      <c r="O2063">
        <v>-0.23497860000000001</v>
      </c>
      <c r="P2063">
        <v>0.97212770000000004</v>
      </c>
      <c r="Q2063">
        <v>-0.1272055</v>
      </c>
      <c r="R2063">
        <v>-0.19694410000000001</v>
      </c>
      <c r="S2063">
        <v>2.897888</v>
      </c>
      <c r="T2063">
        <v>-0.18770590000000001</v>
      </c>
      <c r="U2063">
        <v>-0.81077580000000005</v>
      </c>
      <c r="V2063">
        <v>-3.8276270000000001E-2</v>
      </c>
      <c r="W2063">
        <v>-0.1242028</v>
      </c>
      <c r="X2063">
        <v>0.99151829999999996</v>
      </c>
      <c r="Y2063">
        <v>3.5936120000000002E-2</v>
      </c>
      <c r="Z2063">
        <v>1.288797E-2</v>
      </c>
      <c r="AA2063">
        <v>0.99927100000000002</v>
      </c>
      <c r="AB2063">
        <v>31</v>
      </c>
      <c r="AC2063">
        <v>0.47180000000002997</v>
      </c>
      <c r="AD2063">
        <v>-5.0132000000000003E-2</v>
      </c>
      <c r="AE2063">
        <v>-0.14009999999998901</v>
      </c>
      <c r="AF2063">
        <v>2.5054023833372002E-2</v>
      </c>
      <c r="AG2063">
        <v>-5.0132000000000003E-2</v>
      </c>
      <c r="AH2063">
        <v>0.48646302148937098</v>
      </c>
      <c r="AI2063">
        <v>95.876060337007104</v>
      </c>
      <c r="AJ2063">
        <v>87.0517335002978</v>
      </c>
      <c r="AK2063">
        <v>0.48968070496070298</v>
      </c>
      <c r="AL2063">
        <v>97.134721016670099</v>
      </c>
      <c r="AM2063">
        <v>92.210731053704507</v>
      </c>
      <c r="AN2063">
        <v>0.99999997380392103</v>
      </c>
    </row>
    <row r="2064" spans="1:40" x14ac:dyDescent="0.25">
      <c r="A2064" t="str">
        <f>"20190305135624624"</f>
        <v>20190305135624624</v>
      </c>
      <c r="B2064" t="str">
        <f>"1551765384614510"</f>
        <v>1551765384614510</v>
      </c>
      <c r="C2064" t="s">
        <v>40</v>
      </c>
      <c r="D2064">
        <v>4.715122</v>
      </c>
      <c r="E2064">
        <v>0.52878309999999995</v>
      </c>
      <c r="F2064" t="s">
        <v>55</v>
      </c>
      <c r="G2064">
        <v>-446.08199999999999</v>
      </c>
      <c r="H2064" s="1">
        <v>1.7779069999999999E-6</v>
      </c>
      <c r="I2064">
        <v>212.82820000000001</v>
      </c>
      <c r="J2064">
        <v>-463.71679999999998</v>
      </c>
      <c r="K2064">
        <v>1.1040369999999999</v>
      </c>
      <c r="L2064">
        <v>217.75380000000001</v>
      </c>
      <c r="M2064">
        <v>0.97053639999999997</v>
      </c>
      <c r="N2064">
        <v>-2.5714790000000002E-3</v>
      </c>
      <c r="O2064">
        <v>-0.24094099999999999</v>
      </c>
      <c r="P2064">
        <v>0.97261909999999896</v>
      </c>
      <c r="Q2064">
        <v>-0.1239586</v>
      </c>
      <c r="R2064">
        <v>-0.19658729999999999</v>
      </c>
      <c r="S2064">
        <v>2.8992309999999999</v>
      </c>
      <c r="T2064">
        <v>-0.1764944</v>
      </c>
      <c r="U2064">
        <v>-0.80799869999999996</v>
      </c>
      <c r="V2064">
        <v>-4.4567450000000002E-2</v>
      </c>
      <c r="W2064">
        <v>-0.1210387</v>
      </c>
      <c r="X2064">
        <v>0.99164680000000005</v>
      </c>
      <c r="Y2064">
        <v>2.8773420000000001E-2</v>
      </c>
      <c r="Z2064">
        <v>1.2643079999999999E-2</v>
      </c>
      <c r="AA2064">
        <v>0.99950600000000001</v>
      </c>
      <c r="AB2064">
        <v>31</v>
      </c>
      <c r="AC2064">
        <v>17.634799999999899</v>
      </c>
      <c r="AD2064">
        <v>-1.1040352220929901</v>
      </c>
      <c r="AE2064">
        <v>-4.9256000000000002</v>
      </c>
      <c r="AF2064">
        <v>0.52960394641539299</v>
      </c>
      <c r="AG2064">
        <v>-1.1040352220929901</v>
      </c>
      <c r="AH2064">
        <v>18.235752502201901</v>
      </c>
      <c r="AI2064">
        <v>93.463135365851102</v>
      </c>
      <c r="AJ2064">
        <v>88.336479720100897</v>
      </c>
      <c r="AK2064">
        <v>18.276817103457699</v>
      </c>
      <c r="AL2064">
        <v>96.952052684431607</v>
      </c>
      <c r="AM2064">
        <v>92.573304943486093</v>
      </c>
      <c r="AN2064">
        <v>1.0000000002237099</v>
      </c>
    </row>
    <row r="2065" spans="1:40" x14ac:dyDescent="0.25">
      <c r="A2065" t="str">
        <f>"20190305135624666"</f>
        <v>20190305135624666</v>
      </c>
      <c r="B2065" t="str">
        <f>"1551765384654525"</f>
        <v>1551765384654525</v>
      </c>
      <c r="C2065" t="s">
        <v>40</v>
      </c>
      <c r="D2065">
        <v>4.7316399999999996</v>
      </c>
      <c r="E2065">
        <v>0.52872010000000003</v>
      </c>
      <c r="F2065" t="s">
        <v>55</v>
      </c>
      <c r="G2065">
        <v>-444.80610000000001</v>
      </c>
      <c r="H2065" s="1">
        <v>1.1138480000000001E-6</v>
      </c>
      <c r="I2065">
        <v>212.48650000000001</v>
      </c>
      <c r="J2065">
        <v>-463.14800000000002</v>
      </c>
      <c r="K2065">
        <v>1.10483</v>
      </c>
      <c r="L2065">
        <v>217.6062</v>
      </c>
      <c r="M2065">
        <v>0.96925260000000002</v>
      </c>
      <c r="N2065">
        <v>-2.508129E-3</v>
      </c>
      <c r="O2065">
        <v>-0.24605550000000001</v>
      </c>
      <c r="P2065">
        <v>0.97295589999999998</v>
      </c>
      <c r="Q2065">
        <v>-0.1276265</v>
      </c>
      <c r="R2065">
        <v>-0.1925316</v>
      </c>
      <c r="S2065">
        <v>2.8996279999999999</v>
      </c>
      <c r="T2065">
        <v>-0.169284299999999</v>
      </c>
      <c r="U2065">
        <v>-0.80764769999999997</v>
      </c>
      <c r="V2065">
        <v>-5.3591199999999901E-2</v>
      </c>
      <c r="W2065">
        <v>-0.12480090000000001</v>
      </c>
      <c r="X2065">
        <v>0.99073339999999999</v>
      </c>
      <c r="Y2065">
        <v>2.3344070000000001E-2</v>
      </c>
      <c r="Z2065">
        <v>1.2545819999999999E-2</v>
      </c>
      <c r="AA2065">
        <v>0.99964869999999995</v>
      </c>
      <c r="AB2065">
        <v>31</v>
      </c>
      <c r="AC2065">
        <v>18.341899999999999</v>
      </c>
      <c r="AD2065">
        <v>-1.1048288861519999</v>
      </c>
      <c r="AE2065">
        <v>-5.1196999999999901</v>
      </c>
      <c r="AF2065">
        <v>0.447651717595767</v>
      </c>
      <c r="AG2065">
        <v>-1.1048288861519999</v>
      </c>
      <c r="AH2065">
        <v>18.973855934648299</v>
      </c>
      <c r="AI2065">
        <v>93.331588590675295</v>
      </c>
      <c r="AJ2065">
        <v>88.648466772423205</v>
      </c>
      <c r="AK2065">
        <v>19.011266342796102</v>
      </c>
      <c r="AL2065">
        <v>97.169258332771506</v>
      </c>
      <c r="AM2065">
        <v>93.096251749515801</v>
      </c>
      <c r="AN2065">
        <v>0.99999997561690401</v>
      </c>
    </row>
    <row r="2066" spans="1:40" x14ac:dyDescent="0.25">
      <c r="A2066" t="str">
        <f>"20190305135624688"</f>
        <v>20190305135624688</v>
      </c>
      <c r="B2066" t="str">
        <f>"1551765384684499"</f>
        <v>1551765384684499</v>
      </c>
      <c r="C2066" t="s">
        <v>40</v>
      </c>
      <c r="D2066">
        <v>4.7528990000000002</v>
      </c>
      <c r="E2066">
        <v>0.52851719999999902</v>
      </c>
      <c r="F2066" t="s">
        <v>55</v>
      </c>
      <c r="G2066">
        <v>-445.63799999999998</v>
      </c>
      <c r="H2066" s="1">
        <v>1.542505E-6</v>
      </c>
      <c r="I2066">
        <v>212.8082</v>
      </c>
      <c r="J2066">
        <v>-462.83569999999997</v>
      </c>
      <c r="K2066">
        <v>1.1052219999999999</v>
      </c>
      <c r="L2066">
        <v>217.52459999999999</v>
      </c>
      <c r="M2066">
        <v>0.96872959999999997</v>
      </c>
      <c r="N2066">
        <v>-2.4795049999999999E-3</v>
      </c>
      <c r="O2066">
        <v>-0.2481062</v>
      </c>
      <c r="P2066">
        <v>0.97316239999999998</v>
      </c>
      <c r="Q2066">
        <v>-0.12959769999999901</v>
      </c>
      <c r="R2066">
        <v>-0.1901552</v>
      </c>
      <c r="S2066">
        <v>2.9019780000000002</v>
      </c>
      <c r="T2066">
        <v>-0.18310580000000001</v>
      </c>
      <c r="U2066">
        <v>-0.79518129999999998</v>
      </c>
      <c r="V2066">
        <v>-5.7927079999999999E-2</v>
      </c>
      <c r="W2066">
        <v>-0.12683069999999999</v>
      </c>
      <c r="X2066">
        <v>0.99023150000000004</v>
      </c>
      <c r="Y2066">
        <v>1.7098929999999998E-2</v>
      </c>
      <c r="Z2066">
        <v>1.3944649999999999E-2</v>
      </c>
      <c r="AA2066">
        <v>0.9997566</v>
      </c>
      <c r="AB2066">
        <v>31</v>
      </c>
      <c r="AC2066">
        <v>17.197699999999902</v>
      </c>
      <c r="AD2066">
        <v>-1.105220457495</v>
      </c>
      <c r="AE2066">
        <v>-4.7163999999999904</v>
      </c>
      <c r="AF2066">
        <v>0.300905408882428</v>
      </c>
      <c r="AG2066">
        <v>-1.105220457495</v>
      </c>
      <c r="AH2066">
        <v>17.761918534460101</v>
      </c>
      <c r="AI2066">
        <v>93.560081603556497</v>
      </c>
      <c r="AJ2066">
        <v>89.029442632183304</v>
      </c>
      <c r="AK2066">
        <v>17.798814745638499</v>
      </c>
      <c r="AL2066">
        <v>97.2864887223799</v>
      </c>
      <c r="AM2066">
        <v>93.347903016593705</v>
      </c>
      <c r="AN2066">
        <v>0.99999999832603303</v>
      </c>
    </row>
    <row r="2067" spans="1:40" x14ac:dyDescent="0.25">
      <c r="A2067" t="str">
        <f>"20190305135624710"</f>
        <v>20190305135624710</v>
      </c>
      <c r="B2067" t="str">
        <f>"1551765384704019"</f>
        <v>1551765384704019</v>
      </c>
      <c r="C2067" t="s">
        <v>40</v>
      </c>
      <c r="D2067">
        <v>4.6844299999999999</v>
      </c>
      <c r="E2067">
        <v>0.52877030000000003</v>
      </c>
      <c r="F2067" t="s">
        <v>55</v>
      </c>
      <c r="G2067">
        <v>-446.14409999999998</v>
      </c>
      <c r="H2067" s="1">
        <v>1.8033519999999999E-6</v>
      </c>
      <c r="I2067">
        <v>213.00229999999999</v>
      </c>
      <c r="J2067">
        <v>-462.5299</v>
      </c>
      <c r="K2067">
        <v>1.1056490000000001</v>
      </c>
      <c r="L2067">
        <v>217.44450000000001</v>
      </c>
      <c r="M2067">
        <v>0.96836849999999997</v>
      </c>
      <c r="N2067">
        <v>-2.4564970000000002E-3</v>
      </c>
      <c r="O2067">
        <v>-0.24951290000000001</v>
      </c>
      <c r="P2067">
        <v>0.97372429999999999</v>
      </c>
      <c r="Q2067">
        <v>-0.1302924</v>
      </c>
      <c r="R2067">
        <v>-0.1867762</v>
      </c>
      <c r="S2067">
        <v>2.9034119999999999</v>
      </c>
      <c r="T2067">
        <v>-0.19224749999999999</v>
      </c>
      <c r="U2067">
        <v>-0.78662109999999996</v>
      </c>
      <c r="V2067">
        <v>-6.2646779999999999E-2</v>
      </c>
      <c r="W2067">
        <v>-0.12758900000000001</v>
      </c>
      <c r="X2067">
        <v>0.98984660000000002</v>
      </c>
      <c r="Y2067">
        <v>1.282878E-2</v>
      </c>
      <c r="Z2067">
        <v>1.490503E-2</v>
      </c>
      <c r="AA2067">
        <v>0.99980659999999999</v>
      </c>
      <c r="AB2067">
        <v>32</v>
      </c>
      <c r="AC2067">
        <v>16.3858</v>
      </c>
      <c r="AD2067">
        <v>-1.1056471966479999</v>
      </c>
      <c r="AE2067">
        <v>-4.4422000000000104</v>
      </c>
      <c r="AF2067">
        <v>0.212318185818721</v>
      </c>
      <c r="AG2067">
        <v>-1.1056471966479999</v>
      </c>
      <c r="AH2067">
        <v>16.904231981337599</v>
      </c>
      <c r="AI2067">
        <v>93.741893653487196</v>
      </c>
      <c r="AJ2067">
        <v>89.280399349608999</v>
      </c>
      <c r="AK2067">
        <v>16.9416821365046</v>
      </c>
      <c r="AL2067">
        <v>97.330292469159403</v>
      </c>
      <c r="AM2067">
        <v>93.621384447049806</v>
      </c>
      <c r="AN2067">
        <v>0.99999993174846102</v>
      </c>
    </row>
    <row r="2068" spans="1:40" x14ac:dyDescent="0.25">
      <c r="A2068" t="str">
        <f>"20190305135624732"</f>
        <v>20190305135624732</v>
      </c>
      <c r="B2068" t="str">
        <f>"1551765384724515"</f>
        <v>1551765384724515</v>
      </c>
      <c r="C2068" t="s">
        <v>40</v>
      </c>
      <c r="D2068">
        <v>4.7546210000000002</v>
      </c>
      <c r="E2068">
        <v>0.52868499999999996</v>
      </c>
      <c r="F2068" t="s">
        <v>41</v>
      </c>
      <c r="G2068">
        <v>-461.55829999999997</v>
      </c>
      <c r="H2068">
        <v>1.040856</v>
      </c>
      <c r="I2068">
        <v>217.18379999999999</v>
      </c>
      <c r="J2068">
        <v>-462.2253</v>
      </c>
      <c r="K2068">
        <v>1.1061460000000001</v>
      </c>
      <c r="L2068">
        <v>217.36490000000001</v>
      </c>
      <c r="M2068">
        <v>0.96818720000000003</v>
      </c>
      <c r="N2068">
        <v>-2.4409240000000001E-3</v>
      </c>
      <c r="O2068">
        <v>-0.25021569999999999</v>
      </c>
      <c r="P2068">
        <v>0.97428760000000003</v>
      </c>
      <c r="Q2068">
        <v>-0.13142670000000001</v>
      </c>
      <c r="R2068">
        <v>-0.18300669999999999</v>
      </c>
      <c r="S2068">
        <v>2.9057010000000001</v>
      </c>
      <c r="T2068">
        <v>-0.19392780000000001</v>
      </c>
      <c r="U2068">
        <v>-0.77854919999999905</v>
      </c>
      <c r="V2068">
        <v>-6.7002450000000005E-2</v>
      </c>
      <c r="W2068">
        <v>-0.12880230000000001</v>
      </c>
      <c r="X2068">
        <v>0.98940419999999996</v>
      </c>
      <c r="Y2068">
        <v>9.33113E-3</v>
      </c>
      <c r="Z2068">
        <v>1.5200709999999999E-2</v>
      </c>
      <c r="AA2068">
        <v>0.99984090000000003</v>
      </c>
      <c r="AB2068">
        <v>32</v>
      </c>
      <c r="AC2068">
        <v>0.66700000000003001</v>
      </c>
      <c r="AD2068">
        <v>-6.5289999999999807E-2</v>
      </c>
      <c r="AE2068">
        <v>-0.181100000000014</v>
      </c>
      <c r="AF2068">
        <v>8.3701601003841296E-3</v>
      </c>
      <c r="AG2068">
        <v>-6.5289999999999807E-2</v>
      </c>
      <c r="AH2068">
        <v>0.68498420438503105</v>
      </c>
      <c r="AI2068">
        <v>95.444355260852603</v>
      </c>
      <c r="AJ2068">
        <v>89.299909432559105</v>
      </c>
      <c r="AK2068">
        <v>0.68813966891692901</v>
      </c>
      <c r="AL2068">
        <v>97.400387185563503</v>
      </c>
      <c r="AM2068">
        <v>93.874154984377398</v>
      </c>
      <c r="AN2068">
        <v>1.00000001588446</v>
      </c>
    </row>
    <row r="2069" spans="1:40" x14ac:dyDescent="0.25">
      <c r="A2069" t="str">
        <f>"20190305135624755"</f>
        <v>20190305135624755</v>
      </c>
      <c r="B2069" t="str">
        <f>"1551765384744035"</f>
        <v>1551765384744035</v>
      </c>
      <c r="C2069" t="s">
        <v>40</v>
      </c>
      <c r="D2069">
        <v>4.774178</v>
      </c>
      <c r="E2069">
        <v>0.52870240000000002</v>
      </c>
      <c r="F2069" t="s">
        <v>41</v>
      </c>
      <c r="G2069">
        <v>-461.27859999999998</v>
      </c>
      <c r="H2069">
        <v>1.0411999999999999</v>
      </c>
      <c r="I2069">
        <v>217.1147</v>
      </c>
      <c r="J2069">
        <v>-461.90199999999999</v>
      </c>
      <c r="K2069">
        <v>1.106684</v>
      </c>
      <c r="L2069">
        <v>217.2809</v>
      </c>
      <c r="M2069">
        <v>0.96815530000000005</v>
      </c>
      <c r="N2069">
        <v>-2.429751E-3</v>
      </c>
      <c r="O2069">
        <v>-0.25033860000000002</v>
      </c>
      <c r="P2069">
        <v>0.97475500000000004</v>
      </c>
      <c r="Q2069">
        <v>-0.13255899999999901</v>
      </c>
      <c r="R2069">
        <v>-0.17966849999999901</v>
      </c>
      <c r="S2069">
        <v>2.9081419999999998</v>
      </c>
      <c r="T2069">
        <v>-0.19983490000000001</v>
      </c>
      <c r="U2069">
        <v>-0.76696779999999998</v>
      </c>
      <c r="V2069">
        <v>-7.0309269999999993E-2</v>
      </c>
      <c r="W2069">
        <v>-0.13002849999999999</v>
      </c>
      <c r="X2069">
        <v>0.98901430000000001</v>
      </c>
      <c r="Y2069">
        <v>5.313038E-3</v>
      </c>
      <c r="Z2069">
        <v>1.582946E-2</v>
      </c>
      <c r="AA2069">
        <v>0.99986059999999999</v>
      </c>
      <c r="AB2069">
        <v>32</v>
      </c>
      <c r="AC2069">
        <v>0.62340000000000295</v>
      </c>
      <c r="AD2069">
        <v>-6.5484000000000098E-2</v>
      </c>
      <c r="AE2069">
        <v>-0.16620000000000301</v>
      </c>
      <c r="AF2069">
        <v>4.7969246139969099E-3</v>
      </c>
      <c r="AG2069">
        <v>-6.5484000000000098E-2</v>
      </c>
      <c r="AH2069">
        <v>0.63857764745158196</v>
      </c>
      <c r="AI2069">
        <v>95.854860126558705</v>
      </c>
      <c r="AJ2069">
        <v>89.569608540749002</v>
      </c>
      <c r="AK2069">
        <v>0.64194437186297504</v>
      </c>
      <c r="AL2069">
        <v>97.471238887269706</v>
      </c>
      <c r="AM2069">
        <v>94.066330103564695</v>
      </c>
      <c r="AN2069">
        <v>1.0000000449323301</v>
      </c>
    </row>
    <row r="2070" spans="1:40" x14ac:dyDescent="0.25">
      <c r="A2070" t="str">
        <f>"20190305135624790"</f>
        <v>20190305135624790</v>
      </c>
      <c r="B2070" t="str">
        <f>"1551765384784051"</f>
        <v>1551765384784051</v>
      </c>
      <c r="C2070" t="s">
        <v>40</v>
      </c>
      <c r="D2070">
        <v>4.6928809999999999</v>
      </c>
      <c r="E2070">
        <v>0.52878840000000005</v>
      </c>
      <c r="F2070" t="s">
        <v>41</v>
      </c>
      <c r="G2070">
        <v>-460.99700000000001</v>
      </c>
      <c r="H2070">
        <v>1.0425979999999999</v>
      </c>
      <c r="I2070">
        <v>217.04509999999999</v>
      </c>
      <c r="J2070">
        <v>-461.42290000000003</v>
      </c>
      <c r="K2070">
        <v>1.1075189999999999</v>
      </c>
      <c r="L2070">
        <v>217.1574</v>
      </c>
      <c r="M2070">
        <v>0.9684102</v>
      </c>
      <c r="N2070">
        <v>-2.4246440000000001E-3</v>
      </c>
      <c r="O2070">
        <v>-0.24935099999999999</v>
      </c>
      <c r="P2070">
        <v>0.97608439999999996</v>
      </c>
      <c r="Q2070">
        <v>-0.1297751</v>
      </c>
      <c r="R2070">
        <v>-0.17440700000000001</v>
      </c>
      <c r="S2070">
        <v>2.9099729999999999</v>
      </c>
      <c r="T2070">
        <v>-0.20602290000000001</v>
      </c>
      <c r="U2070">
        <v>-0.75802609999999904</v>
      </c>
      <c r="V2070">
        <v>-7.446411E-2</v>
      </c>
      <c r="W2070">
        <v>-0.12739259999999999</v>
      </c>
      <c r="X2070">
        <v>0.98905319999999997</v>
      </c>
      <c r="Y2070">
        <v>3.337212E-3</v>
      </c>
      <c r="Z2070">
        <v>1.6344060000000001E-2</v>
      </c>
      <c r="AA2070">
        <v>0.99986090000000005</v>
      </c>
      <c r="AB2070">
        <v>32</v>
      </c>
      <c r="AC2070">
        <v>0.425900000000069</v>
      </c>
      <c r="AD2070">
        <v>-6.4921000000000201E-2</v>
      </c>
      <c r="AE2070">
        <v>-0.11230000000000399</v>
      </c>
      <c r="AF2070">
        <v>2.4995780626842E-3</v>
      </c>
      <c r="AG2070">
        <v>-6.4921000000000201E-2</v>
      </c>
      <c r="AH2070">
        <v>0.43108390266817198</v>
      </c>
      <c r="AI2070">
        <v>98.564211172241997</v>
      </c>
      <c r="AJ2070">
        <v>89.667782379043203</v>
      </c>
      <c r="AK2070">
        <v>0.43595219379091699</v>
      </c>
      <c r="AL2070">
        <v>97.318946453970796</v>
      </c>
      <c r="AM2070">
        <v>94.305577567659498</v>
      </c>
      <c r="AN2070">
        <v>1.0000000053215401</v>
      </c>
    </row>
    <row r="2071" spans="1:40" x14ac:dyDescent="0.25">
      <c r="A2071" t="str">
        <f>"20190305135624810"</f>
        <v>20190305135624810</v>
      </c>
      <c r="B2071" t="str">
        <f>"1551765384803571"</f>
        <v>1551765384803571</v>
      </c>
      <c r="C2071" t="s">
        <v>40</v>
      </c>
      <c r="D2071">
        <v>4.7747000000000002</v>
      </c>
      <c r="E2071">
        <v>0.52874940000000004</v>
      </c>
      <c r="F2071" t="s">
        <v>55</v>
      </c>
      <c r="G2071">
        <v>-445.4135</v>
      </c>
      <c r="H2071" s="1">
        <v>1.4115529999999999E-6</v>
      </c>
      <c r="I2071">
        <v>213.071</v>
      </c>
      <c r="J2071">
        <v>-461.13040000000001</v>
      </c>
      <c r="K2071">
        <v>1.1080650000000001</v>
      </c>
      <c r="L2071">
        <v>217.0831</v>
      </c>
      <c r="M2071">
        <v>0.96878070000000005</v>
      </c>
      <c r="N2071">
        <v>-2.4318159999999998E-3</v>
      </c>
      <c r="O2071">
        <v>-0.24790670000000001</v>
      </c>
      <c r="P2071">
        <v>0.97680599999999995</v>
      </c>
      <c r="Q2071">
        <v>-0.12978039999999999</v>
      </c>
      <c r="R2071">
        <v>-0.170313299999999</v>
      </c>
      <c r="S2071">
        <v>2.913818</v>
      </c>
      <c r="T2071">
        <v>-0.20157539999999999</v>
      </c>
      <c r="U2071">
        <v>-0.74374390000000001</v>
      </c>
      <c r="V2071">
        <v>-7.6966670000000001E-2</v>
      </c>
      <c r="W2071">
        <v>-0.1274933</v>
      </c>
      <c r="X2071">
        <v>0.98884859999999997</v>
      </c>
      <c r="Y2071">
        <v>-1.078915E-4</v>
      </c>
      <c r="Z2071">
        <v>1.5998890000000002E-2</v>
      </c>
      <c r="AA2071">
        <v>0.99987199999999998</v>
      </c>
      <c r="AB2071">
        <v>32</v>
      </c>
      <c r="AC2071">
        <v>15.716900000000001</v>
      </c>
      <c r="AD2071">
        <v>-1.10806358844699</v>
      </c>
      <c r="AE2071">
        <v>-4.0121000000000002</v>
      </c>
      <c r="AF2071">
        <v>-9.4357655039747305E-3</v>
      </c>
      <c r="AG2071">
        <v>-1.10806358844699</v>
      </c>
      <c r="AH2071">
        <v>16.145565180617599</v>
      </c>
      <c r="AI2071">
        <v>93.926029264075694</v>
      </c>
      <c r="AJ2071">
        <v>90.033484704453201</v>
      </c>
      <c r="AK2071">
        <v>16.183546241515899</v>
      </c>
      <c r="AL2071">
        <v>97.324763745678695</v>
      </c>
      <c r="AM2071">
        <v>94.450622934839899</v>
      </c>
      <c r="AN2071">
        <v>0.99999998177886895</v>
      </c>
    </row>
    <row r="2072" spans="1:40" x14ac:dyDescent="0.25">
      <c r="A2072" t="str">
        <f>"20190305135624835"</f>
        <v>20190305135624835</v>
      </c>
      <c r="B2072" t="str">
        <f>"1551765384824066"</f>
        <v>1551765384824066</v>
      </c>
      <c r="C2072" t="s">
        <v>40</v>
      </c>
      <c r="D2072">
        <v>4.8071229999999998</v>
      </c>
      <c r="E2072">
        <v>0.52879860000000001</v>
      </c>
      <c r="F2072" t="s">
        <v>41</v>
      </c>
      <c r="G2072">
        <v>-460.1506</v>
      </c>
      <c r="H2072">
        <v>1.0401879999999999</v>
      </c>
      <c r="I2072">
        <v>216.83699999999999</v>
      </c>
      <c r="J2072">
        <v>-460.77089999999998</v>
      </c>
      <c r="K2072">
        <v>1.1087419999999999</v>
      </c>
      <c r="L2072">
        <v>216.9932</v>
      </c>
      <c r="M2072">
        <v>0.96945979999999998</v>
      </c>
      <c r="N2072">
        <v>-2.451988E-3</v>
      </c>
      <c r="O2072">
        <v>-0.2452385</v>
      </c>
      <c r="P2072">
        <v>0.97762459999999995</v>
      </c>
      <c r="Q2072">
        <v>-0.1314621</v>
      </c>
      <c r="R2072">
        <v>-0.16421939999999999</v>
      </c>
      <c r="S2072">
        <v>2.9168090000000002</v>
      </c>
      <c r="T2072">
        <v>-0.2024261</v>
      </c>
      <c r="U2072">
        <v>-0.73135380000000005</v>
      </c>
      <c r="V2072">
        <v>-8.0133940000000001E-2</v>
      </c>
      <c r="W2072">
        <v>-0.12929599999999999</v>
      </c>
      <c r="X2072">
        <v>0.98836279999999999</v>
      </c>
      <c r="Y2072">
        <v>-1.5903309999999999E-3</v>
      </c>
      <c r="Z2072">
        <v>1.5941799999999999E-2</v>
      </c>
      <c r="AA2072">
        <v>0.99987170000000003</v>
      </c>
      <c r="AB2072">
        <v>33</v>
      </c>
      <c r="AC2072">
        <v>0.62029999999998597</v>
      </c>
      <c r="AD2072">
        <v>-6.8554000000000198E-2</v>
      </c>
      <c r="AE2072">
        <v>-0.15619999999998399</v>
      </c>
      <c r="AF2072">
        <v>-6.8396688054400603E-4</v>
      </c>
      <c r="AG2072">
        <v>-6.8554000000000198E-2</v>
      </c>
      <c r="AH2072">
        <v>0.63240038998414705</v>
      </c>
      <c r="AI2072">
        <v>96.186862941699999</v>
      </c>
      <c r="AJ2072">
        <v>90.061967704199105</v>
      </c>
      <c r="AK2072">
        <v>0.63610562957640504</v>
      </c>
      <c r="AL2072">
        <v>97.428913022111502</v>
      </c>
      <c r="AM2072">
        <v>94.635256999238507</v>
      </c>
      <c r="AN2072">
        <v>0.99999996418988102</v>
      </c>
    </row>
    <row r="2073" spans="1:40" x14ac:dyDescent="0.25">
      <c r="A2073" t="str">
        <f>"20190305135624862"</f>
        <v>20190305135624862</v>
      </c>
      <c r="B2073" t="str">
        <f>"1551765384854323"</f>
        <v>1551765384854323</v>
      </c>
      <c r="C2073" t="s">
        <v>40</v>
      </c>
      <c r="D2073">
        <v>4.9558780000000002</v>
      </c>
      <c r="E2073">
        <v>0.52883979999999997</v>
      </c>
      <c r="F2073" t="s">
        <v>41</v>
      </c>
      <c r="G2073">
        <v>-459.86099999999999</v>
      </c>
      <c r="H2073">
        <v>1.043844</v>
      </c>
      <c r="I2073">
        <v>216.77099999999999</v>
      </c>
      <c r="J2073">
        <v>-460.40339999999998</v>
      </c>
      <c r="K2073">
        <v>1.1093900000000001</v>
      </c>
      <c r="L2073">
        <v>216.9033</v>
      </c>
      <c r="M2073">
        <v>0.97033349999999996</v>
      </c>
      <c r="N2073">
        <v>-2.4844699999999999E-3</v>
      </c>
      <c r="O2073">
        <v>-0.241758</v>
      </c>
      <c r="P2073">
        <v>0.97847810000000002</v>
      </c>
      <c r="Q2073">
        <v>-0.13334209999999999</v>
      </c>
      <c r="R2073">
        <v>-0.15748190000000001</v>
      </c>
      <c r="S2073">
        <v>2.9208370000000001</v>
      </c>
      <c r="T2073">
        <v>-0.20825979999999999</v>
      </c>
      <c r="U2073">
        <v>-0.71347050000000001</v>
      </c>
      <c r="V2073">
        <v>-8.3116560000000006E-2</v>
      </c>
      <c r="W2073">
        <v>-0.131288299999999</v>
      </c>
      <c r="X2073">
        <v>0.9878538</v>
      </c>
      <c r="Y2073">
        <v>-4.0677409999999997E-3</v>
      </c>
      <c r="Z2073">
        <v>1.6265680000000001E-2</v>
      </c>
      <c r="AA2073">
        <v>0.99985950000000001</v>
      </c>
      <c r="AB2073">
        <v>33</v>
      </c>
      <c r="AC2073">
        <v>0.542399999999986</v>
      </c>
      <c r="AD2073">
        <v>-6.5545999999999799E-2</v>
      </c>
      <c r="AE2073">
        <v>-0.13230000000001399</v>
      </c>
      <c r="AF2073">
        <v>-2.7169763900750602E-3</v>
      </c>
      <c r="AG2073">
        <v>-6.5545999999999799E-2</v>
      </c>
      <c r="AH2073">
        <v>0.55070459718033105</v>
      </c>
      <c r="AI2073">
        <v>96.787449224740499</v>
      </c>
      <c r="AJ2073">
        <v>90.282674264842697</v>
      </c>
      <c r="AK2073">
        <v>0.554598245067774</v>
      </c>
      <c r="AL2073">
        <v>97.544044161806397</v>
      </c>
      <c r="AM2073">
        <v>94.809454451360594</v>
      </c>
      <c r="AN2073">
        <v>1.00000005521878</v>
      </c>
    </row>
    <row r="2074" spans="1:40" x14ac:dyDescent="0.25">
      <c r="A2074" t="str">
        <f>"20190305135624903"</f>
        <v>20190305135624903</v>
      </c>
      <c r="B2074" t="str">
        <f>"1551765384894340"</f>
        <v>1551765384894340</v>
      </c>
      <c r="C2074" t="s">
        <v>40</v>
      </c>
      <c r="D2074">
        <v>4.8129580000000001</v>
      </c>
      <c r="E2074">
        <v>0.52900579999999997</v>
      </c>
      <c r="F2074" t="s">
        <v>55</v>
      </c>
      <c r="G2074">
        <v>-445.25959999999998</v>
      </c>
      <c r="H2074" s="1">
        <v>1.3192189999999999E-6</v>
      </c>
      <c r="I2074">
        <v>213.3092</v>
      </c>
      <c r="J2074">
        <v>-459.80709999999999</v>
      </c>
      <c r="K2074">
        <v>1.11039</v>
      </c>
      <c r="L2074">
        <v>216.76169999999999</v>
      </c>
      <c r="M2074">
        <v>0.97205280000000005</v>
      </c>
      <c r="N2074">
        <v>-2.6887690000000001E-3</v>
      </c>
      <c r="O2074">
        <v>-0.23474680000000001</v>
      </c>
      <c r="P2074">
        <v>0.98064629999999997</v>
      </c>
      <c r="Q2074">
        <v>-0.1304168</v>
      </c>
      <c r="R2074">
        <v>-0.14602889999999999</v>
      </c>
      <c r="S2074">
        <v>2.925049</v>
      </c>
      <c r="T2074">
        <v>-0.21427889999999999</v>
      </c>
      <c r="U2074">
        <v>-0.6941986</v>
      </c>
      <c r="V2074">
        <v>-8.7349620000000003E-2</v>
      </c>
      <c r="W2074">
        <v>-0.12838269999999999</v>
      </c>
      <c r="X2074">
        <v>0.98787040000000004</v>
      </c>
      <c r="Y2074">
        <v>-3.3961830000000001E-3</v>
      </c>
      <c r="Z2074">
        <v>1.6201199999999999E-2</v>
      </c>
      <c r="AA2074">
        <v>0.99986299999999995</v>
      </c>
      <c r="AB2074">
        <v>33</v>
      </c>
      <c r="AC2074">
        <v>14.547499999999999</v>
      </c>
      <c r="AD2074">
        <v>-1.1103886807809999</v>
      </c>
      <c r="AE2074">
        <v>-3.4524999999999801</v>
      </c>
      <c r="AF2074">
        <v>-5.8643553906793697E-2</v>
      </c>
      <c r="AG2074">
        <v>-1.1103886807809999</v>
      </c>
      <c r="AH2074">
        <v>14.869445154811601</v>
      </c>
      <c r="AI2074">
        <v>94.270652112521503</v>
      </c>
      <c r="AJ2074">
        <v>90.225967457339706</v>
      </c>
      <c r="AK2074">
        <v>14.910962453871701</v>
      </c>
      <c r="AL2074">
        <v>97.376144717318297</v>
      </c>
      <c r="AM2074">
        <v>95.053073971112497</v>
      </c>
      <c r="AN2074">
        <v>1.00000000048479</v>
      </c>
    </row>
    <row r="2075" spans="1:40" x14ac:dyDescent="0.25">
      <c r="A2075" t="str">
        <f>"20190305135624922"</f>
        <v>20190305135624922</v>
      </c>
      <c r="B2075" t="str">
        <f>"1551765384913859"</f>
        <v>1551765384913859</v>
      </c>
      <c r="C2075" t="s">
        <v>40</v>
      </c>
      <c r="D2075">
        <v>4.7237080000000002</v>
      </c>
      <c r="E2075">
        <v>0.529124699999999</v>
      </c>
      <c r="F2075" t="s">
        <v>55</v>
      </c>
      <c r="G2075">
        <v>-444.1857</v>
      </c>
      <c r="H2075" s="1">
        <v>7.5093149999999905E-7</v>
      </c>
      <c r="I2075">
        <v>213.2373</v>
      </c>
      <c r="J2075">
        <v>-459.51299999999998</v>
      </c>
      <c r="K2075">
        <v>1.1108309999999999</v>
      </c>
      <c r="L2075">
        <v>216.6942</v>
      </c>
      <c r="M2075">
        <v>0.97299899999999995</v>
      </c>
      <c r="N2075">
        <v>-2.8696569999999999E-3</v>
      </c>
      <c r="O2075">
        <v>-0.230792</v>
      </c>
      <c r="P2075">
        <v>0.98186249999999997</v>
      </c>
      <c r="Q2075">
        <v>-0.12813669999999999</v>
      </c>
      <c r="R2075">
        <v>-0.1397391</v>
      </c>
      <c r="S2075">
        <v>2.9329529999999999</v>
      </c>
      <c r="T2075">
        <v>-0.2084782</v>
      </c>
      <c r="U2075">
        <v>-0.66172790000000004</v>
      </c>
      <c r="V2075">
        <v>-8.9631160000000001E-2</v>
      </c>
      <c r="W2075">
        <v>-0.1260259</v>
      </c>
      <c r="X2075">
        <v>0.98796949999999994</v>
      </c>
      <c r="Y2075">
        <v>-1.0467880000000001E-2</v>
      </c>
      <c r="Z2075">
        <v>1.568839E-2</v>
      </c>
      <c r="AA2075">
        <v>0.99982210000000005</v>
      </c>
      <c r="AB2075">
        <v>33</v>
      </c>
      <c r="AC2075">
        <v>15.327299999999999</v>
      </c>
      <c r="AD2075">
        <v>-1.11083024906849</v>
      </c>
      <c r="AE2075">
        <v>-3.4568999999999899</v>
      </c>
      <c r="AF2075">
        <v>-0.17299401039486501</v>
      </c>
      <c r="AG2075">
        <v>-1.11083024906849</v>
      </c>
      <c r="AH2075">
        <v>15.6331969968761</v>
      </c>
      <c r="AI2075">
        <v>94.064121807964298</v>
      </c>
      <c r="AJ2075">
        <v>90.633998415898603</v>
      </c>
      <c r="AK2075">
        <v>15.6735675298579</v>
      </c>
      <c r="AL2075">
        <v>97.240004041821507</v>
      </c>
      <c r="AM2075">
        <v>95.183831069504507</v>
      </c>
      <c r="AN2075">
        <v>1.000000002622</v>
      </c>
    </row>
    <row r="2076" spans="1:40" x14ac:dyDescent="0.25">
      <c r="A2076" t="str">
        <f>"20190305135624945"</f>
        <v>20190305135624945</v>
      </c>
      <c r="B2076" t="str">
        <f>"1551765384934355"</f>
        <v>1551765384934355</v>
      </c>
      <c r="C2076" t="s">
        <v>40</v>
      </c>
      <c r="D2076">
        <v>4.7253949999999998</v>
      </c>
      <c r="E2076">
        <v>0.52937309999999904</v>
      </c>
      <c r="F2076" t="s">
        <v>55</v>
      </c>
      <c r="G2076">
        <v>-443.3897</v>
      </c>
      <c r="H2076" s="1">
        <v>3.30719799999999E-7</v>
      </c>
      <c r="I2076">
        <v>213.1601</v>
      </c>
      <c r="J2076">
        <v>-459.19099999999997</v>
      </c>
      <c r="K2076">
        <v>1.111232</v>
      </c>
      <c r="L2076">
        <v>216.62190000000001</v>
      </c>
      <c r="M2076">
        <v>0.97408090000000003</v>
      </c>
      <c r="N2076">
        <v>-3.0955900000000001E-3</v>
      </c>
      <c r="O2076">
        <v>-0.22617870000000001</v>
      </c>
      <c r="P2076">
        <v>0.98286629999999997</v>
      </c>
      <c r="Q2076">
        <v>-0.12734280000000001</v>
      </c>
      <c r="R2076">
        <v>-0.1332585</v>
      </c>
      <c r="S2076">
        <v>2.9373779999999998</v>
      </c>
      <c r="T2076">
        <v>-0.20237369999999999</v>
      </c>
      <c r="U2076">
        <v>-0.64384459999999999</v>
      </c>
      <c r="V2076">
        <v>-9.1387629999999997E-2</v>
      </c>
      <c r="W2076">
        <v>-0.1251051</v>
      </c>
      <c r="X2076">
        <v>0.98792559999999996</v>
      </c>
      <c r="Y2076">
        <v>-1.189428E-2</v>
      </c>
      <c r="Z2076">
        <v>1.491141E-2</v>
      </c>
      <c r="AA2076">
        <v>0.99981810000000004</v>
      </c>
      <c r="AB2076">
        <v>33</v>
      </c>
      <c r="AC2076">
        <v>15.8012999999999</v>
      </c>
      <c r="AD2076">
        <v>-1.1112316692802</v>
      </c>
      <c r="AE2076">
        <v>-3.46180000000001</v>
      </c>
      <c r="AF2076">
        <v>-0.200897138349271</v>
      </c>
      <c r="AG2076">
        <v>-1.1112316692802</v>
      </c>
      <c r="AH2076">
        <v>16.098834814285201</v>
      </c>
      <c r="AI2076">
        <v>93.948305743384694</v>
      </c>
      <c r="AJ2076">
        <v>90.714956134279404</v>
      </c>
      <c r="AK2076">
        <v>16.138391427296899</v>
      </c>
      <c r="AL2076">
        <v>97.186825298535297</v>
      </c>
      <c r="AM2076">
        <v>95.285080550575302</v>
      </c>
      <c r="AN2076">
        <v>0.99999998804919299</v>
      </c>
    </row>
    <row r="2077" spans="1:40" x14ac:dyDescent="0.25">
      <c r="A2077" t="str">
        <f>"20190305135624966"</f>
        <v>20190305135624966</v>
      </c>
      <c r="B2077" t="str">
        <f>"1551765384963635"</f>
        <v>1551765384963635</v>
      </c>
      <c r="C2077" t="s">
        <v>40</v>
      </c>
      <c r="D2077">
        <v>4.7860719999999999</v>
      </c>
      <c r="E2077">
        <v>0.52982220000000002</v>
      </c>
      <c r="F2077" t="s">
        <v>55</v>
      </c>
      <c r="G2077">
        <v>-442.87419999999997</v>
      </c>
      <c r="H2077" s="1">
        <v>5.6893800000000002E-8</v>
      </c>
      <c r="I2077">
        <v>213.148</v>
      </c>
      <c r="J2077">
        <v>-458.87479999999999</v>
      </c>
      <c r="K2077">
        <v>1.1115520000000001</v>
      </c>
      <c r="L2077">
        <v>216.55279999999999</v>
      </c>
      <c r="M2077">
        <v>0.97517350000000003</v>
      </c>
      <c r="N2077">
        <v>-3.3299610000000002E-3</v>
      </c>
      <c r="O2077">
        <v>-0.2214179</v>
      </c>
      <c r="P2077">
        <v>0.98346920000000004</v>
      </c>
      <c r="Q2077">
        <v>-0.12870400000000001</v>
      </c>
      <c r="R2077">
        <v>-0.12737470000000001</v>
      </c>
      <c r="S2077">
        <v>2.9414060000000002</v>
      </c>
      <c r="T2077">
        <v>-0.20032040000000001</v>
      </c>
      <c r="U2077">
        <v>-0.62623600000000001</v>
      </c>
      <c r="V2077">
        <v>-9.2333419999999999E-2</v>
      </c>
      <c r="W2077">
        <v>-0.12631110000000001</v>
      </c>
      <c r="X2077">
        <v>0.98768420000000001</v>
      </c>
      <c r="Y2077">
        <v>-1.3035410000000001E-2</v>
      </c>
      <c r="Z2077">
        <v>1.4439280000000001E-2</v>
      </c>
      <c r="AA2077">
        <v>0.9998108</v>
      </c>
      <c r="AB2077">
        <v>33</v>
      </c>
      <c r="AC2077">
        <v>16.000599999999999</v>
      </c>
      <c r="AD2077">
        <v>-1.1115519431062</v>
      </c>
      <c r="AE2077">
        <v>-3.4047999999999901</v>
      </c>
      <c r="AF2077">
        <v>-0.221526938665742</v>
      </c>
      <c r="AG2077">
        <v>-1.1115519431062</v>
      </c>
      <c r="AH2077">
        <v>16.282159020647899</v>
      </c>
      <c r="AI2077">
        <v>93.905053715603003</v>
      </c>
      <c r="AJ2077">
        <v>90.779489718353403</v>
      </c>
      <c r="AK2077">
        <v>16.321560105591701</v>
      </c>
      <c r="AL2077">
        <v>97.256476329332997</v>
      </c>
      <c r="AM2077">
        <v>95.340759921540496</v>
      </c>
      <c r="AN2077">
        <v>1.00000001668087</v>
      </c>
    </row>
    <row r="2078" spans="1:40" x14ac:dyDescent="0.25">
      <c r="A2078" t="str">
        <f>"20190305135624990"</f>
        <v>20190305135624990</v>
      </c>
      <c r="B2078" t="str">
        <f>"1551765384983661"</f>
        <v>1551765384983661</v>
      </c>
      <c r="C2078" t="s">
        <v>40</v>
      </c>
      <c r="D2078">
        <v>4.7167779999999997</v>
      </c>
      <c r="E2078">
        <v>0.53014919999999899</v>
      </c>
      <c r="F2078" t="s">
        <v>55</v>
      </c>
      <c r="G2078">
        <v>-442.91860000000003</v>
      </c>
      <c r="H2078" s="1">
        <v>7.6880469999999995E-8</v>
      </c>
      <c r="I2078">
        <v>213.23169999999999</v>
      </c>
      <c r="J2078">
        <v>-458.52690000000001</v>
      </c>
      <c r="K2078">
        <v>1.111804</v>
      </c>
      <c r="L2078">
        <v>216.4787</v>
      </c>
      <c r="M2078">
        <v>0.97638899999999995</v>
      </c>
      <c r="N2078">
        <v>-3.5821350000000002E-3</v>
      </c>
      <c r="O2078">
        <v>-0.21599080000000001</v>
      </c>
      <c r="P2078">
        <v>0.98399000000000003</v>
      </c>
      <c r="Q2078">
        <v>-0.12916859999999999</v>
      </c>
      <c r="R2078">
        <v>-0.12279809999999999</v>
      </c>
      <c r="S2078">
        <v>2.9442439999999999</v>
      </c>
      <c r="T2078">
        <v>-0.2051038</v>
      </c>
      <c r="U2078">
        <v>-0.61280819999999903</v>
      </c>
      <c r="V2078">
        <v>-9.13408E-2</v>
      </c>
      <c r="W2078">
        <v>-0.1265751</v>
      </c>
      <c r="X2078">
        <v>0.98774269999999997</v>
      </c>
      <c r="Y2078">
        <v>-1.2030559999999999E-2</v>
      </c>
      <c r="Z2078">
        <v>1.4361260000000001E-2</v>
      </c>
      <c r="AA2078">
        <v>0.9998245</v>
      </c>
      <c r="AB2078">
        <v>34</v>
      </c>
      <c r="AC2078">
        <v>15.6082999999999</v>
      </c>
      <c r="AD2078">
        <v>-1.11180392311953</v>
      </c>
      <c r="AE2078">
        <v>-3.2470000000000101</v>
      </c>
      <c r="AF2078">
        <v>-0.199942960438944</v>
      </c>
      <c r="AG2078">
        <v>-1.11180392311953</v>
      </c>
      <c r="AH2078">
        <v>15.8640399593171</v>
      </c>
      <c r="AI2078">
        <v>94.008603795646493</v>
      </c>
      <c r="AJ2078">
        <v>90.722091048561495</v>
      </c>
      <c r="AK2078">
        <v>15.9042085305023</v>
      </c>
      <c r="AL2078">
        <v>97.271724780325997</v>
      </c>
      <c r="AM2078">
        <v>95.283360230668507</v>
      </c>
      <c r="AN2078">
        <v>1.00000001954396</v>
      </c>
    </row>
    <row r="2079" spans="1:40" x14ac:dyDescent="0.25">
      <c r="A2079" t="str">
        <f>"20190305135625012"</f>
        <v>20190305135625012</v>
      </c>
      <c r="B2079" t="str">
        <f>"1551765385004157"</f>
        <v>1551765385004157</v>
      </c>
      <c r="C2079" t="s">
        <v>40</v>
      </c>
      <c r="D2079">
        <v>4.7822329999999997</v>
      </c>
      <c r="E2079">
        <v>0.53035750000000004</v>
      </c>
      <c r="F2079" t="s">
        <v>41</v>
      </c>
      <c r="G2079">
        <v>-457.53120000000001</v>
      </c>
      <c r="H2079">
        <v>1.0416540000000001</v>
      </c>
      <c r="I2079">
        <v>216.27500000000001</v>
      </c>
      <c r="J2079">
        <v>-458.18950000000001</v>
      </c>
      <c r="K2079">
        <v>1.1119939999999999</v>
      </c>
      <c r="L2079">
        <v>216.4091</v>
      </c>
      <c r="M2079">
        <v>0.97756460000000001</v>
      </c>
      <c r="N2079">
        <v>-3.8108389999999999E-3</v>
      </c>
      <c r="O2079">
        <v>-0.21060090000000001</v>
      </c>
      <c r="P2079">
        <v>0.98434489999999997</v>
      </c>
      <c r="Q2079">
        <v>-0.13163920000000001</v>
      </c>
      <c r="R2079">
        <v>-0.11720029999999999</v>
      </c>
      <c r="S2079">
        <v>2.9463200000000001</v>
      </c>
      <c r="T2079">
        <v>-0.2076037</v>
      </c>
      <c r="U2079">
        <v>-0.60264589999999996</v>
      </c>
      <c r="V2079">
        <v>-9.1356960000000001E-2</v>
      </c>
      <c r="W2079">
        <v>-0.12886449999999999</v>
      </c>
      <c r="X2079">
        <v>0.98744509999999996</v>
      </c>
      <c r="Y2079">
        <v>-9.9697599999999994E-3</v>
      </c>
      <c r="Z2079">
        <v>1.40733E-2</v>
      </c>
      <c r="AA2079">
        <v>0.9998513</v>
      </c>
      <c r="AB2079">
        <v>34</v>
      </c>
      <c r="AC2079">
        <v>0.658299999999997</v>
      </c>
      <c r="AD2079">
        <v>-7.034E-2</v>
      </c>
      <c r="AE2079">
        <v>-0.13409999999998901</v>
      </c>
      <c r="AF2079">
        <v>-7.4653778773698101E-3</v>
      </c>
      <c r="AG2079">
        <v>-7.034E-2</v>
      </c>
      <c r="AH2079">
        <v>0.66449296831545002</v>
      </c>
      <c r="AI2079">
        <v>96.042172098617201</v>
      </c>
      <c r="AJ2079">
        <v>90.643673704013196</v>
      </c>
      <c r="AK2079">
        <v>0.66824722401782499</v>
      </c>
      <c r="AL2079">
        <v>97.403981128763107</v>
      </c>
      <c r="AM2079">
        <v>95.285873250506</v>
      </c>
      <c r="AN2079">
        <v>0.99999998950735003</v>
      </c>
    </row>
    <row r="2080" spans="1:40" x14ac:dyDescent="0.25">
      <c r="A2080" t="str">
        <f>"20190305135625036"</f>
        <v>20190305135625036</v>
      </c>
      <c r="B2080" t="str">
        <f>"1551765385023679"</f>
        <v>1551765385023679</v>
      </c>
      <c r="C2080" t="s">
        <v>40</v>
      </c>
      <c r="D2080">
        <v>4.7202029999999997</v>
      </c>
      <c r="E2080">
        <v>0.53067830000000005</v>
      </c>
      <c r="F2080" t="s">
        <v>41</v>
      </c>
      <c r="G2080">
        <v>-457.2337</v>
      </c>
      <c r="H2080">
        <v>1.0422849999999999</v>
      </c>
      <c r="I2080">
        <v>216.2183</v>
      </c>
      <c r="J2080">
        <v>-457.85500000000002</v>
      </c>
      <c r="K2080">
        <v>1.1121379999999901</v>
      </c>
      <c r="L2080">
        <v>216.34200000000001</v>
      </c>
      <c r="M2080">
        <v>0.97871220000000003</v>
      </c>
      <c r="N2080">
        <v>-4.0250779999999996E-3</v>
      </c>
      <c r="O2080">
        <v>-0.20519789999999999</v>
      </c>
      <c r="P2080">
        <v>0.98466319999999996</v>
      </c>
      <c r="Q2080">
        <v>-0.13537179999999999</v>
      </c>
      <c r="R2080">
        <v>-0.1100583</v>
      </c>
      <c r="S2080">
        <v>2.9489139999999998</v>
      </c>
      <c r="T2080">
        <v>-0.2155523</v>
      </c>
      <c r="U2080">
        <v>-0.58757019999999904</v>
      </c>
      <c r="V2080">
        <v>-9.2873129999999998E-2</v>
      </c>
      <c r="W2080">
        <v>-0.132439</v>
      </c>
      <c r="X2080">
        <v>0.98683050000000005</v>
      </c>
      <c r="Y2080">
        <v>-9.5085989999999995E-3</v>
      </c>
      <c r="Z2080">
        <v>1.4217250000000001E-2</v>
      </c>
      <c r="AA2080">
        <v>0.99985369999999996</v>
      </c>
      <c r="AB2080">
        <v>34</v>
      </c>
      <c r="AC2080">
        <v>0.62130000000001895</v>
      </c>
      <c r="AD2080">
        <v>-6.9852999999999693E-2</v>
      </c>
      <c r="AE2080">
        <v>-0.12370000000001299</v>
      </c>
      <c r="AF2080">
        <v>-6.34565391900612E-3</v>
      </c>
      <c r="AG2080">
        <v>-6.9852999999999693E-2</v>
      </c>
      <c r="AH2080">
        <v>0.62585251391352703</v>
      </c>
      <c r="AI2080">
        <v>96.368245953964106</v>
      </c>
      <c r="AJ2080">
        <v>90.580914387015795</v>
      </c>
      <c r="AK2080">
        <v>0.62977065516308495</v>
      </c>
      <c r="AL2080">
        <v>97.610555840884402</v>
      </c>
      <c r="AM2080">
        <v>95.376415677492304</v>
      </c>
      <c r="AN2080">
        <v>0.99999997136362295</v>
      </c>
    </row>
    <row r="2081" spans="1:40" x14ac:dyDescent="0.25">
      <c r="A2081" t="str">
        <f>"20190305135625123"</f>
        <v>20190305135625123</v>
      </c>
      <c r="B2081" t="str">
        <f>"1551765385114446"</f>
        <v>1551765385114446</v>
      </c>
      <c r="C2081" t="s">
        <v>40</v>
      </c>
      <c r="D2081">
        <v>4.6240119999999996</v>
      </c>
      <c r="E2081">
        <v>0.47811350000000002</v>
      </c>
      <c r="F2081" t="s">
        <v>55</v>
      </c>
      <c r="G2081">
        <v>-440.29899999999998</v>
      </c>
      <c r="H2081" s="1">
        <v>-1.431293E-6</v>
      </c>
      <c r="I2081">
        <v>215.84299999999999</v>
      </c>
      <c r="J2081">
        <v>-456.55059999999997</v>
      </c>
      <c r="K2081">
        <v>1.11277</v>
      </c>
      <c r="L2081">
        <v>216.09889999999999</v>
      </c>
      <c r="M2081">
        <v>0.98295270000000001</v>
      </c>
      <c r="N2081">
        <v>-5.131381E-3</v>
      </c>
      <c r="O2081">
        <v>-0.18378749999999999</v>
      </c>
      <c r="P2081">
        <v>0.98719380000000001</v>
      </c>
      <c r="Q2081">
        <v>-0.1354301</v>
      </c>
      <c r="R2081">
        <v>-8.4304260000000006E-2</v>
      </c>
      <c r="S2081">
        <v>3.0079959999999999</v>
      </c>
      <c r="T2081">
        <v>-0.2018925</v>
      </c>
      <c r="U2081">
        <v>-5.6915279999999999E-2</v>
      </c>
      <c r="V2081">
        <v>-9.6960550000000006E-2</v>
      </c>
      <c r="W2081">
        <v>-0.1315693</v>
      </c>
      <c r="X2081">
        <v>0.98655369999999998</v>
      </c>
      <c r="Y2081">
        <v>-0.16441510000000001</v>
      </c>
      <c r="Z2081">
        <v>1.7249150000000001E-2</v>
      </c>
      <c r="AA2081">
        <v>0.98624040000000002</v>
      </c>
      <c r="AB2081">
        <v>34</v>
      </c>
      <c r="AC2081">
        <v>16.2515999999999</v>
      </c>
      <c r="AD2081">
        <v>-1.1127714312929999</v>
      </c>
      <c r="AE2081">
        <v>-0.25589999999999602</v>
      </c>
      <c r="AF2081">
        <v>-2.7225778722720002</v>
      </c>
      <c r="AG2081">
        <v>-1.1127714312929999</v>
      </c>
      <c r="AH2081">
        <v>15.947048010891701</v>
      </c>
      <c r="AI2081">
        <v>93.934830141747199</v>
      </c>
      <c r="AJ2081">
        <v>99.688476335233403</v>
      </c>
      <c r="AK2081">
        <v>16.216011556192601</v>
      </c>
      <c r="AL2081">
        <v>97.560285454128206</v>
      </c>
      <c r="AM2081">
        <v>95.613121656207298</v>
      </c>
      <c r="AN2081">
        <v>1.0000000159712401</v>
      </c>
    </row>
    <row r="2082" spans="1:40" x14ac:dyDescent="0.25">
      <c r="A2082" t="str">
        <f>"20190305135625145"</f>
        <v>20190305135625145</v>
      </c>
      <c r="B2082" t="str">
        <f>"1551765385133966"</f>
        <v>1551765385133966</v>
      </c>
      <c r="C2082" t="s">
        <v>40</v>
      </c>
      <c r="D2082">
        <v>4.5902659999999997</v>
      </c>
      <c r="E2082">
        <v>0.48067109999999902</v>
      </c>
      <c r="F2082" t="s">
        <v>55</v>
      </c>
      <c r="G2082">
        <v>-442.22739999999999</v>
      </c>
      <c r="H2082" s="1">
        <v>-4.0104619999999999E-7</v>
      </c>
      <c r="I2082">
        <v>215.74969999999999</v>
      </c>
      <c r="J2082">
        <v>-456.21210000000002</v>
      </c>
      <c r="K2082">
        <v>1.112967</v>
      </c>
      <c r="L2082">
        <v>216.04079999999999</v>
      </c>
      <c r="M2082">
        <v>0.98399559999999997</v>
      </c>
      <c r="N2082">
        <v>-5.541257E-3</v>
      </c>
      <c r="O2082">
        <v>-0.1781066</v>
      </c>
      <c r="P2082">
        <v>0.98773710000000003</v>
      </c>
      <c r="Q2082">
        <v>-0.13535939999999999</v>
      </c>
      <c r="R2082">
        <v>-7.7804590000000007E-2</v>
      </c>
      <c r="S2082">
        <v>3.000702</v>
      </c>
      <c r="T2082">
        <v>-0.23312340000000001</v>
      </c>
      <c r="U2082">
        <v>-7.3150629999999994E-2</v>
      </c>
      <c r="V2082">
        <v>-9.772264E-2</v>
      </c>
      <c r="W2082">
        <v>-0.1311349</v>
      </c>
      <c r="X2082">
        <v>0.98653630000000003</v>
      </c>
      <c r="Y2082">
        <v>-0.15312439999999999</v>
      </c>
      <c r="Z2082">
        <v>1.9124289999999999E-2</v>
      </c>
      <c r="AA2082">
        <v>0.98802190000000001</v>
      </c>
      <c r="AB2082">
        <v>34</v>
      </c>
      <c r="AC2082">
        <v>13.9847</v>
      </c>
      <c r="AD2082">
        <v>-1.1129674010461901</v>
      </c>
      <c r="AE2082">
        <v>-0.29110000000000003</v>
      </c>
      <c r="AF2082">
        <v>-2.1904921390197098</v>
      </c>
      <c r="AG2082">
        <v>-1.1129674010461901</v>
      </c>
      <c r="AH2082">
        <v>13.726042912777601</v>
      </c>
      <c r="AI2082">
        <v>94.577971865631596</v>
      </c>
      <c r="AJ2082">
        <v>99.067179034941105</v>
      </c>
      <c r="AK2082">
        <v>13.9442176650506</v>
      </c>
      <c r="AL2082">
        <v>97.535178956348403</v>
      </c>
      <c r="AM2082">
        <v>95.657053717915403</v>
      </c>
      <c r="AN2082">
        <v>0.99999997379213401</v>
      </c>
    </row>
    <row r="2083" spans="1:40" x14ac:dyDescent="0.25">
      <c r="A2083" t="str">
        <f>"20190305135625167"</f>
        <v>20190305135625167</v>
      </c>
      <c r="B2083" t="str">
        <f>"1551765385164222"</f>
        <v>1551765385164222</v>
      </c>
      <c r="C2083" t="s">
        <v>40</v>
      </c>
      <c r="D2083">
        <v>4.569712</v>
      </c>
      <c r="E2083">
        <v>0.48376269999999999</v>
      </c>
      <c r="F2083" t="s">
        <v>55</v>
      </c>
      <c r="G2083">
        <v>-443.82990000000001</v>
      </c>
      <c r="H2083" s="1">
        <v>4.525644E-7</v>
      </c>
      <c r="I2083">
        <v>215.73060000000001</v>
      </c>
      <c r="J2083">
        <v>-455.88470000000001</v>
      </c>
      <c r="K2083">
        <v>1.113178</v>
      </c>
      <c r="L2083">
        <v>215.98670000000001</v>
      </c>
      <c r="M2083">
        <v>0.98498790000000003</v>
      </c>
      <c r="N2083">
        <v>-6.0167930000000003E-3</v>
      </c>
      <c r="O2083">
        <v>-0.17251910000000001</v>
      </c>
      <c r="P2083">
        <v>0.98839270000000001</v>
      </c>
      <c r="Q2083">
        <v>-0.1334437</v>
      </c>
      <c r="R2083">
        <v>-7.2614499999999998E-2</v>
      </c>
      <c r="S2083">
        <v>2.9944459999999999</v>
      </c>
      <c r="T2083">
        <v>-0.2691537</v>
      </c>
      <c r="U2083">
        <v>-7.5027469999999999E-2</v>
      </c>
      <c r="V2083">
        <v>-9.7340910000000003E-2</v>
      </c>
      <c r="W2083">
        <v>-0.12877459999999999</v>
      </c>
      <c r="X2083">
        <v>0.98688500000000001</v>
      </c>
      <c r="Y2083">
        <v>-0.14656759999999999</v>
      </c>
      <c r="Z2083">
        <v>2.1380619999999999E-2</v>
      </c>
      <c r="AA2083">
        <v>0.9889696</v>
      </c>
      <c r="AB2083">
        <v>34</v>
      </c>
      <c r="AC2083">
        <v>12.0548</v>
      </c>
      <c r="AD2083">
        <v>-1.1131775474356</v>
      </c>
      <c r="AE2083">
        <v>-0.25610000000000299</v>
      </c>
      <c r="AF2083">
        <v>-1.81201619779082</v>
      </c>
      <c r="AG2083">
        <v>-1.1131775474356</v>
      </c>
      <c r="AH2083">
        <v>11.817503476985101</v>
      </c>
      <c r="AI2083">
        <v>95.319425540789894</v>
      </c>
      <c r="AJ2083">
        <v>98.717452218050994</v>
      </c>
      <c r="AK2083">
        <v>12.0073292360011</v>
      </c>
      <c r="AL2083">
        <v>97.398786311148399</v>
      </c>
      <c r="AM2083">
        <v>95.633120035534006</v>
      </c>
      <c r="AN2083">
        <v>1.00000007679489</v>
      </c>
    </row>
    <row r="2084" spans="1:40" x14ac:dyDescent="0.25">
      <c r="A2084" t="str">
        <f>"20190305135625192"</f>
        <v>20190305135625192</v>
      </c>
      <c r="B2084" t="str">
        <f>"1551765385183742"</f>
        <v>1551765385183742</v>
      </c>
      <c r="C2084" t="s">
        <v>40</v>
      </c>
      <c r="D2084">
        <v>4.5984379999999998</v>
      </c>
      <c r="E2084">
        <v>0.48505700000000002</v>
      </c>
      <c r="F2084" t="s">
        <v>55</v>
      </c>
      <c r="G2084">
        <v>-443.03019999999998</v>
      </c>
      <c r="H2084" s="1">
        <v>3.1547369999999997E-8</v>
      </c>
      <c r="I2084">
        <v>215.6266</v>
      </c>
      <c r="J2084">
        <v>-455.50979999999998</v>
      </c>
      <c r="K2084">
        <v>1.1134219999999999</v>
      </c>
      <c r="L2084">
        <v>215.9272</v>
      </c>
      <c r="M2084">
        <v>0.98610929999999997</v>
      </c>
      <c r="N2084">
        <v>-6.5809509999999998E-3</v>
      </c>
      <c r="O2084">
        <v>-0.1659678</v>
      </c>
      <c r="P2084">
        <v>0.9889424</v>
      </c>
      <c r="Q2084">
        <v>-0.13191129999999901</v>
      </c>
      <c r="R2084">
        <v>-6.7769140000000005E-2</v>
      </c>
      <c r="S2084">
        <v>2.994049</v>
      </c>
      <c r="T2084">
        <v>-0.25927850000000002</v>
      </c>
      <c r="U2084">
        <v>-8.3862300000000001E-2</v>
      </c>
      <c r="V2084">
        <v>-9.5634339999999998E-2</v>
      </c>
      <c r="W2084">
        <v>-0.12669649999999999</v>
      </c>
      <c r="X2084">
        <v>0.98732070000000005</v>
      </c>
      <c r="Y2084">
        <v>-0.1372197</v>
      </c>
      <c r="Z2084">
        <v>1.957151E-2</v>
      </c>
      <c r="AA2084">
        <v>0.99034730000000004</v>
      </c>
      <c r="AB2084">
        <v>34</v>
      </c>
      <c r="AC2084">
        <v>12.4796</v>
      </c>
      <c r="AD2084">
        <v>-1.1134219684526301</v>
      </c>
      <c r="AE2084">
        <v>-0.30060000000000198</v>
      </c>
      <c r="AF2084">
        <v>-1.7608174365147999</v>
      </c>
      <c r="AG2084">
        <v>-1.1134219684526301</v>
      </c>
      <c r="AH2084">
        <v>12.258880788585699</v>
      </c>
      <c r="AI2084">
        <v>95.137255409529402</v>
      </c>
      <c r="AJ2084">
        <v>98.173834126495294</v>
      </c>
      <c r="AK2084">
        <v>12.434642926651399</v>
      </c>
      <c r="AL2084">
        <v>97.278736737101099</v>
      </c>
      <c r="AM2084">
        <v>95.532552101686804</v>
      </c>
      <c r="AN2084">
        <v>1.0000000473739801</v>
      </c>
    </row>
    <row r="2085" spans="1:40" x14ac:dyDescent="0.25">
      <c r="A2085" t="str">
        <f>"20190305135625213"</f>
        <v>20190305135625213</v>
      </c>
      <c r="B2085" t="str">
        <f>"1551765385204237"</f>
        <v>1551765385204237</v>
      </c>
      <c r="C2085" t="s">
        <v>40</v>
      </c>
      <c r="D2085">
        <v>4.5599499999999997</v>
      </c>
      <c r="E2085">
        <v>0.48638350000000002</v>
      </c>
      <c r="F2085" t="s">
        <v>55</v>
      </c>
      <c r="G2085">
        <v>-442.28399999999999</v>
      </c>
      <c r="H2085" s="1">
        <v>-3.6324540000000002E-7</v>
      </c>
      <c r="I2085">
        <v>215.57499999999999</v>
      </c>
      <c r="J2085">
        <v>-455.18990000000002</v>
      </c>
      <c r="K2085">
        <v>1.1135980000000001</v>
      </c>
      <c r="L2085">
        <v>215.87870000000001</v>
      </c>
      <c r="M2085">
        <v>0.98704890000000001</v>
      </c>
      <c r="N2085">
        <v>-7.0355299999999999E-3</v>
      </c>
      <c r="O2085">
        <v>-0.1602654</v>
      </c>
      <c r="P2085">
        <v>0.98924120000000004</v>
      </c>
      <c r="Q2085">
        <v>-0.13103969999999901</v>
      </c>
      <c r="R2085">
        <v>-6.5040849999999997E-2</v>
      </c>
      <c r="S2085">
        <v>2.9944760000000001</v>
      </c>
      <c r="T2085">
        <v>-0.25209320000000002</v>
      </c>
      <c r="U2085">
        <v>-7.9742430000000003E-2</v>
      </c>
      <c r="V2085">
        <v>-9.2653620000000006E-2</v>
      </c>
      <c r="W2085">
        <v>-0.12536149999999999</v>
      </c>
      <c r="X2085">
        <v>0.98777519999999996</v>
      </c>
      <c r="Y2085">
        <v>-0.13295609999999999</v>
      </c>
      <c r="Z2085">
        <v>1.833943E-2</v>
      </c>
      <c r="AA2085">
        <v>0.99095230000000001</v>
      </c>
      <c r="AB2085">
        <v>34</v>
      </c>
      <c r="AC2085">
        <v>12.905900000000001</v>
      </c>
      <c r="AD2085">
        <v>-1.1135983632453901</v>
      </c>
      <c r="AE2085">
        <v>-0.30370000000002001</v>
      </c>
      <c r="AF2085">
        <v>-1.7555826666627199</v>
      </c>
      <c r="AG2085">
        <v>-1.1135983632453901</v>
      </c>
      <c r="AH2085">
        <v>12.693290613066599</v>
      </c>
      <c r="AI2085">
        <v>94.966753986868994</v>
      </c>
      <c r="AJ2085">
        <v>97.874503210238601</v>
      </c>
      <c r="AK2085">
        <v>12.862418062008199</v>
      </c>
      <c r="AL2085">
        <v>97.201632260652303</v>
      </c>
      <c r="AM2085">
        <v>95.3586824676795</v>
      </c>
      <c r="AN2085">
        <v>1.00000002235819</v>
      </c>
    </row>
    <row r="2086" spans="1:40" x14ac:dyDescent="0.25">
      <c r="A2086" t="str">
        <f>"20190305135625234"</f>
        <v>20190305135625234</v>
      </c>
      <c r="B2086" t="str">
        <f>"1551765385223757"</f>
        <v>1551765385223757</v>
      </c>
      <c r="C2086" t="s">
        <v>40</v>
      </c>
      <c r="D2086">
        <v>4.6030249999999997</v>
      </c>
      <c r="E2086">
        <v>0.48800149999999998</v>
      </c>
      <c r="F2086" t="s">
        <v>55</v>
      </c>
      <c r="G2086">
        <v>-441.7758</v>
      </c>
      <c r="H2086" s="1">
        <v>-6.3085790000000003E-7</v>
      </c>
      <c r="I2086">
        <v>215.51</v>
      </c>
      <c r="J2086">
        <v>-454.86099999999999</v>
      </c>
      <c r="K2086">
        <v>1.113737</v>
      </c>
      <c r="L2086">
        <v>215.83099999999999</v>
      </c>
      <c r="M2086">
        <v>0.98799119999999996</v>
      </c>
      <c r="N2086">
        <v>-7.4716119999999999E-3</v>
      </c>
      <c r="O2086">
        <v>-0.15432979999999999</v>
      </c>
      <c r="P2086">
        <v>0.98945050000000001</v>
      </c>
      <c r="Q2086">
        <v>-0.13137209999999999</v>
      </c>
      <c r="R2086">
        <v>-6.1066460000000003E-2</v>
      </c>
      <c r="S2086">
        <v>2.9942630000000001</v>
      </c>
      <c r="T2086">
        <v>-0.2485753</v>
      </c>
      <c r="U2086">
        <v>-8.2305909999999996E-2</v>
      </c>
      <c r="V2086">
        <v>-9.0649569999999999E-2</v>
      </c>
      <c r="W2086">
        <v>-0.12525799999999901</v>
      </c>
      <c r="X2086">
        <v>0.98797420000000002</v>
      </c>
      <c r="Y2086">
        <v>-0.12621959999999999</v>
      </c>
      <c r="Z2086">
        <v>1.7288830000000002E-2</v>
      </c>
      <c r="AA2086">
        <v>0.99185160000000006</v>
      </c>
      <c r="AB2086">
        <v>35</v>
      </c>
      <c r="AC2086">
        <v>13.085199999999899</v>
      </c>
      <c r="AD2086">
        <v>-1.1137376308578999</v>
      </c>
      <c r="AE2086">
        <v>-0.32099999999999701</v>
      </c>
      <c r="AF2086">
        <v>-1.69010205013986</v>
      </c>
      <c r="AG2086">
        <v>-1.1137376308578999</v>
      </c>
      <c r="AH2086">
        <v>12.8846775819359</v>
      </c>
      <c r="AI2086">
        <v>94.898550072861795</v>
      </c>
      <c r="AJ2086">
        <v>97.472906808358005</v>
      </c>
      <c r="AK2086">
        <v>13.0426903988678</v>
      </c>
      <c r="AL2086">
        <v>97.195655444513093</v>
      </c>
      <c r="AM2086">
        <v>95.242379805977194</v>
      </c>
      <c r="AN2086">
        <v>0.99999996548541104</v>
      </c>
    </row>
    <row r="2087" spans="1:40" x14ac:dyDescent="0.25">
      <c r="A2087" t="str">
        <f>"20190305135625262"</f>
        <v>20190305135625262</v>
      </c>
      <c r="B2087" t="str">
        <f>"1551765385254014"</f>
        <v>1551765385254014</v>
      </c>
      <c r="C2087" t="s">
        <v>40</v>
      </c>
      <c r="D2087">
        <v>4.567475</v>
      </c>
      <c r="E2087">
        <v>0.48938310000000002</v>
      </c>
      <c r="F2087" t="s">
        <v>55</v>
      </c>
      <c r="G2087">
        <v>-441.89069999999998</v>
      </c>
      <c r="H2087" s="1">
        <v>-5.6799369999999896E-7</v>
      </c>
      <c r="I2087">
        <v>215.4709</v>
      </c>
      <c r="J2087">
        <v>-454.44369999999998</v>
      </c>
      <c r="K2087">
        <v>1.1138570000000001</v>
      </c>
      <c r="L2087">
        <v>215.77340000000001</v>
      </c>
      <c r="M2087">
        <v>0.98914199999999997</v>
      </c>
      <c r="N2087">
        <v>-8.0146160000000004E-3</v>
      </c>
      <c r="O2087">
        <v>-0.1467445</v>
      </c>
      <c r="P2087">
        <v>0.98959149999999996</v>
      </c>
      <c r="Q2087">
        <v>-0.1333934</v>
      </c>
      <c r="R2087">
        <v>-5.3992390000000001E-2</v>
      </c>
      <c r="S2087">
        <v>2.992737</v>
      </c>
      <c r="T2087">
        <v>-0.25698130000000002</v>
      </c>
      <c r="U2087">
        <v>-8.3084110000000003E-2</v>
      </c>
      <c r="V2087">
        <v>-9.0045769999999997E-2</v>
      </c>
      <c r="W2087">
        <v>-0.12675510000000001</v>
      </c>
      <c r="X2087">
        <v>0.98783849999999995</v>
      </c>
      <c r="Y2087">
        <v>-0.11832670000000001</v>
      </c>
      <c r="Z2087">
        <v>1.6901929999999999E-2</v>
      </c>
      <c r="AA2087">
        <v>0.99283089999999996</v>
      </c>
      <c r="AB2087">
        <v>35</v>
      </c>
      <c r="AC2087">
        <v>12.5529999999999</v>
      </c>
      <c r="AD2087">
        <v>-1.1138575679936999</v>
      </c>
      <c r="AE2087">
        <v>-0.30250000000000898</v>
      </c>
      <c r="AF2087">
        <v>-1.5308715250855101</v>
      </c>
      <c r="AG2087">
        <v>-1.1138575679936999</v>
      </c>
      <c r="AH2087">
        <v>12.3641972715536</v>
      </c>
      <c r="AI2087">
        <v>95.108925700002501</v>
      </c>
      <c r="AJ2087">
        <v>97.058148554963907</v>
      </c>
      <c r="AK2087">
        <v>12.508302062150101</v>
      </c>
      <c r="AL2087">
        <v>97.2821219123893</v>
      </c>
      <c r="AM2087">
        <v>95.208365360623503</v>
      </c>
      <c r="AN2087">
        <v>0.999999999076576</v>
      </c>
    </row>
    <row r="2088" spans="1:40" x14ac:dyDescent="0.25">
      <c r="A2088" t="str">
        <f>"20190305135625286"</f>
        <v>20190305135625286</v>
      </c>
      <c r="B2088" t="str">
        <f>"1551765385274509"</f>
        <v>1551765385274509</v>
      </c>
      <c r="C2088" t="s">
        <v>40</v>
      </c>
      <c r="D2088">
        <v>4.8206170000000004</v>
      </c>
      <c r="E2088">
        <v>0.48911189999999999</v>
      </c>
      <c r="F2088" t="s">
        <v>55</v>
      </c>
      <c r="G2088">
        <v>-441.76929999999999</v>
      </c>
      <c r="H2088" s="1">
        <v>-6.3241849999999995E-7</v>
      </c>
      <c r="I2088">
        <v>215.46709999999999</v>
      </c>
      <c r="J2088">
        <v>-454.08609999999999</v>
      </c>
      <c r="K2088">
        <v>1.113928</v>
      </c>
      <c r="L2088">
        <v>215.72659999999999</v>
      </c>
      <c r="M2088">
        <v>0.99007699999999998</v>
      </c>
      <c r="N2088">
        <v>-8.533143E-3</v>
      </c>
      <c r="O2088">
        <v>-0.14026710000000001</v>
      </c>
      <c r="P2088">
        <v>0.98969510000000005</v>
      </c>
      <c r="Q2088">
        <v>-0.13509009999999999</v>
      </c>
      <c r="R2088">
        <v>-4.7478729999999997E-2</v>
      </c>
      <c r="S2088">
        <v>2.9921570000000002</v>
      </c>
      <c r="T2088">
        <v>-0.26295839999999998</v>
      </c>
      <c r="U2088">
        <v>-7.2326660000000001E-2</v>
      </c>
      <c r="V2088">
        <v>-9.0027190000000007E-2</v>
      </c>
      <c r="W2088">
        <v>-0.127945</v>
      </c>
      <c r="X2088">
        <v>0.98768679999999998</v>
      </c>
      <c r="Y2088">
        <v>-0.1153806</v>
      </c>
      <c r="Z2088">
        <v>1.662044E-2</v>
      </c>
      <c r="AA2088">
        <v>0.99318229999999996</v>
      </c>
      <c r="AB2088">
        <v>35</v>
      </c>
      <c r="AC2088">
        <v>12.316800000000001</v>
      </c>
      <c r="AD2088">
        <v>-1.1139286324185</v>
      </c>
      <c r="AE2088">
        <v>-0.25950000000000201</v>
      </c>
      <c r="AF2088">
        <v>-1.4588431815688001</v>
      </c>
      <c r="AG2088">
        <v>-1.1139286324185</v>
      </c>
      <c r="AH2088">
        <v>12.1322343730527</v>
      </c>
      <c r="AI2088">
        <v>95.208627479014496</v>
      </c>
      <c r="AJ2088">
        <v>96.856623587473393</v>
      </c>
      <c r="AK2088">
        <v>12.2702963007913</v>
      </c>
      <c r="AL2088">
        <v>97.350857695660906</v>
      </c>
      <c r="AM2088">
        <v>95.208091974857197</v>
      </c>
      <c r="AN2088">
        <v>1.00000001642926</v>
      </c>
    </row>
    <row r="2089" spans="1:40" x14ac:dyDescent="0.25">
      <c r="A2089" t="str">
        <f>"20190305135625323"</f>
        <v>20190305135625323</v>
      </c>
      <c r="B2089" t="str">
        <f>"1551765385314527"</f>
        <v>1551765385314527</v>
      </c>
      <c r="C2089" t="s">
        <v>40</v>
      </c>
      <c r="D2089">
        <v>4.4718640000000001</v>
      </c>
      <c r="E2089">
        <v>0.43777120000000003</v>
      </c>
      <c r="F2089" t="s">
        <v>55</v>
      </c>
      <c r="G2089">
        <v>-441.46379999999999</v>
      </c>
      <c r="H2089" s="1">
        <v>-7.9714240000000003E-7</v>
      </c>
      <c r="I2089">
        <v>215.5155</v>
      </c>
      <c r="J2089">
        <v>-453.51670000000001</v>
      </c>
      <c r="K2089">
        <v>1.113907</v>
      </c>
      <c r="L2089">
        <v>215.65690000000001</v>
      </c>
      <c r="M2089">
        <v>0.99143709999999996</v>
      </c>
      <c r="N2089">
        <v>-9.4756679999999996E-3</v>
      </c>
      <c r="O2089">
        <v>-0.13024160000000001</v>
      </c>
      <c r="P2089">
        <v>0.98977740000000003</v>
      </c>
      <c r="Q2089">
        <v>-0.13750689999999999</v>
      </c>
      <c r="R2089">
        <v>-3.7852669999999998E-2</v>
      </c>
      <c r="S2089">
        <v>2.9927980000000001</v>
      </c>
      <c r="T2089">
        <v>-0.2641174</v>
      </c>
      <c r="U2089">
        <v>-5.0048830000000002E-2</v>
      </c>
      <c r="V2089">
        <v>-8.9616860000000007E-2</v>
      </c>
      <c r="W2089">
        <v>-0.1293984</v>
      </c>
      <c r="X2089">
        <v>0.98753480000000005</v>
      </c>
      <c r="Y2089">
        <v>-0.1127652</v>
      </c>
      <c r="Z2089">
        <v>1.5709549999999999E-2</v>
      </c>
      <c r="AA2089">
        <v>0.99349750000000003</v>
      </c>
      <c r="AB2089">
        <v>35</v>
      </c>
      <c r="AC2089">
        <v>12.052899999999999</v>
      </c>
      <c r="AD2089">
        <v>-1.1139077971423901</v>
      </c>
      <c r="AE2089">
        <v>-0.14140000000000399</v>
      </c>
      <c r="AF2089">
        <v>-1.4175579448544999</v>
      </c>
      <c r="AG2089">
        <v>-1.1139077971423901</v>
      </c>
      <c r="AH2089">
        <v>11.867298404796999</v>
      </c>
      <c r="AI2089">
        <v>95.324646305511294</v>
      </c>
      <c r="AJ2089">
        <v>96.811749613477005</v>
      </c>
      <c r="AK2089">
        <v>12.003459190418999</v>
      </c>
      <c r="AL2089">
        <v>97.434829140739097</v>
      </c>
      <c r="AM2089">
        <v>95.185277590574998</v>
      </c>
      <c r="AN2089">
        <v>1.0000000543649199</v>
      </c>
    </row>
    <row r="2090" spans="1:40" x14ac:dyDescent="0.25">
      <c r="A2090" t="str">
        <f>"20190305135625345"</f>
        <v>20190305135625345</v>
      </c>
      <c r="B2090" t="str">
        <f>"1551765385334046"</f>
        <v>1551765385334046</v>
      </c>
      <c r="C2090" t="s">
        <v>40</v>
      </c>
      <c r="D2090">
        <v>4.4623730000000004</v>
      </c>
      <c r="E2090">
        <v>0.43797259999999999</v>
      </c>
      <c r="F2090" t="s">
        <v>61</v>
      </c>
      <c r="G2090">
        <v>-436.2996</v>
      </c>
      <c r="H2090" s="1">
        <v>4.7242249999999996E-6</v>
      </c>
      <c r="I2090">
        <v>217.89179999999999</v>
      </c>
      <c r="J2090">
        <v>-453.17189999999999</v>
      </c>
      <c r="K2090">
        <v>1.113815</v>
      </c>
      <c r="L2090">
        <v>215.6172</v>
      </c>
      <c r="M2090">
        <v>0.99218079999999997</v>
      </c>
      <c r="N2090">
        <v>-1.001005E-2</v>
      </c>
      <c r="O2090">
        <v>-0.1244078</v>
      </c>
      <c r="P2090">
        <v>0.98975860000000004</v>
      </c>
      <c r="Q2090">
        <v>-0.139113299999999</v>
      </c>
      <c r="R2090">
        <v>-3.20258E-2</v>
      </c>
      <c r="S2090">
        <v>3.0188600000000001</v>
      </c>
      <c r="T2090">
        <v>-0.1953115</v>
      </c>
      <c r="U2090">
        <v>0.39186100000000001</v>
      </c>
      <c r="V2090">
        <v>-8.9624220000000004E-2</v>
      </c>
      <c r="W2090">
        <v>-0.1304476</v>
      </c>
      <c r="X2090">
        <v>0.98739600000000005</v>
      </c>
      <c r="Y2090">
        <v>-0.25032310000000002</v>
      </c>
      <c r="Z2090">
        <v>1.6083529999999999E-2</v>
      </c>
      <c r="AA2090">
        <v>0.96802869999999996</v>
      </c>
      <c r="AB2090">
        <v>35</v>
      </c>
      <c r="AC2090">
        <v>16.8722999999999</v>
      </c>
      <c r="AD2090">
        <v>-1.1138102757749999</v>
      </c>
      <c r="AE2090">
        <v>2.2745999999999902</v>
      </c>
      <c r="AF2090">
        <v>-4.3375129994101602</v>
      </c>
      <c r="AG2090">
        <v>-1.1138102757749999</v>
      </c>
      <c r="AH2090">
        <v>16.388074493348402</v>
      </c>
      <c r="AI2090">
        <v>93.759062599564302</v>
      </c>
      <c r="AJ2090">
        <v>104.824824376881</v>
      </c>
      <c r="AK2090">
        <v>16.988925155818698</v>
      </c>
      <c r="AL2090">
        <v>97.495458398750003</v>
      </c>
      <c r="AM2090">
        <v>95.1864261101681</v>
      </c>
      <c r="AN2090">
        <v>0.99999996898618304</v>
      </c>
    </row>
    <row r="2091" spans="1:40" x14ac:dyDescent="0.25">
      <c r="A2091" t="str">
        <f>"20190305135625371"</f>
        <v>20190305135625371</v>
      </c>
      <c r="B2091" t="str">
        <f>"1551765385364302"</f>
        <v>1551765385364302</v>
      </c>
      <c r="C2091" t="s">
        <v>40</v>
      </c>
      <c r="D2091">
        <v>4.46617</v>
      </c>
      <c r="E2091">
        <v>0.43759870000000001</v>
      </c>
      <c r="F2091" t="s">
        <v>61</v>
      </c>
      <c r="G2091">
        <v>-437.0351</v>
      </c>
      <c r="H2091" s="1">
        <v>5.0582969999999996E-6</v>
      </c>
      <c r="I2091">
        <v>217.80160000000001</v>
      </c>
      <c r="J2091">
        <v>-452.7971</v>
      </c>
      <c r="K2091">
        <v>1.1136699999999999</v>
      </c>
      <c r="L2091">
        <v>215.5761</v>
      </c>
      <c r="M2091">
        <v>0.9929135</v>
      </c>
      <c r="N2091">
        <v>-1.053686E-2</v>
      </c>
      <c r="O2091">
        <v>-0.1183715</v>
      </c>
      <c r="P2091">
        <v>0.98980270000000004</v>
      </c>
      <c r="Q2091">
        <v>-0.14007979999999901</v>
      </c>
      <c r="R2091">
        <v>-2.5849E-2</v>
      </c>
      <c r="S2091">
        <v>3.015015</v>
      </c>
      <c r="T2091">
        <v>-0.20810480000000001</v>
      </c>
      <c r="U2091">
        <v>0.40812680000000001</v>
      </c>
      <c r="V2091">
        <v>-8.9820869999999997E-2</v>
      </c>
      <c r="W2091">
        <v>-0.1308551</v>
      </c>
      <c r="X2091">
        <v>0.98732419999999999</v>
      </c>
      <c r="Y2091">
        <v>-0.24963189999999999</v>
      </c>
      <c r="Z2091">
        <v>1.6774440000000002E-2</v>
      </c>
      <c r="AA2091">
        <v>0.96819549999999999</v>
      </c>
      <c r="AB2091">
        <v>34</v>
      </c>
      <c r="AC2091">
        <v>15.762</v>
      </c>
      <c r="AD2091">
        <v>-1.113664941703</v>
      </c>
      <c r="AE2091">
        <v>2.22550000000001</v>
      </c>
      <c r="AF2091">
        <v>-4.05587500160751</v>
      </c>
      <c r="AG2091">
        <v>-1.113664941703</v>
      </c>
      <c r="AH2091">
        <v>15.312771346744</v>
      </c>
      <c r="AI2091">
        <v>94.021480434762097</v>
      </c>
      <c r="AJ2091">
        <v>104.835201587782</v>
      </c>
      <c r="AK2091">
        <v>15.879903587513001</v>
      </c>
      <c r="AL2091">
        <v>97.519008351821995</v>
      </c>
      <c r="AM2091">
        <v>95.198119619641204</v>
      </c>
      <c r="AN2091">
        <v>0.99999996089460197</v>
      </c>
    </row>
    <row r="2092" spans="1:40" x14ac:dyDescent="0.25">
      <c r="A2092" t="str">
        <f>"20190305135625390"</f>
        <v>20190305135625390</v>
      </c>
      <c r="B2092" t="str">
        <f>"1551765385383823"</f>
        <v>1551765385383823</v>
      </c>
      <c r="C2092" t="s">
        <v>40</v>
      </c>
      <c r="D2092">
        <v>4.5004569999999999</v>
      </c>
      <c r="E2092">
        <v>0.43839</v>
      </c>
      <c r="F2092" t="s">
        <v>61</v>
      </c>
      <c r="G2092">
        <v>-436.91809999999998</v>
      </c>
      <c r="H2092" s="1">
        <v>5.0027119999999999E-6</v>
      </c>
      <c r="I2092">
        <v>217.84399999999999</v>
      </c>
      <c r="J2092">
        <v>-452.48989999999998</v>
      </c>
      <c r="K2092">
        <v>1.1135120000000001</v>
      </c>
      <c r="L2092">
        <v>215.54409999999999</v>
      </c>
      <c r="M2092">
        <v>0.99345019999999995</v>
      </c>
      <c r="N2092">
        <v>-1.0925880000000001E-2</v>
      </c>
      <c r="O2092">
        <v>-0.1137412</v>
      </c>
      <c r="P2092">
        <v>0.98980539999999995</v>
      </c>
      <c r="Q2092">
        <v>-0.14075399999999999</v>
      </c>
      <c r="R2092">
        <v>-2.1755340000000001E-2</v>
      </c>
      <c r="S2092">
        <v>3.012238</v>
      </c>
      <c r="T2092">
        <v>-0.21126220000000001</v>
      </c>
      <c r="U2092">
        <v>0.43020629999999999</v>
      </c>
      <c r="V2092">
        <v>-8.9350009999999994E-2</v>
      </c>
      <c r="W2092">
        <v>-0.13109609999999999</v>
      </c>
      <c r="X2092">
        <v>0.98733499999999996</v>
      </c>
      <c r="Y2092">
        <v>-0.2521718</v>
      </c>
      <c r="Z2092">
        <v>1.686998E-2</v>
      </c>
      <c r="AA2092">
        <v>0.96753540000000005</v>
      </c>
      <c r="AB2092">
        <v>34</v>
      </c>
      <c r="AC2092">
        <v>15.5717999999999</v>
      </c>
      <c r="AD2092">
        <v>-1.1135069972880001</v>
      </c>
      <c r="AE2092">
        <v>2.2999000000000298</v>
      </c>
      <c r="AF2092">
        <v>-4.0360367712790097</v>
      </c>
      <c r="AG2092">
        <v>-1.1135069972880001</v>
      </c>
      <c r="AH2092">
        <v>15.1333934561645</v>
      </c>
      <c r="AI2092">
        <v>94.066572950561294</v>
      </c>
      <c r="AJ2092">
        <v>104.93306144485599</v>
      </c>
      <c r="AK2092">
        <v>15.7018816754938</v>
      </c>
      <c r="AL2092">
        <v>97.532936269920995</v>
      </c>
      <c r="AM2092">
        <v>95.170961836261796</v>
      </c>
      <c r="AN2092">
        <v>1.0000000069735999</v>
      </c>
    </row>
    <row r="2093" spans="1:40" x14ac:dyDescent="0.25">
      <c r="A2093" t="str">
        <f>"20190305135625413"</f>
        <v>20190305135625413</v>
      </c>
      <c r="B2093" t="str">
        <f>"1551765385404318"</f>
        <v>1551765385404318</v>
      </c>
      <c r="C2093" t="s">
        <v>40</v>
      </c>
      <c r="D2093">
        <v>4.4946469999999996</v>
      </c>
      <c r="E2093">
        <v>0.43932660000000001</v>
      </c>
      <c r="F2093" t="s">
        <v>61</v>
      </c>
      <c r="G2093">
        <v>-437.101</v>
      </c>
      <c r="H2093" s="1">
        <v>5.0902040000000001E-6</v>
      </c>
      <c r="I2093">
        <v>217.77080000000001</v>
      </c>
      <c r="J2093">
        <v>-452.14769999999999</v>
      </c>
      <c r="K2093">
        <v>1.1133280000000001</v>
      </c>
      <c r="L2093">
        <v>215.50980000000001</v>
      </c>
      <c r="M2093">
        <v>0.99399269999999995</v>
      </c>
      <c r="N2093">
        <v>-1.131363E-2</v>
      </c>
      <c r="O2093">
        <v>-0.1088611</v>
      </c>
      <c r="P2093">
        <v>0.98987930000000002</v>
      </c>
      <c r="Q2093">
        <v>-0.1407861</v>
      </c>
      <c r="R2093">
        <v>-1.7849509999999999E-2</v>
      </c>
      <c r="S2093">
        <v>3.0094910000000001</v>
      </c>
      <c r="T2093">
        <v>-0.21775949999999999</v>
      </c>
      <c r="U2093">
        <v>0.43547059999999999</v>
      </c>
      <c r="V2093">
        <v>-8.8475390000000001E-2</v>
      </c>
      <c r="W2093">
        <v>-0.13068339999999901</v>
      </c>
      <c r="X2093">
        <v>0.98746849999999997</v>
      </c>
      <c r="Y2093">
        <v>-0.24916189999999999</v>
      </c>
      <c r="Z2093">
        <v>1.6981429999999999E-2</v>
      </c>
      <c r="AA2093">
        <v>0.96831299999999998</v>
      </c>
      <c r="AB2093">
        <v>34</v>
      </c>
      <c r="AC2093">
        <v>15.0466999999999</v>
      </c>
      <c r="AD2093">
        <v>-1.113322909796</v>
      </c>
      <c r="AE2093">
        <v>2.2609999999999899</v>
      </c>
      <c r="AF2093">
        <v>-3.8649737403473399</v>
      </c>
      <c r="AG2093">
        <v>-1.113322909796</v>
      </c>
      <c r="AH2093">
        <v>14.632773860038499</v>
      </c>
      <c r="AI2093">
        <v>94.207182208385404</v>
      </c>
      <c r="AJ2093">
        <v>104.79571074415</v>
      </c>
      <c r="AK2093">
        <v>15.175492768081</v>
      </c>
      <c r="AL2093">
        <v>97.509084843349399</v>
      </c>
      <c r="AM2093">
        <v>95.119926686448395</v>
      </c>
      <c r="AN2093">
        <v>1.0000000420817301</v>
      </c>
    </row>
    <row r="2094" spans="1:40" x14ac:dyDescent="0.25">
      <c r="A2094" t="str">
        <f>"20190305135625435"</f>
        <v>20190305135625435</v>
      </c>
      <c r="B2094" t="str">
        <f>"1551765385423838"</f>
        <v>1551765385423838</v>
      </c>
      <c r="C2094" t="s">
        <v>40</v>
      </c>
      <c r="D2094">
        <v>4.6967189999999999</v>
      </c>
      <c r="E2094">
        <v>0.43901299999999999</v>
      </c>
      <c r="F2094" t="s">
        <v>61</v>
      </c>
      <c r="G2094">
        <v>-436.97120000000001</v>
      </c>
      <c r="H2094" s="1">
        <v>5.0365300000000004E-6</v>
      </c>
      <c r="I2094">
        <v>217.72659999999999</v>
      </c>
      <c r="J2094">
        <v>-451.8082</v>
      </c>
      <c r="K2094">
        <v>1.113137</v>
      </c>
      <c r="L2094">
        <v>215.47730000000001</v>
      </c>
      <c r="M2094">
        <v>0.99447830000000004</v>
      </c>
      <c r="N2094">
        <v>-1.1656649999999999E-2</v>
      </c>
      <c r="O2094">
        <v>-0.1042932</v>
      </c>
      <c r="P2094">
        <v>0.99016000000000004</v>
      </c>
      <c r="Q2094">
        <v>-0.13932169999999999</v>
      </c>
      <c r="R2094">
        <v>-1.3136E-2</v>
      </c>
      <c r="S2094">
        <v>3.0072019999999999</v>
      </c>
      <c r="T2094">
        <v>-0.2206033</v>
      </c>
      <c r="U2094">
        <v>0.4392548</v>
      </c>
      <c r="V2094">
        <v>-8.8756059999999998E-2</v>
      </c>
      <c r="W2094">
        <v>-0.12883069999999999</v>
      </c>
      <c r="X2094">
        <v>0.98768670000000003</v>
      </c>
      <c r="Y2094">
        <v>-0.2460021</v>
      </c>
      <c r="Z2094">
        <v>1.680429E-2</v>
      </c>
      <c r="AA2094">
        <v>0.96912359999999997</v>
      </c>
      <c r="AB2094">
        <v>34</v>
      </c>
      <c r="AC2094">
        <v>14.8369999999999</v>
      </c>
      <c r="AD2094">
        <v>-1.1131319634700001</v>
      </c>
      <c r="AE2094">
        <v>2.2492999999999701</v>
      </c>
      <c r="AF2094">
        <v>-3.7638261481448598</v>
      </c>
      <c r="AG2094">
        <v>-1.1131319634700001</v>
      </c>
      <c r="AH2094">
        <v>14.442011986085401</v>
      </c>
      <c r="AI2094">
        <v>94.265487367522496</v>
      </c>
      <c r="AJ2094">
        <v>104.60729570621299</v>
      </c>
      <c r="AK2094">
        <v>14.9658665050772</v>
      </c>
      <c r="AL2094">
        <v>97.402028157028298</v>
      </c>
      <c r="AM2094">
        <v>95.134953271130001</v>
      </c>
      <c r="AN2094">
        <v>1.00000000240305</v>
      </c>
    </row>
    <row r="2095" spans="1:40" x14ac:dyDescent="0.25">
      <c r="A2095" t="str">
        <f>"20190305135625460"</f>
        <v>20190305135625460</v>
      </c>
      <c r="B2095" t="str">
        <f>"1551765385454094"</f>
        <v>1551765385454094</v>
      </c>
      <c r="C2095" t="s">
        <v>40</v>
      </c>
      <c r="D2095">
        <v>4.5136120000000002</v>
      </c>
      <c r="E2095">
        <v>0.44072099999999997</v>
      </c>
      <c r="F2095" t="s">
        <v>61</v>
      </c>
      <c r="G2095">
        <v>-435.92869999999999</v>
      </c>
      <c r="H2095" s="1">
        <v>4.5603950000000001E-6</v>
      </c>
      <c r="I2095">
        <v>217.88460000000001</v>
      </c>
      <c r="J2095">
        <v>-451.43060000000003</v>
      </c>
      <c r="K2095">
        <v>1.112914</v>
      </c>
      <c r="L2095">
        <v>215.4427</v>
      </c>
      <c r="M2095">
        <v>0.99496200000000001</v>
      </c>
      <c r="N2095">
        <v>-1.1990900000000001E-2</v>
      </c>
      <c r="O2095">
        <v>-9.9532969999999998E-2</v>
      </c>
      <c r="P2095">
        <v>0.99054019999999998</v>
      </c>
      <c r="Q2095">
        <v>-0.13705989999999901</v>
      </c>
      <c r="R2095">
        <v>-6.6961130000000001E-3</v>
      </c>
      <c r="S2095">
        <v>3.0062259999999998</v>
      </c>
      <c r="T2095">
        <v>-0.21073210000000001</v>
      </c>
      <c r="U2095">
        <v>0.45573429999999998</v>
      </c>
      <c r="V2095">
        <v>-9.0591550000000007E-2</v>
      </c>
      <c r="W2095">
        <v>-0.12619939999999999</v>
      </c>
      <c r="X2095">
        <v>0.98785970000000001</v>
      </c>
      <c r="Y2095">
        <v>-0.2466942</v>
      </c>
      <c r="Z2095">
        <v>1.5825280000000001E-2</v>
      </c>
      <c r="AA2095">
        <v>0.96896420000000005</v>
      </c>
      <c r="AB2095">
        <v>34</v>
      </c>
      <c r="AC2095">
        <v>15.501899999999999</v>
      </c>
      <c r="AD2095">
        <v>-1.1129094396050001</v>
      </c>
      <c r="AE2095">
        <v>2.4419</v>
      </c>
      <c r="AF2095">
        <v>-3.9529530546229901</v>
      </c>
      <c r="AG2095">
        <v>-1.1129094396050001</v>
      </c>
      <c r="AH2095">
        <v>15.1058720129134</v>
      </c>
      <c r="AI2095">
        <v>94.076806094647495</v>
      </c>
      <c r="AJ2095">
        <v>104.664513259416</v>
      </c>
      <c r="AK2095">
        <v>15.6541296322515</v>
      </c>
      <c r="AL2095">
        <v>97.250025234161996</v>
      </c>
      <c r="AM2095">
        <v>95.239646976032404</v>
      </c>
      <c r="AN2095">
        <v>0.99999995218792503</v>
      </c>
    </row>
    <row r="2096" spans="1:40" x14ac:dyDescent="0.25">
      <c r="A2096" t="str">
        <f>"20190305135625482"</f>
        <v>20190305135625482</v>
      </c>
      <c r="B2096" t="str">
        <f>"1551765385474591"</f>
        <v>1551765385474591</v>
      </c>
      <c r="C2096" t="s">
        <v>40</v>
      </c>
      <c r="D2096">
        <v>4.5952260000000003</v>
      </c>
      <c r="E2096">
        <v>0.44136120000000001</v>
      </c>
      <c r="F2096" t="s">
        <v>61</v>
      </c>
      <c r="G2096">
        <v>-434.928</v>
      </c>
      <c r="H2096" s="1">
        <v>4.1082529999999999E-6</v>
      </c>
      <c r="I2096">
        <v>217.98050000000001</v>
      </c>
      <c r="J2096">
        <v>-451.0926</v>
      </c>
      <c r="K2096">
        <v>1.1127</v>
      </c>
      <c r="L2096">
        <v>215.41300000000001</v>
      </c>
      <c r="M2096">
        <v>0.99534940000000005</v>
      </c>
      <c r="N2096">
        <v>-1.225133E-2</v>
      </c>
      <c r="O2096">
        <v>-9.5548439999999998E-2</v>
      </c>
      <c r="P2096">
        <v>0.99072689999999997</v>
      </c>
      <c r="Q2096">
        <v>-0.1358665</v>
      </c>
      <c r="R2096">
        <v>-8.2393270000000001E-4</v>
      </c>
      <c r="S2096">
        <v>3.003784</v>
      </c>
      <c r="T2096">
        <v>-0.2025708</v>
      </c>
      <c r="U2096">
        <v>0.46192929999999999</v>
      </c>
      <c r="V2096">
        <v>-9.2593400000000006E-2</v>
      </c>
      <c r="W2096">
        <v>-0.1247158</v>
      </c>
      <c r="X2096">
        <v>0.98786260000000004</v>
      </c>
      <c r="Y2096">
        <v>-0.24495720000000001</v>
      </c>
      <c r="Z2096">
        <v>1.495497E-2</v>
      </c>
      <c r="AA2096">
        <v>0.96941849999999996</v>
      </c>
      <c r="AB2096">
        <v>34</v>
      </c>
      <c r="AC2096">
        <v>16.164599999999901</v>
      </c>
      <c r="AD2096">
        <v>-1.112695891747</v>
      </c>
      <c r="AE2096">
        <v>2.5675000000000199</v>
      </c>
      <c r="AF2096">
        <v>-4.0815060514006198</v>
      </c>
      <c r="AG2096">
        <v>-1.112695891747</v>
      </c>
      <c r="AH2096">
        <v>15.7723978705883</v>
      </c>
      <c r="AI2096">
        <v>93.907081624896904</v>
      </c>
      <c r="AJ2096">
        <v>104.508466423173</v>
      </c>
      <c r="AK2096">
        <v>16.329890335923</v>
      </c>
      <c r="AL2096">
        <v>97.164343585842403</v>
      </c>
      <c r="AM2096">
        <v>95.354748817219402</v>
      </c>
      <c r="AN2096">
        <v>1.0000000424859701</v>
      </c>
    </row>
    <row r="2097" spans="1:40" x14ac:dyDescent="0.25">
      <c r="A2097" t="str">
        <f>"20190305135625524"</f>
        <v>20190305135625524</v>
      </c>
      <c r="B2097" t="str">
        <f>"1551765385514606"</f>
        <v>1551765385514606</v>
      </c>
      <c r="C2097" t="s">
        <v>40</v>
      </c>
      <c r="D2097">
        <v>4.5115379999999998</v>
      </c>
      <c r="E2097">
        <v>0.44270720000000002</v>
      </c>
      <c r="F2097" t="s">
        <v>61</v>
      </c>
      <c r="G2097">
        <v>-434.50760000000002</v>
      </c>
      <c r="H2097" s="1">
        <v>3.9168969999999998E-6</v>
      </c>
      <c r="I2097">
        <v>218.0367</v>
      </c>
      <c r="J2097">
        <v>-450.45870000000002</v>
      </c>
      <c r="K2097">
        <v>1.1122749999999999</v>
      </c>
      <c r="L2097">
        <v>215.3603</v>
      </c>
      <c r="M2097">
        <v>0.99597639999999998</v>
      </c>
      <c r="N2097">
        <v>-1.2652170000000001E-2</v>
      </c>
      <c r="O2097">
        <v>-8.8717779999999996E-2</v>
      </c>
      <c r="P2097">
        <v>0.99052589999999996</v>
      </c>
      <c r="Q2097">
        <v>-0.13722999999999999</v>
      </c>
      <c r="R2097">
        <v>5.1450790000000003E-3</v>
      </c>
      <c r="S2097">
        <v>3.0008539999999999</v>
      </c>
      <c r="T2097">
        <v>-0.2013286</v>
      </c>
      <c r="U2097">
        <v>0.47473140000000003</v>
      </c>
      <c r="V2097">
        <v>-9.1877680000000003E-2</v>
      </c>
      <c r="W2097">
        <v>-0.12557769999999999</v>
      </c>
      <c r="X2097">
        <v>0.98782020000000004</v>
      </c>
      <c r="Y2097">
        <v>-0.24251</v>
      </c>
      <c r="Z2097">
        <v>1.4421120000000001E-2</v>
      </c>
      <c r="AA2097">
        <v>0.97004179999999995</v>
      </c>
      <c r="AB2097">
        <v>34</v>
      </c>
      <c r="AC2097">
        <v>15.951099999999901</v>
      </c>
      <c r="AD2097">
        <v>-1.1122710831029901</v>
      </c>
      <c r="AE2097">
        <v>2.6764000000000001</v>
      </c>
      <c r="AF2097">
        <v>-4.06189497882428</v>
      </c>
      <c r="AG2097">
        <v>-1.1122710831029901</v>
      </c>
      <c r="AH2097">
        <v>15.5770621535237</v>
      </c>
      <c r="AI2097">
        <v>93.952511497999694</v>
      </c>
      <c r="AJ2097">
        <v>104.615065944495</v>
      </c>
      <c r="AK2097">
        <v>16.136325576662301</v>
      </c>
      <c r="AL2097">
        <v>97.214118389253997</v>
      </c>
      <c r="AM2097">
        <v>95.313822769046098</v>
      </c>
      <c r="AN2097">
        <v>1.00000000717375</v>
      </c>
    </row>
    <row r="2098" spans="1:40" x14ac:dyDescent="0.25">
      <c r="A2098" t="str">
        <f>"20190305135625547"</f>
        <v>20190305135625547</v>
      </c>
      <c r="B2098" t="str">
        <f>"1551765385543887"</f>
        <v>1551765385543887</v>
      </c>
      <c r="C2098" t="s">
        <v>40</v>
      </c>
      <c r="D2098">
        <v>4.7054739999999997</v>
      </c>
      <c r="E2098">
        <v>0.4437798</v>
      </c>
      <c r="F2098" t="s">
        <v>61</v>
      </c>
      <c r="G2098">
        <v>-434.6678</v>
      </c>
      <c r="H2098" s="1">
        <v>3.9999660000000002E-6</v>
      </c>
      <c r="I2098">
        <v>217.899</v>
      </c>
      <c r="J2098">
        <v>-450.11399999999998</v>
      </c>
      <c r="K2098">
        <v>1.112079</v>
      </c>
      <c r="L2098">
        <v>215.33320000000001</v>
      </c>
      <c r="M2098">
        <v>0.99627469999999996</v>
      </c>
      <c r="N2098">
        <v>-1.282958E-2</v>
      </c>
      <c r="O2098">
        <v>-8.527767E-2</v>
      </c>
      <c r="P2098">
        <v>0.99019570000000001</v>
      </c>
      <c r="Q2098">
        <v>-0.13949700000000001</v>
      </c>
      <c r="R2098">
        <v>7.2896039999999999E-3</v>
      </c>
      <c r="S2098">
        <v>2.9969790000000001</v>
      </c>
      <c r="T2098">
        <v>-0.21109890000000001</v>
      </c>
      <c r="U2098">
        <v>0.4818115</v>
      </c>
      <c r="V2098">
        <v>-9.0625899999999995E-2</v>
      </c>
      <c r="W2098">
        <v>-0.12761410000000001</v>
      </c>
      <c r="X2098">
        <v>0.98767479999999996</v>
      </c>
      <c r="Y2098">
        <v>-0.24152090000000001</v>
      </c>
      <c r="Z2098">
        <v>1.488368E-2</v>
      </c>
      <c r="AA2098">
        <v>0.97028150000000002</v>
      </c>
      <c r="AB2098">
        <v>34</v>
      </c>
      <c r="AC2098">
        <v>15.446199999999999</v>
      </c>
      <c r="AD2098">
        <v>-1.1120750000340001</v>
      </c>
      <c r="AE2098">
        <v>2.5657999999999901</v>
      </c>
      <c r="AF2098">
        <v>-3.8543335526140199</v>
      </c>
      <c r="AG2098">
        <v>-1.1120750000340001</v>
      </c>
      <c r="AH2098">
        <v>15.0949562896595</v>
      </c>
      <c r="AI2098">
        <v>94.082946196085899</v>
      </c>
      <c r="AJ2098">
        <v>104.32379668819701</v>
      </c>
      <c r="AK2098">
        <v>15.6189085190751</v>
      </c>
      <c r="AL2098">
        <v>97.331742227462996</v>
      </c>
      <c r="AM2098">
        <v>95.242598454855695</v>
      </c>
      <c r="AN2098">
        <v>0.99999996141232905</v>
      </c>
    </row>
    <row r="2099" spans="1:40" x14ac:dyDescent="0.25">
      <c r="A2099" t="str">
        <f>"20190305135625571"</f>
        <v>20190305135625571</v>
      </c>
      <c r="B2099" t="str">
        <f>"1551765385564383"</f>
        <v>1551765385564383</v>
      </c>
      <c r="C2099" t="s">
        <v>40</v>
      </c>
      <c r="D2099">
        <v>4.4820310000000001</v>
      </c>
      <c r="E2099">
        <v>0.44458799999999998</v>
      </c>
      <c r="F2099" t="s">
        <v>61</v>
      </c>
      <c r="G2099">
        <v>-435.05259999999998</v>
      </c>
      <c r="H2099" s="1">
        <v>4.1839930000000001E-6</v>
      </c>
      <c r="I2099">
        <v>217.74639999999999</v>
      </c>
      <c r="J2099">
        <v>-449.75970000000001</v>
      </c>
      <c r="K2099">
        <v>1.1119159999999999</v>
      </c>
      <c r="L2099">
        <v>215.3064</v>
      </c>
      <c r="M2099">
        <v>0.9965579</v>
      </c>
      <c r="N2099">
        <v>-1.295572E-2</v>
      </c>
      <c r="O2099">
        <v>-8.1882860000000002E-2</v>
      </c>
      <c r="P2099">
        <v>0.99004179999999997</v>
      </c>
      <c r="Q2099">
        <v>-0.14049829999999999</v>
      </c>
      <c r="R2099">
        <v>8.8218900000000006E-3</v>
      </c>
      <c r="S2099">
        <v>2.9949949999999999</v>
      </c>
      <c r="T2099">
        <v>-0.22113940000000001</v>
      </c>
      <c r="U2099">
        <v>0.47985840000000002</v>
      </c>
      <c r="V2099">
        <v>-8.8828000000000004E-2</v>
      </c>
      <c r="W2099">
        <v>-0.12843660000000001</v>
      </c>
      <c r="X2099">
        <v>0.98773160000000004</v>
      </c>
      <c r="Y2099">
        <v>-0.23763570000000001</v>
      </c>
      <c r="Z2099">
        <v>1.520963E-2</v>
      </c>
      <c r="AA2099">
        <v>0.97123530000000002</v>
      </c>
      <c r="AB2099">
        <v>34</v>
      </c>
      <c r="AC2099">
        <v>14.707100000000001</v>
      </c>
      <c r="AD2099">
        <v>-1.1119118160069901</v>
      </c>
      <c r="AE2099">
        <v>2.4399999999999902</v>
      </c>
      <c r="AF2099">
        <v>-3.6160499176088501</v>
      </c>
      <c r="AG2099">
        <v>-1.1119118160069901</v>
      </c>
      <c r="AH2099">
        <v>14.3779121696827</v>
      </c>
      <c r="AI2099">
        <v>94.2891047693563</v>
      </c>
      <c r="AJ2099">
        <v>104.11712180046</v>
      </c>
      <c r="AK2099">
        <v>14.867297106479199</v>
      </c>
      <c r="AL2099">
        <v>97.379258419341298</v>
      </c>
      <c r="AM2099">
        <v>95.138860698397906</v>
      </c>
      <c r="AN2099">
        <v>1.0000000437210499</v>
      </c>
    </row>
    <row r="2100" spans="1:40" x14ac:dyDescent="0.25">
      <c r="A2100" t="str">
        <f>"20190305135625591"</f>
        <v>20190305135625591</v>
      </c>
      <c r="B2100" t="str">
        <f>"1551765385583902"</f>
        <v>1551765385583902</v>
      </c>
      <c r="C2100" t="s">
        <v>40</v>
      </c>
      <c r="D2100">
        <v>4.498799</v>
      </c>
      <c r="E2100">
        <v>0.44535360000000002</v>
      </c>
      <c r="F2100" t="s">
        <v>61</v>
      </c>
      <c r="G2100">
        <v>-435.36110000000002</v>
      </c>
      <c r="H2100" s="1">
        <v>4.3330340000000004E-6</v>
      </c>
      <c r="I2100">
        <v>217.6061</v>
      </c>
      <c r="J2100">
        <v>-449.44060000000002</v>
      </c>
      <c r="K2100">
        <v>1.111774</v>
      </c>
      <c r="L2100">
        <v>215.2833</v>
      </c>
      <c r="M2100">
        <v>0.9967973</v>
      </c>
      <c r="N2100">
        <v>-1.2948650000000001E-2</v>
      </c>
      <c r="O2100">
        <v>-7.8914750000000006E-2</v>
      </c>
      <c r="P2100">
        <v>0.99006400000000006</v>
      </c>
      <c r="Q2100">
        <v>-0.1402764</v>
      </c>
      <c r="R2100">
        <v>9.7964709999999993E-3</v>
      </c>
      <c r="S2100">
        <v>2.9930729999999999</v>
      </c>
      <c r="T2100">
        <v>-0.2311357</v>
      </c>
      <c r="U2100">
        <v>0.47804259999999899</v>
      </c>
      <c r="V2100">
        <v>-8.6903960000000002E-2</v>
      </c>
      <c r="W2100">
        <v>-0.12817780000000001</v>
      </c>
      <c r="X2100">
        <v>0.98793629999999999</v>
      </c>
      <c r="Y2100">
        <v>-0.23420150000000001</v>
      </c>
      <c r="Z2100">
        <v>1.5539580000000001E-2</v>
      </c>
      <c r="AA2100">
        <v>0.97206389999999998</v>
      </c>
      <c r="AB2100">
        <v>34</v>
      </c>
      <c r="AC2100">
        <v>14.0794999999999</v>
      </c>
      <c r="AD2100">
        <v>-1.111769666966</v>
      </c>
      <c r="AE2100">
        <v>2.3228</v>
      </c>
      <c r="AF2100">
        <v>-3.4060532353688</v>
      </c>
      <c r="AG2100">
        <v>-1.111769666966</v>
      </c>
      <c r="AH2100">
        <v>13.768688587332599</v>
      </c>
      <c r="AI2100">
        <v>94.481879288338007</v>
      </c>
      <c r="AJ2100">
        <v>103.89469569778799</v>
      </c>
      <c r="AK2100">
        <v>14.2272279748901</v>
      </c>
      <c r="AL2100">
        <v>97.364307087798494</v>
      </c>
      <c r="AM2100">
        <v>95.027091884520701</v>
      </c>
      <c r="AN2100">
        <v>0.99999998976710502</v>
      </c>
    </row>
    <row r="2101" spans="1:40" x14ac:dyDescent="0.25">
      <c r="A2101" t="str">
        <f>"20190305135625615"</f>
        <v>20190305135625615</v>
      </c>
      <c r="B2101" t="str">
        <f>"1551765385604399"</f>
        <v>1551765385604399</v>
      </c>
      <c r="C2101" t="s">
        <v>40</v>
      </c>
      <c r="D2101">
        <v>4.4722879999999998</v>
      </c>
      <c r="E2101">
        <v>0.44605339999999999</v>
      </c>
      <c r="F2101" t="s">
        <v>61</v>
      </c>
      <c r="G2101">
        <v>-435.12779999999998</v>
      </c>
      <c r="H2101" s="1">
        <v>4.2339659999999999E-6</v>
      </c>
      <c r="I2101">
        <v>217.55609999999999</v>
      </c>
      <c r="J2101">
        <v>-449.07549999999998</v>
      </c>
      <c r="K2101">
        <v>1.1116410000000001</v>
      </c>
      <c r="L2101">
        <v>215.25800000000001</v>
      </c>
      <c r="M2101">
        <v>0.99705619999999995</v>
      </c>
      <c r="N2101">
        <v>-1.2863110000000001E-2</v>
      </c>
      <c r="O2101">
        <v>-7.5589050000000005E-2</v>
      </c>
      <c r="P2101">
        <v>0.99016409999999999</v>
      </c>
      <c r="Q2101">
        <v>-0.13947590000000001</v>
      </c>
      <c r="R2101">
        <v>1.103846E-2</v>
      </c>
      <c r="S2101">
        <v>2.9924930000000001</v>
      </c>
      <c r="T2101">
        <v>-0.2324466</v>
      </c>
      <c r="U2101">
        <v>0.47518919999999998</v>
      </c>
      <c r="V2101">
        <v>-8.4896830000000006E-2</v>
      </c>
      <c r="W2101">
        <v>-0.12742110000000001</v>
      </c>
      <c r="X2101">
        <v>0.98820870000000005</v>
      </c>
      <c r="Y2101">
        <v>-0.23009260000000001</v>
      </c>
      <c r="Z2101">
        <v>1.5225829999999999E-2</v>
      </c>
      <c r="AA2101">
        <v>0.97304959999999996</v>
      </c>
      <c r="AB2101">
        <v>34</v>
      </c>
      <c r="AC2101">
        <v>13.9476999999999</v>
      </c>
      <c r="AD2101">
        <v>-1.1116367660340001</v>
      </c>
      <c r="AE2101">
        <v>2.2980999999999998</v>
      </c>
      <c r="AF2101">
        <v>-3.3253399127804499</v>
      </c>
      <c r="AG2101">
        <v>-1.1116367660340001</v>
      </c>
      <c r="AH2101">
        <v>13.6496512598422</v>
      </c>
      <c r="AI2101">
        <v>94.524182247579901</v>
      </c>
      <c r="AJ2101">
        <v>103.691733114881</v>
      </c>
      <c r="AK2101">
        <v>14.092785436188301</v>
      </c>
      <c r="AL2101">
        <v>97.3205926806002</v>
      </c>
      <c r="AM2101">
        <v>94.910213759766407</v>
      </c>
      <c r="AN2101">
        <v>1.00000002161247</v>
      </c>
    </row>
    <row r="2102" spans="1:40" x14ac:dyDescent="0.25">
      <c r="A2102" t="str">
        <f>"20190305135625635"</f>
        <v>20190305135625635</v>
      </c>
      <c r="B2102" t="str">
        <f>"1551765385623918"</f>
        <v>1551765385623918</v>
      </c>
      <c r="C2102" t="s">
        <v>40</v>
      </c>
      <c r="D2102">
        <v>4.4422069999999998</v>
      </c>
      <c r="E2102">
        <v>0.44672830000000002</v>
      </c>
      <c r="F2102" t="s">
        <v>61</v>
      </c>
      <c r="G2102">
        <v>-434.76389999999998</v>
      </c>
      <c r="H2102" s="1">
        <v>4.075524E-6</v>
      </c>
      <c r="I2102">
        <v>217.52260000000001</v>
      </c>
      <c r="J2102">
        <v>-448.75889999999998</v>
      </c>
      <c r="K2102">
        <v>1.1115090000000001</v>
      </c>
      <c r="L2102">
        <v>215.23689999999999</v>
      </c>
      <c r="M2102">
        <v>0.99727239999999995</v>
      </c>
      <c r="N2102">
        <v>-1.265291E-2</v>
      </c>
      <c r="O2102">
        <v>-7.2717790000000004E-2</v>
      </c>
      <c r="P2102">
        <v>0.99018879999999998</v>
      </c>
      <c r="Q2102">
        <v>-0.13922179999999901</v>
      </c>
      <c r="R2102">
        <v>1.1985829999999999E-2</v>
      </c>
      <c r="S2102">
        <v>2.9917910000000001</v>
      </c>
      <c r="T2102">
        <v>-0.2323846</v>
      </c>
      <c r="U2102">
        <v>0.47340389999999999</v>
      </c>
      <c r="V2102">
        <v>-8.3025840000000004E-2</v>
      </c>
      <c r="W2102">
        <v>-0.12734300000000001</v>
      </c>
      <c r="X2102">
        <v>0.98837770000000003</v>
      </c>
      <c r="Y2102">
        <v>-0.2267767</v>
      </c>
      <c r="Z2102">
        <v>1.488282E-2</v>
      </c>
      <c r="AA2102">
        <v>0.97383310000000001</v>
      </c>
      <c r="AB2102">
        <v>34</v>
      </c>
      <c r="AC2102">
        <v>13.994999999999999</v>
      </c>
      <c r="AD2102">
        <v>-1.111504924476</v>
      </c>
      <c r="AE2102">
        <v>2.2857000000000198</v>
      </c>
      <c r="AF2102">
        <v>-3.2772793231590498</v>
      </c>
      <c r="AG2102">
        <v>-1.111504924476</v>
      </c>
      <c r="AH2102">
        <v>13.7075012143984</v>
      </c>
      <c r="AI2102">
        <v>94.509276993428301</v>
      </c>
      <c r="AJ2102">
        <v>103.446237208485</v>
      </c>
      <c r="AK2102">
        <v>14.137595004167901</v>
      </c>
      <c r="AL2102">
        <v>97.316081258951399</v>
      </c>
      <c r="AM2102">
        <v>94.801694992726695</v>
      </c>
      <c r="AN2102">
        <v>1.0000000038069901</v>
      </c>
    </row>
    <row r="2103" spans="1:40" x14ac:dyDescent="0.25">
      <c r="A2103" t="str">
        <f>"20190305135625682"</f>
        <v>20190305135625682</v>
      </c>
      <c r="B2103" t="str">
        <f>"1551765385674670"</f>
        <v>1551765385674670</v>
      </c>
      <c r="C2103" t="s">
        <v>40</v>
      </c>
      <c r="D2103">
        <v>4.4797529999999997</v>
      </c>
      <c r="E2103">
        <v>0.44827070000000002</v>
      </c>
      <c r="F2103" t="s">
        <v>61</v>
      </c>
      <c r="G2103">
        <v>-434.52440000000001</v>
      </c>
      <c r="H2103" s="1">
        <v>3.9730989999999999E-6</v>
      </c>
      <c r="I2103">
        <v>217.47929999999999</v>
      </c>
      <c r="J2103">
        <v>-448.05290000000002</v>
      </c>
      <c r="K2103">
        <v>1.1111709999999999</v>
      </c>
      <c r="L2103">
        <v>215.19309999999999</v>
      </c>
      <c r="M2103">
        <v>0.99773089999999998</v>
      </c>
      <c r="N2103">
        <v>-1.1706070000000001E-2</v>
      </c>
      <c r="O2103">
        <v>-6.6303920000000002E-2</v>
      </c>
      <c r="P2103">
        <v>0.99014449999999998</v>
      </c>
      <c r="Q2103">
        <v>-0.13895160000000001</v>
      </c>
      <c r="R2103">
        <v>1.7514780000000001E-2</v>
      </c>
      <c r="S2103">
        <v>2.9911799999999999</v>
      </c>
      <c r="T2103">
        <v>-0.2335682</v>
      </c>
      <c r="U2103">
        <v>0.47120669999999998</v>
      </c>
      <c r="V2103">
        <v>-8.2227759999999997E-2</v>
      </c>
      <c r="W2103">
        <v>-0.12797549999999999</v>
      </c>
      <c r="X2103">
        <v>0.98836270000000004</v>
      </c>
      <c r="Y2103">
        <v>-0.21987380000000001</v>
      </c>
      <c r="Z2103">
        <v>1.418816E-2</v>
      </c>
      <c r="AA2103">
        <v>0.97542510000000004</v>
      </c>
      <c r="AB2103">
        <v>34</v>
      </c>
      <c r="AC2103">
        <v>13.528499999999999</v>
      </c>
      <c r="AD2103">
        <v>-1.1111670269010001</v>
      </c>
      <c r="AE2103">
        <v>2.2862</v>
      </c>
      <c r="AF2103">
        <v>-3.1575126399760198</v>
      </c>
      <c r="AG2103">
        <v>-1.1111670269010001</v>
      </c>
      <c r="AH2103">
        <v>13.2601597352739</v>
      </c>
      <c r="AI2103">
        <v>94.660342937209904</v>
      </c>
      <c r="AJ2103">
        <v>103.393854303892</v>
      </c>
      <c r="AK2103">
        <v>13.6761257100927</v>
      </c>
      <c r="AL2103">
        <v>97.352619971661298</v>
      </c>
      <c r="AM2103">
        <v>94.755823609997506</v>
      </c>
      <c r="AN2103">
        <v>0.99999997993307799</v>
      </c>
    </row>
    <row r="2104" spans="1:40" x14ac:dyDescent="0.25">
      <c r="A2104" t="str">
        <f>"20190305135625703"</f>
        <v>20190305135625703</v>
      </c>
      <c r="B2104" t="str">
        <f>"1551765385694190"</f>
        <v>1551765385694190</v>
      </c>
      <c r="C2104" t="s">
        <v>40</v>
      </c>
      <c r="D2104">
        <v>4.4322679999999997</v>
      </c>
      <c r="E2104">
        <v>0.44889200000000001</v>
      </c>
      <c r="F2104" t="s">
        <v>61</v>
      </c>
      <c r="G2104">
        <v>-434.05700000000002</v>
      </c>
      <c r="H2104" s="1">
        <v>3.770823E-6</v>
      </c>
      <c r="I2104">
        <v>217.422</v>
      </c>
      <c r="J2104">
        <v>-447.71449999999999</v>
      </c>
      <c r="K2104">
        <v>1.1110370000000001</v>
      </c>
      <c r="L2104">
        <v>215.17349999999999</v>
      </c>
      <c r="M2104">
        <v>0.99793719999999997</v>
      </c>
      <c r="N2104">
        <v>-1.1153039999999999E-2</v>
      </c>
      <c r="O2104">
        <v>-6.3222100000000003E-2</v>
      </c>
      <c r="P2104">
        <v>0.99022290000000002</v>
      </c>
      <c r="Q2104">
        <v>-0.13794010000000001</v>
      </c>
      <c r="R2104">
        <v>2.076836E-2</v>
      </c>
      <c r="S2104">
        <v>2.988159</v>
      </c>
      <c r="T2104">
        <v>-0.2372369</v>
      </c>
      <c r="U2104">
        <v>0.47589110000000001</v>
      </c>
      <c r="V2104">
        <v>-8.2448679999999996E-2</v>
      </c>
      <c r="W2104">
        <v>-0.12750149999999999</v>
      </c>
      <c r="X2104">
        <v>0.9884056</v>
      </c>
      <c r="Y2104">
        <v>-0.2184893</v>
      </c>
      <c r="Z2104">
        <v>1.4118500000000001E-2</v>
      </c>
      <c r="AA2104">
        <v>0.97573719999999997</v>
      </c>
      <c r="AB2104">
        <v>34</v>
      </c>
      <c r="AC2104">
        <v>13.657500000000001</v>
      </c>
      <c r="AD2104">
        <v>-1.111033229177</v>
      </c>
      <c r="AE2104">
        <v>2.2484999999999999</v>
      </c>
      <c r="AF2104">
        <v>-3.0876168583315202</v>
      </c>
      <c r="AG2104">
        <v>-1.111033229177</v>
      </c>
      <c r="AH2104">
        <v>13.4016621255724</v>
      </c>
      <c r="AI2104">
        <v>94.618683833182899</v>
      </c>
      <c r="AJ2104">
        <v>102.974017537488</v>
      </c>
      <c r="AK2104">
        <v>13.7975476236972</v>
      </c>
      <c r="AL2104">
        <v>97.325237127977999</v>
      </c>
      <c r="AM2104">
        <v>94.768336145636198</v>
      </c>
      <c r="AN2104">
        <v>1.0000000237236699</v>
      </c>
    </row>
    <row r="2105" spans="1:40" x14ac:dyDescent="0.25">
      <c r="A2105" t="str">
        <f>"20190305135625725"</f>
        <v>20190305135625725</v>
      </c>
      <c r="B2105" t="str">
        <f>"1551765385713711"</f>
        <v>1551765385713711</v>
      </c>
      <c r="C2105" t="s">
        <v>40</v>
      </c>
      <c r="D2105">
        <v>4.4561089999999997</v>
      </c>
      <c r="E2105">
        <v>0.44944590000000001</v>
      </c>
      <c r="F2105" t="s">
        <v>61</v>
      </c>
      <c r="G2105">
        <v>-433.61149999999998</v>
      </c>
      <c r="H2105" s="1">
        <v>3.5713960000000001E-6</v>
      </c>
      <c r="I2105">
        <v>217.4435</v>
      </c>
      <c r="J2105">
        <v>-447.3845</v>
      </c>
      <c r="K2105">
        <v>1.110927</v>
      </c>
      <c r="L2105">
        <v>215.15530000000001</v>
      </c>
      <c r="M2105">
        <v>0.99812920000000005</v>
      </c>
      <c r="N2105">
        <v>-1.059909E-2</v>
      </c>
      <c r="O2105">
        <v>-6.0215629999999999E-2</v>
      </c>
      <c r="P2105">
        <v>0.99041109999999999</v>
      </c>
      <c r="Q2105">
        <v>-0.1359976</v>
      </c>
      <c r="R2105">
        <v>2.4308929999999999E-2</v>
      </c>
      <c r="S2105">
        <v>2.986755</v>
      </c>
      <c r="T2105">
        <v>-0.23529720000000001</v>
      </c>
      <c r="U2105">
        <v>0.48074339999999999</v>
      </c>
      <c r="V2105">
        <v>-8.3041019999999993E-2</v>
      </c>
      <c r="W2105">
        <v>-0.12610160000000001</v>
      </c>
      <c r="X2105">
        <v>0.98853559999999996</v>
      </c>
      <c r="Y2105">
        <v>-0.2171942</v>
      </c>
      <c r="Z2105">
        <v>1.3725080000000001E-2</v>
      </c>
      <c r="AA2105">
        <v>0.97603189999999995</v>
      </c>
      <c r="AB2105">
        <v>35</v>
      </c>
      <c r="AC2105">
        <v>13.773</v>
      </c>
      <c r="AD2105">
        <v>-1.110923428604</v>
      </c>
      <c r="AE2105">
        <v>2.2881999999999798</v>
      </c>
      <c r="AF2105">
        <v>-3.0938559018231602</v>
      </c>
      <c r="AG2105">
        <v>-1.110923428604</v>
      </c>
      <c r="AH2105">
        <v>13.524584534713499</v>
      </c>
      <c r="AI2105">
        <v>94.578057059074396</v>
      </c>
      <c r="AJ2105">
        <v>102.885156092735</v>
      </c>
      <c r="AK2105">
        <v>13.918350550337401</v>
      </c>
      <c r="AL2105">
        <v>97.244376024430196</v>
      </c>
      <c r="AM2105">
        <v>94.801805270025795</v>
      </c>
      <c r="AN2105">
        <v>1.00000002849627</v>
      </c>
    </row>
    <row r="2106" spans="1:40" x14ac:dyDescent="0.25">
      <c r="A2106" t="str">
        <f>"20190305135625747"</f>
        <v>20190305135625747</v>
      </c>
      <c r="B2106" t="str">
        <f>"1551765385743966"</f>
        <v>1551765385743966</v>
      </c>
      <c r="C2106" t="s">
        <v>40</v>
      </c>
      <c r="D2106">
        <v>4.4144899999999998</v>
      </c>
      <c r="E2106">
        <v>0.44996530000000001</v>
      </c>
      <c r="F2106" t="s">
        <v>61</v>
      </c>
      <c r="G2106">
        <v>-432.94299999999998</v>
      </c>
      <c r="H2106" s="1">
        <v>3.268993E-6</v>
      </c>
      <c r="I2106">
        <v>217.5112</v>
      </c>
      <c r="J2106">
        <v>-447.03390000000002</v>
      </c>
      <c r="K2106">
        <v>1.1108340000000001</v>
      </c>
      <c r="L2106">
        <v>215.1369</v>
      </c>
      <c r="M2106">
        <v>0.99832180000000004</v>
      </c>
      <c r="N2106">
        <v>-1.000701E-2</v>
      </c>
      <c r="O2106">
        <v>-5.7040250000000001E-2</v>
      </c>
      <c r="P2106">
        <v>0.99050079999999996</v>
      </c>
      <c r="Q2106">
        <v>-0.1347555</v>
      </c>
      <c r="R2106">
        <v>2.7378489999999998E-2</v>
      </c>
      <c r="S2106">
        <v>2.9855649999999998</v>
      </c>
      <c r="T2106">
        <v>-0.22966690000000001</v>
      </c>
      <c r="U2106">
        <v>0.48704530000000001</v>
      </c>
      <c r="V2106">
        <v>-8.2981100000000002E-2</v>
      </c>
      <c r="W2106">
        <v>-0.12543789999999999</v>
      </c>
      <c r="X2106">
        <v>0.98862499999999998</v>
      </c>
      <c r="Y2106">
        <v>-0.21621080000000001</v>
      </c>
      <c r="Z2106">
        <v>1.3130330000000001E-2</v>
      </c>
      <c r="AA2106">
        <v>0.97625839999999997</v>
      </c>
      <c r="AB2106">
        <v>35</v>
      </c>
      <c r="AC2106">
        <v>14.0908999999999</v>
      </c>
      <c r="AD2106">
        <v>-1.110830731007</v>
      </c>
      <c r="AE2106">
        <v>2.3742999999999999</v>
      </c>
      <c r="AF2106">
        <v>-3.1551556963591798</v>
      </c>
      <c r="AG2106">
        <v>-1.110830731007</v>
      </c>
      <c r="AH2106">
        <v>13.848828746863401</v>
      </c>
      <c r="AI2106">
        <v>94.471836977706801</v>
      </c>
      <c r="AJ2106">
        <v>102.834533249467</v>
      </c>
      <c r="AK2106">
        <v>14.2470702265823</v>
      </c>
      <c r="AL2106">
        <v>97.206044937402297</v>
      </c>
      <c r="AM2106">
        <v>94.797924726777495</v>
      </c>
      <c r="AN2106">
        <v>0.99999996016930903</v>
      </c>
    </row>
    <row r="2107" spans="1:40" x14ac:dyDescent="0.25">
      <c r="A2107" t="str">
        <f>"20190305135625771"</f>
        <v>20190305135625771</v>
      </c>
      <c r="B2107" t="str">
        <f>"1551765385764463"</f>
        <v>1551765385764463</v>
      </c>
      <c r="C2107" t="s">
        <v>40</v>
      </c>
      <c r="D2107">
        <v>4.4464119999999996</v>
      </c>
      <c r="E2107">
        <v>0.45066079999999997</v>
      </c>
      <c r="F2107" t="s">
        <v>61</v>
      </c>
      <c r="G2107">
        <v>-432.42509999999999</v>
      </c>
      <c r="H2107" s="1">
        <v>3.0364510000000002E-6</v>
      </c>
      <c r="I2107">
        <v>217.54429999999999</v>
      </c>
      <c r="J2107">
        <v>-446.68099999999998</v>
      </c>
      <c r="K2107">
        <v>1.1107659999999999</v>
      </c>
      <c r="L2107">
        <v>215.11949999999999</v>
      </c>
      <c r="M2107">
        <v>0.998502</v>
      </c>
      <c r="N2107">
        <v>-9.4367530000000008E-3</v>
      </c>
      <c r="O2107">
        <v>-5.3898849999999998E-2</v>
      </c>
      <c r="P2107">
        <v>0.99055499999999996</v>
      </c>
      <c r="Q2107">
        <v>-0.1337063</v>
      </c>
      <c r="R2107">
        <v>3.0390879999999999E-2</v>
      </c>
      <c r="S2107">
        <v>2.9843139999999999</v>
      </c>
      <c r="T2107">
        <v>-0.22692309999999999</v>
      </c>
      <c r="U2107">
        <v>0.49177549999999998</v>
      </c>
      <c r="V2107">
        <v>-8.2893889999999998E-2</v>
      </c>
      <c r="W2107">
        <v>-0.1249465</v>
      </c>
      <c r="X2107">
        <v>0.98869450000000003</v>
      </c>
      <c r="Y2107">
        <v>-0.21474360000000001</v>
      </c>
      <c r="Z2107">
        <v>1.268388E-2</v>
      </c>
      <c r="AA2107">
        <v>0.97658809999999996</v>
      </c>
      <c r="AB2107">
        <v>35</v>
      </c>
      <c r="AC2107">
        <v>14.255899999999899</v>
      </c>
      <c r="AD2107">
        <v>-1.1107629635489999</v>
      </c>
      <c r="AE2107">
        <v>2.4247999999999998</v>
      </c>
      <c r="AF2107">
        <v>-3.1709762656836702</v>
      </c>
      <c r="AG2107">
        <v>-1.1107629635489999</v>
      </c>
      <c r="AH2107">
        <v>14.021744863971399</v>
      </c>
      <c r="AI2107">
        <v>94.418238369487796</v>
      </c>
      <c r="AJ2107">
        <v>102.74292252825801</v>
      </c>
      <c r="AK2107">
        <v>14.4186758708637</v>
      </c>
      <c r="AL2107">
        <v>97.177666815710197</v>
      </c>
      <c r="AM2107">
        <v>94.792570445503102</v>
      </c>
      <c r="AN2107">
        <v>0.99999991959591195</v>
      </c>
    </row>
    <row r="2108" spans="1:40" x14ac:dyDescent="0.25">
      <c r="A2108" t="str">
        <f>"20190305135625814"</f>
        <v>20190305135625814</v>
      </c>
      <c r="B2108" t="str">
        <f>"1551765385804479"</f>
        <v>1551765385804479</v>
      </c>
      <c r="C2108" t="s">
        <v>40</v>
      </c>
      <c r="D2108">
        <v>4.4846550000000001</v>
      </c>
      <c r="E2108">
        <v>0.45132519999999998</v>
      </c>
      <c r="F2108" t="s">
        <v>61</v>
      </c>
      <c r="G2108">
        <v>-431.8972</v>
      </c>
      <c r="H2108" s="1">
        <v>2.7998209999999998E-6</v>
      </c>
      <c r="I2108">
        <v>217.57310000000001</v>
      </c>
      <c r="J2108">
        <v>-446.0068</v>
      </c>
      <c r="K2108">
        <v>1.1106499999999999</v>
      </c>
      <c r="L2108">
        <v>215.0891</v>
      </c>
      <c r="M2108">
        <v>0.99880650000000004</v>
      </c>
      <c r="N2108">
        <v>-8.4766159999999993E-3</v>
      </c>
      <c r="O2108">
        <v>-4.8102659999999998E-2</v>
      </c>
      <c r="P2108">
        <v>0.99063259999999997</v>
      </c>
      <c r="Q2108">
        <v>-0.13141449999999999</v>
      </c>
      <c r="R2108">
        <v>3.7112449999999998E-2</v>
      </c>
      <c r="S2108">
        <v>2.983215</v>
      </c>
      <c r="T2108">
        <v>-0.2241397</v>
      </c>
      <c r="U2108">
        <v>0.49510189999999998</v>
      </c>
      <c r="V2108">
        <v>-8.3900970000000005E-2</v>
      </c>
      <c r="W2108">
        <v>-0.1235998</v>
      </c>
      <c r="X2108">
        <v>0.98877890000000002</v>
      </c>
      <c r="Y2108">
        <v>-0.21024029999999999</v>
      </c>
      <c r="Z2108">
        <v>1.191503E-2</v>
      </c>
      <c r="AA2108">
        <v>0.97757709999999998</v>
      </c>
      <c r="AB2108">
        <v>35</v>
      </c>
      <c r="AC2108">
        <v>14.1096</v>
      </c>
      <c r="AD2108">
        <v>-1.110647200179</v>
      </c>
      <c r="AE2108">
        <v>2.484</v>
      </c>
      <c r="AF2108">
        <v>-3.1409809724182001</v>
      </c>
      <c r="AG2108">
        <v>-1.110647200179</v>
      </c>
      <c r="AH2108">
        <v>13.8902950178234</v>
      </c>
      <c r="AI2108">
        <v>94.459437684940895</v>
      </c>
      <c r="AJ2108">
        <v>102.74186967240099</v>
      </c>
      <c r="AK2108">
        <v>14.284242869488301</v>
      </c>
      <c r="AL2108">
        <v>97.099903200294307</v>
      </c>
      <c r="AM2108">
        <v>94.850107310203001</v>
      </c>
      <c r="AN2108">
        <v>0.99999999820609498</v>
      </c>
    </row>
    <row r="2109" spans="1:40" x14ac:dyDescent="0.25">
      <c r="A2109" t="str">
        <f>"20190305135625838"</f>
        <v>20190305135625838</v>
      </c>
      <c r="B2109" t="str">
        <f>"1551765385833759"</f>
        <v>1551765385833759</v>
      </c>
      <c r="C2109" t="s">
        <v>40</v>
      </c>
      <c r="D2109">
        <v>4.5266489999999999</v>
      </c>
      <c r="E2109">
        <v>0.46548990000000001</v>
      </c>
      <c r="F2109" t="s">
        <v>61</v>
      </c>
      <c r="G2109">
        <v>-430.53089999999997</v>
      </c>
      <c r="H2109" s="1">
        <v>2.1794089999999999E-6</v>
      </c>
      <c r="I2109">
        <v>217.73920000000001</v>
      </c>
      <c r="J2109">
        <v>-445.6234</v>
      </c>
      <c r="K2109">
        <v>1.1106020000000001</v>
      </c>
      <c r="L2109">
        <v>215.07339999999999</v>
      </c>
      <c r="M2109">
        <v>0.99895820000000002</v>
      </c>
      <c r="N2109">
        <v>-8.0101900000000004E-3</v>
      </c>
      <c r="O2109">
        <v>-4.4927050000000003E-2</v>
      </c>
      <c r="P2109">
        <v>0.99058659999999998</v>
      </c>
      <c r="Q2109">
        <v>-0.13058049999999999</v>
      </c>
      <c r="R2109">
        <v>4.1076319999999999E-2</v>
      </c>
      <c r="S2109">
        <v>2.9808650000000001</v>
      </c>
      <c r="T2109">
        <v>-0.21392510000000001</v>
      </c>
      <c r="U2109">
        <v>0.51043700000000003</v>
      </c>
      <c r="V2109">
        <v>-8.4729059999999995E-2</v>
      </c>
      <c r="W2109">
        <v>-0.1232265</v>
      </c>
      <c r="X2109">
        <v>0.98875489999999999</v>
      </c>
      <c r="Y2109">
        <v>-0.21221400000000001</v>
      </c>
      <c r="Z2109">
        <v>1.125018E-2</v>
      </c>
      <c r="AA2109">
        <v>0.97715839999999998</v>
      </c>
      <c r="AB2109">
        <v>35</v>
      </c>
      <c r="AC2109">
        <v>15.092499999999999</v>
      </c>
      <c r="AD2109">
        <v>-1.1105998205909999</v>
      </c>
      <c r="AE2109">
        <v>2.6658000000000102</v>
      </c>
      <c r="AF2109">
        <v>-3.3237380238893701</v>
      </c>
      <c r="AG2109">
        <v>-1.1105998205909999</v>
      </c>
      <c r="AH2109">
        <v>14.8793562695723</v>
      </c>
      <c r="AI2109">
        <v>94.166353012225798</v>
      </c>
      <c r="AJ2109">
        <v>102.59196014726299</v>
      </c>
      <c r="AK2109">
        <v>15.2864616379922</v>
      </c>
      <c r="AL2109">
        <v>97.078349777439698</v>
      </c>
      <c r="AM2109">
        <v>94.897863722380606</v>
      </c>
      <c r="AN2109">
        <v>1.00000001809237</v>
      </c>
    </row>
    <row r="2110" spans="1:40" x14ac:dyDescent="0.25">
      <c r="A2110" t="str">
        <f>"20190305135625863"</f>
        <v>20190305135625863</v>
      </c>
      <c r="B2110" t="str">
        <f>"1551765385854255"</f>
        <v>1551765385854255</v>
      </c>
      <c r="C2110" t="s">
        <v>40</v>
      </c>
      <c r="D2110">
        <v>4.5246069999999996</v>
      </c>
      <c r="E2110">
        <v>0.46690019999999999</v>
      </c>
      <c r="F2110" t="s">
        <v>61</v>
      </c>
      <c r="G2110">
        <v>-435.55549999999999</v>
      </c>
      <c r="H2110" s="1">
        <v>4.5213259999999997E-6</v>
      </c>
      <c r="I2110">
        <v>216.43819999999999</v>
      </c>
      <c r="J2110">
        <v>-445.233</v>
      </c>
      <c r="K2110">
        <v>1.11054599999999</v>
      </c>
      <c r="L2110">
        <v>215.05860000000001</v>
      </c>
      <c r="M2110">
        <v>0.99909749999999997</v>
      </c>
      <c r="N2110">
        <v>-7.5896380000000001E-3</v>
      </c>
      <c r="O2110">
        <v>-4.1796239999999998E-2</v>
      </c>
      <c r="P2110">
        <v>0.99055709999999997</v>
      </c>
      <c r="Q2110">
        <v>-0.12959109999999999</v>
      </c>
      <c r="R2110">
        <v>4.4756049999999999E-2</v>
      </c>
      <c r="S2110">
        <v>2.9686889999999999</v>
      </c>
      <c r="T2110">
        <v>-0.32747609999999999</v>
      </c>
      <c r="U2110">
        <v>0.40242</v>
      </c>
      <c r="V2110">
        <v>-8.5322190000000006E-2</v>
      </c>
      <c r="W2110">
        <v>-0.1226488</v>
      </c>
      <c r="X2110">
        <v>0.98877570000000004</v>
      </c>
      <c r="Y2110">
        <v>-0.17429890000000001</v>
      </c>
      <c r="Z2110">
        <v>1.4471039999999999E-2</v>
      </c>
      <c r="AA2110">
        <v>0.98458650000000003</v>
      </c>
      <c r="AB2110">
        <v>35</v>
      </c>
      <c r="AC2110">
        <v>9.6775000000000002</v>
      </c>
      <c r="AD2110">
        <v>-1.11054147867399</v>
      </c>
      <c r="AE2110">
        <v>1.37959999999998</v>
      </c>
      <c r="AF2110">
        <v>-1.7601715604327399</v>
      </c>
      <c r="AG2110">
        <v>-1.11054147867399</v>
      </c>
      <c r="AH2110">
        <v>9.4889112959550896</v>
      </c>
      <c r="AI2110">
        <v>96.564305344214205</v>
      </c>
      <c r="AJ2110">
        <v>100.508790112071</v>
      </c>
      <c r="AK2110">
        <v>9.7144708492287801</v>
      </c>
      <c r="AL2110">
        <v>97.044997171313099</v>
      </c>
      <c r="AM2110">
        <v>94.931878533240095</v>
      </c>
      <c r="AN2110">
        <v>0.999999994579163</v>
      </c>
    </row>
    <row r="2111" spans="1:40" x14ac:dyDescent="0.25">
      <c r="A2111" t="str">
        <f>"20190305135625885"</f>
        <v>20190305135625885</v>
      </c>
      <c r="B2111" t="str">
        <f>"1551765385873774"</f>
        <v>1551765385873774</v>
      </c>
      <c r="C2111" t="s">
        <v>40</v>
      </c>
      <c r="D2111">
        <v>4.537534</v>
      </c>
      <c r="E2111">
        <v>0.46663169999999998</v>
      </c>
      <c r="F2111" t="s">
        <v>61</v>
      </c>
      <c r="G2111">
        <v>-434.6379</v>
      </c>
      <c r="H2111" s="1">
        <v>4.1094430000000001E-6</v>
      </c>
      <c r="I2111">
        <v>216.49539999999999</v>
      </c>
      <c r="J2111">
        <v>-444.88099999999997</v>
      </c>
      <c r="K2111">
        <v>1.1104810000000001</v>
      </c>
      <c r="L2111">
        <v>215.0461</v>
      </c>
      <c r="M2111">
        <v>0.99920900000000001</v>
      </c>
      <c r="N2111">
        <v>-7.2554539999999997E-3</v>
      </c>
      <c r="O2111">
        <v>-3.9099429999999998E-2</v>
      </c>
      <c r="P2111">
        <v>0.99045899999999998</v>
      </c>
      <c r="Q2111">
        <v>-0.12929660000000001</v>
      </c>
      <c r="R2111">
        <v>4.7681029999999999E-2</v>
      </c>
      <c r="S2111">
        <v>2.9696959999999999</v>
      </c>
      <c r="T2111">
        <v>-0.31127490000000002</v>
      </c>
      <c r="U2111">
        <v>0.40272520000000001</v>
      </c>
      <c r="V2111">
        <v>-8.5590180000000002E-2</v>
      </c>
      <c r="W2111">
        <v>-0.1226754</v>
      </c>
      <c r="X2111">
        <v>0.98874930000000005</v>
      </c>
      <c r="Y2111">
        <v>-0.17185120000000001</v>
      </c>
      <c r="Z2111">
        <v>1.335832E-2</v>
      </c>
      <c r="AA2111">
        <v>0.98503229999999997</v>
      </c>
      <c r="AB2111">
        <v>36</v>
      </c>
      <c r="AC2111">
        <v>10.243099999999901</v>
      </c>
      <c r="AD2111">
        <v>-1.1104768905569999</v>
      </c>
      <c r="AE2111">
        <v>1.44929999999999</v>
      </c>
      <c r="AF2111">
        <v>-1.8276425440042401</v>
      </c>
      <c r="AG2111">
        <v>-1.1104768905569999</v>
      </c>
      <c r="AH2111">
        <v>10.062651475065</v>
      </c>
      <c r="AI2111">
        <v>96.196893037189</v>
      </c>
      <c r="AJ2111">
        <v>100.294206040597</v>
      </c>
      <c r="AK2111">
        <v>10.2873898974299</v>
      </c>
      <c r="AL2111">
        <v>97.046532404434501</v>
      </c>
      <c r="AM2111">
        <v>94.947423836456096</v>
      </c>
      <c r="AN2111">
        <v>1.00000005546403</v>
      </c>
    </row>
    <row r="2112" spans="1:40" x14ac:dyDescent="0.25">
      <c r="A2112" t="str">
        <f>"20190305135625906"</f>
        <v>20190305135625906</v>
      </c>
      <c r="B2112" t="str">
        <f>"1551765385904031"</f>
        <v>1551765385904031</v>
      </c>
      <c r="C2112" t="s">
        <v>40</v>
      </c>
      <c r="D2112">
        <v>4.5545019999999896</v>
      </c>
      <c r="E2112">
        <v>0.46767559999999903</v>
      </c>
      <c r="F2112" t="s">
        <v>61</v>
      </c>
      <c r="G2112">
        <v>-425.06169999999997</v>
      </c>
      <c r="H2112" s="1">
        <v>2.784538E-6</v>
      </c>
      <c r="I2112">
        <v>217.84440000000001</v>
      </c>
      <c r="J2112">
        <v>-444.53719999999998</v>
      </c>
      <c r="K2112">
        <v>1.1103940000000001</v>
      </c>
      <c r="L2112">
        <v>215.03469999999999</v>
      </c>
      <c r="M2112">
        <v>0.99930580000000002</v>
      </c>
      <c r="N2112">
        <v>-6.9672279999999998E-3</v>
      </c>
      <c r="O2112">
        <v>-3.6598150000000003E-2</v>
      </c>
      <c r="P2112">
        <v>0.99023340000000004</v>
      </c>
      <c r="Q2112">
        <v>-0.1299418</v>
      </c>
      <c r="R2112">
        <v>5.0528139999999999E-2</v>
      </c>
      <c r="S2112">
        <v>2.986755</v>
      </c>
      <c r="T2112">
        <v>-0.16734839999999901</v>
      </c>
      <c r="U2112">
        <v>0.42169190000000001</v>
      </c>
      <c r="V2112">
        <v>-8.5969260000000006E-2</v>
      </c>
      <c r="W2112">
        <v>-0.1235936</v>
      </c>
      <c r="X2112">
        <v>0.98860199999999998</v>
      </c>
      <c r="Y2112">
        <v>-0.17559900000000001</v>
      </c>
      <c r="Z2112">
        <v>7.2930779999999997E-3</v>
      </c>
      <c r="AA2112">
        <v>0.98443480000000005</v>
      </c>
      <c r="AB2112">
        <v>36</v>
      </c>
      <c r="AC2112">
        <v>19.4755</v>
      </c>
      <c r="AD2112">
        <v>-1.1103912154619999</v>
      </c>
      <c r="AE2112">
        <v>2.8097000000000198</v>
      </c>
      <c r="AF2112">
        <v>-3.5094267009904301</v>
      </c>
      <c r="AG2112">
        <v>-1.1103912154619999</v>
      </c>
      <c r="AH2112">
        <v>19.298166500298201</v>
      </c>
      <c r="AI2112">
        <v>93.240069612489194</v>
      </c>
      <c r="AJ2112">
        <v>100.306769588525</v>
      </c>
      <c r="AK2112">
        <v>19.646075300024499</v>
      </c>
      <c r="AL2112">
        <v>97.099545187354806</v>
      </c>
      <c r="AM2112">
        <v>94.969963260908699</v>
      </c>
      <c r="AN2112">
        <v>1.0000000030149501</v>
      </c>
    </row>
    <row r="2113" spans="1:40" x14ac:dyDescent="0.25">
      <c r="A2113" t="str">
        <f>"20190305135625950"</f>
        <v>20190305135625950</v>
      </c>
      <c r="B2113" t="str">
        <f>"1551765385944047"</f>
        <v>1551765385944047</v>
      </c>
      <c r="C2113" t="s">
        <v>40</v>
      </c>
      <c r="D2113">
        <v>4.5329290000000002</v>
      </c>
      <c r="E2113">
        <v>0.46804079999999898</v>
      </c>
      <c r="F2113" t="s">
        <v>61</v>
      </c>
      <c r="G2113">
        <v>-425.31450000000001</v>
      </c>
      <c r="H2113" s="1">
        <v>2.7478569999999999E-6</v>
      </c>
      <c r="I2113">
        <v>217.7509</v>
      </c>
      <c r="J2113">
        <v>-443.84059999999999</v>
      </c>
      <c r="K2113">
        <v>1.110209</v>
      </c>
      <c r="L2113">
        <v>215.01390000000001</v>
      </c>
      <c r="M2113">
        <v>0.99946900000000005</v>
      </c>
      <c r="N2113">
        <v>-6.4877229999999999E-3</v>
      </c>
      <c r="O2113">
        <v>-3.1934919999999999E-2</v>
      </c>
      <c r="P2113">
        <v>0.99002650000000003</v>
      </c>
      <c r="Q2113">
        <v>-0.12993299999999999</v>
      </c>
      <c r="R2113">
        <v>5.4453380000000003E-2</v>
      </c>
      <c r="S2113">
        <v>2.9854430000000001</v>
      </c>
      <c r="T2113">
        <v>-0.172453</v>
      </c>
      <c r="U2113">
        <v>0.42184450000000001</v>
      </c>
      <c r="V2113">
        <v>-8.5328790000000002E-2</v>
      </c>
      <c r="W2113">
        <v>-0.12401619999999999</v>
      </c>
      <c r="X2113">
        <v>0.9886045</v>
      </c>
      <c r="Y2113">
        <v>-0.1711077</v>
      </c>
      <c r="Z2113">
        <v>7.1007889999999997E-3</v>
      </c>
      <c r="AA2113">
        <v>0.98522679999999996</v>
      </c>
      <c r="AB2113">
        <v>36</v>
      </c>
      <c r="AC2113">
        <v>18.5260999999999</v>
      </c>
      <c r="AD2113">
        <v>-1.1102062521430001</v>
      </c>
      <c r="AE2113">
        <v>2.7369999999999899</v>
      </c>
      <c r="AF2113">
        <v>-3.31559322904987</v>
      </c>
      <c r="AG2113">
        <v>-1.1102062521430001</v>
      </c>
      <c r="AH2113">
        <v>18.364700125774998</v>
      </c>
      <c r="AI2113">
        <v>93.404597829555797</v>
      </c>
      <c r="AJ2113">
        <v>100.234031084565</v>
      </c>
      <c r="AK2113">
        <v>18.694596200305</v>
      </c>
      <c r="AL2113">
        <v>97.123946569998296</v>
      </c>
      <c r="AM2113">
        <v>94.933108072529507</v>
      </c>
      <c r="AN2113">
        <v>0.99999993884277505</v>
      </c>
    </row>
    <row r="2114" spans="1:40" x14ac:dyDescent="0.25">
      <c r="A2114" t="str">
        <f>"20190305135625970"</f>
        <v>20190305135625970</v>
      </c>
      <c r="B2114" t="str">
        <f>"1551765385964543"</f>
        <v>1551765385964543</v>
      </c>
      <c r="C2114" t="s">
        <v>40</v>
      </c>
      <c r="D2114">
        <v>4.5626220000000002</v>
      </c>
      <c r="E2114">
        <v>0.46850059999999899</v>
      </c>
      <c r="F2114" t="s">
        <v>61</v>
      </c>
      <c r="G2114">
        <v>-424.89909999999998</v>
      </c>
      <c r="H2114" s="1">
        <v>2.8220729999999999E-6</v>
      </c>
      <c r="I2114">
        <v>217.7448</v>
      </c>
      <c r="J2114">
        <v>-443.50880000000001</v>
      </c>
      <c r="K2114">
        <v>1.110125</v>
      </c>
      <c r="L2114">
        <v>215.0051</v>
      </c>
      <c r="M2114">
        <v>0.99953349999999996</v>
      </c>
      <c r="N2114">
        <v>-6.3043519999999896E-3</v>
      </c>
      <c r="O2114">
        <v>-2.9885729999999999E-2</v>
      </c>
      <c r="P2114">
        <v>0.99005120000000002</v>
      </c>
      <c r="Q2114">
        <v>-0.12905810000000001</v>
      </c>
      <c r="R2114">
        <v>5.6061930000000003E-2</v>
      </c>
      <c r="S2114">
        <v>2.9836429999999998</v>
      </c>
      <c r="T2114">
        <v>-0.17487839999999999</v>
      </c>
      <c r="U2114">
        <v>0.4301605</v>
      </c>
      <c r="V2114">
        <v>-8.4940429999999997E-2</v>
      </c>
      <c r="W2114">
        <v>-0.1233021</v>
      </c>
      <c r="X2114">
        <v>0.98872729999999998</v>
      </c>
      <c r="Y2114">
        <v>-0.17185329999999999</v>
      </c>
      <c r="Z2114">
        <v>7.1059490000000003E-3</v>
      </c>
      <c r="AA2114">
        <v>0.98509690000000005</v>
      </c>
      <c r="AB2114">
        <v>36</v>
      </c>
      <c r="AC2114">
        <v>18.6097</v>
      </c>
      <c r="AD2114">
        <v>-1.1101221779269901</v>
      </c>
      <c r="AE2114">
        <v>2.7396999999999898</v>
      </c>
      <c r="AF2114">
        <v>-3.2832163063826498</v>
      </c>
      <c r="AG2114">
        <v>-1.1101221779269901</v>
      </c>
      <c r="AH2114">
        <v>18.4552284133866</v>
      </c>
      <c r="AI2114">
        <v>93.389230004943499</v>
      </c>
      <c r="AJ2114">
        <v>100.087479925124</v>
      </c>
      <c r="AK2114">
        <v>18.777841631952601</v>
      </c>
      <c r="AL2114">
        <v>97.082714902465298</v>
      </c>
      <c r="AM2114">
        <v>94.910158948622396</v>
      </c>
      <c r="AN2114">
        <v>0.99999997913914196</v>
      </c>
    </row>
    <row r="2115" spans="1:40" x14ac:dyDescent="0.25">
      <c r="A2115" t="str">
        <f>"20190305135625993"</f>
        <v>20190305135625993</v>
      </c>
      <c r="B2115" t="str">
        <f>"1551765385984063"</f>
        <v>1551765385984063</v>
      </c>
      <c r="C2115" t="s">
        <v>40</v>
      </c>
      <c r="D2115">
        <v>4.5540729999999998</v>
      </c>
      <c r="E2115">
        <v>0.46891559999999999</v>
      </c>
      <c r="F2115" t="s">
        <v>61</v>
      </c>
      <c r="G2115">
        <v>-424.31229999999999</v>
      </c>
      <c r="H2115" s="1">
        <v>2.9229789999999999E-6</v>
      </c>
      <c r="I2115">
        <v>217.78139999999999</v>
      </c>
      <c r="J2115">
        <v>-443.13279999999997</v>
      </c>
      <c r="K2115">
        <v>1.1100399999999999</v>
      </c>
      <c r="L2115">
        <v>214.9957</v>
      </c>
      <c r="M2115">
        <v>0.9995986</v>
      </c>
      <c r="N2115">
        <v>-6.12519E-3</v>
      </c>
      <c r="O2115">
        <v>-2.7661410000000001E-2</v>
      </c>
      <c r="P2115">
        <v>0.99002540000000006</v>
      </c>
      <c r="Q2115">
        <v>-0.12847239999999999</v>
      </c>
      <c r="R2115">
        <v>5.7833339999999997E-2</v>
      </c>
      <c r="S2115">
        <v>2.9832459999999998</v>
      </c>
      <c r="T2115">
        <v>-0.1725187</v>
      </c>
      <c r="U2115">
        <v>0.43145749999999999</v>
      </c>
      <c r="V2115">
        <v>-8.4536630000000001E-2</v>
      </c>
      <c r="W2115">
        <v>-0.1228751</v>
      </c>
      <c r="X2115">
        <v>0.98881509999999995</v>
      </c>
      <c r="Y2115">
        <v>-0.17011509999999999</v>
      </c>
      <c r="Z2115">
        <v>6.8358239999999999E-3</v>
      </c>
      <c r="AA2115">
        <v>0.98540050000000001</v>
      </c>
      <c r="AB2115">
        <v>36</v>
      </c>
      <c r="AC2115">
        <v>18.8204999999999</v>
      </c>
      <c r="AD2115">
        <v>-1.110037077021</v>
      </c>
      <c r="AE2115">
        <v>2.7856999999999901</v>
      </c>
      <c r="AF2115">
        <v>-3.29403216115645</v>
      </c>
      <c r="AG2115">
        <v>-1.110037077021</v>
      </c>
      <c r="AH2115">
        <v>18.672676796229698</v>
      </c>
      <c r="AI2115">
        <v>93.350452539963101</v>
      </c>
      <c r="AJ2115">
        <v>100.00456925813199</v>
      </c>
      <c r="AK2115">
        <v>18.993464374030101</v>
      </c>
      <c r="AL2115">
        <v>97.058061867927904</v>
      </c>
      <c r="AM2115">
        <v>94.886497934473695</v>
      </c>
      <c r="AN2115">
        <v>1.0000000169998799</v>
      </c>
    </row>
    <row r="2116" spans="1:40" x14ac:dyDescent="0.25">
      <c r="A2116" t="str">
        <f>"20190305135626014"</f>
        <v>20190305135626014</v>
      </c>
      <c r="B2116" t="str">
        <f>"1551765386004559"</f>
        <v>1551765386004559</v>
      </c>
      <c r="C2116" t="s">
        <v>40</v>
      </c>
      <c r="D2116">
        <v>4.5128659999999998</v>
      </c>
      <c r="E2116">
        <v>0.46911890000000001</v>
      </c>
      <c r="F2116" t="s">
        <v>61</v>
      </c>
      <c r="G2116">
        <v>-423.61939999999998</v>
      </c>
      <c r="H2116" s="1">
        <v>3.0415189999999999E-6</v>
      </c>
      <c r="I2116">
        <v>217.8312</v>
      </c>
      <c r="J2116">
        <v>-442.78750000000002</v>
      </c>
      <c r="K2116">
        <v>1.109966</v>
      </c>
      <c r="L2116">
        <v>214.98779999999999</v>
      </c>
      <c r="M2116">
        <v>0.99965190000000004</v>
      </c>
      <c r="N2116">
        <v>-5.983698E-3</v>
      </c>
      <c r="O2116">
        <v>-2.5698869999999999E-2</v>
      </c>
      <c r="P2116">
        <v>0.98988370000000003</v>
      </c>
      <c r="Q2116">
        <v>-0.12937789999999999</v>
      </c>
      <c r="R2116">
        <v>5.8240069999999998E-2</v>
      </c>
      <c r="S2116">
        <v>2.9828800000000002</v>
      </c>
      <c r="T2116">
        <v>-0.1696839</v>
      </c>
      <c r="U2116">
        <v>0.43344120000000003</v>
      </c>
      <c r="V2116">
        <v>-8.3011870000000001E-2</v>
      </c>
      <c r="W2116">
        <v>-0.1239002</v>
      </c>
      <c r="X2116">
        <v>0.98881629999999998</v>
      </c>
      <c r="Y2116">
        <v>-0.16885530000000001</v>
      </c>
      <c r="Z2116">
        <v>6.5829979999999996E-3</v>
      </c>
      <c r="AA2116">
        <v>0.98561889999999996</v>
      </c>
      <c r="AB2116">
        <v>36</v>
      </c>
      <c r="AC2116">
        <v>19.168099999999999</v>
      </c>
      <c r="AD2116">
        <v>-1.109962958481</v>
      </c>
      <c r="AE2116">
        <v>2.8433999999999999</v>
      </c>
      <c r="AF2116">
        <v>-3.3241615996709202</v>
      </c>
      <c r="AG2116">
        <v>-1.109962958481</v>
      </c>
      <c r="AH2116">
        <v>19.0262705015653</v>
      </c>
      <c r="AI2116">
        <v>93.289052113159798</v>
      </c>
      <c r="AJ2116">
        <v>99.910361945696096</v>
      </c>
      <c r="AK2116">
        <v>19.3463442879697</v>
      </c>
      <c r="AL2116">
        <v>97.1172485020127</v>
      </c>
      <c r="AM2116">
        <v>94.798771292619605</v>
      </c>
      <c r="AN2116">
        <v>0.99999995263331198</v>
      </c>
    </row>
    <row r="2117" spans="1:40" x14ac:dyDescent="0.25">
      <c r="A2117" t="str">
        <f>"20190305135626037"</f>
        <v>20190305135626037</v>
      </c>
      <c r="B2117" t="str">
        <f>"1551765386033839"</f>
        <v>1551765386033839</v>
      </c>
      <c r="C2117" t="s">
        <v>40</v>
      </c>
      <c r="D2117">
        <v>4.5724919999999996</v>
      </c>
      <c r="E2117">
        <v>0.47351660000000001</v>
      </c>
      <c r="F2117" t="s">
        <v>61</v>
      </c>
      <c r="G2117">
        <v>-423.54469999999998</v>
      </c>
      <c r="H2117" s="1">
        <v>3.0589929999999999E-6</v>
      </c>
      <c r="I2117">
        <v>217.78290000000001</v>
      </c>
      <c r="J2117">
        <v>-442.40879999999999</v>
      </c>
      <c r="K2117">
        <v>1.1098870000000001</v>
      </c>
      <c r="L2117">
        <v>214.97989999999999</v>
      </c>
      <c r="M2117">
        <v>0.99970389999999998</v>
      </c>
      <c r="N2117">
        <v>-5.8549609999999997E-3</v>
      </c>
      <c r="O2117">
        <v>-2.361891E-2</v>
      </c>
      <c r="P2117">
        <v>0.98964070000000004</v>
      </c>
      <c r="Q2117">
        <v>-0.1312982</v>
      </c>
      <c r="R2117">
        <v>5.8070450000000003E-2</v>
      </c>
      <c r="S2117">
        <v>2.9826969999999999</v>
      </c>
      <c r="T2117">
        <v>-0.17204810000000001</v>
      </c>
      <c r="U2117">
        <v>0.43325809999999998</v>
      </c>
      <c r="V2117">
        <v>-8.0786170000000004E-2</v>
      </c>
      <c r="W2117">
        <v>-0.1259258</v>
      </c>
      <c r="X2117">
        <v>0.98874479999999998</v>
      </c>
      <c r="Y2117">
        <v>-0.1667517</v>
      </c>
      <c r="Z2117">
        <v>6.4886619999999897E-3</v>
      </c>
      <c r="AA2117">
        <v>0.98597760000000001</v>
      </c>
      <c r="AB2117">
        <v>36</v>
      </c>
      <c r="AC2117">
        <v>18.864100000000001</v>
      </c>
      <c r="AD2117">
        <v>-1.1098839410070001</v>
      </c>
      <c r="AE2117">
        <v>2.8030000000000199</v>
      </c>
      <c r="AF2117">
        <v>-3.2368124806626901</v>
      </c>
      <c r="AG2117">
        <v>-1.1098839410070001</v>
      </c>
      <c r="AH2117">
        <v>18.729199076284999</v>
      </c>
      <c r="AI2117">
        <v>93.341930784407197</v>
      </c>
      <c r="AJ2117">
        <v>99.805103488305605</v>
      </c>
      <c r="AK2117">
        <v>19.039214674891198</v>
      </c>
      <c r="AL2117">
        <v>97.234222724486401</v>
      </c>
      <c r="AM2117">
        <v>94.671020757518406</v>
      </c>
      <c r="AN2117">
        <v>0.99999999594797395</v>
      </c>
    </row>
    <row r="2118" spans="1:40" x14ac:dyDescent="0.25">
      <c r="A2118" t="str">
        <f>"20190305135626061"</f>
        <v>20190305135626061</v>
      </c>
      <c r="B2118" t="str">
        <f>"1551765386054335"</f>
        <v>1551765386054335</v>
      </c>
      <c r="C2118" t="s">
        <v>40</v>
      </c>
      <c r="D2118">
        <v>4.6197480000000004</v>
      </c>
      <c r="E2118">
        <v>0.56358799999999998</v>
      </c>
      <c r="F2118" t="s">
        <v>61</v>
      </c>
      <c r="G2118">
        <v>-423.84289999999999</v>
      </c>
      <c r="H2118" s="1">
        <v>3.0347159999999999E-6</v>
      </c>
      <c r="I2118">
        <v>217.4556</v>
      </c>
      <c r="J2118">
        <v>-442.03460000000001</v>
      </c>
      <c r="K2118">
        <v>1.109818</v>
      </c>
      <c r="L2118">
        <v>214.9727</v>
      </c>
      <c r="M2118">
        <v>0.99975000000000003</v>
      </c>
      <c r="N2118">
        <v>-5.7492690000000004E-3</v>
      </c>
      <c r="O2118">
        <v>-2.1611430000000001E-2</v>
      </c>
      <c r="P2118">
        <v>0.98936690000000005</v>
      </c>
      <c r="Q2118">
        <v>-0.13358299999999901</v>
      </c>
      <c r="R2118">
        <v>5.7521860000000001E-2</v>
      </c>
      <c r="S2118">
        <v>2.984375</v>
      </c>
      <c r="T2118">
        <v>-0.17840799999999901</v>
      </c>
      <c r="U2118">
        <v>0.3979645</v>
      </c>
      <c r="V2118">
        <v>-7.8249490000000005E-2</v>
      </c>
      <c r="W2118">
        <v>-0.1282943</v>
      </c>
      <c r="X2118">
        <v>0.98864430000000003</v>
      </c>
      <c r="Y2118">
        <v>-0.1532444</v>
      </c>
      <c r="Z2118">
        <v>6.1611610000000001E-3</v>
      </c>
      <c r="AA2118">
        <v>0.98816910000000002</v>
      </c>
      <c r="AB2118">
        <v>37</v>
      </c>
      <c r="AC2118">
        <v>18.191700000000001</v>
      </c>
      <c r="AD2118">
        <v>-1.1098149652839999</v>
      </c>
      <c r="AE2118">
        <v>2.4828999999999999</v>
      </c>
      <c r="AF2118">
        <v>-2.8650071835144701</v>
      </c>
      <c r="AG2118">
        <v>-1.1098149652839999</v>
      </c>
      <c r="AH2118">
        <v>18.0677760669825</v>
      </c>
      <c r="AI2118">
        <v>93.471714632488698</v>
      </c>
      <c r="AJ2118">
        <v>99.010371101881901</v>
      </c>
      <c r="AK2118">
        <v>18.327151645178901</v>
      </c>
      <c r="AL2118">
        <v>97.371037680521695</v>
      </c>
      <c r="AM2118">
        <v>94.525428022128594</v>
      </c>
      <c r="AN2118">
        <v>0.999999981010119</v>
      </c>
    </row>
    <row r="2119" spans="1:40" x14ac:dyDescent="0.25">
      <c r="A2119" t="str">
        <f>"20190305135626084"</f>
        <v>20190305135626084</v>
      </c>
      <c r="B2119" t="str">
        <f>"1551765386073855"</f>
        <v>1551765386073855</v>
      </c>
      <c r="C2119" t="s">
        <v>40</v>
      </c>
      <c r="D2119">
        <v>4.5572330000000001</v>
      </c>
      <c r="E2119">
        <v>0.56768940000000001</v>
      </c>
      <c r="F2119" t="s">
        <v>41</v>
      </c>
      <c r="G2119">
        <v>-441.15940000000001</v>
      </c>
      <c r="H2119">
        <v>1.053061</v>
      </c>
      <c r="I2119">
        <v>214.87899999999999</v>
      </c>
      <c r="J2119">
        <v>-441.64249999999998</v>
      </c>
      <c r="K2119">
        <v>1.1097649999999999</v>
      </c>
      <c r="L2119">
        <v>214.96600000000001</v>
      </c>
      <c r="M2119">
        <v>0.99979309999999999</v>
      </c>
      <c r="N2119">
        <v>-5.656304E-3</v>
      </c>
      <c r="O2119">
        <v>-1.9537909999999999E-2</v>
      </c>
      <c r="P2119">
        <v>0.98922469999999996</v>
      </c>
      <c r="Q2119">
        <v>-0.1349911</v>
      </c>
      <c r="R2119">
        <v>5.6674570000000001E-2</v>
      </c>
      <c r="S2119">
        <v>3.0244450000000001</v>
      </c>
      <c r="T2119">
        <v>-0.19640640000000001</v>
      </c>
      <c r="U2119">
        <v>-0.32249450000000002</v>
      </c>
      <c r="V2119">
        <v>-7.5354619999999997E-2</v>
      </c>
      <c r="W2119">
        <v>-0.1297729</v>
      </c>
      <c r="X2119">
        <v>0.98867620000000001</v>
      </c>
      <c r="Y2119">
        <v>8.6418110000000006E-2</v>
      </c>
      <c r="Z2119">
        <v>-1.887143E-3</v>
      </c>
      <c r="AA2119">
        <v>0.99625719999999995</v>
      </c>
      <c r="AB2119">
        <v>37</v>
      </c>
      <c r="AC2119">
        <v>0.48309999999997899</v>
      </c>
      <c r="AD2119">
        <v>-5.6703999999999803E-2</v>
      </c>
      <c r="AE2119">
        <v>-8.6999999999960595E-2</v>
      </c>
      <c r="AF2119">
        <v>7.6523335383704497E-2</v>
      </c>
      <c r="AG2119">
        <v>-5.6703999999999803E-2</v>
      </c>
      <c r="AH2119">
        <v>0.47832475136304697</v>
      </c>
      <c r="AI2119">
        <v>96.676574528437698</v>
      </c>
      <c r="AJ2119">
        <v>80.910730413778595</v>
      </c>
      <c r="AK2119">
        <v>0.48771480625542601</v>
      </c>
      <c r="AL2119">
        <v>97.456469455023594</v>
      </c>
      <c r="AM2119">
        <v>94.358525463411397</v>
      </c>
      <c r="AN2119">
        <v>0.99999997638809701</v>
      </c>
    </row>
    <row r="2120" spans="1:40" x14ac:dyDescent="0.25">
      <c r="A2120" t="str">
        <f>"20190305135626107"</f>
        <v>20190305135626107</v>
      </c>
      <c r="B2120" t="str">
        <f>"1551765386104111"</f>
        <v>1551765386104111</v>
      </c>
      <c r="C2120" t="s">
        <v>40</v>
      </c>
      <c r="D2120">
        <v>4.5539740000000002</v>
      </c>
      <c r="E2120">
        <v>0.56849969999999905</v>
      </c>
      <c r="F2120" t="s">
        <v>41</v>
      </c>
      <c r="G2120">
        <v>-440.8304</v>
      </c>
      <c r="H2120">
        <v>1.0523579999999999</v>
      </c>
      <c r="I2120">
        <v>214.8698</v>
      </c>
      <c r="J2120">
        <v>-441.28530000000001</v>
      </c>
      <c r="K2120">
        <v>1.1097349999999999</v>
      </c>
      <c r="L2120">
        <v>214.9606</v>
      </c>
      <c r="M2120">
        <v>0.99982850000000001</v>
      </c>
      <c r="N2120">
        <v>-5.588595E-3</v>
      </c>
      <c r="O2120">
        <v>-1.766597E-2</v>
      </c>
      <c r="P2120">
        <v>0.98917080000000002</v>
      </c>
      <c r="Q2120">
        <v>-0.13565289999999999</v>
      </c>
      <c r="R2120">
        <v>5.6032779999999997E-2</v>
      </c>
      <c r="S2120">
        <v>3.0240170000000002</v>
      </c>
      <c r="T2120">
        <v>-0.21384040000000001</v>
      </c>
      <c r="U2120">
        <v>-0.35823059999999901</v>
      </c>
      <c r="V2120">
        <v>-7.2866340000000002E-2</v>
      </c>
      <c r="W2120">
        <v>-0.1304845</v>
      </c>
      <c r="X2120">
        <v>0.98876909999999896</v>
      </c>
      <c r="Y2120">
        <v>9.984875E-2</v>
      </c>
      <c r="Z2120">
        <v>-2.649396E-3</v>
      </c>
      <c r="AA2120">
        <v>0.99499910000000003</v>
      </c>
      <c r="AB2120">
        <v>37</v>
      </c>
      <c r="AC2120">
        <v>0.45490000000000902</v>
      </c>
      <c r="AD2120">
        <v>-5.7377000000000199E-2</v>
      </c>
      <c r="AE2120">
        <v>-9.0800000000001505E-2</v>
      </c>
      <c r="AF2120">
        <v>8.1502510351829094E-2</v>
      </c>
      <c r="AG2120">
        <v>-5.7377000000000199E-2</v>
      </c>
      <c r="AH2120">
        <v>0.44955514584286499</v>
      </c>
      <c r="AI2120">
        <v>97.157928896329693</v>
      </c>
      <c r="AJ2120">
        <v>79.724122460836696</v>
      </c>
      <c r="AK2120">
        <v>0.460472158199005</v>
      </c>
      <c r="AL2120">
        <v>97.497590449720093</v>
      </c>
      <c r="AM2120">
        <v>94.214735809470298</v>
      </c>
      <c r="AN2120">
        <v>1.0000000206800199</v>
      </c>
    </row>
    <row r="2121" spans="1:40" x14ac:dyDescent="0.25">
      <c r="A2121" t="str">
        <f>"20190305135626128"</f>
        <v>20190305135626128</v>
      </c>
      <c r="B2121" t="str">
        <f>"1551765386124606"</f>
        <v>1551765386124606</v>
      </c>
      <c r="C2121" t="s">
        <v>40</v>
      </c>
      <c r="D2121">
        <v>4.5984619999999996</v>
      </c>
      <c r="E2121">
        <v>0.56847109999999901</v>
      </c>
      <c r="F2121" t="s">
        <v>41</v>
      </c>
      <c r="G2121">
        <v>-440.4991</v>
      </c>
      <c r="H2121">
        <v>1.0529919999999999</v>
      </c>
      <c r="I2121">
        <v>214.8648</v>
      </c>
      <c r="J2121">
        <v>-440.92439999999999</v>
      </c>
      <c r="K2121">
        <v>1.1097090000000001</v>
      </c>
      <c r="L2121">
        <v>214.95570000000001</v>
      </c>
      <c r="M2121">
        <v>0.99986019999999998</v>
      </c>
      <c r="N2121">
        <v>-5.5352939999999996E-3</v>
      </c>
      <c r="O2121">
        <v>-1.5782819999999999E-2</v>
      </c>
      <c r="P2121">
        <v>0.98925070000000004</v>
      </c>
      <c r="Q2121">
        <v>-0.135245899999999</v>
      </c>
      <c r="R2121">
        <v>5.5606419999999997E-2</v>
      </c>
      <c r="S2121">
        <v>3.02359</v>
      </c>
      <c r="T2121">
        <v>-0.218642</v>
      </c>
      <c r="U2121">
        <v>-0.3665619</v>
      </c>
      <c r="V2121">
        <v>-7.0587639999999993E-2</v>
      </c>
      <c r="W2121">
        <v>-0.1301148</v>
      </c>
      <c r="X2121">
        <v>0.9889831</v>
      </c>
      <c r="Y2121">
        <v>0.1044146</v>
      </c>
      <c r="Z2121">
        <v>-2.9986470000000001E-3</v>
      </c>
      <c r="AA2121">
        <v>0.99452929999999995</v>
      </c>
      <c r="AB2121">
        <v>37</v>
      </c>
      <c r="AC2121">
        <v>0.42529999999999202</v>
      </c>
      <c r="AD2121">
        <v>-5.6717000000000101E-2</v>
      </c>
      <c r="AE2121">
        <v>-9.0900000000004796E-2</v>
      </c>
      <c r="AF2121">
        <v>8.2768470094232799E-2</v>
      </c>
      <c r="AG2121">
        <v>-5.6717000000000101E-2</v>
      </c>
      <c r="AH2121">
        <v>0.41954633647207101</v>
      </c>
      <c r="AI2121">
        <v>97.555055016668206</v>
      </c>
      <c r="AJ2121">
        <v>78.8399476250151</v>
      </c>
      <c r="AK2121">
        <v>0.43137752164186299</v>
      </c>
      <c r="AL2121">
        <v>97.476226036016698</v>
      </c>
      <c r="AM2121">
        <v>94.082503634111106</v>
      </c>
      <c r="AN2121">
        <v>1.0000000240927001</v>
      </c>
    </row>
    <row r="2122" spans="1:40" x14ac:dyDescent="0.25">
      <c r="A2122" t="str">
        <f>"20190305135626150"</f>
        <v>20190305135626150</v>
      </c>
      <c r="B2122" t="str">
        <f>"1551765386144126"</f>
        <v>1551765386144126</v>
      </c>
      <c r="C2122" t="s">
        <v>40</v>
      </c>
      <c r="D2122">
        <v>7.2682839999999898</v>
      </c>
      <c r="E2122">
        <v>0.56838029999999995</v>
      </c>
      <c r="F2122" t="s">
        <v>41</v>
      </c>
      <c r="G2122">
        <v>-440.16609999999997</v>
      </c>
      <c r="H2122">
        <v>1.0542579999999999</v>
      </c>
      <c r="I2122">
        <v>214.86320000000001</v>
      </c>
      <c r="J2122">
        <v>-440.54610000000002</v>
      </c>
      <c r="K2122">
        <v>1.1096950000000001</v>
      </c>
      <c r="L2122">
        <v>214.95140000000001</v>
      </c>
      <c r="M2122">
        <v>0.99988960000000005</v>
      </c>
      <c r="N2122">
        <v>-5.4907169999999896E-3</v>
      </c>
      <c r="O2122">
        <v>-1.3814430000000001E-2</v>
      </c>
      <c r="P2122">
        <v>0.98944889999999996</v>
      </c>
      <c r="Q2122">
        <v>-0.13384989999999999</v>
      </c>
      <c r="R2122">
        <v>5.5458210000000001E-2</v>
      </c>
      <c r="S2122">
        <v>3.0230100000000002</v>
      </c>
      <c r="T2122">
        <v>-0.22132289999999999</v>
      </c>
      <c r="U2122">
        <v>-0.36758420000000003</v>
      </c>
      <c r="V2122">
        <v>-6.8507369999999998E-2</v>
      </c>
      <c r="W2122">
        <v>-0.1287489</v>
      </c>
      <c r="X2122">
        <v>0.98930810000000002</v>
      </c>
      <c r="Y2122">
        <v>0.1067096</v>
      </c>
      <c r="Z2122">
        <v>-3.2506060000000001E-3</v>
      </c>
      <c r="AA2122">
        <v>0.99428490000000003</v>
      </c>
      <c r="AB2122">
        <v>37</v>
      </c>
      <c r="AC2122">
        <v>0.38000000000005202</v>
      </c>
      <c r="AD2122">
        <v>-5.5437000000000097E-2</v>
      </c>
      <c r="AE2122">
        <v>-8.82000000000005E-2</v>
      </c>
      <c r="AF2122">
        <v>8.1300163898314098E-2</v>
      </c>
      <c r="AG2122">
        <v>-5.5437000000000097E-2</v>
      </c>
      <c r="AH2122">
        <v>0.373636594824447</v>
      </c>
      <c r="AI2122">
        <v>98.249210832819699</v>
      </c>
      <c r="AJ2122">
        <v>77.724271521048607</v>
      </c>
      <c r="AK2122">
        <v>0.38637712485459103</v>
      </c>
      <c r="AL2122">
        <v>97.397301813087907</v>
      </c>
      <c r="AM2122">
        <v>93.961280692276702</v>
      </c>
      <c r="AN2122">
        <v>1.0000000278605601</v>
      </c>
    </row>
    <row r="2123" spans="1:40" x14ac:dyDescent="0.25">
      <c r="A2123" t="str">
        <f>"20190305135626172"</f>
        <v>20190305135626172</v>
      </c>
      <c r="B2123" t="str">
        <f>"1551765386164623"</f>
        <v>1551765386164623</v>
      </c>
      <c r="C2123" t="s">
        <v>40</v>
      </c>
      <c r="D2123">
        <v>4.5761690000000002</v>
      </c>
      <c r="E2123">
        <v>0.5687373</v>
      </c>
      <c r="F2123" t="s">
        <v>41</v>
      </c>
      <c r="G2123">
        <v>-439.5104</v>
      </c>
      <c r="H2123">
        <v>1.0346120000000001</v>
      </c>
      <c r="I2123">
        <v>214.8253</v>
      </c>
      <c r="J2123">
        <v>-440.18349999999998</v>
      </c>
      <c r="K2123">
        <v>1.109685</v>
      </c>
      <c r="L2123">
        <v>214.94800000000001</v>
      </c>
      <c r="M2123">
        <v>0.99991410000000003</v>
      </c>
      <c r="N2123">
        <v>-5.4561549999999999E-3</v>
      </c>
      <c r="O2123">
        <v>-1.1929489999999999E-2</v>
      </c>
      <c r="P2123">
        <v>0.98958550000000001</v>
      </c>
      <c r="Q2123">
        <v>-0.13303489999999901</v>
      </c>
      <c r="R2123">
        <v>5.4979670000000001E-2</v>
      </c>
      <c r="S2123">
        <v>3.0229189999999999</v>
      </c>
      <c r="T2123">
        <v>-0.219274</v>
      </c>
      <c r="U2123">
        <v>-0.36761470000000002</v>
      </c>
      <c r="V2123">
        <v>-6.6172350000000005E-2</v>
      </c>
      <c r="W2123">
        <v>-0.12795419999999999</v>
      </c>
      <c r="X2123">
        <v>0.98957010000000001</v>
      </c>
      <c r="Y2123">
        <v>0.1085927</v>
      </c>
      <c r="Z2123">
        <v>-3.4206290000000001E-3</v>
      </c>
      <c r="AA2123">
        <v>0.99408039999999998</v>
      </c>
      <c r="AB2123">
        <v>37</v>
      </c>
      <c r="AC2123">
        <v>0.67309999999997605</v>
      </c>
      <c r="AD2123">
        <v>-7.5072999999999904E-2</v>
      </c>
      <c r="AE2123">
        <v>-0.12269999999998001</v>
      </c>
      <c r="AF2123">
        <v>0.11329735777093999</v>
      </c>
      <c r="AG2123">
        <v>-7.5072999999999904E-2</v>
      </c>
      <c r="AH2123">
        <v>0.66649159214477205</v>
      </c>
      <c r="AI2123">
        <v>96.336510412191302</v>
      </c>
      <c r="AJ2123">
        <v>80.352473781930897</v>
      </c>
      <c r="AK2123">
        <v>0.68020826884605701</v>
      </c>
      <c r="AL2123">
        <v>97.351389158857202</v>
      </c>
      <c r="AM2123">
        <v>93.825661592635498</v>
      </c>
      <c r="AN2123">
        <v>1.0000000200080801</v>
      </c>
    </row>
    <row r="2124" spans="1:40" x14ac:dyDescent="0.25">
      <c r="A2124" t="str">
        <f>"20190305135626194"</f>
        <v>20190305135626194</v>
      </c>
      <c r="B2124" t="str">
        <f>"1551765386184144"</f>
        <v>1551765386184144</v>
      </c>
      <c r="C2124" t="s">
        <v>40</v>
      </c>
      <c r="D2124">
        <v>4.5777939999999999</v>
      </c>
      <c r="E2124">
        <v>0.56900779999999995</v>
      </c>
      <c r="F2124" t="s">
        <v>41</v>
      </c>
      <c r="G2124">
        <v>-439.17380000000003</v>
      </c>
      <c r="H2124">
        <v>1.0377670000000001</v>
      </c>
      <c r="I2124">
        <v>214.82339999999999</v>
      </c>
      <c r="J2124">
        <v>-439.80799999999999</v>
      </c>
      <c r="K2124">
        <v>1.109675</v>
      </c>
      <c r="L2124">
        <v>214.9451</v>
      </c>
      <c r="M2124">
        <v>0.99993540000000003</v>
      </c>
      <c r="N2124">
        <v>-5.4274459999999998E-3</v>
      </c>
      <c r="O2124">
        <v>-9.9795830000000002E-3</v>
      </c>
      <c r="P2124">
        <v>0.98963449999999997</v>
      </c>
      <c r="Q2124">
        <v>-0.13249089999999999</v>
      </c>
      <c r="R2124">
        <v>5.5407339999999999E-2</v>
      </c>
      <c r="S2124">
        <v>3.0232239999999999</v>
      </c>
      <c r="T2124">
        <v>-0.2155561</v>
      </c>
      <c r="U2124">
        <v>-0.37203979999999998</v>
      </c>
      <c r="V2124">
        <v>-6.4676139999999993E-2</v>
      </c>
      <c r="W2124">
        <v>-0.12742989999999901</v>
      </c>
      <c r="X2124">
        <v>0.98973659999999997</v>
      </c>
      <c r="Y2124">
        <v>0.11194800000000001</v>
      </c>
      <c r="Z2124">
        <v>-3.6223589999999999E-3</v>
      </c>
      <c r="AA2124">
        <v>0.99370749999999997</v>
      </c>
      <c r="AB2124">
        <v>37</v>
      </c>
      <c r="AC2124">
        <v>0.63420000000002097</v>
      </c>
      <c r="AD2124">
        <v>-7.1907999999999805E-2</v>
      </c>
      <c r="AE2124">
        <v>-0.121700000000004</v>
      </c>
      <c r="AF2124">
        <v>0.113951871429306</v>
      </c>
      <c r="AG2124">
        <v>-7.1907999999999805E-2</v>
      </c>
      <c r="AH2124">
        <v>0.62760113935388195</v>
      </c>
      <c r="AI2124">
        <v>96.431958609249904</v>
      </c>
      <c r="AJ2124">
        <v>79.709066238390307</v>
      </c>
      <c r="AK2124">
        <v>0.64190262469048398</v>
      </c>
      <c r="AL2124">
        <v>97.3211014814067</v>
      </c>
      <c r="AM2124">
        <v>93.738781279156697</v>
      </c>
      <c r="AN2124">
        <v>0.99999995993943402</v>
      </c>
    </row>
    <row r="2125" spans="1:40" x14ac:dyDescent="0.25">
      <c r="A2125" t="str">
        <f>"20190305135626217"</f>
        <v>20190305135626217</v>
      </c>
      <c r="B2125" t="str">
        <f>"1551765386214399"</f>
        <v>1551765386214399</v>
      </c>
      <c r="C2125" t="s">
        <v>40</v>
      </c>
      <c r="D2125">
        <v>5.5883500000000002</v>
      </c>
      <c r="E2125">
        <v>0.56918979999999997</v>
      </c>
      <c r="F2125" t="s">
        <v>41</v>
      </c>
      <c r="G2125">
        <v>-438.83600000000001</v>
      </c>
      <c r="H2125">
        <v>1.04125</v>
      </c>
      <c r="I2125">
        <v>214.82509999999999</v>
      </c>
      <c r="J2125">
        <v>-439.4384</v>
      </c>
      <c r="K2125">
        <v>1.1096629999999901</v>
      </c>
      <c r="L2125">
        <v>214.94300000000001</v>
      </c>
      <c r="M2125">
        <v>0.99995299999999998</v>
      </c>
      <c r="N2125">
        <v>-5.4048680000000002E-3</v>
      </c>
      <c r="O2125">
        <v>-8.0656759999999904E-3</v>
      </c>
      <c r="P2125">
        <v>0.98958889999999999</v>
      </c>
      <c r="Q2125">
        <v>-0.13244300000000001</v>
      </c>
      <c r="R2125">
        <v>5.6330089999999999E-2</v>
      </c>
      <c r="S2125">
        <v>3.0237729999999998</v>
      </c>
      <c r="T2125">
        <v>-0.21297859999999999</v>
      </c>
      <c r="U2125">
        <v>-0.3729095</v>
      </c>
      <c r="V2125">
        <v>-6.3706059999999995E-2</v>
      </c>
      <c r="W2125">
        <v>-0.12739900000000001</v>
      </c>
      <c r="X2125">
        <v>0.98980360000000001</v>
      </c>
      <c r="Y2125">
        <v>0.1141062</v>
      </c>
      <c r="Z2125">
        <v>-3.7865860000000002E-3</v>
      </c>
      <c r="AA2125">
        <v>0.99346140000000005</v>
      </c>
      <c r="AB2125">
        <v>38</v>
      </c>
      <c r="AC2125">
        <v>0.60239999999998795</v>
      </c>
      <c r="AD2125">
        <v>-6.8412999999999793E-2</v>
      </c>
      <c r="AE2125">
        <v>-0.117899999999991</v>
      </c>
      <c r="AF2125">
        <v>0.111650438943038</v>
      </c>
      <c r="AG2125">
        <v>-6.8412999999999793E-2</v>
      </c>
      <c r="AH2125">
        <v>0.59592888975346603</v>
      </c>
      <c r="AI2125">
        <v>96.437869368901005</v>
      </c>
      <c r="AJ2125">
        <v>79.388353781151295</v>
      </c>
      <c r="AK2125">
        <v>0.61014539310558802</v>
      </c>
      <c r="AL2125">
        <v>97.3193157059507</v>
      </c>
      <c r="AM2125">
        <v>93.682610048603493</v>
      </c>
      <c r="AN2125">
        <v>1.0000000669273299</v>
      </c>
    </row>
    <row r="2126" spans="1:40" x14ac:dyDescent="0.25">
      <c r="A2126" t="str">
        <f>"20190305135626239"</f>
        <v>20190305135626239</v>
      </c>
      <c r="B2126" t="str">
        <f>"1551765386233919"</f>
        <v>1551765386233919</v>
      </c>
      <c r="C2126" t="s">
        <v>40</v>
      </c>
      <c r="D2126">
        <v>4.5259580000000001</v>
      </c>
      <c r="E2126">
        <v>0.56962089999999999</v>
      </c>
      <c r="F2126" t="s">
        <v>41</v>
      </c>
      <c r="G2126">
        <v>-438.4975</v>
      </c>
      <c r="H2126">
        <v>1.0440769999999999</v>
      </c>
      <c r="I2126">
        <v>214.82730000000001</v>
      </c>
      <c r="J2126">
        <v>-439.06169999999997</v>
      </c>
      <c r="K2126">
        <v>1.109645</v>
      </c>
      <c r="L2126">
        <v>214.94159999999999</v>
      </c>
      <c r="M2126">
        <v>0.99996669999999999</v>
      </c>
      <c r="N2126">
        <v>-5.386699E-3</v>
      </c>
      <c r="O2126">
        <v>-6.1326999999999996E-3</v>
      </c>
      <c r="P2126">
        <v>0.98954359999999997</v>
      </c>
      <c r="Q2126">
        <v>-0.13249629999999901</v>
      </c>
      <c r="R2126">
        <v>5.6996770000000002E-2</v>
      </c>
      <c r="S2126">
        <v>3.0244749999999998</v>
      </c>
      <c r="T2126">
        <v>-0.21099499999999999</v>
      </c>
      <c r="U2126">
        <v>-0.37126160000000002</v>
      </c>
      <c r="V2126">
        <v>-6.2461820000000001E-2</v>
      </c>
      <c r="W2126">
        <v>-0.12746289999999999</v>
      </c>
      <c r="X2126">
        <v>0.98987460000000005</v>
      </c>
      <c r="Y2126">
        <v>0.115463</v>
      </c>
      <c r="Z2126">
        <v>-3.9273650000000004E-3</v>
      </c>
      <c r="AA2126">
        <v>0.99330399999999996</v>
      </c>
      <c r="AB2126">
        <v>38</v>
      </c>
      <c r="AC2126">
        <v>0.56419999999997095</v>
      </c>
      <c r="AD2126">
        <v>-6.5567999999999793E-2</v>
      </c>
      <c r="AE2126">
        <v>-0.114299999999985</v>
      </c>
      <c r="AF2126">
        <v>0.109418218627106</v>
      </c>
      <c r="AG2126">
        <v>-6.5567999999999793E-2</v>
      </c>
      <c r="AH2126">
        <v>0.55765574751015701</v>
      </c>
      <c r="AI2126">
        <v>96.581566894422295</v>
      </c>
      <c r="AJ2126">
        <v>78.898960117178902</v>
      </c>
      <c r="AK2126">
        <v>0.57205894969193605</v>
      </c>
      <c r="AL2126">
        <v>97.323007515996494</v>
      </c>
      <c r="AM2126">
        <v>93.610619039217895</v>
      </c>
      <c r="AN2126">
        <v>0.99999999677964102</v>
      </c>
    </row>
    <row r="2127" spans="1:40" x14ac:dyDescent="0.25">
      <c r="A2127" t="str">
        <f>"20190305135626261"</f>
        <v>20190305135626261</v>
      </c>
      <c r="B2127" t="str">
        <f>"1551765386254415"</f>
        <v>1551765386254415</v>
      </c>
      <c r="C2127" t="s">
        <v>40</v>
      </c>
      <c r="D2127">
        <v>4.5217859999999996</v>
      </c>
      <c r="E2127">
        <v>0.56983869999999903</v>
      </c>
      <c r="F2127" t="s">
        <v>41</v>
      </c>
      <c r="G2127">
        <v>-438.15730000000002</v>
      </c>
      <c r="H2127">
        <v>1.047364</v>
      </c>
      <c r="I2127">
        <v>214.83009999999999</v>
      </c>
      <c r="J2127">
        <v>-438.69380000000001</v>
      </c>
      <c r="K2127">
        <v>1.1096189999999999</v>
      </c>
      <c r="L2127">
        <v>214.9408</v>
      </c>
      <c r="M2127">
        <v>0.99997639999999999</v>
      </c>
      <c r="N2127">
        <v>-5.3728459999999997E-3</v>
      </c>
      <c r="O2127">
        <v>-4.2778139999999996E-3</v>
      </c>
      <c r="P2127">
        <v>0.9894674</v>
      </c>
      <c r="Q2127">
        <v>-0.13282840000000001</v>
      </c>
      <c r="R2127">
        <v>5.7539939999999998E-2</v>
      </c>
      <c r="S2127">
        <v>3.0252379999999999</v>
      </c>
      <c r="T2127">
        <v>-0.20843629999999999</v>
      </c>
      <c r="U2127">
        <v>-0.37252809999999997</v>
      </c>
      <c r="V2127">
        <v>-6.1172879999999999E-2</v>
      </c>
      <c r="W2127">
        <v>-0.1278002</v>
      </c>
      <c r="X2127">
        <v>0.9899116</v>
      </c>
      <c r="Y2127">
        <v>0.11768199999999999</v>
      </c>
      <c r="Z2127">
        <v>-4.0814550000000003E-3</v>
      </c>
      <c r="AA2127">
        <v>0.99304289999999995</v>
      </c>
      <c r="AB2127">
        <v>38</v>
      </c>
      <c r="AC2127">
        <v>0.53649999999998899</v>
      </c>
      <c r="AD2127">
        <v>-6.2255000000000102E-2</v>
      </c>
      <c r="AE2127">
        <v>-0.110700000000008</v>
      </c>
      <c r="AF2127">
        <v>0.10702169836672</v>
      </c>
      <c r="AG2127">
        <v>-6.2255000000000102E-2</v>
      </c>
      <c r="AH2127">
        <v>0.53012201158206196</v>
      </c>
      <c r="AI2127">
        <v>96.566579601201695</v>
      </c>
      <c r="AJ2127">
        <v>78.586462698760002</v>
      </c>
      <c r="AK2127">
        <v>0.54438835045407497</v>
      </c>
      <c r="AL2127">
        <v>97.3424927593951</v>
      </c>
      <c r="AM2127">
        <v>93.536170799388003</v>
      </c>
      <c r="AN2127">
        <v>0.99999999409104701</v>
      </c>
    </row>
    <row r="2128" spans="1:40" x14ac:dyDescent="0.25">
      <c r="A2128" t="str">
        <f>"20190305135626286"</f>
        <v>20190305135626286</v>
      </c>
      <c r="B2128" t="str">
        <f>"1551765386273935"</f>
        <v>1551765386273935</v>
      </c>
      <c r="C2128" t="s">
        <v>40</v>
      </c>
      <c r="D2128">
        <v>4.5193250000000003</v>
      </c>
      <c r="E2128">
        <v>0.57007859999999999</v>
      </c>
      <c r="F2128" t="s">
        <v>41</v>
      </c>
      <c r="G2128">
        <v>-437.81729999999999</v>
      </c>
      <c r="H2128">
        <v>1.048303</v>
      </c>
      <c r="I2128">
        <v>214.83250000000001</v>
      </c>
      <c r="J2128">
        <v>-438.2749</v>
      </c>
      <c r="K2128">
        <v>1.109569</v>
      </c>
      <c r="L2128">
        <v>214.94069999999999</v>
      </c>
      <c r="M2128">
        <v>0.99998319999999996</v>
      </c>
      <c r="N2128">
        <v>-5.3607189999999999E-3</v>
      </c>
      <c r="O2128">
        <v>-2.2267250000000001E-3</v>
      </c>
      <c r="P2128">
        <v>0.98947479999999999</v>
      </c>
      <c r="Q2128">
        <v>-0.13245079999999901</v>
      </c>
      <c r="R2128">
        <v>5.8280569999999997E-2</v>
      </c>
      <c r="S2128">
        <v>3.0251769999999998</v>
      </c>
      <c r="T2128">
        <v>-0.2118902</v>
      </c>
      <c r="U2128">
        <v>-0.37242130000000001</v>
      </c>
      <c r="V2128">
        <v>-5.9896089999999999E-2</v>
      </c>
      <c r="W2128">
        <v>-0.12742329999999999</v>
      </c>
      <c r="X2128">
        <v>0.99003830000000004</v>
      </c>
      <c r="Y2128">
        <v>0.11966789999999899</v>
      </c>
      <c r="Z2128">
        <v>-4.3491659999999998E-3</v>
      </c>
      <c r="AA2128">
        <v>0.99280449999999998</v>
      </c>
      <c r="AB2128">
        <v>38</v>
      </c>
      <c r="AC2128">
        <v>0.457600000000013</v>
      </c>
      <c r="AD2128">
        <v>-6.1266000000000001E-2</v>
      </c>
      <c r="AE2128">
        <v>-0.10819999999998201</v>
      </c>
      <c r="AF2128">
        <v>0.105391618573869</v>
      </c>
      <c r="AG2128">
        <v>-6.1266000000000001E-2</v>
      </c>
      <c r="AH2128">
        <v>0.45019716340412402</v>
      </c>
      <c r="AI2128">
        <v>97.5479861408148</v>
      </c>
      <c r="AJ2128">
        <v>76.824270268717498</v>
      </c>
      <c r="AK2128">
        <v>0.46641012205862298</v>
      </c>
      <c r="AL2128">
        <v>97.320719652340301</v>
      </c>
      <c r="AM2128">
        <v>93.462103875145402</v>
      </c>
      <c r="AN2128">
        <v>1.00000003722353</v>
      </c>
    </row>
    <row r="2129" spans="1:40" x14ac:dyDescent="0.25">
      <c r="A2129" t="str">
        <f>"20190305135626328"</f>
        <v>20190305135626328</v>
      </c>
      <c r="B2129" t="str">
        <f>"1551765386324689"</f>
        <v>1551765386324689</v>
      </c>
      <c r="C2129" t="s">
        <v>40</v>
      </c>
      <c r="D2129">
        <v>4.5742159999999998</v>
      </c>
      <c r="E2129">
        <v>0.5704806</v>
      </c>
      <c r="F2129" t="s">
        <v>41</v>
      </c>
      <c r="G2129">
        <v>-437.47329999999999</v>
      </c>
      <c r="H2129">
        <v>1.05345</v>
      </c>
      <c r="I2129">
        <v>214.84190000000001</v>
      </c>
      <c r="J2129">
        <v>-437.5505</v>
      </c>
      <c r="K2129">
        <v>1.10944</v>
      </c>
      <c r="L2129">
        <v>214.94220000000001</v>
      </c>
      <c r="M2129">
        <v>0.99998520000000002</v>
      </c>
      <c r="N2129">
        <v>-5.3469540000000001E-3</v>
      </c>
      <c r="O2129">
        <v>1.064111E-3</v>
      </c>
      <c r="P2129">
        <v>0.98930779999999996</v>
      </c>
      <c r="Q2129">
        <v>-0.1333654</v>
      </c>
      <c r="R2129">
        <v>5.902454E-2</v>
      </c>
      <c r="S2129">
        <v>3.0254819999999998</v>
      </c>
      <c r="T2129">
        <v>-0.21203279999999999</v>
      </c>
      <c r="U2129">
        <v>-0.37200929999999999</v>
      </c>
      <c r="V2129">
        <v>-5.7414020000000003E-2</v>
      </c>
      <c r="W2129">
        <v>-0.12832449999999901</v>
      </c>
      <c r="X2129">
        <v>0.99006890000000003</v>
      </c>
      <c r="Y2129">
        <v>0.12277390000000001</v>
      </c>
      <c r="Z2129">
        <v>-4.6792470000000001E-3</v>
      </c>
      <c r="AA2129">
        <v>0.99242370000000002</v>
      </c>
      <c r="AB2129">
        <v>38</v>
      </c>
      <c r="AC2129">
        <v>7.7200000000004806E-2</v>
      </c>
      <c r="AD2129">
        <v>-5.5989999999999901E-2</v>
      </c>
      <c r="AE2129">
        <v>-0.100300000000004</v>
      </c>
      <c r="AF2129">
        <v>8.3953539958890405E-2</v>
      </c>
      <c r="AG2129">
        <v>-5.5989999999999901E-2</v>
      </c>
      <c r="AH2129">
        <v>6.4476131714541099E-2</v>
      </c>
      <c r="AI2129">
        <v>117.87566270373399</v>
      </c>
      <c r="AJ2129">
        <v>37.524182351339903</v>
      </c>
      <c r="AK2129">
        <v>0.11975077675113301</v>
      </c>
      <c r="AL2129">
        <v>97.372782391466103</v>
      </c>
      <c r="AM2129">
        <v>93.318860957946498</v>
      </c>
      <c r="AN2129">
        <v>0.99999998687001002</v>
      </c>
    </row>
    <row r="2130" spans="1:40" x14ac:dyDescent="0.25">
      <c r="A2130" t="str">
        <f>"20190305135626350"</f>
        <v>20190305135626350</v>
      </c>
      <c r="B2130" t="str">
        <f>"1551765386344207"</f>
        <v>1551765386344207</v>
      </c>
      <c r="C2130" t="s">
        <v>40</v>
      </c>
      <c r="D2130">
        <v>4.524311</v>
      </c>
      <c r="E2130">
        <v>0.60826519999999995</v>
      </c>
      <c r="F2130" t="s">
        <v>41</v>
      </c>
      <c r="G2130">
        <v>-436.78919999999999</v>
      </c>
      <c r="H2130">
        <v>1.054076</v>
      </c>
      <c r="I2130">
        <v>214.8484</v>
      </c>
      <c r="J2130">
        <v>-437.18130000000002</v>
      </c>
      <c r="K2130">
        <v>1.1093580000000001</v>
      </c>
      <c r="L2130">
        <v>214.94380000000001</v>
      </c>
      <c r="M2130">
        <v>0.9999825</v>
      </c>
      <c r="N2130">
        <v>-5.3428690000000001E-3</v>
      </c>
      <c r="O2130">
        <v>2.5935860000000002E-3</v>
      </c>
      <c r="P2130">
        <v>0.98928130000000003</v>
      </c>
      <c r="Q2130">
        <v>-0.133418799999999</v>
      </c>
      <c r="R2130">
        <v>5.9348659999999998E-2</v>
      </c>
      <c r="S2130">
        <v>3.025055</v>
      </c>
      <c r="T2130">
        <v>-0.21994140000000001</v>
      </c>
      <c r="U2130">
        <v>-0.37323000000000001</v>
      </c>
      <c r="V2130">
        <v>-5.6247110000000003E-2</v>
      </c>
      <c r="W2130">
        <v>-0.12836639999999999</v>
      </c>
      <c r="X2130">
        <v>0.99013050000000002</v>
      </c>
      <c r="Y2130">
        <v>0.124670699999999</v>
      </c>
      <c r="Z2130">
        <v>-5.0177939999999999E-3</v>
      </c>
      <c r="AA2130">
        <v>0.99218550000000005</v>
      </c>
      <c r="AB2130">
        <v>38</v>
      </c>
      <c r="AC2130">
        <v>0.39210000000002698</v>
      </c>
      <c r="AD2130">
        <v>-5.5281999999999998E-2</v>
      </c>
      <c r="AE2130">
        <v>-9.54000000000121E-2</v>
      </c>
      <c r="AF2130">
        <v>9.4640511809882602E-2</v>
      </c>
      <c r="AG2130">
        <v>-5.5281999999999998E-2</v>
      </c>
      <c r="AH2130">
        <v>0.38463281196068699</v>
      </c>
      <c r="AI2130">
        <v>97.945107049290399</v>
      </c>
      <c r="AJ2130">
        <v>76.176733270666304</v>
      </c>
      <c r="AK2130">
        <v>0.39994415364700803</v>
      </c>
      <c r="AL2130">
        <v>97.375202721987307</v>
      </c>
      <c r="AM2130">
        <v>93.251351213653905</v>
      </c>
      <c r="AN2130">
        <v>1.0000000385312799</v>
      </c>
    </row>
    <row r="2131" spans="1:40" x14ac:dyDescent="0.25">
      <c r="A2131" t="str">
        <f>"20190305135626373"</f>
        <v>20190305135626373</v>
      </c>
      <c r="B2131" t="str">
        <f>"1551765386364703"</f>
        <v>1551765386364703</v>
      </c>
      <c r="C2131" t="s">
        <v>40</v>
      </c>
      <c r="D2131">
        <v>4.4709570000000003</v>
      </c>
      <c r="E2131">
        <v>0.61461199999999905</v>
      </c>
      <c r="F2131" t="s">
        <v>61</v>
      </c>
      <c r="G2131">
        <v>-413.471</v>
      </c>
      <c r="H2131" s="1">
        <v>3.2465749999999999E-6</v>
      </c>
      <c r="I2131">
        <v>209.7535</v>
      </c>
      <c r="J2131">
        <v>-436.76870000000002</v>
      </c>
      <c r="K2131">
        <v>1.1092519999999999</v>
      </c>
      <c r="L2131">
        <v>214.9461</v>
      </c>
      <c r="M2131">
        <v>0.99997729999999996</v>
      </c>
      <c r="N2131">
        <v>-5.3405409999999999E-3</v>
      </c>
      <c r="O2131">
        <v>4.1261470000000001E-3</v>
      </c>
      <c r="P2131">
        <v>0.98938419999999905</v>
      </c>
      <c r="Q2131">
        <v>-0.13293099999999999</v>
      </c>
      <c r="R2131">
        <v>5.8724329999999998E-2</v>
      </c>
      <c r="S2131">
        <v>3.0533450000000002</v>
      </c>
      <c r="T2131">
        <v>-0.14285980000000001</v>
      </c>
      <c r="U2131">
        <v>-0.66839599999999999</v>
      </c>
      <c r="V2131">
        <v>-5.4141099999999998E-2</v>
      </c>
      <c r="W2131">
        <v>-0.1278571</v>
      </c>
      <c r="X2131">
        <v>0.99031380000000002</v>
      </c>
      <c r="Y2131">
        <v>0.2176139</v>
      </c>
      <c r="Z2131">
        <v>-5.7858129999999999E-3</v>
      </c>
      <c r="AA2131">
        <v>0.97601780000000005</v>
      </c>
      <c r="AB2131">
        <v>38</v>
      </c>
      <c r="AC2131">
        <v>23.297699999999999</v>
      </c>
      <c r="AD2131">
        <v>-1.109248753425</v>
      </c>
      <c r="AE2131">
        <v>-5.1925999999999899</v>
      </c>
      <c r="AF2131">
        <v>5.2772899716301298</v>
      </c>
      <c r="AG2131">
        <v>-1.109248753425</v>
      </c>
      <c r="AH2131">
        <v>23.225916858288102</v>
      </c>
      <c r="AI2131">
        <v>92.666454482393206</v>
      </c>
      <c r="AJ2131">
        <v>77.198847915889601</v>
      </c>
      <c r="AK2131">
        <v>23.8437294933019</v>
      </c>
      <c r="AL2131">
        <v>97.345779371859805</v>
      </c>
      <c r="AM2131">
        <v>93.129282355218393</v>
      </c>
      <c r="AN2131">
        <v>1.00000005960002</v>
      </c>
    </row>
    <row r="2132" spans="1:40" x14ac:dyDescent="0.25">
      <c r="A2132" t="str">
        <f>"20190305135626395"</f>
        <v>20190305135626395</v>
      </c>
      <c r="B2132" t="str">
        <f>"1551765386384223"</f>
        <v>1551765386384223</v>
      </c>
      <c r="C2132" t="s">
        <v>40</v>
      </c>
      <c r="D2132">
        <v>4.4693550000000002</v>
      </c>
      <c r="E2132">
        <v>0.61549909999999997</v>
      </c>
      <c r="F2132" t="s">
        <v>61</v>
      </c>
      <c r="G2132">
        <v>-410.30430000000001</v>
      </c>
      <c r="H2132" s="1">
        <v>2.9515419999999999E-6</v>
      </c>
      <c r="I2132">
        <v>208.71250000000001</v>
      </c>
      <c r="J2132">
        <v>-436.399</v>
      </c>
      <c r="K2132">
        <v>1.109143</v>
      </c>
      <c r="L2132">
        <v>214.9486</v>
      </c>
      <c r="M2132">
        <v>0.99997139999999995</v>
      </c>
      <c r="N2132">
        <v>-5.3399909999999997E-3</v>
      </c>
      <c r="O2132">
        <v>5.3464559999999899E-3</v>
      </c>
      <c r="P2132">
        <v>0.98965650000000005</v>
      </c>
      <c r="Q2132">
        <v>-0.13155229999999901</v>
      </c>
      <c r="R2132">
        <v>5.7220300000000002E-2</v>
      </c>
      <c r="S2132">
        <v>3.057709</v>
      </c>
      <c r="T2132">
        <v>-0.128163</v>
      </c>
      <c r="U2132">
        <v>-0.72023009999999998</v>
      </c>
      <c r="V2132">
        <v>-5.1467569999999997E-2</v>
      </c>
      <c r="W2132">
        <v>-0.1264527</v>
      </c>
      <c r="X2132">
        <v>0.99063659999999998</v>
      </c>
      <c r="Y2132">
        <v>0.23424790000000001</v>
      </c>
      <c r="Z2132">
        <v>-5.6679529999999999E-3</v>
      </c>
      <c r="AA2132">
        <v>0.97216029999999998</v>
      </c>
      <c r="AB2132">
        <v>39</v>
      </c>
      <c r="AC2132">
        <v>26.0946999999999</v>
      </c>
      <c r="AD2132">
        <v>-1.1091400484580001</v>
      </c>
      <c r="AE2132">
        <v>-6.2360999999999898</v>
      </c>
      <c r="AF2132">
        <v>6.3646497083378399</v>
      </c>
      <c r="AG2132">
        <v>-1.1091400484580001</v>
      </c>
      <c r="AH2132">
        <v>26.016522731244599</v>
      </c>
      <c r="AI2132">
        <v>92.371318471253005</v>
      </c>
      <c r="AJ2132">
        <v>76.253226769018099</v>
      </c>
      <c r="AK2132">
        <v>26.806685967913001</v>
      </c>
      <c r="AL2132">
        <v>97.264654859406804</v>
      </c>
      <c r="AM2132">
        <v>92.974073044806303</v>
      </c>
      <c r="AN2132">
        <v>1.0000000346792699</v>
      </c>
    </row>
    <row r="2133" spans="1:40" x14ac:dyDescent="0.25">
      <c r="A2133" t="str">
        <f>"20190305135626418"</f>
        <v>20190305135626418</v>
      </c>
      <c r="B2133" t="str">
        <f>"1551765386414154"</f>
        <v>1551765386414154</v>
      </c>
      <c r="C2133" t="s">
        <v>40</v>
      </c>
      <c r="D2133">
        <v>4.5022409999999997</v>
      </c>
      <c r="E2133">
        <v>0.61664289999999999</v>
      </c>
      <c r="F2133" t="s">
        <v>61</v>
      </c>
      <c r="G2133">
        <v>-411.06130000000002</v>
      </c>
      <c r="H2133" s="1">
        <v>3.0758540000000001E-6</v>
      </c>
      <c r="I2133">
        <v>208.87700000000001</v>
      </c>
      <c r="J2133">
        <v>-436.00549999999998</v>
      </c>
      <c r="K2133">
        <v>1.109024</v>
      </c>
      <c r="L2133">
        <v>214.95160000000001</v>
      </c>
      <c r="M2133">
        <v>0.99996479999999999</v>
      </c>
      <c r="N2133">
        <v>-5.3410209999999996E-3</v>
      </c>
      <c r="O2133">
        <v>6.4997709999999997E-3</v>
      </c>
      <c r="P2133">
        <v>0.98992720000000001</v>
      </c>
      <c r="Q2133">
        <v>-0.13023209999999999</v>
      </c>
      <c r="R2133">
        <v>5.5534119999999999E-2</v>
      </c>
      <c r="S2133">
        <v>3.0559080000000001</v>
      </c>
      <c r="T2133">
        <v>-0.13377049999999999</v>
      </c>
      <c r="U2133">
        <v>-0.7322845</v>
      </c>
      <c r="V2133">
        <v>-4.8678359999999997E-2</v>
      </c>
      <c r="W2133">
        <v>-0.12510550000000001</v>
      </c>
      <c r="X2133">
        <v>0.99094859999999896</v>
      </c>
      <c r="Y2133">
        <v>0.23909910000000001</v>
      </c>
      <c r="Z2133">
        <v>-6.0518200000000003E-3</v>
      </c>
      <c r="AA2133">
        <v>0.97097630000000001</v>
      </c>
      <c r="AB2133">
        <v>39</v>
      </c>
      <c r="AC2133">
        <v>24.944199999999899</v>
      </c>
      <c r="AD2133">
        <v>-1.1090209241460001</v>
      </c>
      <c r="AE2133">
        <v>-6.0746000000000002</v>
      </c>
      <c r="AF2133">
        <v>6.2249895201674601</v>
      </c>
      <c r="AG2133">
        <v>-1.1090209241460001</v>
      </c>
      <c r="AH2133">
        <v>24.857803555688498</v>
      </c>
      <c r="AI2133">
        <v>92.478111661108102</v>
      </c>
      <c r="AJ2133">
        <v>75.940896764685604</v>
      </c>
      <c r="AK2133">
        <v>25.6493824399261</v>
      </c>
      <c r="AL2133">
        <v>97.186847962655406</v>
      </c>
      <c r="AM2133">
        <v>92.812279489554598</v>
      </c>
      <c r="AN2133">
        <v>1.00000004835224</v>
      </c>
    </row>
    <row r="2134" spans="1:40" x14ac:dyDescent="0.25">
      <c r="A2134" t="str">
        <f>"20190305135626440"</f>
        <v>20190305135626440</v>
      </c>
      <c r="B2134" t="str">
        <f>"1551765386434649"</f>
        <v>1551765386434649</v>
      </c>
      <c r="C2134" t="s">
        <v>40</v>
      </c>
      <c r="D2134">
        <v>4.5200969999999998</v>
      </c>
      <c r="E2134">
        <v>0.61727670000000001</v>
      </c>
      <c r="F2134" t="s">
        <v>61</v>
      </c>
      <c r="G2134">
        <v>-411.96640000000002</v>
      </c>
      <c r="H2134" s="1">
        <v>3.1853950000000001E-6</v>
      </c>
      <c r="I2134">
        <v>209.06829999999999</v>
      </c>
      <c r="J2134">
        <v>-435.60719999999998</v>
      </c>
      <c r="K2134">
        <v>1.1089</v>
      </c>
      <c r="L2134">
        <v>214.95500000000001</v>
      </c>
      <c r="M2134">
        <v>0.9999576</v>
      </c>
      <c r="N2134">
        <v>-5.3436819999999998E-3</v>
      </c>
      <c r="O2134">
        <v>7.5262690000000004E-3</v>
      </c>
      <c r="P2134">
        <v>0.98999809999999999</v>
      </c>
      <c r="Q2134">
        <v>-0.13020809999999999</v>
      </c>
      <c r="R2134">
        <v>5.4313939999999998E-2</v>
      </c>
      <c r="S2134">
        <v>3.0539550000000002</v>
      </c>
      <c r="T2134">
        <v>-0.140891299999999</v>
      </c>
      <c r="U2134">
        <v>-0.74742129999999996</v>
      </c>
      <c r="V2134">
        <v>-4.6476570000000002E-2</v>
      </c>
      <c r="W2134">
        <v>-0.12505749999999999</v>
      </c>
      <c r="X2134">
        <v>0.99106030000000001</v>
      </c>
      <c r="Y2134">
        <v>0.2447453</v>
      </c>
      <c r="Z2134">
        <v>-6.5268829999999998E-3</v>
      </c>
      <c r="AA2134">
        <v>0.96956549999999997</v>
      </c>
      <c r="AB2134">
        <v>39</v>
      </c>
      <c r="AC2134">
        <v>23.640799999999899</v>
      </c>
      <c r="AD2134">
        <v>-1.108896814605</v>
      </c>
      <c r="AE2134">
        <v>-5.88670000000001</v>
      </c>
      <c r="AF2134">
        <v>6.0519248774754404</v>
      </c>
      <c r="AG2134">
        <v>-1.108896814605</v>
      </c>
      <c r="AH2134">
        <v>23.547041936472201</v>
      </c>
      <c r="AI2134">
        <v>92.611478483757693</v>
      </c>
      <c r="AJ2134">
        <v>75.586139736240796</v>
      </c>
      <c r="AK2134">
        <v>24.3375970635153</v>
      </c>
      <c r="AL2134">
        <v>97.184076460031903</v>
      </c>
      <c r="AM2134">
        <v>92.684964550522395</v>
      </c>
      <c r="AN2134">
        <v>0.99999998405065205</v>
      </c>
    </row>
    <row r="2135" spans="1:40" x14ac:dyDescent="0.25">
      <c r="A2135" t="str">
        <f>"20190305135626462"</f>
        <v>20190305135626462</v>
      </c>
      <c r="B2135" t="str">
        <f>"1551765386454170"</f>
        <v>1551765386454170</v>
      </c>
      <c r="C2135" t="s">
        <v>40</v>
      </c>
      <c r="D2135">
        <v>4.4972240000000001</v>
      </c>
      <c r="E2135">
        <v>0.61783949999999999</v>
      </c>
      <c r="F2135" t="s">
        <v>61</v>
      </c>
      <c r="G2135">
        <v>-412.6859</v>
      </c>
      <c r="H2135" s="1">
        <v>3.2408010000000002E-6</v>
      </c>
      <c r="I2135">
        <v>209.27260000000001</v>
      </c>
      <c r="J2135">
        <v>-435.2133</v>
      </c>
      <c r="K2135">
        <v>1.108781</v>
      </c>
      <c r="L2135">
        <v>214.95859999999999</v>
      </c>
      <c r="M2135">
        <v>0.99995040000000002</v>
      </c>
      <c r="N2135">
        <v>-5.3476499999999998E-3</v>
      </c>
      <c r="O2135">
        <v>8.4155419999999998E-3</v>
      </c>
      <c r="P2135">
        <v>0.98993100000000001</v>
      </c>
      <c r="Q2135">
        <v>-0.13109589999999999</v>
      </c>
      <c r="R2135">
        <v>5.3394530000000003E-2</v>
      </c>
      <c r="S2135">
        <v>3.0523989999999999</v>
      </c>
      <c r="T2135">
        <v>-0.14767</v>
      </c>
      <c r="U2135">
        <v>-0.75671390000000005</v>
      </c>
      <c r="V2135">
        <v>-4.4707440000000001E-2</v>
      </c>
      <c r="W2135">
        <v>-0.12592429999999999</v>
      </c>
      <c r="X2135">
        <v>0.99103189999999997</v>
      </c>
      <c r="Y2135">
        <v>0.24847089999999999</v>
      </c>
      <c r="Z2135">
        <v>-6.9487079999999996E-3</v>
      </c>
      <c r="AA2135">
        <v>0.96861450000000004</v>
      </c>
      <c r="AB2135">
        <v>39</v>
      </c>
      <c r="AC2135">
        <v>22.5274</v>
      </c>
      <c r="AD2135">
        <v>-1.108777759199</v>
      </c>
      <c r="AE2135">
        <v>-5.6859999999999697</v>
      </c>
      <c r="AF2135">
        <v>5.8620312642349699</v>
      </c>
      <c r="AG2135">
        <v>-1.108777759199</v>
      </c>
      <c r="AH2135">
        <v>22.4276733985646</v>
      </c>
      <c r="AI2135">
        <v>92.738432306436096</v>
      </c>
      <c r="AJ2135">
        <v>75.352019745966899</v>
      </c>
      <c r="AK2135">
        <v>23.207613680317198</v>
      </c>
      <c r="AL2135">
        <v>97.234136384131403</v>
      </c>
      <c r="AM2135">
        <v>92.582976471985504</v>
      </c>
      <c r="AN2135">
        <v>0.99999995566972499</v>
      </c>
    </row>
    <row r="2136" spans="1:40" x14ac:dyDescent="0.25">
      <c r="A2136" t="str">
        <f>"20190305135626485"</f>
        <v>20190305135626485</v>
      </c>
      <c r="B2136" t="str">
        <f>"1551765386474668"</f>
        <v>1551765386474668</v>
      </c>
      <c r="C2136" t="s">
        <v>40</v>
      </c>
      <c r="D2136">
        <v>4.4792009999999998</v>
      </c>
      <c r="E2136">
        <v>0.6182569</v>
      </c>
      <c r="F2136" t="s">
        <v>61</v>
      </c>
      <c r="G2136">
        <v>-412.9282</v>
      </c>
      <c r="H2136" s="1">
        <v>3.2466960000000001E-6</v>
      </c>
      <c r="I2136">
        <v>209.3775</v>
      </c>
      <c r="J2136">
        <v>-434.82459999999998</v>
      </c>
      <c r="K2136">
        <v>1.108668</v>
      </c>
      <c r="L2136">
        <v>214.96250000000001</v>
      </c>
      <c r="M2136">
        <v>0.99994349999999999</v>
      </c>
      <c r="N2136">
        <v>-5.3526199999999998E-3</v>
      </c>
      <c r="O2136">
        <v>9.1904940000000004E-3</v>
      </c>
      <c r="P2136">
        <v>0.98986479999999999</v>
      </c>
      <c r="Q2136">
        <v>-0.1318725</v>
      </c>
      <c r="R2136">
        <v>5.2701499999999998E-2</v>
      </c>
      <c r="S2136">
        <v>3.0516359999999998</v>
      </c>
      <c r="T2136">
        <v>-0.15183160000000001</v>
      </c>
      <c r="U2136">
        <v>-0.76425169999999998</v>
      </c>
      <c r="V2136">
        <v>-4.3275580000000001E-2</v>
      </c>
      <c r="W2136">
        <v>-0.12668199999999999</v>
      </c>
      <c r="X2136">
        <v>0.99099890000000002</v>
      </c>
      <c r="Y2136">
        <v>0.25150789999999901</v>
      </c>
      <c r="Z2136">
        <v>-7.2435529999999998E-3</v>
      </c>
      <c r="AA2136">
        <v>0.96782820000000003</v>
      </c>
      <c r="AB2136">
        <v>39</v>
      </c>
      <c r="AC2136">
        <v>21.8963999999999</v>
      </c>
      <c r="AD2136">
        <v>-1.1086647533039999</v>
      </c>
      <c r="AE2136">
        <v>-5.585</v>
      </c>
      <c r="AF2136">
        <v>5.7721120674357298</v>
      </c>
      <c r="AG2136">
        <v>-1.1086647533039999</v>
      </c>
      <c r="AH2136">
        <v>21.7916922814351</v>
      </c>
      <c r="AI2136">
        <v>92.815515074525507</v>
      </c>
      <c r="AJ2136">
        <v>75.164372858550607</v>
      </c>
      <c r="AK2136">
        <v>22.570429055359501</v>
      </c>
      <c r="AL2136">
        <v>97.277899821808504</v>
      </c>
      <c r="AM2136">
        <v>92.500440506055597</v>
      </c>
      <c r="AN2136">
        <v>0.99999996237477196</v>
      </c>
    </row>
    <row r="2137" spans="1:40" x14ac:dyDescent="0.25">
      <c r="A2137" t="str">
        <f>"20190305135626508"</f>
        <v>20190305135626508</v>
      </c>
      <c r="B2137" t="str">
        <f>"1551765386503946"</f>
        <v>1551765386503946</v>
      </c>
      <c r="C2137" t="s">
        <v>40</v>
      </c>
      <c r="D2137">
        <v>4.5075710000000004</v>
      </c>
      <c r="E2137">
        <v>0.61948049999999999</v>
      </c>
      <c r="F2137" t="s">
        <v>61</v>
      </c>
      <c r="G2137">
        <v>-413.36669999999998</v>
      </c>
      <c r="H2137" s="1">
        <v>3.264844E-6</v>
      </c>
      <c r="I2137">
        <v>209.5462</v>
      </c>
      <c r="J2137">
        <v>-434.42290000000003</v>
      </c>
      <c r="K2137">
        <v>1.108576</v>
      </c>
      <c r="L2137">
        <v>214.9667</v>
      </c>
      <c r="M2137">
        <v>0.99993650000000001</v>
      </c>
      <c r="N2137">
        <v>-5.3588150000000003E-3</v>
      </c>
      <c r="O2137">
        <v>9.9122849999999998E-3</v>
      </c>
      <c r="P2137">
        <v>0.98978770000000005</v>
      </c>
      <c r="Q2137">
        <v>-0.13273399999999999</v>
      </c>
      <c r="R2137">
        <v>5.1980859999999997E-2</v>
      </c>
      <c r="S2137">
        <v>3.050751</v>
      </c>
      <c r="T2137">
        <v>-0.1576226</v>
      </c>
      <c r="U2137">
        <v>-0.77005000000000001</v>
      </c>
      <c r="V2137">
        <v>-4.1865159999999998E-2</v>
      </c>
      <c r="W2137">
        <v>-0.1275251</v>
      </c>
      <c r="X2137">
        <v>0.99095140000000004</v>
      </c>
      <c r="Y2137">
        <v>0.2539729</v>
      </c>
      <c r="Z2137">
        <v>-7.5988599999999998E-3</v>
      </c>
      <c r="AA2137">
        <v>0.96718150000000003</v>
      </c>
      <c r="AB2137">
        <v>39</v>
      </c>
      <c r="AC2137">
        <v>21.0562</v>
      </c>
      <c r="AD2137">
        <v>-1.108572735156</v>
      </c>
      <c r="AE2137">
        <v>-5.4204999999999997</v>
      </c>
      <c r="AF2137">
        <v>5.6143568500834498</v>
      </c>
      <c r="AG2137">
        <v>-1.108572735156</v>
      </c>
      <c r="AH2137">
        <v>20.9469821169229</v>
      </c>
      <c r="AI2137">
        <v>92.926326869442804</v>
      </c>
      <c r="AJ2137">
        <v>74.995840478580007</v>
      </c>
      <c r="AK2137">
        <v>21.714649344529999</v>
      </c>
      <c r="AL2137">
        <v>97.326600538642197</v>
      </c>
      <c r="AM2137">
        <v>92.419161425331893</v>
      </c>
      <c r="AN2137">
        <v>1.00000000995689</v>
      </c>
    </row>
    <row r="2138" spans="1:40" x14ac:dyDescent="0.25">
      <c r="A2138" t="str">
        <f>"20190305135626529"</f>
        <v>20190305135626529</v>
      </c>
      <c r="B2138" t="str">
        <f>"1551765386524442"</f>
        <v>1551765386524442</v>
      </c>
      <c r="C2138" t="s">
        <v>40</v>
      </c>
      <c r="D2138">
        <v>4.4880329999999997</v>
      </c>
      <c r="E2138">
        <v>0.62025989999999998</v>
      </c>
      <c r="F2138" t="s">
        <v>61</v>
      </c>
      <c r="G2138">
        <v>-412.88260000000002</v>
      </c>
      <c r="H2138" s="1">
        <v>3.2148109999999998E-6</v>
      </c>
      <c r="I2138">
        <v>209.44489999999999</v>
      </c>
      <c r="J2138">
        <v>-434.05450000000002</v>
      </c>
      <c r="K2138">
        <v>1.108503</v>
      </c>
      <c r="L2138">
        <v>214.9709</v>
      </c>
      <c r="M2138">
        <v>0.9999304</v>
      </c>
      <c r="N2138">
        <v>-5.3651180000000003E-3</v>
      </c>
      <c r="O2138">
        <v>1.052321E-2</v>
      </c>
      <c r="P2138">
        <v>0.98991890000000005</v>
      </c>
      <c r="Q2138">
        <v>-0.13202139999999901</v>
      </c>
      <c r="R2138">
        <v>5.1293640000000001E-2</v>
      </c>
      <c r="S2138">
        <v>3.050964</v>
      </c>
      <c r="T2138">
        <v>-0.1570182</v>
      </c>
      <c r="U2138">
        <v>-0.78211980000000003</v>
      </c>
      <c r="V2138">
        <v>-4.0593129999999998E-2</v>
      </c>
      <c r="W2138">
        <v>-0.12679579999999999</v>
      </c>
      <c r="X2138">
        <v>0.99109789999999998</v>
      </c>
      <c r="Y2138">
        <v>0.25813560000000002</v>
      </c>
      <c r="Z2138">
        <v>-7.7139299999999999E-3</v>
      </c>
      <c r="AA2138">
        <v>0.96607790000000004</v>
      </c>
      <c r="AB2138">
        <v>39</v>
      </c>
      <c r="AC2138">
        <v>21.171899999999901</v>
      </c>
      <c r="AD2138">
        <v>-1.1084997851889999</v>
      </c>
      <c r="AE2138">
        <v>-5.5260000000000096</v>
      </c>
      <c r="AF2138">
        <v>5.7337781820512896</v>
      </c>
      <c r="AG2138">
        <v>-1.1084997851889999</v>
      </c>
      <c r="AH2138">
        <v>21.058530296035201</v>
      </c>
      <c r="AI2138">
        <v>92.907553069412998</v>
      </c>
      <c r="AJ2138">
        <v>74.768834063981799</v>
      </c>
      <c r="AK2138">
        <v>21.853299115780299</v>
      </c>
      <c r="AL2138">
        <v>97.284472722617195</v>
      </c>
      <c r="AM2138">
        <v>92.345394725574494</v>
      </c>
      <c r="AN2138">
        <v>1.00000001224262</v>
      </c>
    </row>
    <row r="2139" spans="1:40" x14ac:dyDescent="0.25">
      <c r="A2139" t="str">
        <f>"20190305135626550"</f>
        <v>20190305135626550</v>
      </c>
      <c r="B2139" t="str">
        <f>"1551765386543962"</f>
        <v>1551765386543962</v>
      </c>
      <c r="C2139" t="s">
        <v>40</v>
      </c>
      <c r="D2139">
        <v>4.5409169999999897</v>
      </c>
      <c r="E2139">
        <v>0.62084019999999995</v>
      </c>
      <c r="F2139" t="s">
        <v>61</v>
      </c>
      <c r="G2139">
        <v>-411.96300000000002</v>
      </c>
      <c r="H2139" s="1">
        <v>3.1214030000000002E-6</v>
      </c>
      <c r="I2139">
        <v>209.24760000000001</v>
      </c>
      <c r="J2139">
        <v>-433.6678</v>
      </c>
      <c r="K2139">
        <v>1.1084400000000001</v>
      </c>
      <c r="L2139">
        <v>214.97540000000001</v>
      </c>
      <c r="M2139">
        <v>0.99992369999999997</v>
      </c>
      <c r="N2139">
        <v>-5.3722600000000002E-3</v>
      </c>
      <c r="O2139">
        <v>1.1132309999999999E-2</v>
      </c>
      <c r="P2139">
        <v>0.99004449999999999</v>
      </c>
      <c r="Q2139">
        <v>-0.13131889999999999</v>
      </c>
      <c r="R2139">
        <v>5.0669119999999998E-2</v>
      </c>
      <c r="S2139">
        <v>3.051056</v>
      </c>
      <c r="T2139">
        <v>-0.15309439999999999</v>
      </c>
      <c r="U2139">
        <v>-0.79043580000000002</v>
      </c>
      <c r="V2139">
        <v>-3.9383120000000001E-2</v>
      </c>
      <c r="W2139">
        <v>-0.12607750000000001</v>
      </c>
      <c r="X2139">
        <v>0.99123839999999996</v>
      </c>
      <c r="Y2139">
        <v>0.26119789999999998</v>
      </c>
      <c r="Z2139">
        <v>-7.6469210000000001E-3</v>
      </c>
      <c r="AA2139">
        <v>0.96525499999999997</v>
      </c>
      <c r="AB2139">
        <v>39</v>
      </c>
      <c r="AC2139">
        <v>21.704799999999899</v>
      </c>
      <c r="AD2139">
        <v>-1.10843687859699</v>
      </c>
      <c r="AE2139">
        <v>-5.7278000000000002</v>
      </c>
      <c r="AF2139">
        <v>5.9545545890190104</v>
      </c>
      <c r="AG2139">
        <v>-1.10843687859699</v>
      </c>
      <c r="AH2139">
        <v>21.5870565105126</v>
      </c>
      <c r="AI2139">
        <v>92.833753822038702</v>
      </c>
      <c r="AJ2139">
        <v>74.579060784232198</v>
      </c>
      <c r="AK2139">
        <v>22.420668175937699</v>
      </c>
      <c r="AL2139">
        <v>97.242983814640198</v>
      </c>
      <c r="AM2139">
        <v>92.275235041621599</v>
      </c>
      <c r="AN2139">
        <v>1.0000000658908601</v>
      </c>
    </row>
    <row r="2140" spans="1:40" x14ac:dyDescent="0.25">
      <c r="A2140" t="str">
        <f>"20190305135626574"</f>
        <v>20190305135626574</v>
      </c>
      <c r="B2140" t="str">
        <f>"1551765386564458"</f>
        <v>1551765386564458</v>
      </c>
      <c r="C2140" t="s">
        <v>40</v>
      </c>
      <c r="D2140">
        <v>4.5418000000000003</v>
      </c>
      <c r="E2140">
        <v>0.57493000000000005</v>
      </c>
      <c r="F2140" t="s">
        <v>61</v>
      </c>
      <c r="G2140">
        <v>-411.1746</v>
      </c>
      <c r="H2140" s="1">
        <v>3.032924E-6</v>
      </c>
      <c r="I2140">
        <v>209.10230000000001</v>
      </c>
      <c r="J2140">
        <v>-433.25689999999997</v>
      </c>
      <c r="K2140">
        <v>1.108385</v>
      </c>
      <c r="L2140">
        <v>214.98050000000001</v>
      </c>
      <c r="M2140">
        <v>0.99991660000000004</v>
      </c>
      <c r="N2140">
        <v>-5.3805819999999897E-3</v>
      </c>
      <c r="O2140">
        <v>1.175765E-2</v>
      </c>
      <c r="P2140">
        <v>0.99009080000000005</v>
      </c>
      <c r="Q2140">
        <v>-0.1310028</v>
      </c>
      <c r="R2140">
        <v>5.0581880000000003E-2</v>
      </c>
      <c r="S2140">
        <v>3.0510250000000001</v>
      </c>
      <c r="T2140">
        <v>-0.15035090000000001</v>
      </c>
      <c r="U2140">
        <v>-0.79664609999999902</v>
      </c>
      <c r="V2140">
        <v>-3.8690889999999999E-2</v>
      </c>
      <c r="W2140">
        <v>-0.12574669999999999</v>
      </c>
      <c r="X2140">
        <v>0.99130759999999996</v>
      </c>
      <c r="Y2140">
        <v>0.26365169999999999</v>
      </c>
      <c r="Z2140">
        <v>-7.6144430000000003E-3</v>
      </c>
      <c r="AA2140">
        <v>0.96458790000000005</v>
      </c>
      <c r="AB2140">
        <v>40</v>
      </c>
      <c r="AC2140">
        <v>22.082299999999901</v>
      </c>
      <c r="AD2140">
        <v>-1.108381967076</v>
      </c>
      <c r="AE2140">
        <v>-5.8781999999999899</v>
      </c>
      <c r="AF2140">
        <v>6.1230279743071199</v>
      </c>
      <c r="AG2140">
        <v>-1.108381967076</v>
      </c>
      <c r="AH2140">
        <v>21.959994522762099</v>
      </c>
      <c r="AI2140">
        <v>92.783429157222002</v>
      </c>
      <c r="AJ2140">
        <v>74.420122059270199</v>
      </c>
      <c r="AK2140">
        <v>22.824577577664598</v>
      </c>
      <c r="AL2140">
        <v>97.223878887036307</v>
      </c>
      <c r="AM2140">
        <v>92.235128694127098</v>
      </c>
      <c r="AN2140">
        <v>0.99999998767382003</v>
      </c>
    </row>
    <row r="2141" spans="1:40" x14ac:dyDescent="0.25">
      <c r="A2141" t="str">
        <f>"20190305135626596"</f>
        <v>20190305135626596</v>
      </c>
      <c r="B2141" t="str">
        <f>"1551765386583981"</f>
        <v>1551765386583981</v>
      </c>
      <c r="C2141" t="s">
        <v>40</v>
      </c>
      <c r="D2141">
        <v>4.3467140000000004</v>
      </c>
      <c r="E2141">
        <v>0.55452699999999999</v>
      </c>
      <c r="F2141" t="s">
        <v>41</v>
      </c>
      <c r="G2141">
        <v>-432.23689999999999</v>
      </c>
      <c r="H2141">
        <v>1.036384</v>
      </c>
      <c r="I2141">
        <v>214.83349999999999</v>
      </c>
      <c r="J2141">
        <v>-432.87209999999999</v>
      </c>
      <c r="K2141">
        <v>1.1083350000000001</v>
      </c>
      <c r="L2141">
        <v>214.98560000000001</v>
      </c>
      <c r="M2141">
        <v>0.99990939999999995</v>
      </c>
      <c r="N2141">
        <v>-5.3887930000000002E-3</v>
      </c>
      <c r="O2141">
        <v>1.2334090000000001E-2</v>
      </c>
      <c r="P2141">
        <v>0.99010739999999997</v>
      </c>
      <c r="Q2141">
        <v>-0.13077949999999999</v>
      </c>
      <c r="R2141">
        <v>5.0834629999999999E-2</v>
      </c>
      <c r="S2141">
        <v>3.0239560000000001</v>
      </c>
      <c r="T2141">
        <v>-0.21369350000000001</v>
      </c>
      <c r="U2141">
        <v>-0.43457030000000002</v>
      </c>
      <c r="V2141">
        <v>-3.838432E-2</v>
      </c>
      <c r="W2141">
        <v>-0.12551119999999999</v>
      </c>
      <c r="X2141">
        <v>0.99134940000000005</v>
      </c>
      <c r="Y2141">
        <v>0.1540144</v>
      </c>
      <c r="Z2141">
        <v>-6.625283E-3</v>
      </c>
      <c r="AA2141">
        <v>0.98804639999999999</v>
      </c>
      <c r="AB2141">
        <v>40</v>
      </c>
      <c r="AC2141">
        <v>0.63519999999999699</v>
      </c>
      <c r="AD2141">
        <v>-7.1951000000000098E-2</v>
      </c>
      <c r="AE2141">
        <v>-0.152100000000018</v>
      </c>
      <c r="AF2141">
        <v>0.15800576055952101</v>
      </c>
      <c r="AG2141">
        <v>-7.1951000000000098E-2</v>
      </c>
      <c r="AH2141">
        <v>0.62568298641227704</v>
      </c>
      <c r="AI2141">
        <v>96.361955670405706</v>
      </c>
      <c r="AJ2141">
        <v>75.827231329929404</v>
      </c>
      <c r="AK2141">
        <v>0.64932423815592999</v>
      </c>
      <c r="AL2141">
        <v>97.210277703409005</v>
      </c>
      <c r="AM2141">
        <v>92.217342839258393</v>
      </c>
      <c r="AN2141">
        <v>1.0000000251138299</v>
      </c>
    </row>
    <row r="2142" spans="1:40" x14ac:dyDescent="0.25">
      <c r="A2142" t="str">
        <f>"20190305135626617"</f>
        <v>20190305135626617</v>
      </c>
      <c r="B2142" t="str">
        <f>"1551765386613767"</f>
        <v>1551765386613767</v>
      </c>
      <c r="C2142" t="s">
        <v>40</v>
      </c>
      <c r="D2142">
        <v>4.2402509999999998</v>
      </c>
      <c r="E2142">
        <v>0.54699819999999999</v>
      </c>
      <c r="F2142" t="s">
        <v>61</v>
      </c>
      <c r="G2142">
        <v>-405.46749999999997</v>
      </c>
      <c r="H2142" s="1">
        <v>6.3966879999999998E-6</v>
      </c>
      <c r="I2142">
        <v>212.58840000000001</v>
      </c>
      <c r="J2142">
        <v>-432.47430000000003</v>
      </c>
      <c r="K2142">
        <v>1.1082970000000001</v>
      </c>
      <c r="L2142">
        <v>214.99100000000001</v>
      </c>
      <c r="M2142">
        <v>0.99990179999999995</v>
      </c>
      <c r="N2142">
        <v>-5.3978530000000002E-3</v>
      </c>
      <c r="O2142">
        <v>1.292623E-2</v>
      </c>
      <c r="P2142">
        <v>0.98998120000000001</v>
      </c>
      <c r="Q2142">
        <v>-0.13149859999999999</v>
      </c>
      <c r="R2142">
        <v>5.1434269999999997E-2</v>
      </c>
      <c r="S2142">
        <v>3.0274350000000001</v>
      </c>
      <c r="T2142">
        <v>-0.1224389</v>
      </c>
      <c r="U2142">
        <v>-0.2648163</v>
      </c>
      <c r="V2142">
        <v>-3.8406839999999998E-2</v>
      </c>
      <c r="W2142">
        <v>-0.12621889999999999</v>
      </c>
      <c r="X2142">
        <v>0.99125870000000005</v>
      </c>
      <c r="Y2142">
        <v>9.9909529999999996E-2</v>
      </c>
      <c r="Z2142">
        <v>-2.7379679999999999E-3</v>
      </c>
      <c r="AA2142">
        <v>0.99499269999999995</v>
      </c>
      <c r="AB2142">
        <v>40</v>
      </c>
      <c r="AC2142">
        <v>27.006799999999998</v>
      </c>
      <c r="AD2142">
        <v>-1.1082906033119999</v>
      </c>
      <c r="AE2142">
        <v>-2.4025999999999699</v>
      </c>
      <c r="AF2142">
        <v>2.7469108115329002</v>
      </c>
      <c r="AG2142">
        <v>-1.1082906033119999</v>
      </c>
      <c r="AH2142">
        <v>26.928493109299598</v>
      </c>
      <c r="AI2142">
        <v>92.344627516395903</v>
      </c>
      <c r="AJ2142">
        <v>84.175541819378395</v>
      </c>
      <c r="AK2142">
        <v>27.090913019045701</v>
      </c>
      <c r="AL2142">
        <v>97.251150771595903</v>
      </c>
      <c r="AM2142">
        <v>92.218845252498895</v>
      </c>
      <c r="AN2142">
        <v>1.00000005320084</v>
      </c>
    </row>
    <row r="2143" spans="1:40" x14ac:dyDescent="0.25">
      <c r="A2143" t="str">
        <f>"20190305135626639"</f>
        <v>20190305135626639</v>
      </c>
      <c r="B2143" t="str">
        <f>"1551765386634263"</f>
        <v>1551765386634263</v>
      </c>
      <c r="C2143" t="s">
        <v>40</v>
      </c>
      <c r="D2143">
        <v>4.2866559999999998</v>
      </c>
      <c r="E2143">
        <v>0.54482339999999996</v>
      </c>
      <c r="F2143" t="s">
        <v>55</v>
      </c>
      <c r="G2143">
        <v>-377.70209999999997</v>
      </c>
      <c r="H2143" s="1">
        <v>2.5618589999999999E-6</v>
      </c>
      <c r="I2143">
        <v>211.40049999999999</v>
      </c>
      <c r="J2143">
        <v>-432.09140000000002</v>
      </c>
      <c r="K2143">
        <v>1.108268</v>
      </c>
      <c r="L2143">
        <v>214.99639999999999</v>
      </c>
      <c r="M2143">
        <v>0.99989450000000002</v>
      </c>
      <c r="N2143">
        <v>-5.4069160000000003E-3</v>
      </c>
      <c r="O2143">
        <v>1.3495500000000001E-2</v>
      </c>
      <c r="P2143">
        <v>0.98992559999999996</v>
      </c>
      <c r="Q2143">
        <v>-0.13177620000000001</v>
      </c>
      <c r="R2143">
        <v>5.1796639999999998E-2</v>
      </c>
      <c r="S2143">
        <v>3.032562</v>
      </c>
      <c r="T2143">
        <v>-6.136262E-2</v>
      </c>
      <c r="U2143">
        <v>-0.19879150000000001</v>
      </c>
      <c r="V2143">
        <v>-3.8212690000000001E-2</v>
      </c>
      <c r="W2143">
        <v>-0.12648499999999999</v>
      </c>
      <c r="X2143">
        <v>0.99123220000000001</v>
      </c>
      <c r="Y2143">
        <v>7.8850920000000005E-2</v>
      </c>
      <c r="Z2143">
        <v>-1.2101480000000001E-3</v>
      </c>
      <c r="AA2143">
        <v>0.99688569999999999</v>
      </c>
      <c r="AB2143">
        <v>40</v>
      </c>
      <c r="AC2143">
        <v>54.389299999999999</v>
      </c>
      <c r="AD2143">
        <v>-1.108265438141</v>
      </c>
      <c r="AE2143">
        <v>-3.5958999999999999</v>
      </c>
      <c r="AF2143">
        <v>4.3278048100351398</v>
      </c>
      <c r="AG2143">
        <v>-1.108265438141</v>
      </c>
      <c r="AH2143">
        <v>54.3133646047513</v>
      </c>
      <c r="AI2143">
        <v>91.165267057155006</v>
      </c>
      <c r="AJ2143">
        <v>85.444175744752101</v>
      </c>
      <c r="AK2143">
        <v>54.496786340515399</v>
      </c>
      <c r="AL2143">
        <v>97.266520968359799</v>
      </c>
      <c r="AM2143">
        <v>92.207698879683306</v>
      </c>
      <c r="AN2143">
        <v>0.99999996960943704</v>
      </c>
    </row>
    <row r="2144" spans="1:40" x14ac:dyDescent="0.25">
      <c r="A2144" t="str">
        <f>"20190305135626663"</f>
        <v>20190305135626663</v>
      </c>
      <c r="B2144" t="str">
        <f>"1551765386653783"</f>
        <v>1551765386653783</v>
      </c>
      <c r="C2144" t="s">
        <v>40</v>
      </c>
      <c r="D2144">
        <v>4.2255609999999999</v>
      </c>
      <c r="E2144">
        <v>0.54411799999999999</v>
      </c>
      <c r="F2144" t="s">
        <v>55</v>
      </c>
      <c r="G2144">
        <v>-370.79610000000002</v>
      </c>
      <c r="H2144" s="1">
        <v>-1.1131580000000001E-6</v>
      </c>
      <c r="I2144">
        <v>211.3683</v>
      </c>
      <c r="J2144">
        <v>-431.65769999999998</v>
      </c>
      <c r="K2144">
        <v>1.1082449999999999</v>
      </c>
      <c r="L2144">
        <v>215.00280000000001</v>
      </c>
      <c r="M2144">
        <v>0.99988529999999998</v>
      </c>
      <c r="N2144">
        <v>-5.4175330000000004E-3</v>
      </c>
      <c r="O2144">
        <v>1.414179E-2</v>
      </c>
      <c r="P2144">
        <v>0.98987550000000002</v>
      </c>
      <c r="Q2144">
        <v>-0.13173180000000001</v>
      </c>
      <c r="R2144">
        <v>5.2851870000000002E-2</v>
      </c>
      <c r="S2144">
        <v>3.032654</v>
      </c>
      <c r="T2144">
        <v>-5.4832819999999997E-2</v>
      </c>
      <c r="U2144">
        <v>-0.17950439999999901</v>
      </c>
      <c r="V2144">
        <v>-3.8635049999999997E-2</v>
      </c>
      <c r="W2144">
        <v>-0.12642890000000001</v>
      </c>
      <c r="X2144">
        <v>0.99122299999999997</v>
      </c>
      <c r="Y2144">
        <v>7.3181869999999996E-2</v>
      </c>
      <c r="Z2144">
        <v>-1.038324E-3</v>
      </c>
      <c r="AA2144">
        <v>0.99731809999999999</v>
      </c>
      <c r="AB2144">
        <v>40</v>
      </c>
      <c r="AC2144">
        <v>60.861599999999903</v>
      </c>
      <c r="AD2144">
        <v>-1.1082461131579999</v>
      </c>
      <c r="AE2144">
        <v>-3.6345000000000001</v>
      </c>
      <c r="AF2144">
        <v>4.4933565523613703</v>
      </c>
      <c r="AG2144">
        <v>-1.1082461131579999</v>
      </c>
      <c r="AH2144">
        <v>60.784031535205202</v>
      </c>
      <c r="AI2144">
        <v>91.041689024640107</v>
      </c>
      <c r="AJ2144">
        <v>85.772196540856896</v>
      </c>
      <c r="AK2144">
        <v>60.959961878488699</v>
      </c>
      <c r="AL2144">
        <v>97.263280551334702</v>
      </c>
      <c r="AM2144">
        <v>92.232096444036301</v>
      </c>
      <c r="AN2144">
        <v>0.99999998478635599</v>
      </c>
    </row>
    <row r="2145" spans="1:40" x14ac:dyDescent="0.25">
      <c r="A2145" t="str">
        <f>"20190305135626686"</f>
        <v>20190305135626686</v>
      </c>
      <c r="B2145" t="str">
        <f>"1551765386674278"</f>
        <v>1551765386674278</v>
      </c>
      <c r="C2145" t="s">
        <v>40</v>
      </c>
      <c r="D2145">
        <v>4.3258089999999996</v>
      </c>
      <c r="E2145">
        <v>0.54344619999999999</v>
      </c>
      <c r="F2145" t="s">
        <v>55</v>
      </c>
      <c r="G2145">
        <v>-361.82420000000002</v>
      </c>
      <c r="H2145" s="1">
        <v>-5.6603749999999898E-7</v>
      </c>
      <c r="I2145">
        <v>211.0864</v>
      </c>
      <c r="J2145">
        <v>-431.24560000000002</v>
      </c>
      <c r="K2145">
        <v>1.1082190000000001</v>
      </c>
      <c r="L2145">
        <v>215.00909999999999</v>
      </c>
      <c r="M2145">
        <v>0.9998764</v>
      </c>
      <c r="N2145">
        <v>-5.4279590000000004E-3</v>
      </c>
      <c r="O2145">
        <v>1.4756099999999999E-2</v>
      </c>
      <c r="P2145">
        <v>0.98979070000000002</v>
      </c>
      <c r="Q2145">
        <v>-0.1320007</v>
      </c>
      <c r="R2145">
        <v>5.376156E-2</v>
      </c>
      <c r="S2145">
        <v>3.033417</v>
      </c>
      <c r="T2145">
        <v>-4.8139809999999998E-2</v>
      </c>
      <c r="U2145">
        <v>-0.1701202</v>
      </c>
      <c r="V2145">
        <v>-3.8941919999999998E-2</v>
      </c>
      <c r="W2145">
        <v>-0.12668670000000001</v>
      </c>
      <c r="X2145">
        <v>0.99117809999999995</v>
      </c>
      <c r="Y2145">
        <v>7.0708419999999994E-2</v>
      </c>
      <c r="Z2145">
        <v>-9.066314E-4</v>
      </c>
      <c r="AA2145">
        <v>0.99749659999999996</v>
      </c>
      <c r="AB2145">
        <v>40</v>
      </c>
      <c r="AC2145">
        <v>69.421400000000006</v>
      </c>
      <c r="AD2145">
        <v>-1.1082195660375</v>
      </c>
      <c r="AE2145">
        <v>-3.9226999999999901</v>
      </c>
      <c r="AF2145">
        <v>4.94542082391294</v>
      </c>
      <c r="AG2145">
        <v>-1.1082195660375</v>
      </c>
      <c r="AH2145">
        <v>69.338342931929603</v>
      </c>
      <c r="AI2145">
        <v>90.913348197613502</v>
      </c>
      <c r="AJ2145">
        <v>85.9203995566034</v>
      </c>
      <c r="AK2145">
        <v>69.523313631313698</v>
      </c>
      <c r="AL2145">
        <v>97.278170954376293</v>
      </c>
      <c r="AM2145">
        <v>92.249909176362095</v>
      </c>
      <c r="AN2145">
        <v>1.00000000950489</v>
      </c>
    </row>
    <row r="2146" spans="1:40" x14ac:dyDescent="0.25">
      <c r="A2146" t="str">
        <f>"20190305135626710"</f>
        <v>20190305135626710</v>
      </c>
      <c r="B2146" t="str">
        <f>"1551765386704068"</f>
        <v>1551765386704068</v>
      </c>
      <c r="C2146" t="s">
        <v>40</v>
      </c>
      <c r="D2146">
        <v>4.2659799999999999</v>
      </c>
      <c r="E2146">
        <v>0.54327609999999904</v>
      </c>
      <c r="F2146" t="s">
        <v>55</v>
      </c>
      <c r="G2146">
        <v>-361.36810000000003</v>
      </c>
      <c r="H2146" s="1">
        <v>-8.087634E-7</v>
      </c>
      <c r="I2146">
        <v>211.2722</v>
      </c>
      <c r="J2146">
        <v>-430.80220000000003</v>
      </c>
      <c r="K2146">
        <v>1.108196</v>
      </c>
      <c r="L2146">
        <v>215.01609999999999</v>
      </c>
      <c r="M2146">
        <v>0.99986649999999999</v>
      </c>
      <c r="N2146">
        <v>-5.4394300000000003E-3</v>
      </c>
      <c r="O2146">
        <v>1.5416920000000001E-2</v>
      </c>
      <c r="P2146">
        <v>0.98972499999999997</v>
      </c>
      <c r="Q2146">
        <v>-0.1323261</v>
      </c>
      <c r="R2146">
        <v>5.417077E-2</v>
      </c>
      <c r="S2146">
        <v>3.0333559999999999</v>
      </c>
      <c r="T2146">
        <v>-4.810739E-2</v>
      </c>
      <c r="U2146">
        <v>-0.1622162</v>
      </c>
      <c r="V2146">
        <v>-3.870026E-2</v>
      </c>
      <c r="W2146">
        <v>-0.12699939999999901</v>
      </c>
      <c r="X2146">
        <v>0.99114749999999996</v>
      </c>
      <c r="Y2146">
        <v>6.8777539999999998E-2</v>
      </c>
      <c r="Z2146">
        <v>-8.9271149999999998E-4</v>
      </c>
      <c r="AA2146">
        <v>0.99763159999999895</v>
      </c>
      <c r="AB2146">
        <v>40</v>
      </c>
      <c r="AC2146">
        <v>69.434100000000001</v>
      </c>
      <c r="AD2146">
        <v>-1.10819680876339</v>
      </c>
      <c r="AE2146">
        <v>-3.7438999999999898</v>
      </c>
      <c r="AF2146">
        <v>4.8127082707917896</v>
      </c>
      <c r="AG2146">
        <v>-1.10819680876339</v>
      </c>
      <c r="AH2146">
        <v>69.350512646036805</v>
      </c>
      <c r="AI2146">
        <v>90.913292334983694</v>
      </c>
      <c r="AJ2146">
        <v>86.030216997926104</v>
      </c>
      <c r="AK2146">
        <v>69.526138001005094</v>
      </c>
      <c r="AL2146">
        <v>97.296233583939596</v>
      </c>
      <c r="AM2146">
        <v>92.236030200197007</v>
      </c>
      <c r="AN2146">
        <v>0.99999996224033805</v>
      </c>
    </row>
    <row r="2147" spans="1:40" x14ac:dyDescent="0.25">
      <c r="A2147" t="str">
        <f>"20190305135626731"</f>
        <v>20190305135626731</v>
      </c>
      <c r="B2147" t="str">
        <f>"1551765386724563"</f>
        <v>1551765386724563</v>
      </c>
      <c r="C2147" t="s">
        <v>40</v>
      </c>
      <c r="D2147">
        <v>4.2144339999999998</v>
      </c>
      <c r="E2147">
        <v>0.54351910000000003</v>
      </c>
      <c r="F2147" t="s">
        <v>55</v>
      </c>
      <c r="G2147">
        <v>-377.04689999999999</v>
      </c>
      <c r="H2147" s="1">
        <v>2.2132139999999998E-6</v>
      </c>
      <c r="I2147">
        <v>212.16380000000001</v>
      </c>
      <c r="J2147">
        <v>-430.43029999999999</v>
      </c>
      <c r="K2147">
        <v>1.108185</v>
      </c>
      <c r="L2147">
        <v>215.0223</v>
      </c>
      <c r="M2147">
        <v>0.99985749999999995</v>
      </c>
      <c r="N2147">
        <v>-5.4492509999999996E-3</v>
      </c>
      <c r="O2147">
        <v>1.5970950000000001E-2</v>
      </c>
      <c r="P2147">
        <v>0.98957740000000005</v>
      </c>
      <c r="Q2147">
        <v>-0.13292089999999901</v>
      </c>
      <c r="R2147">
        <v>5.5397540000000002E-2</v>
      </c>
      <c r="S2147">
        <v>3.031555</v>
      </c>
      <c r="T2147">
        <v>-6.249702E-2</v>
      </c>
      <c r="U2147">
        <v>-0.16085820000000001</v>
      </c>
      <c r="V2147">
        <v>-3.9382090000000002E-2</v>
      </c>
      <c r="W2147">
        <v>-0.12758549999999999</v>
      </c>
      <c r="X2147">
        <v>0.99104539999999997</v>
      </c>
      <c r="Y2147">
        <v>6.8908419999999998E-2</v>
      </c>
      <c r="Z2147">
        <v>-1.1396749999999999E-3</v>
      </c>
      <c r="AA2147">
        <v>0.99762229999999996</v>
      </c>
      <c r="AB2147">
        <v>41</v>
      </c>
      <c r="AC2147">
        <v>53.383400000000002</v>
      </c>
      <c r="AD2147">
        <v>-1.1081827867859999</v>
      </c>
      <c r="AE2147">
        <v>-2.85849999999999</v>
      </c>
      <c r="AF2147">
        <v>3.7091379452829298</v>
      </c>
      <c r="AG2147">
        <v>-1.1081827867859999</v>
      </c>
      <c r="AH2147">
        <v>53.308030891582803</v>
      </c>
      <c r="AI2147">
        <v>91.188038210646795</v>
      </c>
      <c r="AJ2147">
        <v>86.019811916427798</v>
      </c>
      <c r="AK2147">
        <v>53.448404381459497</v>
      </c>
      <c r="AL2147">
        <v>97.330089801745999</v>
      </c>
      <c r="AM2147">
        <v>92.275618209870899</v>
      </c>
      <c r="AN2147">
        <v>0.99999999684208896</v>
      </c>
    </row>
    <row r="2148" spans="1:40" x14ac:dyDescent="0.25">
      <c r="A2148" t="str">
        <f>"20190305135626751"</f>
        <v>20190305135626751</v>
      </c>
      <c r="B2148" t="str">
        <f>"1551765386744084"</f>
        <v>1551765386744084</v>
      </c>
      <c r="C2148" t="s">
        <v>40</v>
      </c>
      <c r="D2148">
        <v>4.2687229999999996</v>
      </c>
      <c r="E2148">
        <v>0.54341010000000001</v>
      </c>
      <c r="F2148" t="s">
        <v>55</v>
      </c>
      <c r="G2148">
        <v>-369.88420000000002</v>
      </c>
      <c r="H2148" s="1">
        <v>3.723061E-6</v>
      </c>
      <c r="I2148">
        <v>211.85380000000001</v>
      </c>
      <c r="J2148">
        <v>-430.04219999999998</v>
      </c>
      <c r="K2148">
        <v>1.1081730000000001</v>
      </c>
      <c r="L2148">
        <v>215.02889999999999</v>
      </c>
      <c r="M2148">
        <v>0.99984819999999996</v>
      </c>
      <c r="N2148">
        <v>-5.4597040000000001E-3</v>
      </c>
      <c r="O2148">
        <v>1.6547820000000001E-2</v>
      </c>
      <c r="P2148">
        <v>0.98949830000000005</v>
      </c>
      <c r="Q2148">
        <v>-0.1329864</v>
      </c>
      <c r="R2148">
        <v>5.6638809999999998E-2</v>
      </c>
      <c r="S2148">
        <v>3.0330509999999999</v>
      </c>
      <c r="T2148">
        <v>-5.5514220000000003E-2</v>
      </c>
      <c r="U2148">
        <v>-0.1587219</v>
      </c>
      <c r="V2148">
        <v>-4.005425E-2</v>
      </c>
      <c r="W2148">
        <v>-0.12764149999999999</v>
      </c>
      <c r="X2148">
        <v>0.99101130000000004</v>
      </c>
      <c r="Y2148">
        <v>6.8761299999999997E-2</v>
      </c>
      <c r="Z2148">
        <v>-1.0290410000000001E-3</v>
      </c>
      <c r="AA2148">
        <v>0.99763259999999998</v>
      </c>
      <c r="AB2148">
        <v>41</v>
      </c>
      <c r="AC2148">
        <v>60.157999999999902</v>
      </c>
      <c r="AD2148">
        <v>-1.1081692769389999</v>
      </c>
      <c r="AE2148">
        <v>-3.17509999999998</v>
      </c>
      <c r="AF2148">
        <v>4.1687531362440096</v>
      </c>
      <c r="AG2148">
        <v>-1.1081692769389999</v>
      </c>
      <c r="AH2148">
        <v>60.076891473444398</v>
      </c>
      <c r="AI2148">
        <v>91.054215055845901</v>
      </c>
      <c r="AJ2148">
        <v>86.030591796588993</v>
      </c>
      <c r="AK2148">
        <v>60.2315484689653</v>
      </c>
      <c r="AL2148">
        <v>97.333324451778907</v>
      </c>
      <c r="AM2148">
        <v>92.314495349773694</v>
      </c>
      <c r="AN2148">
        <v>1.0000000460965</v>
      </c>
    </row>
    <row r="2149" spans="1:40" x14ac:dyDescent="0.25">
      <c r="A2149" t="str">
        <f>"20190305135626774"</f>
        <v>20190305135626774</v>
      </c>
      <c r="B2149" t="str">
        <f>"1551765386764579"</f>
        <v>1551765386764579</v>
      </c>
      <c r="C2149" t="s">
        <v>40</v>
      </c>
      <c r="D2149">
        <v>4.314127</v>
      </c>
      <c r="E2149">
        <v>0.54366479999999995</v>
      </c>
      <c r="F2149" t="s">
        <v>55</v>
      </c>
      <c r="G2149">
        <v>-381.14350000000002</v>
      </c>
      <c r="H2149" s="1">
        <v>-8.3674339999999996E-7</v>
      </c>
      <c r="I2149">
        <v>212.52260000000001</v>
      </c>
      <c r="J2149">
        <v>-429.64330000000001</v>
      </c>
      <c r="K2149">
        <v>1.1081650000000001</v>
      </c>
      <c r="L2149">
        <v>215.0359</v>
      </c>
      <c r="M2149">
        <v>0.99983829999999996</v>
      </c>
      <c r="N2149">
        <v>-5.470768E-3</v>
      </c>
      <c r="O2149">
        <v>1.7139709999999999E-2</v>
      </c>
      <c r="P2149">
        <v>0.98941670000000004</v>
      </c>
      <c r="Q2149">
        <v>-0.13330410000000001</v>
      </c>
      <c r="R2149">
        <v>5.7313379999999997E-2</v>
      </c>
      <c r="S2149">
        <v>3.0315249999999998</v>
      </c>
      <c r="T2149">
        <v>-6.8702460000000007E-2</v>
      </c>
      <c r="U2149">
        <v>-0.1553802</v>
      </c>
      <c r="V2149">
        <v>-4.0143850000000002E-2</v>
      </c>
      <c r="W2149">
        <v>-0.12794839999999999</v>
      </c>
      <c r="X2149">
        <v>0.99096799999999996</v>
      </c>
      <c r="Y2149">
        <v>6.827337E-2</v>
      </c>
      <c r="Z2149">
        <v>-1.254394E-3</v>
      </c>
      <c r="AA2149">
        <v>0.99766589999999999</v>
      </c>
      <c r="AB2149">
        <v>41</v>
      </c>
      <c r="AC2149">
        <v>48.499799999999901</v>
      </c>
      <c r="AD2149">
        <v>-1.1081658367434</v>
      </c>
      <c r="AE2149">
        <v>-2.5132999999999801</v>
      </c>
      <c r="AF2149">
        <v>3.3424752721078899</v>
      </c>
      <c r="AG2149">
        <v>-1.1081658367434</v>
      </c>
      <c r="AH2149">
        <v>48.424384248218203</v>
      </c>
      <c r="AI2149">
        <v>91.307843344369999</v>
      </c>
      <c r="AJ2149">
        <v>86.051442827588403</v>
      </c>
      <c r="AK2149">
        <v>48.552251876565499</v>
      </c>
      <c r="AL2149">
        <v>97.351054611208696</v>
      </c>
      <c r="AM2149">
        <v>92.319768394338098</v>
      </c>
      <c r="AN2149">
        <v>0.99999994938968995</v>
      </c>
    </row>
    <row r="2150" spans="1:40" x14ac:dyDescent="0.25">
      <c r="A2150" t="str">
        <f>"20190305135626797"</f>
        <v>20190305135626797</v>
      </c>
      <c r="B2150" t="str">
        <f>"1551765386794366"</f>
        <v>1551765386794366</v>
      </c>
      <c r="C2150" t="s">
        <v>40</v>
      </c>
      <c r="D2150">
        <v>4.3289</v>
      </c>
      <c r="E2150">
        <v>0.54412660000000002</v>
      </c>
      <c r="F2150" t="s">
        <v>55</v>
      </c>
      <c r="G2150">
        <v>-386.67349999999999</v>
      </c>
      <c r="H2150" s="1">
        <v>2.0929829999999999E-6</v>
      </c>
      <c r="I2150">
        <v>212.82140000000001</v>
      </c>
      <c r="J2150">
        <v>-429.22430000000003</v>
      </c>
      <c r="K2150">
        <v>1.1081529999999999</v>
      </c>
      <c r="L2150">
        <v>215.04349999999999</v>
      </c>
      <c r="M2150">
        <v>0.99982729999999997</v>
      </c>
      <c r="N2150">
        <v>-5.4823449999999996E-3</v>
      </c>
      <c r="O2150">
        <v>1.776028E-2</v>
      </c>
      <c r="P2150">
        <v>0.98934109999999997</v>
      </c>
      <c r="Q2150">
        <v>-0.1336744</v>
      </c>
      <c r="R2150">
        <v>5.7754319999999998E-2</v>
      </c>
      <c r="S2150">
        <v>3.0306090000000001</v>
      </c>
      <c r="T2150">
        <v>-7.8157420000000005E-2</v>
      </c>
      <c r="U2150">
        <v>-0.15618899999999999</v>
      </c>
      <c r="V2150">
        <v>-3.9971399999999997E-2</v>
      </c>
      <c r="W2150">
        <v>-0.12830710000000001</v>
      </c>
      <c r="X2150">
        <v>0.99092860000000005</v>
      </c>
      <c r="Y2150">
        <v>6.9166270000000002E-2</v>
      </c>
      <c r="Z2150">
        <v>-1.441295E-3</v>
      </c>
      <c r="AA2150">
        <v>0.99760409999999999</v>
      </c>
      <c r="AB2150">
        <v>41</v>
      </c>
      <c r="AC2150">
        <v>42.550800000000002</v>
      </c>
      <c r="AD2150">
        <v>-1.1081509070169999</v>
      </c>
      <c r="AE2150">
        <v>-2.2220999999999802</v>
      </c>
      <c r="AF2150">
        <v>2.9754623585253599</v>
      </c>
      <c r="AG2150">
        <v>-1.1081509070169999</v>
      </c>
      <c r="AH2150">
        <v>42.475892286372101</v>
      </c>
      <c r="AI2150">
        <v>91.490795424711195</v>
      </c>
      <c r="AJ2150">
        <v>85.992941209671898</v>
      </c>
      <c r="AK2150">
        <v>42.5943986951713</v>
      </c>
      <c r="AL2150">
        <v>97.371777352407506</v>
      </c>
      <c r="AM2150">
        <v>92.309905687547001</v>
      </c>
      <c r="AN2150">
        <v>0.99999995751316395</v>
      </c>
    </row>
    <row r="2151" spans="1:40" x14ac:dyDescent="0.25">
      <c r="A2151" t="str">
        <f>"20190305135626819"</f>
        <v>20190305135626819</v>
      </c>
      <c r="B2151" t="str">
        <f>"1551765386813887"</f>
        <v>1551765386813887</v>
      </c>
      <c r="C2151" t="s">
        <v>40</v>
      </c>
      <c r="D2151">
        <v>4.2785970000000004</v>
      </c>
      <c r="E2151">
        <v>0.5443481</v>
      </c>
      <c r="F2151" t="s">
        <v>55</v>
      </c>
      <c r="G2151">
        <v>-390.68349999999998</v>
      </c>
      <c r="H2151" s="1">
        <v>-1.173074E-6</v>
      </c>
      <c r="I2151">
        <v>213.01779999999999</v>
      </c>
      <c r="J2151">
        <v>-428.81049999999999</v>
      </c>
      <c r="K2151">
        <v>1.1081559999999999</v>
      </c>
      <c r="L2151">
        <v>215.0513</v>
      </c>
      <c r="M2151">
        <v>0.99981620000000004</v>
      </c>
      <c r="N2151">
        <v>-5.49381E-3</v>
      </c>
      <c r="O2151">
        <v>1.8372220000000002E-2</v>
      </c>
      <c r="P2151">
        <v>0.98934860000000002</v>
      </c>
      <c r="Q2151">
        <v>-0.13338800000000001</v>
      </c>
      <c r="R2151">
        <v>5.8284740000000002E-2</v>
      </c>
      <c r="S2151">
        <v>3.0298769999999999</v>
      </c>
      <c r="T2151">
        <v>-8.7117200000000006E-2</v>
      </c>
      <c r="U2151">
        <v>-0.15925599999999901</v>
      </c>
      <c r="V2151">
        <v>-3.9895460000000001E-2</v>
      </c>
      <c r="W2151">
        <v>-0.12800899999999901</v>
      </c>
      <c r="X2151">
        <v>0.99097029999999997</v>
      </c>
      <c r="Y2151">
        <v>7.0788000000000004E-2</v>
      </c>
      <c r="Z2151">
        <v>-1.6383729999999901E-3</v>
      </c>
      <c r="AA2151">
        <v>0.99748999999999999</v>
      </c>
      <c r="AB2151">
        <v>41</v>
      </c>
      <c r="AC2151">
        <v>38.127000000000002</v>
      </c>
      <c r="AD2151">
        <v>-1.1081571730740001</v>
      </c>
      <c r="AE2151">
        <v>-2.0335000000000001</v>
      </c>
      <c r="AF2151">
        <v>2.7313441103498302</v>
      </c>
      <c r="AG2151">
        <v>-1.1081571730740001</v>
      </c>
      <c r="AH2151">
        <v>38.051150913044403</v>
      </c>
      <c r="AI2151">
        <v>91.663865105632297</v>
      </c>
      <c r="AJ2151">
        <v>85.894301874261004</v>
      </c>
      <c r="AK2151">
        <v>38.165145601407801</v>
      </c>
      <c r="AL2151">
        <v>97.354554826878896</v>
      </c>
      <c r="AM2151">
        <v>92.305425022336195</v>
      </c>
      <c r="AN2151">
        <v>1.0000000436458401</v>
      </c>
    </row>
    <row r="2152" spans="1:40" x14ac:dyDescent="0.25">
      <c r="A2152" t="str">
        <f>"20190305135626843"</f>
        <v>20190305135626843</v>
      </c>
      <c r="B2152" t="str">
        <f>"1551765386834382"</f>
        <v>1551765386834382</v>
      </c>
      <c r="C2152" t="s">
        <v>40</v>
      </c>
      <c r="D2152">
        <v>4.3212769999999896</v>
      </c>
      <c r="E2152">
        <v>0.54465959999999902</v>
      </c>
      <c r="F2152" t="s">
        <v>55</v>
      </c>
      <c r="G2152">
        <v>-392.00510000000003</v>
      </c>
      <c r="H2152" s="1">
        <v>-4.6975599999999999E-7</v>
      </c>
      <c r="I2152">
        <v>213.1122</v>
      </c>
      <c r="J2152">
        <v>-428.38229999999999</v>
      </c>
      <c r="K2152">
        <v>1.1081589999999999</v>
      </c>
      <c r="L2152">
        <v>215.05959999999999</v>
      </c>
      <c r="M2152">
        <v>0.99980429999999998</v>
      </c>
      <c r="N2152">
        <v>-5.5058559999999999E-3</v>
      </c>
      <c r="O2152">
        <v>1.90046E-2</v>
      </c>
      <c r="P2152">
        <v>0.98943709999999996</v>
      </c>
      <c r="Q2152">
        <v>-0.13273599999999999</v>
      </c>
      <c r="R2152">
        <v>5.8273510000000001E-2</v>
      </c>
      <c r="S2152">
        <v>3.02948</v>
      </c>
      <c r="T2152">
        <v>-9.1213349999999999E-2</v>
      </c>
      <c r="U2152">
        <v>-0.1596069</v>
      </c>
      <c r="V2152">
        <v>-3.9257140000000003E-2</v>
      </c>
      <c r="W2152">
        <v>-0.1273436</v>
      </c>
      <c r="X2152">
        <v>0.99108149999999995</v>
      </c>
      <c r="Y2152">
        <v>7.1536699999999995E-2</v>
      </c>
      <c r="Z2152">
        <v>-1.740255E-3</v>
      </c>
      <c r="AA2152">
        <v>0.99743649999999995</v>
      </c>
      <c r="AB2152">
        <v>41</v>
      </c>
      <c r="AC2152">
        <v>36.377199999999903</v>
      </c>
      <c r="AD2152">
        <v>-1.108159469756</v>
      </c>
      <c r="AE2152">
        <v>-1.94739999999998</v>
      </c>
      <c r="AF2152">
        <v>2.6359536880886001</v>
      </c>
      <c r="AG2152">
        <v>-1.108159469756</v>
      </c>
      <c r="AH2152">
        <v>36.3000298174451</v>
      </c>
      <c r="AI2152">
        <v>91.743980971951501</v>
      </c>
      <c r="AJ2152">
        <v>85.846714237129305</v>
      </c>
      <c r="AK2152">
        <v>36.412476350882301</v>
      </c>
      <c r="AL2152">
        <v>97.316115743774105</v>
      </c>
      <c r="AM2152">
        <v>92.268323229084402</v>
      </c>
      <c r="AN2152">
        <v>1.0000000275720899</v>
      </c>
    </row>
    <row r="2153" spans="1:40" x14ac:dyDescent="0.25">
      <c r="A2153" t="str">
        <f>"20190305135626866"</f>
        <v>20190305135626866</v>
      </c>
      <c r="B2153" t="str">
        <f>"1551765386853903"</f>
        <v>1551765386853903</v>
      </c>
      <c r="C2153" t="s">
        <v>40</v>
      </c>
      <c r="D2153">
        <v>4.2993519999999998</v>
      </c>
      <c r="E2153">
        <v>0.54518869999999997</v>
      </c>
      <c r="F2153" t="s">
        <v>55</v>
      </c>
      <c r="G2153">
        <v>-392.25760000000002</v>
      </c>
      <c r="H2153" s="1">
        <v>-3.3543189999999999E-7</v>
      </c>
      <c r="I2153">
        <v>213.1267</v>
      </c>
      <c r="J2153">
        <v>-427.95749999999998</v>
      </c>
      <c r="K2153">
        <v>1.108158</v>
      </c>
      <c r="L2153">
        <v>215.06819999999999</v>
      </c>
      <c r="M2153">
        <v>0.99979200000000001</v>
      </c>
      <c r="N2153">
        <v>-5.5179879999999997E-3</v>
      </c>
      <c r="O2153">
        <v>1.9629649999999998E-2</v>
      </c>
      <c r="P2153">
        <v>0.98938680000000001</v>
      </c>
      <c r="Q2153">
        <v>-0.1328115</v>
      </c>
      <c r="R2153">
        <v>5.8946730000000003E-2</v>
      </c>
      <c r="S2153">
        <v>3.0291139999999999</v>
      </c>
      <c r="T2153">
        <v>-9.2920900000000001E-2</v>
      </c>
      <c r="U2153">
        <v>-0.1620789</v>
      </c>
      <c r="V2153">
        <v>-3.9311640000000002E-2</v>
      </c>
      <c r="W2153">
        <v>-0.127407399999999</v>
      </c>
      <c r="X2153">
        <v>0.99107109999999998</v>
      </c>
      <c r="Y2153">
        <v>7.2975609999999996E-2</v>
      </c>
      <c r="Z2153">
        <v>-1.8132020000000001E-3</v>
      </c>
      <c r="AA2153">
        <v>0.99733210000000005</v>
      </c>
      <c r="AB2153">
        <v>41</v>
      </c>
      <c r="AC2153">
        <v>35.6998999999999</v>
      </c>
      <c r="AD2153">
        <v>-1.10815833543189</v>
      </c>
      <c r="AE2153">
        <v>-1.94149999999999</v>
      </c>
      <c r="AF2153">
        <v>2.6393775302534102</v>
      </c>
      <c r="AG2153">
        <v>-1.10815833543189</v>
      </c>
      <c r="AH2153">
        <v>35.620688840162401</v>
      </c>
      <c r="AI2153">
        <v>91.777026493241294</v>
      </c>
      <c r="AJ2153">
        <v>85.762312651181006</v>
      </c>
      <c r="AK2153">
        <v>35.735525770460796</v>
      </c>
      <c r="AL2153">
        <v>97.319801526048195</v>
      </c>
      <c r="AM2153">
        <v>92.271492817371296</v>
      </c>
      <c r="AN2153">
        <v>0.999999987934729</v>
      </c>
    </row>
    <row r="2154" spans="1:40" x14ac:dyDescent="0.25">
      <c r="A2154" t="str">
        <f>"20190305135626889"</f>
        <v>20190305135626889</v>
      </c>
      <c r="B2154" t="str">
        <f>"1551765386884158"</f>
        <v>1551765386884158</v>
      </c>
      <c r="C2154" t="s">
        <v>40</v>
      </c>
      <c r="D2154">
        <v>4.3525099999999997</v>
      </c>
      <c r="E2154">
        <v>0.54565079999999999</v>
      </c>
      <c r="F2154" t="s">
        <v>55</v>
      </c>
      <c r="G2154">
        <v>-392.1542</v>
      </c>
      <c r="H2154" s="1">
        <v>-3.9043290000000002E-7</v>
      </c>
      <c r="I2154">
        <v>213.1285</v>
      </c>
      <c r="J2154">
        <v>-427.5299</v>
      </c>
      <c r="K2154">
        <v>1.1081559999999999</v>
      </c>
      <c r="L2154">
        <v>215.077</v>
      </c>
      <c r="M2154">
        <v>0.9997798</v>
      </c>
      <c r="N2154">
        <v>-5.5304100000000004E-3</v>
      </c>
      <c r="O2154">
        <v>2.0250520000000001E-2</v>
      </c>
      <c r="P2154">
        <v>0.98931829999999998</v>
      </c>
      <c r="Q2154">
        <v>-0.1330742</v>
      </c>
      <c r="R2154">
        <v>5.9505420000000003E-2</v>
      </c>
      <c r="S2154">
        <v>3.0294189999999999</v>
      </c>
      <c r="T2154">
        <v>-9.3764539999999993E-2</v>
      </c>
      <c r="U2154">
        <v>-0.16412349999999901</v>
      </c>
      <c r="V2154">
        <v>-3.9256480000000003E-2</v>
      </c>
      <c r="W2154">
        <v>-0.12765760000000001</v>
      </c>
      <c r="X2154">
        <v>0.99104110000000001</v>
      </c>
      <c r="Y2154">
        <v>7.4258980000000002E-2</v>
      </c>
      <c r="Z2154">
        <v>-1.8679860000000001E-3</v>
      </c>
      <c r="AA2154">
        <v>0.99723729999999999</v>
      </c>
      <c r="AB2154">
        <v>41</v>
      </c>
      <c r="AC2154">
        <v>35.375699999999902</v>
      </c>
      <c r="AD2154">
        <v>-1.1081563904328999</v>
      </c>
      <c r="AE2154">
        <v>-1.9484999999999899</v>
      </c>
      <c r="AF2154">
        <v>2.6618834383507499</v>
      </c>
      <c r="AG2154">
        <v>-1.1081563904328999</v>
      </c>
      <c r="AH2154">
        <v>35.294457887301697</v>
      </c>
      <c r="AI2154">
        <v>91.793261731611395</v>
      </c>
      <c r="AJ2154">
        <v>85.686957468223</v>
      </c>
      <c r="AK2154">
        <v>35.412037382555901</v>
      </c>
      <c r="AL2154">
        <v>97.334254877261898</v>
      </c>
      <c r="AM2154">
        <v>92.268377503882803</v>
      </c>
      <c r="AN2154">
        <v>0.99999999797448003</v>
      </c>
    </row>
    <row r="2155" spans="1:40" x14ac:dyDescent="0.25">
      <c r="A2155" t="str">
        <f>"20190305135626913"</f>
        <v>20190305135626913</v>
      </c>
      <c r="B2155" t="str">
        <f>"1551765386904188"</f>
        <v>1551765386904188</v>
      </c>
      <c r="C2155" t="s">
        <v>40</v>
      </c>
      <c r="D2155">
        <v>4.3440699999999897</v>
      </c>
      <c r="E2155">
        <v>0.54584129999999997</v>
      </c>
      <c r="F2155" t="s">
        <v>55</v>
      </c>
      <c r="G2155">
        <v>-394.3304</v>
      </c>
      <c r="H2155" s="1">
        <v>7.6766289999999996E-7</v>
      </c>
      <c r="I2155">
        <v>213.2544</v>
      </c>
      <c r="J2155">
        <v>-427.07749999999999</v>
      </c>
      <c r="K2155">
        <v>1.1081460000000001</v>
      </c>
      <c r="L2155">
        <v>215.0866</v>
      </c>
      <c r="M2155">
        <v>0.99976670000000001</v>
      </c>
      <c r="N2155">
        <v>-5.543676E-3</v>
      </c>
      <c r="O2155">
        <v>2.0885770000000001E-2</v>
      </c>
      <c r="P2155">
        <v>0.98929889999999998</v>
      </c>
      <c r="Q2155">
        <v>-0.13281490000000001</v>
      </c>
      <c r="R2155">
        <v>6.0402909999999997E-2</v>
      </c>
      <c r="S2155">
        <v>3.028778</v>
      </c>
      <c r="T2155">
        <v>-0.1010967</v>
      </c>
      <c r="U2155">
        <v>-0.16627500000000001</v>
      </c>
      <c r="V2155">
        <v>-3.9528199999999999E-2</v>
      </c>
      <c r="W2155">
        <v>-0.12738469999999999</v>
      </c>
      <c r="X2155">
        <v>0.99106539999999999</v>
      </c>
      <c r="Y2155">
        <v>7.5601520000000005E-2</v>
      </c>
      <c r="Z2155">
        <v>-2.0510480000000002E-3</v>
      </c>
      <c r="AA2155">
        <v>0.99713600000000002</v>
      </c>
      <c r="AB2155">
        <v>41</v>
      </c>
      <c r="AC2155">
        <v>32.747099999999897</v>
      </c>
      <c r="AD2155">
        <v>-1.1081452323370999</v>
      </c>
      <c r="AE2155">
        <v>-1.8322000000000001</v>
      </c>
      <c r="AF2155">
        <v>2.5128905390878802</v>
      </c>
      <c r="AG2155">
        <v>-1.1081452323370999</v>
      </c>
      <c r="AH2155">
        <v>32.664401474106803</v>
      </c>
      <c r="AI2155">
        <v>91.937303678922504</v>
      </c>
      <c r="AJ2155">
        <v>85.600868694749906</v>
      </c>
      <c r="AK2155">
        <v>32.779654183334898</v>
      </c>
      <c r="AL2155">
        <v>97.318490258196903</v>
      </c>
      <c r="AM2155">
        <v>92.284005925568806</v>
      </c>
      <c r="AN2155">
        <v>0.99999998373324395</v>
      </c>
    </row>
    <row r="2156" spans="1:40" x14ac:dyDescent="0.25">
      <c r="A2156" t="str">
        <f>"20190305135626953"</f>
        <v>20190305135626953</v>
      </c>
      <c r="B2156" t="str">
        <f>"1551765386944204"</f>
        <v>1551765386944204</v>
      </c>
      <c r="C2156" t="s">
        <v>40</v>
      </c>
      <c r="D2156">
        <v>4.4671989999999999</v>
      </c>
      <c r="E2156">
        <v>0.54624719999999904</v>
      </c>
      <c r="F2156" t="s">
        <v>55</v>
      </c>
      <c r="G2156">
        <v>-394.81650000000002</v>
      </c>
      <c r="H2156" s="1">
        <v>1.026291E-6</v>
      </c>
      <c r="I2156">
        <v>213.32579999999999</v>
      </c>
      <c r="J2156">
        <v>-426.32709999999997</v>
      </c>
      <c r="K2156">
        <v>1.108109</v>
      </c>
      <c r="L2156">
        <v>215.10310000000001</v>
      </c>
      <c r="M2156">
        <v>0.99974540000000001</v>
      </c>
      <c r="N2156">
        <v>-5.5658840000000001E-3</v>
      </c>
      <c r="O2156">
        <v>2.1871370000000001E-2</v>
      </c>
      <c r="P2156">
        <v>0.98922909999999997</v>
      </c>
      <c r="Q2156">
        <v>-0.13257849999999999</v>
      </c>
      <c r="R2156">
        <v>6.2037149999999999E-2</v>
      </c>
      <c r="S2156">
        <v>3.0286249999999999</v>
      </c>
      <c r="T2156">
        <v>-0.1040312</v>
      </c>
      <c r="U2156">
        <v>-0.16529849999999999</v>
      </c>
      <c r="V2156">
        <v>-4.0196809999999999E-2</v>
      </c>
      <c r="W2156">
        <v>-0.1271244</v>
      </c>
      <c r="X2156">
        <v>0.99107190000000001</v>
      </c>
      <c r="Y2156">
        <v>7.62626E-2</v>
      </c>
      <c r="Z2156">
        <v>-2.1498419999999999E-3</v>
      </c>
      <c r="AA2156">
        <v>0.99708549999999996</v>
      </c>
      <c r="AB2156">
        <v>42</v>
      </c>
      <c r="AC2156">
        <v>31.510599999999901</v>
      </c>
      <c r="AD2156">
        <v>-1.108107973709</v>
      </c>
      <c r="AE2156">
        <v>-1.7773000000000201</v>
      </c>
      <c r="AF2156">
        <v>2.4630291681631</v>
      </c>
      <c r="AG2156">
        <v>-1.108107973709</v>
      </c>
      <c r="AH2156">
        <v>31.4254502275916</v>
      </c>
      <c r="AI2156">
        <v>92.013328125495306</v>
      </c>
      <c r="AJ2156">
        <v>85.518496334747596</v>
      </c>
      <c r="AK2156">
        <v>31.541295756063299</v>
      </c>
      <c r="AL2156">
        <v>97.303454142357296</v>
      </c>
      <c r="AM2156">
        <v>92.322582162870006</v>
      </c>
      <c r="AN2156">
        <v>0.99999995378957196</v>
      </c>
    </row>
    <row r="2157" spans="1:40" x14ac:dyDescent="0.25">
      <c r="A2157" t="str">
        <f>"20190305135626976"</f>
        <v>20190305135626976</v>
      </c>
      <c r="B2157" t="str">
        <f>"1551765386974460"</f>
        <v>1551765386974460</v>
      </c>
      <c r="C2157" t="s">
        <v>40</v>
      </c>
      <c r="D2157">
        <v>4.3644679999999996</v>
      </c>
      <c r="E2157">
        <v>0.54658200000000001</v>
      </c>
      <c r="F2157" t="s">
        <v>55</v>
      </c>
      <c r="G2157">
        <v>-395.89139999999998</v>
      </c>
      <c r="H2157" s="1">
        <v>1.598339E-6</v>
      </c>
      <c r="I2157">
        <v>213.4572</v>
      </c>
      <c r="J2157">
        <v>-425.89229999999998</v>
      </c>
      <c r="K2157">
        <v>1.108082</v>
      </c>
      <c r="L2157">
        <v>215.113</v>
      </c>
      <c r="M2157">
        <v>0.99973369999999995</v>
      </c>
      <c r="N2157">
        <v>-5.5786530000000003E-3</v>
      </c>
      <c r="O2157">
        <v>2.2394549999999999E-2</v>
      </c>
      <c r="P2157">
        <v>0.98913810000000002</v>
      </c>
      <c r="Q2157">
        <v>-0.13251199999999999</v>
      </c>
      <c r="R2157">
        <v>6.3611520000000005E-2</v>
      </c>
      <c r="S2157">
        <v>3.0281370000000001</v>
      </c>
      <c r="T2157">
        <v>-0.110249</v>
      </c>
      <c r="U2157">
        <v>-0.16375729999999999</v>
      </c>
      <c r="V2157">
        <v>-4.1261939999999997E-2</v>
      </c>
      <c r="W2157">
        <v>-0.12704469999999901</v>
      </c>
      <c r="X2157">
        <v>0.99103839999999999</v>
      </c>
      <c r="Y2157">
        <v>7.6279589999999994E-2</v>
      </c>
      <c r="Z2157">
        <v>-2.2898939999999998E-3</v>
      </c>
      <c r="AA2157">
        <v>0.99708379999999996</v>
      </c>
      <c r="AB2157">
        <v>42</v>
      </c>
      <c r="AC2157">
        <v>30.000900000000001</v>
      </c>
      <c r="AD2157">
        <v>-1.108080401661</v>
      </c>
      <c r="AE2157">
        <v>-1.6557999999999899</v>
      </c>
      <c r="AF2157">
        <v>2.3240909368148399</v>
      </c>
      <c r="AG2157">
        <v>-1.108080401661</v>
      </c>
      <c r="AH2157">
        <v>29.91560783445</v>
      </c>
      <c r="AI2157">
        <v>92.114911135339398</v>
      </c>
      <c r="AJ2157">
        <v>85.557714444667496</v>
      </c>
      <c r="AK2157">
        <v>30.0262024399313</v>
      </c>
      <c r="AL2157">
        <v>97.298849950743403</v>
      </c>
      <c r="AM2157">
        <v>92.384136050576004</v>
      </c>
      <c r="AN2157">
        <v>1.0000000068826</v>
      </c>
    </row>
    <row r="2158" spans="1:40" x14ac:dyDescent="0.25">
      <c r="A2158" t="str">
        <f>"20190305135626997"</f>
        <v>20190305135626997</v>
      </c>
      <c r="B2158" t="str">
        <f>"1551765386993980"</f>
        <v>1551765386993980</v>
      </c>
      <c r="C2158" t="s">
        <v>40</v>
      </c>
      <c r="D2158">
        <v>4.4229529999999997</v>
      </c>
      <c r="E2158">
        <v>0.5468674</v>
      </c>
      <c r="F2158" t="s">
        <v>55</v>
      </c>
      <c r="G2158">
        <v>-396.0795</v>
      </c>
      <c r="H2158" s="1">
        <v>1.6984370000000001E-6</v>
      </c>
      <c r="I2158">
        <v>213.5232</v>
      </c>
      <c r="J2158">
        <v>-425.49610000000001</v>
      </c>
      <c r="K2158">
        <v>1.108047</v>
      </c>
      <c r="L2158">
        <v>215.12219999999999</v>
      </c>
      <c r="M2158">
        <v>0.99972369999999999</v>
      </c>
      <c r="N2158">
        <v>-5.5904809999999996E-3</v>
      </c>
      <c r="O2158">
        <v>2.28329E-2</v>
      </c>
      <c r="P2158">
        <v>0.98906669999999997</v>
      </c>
      <c r="Q2158">
        <v>-0.1321842</v>
      </c>
      <c r="R2158">
        <v>6.5381739999999994E-2</v>
      </c>
      <c r="S2158">
        <v>3.0282290000000001</v>
      </c>
      <c r="T2158">
        <v>-0.112553</v>
      </c>
      <c r="U2158">
        <v>-0.16148379999999901</v>
      </c>
      <c r="V2158">
        <v>-4.2608220000000002E-2</v>
      </c>
      <c r="W2158">
        <v>-0.12670429999999999</v>
      </c>
      <c r="X2158">
        <v>0.99102500000000004</v>
      </c>
      <c r="Y2158">
        <v>7.5965900000000003E-2</v>
      </c>
      <c r="Z2158">
        <v>-2.3431609999999999E-3</v>
      </c>
      <c r="AA2158">
        <v>0.99710770000000004</v>
      </c>
      <c r="AB2158">
        <v>42</v>
      </c>
      <c r="AC2158">
        <v>29.416599999999999</v>
      </c>
      <c r="AD2158">
        <v>-1.1080453015629901</v>
      </c>
      <c r="AE2158">
        <v>-1.59899999999998</v>
      </c>
      <c r="AF2158">
        <v>2.2670527942170802</v>
      </c>
      <c r="AG2158">
        <v>-1.1080453015629901</v>
      </c>
      <c r="AH2158">
        <v>29.3309273662571</v>
      </c>
      <c r="AI2158">
        <v>92.157027649466499</v>
      </c>
      <c r="AJ2158">
        <v>85.580268723697102</v>
      </c>
      <c r="AK2158">
        <v>29.439269571895501</v>
      </c>
      <c r="AL2158">
        <v>97.2791876558654</v>
      </c>
      <c r="AM2158">
        <v>92.461863849370701</v>
      </c>
      <c r="AN2158">
        <v>0.99999999533752904</v>
      </c>
    </row>
    <row r="2159" spans="1:40" x14ac:dyDescent="0.25">
      <c r="A2159" t="str">
        <f>"20190305135627021"</f>
        <v>20190305135627021</v>
      </c>
      <c r="B2159" t="str">
        <f>"1551765387014476"</f>
        <v>1551765387014476</v>
      </c>
      <c r="C2159" t="s">
        <v>40</v>
      </c>
      <c r="D2159">
        <v>4.3833260000000003</v>
      </c>
      <c r="E2159">
        <v>0.54712439999999996</v>
      </c>
      <c r="F2159" t="s">
        <v>55</v>
      </c>
      <c r="G2159">
        <v>-396.12819999999999</v>
      </c>
      <c r="H2159" s="1">
        <v>1.7243519999999999E-6</v>
      </c>
      <c r="I2159">
        <v>213.58439999999999</v>
      </c>
      <c r="J2159">
        <v>-425.05709999999999</v>
      </c>
      <c r="K2159">
        <v>1.108001</v>
      </c>
      <c r="L2159">
        <v>215.13249999999999</v>
      </c>
      <c r="M2159">
        <v>0.99971410000000005</v>
      </c>
      <c r="N2159">
        <v>-5.6036009999999997E-3</v>
      </c>
      <c r="O2159">
        <v>2.3250050000000001E-2</v>
      </c>
      <c r="P2159">
        <v>0.98901050000000001</v>
      </c>
      <c r="Q2159">
        <v>-0.1316667</v>
      </c>
      <c r="R2159">
        <v>6.7249089999999997E-2</v>
      </c>
      <c r="S2159">
        <v>3.0284119999999999</v>
      </c>
      <c r="T2159">
        <v>-0.1142616</v>
      </c>
      <c r="U2159">
        <v>-0.15858459999999999</v>
      </c>
      <c r="V2159">
        <v>-4.4077060000000001E-2</v>
      </c>
      <c r="W2159">
        <v>-0.12617110000000001</v>
      </c>
      <c r="X2159">
        <v>0.99102880000000004</v>
      </c>
      <c r="Y2159">
        <v>7.5424930000000001E-2</v>
      </c>
      <c r="Z2159">
        <v>-2.3792050000000001E-3</v>
      </c>
      <c r="AA2159">
        <v>0.99714860000000005</v>
      </c>
      <c r="AB2159">
        <v>42</v>
      </c>
      <c r="AC2159">
        <v>28.928899999999999</v>
      </c>
      <c r="AD2159">
        <v>-1.1079992756479999</v>
      </c>
      <c r="AE2159">
        <v>-1.5481</v>
      </c>
      <c r="AF2159">
        <v>2.2170473457947599</v>
      </c>
      <c r="AG2159">
        <v>-1.1079992756479999</v>
      </c>
      <c r="AH2159">
        <v>28.842895519286799</v>
      </c>
      <c r="AI2159">
        <v>92.193470442389895</v>
      </c>
      <c r="AJ2159">
        <v>85.604527246752397</v>
      </c>
      <c r="AK2159">
        <v>28.9491896823526</v>
      </c>
      <c r="AL2159">
        <v>97.248390291010494</v>
      </c>
      <c r="AM2159">
        <v>92.546612453504196</v>
      </c>
      <c r="AN2159">
        <v>1.00000000806144</v>
      </c>
    </row>
    <row r="2160" spans="1:40" x14ac:dyDescent="0.25">
      <c r="A2160" t="str">
        <f>"20190305135627042"</f>
        <v>20190305135627042</v>
      </c>
      <c r="B2160" t="str">
        <f>"1551765387033996"</f>
        <v>1551765387033996</v>
      </c>
      <c r="C2160" t="s">
        <v>40</v>
      </c>
      <c r="D2160">
        <v>4.4138650000000004</v>
      </c>
      <c r="E2160">
        <v>0.54743109999999995</v>
      </c>
      <c r="F2160" t="s">
        <v>55</v>
      </c>
      <c r="G2160">
        <v>-396.52809999999999</v>
      </c>
      <c r="H2160" s="1">
        <v>1.9371590000000002E-6</v>
      </c>
      <c r="I2160">
        <v>213.67</v>
      </c>
      <c r="J2160">
        <v>-424.64060000000001</v>
      </c>
      <c r="K2160">
        <v>1.107944</v>
      </c>
      <c r="L2160">
        <v>215.14240000000001</v>
      </c>
      <c r="M2160">
        <v>0.9997066</v>
      </c>
      <c r="N2160">
        <v>-5.6160380000000003E-3</v>
      </c>
      <c r="O2160">
        <v>2.3565369999999999E-2</v>
      </c>
      <c r="P2160">
        <v>0.98898680000000005</v>
      </c>
      <c r="Q2160">
        <v>-0.1309911</v>
      </c>
      <c r="R2160">
        <v>6.8892830000000002E-2</v>
      </c>
      <c r="S2160">
        <v>3.0282290000000001</v>
      </c>
      <c r="T2160">
        <v>-0.1176094</v>
      </c>
      <c r="U2160">
        <v>-0.15524289999999999</v>
      </c>
      <c r="V2160">
        <v>-4.542641E-2</v>
      </c>
      <c r="W2160">
        <v>-0.12547839999999999</v>
      </c>
      <c r="X2160">
        <v>0.99105580000000004</v>
      </c>
      <c r="Y2160">
        <v>7.4641399999999997E-2</v>
      </c>
      <c r="Z2160">
        <v>-2.4399270000000002E-3</v>
      </c>
      <c r="AA2160">
        <v>0.99720750000000002</v>
      </c>
      <c r="AB2160">
        <v>42</v>
      </c>
      <c r="AC2160">
        <v>28.112500000000001</v>
      </c>
      <c r="AD2160">
        <v>-1.1079420628409999</v>
      </c>
      <c r="AE2160">
        <v>-1.4724000000000199</v>
      </c>
      <c r="AF2160">
        <v>2.1311818047389401</v>
      </c>
      <c r="AG2160">
        <v>-1.1079420628409999</v>
      </c>
      <c r="AH2160">
        <v>28.026582085892201</v>
      </c>
      <c r="AI2160">
        <v>92.257318127640801</v>
      </c>
      <c r="AJ2160">
        <v>85.651514657088697</v>
      </c>
      <c r="AK2160">
        <v>28.1293223330517</v>
      </c>
      <c r="AL2160">
        <v>97.208383657869405</v>
      </c>
      <c r="AM2160">
        <v>92.624394208545297</v>
      </c>
      <c r="AN2160">
        <v>0.99999999315284405</v>
      </c>
    </row>
    <row r="2161" spans="1:40" x14ac:dyDescent="0.25">
      <c r="A2161" t="str">
        <f>"20190305135627064"</f>
        <v>20190305135627064</v>
      </c>
      <c r="B2161" t="str">
        <f>"1551765387054492"</f>
        <v>1551765387054492</v>
      </c>
      <c r="C2161" t="s">
        <v>40</v>
      </c>
      <c r="D2161">
        <v>4.3797040000000003</v>
      </c>
      <c r="E2161">
        <v>0.54718690000000003</v>
      </c>
      <c r="F2161" t="s">
        <v>55</v>
      </c>
      <c r="G2161">
        <v>-395.79349999999999</v>
      </c>
      <c r="H2161" s="1">
        <v>1.5462539999999999E-6</v>
      </c>
      <c r="I2161">
        <v>213.6875</v>
      </c>
      <c r="J2161">
        <v>-424.21859999999998</v>
      </c>
      <c r="K2161">
        <v>1.107888</v>
      </c>
      <c r="L2161">
        <v>215.1525</v>
      </c>
      <c r="M2161">
        <v>0.9997009</v>
      </c>
      <c r="N2161">
        <v>-5.6313159999999999E-3</v>
      </c>
      <c r="O2161">
        <v>2.3803379999999999E-2</v>
      </c>
      <c r="P2161">
        <v>0.9890698</v>
      </c>
      <c r="Q2161">
        <v>-0.1296649</v>
      </c>
      <c r="R2161">
        <v>7.019947E-2</v>
      </c>
      <c r="S2161">
        <v>3.0286559999999998</v>
      </c>
      <c r="T2161">
        <v>-0.116323</v>
      </c>
      <c r="U2161">
        <v>-0.15275569999999999</v>
      </c>
      <c r="V2161">
        <v>-4.651653E-2</v>
      </c>
      <c r="W2161">
        <v>-0.12413009999999999</v>
      </c>
      <c r="X2161">
        <v>0.99117509999999998</v>
      </c>
      <c r="Y2161">
        <v>7.4056819999999995E-2</v>
      </c>
      <c r="Z2161">
        <v>-2.4089580000000001E-3</v>
      </c>
      <c r="AA2161">
        <v>0.99725109999999995</v>
      </c>
      <c r="AB2161">
        <v>42</v>
      </c>
      <c r="AC2161">
        <v>28.425099999999901</v>
      </c>
      <c r="AD2161">
        <v>-1.107886453746</v>
      </c>
      <c r="AE2161">
        <v>-1.4650000000000001</v>
      </c>
      <c r="AF2161">
        <v>2.13796982310916</v>
      </c>
      <c r="AG2161">
        <v>-1.107886453746</v>
      </c>
      <c r="AH2161">
        <v>28.339237161177099</v>
      </c>
      <c r="AI2161">
        <v>92.232428143306805</v>
      </c>
      <c r="AJ2161">
        <v>85.6856622255074</v>
      </c>
      <c r="AK2161">
        <v>28.441355281286501</v>
      </c>
      <c r="AL2161">
        <v>97.130522408920896</v>
      </c>
      <c r="AM2161">
        <v>92.686958879378906</v>
      </c>
      <c r="AN2161">
        <v>1.00000007407462</v>
      </c>
    </row>
    <row r="2162" spans="1:40" x14ac:dyDescent="0.25">
      <c r="A2162" t="str">
        <f>"20190305135627090"</f>
        <v>20190305135627090</v>
      </c>
      <c r="B2162" t="str">
        <f>"1551765387083772"</f>
        <v>1551765387083772</v>
      </c>
      <c r="C2162" t="s">
        <v>40</v>
      </c>
      <c r="D2162">
        <v>4.3365330000000002</v>
      </c>
      <c r="E2162">
        <v>0.51640169999999996</v>
      </c>
      <c r="F2162" t="s">
        <v>55</v>
      </c>
      <c r="G2162">
        <v>-394.11439999999999</v>
      </c>
      <c r="H2162" s="1">
        <v>6.5267079999999997E-7</v>
      </c>
      <c r="I2162">
        <v>213.69399999999999</v>
      </c>
      <c r="J2162">
        <v>-423.75360000000001</v>
      </c>
      <c r="K2162">
        <v>1.1078209999999999</v>
      </c>
      <c r="L2162">
        <v>215.16370000000001</v>
      </c>
      <c r="M2162">
        <v>0.99969629999999998</v>
      </c>
      <c r="N2162">
        <v>-5.6655400000000002E-3</v>
      </c>
      <c r="O2162">
        <v>2.3986750000000001E-2</v>
      </c>
      <c r="P2162">
        <v>0.98909100000000005</v>
      </c>
      <c r="Q2162">
        <v>-0.128857</v>
      </c>
      <c r="R2162">
        <v>7.1380559999999996E-2</v>
      </c>
      <c r="S2162">
        <v>3.028931</v>
      </c>
      <c r="T2162">
        <v>-0.1114697</v>
      </c>
      <c r="U2162">
        <v>-0.14674379999999901</v>
      </c>
      <c r="V2162">
        <v>-4.7538209999999997E-2</v>
      </c>
      <c r="W2162">
        <v>-0.123280399999999</v>
      </c>
      <c r="X2162">
        <v>0.99123260000000002</v>
      </c>
      <c r="Y2162">
        <v>7.2267789999999998E-2</v>
      </c>
      <c r="Z2162">
        <v>-2.2797109999999998E-3</v>
      </c>
      <c r="AA2162">
        <v>0.99738260000000001</v>
      </c>
      <c r="AB2162">
        <v>42</v>
      </c>
      <c r="AC2162">
        <v>29.639199999999999</v>
      </c>
      <c r="AD2162">
        <v>-1.1078203473292001</v>
      </c>
      <c r="AE2162">
        <v>-1.46969999999998</v>
      </c>
      <c r="AF2162">
        <v>2.1772023987009299</v>
      </c>
      <c r="AG2162">
        <v>-1.1078203473292001</v>
      </c>
      <c r="AH2162">
        <v>29.554231068485802</v>
      </c>
      <c r="AI2162">
        <v>92.140892460538495</v>
      </c>
      <c r="AJ2162">
        <v>85.786742742526997</v>
      </c>
      <c r="AK2162">
        <v>29.6550172863939</v>
      </c>
      <c r="AL2162">
        <v>97.0814618563343</v>
      </c>
      <c r="AM2162">
        <v>92.745726324896907</v>
      </c>
      <c r="AN2162">
        <v>1.0000000028684599</v>
      </c>
    </row>
    <row r="2163" spans="1:40" x14ac:dyDescent="0.25">
      <c r="A2163" t="str">
        <f>"20190305135627113"</f>
        <v>20190305135627113</v>
      </c>
      <c r="B2163" t="str">
        <f>"1551765387103800"</f>
        <v>1551765387103800</v>
      </c>
      <c r="C2163" t="s">
        <v>40</v>
      </c>
      <c r="D2163">
        <v>4.3434249999999999</v>
      </c>
      <c r="E2163">
        <v>0.51703880000000002</v>
      </c>
      <c r="F2163" t="s">
        <v>55</v>
      </c>
      <c r="G2163">
        <v>-379.9008</v>
      </c>
      <c r="H2163" s="1">
        <v>3.7318929999999998E-6</v>
      </c>
      <c r="I2163">
        <v>216.6763</v>
      </c>
      <c r="J2163">
        <v>-423.31380000000001</v>
      </c>
      <c r="K2163">
        <v>1.107783</v>
      </c>
      <c r="L2163">
        <v>215.17429999999999</v>
      </c>
      <c r="M2163">
        <v>0.99969350000000001</v>
      </c>
      <c r="N2163">
        <v>-5.7740150000000004E-3</v>
      </c>
      <c r="O2163">
        <v>2.408418E-2</v>
      </c>
      <c r="P2163">
        <v>0.98913510000000004</v>
      </c>
      <c r="Q2163">
        <v>-0.12834100000000001</v>
      </c>
      <c r="R2163">
        <v>7.1695919999999996E-2</v>
      </c>
      <c r="S2163">
        <v>3.0156860000000001</v>
      </c>
      <c r="T2163">
        <v>-7.6182719999999995E-2</v>
      </c>
      <c r="U2163">
        <v>0.10401920000000001</v>
      </c>
      <c r="V2163">
        <v>-4.7775459999999999E-2</v>
      </c>
      <c r="W2163">
        <v>-0.1226492</v>
      </c>
      <c r="X2163">
        <v>0.9912995</v>
      </c>
      <c r="Y2163">
        <v>-1.0392429999999999E-2</v>
      </c>
      <c r="Z2163">
        <v>-3.0777780000000002E-4</v>
      </c>
      <c r="AA2163">
        <v>0.99994590000000005</v>
      </c>
      <c r="AB2163">
        <v>43</v>
      </c>
      <c r="AC2163">
        <v>43.412999999999997</v>
      </c>
      <c r="AD2163">
        <v>-1.107779268107</v>
      </c>
      <c r="AE2163">
        <v>1.502</v>
      </c>
      <c r="AF2163">
        <v>-0.45568426771758902</v>
      </c>
      <c r="AG2163">
        <v>-1.107779268107</v>
      </c>
      <c r="AH2163">
        <v>43.408351353634302</v>
      </c>
      <c r="AI2163">
        <v>91.461788031767995</v>
      </c>
      <c r="AJ2163">
        <v>90.601447083741206</v>
      </c>
      <c r="AK2163">
        <v>43.424875247941202</v>
      </c>
      <c r="AL2163">
        <v>97.045020156412804</v>
      </c>
      <c r="AM2163">
        <v>92.759222418365297</v>
      </c>
      <c r="AN2163">
        <v>1.0000000097695501</v>
      </c>
    </row>
    <row r="2164" spans="1:40" x14ac:dyDescent="0.25">
      <c r="A2164" t="str">
        <f>"20190305135627133"</f>
        <v>20190305135627133</v>
      </c>
      <c r="B2164" t="str">
        <f>"1551765387124296"</f>
        <v>1551765387124296</v>
      </c>
      <c r="C2164" t="s">
        <v>40</v>
      </c>
      <c r="D2164">
        <v>4.3203009999999997</v>
      </c>
      <c r="E2164">
        <v>0.5180515</v>
      </c>
      <c r="F2164" t="s">
        <v>55</v>
      </c>
      <c r="G2164">
        <v>-374.06900000000002</v>
      </c>
      <c r="H2164" s="1">
        <v>6.2851189999999996E-7</v>
      </c>
      <c r="I2164">
        <v>216.8134</v>
      </c>
      <c r="J2164">
        <v>-422.92860000000002</v>
      </c>
      <c r="K2164">
        <v>1.107782</v>
      </c>
      <c r="L2164">
        <v>215.18350000000001</v>
      </c>
      <c r="M2164">
        <v>0.99969140000000001</v>
      </c>
      <c r="N2164">
        <v>-5.9848310000000004E-3</v>
      </c>
      <c r="O2164">
        <v>2.4116220000000001E-2</v>
      </c>
      <c r="P2164">
        <v>0.98914420000000003</v>
      </c>
      <c r="Q2164">
        <v>-0.1278183</v>
      </c>
      <c r="R2164">
        <v>7.2502079999999997E-2</v>
      </c>
      <c r="S2164">
        <v>3.0168759999999999</v>
      </c>
      <c r="T2164">
        <v>-6.7865850000000005E-2</v>
      </c>
      <c r="U2164">
        <v>0.1004181</v>
      </c>
      <c r="V2164">
        <v>-4.856597E-2</v>
      </c>
      <c r="W2164">
        <v>-0.12191150000000001</v>
      </c>
      <c r="X2164">
        <v>0.99135209999999996</v>
      </c>
      <c r="Y2164">
        <v>-9.1544120000000007E-3</v>
      </c>
      <c r="Z2164">
        <v>-2.6755650000000002E-4</v>
      </c>
      <c r="AA2164">
        <v>0.99995800000000001</v>
      </c>
      <c r="AB2164">
        <v>43</v>
      </c>
      <c r="AC2164">
        <v>48.8596</v>
      </c>
      <c r="AD2164">
        <v>-1.1077813714881</v>
      </c>
      <c r="AE2164">
        <v>1.6298999999999899</v>
      </c>
      <c r="AF2164">
        <v>-0.45086464912788699</v>
      </c>
      <c r="AG2164">
        <v>-1.1077813714881</v>
      </c>
      <c r="AH2164">
        <v>48.859608443118098</v>
      </c>
      <c r="AI2164">
        <v>91.298774712931404</v>
      </c>
      <c r="AJ2164">
        <v>90.528696589221298</v>
      </c>
      <c r="AK2164">
        <v>48.874244707347302</v>
      </c>
      <c r="AL2164">
        <v>97.002433352431694</v>
      </c>
      <c r="AM2164">
        <v>92.804656614078496</v>
      </c>
      <c r="AN2164">
        <v>1.0000000267243501</v>
      </c>
    </row>
    <row r="2165" spans="1:40" x14ac:dyDescent="0.25">
      <c r="A2165" t="str">
        <f>"20190305135627154"</f>
        <v>20190305135627154</v>
      </c>
      <c r="B2165" t="str">
        <f>"1551765387143816"</f>
        <v>1551765387143816</v>
      </c>
      <c r="C2165" t="s">
        <v>40</v>
      </c>
      <c r="D2165">
        <v>4.2926840000000004</v>
      </c>
      <c r="E2165">
        <v>0.51923699999999995</v>
      </c>
      <c r="F2165" t="s">
        <v>55</v>
      </c>
      <c r="G2165">
        <v>-366.29059999999998</v>
      </c>
      <c r="H2165" s="1">
        <v>1.8107390000000001E-6</v>
      </c>
      <c r="I2165">
        <v>216.97110000000001</v>
      </c>
      <c r="J2165">
        <v>-422.50709999999998</v>
      </c>
      <c r="K2165">
        <v>1.107802</v>
      </c>
      <c r="L2165">
        <v>215.19370000000001</v>
      </c>
      <c r="M2165">
        <v>0.99968979999999996</v>
      </c>
      <c r="N2165">
        <v>-6.3020180000000004E-3</v>
      </c>
      <c r="O2165">
        <v>2.4098930000000001E-2</v>
      </c>
      <c r="P2165">
        <v>0.9892514</v>
      </c>
      <c r="Q2165">
        <v>-0.12683259999999999</v>
      </c>
      <c r="R2165">
        <v>7.2768410000000006E-2</v>
      </c>
      <c r="S2165">
        <v>3.0183110000000002</v>
      </c>
      <c r="T2165">
        <v>-5.9034940000000001E-2</v>
      </c>
      <c r="U2165">
        <v>9.5260620000000004E-2</v>
      </c>
      <c r="V2165">
        <v>-4.8863610000000002E-2</v>
      </c>
      <c r="W2165">
        <v>-0.12060410000000001</v>
      </c>
      <c r="X2165">
        <v>0.99149730000000003</v>
      </c>
      <c r="Y2165">
        <v>-7.4488590000000004E-3</v>
      </c>
      <c r="Z2165">
        <v>-2.2295560000000001E-4</v>
      </c>
      <c r="AA2165">
        <v>0.99997219999999998</v>
      </c>
      <c r="AB2165">
        <v>43</v>
      </c>
      <c r="AC2165">
        <v>56.216500000000003</v>
      </c>
      <c r="AD2165">
        <v>-1.1078001892610001</v>
      </c>
      <c r="AE2165">
        <v>1.7774000000000001</v>
      </c>
      <c r="AF2165">
        <v>-0.421935813726872</v>
      </c>
      <c r="AG2165">
        <v>-1.1078001892610001</v>
      </c>
      <c r="AH2165">
        <v>56.221196876054599</v>
      </c>
      <c r="AI2165">
        <v>91.128796246108706</v>
      </c>
      <c r="AJ2165">
        <v>90.4299924019993</v>
      </c>
      <c r="AK2165">
        <v>56.233693007540602</v>
      </c>
      <c r="AL2165">
        <v>96.926968535158196</v>
      </c>
      <c r="AM2165">
        <v>92.821404881019504</v>
      </c>
      <c r="AN2165">
        <v>0.99999994861316399</v>
      </c>
    </row>
    <row r="2166" spans="1:40" x14ac:dyDescent="0.25">
      <c r="A2166" t="str">
        <f>"20190305135627177"</f>
        <v>20190305135627177</v>
      </c>
      <c r="B2166" t="str">
        <f>"1551765387174072"</f>
        <v>1551765387174072</v>
      </c>
      <c r="C2166" t="s">
        <v>40</v>
      </c>
      <c r="D2166">
        <v>4.3363269999999998</v>
      </c>
      <c r="E2166">
        <v>0.52061519999999994</v>
      </c>
      <c r="F2166" t="s">
        <v>55</v>
      </c>
      <c r="G2166">
        <v>-356.25150000000002</v>
      </c>
      <c r="H2166" s="1">
        <v>1.6812599999999899E-6</v>
      </c>
      <c r="I2166">
        <v>217.10300000000001</v>
      </c>
      <c r="J2166">
        <v>-422.08139999999997</v>
      </c>
      <c r="K2166">
        <v>1.107836</v>
      </c>
      <c r="L2166">
        <v>215.2039</v>
      </c>
      <c r="M2166">
        <v>0.99968869999999999</v>
      </c>
      <c r="N2166">
        <v>-6.7337019999999899E-3</v>
      </c>
      <c r="O2166">
        <v>2.4028460000000001E-2</v>
      </c>
      <c r="P2166">
        <v>0.9893016</v>
      </c>
      <c r="Q2166">
        <v>-0.12647929999999999</v>
      </c>
      <c r="R2166">
        <v>7.270219E-2</v>
      </c>
      <c r="S2166">
        <v>3.019714</v>
      </c>
      <c r="T2166">
        <v>-5.0489899999999997E-2</v>
      </c>
      <c r="U2166">
        <v>8.702087E-2</v>
      </c>
      <c r="V2166">
        <v>-4.8882960000000003E-2</v>
      </c>
      <c r="W2166">
        <v>-0.1198159</v>
      </c>
      <c r="X2166">
        <v>0.99159189999999997</v>
      </c>
      <c r="Y2166">
        <v>-4.7785390000000001E-3</v>
      </c>
      <c r="Z2166">
        <v>-1.8376380000000001E-4</v>
      </c>
      <c r="AA2166">
        <v>0.99998860000000001</v>
      </c>
      <c r="AB2166">
        <v>43</v>
      </c>
      <c r="AC2166">
        <v>65.829899999999895</v>
      </c>
      <c r="AD2166">
        <v>-1.1078343187399999</v>
      </c>
      <c r="AE2166">
        <v>1.89909999999997</v>
      </c>
      <c r="AF2166">
        <v>-0.31663524057973602</v>
      </c>
      <c r="AG2166">
        <v>-1.1078343187399999</v>
      </c>
      <c r="AH2166">
        <v>65.837895657928101</v>
      </c>
      <c r="AI2166">
        <v>90.963996597296898</v>
      </c>
      <c r="AJ2166">
        <v>90.275551380859199</v>
      </c>
      <c r="AK2166">
        <v>65.847976881735605</v>
      </c>
      <c r="AL2166">
        <v>96.881478149402895</v>
      </c>
      <c r="AM2166">
        <v>92.822251512464305</v>
      </c>
      <c r="AN2166">
        <v>0.99999994490838895</v>
      </c>
    </row>
    <row r="2167" spans="1:40" x14ac:dyDescent="0.25">
      <c r="A2167" t="str">
        <f>"20190305135627198"</f>
        <v>20190305135627198</v>
      </c>
      <c r="B2167" t="str">
        <f>"1551765387194098"</f>
        <v>1551765387194098</v>
      </c>
      <c r="C2167" t="s">
        <v>40</v>
      </c>
      <c r="D2167">
        <v>4.33005</v>
      </c>
      <c r="E2167">
        <v>0.52142109999999997</v>
      </c>
      <c r="F2167" t="s">
        <v>55</v>
      </c>
      <c r="G2167">
        <v>-347.52350000000001</v>
      </c>
      <c r="H2167" s="1">
        <v>2.466861E-6</v>
      </c>
      <c r="I2167">
        <v>217.0838</v>
      </c>
      <c r="J2167">
        <v>-421.65589999999997</v>
      </c>
      <c r="K2167">
        <v>1.107891</v>
      </c>
      <c r="L2167">
        <v>215.2141</v>
      </c>
      <c r="M2167">
        <v>0.99968769999999996</v>
      </c>
      <c r="N2167">
        <v>-7.294488E-3</v>
      </c>
      <c r="O2167">
        <v>2.3906810000000001E-2</v>
      </c>
      <c r="P2167">
        <v>0.98925439999999998</v>
      </c>
      <c r="Q2167">
        <v>-0.12692390000000001</v>
      </c>
      <c r="R2167">
        <v>7.2568430000000003E-2</v>
      </c>
      <c r="S2167">
        <v>3.021118</v>
      </c>
      <c r="T2167">
        <v>-4.4889930000000001E-2</v>
      </c>
      <c r="U2167">
        <v>7.6171879999999997E-2</v>
      </c>
      <c r="V2167">
        <v>-4.8886970000000002E-2</v>
      </c>
      <c r="W2167">
        <v>-0.119698</v>
      </c>
      <c r="X2167">
        <v>0.99160599999999999</v>
      </c>
      <c r="Y2167">
        <v>-1.2985469999999999E-3</v>
      </c>
      <c r="Z2167">
        <v>-1.6633039999999999E-4</v>
      </c>
      <c r="AA2167">
        <v>0.99999919999999998</v>
      </c>
      <c r="AB2167">
        <v>43</v>
      </c>
      <c r="AC2167">
        <v>74.132399999999905</v>
      </c>
      <c r="AD2167">
        <v>-1.107888533139</v>
      </c>
      <c r="AE2167">
        <v>1.8696999999999899</v>
      </c>
      <c r="AF2167">
        <v>-9.6827843731748894E-2</v>
      </c>
      <c r="AG2167">
        <v>-1.107888533139</v>
      </c>
      <c r="AH2167">
        <v>74.139362823398599</v>
      </c>
      <c r="AI2167">
        <v>90.8561249560167</v>
      </c>
      <c r="AJ2167">
        <v>90.074829664291599</v>
      </c>
      <c r="AK2167">
        <v>74.147703352785797</v>
      </c>
      <c r="AL2167">
        <v>96.874673606607601</v>
      </c>
      <c r="AM2167">
        <v>92.822442585961795</v>
      </c>
      <c r="AN2167">
        <v>1.0000000031378899</v>
      </c>
    </row>
    <row r="2168" spans="1:40" x14ac:dyDescent="0.25">
      <c r="A2168" t="str">
        <f>"20190305135627220"</f>
        <v>20190305135627220</v>
      </c>
      <c r="B2168" t="str">
        <f>"1551765387214595"</f>
        <v>1551765387214595</v>
      </c>
      <c r="C2168" t="s">
        <v>40</v>
      </c>
      <c r="D2168">
        <v>4.4040249999999999</v>
      </c>
      <c r="E2168">
        <v>0.52155180000000001</v>
      </c>
      <c r="F2168" t="s">
        <v>55</v>
      </c>
      <c r="G2168">
        <v>-345.60919999999999</v>
      </c>
      <c r="H2168" s="1">
        <v>1.4481379999999999E-6</v>
      </c>
      <c r="I2168">
        <v>216.97470000000001</v>
      </c>
      <c r="J2168">
        <v>-421.2525</v>
      </c>
      <c r="K2168">
        <v>1.1079589999999999</v>
      </c>
      <c r="L2168">
        <v>215.22370000000001</v>
      </c>
      <c r="M2168">
        <v>0.99968650000000003</v>
      </c>
      <c r="N2168">
        <v>-7.9167560000000005E-3</v>
      </c>
      <c r="O2168">
        <v>2.3754669999999999E-2</v>
      </c>
      <c r="P2168">
        <v>0.98925649999999998</v>
      </c>
      <c r="Q2168">
        <v>-0.12695409999999999</v>
      </c>
      <c r="R2168">
        <v>7.2485839999999996E-2</v>
      </c>
      <c r="S2168">
        <v>3.0218509999999998</v>
      </c>
      <c r="T2168">
        <v>-4.4023989999999999E-2</v>
      </c>
      <c r="U2168">
        <v>6.9961549999999997E-2</v>
      </c>
      <c r="V2168">
        <v>-4.896992E-2</v>
      </c>
      <c r="W2168">
        <v>-0.119105</v>
      </c>
      <c r="X2168">
        <v>0.99167329999999998</v>
      </c>
      <c r="Y2168">
        <v>6.0927089999999995E-4</v>
      </c>
      <c r="Z2168">
        <v>-1.647485E-4</v>
      </c>
      <c r="AA2168">
        <v>0.99999979999999999</v>
      </c>
      <c r="AB2168">
        <v>43</v>
      </c>
      <c r="AC2168">
        <v>75.643299999999996</v>
      </c>
      <c r="AD2168">
        <v>-1.107957551862</v>
      </c>
      <c r="AE2168">
        <v>1.7509999999999999</v>
      </c>
      <c r="AF2168">
        <v>4.6422067470678299E-2</v>
      </c>
      <c r="AG2168">
        <v>-1.107957551862</v>
      </c>
      <c r="AH2168">
        <v>75.647328640491494</v>
      </c>
      <c r="AI2168">
        <v>90.839114111913602</v>
      </c>
      <c r="AJ2168">
        <v>89.964839628096996</v>
      </c>
      <c r="AK2168">
        <v>75.655456216902195</v>
      </c>
      <c r="AL2168">
        <v>96.840452454856504</v>
      </c>
      <c r="AM2168">
        <v>92.827032303124795</v>
      </c>
      <c r="AN2168">
        <v>0.99999999401134798</v>
      </c>
    </row>
    <row r="2169" spans="1:40" x14ac:dyDescent="0.25">
      <c r="A2169" t="str">
        <f>"20190305135627243"</f>
        <v>20190305135627243</v>
      </c>
      <c r="B2169" t="str">
        <f>"1551765387234115"</f>
        <v>1551765387234115</v>
      </c>
      <c r="C2169" t="s">
        <v>40</v>
      </c>
      <c r="D2169">
        <v>4.35243</v>
      </c>
      <c r="E2169">
        <v>0.52165130000000004</v>
      </c>
      <c r="F2169" t="s">
        <v>55</v>
      </c>
      <c r="G2169">
        <v>-348.81729999999999</v>
      </c>
      <c r="H2169" s="1">
        <v>3.1553140000000001E-6</v>
      </c>
      <c r="I2169">
        <v>216.8734</v>
      </c>
      <c r="J2169">
        <v>-420.79689999999999</v>
      </c>
      <c r="K2169">
        <v>1.108028</v>
      </c>
      <c r="L2169">
        <v>215.23439999999999</v>
      </c>
      <c r="M2169">
        <v>0.9996853</v>
      </c>
      <c r="N2169">
        <v>-8.6477919999999996E-3</v>
      </c>
      <c r="O2169">
        <v>2.3546649999999999E-2</v>
      </c>
      <c r="P2169">
        <v>0.98952660000000003</v>
      </c>
      <c r="Q2169">
        <v>-0.1248587</v>
      </c>
      <c r="R2169">
        <v>7.2439069999999994E-2</v>
      </c>
      <c r="S2169">
        <v>3.0216059999999998</v>
      </c>
      <c r="T2169">
        <v>-4.6217920000000003E-2</v>
      </c>
      <c r="U2169">
        <v>6.8817139999999999E-2</v>
      </c>
      <c r="V2169">
        <v>-4.913973E-2</v>
      </c>
      <c r="W2169">
        <v>-0.1162752</v>
      </c>
      <c r="X2169">
        <v>0.99200069999999996</v>
      </c>
      <c r="Y2169">
        <v>7.7796199999999999E-4</v>
      </c>
      <c r="Z2169">
        <v>-1.65735E-4</v>
      </c>
      <c r="AA2169">
        <v>0.99999970000000005</v>
      </c>
      <c r="AB2169">
        <v>43</v>
      </c>
      <c r="AC2169">
        <v>71.979600000000005</v>
      </c>
      <c r="AD2169">
        <v>-1.1080248446859999</v>
      </c>
      <c r="AE2169">
        <v>1.63900000000001</v>
      </c>
      <c r="AF2169">
        <v>5.6382998740424899E-2</v>
      </c>
      <c r="AG2169">
        <v>-1.1080248446859999</v>
      </c>
      <c r="AH2169">
        <v>71.981187764915802</v>
      </c>
      <c r="AI2169">
        <v>90.881898675068001</v>
      </c>
      <c r="AJ2169">
        <v>89.955120118134701</v>
      </c>
      <c r="AK2169">
        <v>71.989737394624896</v>
      </c>
      <c r="AL2169">
        <v>96.677182011087794</v>
      </c>
      <c r="AM2169">
        <v>92.835884709187496</v>
      </c>
      <c r="AN2169">
        <v>1.0000000120000001</v>
      </c>
    </row>
    <row r="2170" spans="1:40" x14ac:dyDescent="0.25">
      <c r="A2170" t="str">
        <f>"20190305135627266"</f>
        <v>20190305135627266</v>
      </c>
      <c r="B2170" t="str">
        <f>"1551765387254611"</f>
        <v>1551765387254611</v>
      </c>
      <c r="C2170" t="s">
        <v>40</v>
      </c>
      <c r="D2170">
        <v>4.3411759999999999</v>
      </c>
      <c r="E2170">
        <v>0.52258099999999996</v>
      </c>
      <c r="F2170" t="s">
        <v>55</v>
      </c>
      <c r="G2170">
        <v>-338.27710000000002</v>
      </c>
      <c r="H2170" s="1">
        <v>2.7596549999999998E-6</v>
      </c>
      <c r="I2170">
        <v>217.0925</v>
      </c>
      <c r="J2170">
        <v>-420.37490000000003</v>
      </c>
      <c r="K2170">
        <v>1.1080890000000001</v>
      </c>
      <c r="L2170">
        <v>215.24420000000001</v>
      </c>
      <c r="M2170">
        <v>0.99968509999999999</v>
      </c>
      <c r="N2170">
        <v>-9.2908799999999996E-3</v>
      </c>
      <c r="O2170">
        <v>2.3317069999999999E-2</v>
      </c>
      <c r="P2170">
        <v>0.98998140000000001</v>
      </c>
      <c r="Q2170">
        <v>-0.1211039</v>
      </c>
      <c r="R2170">
        <v>7.2602470000000002E-2</v>
      </c>
      <c r="S2170">
        <v>3.0216669999999999</v>
      </c>
      <c r="T2170">
        <v>-4.0573119999999997E-2</v>
      </c>
      <c r="U2170">
        <v>6.8038940000000006E-2</v>
      </c>
      <c r="V2170">
        <v>-4.9535309999999999E-2</v>
      </c>
      <c r="W2170">
        <v>-0.1118714</v>
      </c>
      <c r="X2170">
        <v>0.99248729999999996</v>
      </c>
      <c r="Y2170">
        <v>8.0664989999999998E-4</v>
      </c>
      <c r="Z2170">
        <v>-1.055154E-4</v>
      </c>
      <c r="AA2170">
        <v>0.99999959999999999</v>
      </c>
      <c r="AB2170">
        <v>43</v>
      </c>
      <c r="AC2170">
        <v>82.097800000000007</v>
      </c>
      <c r="AD2170">
        <v>-1.10808624034499</v>
      </c>
      <c r="AE2170">
        <v>1.8482999999999901</v>
      </c>
      <c r="AF2170">
        <v>6.6552923970557301E-2</v>
      </c>
      <c r="AG2170">
        <v>-1.10808624034499</v>
      </c>
      <c r="AH2170">
        <v>82.103626647973002</v>
      </c>
      <c r="AI2170">
        <v>90.773227594281906</v>
      </c>
      <c r="AJ2170">
        <v>89.9535562437583</v>
      </c>
      <c r="AK2170">
        <v>82.111130750693405</v>
      </c>
      <c r="AL2170">
        <v>96.423204852159998</v>
      </c>
      <c r="AM2170">
        <v>92.857276924690794</v>
      </c>
      <c r="AN2170">
        <v>0.99999999886802204</v>
      </c>
    </row>
    <row r="2171" spans="1:40" x14ac:dyDescent="0.25">
      <c r="A2171" t="str">
        <f>"20190305135627423"</f>
        <v>20190305135627423</v>
      </c>
      <c r="B2171" t="str">
        <f>"1551765387414205"</f>
        <v>1551765387414205</v>
      </c>
      <c r="C2171" t="s">
        <v>40</v>
      </c>
      <c r="D2171">
        <v>4.4403769999999998</v>
      </c>
      <c r="E2171">
        <v>0.52367870000000005</v>
      </c>
      <c r="F2171" t="s">
        <v>61</v>
      </c>
      <c r="G2171">
        <v>-288.79539999999997</v>
      </c>
      <c r="H2171" s="1">
        <v>2.7959280000000001E-6</v>
      </c>
      <c r="I2171">
        <v>217.9263</v>
      </c>
      <c r="J2171">
        <v>-417.37610000000001</v>
      </c>
      <c r="K2171">
        <v>1.10807099999999</v>
      </c>
      <c r="L2171">
        <v>215.30850000000001</v>
      </c>
      <c r="M2171">
        <v>0.99971659999999996</v>
      </c>
      <c r="N2171">
        <v>-1.2422310000000001E-2</v>
      </c>
      <c r="O2171">
        <v>2.0311699999999999E-2</v>
      </c>
      <c r="P2171">
        <v>0.99275279999999999</v>
      </c>
      <c r="Q2171">
        <v>-9.1135789999999994E-2</v>
      </c>
      <c r="R2171">
        <v>7.8334230000000005E-2</v>
      </c>
      <c r="S2171">
        <v>3.0227050000000002</v>
      </c>
      <c r="T2171">
        <v>-2.5455470000000001E-2</v>
      </c>
      <c r="U2171">
        <v>6.1614990000000001E-2</v>
      </c>
      <c r="V2171">
        <v>-5.8259320000000003E-2</v>
      </c>
      <c r="W2171">
        <v>-7.8699829999999998E-2</v>
      </c>
      <c r="X2171">
        <v>0.99519460000000004</v>
      </c>
      <c r="Y2171" s="1">
        <v>-6.6726019999999999E-5</v>
      </c>
      <c r="Z2171" s="1">
        <v>8.2010399999999997E-5</v>
      </c>
      <c r="AA2171">
        <v>1</v>
      </c>
      <c r="AB2171">
        <v>42</v>
      </c>
      <c r="AC2171">
        <v>128.58070000000001</v>
      </c>
      <c r="AD2171">
        <v>-1.10806820407199</v>
      </c>
      <c r="AE2171">
        <v>2.6177999999999799</v>
      </c>
      <c r="AF2171">
        <v>-5.3655265935428301E-3</v>
      </c>
      <c r="AG2171">
        <v>-1.10806820407199</v>
      </c>
      <c r="AH2171">
        <v>128.59779898450901</v>
      </c>
      <c r="AI2171">
        <v>90.493679213902894</v>
      </c>
      <c r="AJ2171">
        <v>90.002390569908002</v>
      </c>
      <c r="AK2171">
        <v>128.60257286537399</v>
      </c>
      <c r="AL2171">
        <v>94.513835606234395</v>
      </c>
      <c r="AM2171">
        <v>93.350307412162294</v>
      </c>
      <c r="AN2171">
        <v>1.00000005173902</v>
      </c>
    </row>
    <row r="2172" spans="1:40" x14ac:dyDescent="0.25">
      <c r="A2172" t="str">
        <f>"20190305135627445"</f>
        <v>20190305135627445</v>
      </c>
      <c r="B2172" t="str">
        <f>"1551765387434701"</f>
        <v>1551765387434701</v>
      </c>
      <c r="C2172" t="s">
        <v>40</v>
      </c>
      <c r="D2172">
        <v>3.6458490000000001</v>
      </c>
      <c r="E2172">
        <v>0.51966599999999996</v>
      </c>
      <c r="F2172" t="s">
        <v>69</v>
      </c>
      <c r="G2172">
        <v>-157.8382</v>
      </c>
      <c r="H2172">
        <v>5.3360750000000001</v>
      </c>
      <c r="I2172">
        <v>221.155</v>
      </c>
      <c r="J2172">
        <v>-416.96469999999999</v>
      </c>
      <c r="K2172">
        <v>1.1079889999999999</v>
      </c>
      <c r="L2172">
        <v>215.31630000000001</v>
      </c>
      <c r="M2172">
        <v>0.99972709999999998</v>
      </c>
      <c r="N2172">
        <v>-1.2667319999999999E-2</v>
      </c>
      <c r="O2172">
        <v>1.9638070000000001E-2</v>
      </c>
      <c r="P2172">
        <v>0.9925252</v>
      </c>
      <c r="Q2172">
        <v>-9.3189960000000002E-2</v>
      </c>
      <c r="R2172">
        <v>7.880115E-2</v>
      </c>
      <c r="S2172">
        <v>3.0210569999999999</v>
      </c>
      <c r="T2172">
        <v>4.9215200000000001E-2</v>
      </c>
      <c r="U2172">
        <v>6.8054199999999995E-2</v>
      </c>
      <c r="V2172">
        <v>-5.9418560000000002E-2</v>
      </c>
      <c r="W2172">
        <v>-8.0500150000000006E-2</v>
      </c>
      <c r="X2172">
        <v>0.99498200000000003</v>
      </c>
      <c r="Y2172">
        <v>-2.8900480000000001E-3</v>
      </c>
      <c r="Z2172">
        <v>5.6333190000000001E-4</v>
      </c>
      <c r="AA2172">
        <v>0.99999559999999998</v>
      </c>
      <c r="AB2172">
        <v>42</v>
      </c>
      <c r="AC2172">
        <v>259.12650000000002</v>
      </c>
      <c r="AD2172">
        <v>4.2280860000000002</v>
      </c>
      <c r="AE2172">
        <v>5.8386999999999798</v>
      </c>
      <c r="AF2172">
        <v>-0.74822307438549995</v>
      </c>
      <c r="AG2172">
        <v>4.2280860000000002</v>
      </c>
      <c r="AH2172">
        <v>259.122238384892</v>
      </c>
      <c r="AI2172">
        <v>89.065194175323597</v>
      </c>
      <c r="AJ2172">
        <v>90.1654427864501</v>
      </c>
      <c r="AK2172">
        <v>259.15781094651402</v>
      </c>
      <c r="AL2172">
        <v>94.617314897575397</v>
      </c>
      <c r="AM2172">
        <v>93.417543545811199</v>
      </c>
      <c r="AN2172">
        <v>1.00000000987324</v>
      </c>
    </row>
    <row r="2173" spans="1:40" x14ac:dyDescent="0.25">
      <c r="A2173" t="str">
        <f>"20190305135627468"</f>
        <v>20190305135627468</v>
      </c>
      <c r="B2173" t="str">
        <f>"1551765387463982"</f>
        <v>1551765387463982</v>
      </c>
      <c r="C2173" t="s">
        <v>40</v>
      </c>
      <c r="D2173">
        <v>4.4187969999999996</v>
      </c>
      <c r="E2173">
        <v>0.51808900000000002</v>
      </c>
      <c r="F2173" t="s">
        <v>69</v>
      </c>
      <c r="G2173">
        <v>-168.35059999999999</v>
      </c>
      <c r="H2173">
        <v>6.3076869999999996</v>
      </c>
      <c r="I2173">
        <v>223.77799999999999</v>
      </c>
      <c r="J2173">
        <v>-416.52210000000002</v>
      </c>
      <c r="K2173">
        <v>1.1078669999999999</v>
      </c>
      <c r="L2173">
        <v>215.32429999999999</v>
      </c>
      <c r="M2173">
        <v>0.99974050000000003</v>
      </c>
      <c r="N2173">
        <v>-1.2855760000000001E-2</v>
      </c>
      <c r="O2173">
        <v>1.880716E-2</v>
      </c>
      <c r="P2173">
        <v>0.99232240000000005</v>
      </c>
      <c r="Q2173">
        <v>-9.5748349999999996E-2</v>
      </c>
      <c r="R2173">
        <v>7.8286510000000004E-2</v>
      </c>
      <c r="S2173">
        <v>3.0203250000000001</v>
      </c>
      <c r="T2173">
        <v>6.3169959999999997E-2</v>
      </c>
      <c r="U2173">
        <v>0.1027985</v>
      </c>
      <c r="V2173">
        <v>-5.9757579999999998E-2</v>
      </c>
      <c r="W2173">
        <v>-8.2859020000000005E-2</v>
      </c>
      <c r="X2173">
        <v>0.99476799999999999</v>
      </c>
      <c r="Y2173">
        <v>-1.5221459999999999E-2</v>
      </c>
      <c r="Z2173">
        <v>5.7361650000000005E-4</v>
      </c>
      <c r="AA2173">
        <v>0.999884</v>
      </c>
      <c r="AB2173">
        <v>42</v>
      </c>
      <c r="AC2173">
        <v>248.17150000000001</v>
      </c>
      <c r="AD2173">
        <v>5.1998199999999999</v>
      </c>
      <c r="AE2173">
        <v>8.4536999999999907</v>
      </c>
      <c r="AF2173">
        <v>-3.7827590687946899</v>
      </c>
      <c r="AG2173">
        <v>5.1998199999999999</v>
      </c>
      <c r="AH2173">
        <v>248.17777596219199</v>
      </c>
      <c r="AI2173">
        <v>88.799853980912999</v>
      </c>
      <c r="AJ2173">
        <v>90.873242363532299</v>
      </c>
      <c r="AK2173">
        <v>248.261063954348</v>
      </c>
      <c r="AL2173">
        <v>94.752921477478296</v>
      </c>
      <c r="AM2173">
        <v>93.437733767119894</v>
      </c>
      <c r="AN2173">
        <v>0.99999997969340804</v>
      </c>
    </row>
    <row r="2174" spans="1:40" x14ac:dyDescent="0.25">
      <c r="A2174" t="str">
        <f>"20190305135627490"</f>
        <v>20190305135627490</v>
      </c>
      <c r="B2174" t="str">
        <f>"1551765387484480"</f>
        <v>1551765387484480</v>
      </c>
      <c r="C2174" t="s">
        <v>40</v>
      </c>
      <c r="D2174">
        <v>4.4236800000000001</v>
      </c>
      <c r="E2174">
        <v>0.51673659999999999</v>
      </c>
      <c r="F2174" t="s">
        <v>69</v>
      </c>
      <c r="G2174">
        <v>-168.35059999999999</v>
      </c>
      <c r="H2174">
        <v>3.8259409999999998</v>
      </c>
      <c r="I2174">
        <v>224.55179999999999</v>
      </c>
      <c r="J2174">
        <v>-416.11869999999999</v>
      </c>
      <c r="K2174">
        <v>1.1077349999999999</v>
      </c>
      <c r="L2174">
        <v>215.3312</v>
      </c>
      <c r="M2174">
        <v>0.99975519999999996</v>
      </c>
      <c r="N2174">
        <v>-1.2944199999999999E-2</v>
      </c>
      <c r="O2174">
        <v>1.7942320000000001E-2</v>
      </c>
      <c r="P2174">
        <v>0.9919692</v>
      </c>
      <c r="Q2174">
        <v>-9.9519319999999994E-2</v>
      </c>
      <c r="R2174">
        <v>7.8059110000000001E-2</v>
      </c>
      <c r="S2174">
        <v>3.0175480000000001</v>
      </c>
      <c r="T2174">
        <v>3.3050059999999999E-2</v>
      </c>
      <c r="U2174">
        <v>0.1121979</v>
      </c>
      <c r="V2174">
        <v>-6.0425010000000001E-2</v>
      </c>
      <c r="W2174">
        <v>-8.6530700000000002E-2</v>
      </c>
      <c r="X2174">
        <v>0.99441500000000005</v>
      </c>
      <c r="Y2174">
        <v>-1.9224049999999999E-2</v>
      </c>
      <c r="Z2174">
        <v>4.4783950000000001E-4</v>
      </c>
      <c r="AA2174">
        <v>0.99981509999999996</v>
      </c>
      <c r="AB2174">
        <v>42</v>
      </c>
      <c r="AC2174">
        <v>247.7681</v>
      </c>
      <c r="AD2174">
        <v>2.7182059999999999</v>
      </c>
      <c r="AE2174">
        <v>9.2205999999999904</v>
      </c>
      <c r="AF2174">
        <v>-4.7726346753198596</v>
      </c>
      <c r="AG2174">
        <v>2.7182059999999999</v>
      </c>
      <c r="AH2174">
        <v>247.86387025186499</v>
      </c>
      <c r="AI2174">
        <v>89.3718058674053</v>
      </c>
      <c r="AJ2174">
        <v>91.103097585465406</v>
      </c>
      <c r="AK2174">
        <v>247.92471611728399</v>
      </c>
      <c r="AL2174">
        <v>94.964052034594502</v>
      </c>
      <c r="AM2174">
        <v>93.477266954872405</v>
      </c>
      <c r="AN2174">
        <v>0.99999996805049396</v>
      </c>
    </row>
    <row r="2175" spans="1:40" x14ac:dyDescent="0.25">
      <c r="A2175" t="str">
        <f>"20190305135627513"</f>
        <v>20190305135627513</v>
      </c>
      <c r="B2175" t="str">
        <f>"1551765387503997"</f>
        <v>1551765387503997</v>
      </c>
      <c r="C2175" t="s">
        <v>40</v>
      </c>
      <c r="D2175">
        <v>4.4562689999999998</v>
      </c>
      <c r="E2175">
        <v>0.51542319999999997</v>
      </c>
      <c r="F2175" t="s">
        <v>69</v>
      </c>
      <c r="G2175">
        <v>-157.25</v>
      </c>
      <c r="H2175">
        <v>1.3632759999999999</v>
      </c>
      <c r="I2175">
        <v>225.72970000000001</v>
      </c>
      <c r="J2175">
        <v>-415.66969999999998</v>
      </c>
      <c r="K2175">
        <v>1.1075740000000001</v>
      </c>
      <c r="L2175">
        <v>215.3383</v>
      </c>
      <c r="M2175">
        <v>0.9997743</v>
      </c>
      <c r="N2175">
        <v>-1.294709E-2</v>
      </c>
      <c r="O2175">
        <v>1.6847629999999999E-2</v>
      </c>
      <c r="P2175">
        <v>0.99181779999999997</v>
      </c>
      <c r="Q2175">
        <v>-0.10187069999999999</v>
      </c>
      <c r="R2175">
        <v>7.6941170000000003E-2</v>
      </c>
      <c r="S2175">
        <v>3.0149840000000001</v>
      </c>
      <c r="T2175">
        <v>2.9768939999999999E-3</v>
      </c>
      <c r="U2175">
        <v>0.12110899999999999</v>
      </c>
      <c r="V2175">
        <v>-6.042724E-2</v>
      </c>
      <c r="W2175">
        <v>-8.8864890000000002E-2</v>
      </c>
      <c r="X2175">
        <v>0.99420909999999996</v>
      </c>
      <c r="Y2175">
        <v>-2.329728E-2</v>
      </c>
      <c r="Z2175">
        <v>3.7408629999999998E-4</v>
      </c>
      <c r="AA2175">
        <v>0.99972850000000002</v>
      </c>
      <c r="AB2175">
        <v>42</v>
      </c>
      <c r="AC2175">
        <v>258.41969999999998</v>
      </c>
      <c r="AD2175">
        <v>0.25570199999999899</v>
      </c>
      <c r="AE2175">
        <v>10.391400000000001</v>
      </c>
      <c r="AF2175">
        <v>-6.0357948096030496</v>
      </c>
      <c r="AG2175">
        <v>0.25570199999999899</v>
      </c>
      <c r="AH2175">
        <v>258.55784837485101</v>
      </c>
      <c r="AI2175">
        <v>89.943352520690794</v>
      </c>
      <c r="AJ2175">
        <v>91.337274318093804</v>
      </c>
      <c r="AK2175">
        <v>258.628415219072</v>
      </c>
      <c r="AL2175">
        <v>95.098308021045696</v>
      </c>
      <c r="AM2175">
        <v>93.478113367667405</v>
      </c>
      <c r="AN2175">
        <v>1.00000007726576</v>
      </c>
    </row>
    <row r="2176" spans="1:40" x14ac:dyDescent="0.25">
      <c r="A2176" t="str">
        <f>"20190305135627536"</f>
        <v>20190305135627536</v>
      </c>
      <c r="B2176" t="str">
        <f>"1551765387524493"</f>
        <v>1551765387524493</v>
      </c>
      <c r="C2176" t="s">
        <v>40</v>
      </c>
      <c r="D2176">
        <v>4.4245619999999999</v>
      </c>
      <c r="E2176">
        <v>0.51431689999999997</v>
      </c>
      <c r="F2176" t="s">
        <v>55</v>
      </c>
      <c r="G2176">
        <v>-268.45080000000002</v>
      </c>
      <c r="H2176">
        <v>8.0000730000000006E-2</v>
      </c>
      <c r="I2176">
        <v>221.56729999999999</v>
      </c>
      <c r="J2176">
        <v>-415.24779999999998</v>
      </c>
      <c r="K2176">
        <v>1.1074469999999901</v>
      </c>
      <c r="L2176">
        <v>215.34440000000001</v>
      </c>
      <c r="M2176">
        <v>0.99979320000000005</v>
      </c>
      <c r="N2176">
        <v>-1.2906239999999999E-2</v>
      </c>
      <c r="O2176">
        <v>1.572045E-2</v>
      </c>
      <c r="P2176">
        <v>0.99182420000000004</v>
      </c>
      <c r="Q2176">
        <v>-0.1021097</v>
      </c>
      <c r="R2176">
        <v>7.6540559999999994E-2</v>
      </c>
      <c r="S2176">
        <v>3.0127259999999998</v>
      </c>
      <c r="T2176">
        <v>-2.1028519999999998E-2</v>
      </c>
      <c r="U2176">
        <v>0.1274719</v>
      </c>
      <c r="V2176">
        <v>-6.116866E-2</v>
      </c>
      <c r="W2176">
        <v>-8.9128449999999998E-2</v>
      </c>
      <c r="X2176">
        <v>0.99414009999999997</v>
      </c>
      <c r="Y2176">
        <v>-2.655884E-2</v>
      </c>
      <c r="Z2176">
        <v>3.5729400000000003E-4</v>
      </c>
      <c r="AA2176">
        <v>0.99964719999999996</v>
      </c>
      <c r="AB2176">
        <v>42</v>
      </c>
      <c r="AC2176">
        <v>146.796999999999</v>
      </c>
      <c r="AD2176">
        <v>-1.02744626999999</v>
      </c>
      <c r="AE2176">
        <v>6.2228999999999797</v>
      </c>
      <c r="AF2176">
        <v>-3.9140325368119502</v>
      </c>
      <c r="AG2176">
        <v>-1.02744626999999</v>
      </c>
      <c r="AH2176">
        <v>146.86950978976799</v>
      </c>
      <c r="AI2176">
        <v>90.400671878796203</v>
      </c>
      <c r="AJ2176">
        <v>91.526555636583794</v>
      </c>
      <c r="AK2176">
        <v>146.92524698779201</v>
      </c>
      <c r="AL2176">
        <v>95.113469390347504</v>
      </c>
      <c r="AM2176">
        <v>93.520925590418599</v>
      </c>
      <c r="AN2176">
        <v>1.0000000119968</v>
      </c>
    </row>
    <row r="2177" spans="1:40" x14ac:dyDescent="0.25">
      <c r="A2177" t="str">
        <f>"20190305135627558"</f>
        <v>20190305135627558</v>
      </c>
      <c r="B2177" t="str">
        <f>"1551765387553773"</f>
        <v>1551765387553773</v>
      </c>
      <c r="C2177" t="s">
        <v>40</v>
      </c>
      <c r="D2177">
        <v>4.4580570000000002</v>
      </c>
      <c r="E2177">
        <v>0.51295249999999903</v>
      </c>
      <c r="F2177" t="s">
        <v>55</v>
      </c>
      <c r="G2177">
        <v>-320.7903</v>
      </c>
      <c r="H2177" s="1">
        <v>-1.116262E-6</v>
      </c>
      <c r="I2177">
        <v>219.55860000000001</v>
      </c>
      <c r="J2177">
        <v>-414.81119999999999</v>
      </c>
      <c r="K2177">
        <v>1.107324</v>
      </c>
      <c r="L2177">
        <v>215.3502</v>
      </c>
      <c r="M2177">
        <v>0.99981350000000002</v>
      </c>
      <c r="N2177">
        <v>-1.2816569999999999E-2</v>
      </c>
      <c r="O2177">
        <v>1.4451220000000001E-2</v>
      </c>
      <c r="P2177">
        <v>0.99195370000000005</v>
      </c>
      <c r="Q2177">
        <v>-0.1013086</v>
      </c>
      <c r="R2177">
        <v>7.5923959999999999E-2</v>
      </c>
      <c r="S2177">
        <v>3.010742</v>
      </c>
      <c r="T2177">
        <v>-3.5298820000000002E-2</v>
      </c>
      <c r="U2177">
        <v>0.1343231</v>
      </c>
      <c r="V2177">
        <v>-6.1830169999999997E-2</v>
      </c>
      <c r="W2177">
        <v>-8.8399720000000001E-2</v>
      </c>
      <c r="X2177">
        <v>0.99416420000000005</v>
      </c>
      <c r="Y2177">
        <v>-3.0123279999999999E-2</v>
      </c>
      <c r="Z2177">
        <v>3.8547819999999998E-4</v>
      </c>
      <c r="AA2177">
        <v>0.99954609999999999</v>
      </c>
      <c r="AB2177">
        <v>42</v>
      </c>
      <c r="AC2177">
        <v>94.020899999999898</v>
      </c>
      <c r="AD2177">
        <v>-1.1073251162619999</v>
      </c>
      <c r="AE2177">
        <v>4.2084000000000099</v>
      </c>
      <c r="AF2177">
        <v>-2.8487378902709599</v>
      </c>
      <c r="AG2177">
        <v>-1.1073251162619999</v>
      </c>
      <c r="AH2177">
        <v>94.058881192051302</v>
      </c>
      <c r="AI2177">
        <v>90.674184611109197</v>
      </c>
      <c r="AJ2177">
        <v>91.734772694390003</v>
      </c>
      <c r="AK2177">
        <v>94.108525690189197</v>
      </c>
      <c r="AL2177">
        <v>95.071550991425198</v>
      </c>
      <c r="AM2177">
        <v>93.558819333526202</v>
      </c>
      <c r="AN2177">
        <v>0.99999996848997297</v>
      </c>
    </row>
    <row r="2178" spans="1:40" x14ac:dyDescent="0.25">
      <c r="A2178" t="str">
        <f>"20190305135627579"</f>
        <v>20190305135627579</v>
      </c>
      <c r="B2178" t="str">
        <f>"1551765387574271"</f>
        <v>1551765387574271</v>
      </c>
      <c r="C2178" t="s">
        <v>40</v>
      </c>
      <c r="D2178">
        <v>4.524457</v>
      </c>
      <c r="E2178">
        <v>0.51214720000000002</v>
      </c>
      <c r="F2178" t="s">
        <v>55</v>
      </c>
      <c r="G2178">
        <v>-350.41180000000003</v>
      </c>
      <c r="H2178" s="1">
        <v>-1.4823129999999999E-6</v>
      </c>
      <c r="I2178">
        <v>218.38290000000001</v>
      </c>
      <c r="J2178">
        <v>-414.4348</v>
      </c>
      <c r="K2178">
        <v>1.1072200000000001</v>
      </c>
      <c r="L2178">
        <v>215.35470000000001</v>
      </c>
      <c r="M2178">
        <v>0.99983129999999998</v>
      </c>
      <c r="N2178">
        <v>-1.269354E-2</v>
      </c>
      <c r="O2178">
        <v>1.327568E-2</v>
      </c>
      <c r="P2178">
        <v>0.99210359999999997</v>
      </c>
      <c r="Q2178">
        <v>-0.10037690000000001</v>
      </c>
      <c r="R2178">
        <v>7.5197940000000005E-2</v>
      </c>
      <c r="S2178">
        <v>3.0081790000000002</v>
      </c>
      <c r="T2178">
        <v>-5.1724550000000001E-2</v>
      </c>
      <c r="U2178">
        <v>0.1416626</v>
      </c>
      <c r="V2178">
        <v>-6.2284100000000002E-2</v>
      </c>
      <c r="W2178">
        <v>-8.7576329999999994E-2</v>
      </c>
      <c r="X2178">
        <v>0.9942088</v>
      </c>
      <c r="Y2178">
        <v>-3.3765620000000003E-2</v>
      </c>
      <c r="Z2178">
        <v>4.4490710000000001E-4</v>
      </c>
      <c r="AA2178">
        <v>0.99942969999999998</v>
      </c>
      <c r="AB2178">
        <v>42</v>
      </c>
      <c r="AC2178">
        <v>64.022999999999897</v>
      </c>
      <c r="AD2178">
        <v>-1.107221482313</v>
      </c>
      <c r="AE2178">
        <v>3.0281999999999898</v>
      </c>
      <c r="AF2178">
        <v>-2.17726601300433</v>
      </c>
      <c r="AG2178">
        <v>-1.107221482313</v>
      </c>
      <c r="AH2178">
        <v>64.038451380565903</v>
      </c>
      <c r="AI2178">
        <v>90.989970438487404</v>
      </c>
      <c r="AJ2178">
        <v>91.947269433417702</v>
      </c>
      <c r="AK2178">
        <v>64.085019169251893</v>
      </c>
      <c r="AL2178">
        <v>95.024190219088496</v>
      </c>
      <c r="AM2178">
        <v>93.584718340021496</v>
      </c>
      <c r="AN2178">
        <v>1.0000000303432499</v>
      </c>
    </row>
    <row r="2179" spans="1:40" x14ac:dyDescent="0.25">
      <c r="A2179" t="str">
        <f>"20190305135627601"</f>
        <v>20190305135627601</v>
      </c>
      <c r="B2179" t="str">
        <f>"1551765387593790"</f>
        <v>1551765387593790</v>
      </c>
      <c r="C2179" t="s">
        <v>40</v>
      </c>
      <c r="D2179">
        <v>4.7232659999999997</v>
      </c>
      <c r="E2179">
        <v>0.51119539999999997</v>
      </c>
      <c r="F2179" t="s">
        <v>55</v>
      </c>
      <c r="G2179">
        <v>-358.0104</v>
      </c>
      <c r="H2179" s="1">
        <v>2.57462E-6</v>
      </c>
      <c r="I2179">
        <v>218.0788</v>
      </c>
      <c r="J2179">
        <v>-413.99110000000002</v>
      </c>
      <c r="K2179">
        <v>1.1070899999999999</v>
      </c>
      <c r="L2179">
        <v>215.35939999999999</v>
      </c>
      <c r="M2179">
        <v>0.99985219999999997</v>
      </c>
      <c r="N2179">
        <v>-1.250594E-2</v>
      </c>
      <c r="O2179">
        <v>1.1805680000000001E-2</v>
      </c>
      <c r="P2179">
        <v>0.99221649999999995</v>
      </c>
      <c r="Q2179">
        <v>-9.9999030000000003E-2</v>
      </c>
      <c r="R2179">
        <v>7.4207209999999996E-2</v>
      </c>
      <c r="S2179">
        <v>3.0069270000000001</v>
      </c>
      <c r="T2179">
        <v>-5.9005019999999998E-2</v>
      </c>
      <c r="U2179">
        <v>0.1451721</v>
      </c>
      <c r="V2179">
        <v>-6.2770229999999996E-2</v>
      </c>
      <c r="W2179">
        <v>-8.7369849999999999E-2</v>
      </c>
      <c r="X2179">
        <v>0.99419639999999998</v>
      </c>
      <c r="Y2179">
        <v>-3.6415669999999997E-2</v>
      </c>
      <c r="Z2179">
        <v>5.0101710000000001E-4</v>
      </c>
      <c r="AA2179">
        <v>0.99933660000000002</v>
      </c>
      <c r="AB2179">
        <v>42</v>
      </c>
      <c r="AC2179">
        <v>55.980699999999999</v>
      </c>
      <c r="AD2179">
        <v>-1.1070874253799901</v>
      </c>
      <c r="AE2179">
        <v>2.7193999999999998</v>
      </c>
      <c r="AF2179">
        <v>-2.05746582421017</v>
      </c>
      <c r="AG2179">
        <v>-1.1070874253799901</v>
      </c>
      <c r="AH2179">
        <v>55.987060040782701</v>
      </c>
      <c r="AI2179">
        <v>91.132054440662401</v>
      </c>
      <c r="AJ2179">
        <v>92.104612818830901</v>
      </c>
      <c r="AK2179">
        <v>56.035789458126096</v>
      </c>
      <c r="AL2179">
        <v>95.012314230906796</v>
      </c>
      <c r="AM2179">
        <v>93.612668344857397</v>
      </c>
      <c r="AN2179">
        <v>1.0000000371181099</v>
      </c>
    </row>
    <row r="2180" spans="1:40" x14ac:dyDescent="0.25">
      <c r="A2180" t="str">
        <f>"20190305135627624"</f>
        <v>20190305135627624</v>
      </c>
      <c r="B2180" t="str">
        <f>"1551765387614286"</f>
        <v>1551765387614286</v>
      </c>
      <c r="C2180" t="s">
        <v>40</v>
      </c>
      <c r="D2180">
        <v>4.6928850000000004</v>
      </c>
      <c r="E2180">
        <v>0.51002349999999996</v>
      </c>
      <c r="F2180" t="s">
        <v>55</v>
      </c>
      <c r="G2180">
        <v>-363.23419999999999</v>
      </c>
      <c r="H2180" s="1">
        <v>1.8427449999999999E-7</v>
      </c>
      <c r="I2180">
        <v>217.88040000000001</v>
      </c>
      <c r="J2180">
        <v>-413.5609</v>
      </c>
      <c r="K2180">
        <v>1.106984</v>
      </c>
      <c r="L2180">
        <v>215.36330000000001</v>
      </c>
      <c r="M2180">
        <v>0.99987130000000002</v>
      </c>
      <c r="N2180">
        <v>-1.2296E-2</v>
      </c>
      <c r="O2180">
        <v>1.031378E-2</v>
      </c>
      <c r="P2180">
        <v>0.99228760000000005</v>
      </c>
      <c r="Q2180">
        <v>-9.9581639999999999E-2</v>
      </c>
      <c r="R2180">
        <v>7.3817209999999994E-2</v>
      </c>
      <c r="S2180">
        <v>3.005798</v>
      </c>
      <c r="T2180">
        <v>-6.5561179999999997E-2</v>
      </c>
      <c r="U2180">
        <v>0.14929200000000001</v>
      </c>
      <c r="V2180">
        <v>-6.3877929999999999E-2</v>
      </c>
      <c r="W2180">
        <v>-8.714558E-2</v>
      </c>
      <c r="X2180">
        <v>0.99414550000000002</v>
      </c>
      <c r="Y2180">
        <v>-3.928823E-2</v>
      </c>
      <c r="Z2180">
        <v>5.7187190000000004E-4</v>
      </c>
      <c r="AA2180">
        <v>0.9992278</v>
      </c>
      <c r="AB2180">
        <v>42</v>
      </c>
      <c r="AC2180">
        <v>50.326700000000002</v>
      </c>
      <c r="AD2180">
        <v>-1.1069838157255001</v>
      </c>
      <c r="AE2180">
        <v>2.5170999999999899</v>
      </c>
      <c r="AF2180">
        <v>-1.99690465578089</v>
      </c>
      <c r="AG2180">
        <v>-1.1069838157255001</v>
      </c>
      <c r="AH2180">
        <v>50.325697648672502</v>
      </c>
      <c r="AI2180">
        <v>91.259106766535893</v>
      </c>
      <c r="AJ2180">
        <v>92.272282820374002</v>
      </c>
      <c r="AK2180">
        <v>50.377464060809501</v>
      </c>
      <c r="AL2180">
        <v>94.9994154503202</v>
      </c>
      <c r="AM2180">
        <v>93.676435131185897</v>
      </c>
      <c r="AN2180">
        <v>1.0000000086124301</v>
      </c>
    </row>
    <row r="2181" spans="1:40" x14ac:dyDescent="0.25">
      <c r="A2181" t="str">
        <f>"20190305135627645"</f>
        <v>20190305135627645</v>
      </c>
      <c r="B2181" t="str">
        <f>"1551765387633805"</f>
        <v>1551765387633805</v>
      </c>
      <c r="C2181" t="s">
        <v>40</v>
      </c>
      <c r="D2181">
        <v>4.4726299999999997</v>
      </c>
      <c r="E2181">
        <v>0.50879300000000005</v>
      </c>
      <c r="F2181" t="s">
        <v>55</v>
      </c>
      <c r="G2181">
        <v>-365.0163</v>
      </c>
      <c r="H2181" s="1">
        <v>1.1326449999999999E-6</v>
      </c>
      <c r="I2181">
        <v>217.8997</v>
      </c>
      <c r="J2181">
        <v>-413.15800000000002</v>
      </c>
      <c r="K2181">
        <v>1.1068899999999999</v>
      </c>
      <c r="L2181">
        <v>215.3664</v>
      </c>
      <c r="M2181">
        <v>0.99988759999999999</v>
      </c>
      <c r="N2181">
        <v>-1.2086360000000001E-2</v>
      </c>
      <c r="O2181">
        <v>8.87458E-3</v>
      </c>
      <c r="P2181">
        <v>0.99235890000000004</v>
      </c>
      <c r="Q2181">
        <v>-9.9261059999999998E-2</v>
      </c>
      <c r="R2181">
        <v>7.329107E-2</v>
      </c>
      <c r="S2181">
        <v>3.0047609999999998</v>
      </c>
      <c r="T2181">
        <v>-6.8518880000000004E-2</v>
      </c>
      <c r="U2181">
        <v>0.15699769999999999</v>
      </c>
      <c r="V2181">
        <v>-6.4794000000000004E-2</v>
      </c>
      <c r="W2181">
        <v>-8.7020100000000003E-2</v>
      </c>
      <c r="X2181">
        <v>0.99409720000000001</v>
      </c>
      <c r="Y2181">
        <v>-4.3296609999999999E-2</v>
      </c>
      <c r="Z2181">
        <v>6.6014410000000002E-4</v>
      </c>
      <c r="AA2181">
        <v>0.99906209999999995</v>
      </c>
      <c r="AB2181">
        <v>43</v>
      </c>
      <c r="AC2181">
        <v>48.1417</v>
      </c>
      <c r="AD2181">
        <v>-1.1068888673549999</v>
      </c>
      <c r="AE2181">
        <v>2.5332999999999899</v>
      </c>
      <c r="AF2181">
        <v>-2.10482202472032</v>
      </c>
      <c r="AG2181">
        <v>-1.1068888673549999</v>
      </c>
      <c r="AH2181">
        <v>48.136910395922797</v>
      </c>
      <c r="AI2181">
        <v>91.316004221559496</v>
      </c>
      <c r="AJ2181">
        <v>92.503705521274497</v>
      </c>
      <c r="AK2181">
        <v>48.195618277863403</v>
      </c>
      <c r="AL2181">
        <v>94.992198594403703</v>
      </c>
      <c r="AM2181">
        <v>93.729191647951595</v>
      </c>
      <c r="AN2181">
        <v>1.0000000016439199</v>
      </c>
    </row>
    <row r="2182" spans="1:40" x14ac:dyDescent="0.25">
      <c r="A2182" t="str">
        <f>"20190305135627669"</f>
        <v>20190305135627669</v>
      </c>
      <c r="B2182" t="str">
        <f>"1551765387664062"</f>
        <v>1551765387664062</v>
      </c>
      <c r="C2182" t="s">
        <v>40</v>
      </c>
      <c r="D2182">
        <v>4.6430069999999999</v>
      </c>
      <c r="E2182">
        <v>0.50735940000000002</v>
      </c>
      <c r="F2182" t="s">
        <v>55</v>
      </c>
      <c r="G2182">
        <v>-365.67860000000002</v>
      </c>
      <c r="H2182" s="1">
        <v>1.4851129999999999E-6</v>
      </c>
      <c r="I2182">
        <v>217.97470000000001</v>
      </c>
      <c r="J2182">
        <v>-412.69740000000002</v>
      </c>
      <c r="K2182">
        <v>1.1067990000000001</v>
      </c>
      <c r="L2182">
        <v>215.36920000000001</v>
      </c>
      <c r="M2182">
        <v>0.99990400000000002</v>
      </c>
      <c r="N2182">
        <v>-1.1844840000000001E-2</v>
      </c>
      <c r="O2182">
        <v>7.1977480000000003E-3</v>
      </c>
      <c r="P2182">
        <v>0.99251659999999997</v>
      </c>
      <c r="Q2182">
        <v>-9.8468799999999995E-2</v>
      </c>
      <c r="R2182">
        <v>7.2212739999999997E-2</v>
      </c>
      <c r="S2182">
        <v>3.0039060000000002</v>
      </c>
      <c r="T2182">
        <v>-7.0030209999999996E-2</v>
      </c>
      <c r="U2182">
        <v>0.165023799999999</v>
      </c>
      <c r="V2182">
        <v>-6.5391640000000001E-2</v>
      </c>
      <c r="W2182">
        <v>-8.6454729999999994E-2</v>
      </c>
      <c r="X2182">
        <v>0.99410739999999997</v>
      </c>
      <c r="Y2182">
        <v>-4.7645840000000002E-2</v>
      </c>
      <c r="Z2182">
        <v>7.5490129999999998E-4</v>
      </c>
      <c r="AA2182">
        <v>0.99886399999999997</v>
      </c>
      <c r="AB2182">
        <v>43</v>
      </c>
      <c r="AC2182">
        <v>47.018799999999999</v>
      </c>
      <c r="AD2182">
        <v>-1.106797514887</v>
      </c>
      <c r="AE2182">
        <v>2.6055000000000001</v>
      </c>
      <c r="AF2182">
        <v>-2.2657276889500699</v>
      </c>
      <c r="AG2182">
        <v>-1.106797514887</v>
      </c>
      <c r="AH2182">
        <v>47.010367886948202</v>
      </c>
      <c r="AI2182">
        <v>91.347141749144896</v>
      </c>
      <c r="AJ2182">
        <v>92.759311686498293</v>
      </c>
      <c r="AK2182">
        <v>47.077948251444099</v>
      </c>
      <c r="AL2182">
        <v>94.959682717819106</v>
      </c>
      <c r="AM2182">
        <v>93.763451661411594</v>
      </c>
      <c r="AN2182">
        <v>1.00000000482801</v>
      </c>
    </row>
    <row r="2183" spans="1:40" x14ac:dyDescent="0.25">
      <c r="A2183" t="str">
        <f>"20190305135627691"</f>
        <v>20190305135627691</v>
      </c>
      <c r="B2183" t="str">
        <f>"1551765387684558"</f>
        <v>1551765387684558</v>
      </c>
      <c r="C2183" t="s">
        <v>40</v>
      </c>
      <c r="D2183">
        <v>4.4573999999999998</v>
      </c>
      <c r="E2183">
        <v>0.50655559999999999</v>
      </c>
      <c r="F2183" t="s">
        <v>55</v>
      </c>
      <c r="G2183">
        <v>-366.69029999999998</v>
      </c>
      <c r="H2183" s="1">
        <v>2.023446E-6</v>
      </c>
      <c r="I2183">
        <v>218.01490000000001</v>
      </c>
      <c r="J2183">
        <v>-412.30799999999999</v>
      </c>
      <c r="K2183">
        <v>1.1067309999999999</v>
      </c>
      <c r="L2183">
        <v>215.37100000000001</v>
      </c>
      <c r="M2183">
        <v>0.99991580000000002</v>
      </c>
      <c r="N2183">
        <v>-1.16423E-2</v>
      </c>
      <c r="O2183">
        <v>5.7609219999999999E-3</v>
      </c>
      <c r="P2183">
        <v>0.99269320000000005</v>
      </c>
      <c r="Q2183">
        <v>-9.7426499999999999E-2</v>
      </c>
      <c r="R2183">
        <v>7.1195449999999993E-2</v>
      </c>
      <c r="S2183">
        <v>3.0029300000000001</v>
      </c>
      <c r="T2183">
        <v>-7.2241780000000005E-2</v>
      </c>
      <c r="U2183">
        <v>0.1726837</v>
      </c>
      <c r="V2183">
        <v>-6.5807480000000002E-2</v>
      </c>
      <c r="W2183">
        <v>-8.5603769999999996E-2</v>
      </c>
      <c r="X2183">
        <v>0.99415359999999997</v>
      </c>
      <c r="Y2183">
        <v>-5.1635800000000003E-2</v>
      </c>
      <c r="Z2183">
        <v>8.4996910000000004E-4</v>
      </c>
      <c r="AA2183">
        <v>0.99866560000000004</v>
      </c>
      <c r="AB2183">
        <v>43</v>
      </c>
      <c r="AC2183">
        <v>45.617699999999999</v>
      </c>
      <c r="AD2183">
        <v>-1.1067289765539901</v>
      </c>
      <c r="AE2183">
        <v>2.6439000000000301</v>
      </c>
      <c r="AF2183">
        <v>-2.37964238736047</v>
      </c>
      <c r="AG2183">
        <v>-1.1067289765539901</v>
      </c>
      <c r="AH2183">
        <v>45.605422029006498</v>
      </c>
      <c r="AI2183">
        <v>91.3882638762434</v>
      </c>
      <c r="AJ2183">
        <v>92.986923990867496</v>
      </c>
      <c r="AK2183">
        <v>45.680871985581199</v>
      </c>
      <c r="AL2183">
        <v>94.910744866922002</v>
      </c>
      <c r="AM2183">
        <v>93.787139364309297</v>
      </c>
      <c r="AN2183">
        <v>1.0000000051275599</v>
      </c>
    </row>
    <row r="2184" spans="1:40" x14ac:dyDescent="0.25">
      <c r="A2184" t="str">
        <f>"20190305135627714"</f>
        <v>20190305135627714</v>
      </c>
      <c r="B2184" t="str">
        <f>"1551765387704077"</f>
        <v>1551765387704077</v>
      </c>
      <c r="C2184" t="s">
        <v>40</v>
      </c>
      <c r="D2184">
        <v>4.4582259999999998</v>
      </c>
      <c r="E2184">
        <v>0.5056522</v>
      </c>
      <c r="F2184" t="s">
        <v>55</v>
      </c>
      <c r="G2184">
        <v>-366.74689999999998</v>
      </c>
      <c r="H2184" s="1">
        <v>2.0535809999999998E-6</v>
      </c>
      <c r="I2184">
        <v>218.03530000000001</v>
      </c>
      <c r="J2184">
        <v>-411.84059999999999</v>
      </c>
      <c r="K2184">
        <v>1.106649</v>
      </c>
      <c r="L2184">
        <v>215.3724</v>
      </c>
      <c r="M2184">
        <v>0.99992700000000001</v>
      </c>
      <c r="N2184">
        <v>-1.1402199999999999E-2</v>
      </c>
      <c r="O2184">
        <v>4.0233559999999996E-3</v>
      </c>
      <c r="P2184">
        <v>0.99267660000000002</v>
      </c>
      <c r="Q2184">
        <v>-9.840351E-2</v>
      </c>
      <c r="R2184">
        <v>7.0074259999999999E-2</v>
      </c>
      <c r="S2184">
        <v>3.0023499999999999</v>
      </c>
      <c r="T2184">
        <v>-7.2930339999999996E-2</v>
      </c>
      <c r="U2184">
        <v>0.17556759999999999</v>
      </c>
      <c r="V2184">
        <v>-6.6427189999999997E-2</v>
      </c>
      <c r="W2184">
        <v>-8.6810600000000002E-2</v>
      </c>
      <c r="X2184">
        <v>0.99400770000000005</v>
      </c>
      <c r="Y2184">
        <v>-5.4336620000000002E-2</v>
      </c>
      <c r="Z2184">
        <v>9.1761190000000002E-4</v>
      </c>
      <c r="AA2184">
        <v>0.99852229999999997</v>
      </c>
      <c r="AB2184">
        <v>43</v>
      </c>
      <c r="AC2184">
        <v>45.093699999999998</v>
      </c>
      <c r="AD2184">
        <v>-1.1066469464190001</v>
      </c>
      <c r="AE2184">
        <v>2.6629</v>
      </c>
      <c r="AF2184">
        <v>-2.4799502666423501</v>
      </c>
      <c r="AG2184">
        <v>-1.1066469464190001</v>
      </c>
      <c r="AH2184">
        <v>45.076995586566603</v>
      </c>
      <c r="AI2184">
        <v>91.404214773679996</v>
      </c>
      <c r="AJ2184">
        <v>93.149002814700793</v>
      </c>
      <c r="AK2184">
        <v>45.158723984412902</v>
      </c>
      <c r="AL2184">
        <v>94.980149640632803</v>
      </c>
      <c r="AM2184">
        <v>93.823257091295005</v>
      </c>
      <c r="AN2184">
        <v>0.99999997975147203</v>
      </c>
    </row>
    <row r="2185" spans="1:40" x14ac:dyDescent="0.25">
      <c r="A2185" t="str">
        <f>"20190305135627737"</f>
        <v>20190305135627737</v>
      </c>
      <c r="B2185" t="str">
        <f>"1551765387724574"</f>
        <v>1551765387724574</v>
      </c>
      <c r="C2185" t="s">
        <v>40</v>
      </c>
      <c r="D2185">
        <v>4.5041589999999996</v>
      </c>
      <c r="E2185">
        <v>0.50478290000000003</v>
      </c>
      <c r="F2185" t="s">
        <v>55</v>
      </c>
      <c r="G2185">
        <v>-369.76420000000002</v>
      </c>
      <c r="H2185" s="1">
        <v>3.6592110000000001E-6</v>
      </c>
      <c r="I2185">
        <v>217.88499999999999</v>
      </c>
      <c r="J2185">
        <v>-411.41559999999998</v>
      </c>
      <c r="K2185">
        <v>1.106576</v>
      </c>
      <c r="L2185">
        <v>215.37299999999999</v>
      </c>
      <c r="M2185">
        <v>0.99993460000000001</v>
      </c>
      <c r="N2185">
        <v>-1.11926E-2</v>
      </c>
      <c r="O2185">
        <v>2.4381419999999999E-3</v>
      </c>
      <c r="P2185">
        <v>0.99264730000000001</v>
      </c>
      <c r="Q2185">
        <v>-9.9587540000000002E-2</v>
      </c>
      <c r="R2185">
        <v>6.8803219999999998E-2</v>
      </c>
      <c r="S2185">
        <v>3.001617</v>
      </c>
      <c r="T2185">
        <v>-7.8945039999999994E-2</v>
      </c>
      <c r="U2185">
        <v>0.17924499999999999</v>
      </c>
      <c r="V2185">
        <v>-6.6743689999999994E-2</v>
      </c>
      <c r="W2185">
        <v>-8.8196919999999998E-2</v>
      </c>
      <c r="X2185">
        <v>0.99386450000000004</v>
      </c>
      <c r="Y2185">
        <v>-5.7147990000000003E-2</v>
      </c>
      <c r="Z2185">
        <v>1.0341199999999999E-3</v>
      </c>
      <c r="AA2185">
        <v>0.99836519999999995</v>
      </c>
      <c r="AB2185">
        <v>43</v>
      </c>
      <c r="AC2185">
        <v>41.651399999999903</v>
      </c>
      <c r="AD2185">
        <v>-1.106572340789</v>
      </c>
      <c r="AE2185">
        <v>2.512</v>
      </c>
      <c r="AF2185">
        <v>-2.40874016433518</v>
      </c>
      <c r="AG2185">
        <v>-1.106572340789</v>
      </c>
      <c r="AH2185">
        <v>41.628125265809103</v>
      </c>
      <c r="AI2185">
        <v>91.520154886097401</v>
      </c>
      <c r="AJ2185">
        <v>93.311629479488204</v>
      </c>
      <c r="AK2185">
        <v>41.712436331034098</v>
      </c>
      <c r="AL2185">
        <v>95.059885528640095</v>
      </c>
      <c r="AM2185">
        <v>93.841970858177206</v>
      </c>
      <c r="AN2185">
        <v>1.00000003060627</v>
      </c>
    </row>
    <row r="2186" spans="1:40" x14ac:dyDescent="0.25">
      <c r="A2186" t="str">
        <f>"20190305135627758"</f>
        <v>20190305135627758</v>
      </c>
      <c r="B2186" t="str">
        <f>"1551765387753854"</f>
        <v>1551765387753854</v>
      </c>
      <c r="C2186" t="s">
        <v>40</v>
      </c>
      <c r="D2186">
        <v>4.7195529999999897</v>
      </c>
      <c r="E2186">
        <v>0.50369010000000003</v>
      </c>
      <c r="F2186" t="s">
        <v>55</v>
      </c>
      <c r="G2186">
        <v>-372.41160000000002</v>
      </c>
      <c r="H2186" s="1">
        <v>-2.5346359999999998E-7</v>
      </c>
      <c r="I2186">
        <v>217.7448</v>
      </c>
      <c r="J2186">
        <v>-410.99950000000001</v>
      </c>
      <c r="K2186">
        <v>1.1065149999999999</v>
      </c>
      <c r="L2186">
        <v>215.37289999999999</v>
      </c>
      <c r="M2186">
        <v>0.99993929999999998</v>
      </c>
      <c r="N2186">
        <v>-1.0989779999999999E-2</v>
      </c>
      <c r="O2186">
        <v>8.8606539999999895E-4</v>
      </c>
      <c r="P2186">
        <v>0.99259810000000004</v>
      </c>
      <c r="Q2186">
        <v>-0.10055409999999999</v>
      </c>
      <c r="R2186">
        <v>6.8103880000000006E-2</v>
      </c>
      <c r="S2186">
        <v>3.0010680000000001</v>
      </c>
      <c r="T2186">
        <v>-8.5142850000000006E-2</v>
      </c>
      <c r="U2186">
        <v>0.18249509999999999</v>
      </c>
      <c r="V2186">
        <v>-6.7597749999999998E-2</v>
      </c>
      <c r="W2186">
        <v>-8.9357859999999997E-2</v>
      </c>
      <c r="X2186">
        <v>0.993703</v>
      </c>
      <c r="Y2186">
        <v>-5.9780270000000003E-2</v>
      </c>
      <c r="Z2186">
        <v>1.160564E-3</v>
      </c>
      <c r="AA2186">
        <v>0.99821090000000001</v>
      </c>
      <c r="AB2186">
        <v>43</v>
      </c>
      <c r="AC2186">
        <v>38.587899999999898</v>
      </c>
      <c r="AD2186">
        <v>-1.1065152534636</v>
      </c>
      <c r="AE2186">
        <v>2.3719000000000099</v>
      </c>
      <c r="AF2186">
        <v>-2.3357921896338998</v>
      </c>
      <c r="AG2186">
        <v>-1.1065152534636</v>
      </c>
      <c r="AH2186">
        <v>38.558400699362799</v>
      </c>
      <c r="AI2186">
        <v>91.640766875101704</v>
      </c>
      <c r="AJ2186">
        <v>93.466629446704601</v>
      </c>
      <c r="AK2186">
        <v>38.644929365337497</v>
      </c>
      <c r="AL2186">
        <v>95.126666500608593</v>
      </c>
      <c r="AM2186">
        <v>93.891613532400498</v>
      </c>
      <c r="AN2186">
        <v>0.99999996757891996</v>
      </c>
    </row>
    <row r="2187" spans="1:40" x14ac:dyDescent="0.25">
      <c r="A2187" t="str">
        <f>"20190305135627780"</f>
        <v>20190305135627780</v>
      </c>
      <c r="B2187" t="str">
        <f>"1551765387774350"</f>
        <v>1551765387774350</v>
      </c>
      <c r="C2187" t="s">
        <v>40</v>
      </c>
      <c r="D2187">
        <v>4.4674250000000004</v>
      </c>
      <c r="E2187">
        <v>0.50295909999999999</v>
      </c>
      <c r="F2187" t="s">
        <v>55</v>
      </c>
      <c r="G2187">
        <v>-374.9325</v>
      </c>
      <c r="H2187" s="1">
        <v>1.088017E-6</v>
      </c>
      <c r="I2187">
        <v>217.64320000000001</v>
      </c>
      <c r="J2187">
        <v>-410.58960000000002</v>
      </c>
      <c r="K2187">
        <v>1.1064750000000001</v>
      </c>
      <c r="L2187">
        <v>215.37219999999999</v>
      </c>
      <c r="M2187">
        <v>0.99994159999999999</v>
      </c>
      <c r="N2187">
        <v>-1.0790559999999999E-2</v>
      </c>
      <c r="O2187">
        <v>-6.3586540000000003E-4</v>
      </c>
      <c r="P2187">
        <v>0.99260219999999999</v>
      </c>
      <c r="Q2187">
        <v>-0.1007596</v>
      </c>
      <c r="R2187">
        <v>6.7737919999999993E-2</v>
      </c>
      <c r="S2187">
        <v>3.000092</v>
      </c>
      <c r="T2187">
        <v>-9.2041020000000001E-2</v>
      </c>
      <c r="U2187">
        <v>0.18884280000000001</v>
      </c>
      <c r="V2187">
        <v>-6.874951E-2</v>
      </c>
      <c r="W2187">
        <v>-8.97535E-2</v>
      </c>
      <c r="X2187">
        <v>0.99358829999999998</v>
      </c>
      <c r="Y2187">
        <v>-6.3415650000000004E-2</v>
      </c>
      <c r="Z2187">
        <v>1.32682E-3</v>
      </c>
      <c r="AA2187">
        <v>0.99798629999999999</v>
      </c>
      <c r="AB2187">
        <v>43</v>
      </c>
      <c r="AC2187">
        <v>35.6571</v>
      </c>
      <c r="AD2187">
        <v>-1.106473911983</v>
      </c>
      <c r="AE2187">
        <v>2.2710000000000101</v>
      </c>
      <c r="AF2187">
        <v>-2.2914763819373398</v>
      </c>
      <c r="AG2187">
        <v>-1.106473911983</v>
      </c>
      <c r="AH2187">
        <v>35.621486581042198</v>
      </c>
      <c r="AI2187">
        <v>91.775480857782199</v>
      </c>
      <c r="AJ2187">
        <v>93.680679397986196</v>
      </c>
      <c r="AK2187">
        <v>35.712259166429803</v>
      </c>
      <c r="AL2187">
        <v>95.149426559024803</v>
      </c>
      <c r="AM2187">
        <v>93.958167011462706</v>
      </c>
      <c r="AN2187">
        <v>0.99999994789218805</v>
      </c>
    </row>
    <row r="2188" spans="1:40" x14ac:dyDescent="0.25">
      <c r="A2188" t="str">
        <f>"20190305135627802"</f>
        <v>20190305135627802</v>
      </c>
      <c r="B2188" t="str">
        <f>"1551765387793870"</f>
        <v>1551765387793870</v>
      </c>
      <c r="C2188" t="s">
        <v>40</v>
      </c>
      <c r="D2188">
        <v>4.4215660000000003</v>
      </c>
      <c r="E2188">
        <v>0.50229690000000005</v>
      </c>
      <c r="F2188" t="s">
        <v>55</v>
      </c>
      <c r="G2188">
        <v>-375.93819999999999</v>
      </c>
      <c r="H2188" s="1">
        <v>1.623246E-6</v>
      </c>
      <c r="I2188">
        <v>217.60990000000001</v>
      </c>
      <c r="J2188">
        <v>-410.15300000000002</v>
      </c>
      <c r="K2188">
        <v>1.106452</v>
      </c>
      <c r="L2188">
        <v>215.3708</v>
      </c>
      <c r="M2188">
        <v>0.99994150000000004</v>
      </c>
      <c r="N2188">
        <v>-1.0579989999999999E-2</v>
      </c>
      <c r="O2188">
        <v>-2.24282E-3</v>
      </c>
      <c r="P2188">
        <v>0.9926739</v>
      </c>
      <c r="Q2188">
        <v>-9.9949330000000003E-2</v>
      </c>
      <c r="R2188">
        <v>6.7888459999999998E-2</v>
      </c>
      <c r="S2188">
        <v>2.9994200000000002</v>
      </c>
      <c r="T2188">
        <v>-9.5776319999999998E-2</v>
      </c>
      <c r="U2188">
        <v>0.19369510000000001</v>
      </c>
      <c r="V2188">
        <v>-7.0496329999999996E-2</v>
      </c>
      <c r="W2188">
        <v>-8.9142579999999999E-2</v>
      </c>
      <c r="X2188">
        <v>0.99352099999999999</v>
      </c>
      <c r="Y2188">
        <v>-6.6635819999999998E-2</v>
      </c>
      <c r="Z2188">
        <v>1.4633420000000001E-3</v>
      </c>
      <c r="AA2188">
        <v>0.99777629999999995</v>
      </c>
      <c r="AB2188">
        <v>43</v>
      </c>
      <c r="AC2188">
        <v>34.214799999999997</v>
      </c>
      <c r="AD2188">
        <v>-1.1064503767539999</v>
      </c>
      <c r="AE2188">
        <v>2.2391000000000001</v>
      </c>
      <c r="AF2188">
        <v>-2.3134273077413599</v>
      </c>
      <c r="AG2188">
        <v>-1.1064503767539999</v>
      </c>
      <c r="AH2188">
        <v>34.174105930974399</v>
      </c>
      <c r="AI2188">
        <v>91.850178300198493</v>
      </c>
      <c r="AJ2188">
        <v>93.872747969533407</v>
      </c>
      <c r="AK2188">
        <v>34.270186671885497</v>
      </c>
      <c r="AL2188">
        <v>95.114281995773297</v>
      </c>
      <c r="AM2188">
        <v>94.0586800664245</v>
      </c>
      <c r="AN2188">
        <v>1.00000005477676</v>
      </c>
    </row>
    <row r="2189" spans="1:40" x14ac:dyDescent="0.25">
      <c r="A2189" t="str">
        <f>"20190305135627824"</f>
        <v>20190305135627824</v>
      </c>
      <c r="B2189" t="str">
        <f>"1551765387814366"</f>
        <v>1551765387814366</v>
      </c>
      <c r="C2189" t="s">
        <v>40</v>
      </c>
      <c r="D2189">
        <v>4.4053829999999996</v>
      </c>
      <c r="E2189">
        <v>0.50164819999999999</v>
      </c>
      <c r="F2189" t="s">
        <v>55</v>
      </c>
      <c r="G2189">
        <v>-375.9837</v>
      </c>
      <c r="H2189" s="1">
        <v>1.647457E-6</v>
      </c>
      <c r="I2189">
        <v>217.63990000000001</v>
      </c>
      <c r="J2189">
        <v>-409.73880000000003</v>
      </c>
      <c r="K2189">
        <v>1.1064449999999999</v>
      </c>
      <c r="L2189">
        <v>215.36879999999999</v>
      </c>
      <c r="M2189">
        <v>0.99993909999999997</v>
      </c>
      <c r="N2189">
        <v>-1.0385470000000001E-2</v>
      </c>
      <c r="O2189">
        <v>-3.7478110000000002E-3</v>
      </c>
      <c r="P2189">
        <v>0.99278739999999999</v>
      </c>
      <c r="Q2189">
        <v>-9.8706450000000001E-2</v>
      </c>
      <c r="R2189">
        <v>6.8046700000000002E-2</v>
      </c>
      <c r="S2189">
        <v>2.9987180000000002</v>
      </c>
      <c r="T2189">
        <v>-9.7102999999999995E-2</v>
      </c>
      <c r="U2189">
        <v>0.1991425</v>
      </c>
      <c r="V2189">
        <v>-7.2146009999999997E-2</v>
      </c>
      <c r="W2189">
        <v>-8.8084640000000006E-2</v>
      </c>
      <c r="X2189">
        <v>0.99349690000000002</v>
      </c>
      <c r="Y2189">
        <v>-6.9953379999999996E-2</v>
      </c>
      <c r="Z2189">
        <v>1.5771649999999999E-3</v>
      </c>
      <c r="AA2189">
        <v>0.99754900000000002</v>
      </c>
      <c r="AB2189">
        <v>43</v>
      </c>
      <c r="AC2189">
        <v>33.755099999999999</v>
      </c>
      <c r="AD2189">
        <v>-1.106443352543</v>
      </c>
      <c r="AE2189">
        <v>2.2711000000000099</v>
      </c>
      <c r="AF2189">
        <v>-2.3950368878266999</v>
      </c>
      <c r="AG2189">
        <v>-1.106443352543</v>
      </c>
      <c r="AH2189">
        <v>33.710294546076803</v>
      </c>
      <c r="AI2189">
        <v>91.875170745268406</v>
      </c>
      <c r="AJ2189">
        <v>94.063901248793201</v>
      </c>
      <c r="AK2189">
        <v>33.813375710947497</v>
      </c>
      <c r="AL2189">
        <v>95.053427274692694</v>
      </c>
      <c r="AM2189">
        <v>94.153428782958599</v>
      </c>
      <c r="AN2189">
        <v>1.00000002043622</v>
      </c>
    </row>
    <row r="2190" spans="1:40" x14ac:dyDescent="0.25">
      <c r="A2190" t="str">
        <f>"20190305135627848"</f>
        <v>20190305135627848</v>
      </c>
      <c r="B2190" t="str">
        <f>"1551765387844622"</f>
        <v>1551765387844622</v>
      </c>
      <c r="C2190" t="s">
        <v>40</v>
      </c>
      <c r="D2190">
        <v>4.3857839999999904</v>
      </c>
      <c r="E2190">
        <v>0.50077119999999997</v>
      </c>
      <c r="F2190" t="s">
        <v>55</v>
      </c>
      <c r="G2190">
        <v>-375.23430000000002</v>
      </c>
      <c r="H2190" s="1">
        <v>1.248622E-6</v>
      </c>
      <c r="I2190">
        <v>217.7242</v>
      </c>
      <c r="J2190">
        <v>-409.27760000000001</v>
      </c>
      <c r="K2190">
        <v>1.1064400000000001</v>
      </c>
      <c r="L2190">
        <v>215.36590000000001</v>
      </c>
      <c r="M2190">
        <v>0.99993370000000004</v>
      </c>
      <c r="N2190">
        <v>-1.017888E-2</v>
      </c>
      <c r="O2190">
        <v>-5.3976629999999996E-3</v>
      </c>
      <c r="P2190">
        <v>0.99298299999999995</v>
      </c>
      <c r="Q2190">
        <v>-9.6929269999999998E-2</v>
      </c>
      <c r="R2190">
        <v>6.7747379999999996E-2</v>
      </c>
      <c r="S2190">
        <v>2.9981990000000001</v>
      </c>
      <c r="T2190">
        <v>-9.6142050000000007E-2</v>
      </c>
      <c r="U2190">
        <v>0.20466609999999999</v>
      </c>
      <c r="V2190">
        <v>-7.3478329999999994E-2</v>
      </c>
      <c r="W2190">
        <v>-8.65065E-2</v>
      </c>
      <c r="X2190">
        <v>0.99353789999999997</v>
      </c>
      <c r="Y2190">
        <v>-7.3438100000000006E-2</v>
      </c>
      <c r="Z2190">
        <v>1.6680929999999901E-3</v>
      </c>
      <c r="AA2190">
        <v>0.99729840000000003</v>
      </c>
      <c r="AB2190">
        <v>43</v>
      </c>
      <c r="AC2190">
        <v>34.043299999999903</v>
      </c>
      <c r="AD2190">
        <v>-1.1064387513780001</v>
      </c>
      <c r="AE2190">
        <v>2.3582999999999799</v>
      </c>
      <c r="AF2190">
        <v>-2.53935986822587</v>
      </c>
      <c r="AG2190">
        <v>-1.1064387513780001</v>
      </c>
      <c r="AH2190">
        <v>33.994336988857597</v>
      </c>
      <c r="AI2190">
        <v>91.859014090109</v>
      </c>
      <c r="AJ2190">
        <v>94.272031689448198</v>
      </c>
      <c r="AK2190">
        <v>34.107000785218801</v>
      </c>
      <c r="AL2190">
        <v>94.962660103231102</v>
      </c>
      <c r="AM2190">
        <v>94.229680338395795</v>
      </c>
      <c r="AN2190">
        <v>0.99999999912912396</v>
      </c>
    </row>
    <row r="2191" spans="1:40" x14ac:dyDescent="0.25">
      <c r="A2191" t="str">
        <f>"20190305135627872"</f>
        <v>20190305135627872</v>
      </c>
      <c r="B2191" t="str">
        <f>"1551765387864143"</f>
        <v>1551765387864143</v>
      </c>
      <c r="C2191" t="s">
        <v>40</v>
      </c>
      <c r="D2191">
        <v>4.3919959999999998</v>
      </c>
      <c r="E2191">
        <v>0.50020810000000004</v>
      </c>
      <c r="F2191" t="s">
        <v>55</v>
      </c>
      <c r="G2191">
        <v>-374.0249</v>
      </c>
      <c r="H2191" s="1">
        <v>6.0507019999999898E-7</v>
      </c>
      <c r="I2191">
        <v>217.83869999999999</v>
      </c>
      <c r="J2191">
        <v>-408.80470000000003</v>
      </c>
      <c r="K2191">
        <v>1.106433</v>
      </c>
      <c r="L2191">
        <v>215.3622</v>
      </c>
      <c r="M2191">
        <v>0.99992530000000002</v>
      </c>
      <c r="N2191">
        <v>-9.9853670000000002E-3</v>
      </c>
      <c r="O2191">
        <v>-7.0506980000000002E-3</v>
      </c>
      <c r="P2191">
        <v>0.99322089999999996</v>
      </c>
      <c r="Q2191">
        <v>-9.5197920000000005E-2</v>
      </c>
      <c r="R2191">
        <v>6.6705760000000003E-2</v>
      </c>
      <c r="S2191">
        <v>2.9976500000000001</v>
      </c>
      <c r="T2191">
        <v>-9.4084020000000004E-2</v>
      </c>
      <c r="U2191">
        <v>0.21026610000000001</v>
      </c>
      <c r="V2191">
        <v>-7.4070430000000007E-2</v>
      </c>
      <c r="W2191">
        <v>-8.4965460000000007E-2</v>
      </c>
      <c r="X2191">
        <v>0.99362689999999998</v>
      </c>
      <c r="Y2191">
        <v>-7.6952380000000001E-2</v>
      </c>
      <c r="Z2191">
        <v>1.741313E-3</v>
      </c>
      <c r="AA2191">
        <v>0.99703319999999995</v>
      </c>
      <c r="AB2191">
        <v>43</v>
      </c>
      <c r="AC2191">
        <v>34.779800000000002</v>
      </c>
      <c r="AD2191">
        <v>-1.1064323949298001</v>
      </c>
      <c r="AE2191">
        <v>2.4764999999999802</v>
      </c>
      <c r="AF2191">
        <v>-2.7189347495182599</v>
      </c>
      <c r="AG2191">
        <v>-1.1064323949298001</v>
      </c>
      <c r="AH2191">
        <v>34.726506330158401</v>
      </c>
      <c r="AI2191">
        <v>91.819337743799906</v>
      </c>
      <c r="AJ2191">
        <v>94.476877739238105</v>
      </c>
      <c r="AK2191">
        <v>34.850352088827101</v>
      </c>
      <c r="AL2191">
        <v>94.874038750772996</v>
      </c>
      <c r="AM2191">
        <v>94.263258095168098</v>
      </c>
      <c r="AN2191">
        <v>0.99999998719850303</v>
      </c>
    </row>
    <row r="2192" spans="1:40" x14ac:dyDescent="0.25">
      <c r="A2192" t="str">
        <f>"20190305135627895"</f>
        <v>20190305135627895</v>
      </c>
      <c r="B2192" t="str">
        <f>"1551765387884638"</f>
        <v>1551765387884638</v>
      </c>
      <c r="C2192" t="s">
        <v>40</v>
      </c>
      <c r="D2192">
        <v>4.364808</v>
      </c>
      <c r="E2192">
        <v>0.4997258</v>
      </c>
      <c r="F2192" t="s">
        <v>55</v>
      </c>
      <c r="G2192">
        <v>-372.56849999999997</v>
      </c>
      <c r="H2192" s="1">
        <v>-1.699467E-7</v>
      </c>
      <c r="I2192">
        <v>217.91419999999999</v>
      </c>
      <c r="J2192">
        <v>-408.37009999999998</v>
      </c>
      <c r="K2192">
        <v>1.1064290000000001</v>
      </c>
      <c r="L2192">
        <v>215.35810000000001</v>
      </c>
      <c r="M2192">
        <v>0.99991540000000001</v>
      </c>
      <c r="N2192">
        <v>-9.8269970000000005E-3</v>
      </c>
      <c r="O2192">
        <v>-8.5268529999999992E-3</v>
      </c>
      <c r="P2192">
        <v>0.99333210000000005</v>
      </c>
      <c r="Q2192">
        <v>-9.4642710000000005E-2</v>
      </c>
      <c r="R2192">
        <v>6.5833429999999998E-2</v>
      </c>
      <c r="S2192">
        <v>2.997528</v>
      </c>
      <c r="T2192">
        <v>-9.1526389999999999E-2</v>
      </c>
      <c r="U2192">
        <v>0.2111053</v>
      </c>
      <c r="V2192">
        <v>-7.4659030000000001E-2</v>
      </c>
      <c r="W2192">
        <v>-8.4568199999999996E-2</v>
      </c>
      <c r="X2192">
        <v>0.99361679999999997</v>
      </c>
      <c r="Y2192">
        <v>-7.8705999999999998E-2</v>
      </c>
      <c r="Z2192">
        <v>1.7634860000000001E-3</v>
      </c>
      <c r="AA2192">
        <v>0.99689629999999996</v>
      </c>
      <c r="AB2192">
        <v>43</v>
      </c>
      <c r="AC2192">
        <v>35.801600000000001</v>
      </c>
      <c r="AD2192">
        <v>-1.1064291699466999</v>
      </c>
      <c r="AE2192">
        <v>2.5560999999999798</v>
      </c>
      <c r="AF2192">
        <v>-2.8585804315721601</v>
      </c>
      <c r="AG2192">
        <v>-1.1064291699466999</v>
      </c>
      <c r="AH2192">
        <v>35.744535835159397</v>
      </c>
      <c r="AI2192">
        <v>91.767317003499798</v>
      </c>
      <c r="AJ2192">
        <v>94.572356501745602</v>
      </c>
      <c r="AK2192">
        <v>35.875723123901899</v>
      </c>
      <c r="AL2192">
        <v>94.851194914063697</v>
      </c>
      <c r="AM2192">
        <v>94.297053159984898</v>
      </c>
      <c r="AN2192">
        <v>1.0000000482269999</v>
      </c>
    </row>
    <row r="2193" spans="1:40" x14ac:dyDescent="0.25">
      <c r="A2193" t="str">
        <f>"20190305135627918"</f>
        <v>20190305135627918</v>
      </c>
      <c r="B2193" t="str">
        <f>"1551765387913918"</f>
        <v>1551765387913918</v>
      </c>
      <c r="C2193" t="s">
        <v>40</v>
      </c>
      <c r="D2193">
        <v>4.412871</v>
      </c>
      <c r="E2193">
        <v>0.49926789999999999</v>
      </c>
      <c r="F2193" t="s">
        <v>55</v>
      </c>
      <c r="G2193">
        <v>-372.31979999999999</v>
      </c>
      <c r="H2193" s="1">
        <v>-3.022933E-7</v>
      </c>
      <c r="I2193">
        <v>217.90710000000001</v>
      </c>
      <c r="J2193">
        <v>-407.91030000000001</v>
      </c>
      <c r="K2193">
        <v>1.106427</v>
      </c>
      <c r="L2193">
        <v>215.35310000000001</v>
      </c>
      <c r="M2193">
        <v>0.99990279999999998</v>
      </c>
      <c r="N2193">
        <v>-9.6787260000000003E-3</v>
      </c>
      <c r="O2193">
        <v>-1.0042580000000001E-2</v>
      </c>
      <c r="P2193">
        <v>0.99320759999999997</v>
      </c>
      <c r="Q2193">
        <v>-9.6627920000000006E-2</v>
      </c>
      <c r="R2193">
        <v>6.4821909999999996E-2</v>
      </c>
      <c r="S2193">
        <v>2.9972840000000001</v>
      </c>
      <c r="T2193">
        <v>-9.1990589999999997E-2</v>
      </c>
      <c r="U2193">
        <v>0.21192929999999999</v>
      </c>
      <c r="V2193">
        <v>-7.5155440000000004E-2</v>
      </c>
      <c r="W2193">
        <v>-8.6704989999999996E-2</v>
      </c>
      <c r="X2193">
        <v>0.99339509999999998</v>
      </c>
      <c r="Y2193">
        <v>-8.0493640000000005E-2</v>
      </c>
      <c r="Z2193">
        <v>1.8342810000000001E-3</v>
      </c>
      <c r="AA2193">
        <v>0.99675349999999996</v>
      </c>
      <c r="AB2193">
        <v>43</v>
      </c>
      <c r="AC2193">
        <v>35.590499999999999</v>
      </c>
      <c r="AD2193">
        <v>-1.1064273022933</v>
      </c>
      <c r="AE2193">
        <v>2.5539999999999998</v>
      </c>
      <c r="AF2193">
        <v>-2.9085118369507601</v>
      </c>
      <c r="AG2193">
        <v>-1.1064273022933</v>
      </c>
      <c r="AH2193">
        <v>35.528894283441701</v>
      </c>
      <c r="AI2193">
        <v>91.777763747111393</v>
      </c>
      <c r="AJ2193">
        <v>94.679984628404199</v>
      </c>
      <c r="AK2193">
        <v>35.664912049308597</v>
      </c>
      <c r="AL2193">
        <v>94.9740758292577</v>
      </c>
      <c r="AM2193">
        <v>94.326477985870298</v>
      </c>
      <c r="AN2193">
        <v>0.99999996007825098</v>
      </c>
    </row>
    <row r="2194" spans="1:40" x14ac:dyDescent="0.25">
      <c r="A2194" t="str">
        <f>"20190305135627958"</f>
        <v>20190305135627958</v>
      </c>
      <c r="B2194" t="str">
        <f>"1551765387953934"</f>
        <v>1551765387953934</v>
      </c>
      <c r="C2194" t="s">
        <v>40</v>
      </c>
      <c r="D2194">
        <v>4.5634259999999998</v>
      </c>
      <c r="E2194">
        <v>0.49842320000000001</v>
      </c>
      <c r="F2194" t="s">
        <v>55</v>
      </c>
      <c r="G2194">
        <v>-374.2715</v>
      </c>
      <c r="H2194" s="1">
        <v>7.3628419999999896E-7</v>
      </c>
      <c r="I2194">
        <v>217.7364</v>
      </c>
      <c r="J2194">
        <v>-407.13639999999998</v>
      </c>
      <c r="K2194">
        <v>1.1064449999999999</v>
      </c>
      <c r="L2194">
        <v>215.3433</v>
      </c>
      <c r="M2194">
        <v>0.99987769999999998</v>
      </c>
      <c r="N2194">
        <v>-9.4691310000000004E-3</v>
      </c>
      <c r="O2194">
        <v>-1.2449409999999999E-2</v>
      </c>
      <c r="P2194">
        <v>0.9928496</v>
      </c>
      <c r="Q2194">
        <v>-0.10083209999999999</v>
      </c>
      <c r="R2194">
        <v>6.3895309999999997E-2</v>
      </c>
      <c r="S2194">
        <v>2.9971009999999998</v>
      </c>
      <c r="T2194">
        <v>-9.8578570000000004E-2</v>
      </c>
      <c r="U2194">
        <v>0.21234130000000001</v>
      </c>
      <c r="V2194">
        <v>-7.6617569999999996E-2</v>
      </c>
      <c r="W2194">
        <v>-9.1127769999999997E-2</v>
      </c>
      <c r="X2194">
        <v>0.99288739999999998</v>
      </c>
      <c r="Y2194">
        <v>-8.3024100000000003E-2</v>
      </c>
      <c r="Z2194">
        <v>2.048214E-3</v>
      </c>
      <c r="AA2194">
        <v>0.99654540000000003</v>
      </c>
      <c r="AB2194">
        <v>43</v>
      </c>
      <c r="AC2194">
        <v>32.864899999999899</v>
      </c>
      <c r="AD2194">
        <v>-1.1064442637158001</v>
      </c>
      <c r="AE2194">
        <v>2.3931</v>
      </c>
      <c r="AF2194">
        <v>-2.7989258180448</v>
      </c>
      <c r="AG2194">
        <v>-1.1064442637158001</v>
      </c>
      <c r="AH2194">
        <v>32.795583400720197</v>
      </c>
      <c r="AI2194">
        <v>91.925295547144501</v>
      </c>
      <c r="AJ2194">
        <v>94.878064621964796</v>
      </c>
      <c r="AK2194">
        <v>32.933394833166297</v>
      </c>
      <c r="AL2194">
        <v>95.228490414916493</v>
      </c>
      <c r="AM2194">
        <v>94.412565835707994</v>
      </c>
      <c r="AN2194">
        <v>0.99999995578831702</v>
      </c>
    </row>
    <row r="2195" spans="1:40" x14ac:dyDescent="0.25">
      <c r="A2195" t="str">
        <f>"20190305135627981"</f>
        <v>20190305135627981</v>
      </c>
      <c r="B2195" t="str">
        <f>"1551765387974431"</f>
        <v>1551765387974431</v>
      </c>
      <c r="C2195" t="s">
        <v>40</v>
      </c>
      <c r="D2195">
        <v>4.3756659999999998</v>
      </c>
      <c r="E2195">
        <v>0.49803029999999998</v>
      </c>
      <c r="F2195" t="s">
        <v>55</v>
      </c>
      <c r="G2195">
        <v>-377.8442</v>
      </c>
      <c r="H2195" s="1">
        <v>2.6375120000000001E-6</v>
      </c>
      <c r="I2195">
        <v>217.4588</v>
      </c>
      <c r="J2195">
        <v>-406.70370000000003</v>
      </c>
      <c r="K2195">
        <v>1.1064879999999999</v>
      </c>
      <c r="L2195">
        <v>215.33709999999999</v>
      </c>
      <c r="M2195">
        <v>0.99986240000000004</v>
      </c>
      <c r="N2195">
        <v>-9.3719739999999999E-3</v>
      </c>
      <c r="O2195">
        <v>-1.369591E-2</v>
      </c>
      <c r="P2195">
        <v>0.99287210000000004</v>
      </c>
      <c r="Q2195">
        <v>-0.1013179</v>
      </c>
      <c r="R2195">
        <v>6.2770279999999998E-2</v>
      </c>
      <c r="S2195">
        <v>2.9961850000000001</v>
      </c>
      <c r="T2195">
        <v>-0.1131737</v>
      </c>
      <c r="U2195">
        <v>0.21638489999999999</v>
      </c>
      <c r="V2195">
        <v>-7.6720849999999993E-2</v>
      </c>
      <c r="W2195">
        <v>-9.1719620000000002E-2</v>
      </c>
      <c r="X2195">
        <v>0.99282499999999996</v>
      </c>
      <c r="Y2195">
        <v>-8.5605319999999999E-2</v>
      </c>
      <c r="Z2195">
        <v>2.4043250000000001E-3</v>
      </c>
      <c r="AA2195">
        <v>0.99632619999999905</v>
      </c>
      <c r="AB2195">
        <v>43</v>
      </c>
      <c r="AC2195">
        <v>28.859500000000001</v>
      </c>
      <c r="AD2195">
        <v>-1.106485362488</v>
      </c>
      <c r="AE2195">
        <v>2.1217000000000001</v>
      </c>
      <c r="AF2195">
        <v>-2.51310104157601</v>
      </c>
      <c r="AG2195">
        <v>-1.106485362488</v>
      </c>
      <c r="AH2195">
        <v>28.785645976196101</v>
      </c>
      <c r="AI2195">
        <v>92.192963310335401</v>
      </c>
      <c r="AJ2195">
        <v>94.989497796471099</v>
      </c>
      <c r="AK2195">
        <v>28.916317209656299</v>
      </c>
      <c r="AL2195">
        <v>95.262543148887701</v>
      </c>
      <c r="AM2195">
        <v>94.418767014343899</v>
      </c>
      <c r="AN2195">
        <v>1.00000002907133</v>
      </c>
    </row>
    <row r="2196" spans="1:40" x14ac:dyDescent="0.25">
      <c r="A2196" t="str">
        <f>"20190305135628002"</f>
        <v>20190305135628002</v>
      </c>
      <c r="B2196" t="str">
        <f>"1551765387993950"</f>
        <v>1551765387993950</v>
      </c>
      <c r="C2196" t="s">
        <v>40</v>
      </c>
      <c r="D2196">
        <v>4.3852710000000004</v>
      </c>
      <c r="E2196">
        <v>0.49764839999999999</v>
      </c>
      <c r="F2196" t="s">
        <v>55</v>
      </c>
      <c r="G2196">
        <v>-378.28539999999998</v>
      </c>
      <c r="H2196" s="1">
        <v>2.8722709999999998E-6</v>
      </c>
      <c r="I2196">
        <v>217.38679999999999</v>
      </c>
      <c r="J2196">
        <v>-406.26859999999999</v>
      </c>
      <c r="K2196">
        <v>1.1065449999999999</v>
      </c>
      <c r="L2196">
        <v>215.33029999999999</v>
      </c>
      <c r="M2196">
        <v>0.99984629999999997</v>
      </c>
      <c r="N2196">
        <v>-9.2866430000000007E-3</v>
      </c>
      <c r="O2196">
        <v>-1.4866860000000001E-2</v>
      </c>
      <c r="P2196">
        <v>0.99306950000000005</v>
      </c>
      <c r="Q2196">
        <v>-0.1004814</v>
      </c>
      <c r="R2196">
        <v>6.0966699999999902E-2</v>
      </c>
      <c r="S2196">
        <v>2.9960019999999998</v>
      </c>
      <c r="T2196">
        <v>-0.1166512</v>
      </c>
      <c r="U2196">
        <v>0.21609500000000001</v>
      </c>
      <c r="V2196">
        <v>-7.606512E-2</v>
      </c>
      <c r="W2196">
        <v>-9.0980829999999999E-2</v>
      </c>
      <c r="X2196">
        <v>0.99294340000000003</v>
      </c>
      <c r="Y2196">
        <v>-8.6674409999999993E-2</v>
      </c>
      <c r="Z2196">
        <v>2.5278219999999999E-3</v>
      </c>
      <c r="AA2196">
        <v>0.99623349999999999</v>
      </c>
      <c r="AB2196">
        <v>44</v>
      </c>
      <c r="AC2196">
        <v>27.9832</v>
      </c>
      <c r="AD2196">
        <v>-1.106542127729</v>
      </c>
      <c r="AE2196">
        <v>2.0565000000000002</v>
      </c>
      <c r="AF2196">
        <v>-2.4684738716994801</v>
      </c>
      <c r="AG2196">
        <v>-1.106542127729</v>
      </c>
      <c r="AH2196">
        <v>27.9061308923716</v>
      </c>
      <c r="AI2196">
        <v>92.261896887527499</v>
      </c>
      <c r="AJ2196">
        <v>95.055017307216403</v>
      </c>
      <c r="AK2196">
        <v>28.036938850699801</v>
      </c>
      <c r="AL2196">
        <v>95.2200359971838</v>
      </c>
      <c r="AM2196">
        <v>94.380627283516702</v>
      </c>
      <c r="AN2196">
        <v>1.00000000475583</v>
      </c>
    </row>
    <row r="2197" spans="1:40" x14ac:dyDescent="0.25">
      <c r="A2197" t="str">
        <f>"20190305135628025"</f>
        <v>20190305135628025</v>
      </c>
      <c r="B2197" t="str">
        <f>"1551765388014446"</f>
        <v>1551765388014446</v>
      </c>
      <c r="C2197" t="s">
        <v>40</v>
      </c>
      <c r="D2197">
        <v>4.3761549999999998</v>
      </c>
      <c r="E2197">
        <v>0.49754510000000002</v>
      </c>
      <c r="F2197" t="s">
        <v>55</v>
      </c>
      <c r="G2197">
        <v>-377.50830000000002</v>
      </c>
      <c r="H2197" s="1">
        <v>2.458768E-6</v>
      </c>
      <c r="I2197">
        <v>217.37870000000001</v>
      </c>
      <c r="J2197">
        <v>-405.82220000000001</v>
      </c>
      <c r="K2197">
        <v>1.106622</v>
      </c>
      <c r="L2197">
        <v>215.3229</v>
      </c>
      <c r="M2197">
        <v>0.99983029999999995</v>
      </c>
      <c r="N2197">
        <v>-9.2106700000000007E-3</v>
      </c>
      <c r="O2197">
        <v>-1.5957599999999999E-2</v>
      </c>
      <c r="P2197">
        <v>0.99306399999999995</v>
      </c>
      <c r="Q2197">
        <v>-0.1013878</v>
      </c>
      <c r="R2197">
        <v>5.953613E-2</v>
      </c>
      <c r="S2197">
        <v>2.9961850000000001</v>
      </c>
      <c r="T2197">
        <v>-0.1152774</v>
      </c>
      <c r="U2197">
        <v>0.21339420000000001</v>
      </c>
      <c r="V2197">
        <v>-7.5701610000000003E-2</v>
      </c>
      <c r="W2197">
        <v>-9.1979889999999995E-2</v>
      </c>
      <c r="X2197">
        <v>0.99287919999999996</v>
      </c>
      <c r="Y2197">
        <v>-8.6864759999999999E-2</v>
      </c>
      <c r="Z2197">
        <v>2.5353480000000002E-3</v>
      </c>
      <c r="AA2197">
        <v>0.99621689999999996</v>
      </c>
      <c r="AB2197">
        <v>44</v>
      </c>
      <c r="AC2197">
        <v>28.313899999999901</v>
      </c>
      <c r="AD2197">
        <v>-1.1066195412319999</v>
      </c>
      <c r="AE2197">
        <v>2.0558000000000001</v>
      </c>
      <c r="AF2197">
        <v>-2.5035749474602702</v>
      </c>
      <c r="AG2197">
        <v>-1.1066195412319999</v>
      </c>
      <c r="AH2197">
        <v>28.234583704444201</v>
      </c>
      <c r="AI2197">
        <v>92.235725312291507</v>
      </c>
      <c r="AJ2197">
        <v>95.067193540824306</v>
      </c>
      <c r="AK2197">
        <v>28.3669563275628</v>
      </c>
      <c r="AL2197">
        <v>95.277518609196605</v>
      </c>
      <c r="AM2197">
        <v>94.360054291349897</v>
      </c>
      <c r="AN2197">
        <v>1.0000000698568099</v>
      </c>
    </row>
    <row r="2198" spans="1:40" x14ac:dyDescent="0.25">
      <c r="A2198" t="str">
        <f>"20190305135628047"</f>
        <v>20190305135628047</v>
      </c>
      <c r="B2198" t="str">
        <f>"1551765388044702"</f>
        <v>1551765388044702</v>
      </c>
      <c r="C2198" t="s">
        <v>40</v>
      </c>
      <c r="D2198">
        <v>4.3603839999999998</v>
      </c>
      <c r="E2198">
        <v>0.49719219999999997</v>
      </c>
      <c r="F2198" t="s">
        <v>55</v>
      </c>
      <c r="G2198">
        <v>-378.00510000000003</v>
      </c>
      <c r="H2198" s="1">
        <v>2.7231010000000001E-6</v>
      </c>
      <c r="I2198">
        <v>217.2705</v>
      </c>
      <c r="J2198">
        <v>-405.3877</v>
      </c>
      <c r="K2198">
        <v>1.1067129999999901</v>
      </c>
      <c r="L2198">
        <v>215.31540000000001</v>
      </c>
      <c r="M2198">
        <v>0.99981540000000002</v>
      </c>
      <c r="N2198">
        <v>-9.1468829999999997E-3</v>
      </c>
      <c r="O2198">
        <v>-1.6897780000000001E-2</v>
      </c>
      <c r="P2198">
        <v>0.99310200000000004</v>
      </c>
      <c r="Q2198">
        <v>-0.1017747</v>
      </c>
      <c r="R2198">
        <v>5.8226460000000001E-2</v>
      </c>
      <c r="S2198">
        <v>2.996216</v>
      </c>
      <c r="T2198">
        <v>-0.1191952</v>
      </c>
      <c r="U2198">
        <v>0.20977779999999999</v>
      </c>
      <c r="V2198">
        <v>-7.5304899999999994E-2</v>
      </c>
      <c r="W2198">
        <v>-9.2449550000000005E-2</v>
      </c>
      <c r="X2198">
        <v>0.99286569999999996</v>
      </c>
      <c r="Y2198">
        <v>-8.6598720000000004E-2</v>
      </c>
      <c r="Z2198">
        <v>2.6333900000000002E-3</v>
      </c>
      <c r="AA2198">
        <v>0.99623980000000001</v>
      </c>
      <c r="AB2198">
        <v>44</v>
      </c>
      <c r="AC2198">
        <v>27.382599999999901</v>
      </c>
      <c r="AD2198">
        <v>-1.10671027689899</v>
      </c>
      <c r="AE2198">
        <v>1.9550999999999801</v>
      </c>
      <c r="AF2198">
        <v>-2.4136226822023401</v>
      </c>
      <c r="AG2198">
        <v>-1.10671027689899</v>
      </c>
      <c r="AH2198">
        <v>27.301281432343799</v>
      </c>
      <c r="AI2198">
        <v>92.312315511417907</v>
      </c>
      <c r="AJ2198">
        <v>95.052209391557398</v>
      </c>
      <c r="AK2198">
        <v>27.4300993424573</v>
      </c>
      <c r="AL2198">
        <v>95.304543542216607</v>
      </c>
      <c r="AM2198">
        <v>94.337351840457799</v>
      </c>
      <c r="AN2198">
        <v>1.00000002274785</v>
      </c>
    </row>
    <row r="2199" spans="1:40" x14ac:dyDescent="0.25">
      <c r="A2199" t="str">
        <f>"20190305135628070"</f>
        <v>20190305135628070</v>
      </c>
      <c r="B2199" t="str">
        <f>"1551765388064222"</f>
        <v>1551765388064222</v>
      </c>
      <c r="C2199" t="s">
        <v>40</v>
      </c>
      <c r="D2199">
        <v>4.5411299999999999</v>
      </c>
      <c r="E2199">
        <v>0.49702869999999999</v>
      </c>
      <c r="F2199" t="s">
        <v>55</v>
      </c>
      <c r="G2199">
        <v>-378.13290000000001</v>
      </c>
      <c r="H2199" s="1">
        <v>2.7911190000000002E-6</v>
      </c>
      <c r="I2199">
        <v>217.21520000000001</v>
      </c>
      <c r="J2199">
        <v>-404.9556</v>
      </c>
      <c r="K2199">
        <v>1.1068199999999999</v>
      </c>
      <c r="L2199">
        <v>215.30760000000001</v>
      </c>
      <c r="M2199">
        <v>0.99980179999999996</v>
      </c>
      <c r="N2199">
        <v>-9.0925580000000006E-3</v>
      </c>
      <c r="O2199">
        <v>-1.7712760000000001E-2</v>
      </c>
      <c r="P2199">
        <v>0.99318220000000002</v>
      </c>
      <c r="Q2199">
        <v>-0.10124759999999999</v>
      </c>
      <c r="R2199">
        <v>5.7776139999999997E-2</v>
      </c>
      <c r="S2199">
        <v>2.996124</v>
      </c>
      <c r="T2199">
        <v>-0.1216608</v>
      </c>
      <c r="U2199">
        <v>0.208847</v>
      </c>
      <c r="V2199">
        <v>-7.5639010000000007E-2</v>
      </c>
      <c r="W2199">
        <v>-9.1994870000000006E-2</v>
      </c>
      <c r="X2199">
        <v>0.9928825</v>
      </c>
      <c r="Y2199">
        <v>-8.7100449999999996E-2</v>
      </c>
      <c r="Z2199">
        <v>2.7195750000000001E-3</v>
      </c>
      <c r="AA2199">
        <v>0.99619579999999996</v>
      </c>
      <c r="AB2199">
        <v>44</v>
      </c>
      <c r="AC2199">
        <v>26.822700000000001</v>
      </c>
      <c r="AD2199">
        <v>-1.106817208881</v>
      </c>
      <c r="AE2199">
        <v>1.9076</v>
      </c>
      <c r="AF2199">
        <v>-2.3783949860562799</v>
      </c>
      <c r="AG2199">
        <v>-1.106817208881</v>
      </c>
      <c r="AH2199">
        <v>26.739400403151301</v>
      </c>
      <c r="AI2199">
        <v>92.360966047950498</v>
      </c>
      <c r="AJ2199">
        <v>95.082923037624894</v>
      </c>
      <c r="AK2199">
        <v>26.867775139814199</v>
      </c>
      <c r="AL2199">
        <v>95.278380991027902</v>
      </c>
      <c r="AM2199">
        <v>94.356448289855194</v>
      </c>
      <c r="AN2199">
        <v>0.99999998737317297</v>
      </c>
    </row>
    <row r="2200" spans="1:40" x14ac:dyDescent="0.25">
      <c r="A2200" t="str">
        <f>"20190305135628092"</f>
        <v>20190305135628092</v>
      </c>
      <c r="B2200" t="str">
        <f>"1551765388084718"</f>
        <v>1551765388084718</v>
      </c>
      <c r="C2200" t="s">
        <v>40</v>
      </c>
      <c r="D2200">
        <v>4.3999379999999997</v>
      </c>
      <c r="E2200">
        <v>0.49680930000000001</v>
      </c>
      <c r="F2200" t="s">
        <v>55</v>
      </c>
      <c r="G2200">
        <v>-377.61259999999999</v>
      </c>
      <c r="H2200" s="1">
        <v>2.5142800000000001E-6</v>
      </c>
      <c r="I2200">
        <v>217.21469999999999</v>
      </c>
      <c r="J2200">
        <v>-404.50990000000002</v>
      </c>
      <c r="K2200">
        <v>1.1069310000000001</v>
      </c>
      <c r="L2200">
        <v>215.29920000000001</v>
      </c>
      <c r="M2200">
        <v>0.99978920000000004</v>
      </c>
      <c r="N2200">
        <v>-9.0454119999999992E-3</v>
      </c>
      <c r="O2200">
        <v>-1.842835E-2</v>
      </c>
      <c r="P2200">
        <v>0.9932839</v>
      </c>
      <c r="Q2200">
        <v>-0.100658</v>
      </c>
      <c r="R2200">
        <v>5.7053710000000001E-2</v>
      </c>
      <c r="S2200">
        <v>2.9960629999999999</v>
      </c>
      <c r="T2200">
        <v>-0.1212777</v>
      </c>
      <c r="U2200">
        <v>0.20896909999999999</v>
      </c>
      <c r="V2200">
        <v>-7.5601970000000004E-2</v>
      </c>
      <c r="W2200">
        <v>-9.1472230000000002E-2</v>
      </c>
      <c r="X2200">
        <v>0.99293359999999997</v>
      </c>
      <c r="Y2200">
        <v>-8.7854730000000006E-2</v>
      </c>
      <c r="Z2200">
        <v>2.7517040000000002E-3</v>
      </c>
      <c r="AA2200">
        <v>0.9961295</v>
      </c>
      <c r="AB2200">
        <v>44</v>
      </c>
      <c r="AC2200">
        <v>26.897300000000001</v>
      </c>
      <c r="AD2200">
        <v>-1.1069284857199999</v>
      </c>
      <c r="AE2200">
        <v>1.91549999999998</v>
      </c>
      <c r="AF2200">
        <v>-2.40681214976262</v>
      </c>
      <c r="AG2200">
        <v>-1.1069284857199999</v>
      </c>
      <c r="AH2200">
        <v>26.8122498455743</v>
      </c>
      <c r="AI2200">
        <v>92.354624341759006</v>
      </c>
      <c r="AJ2200">
        <v>95.129430304118102</v>
      </c>
      <c r="AK2200">
        <v>26.942805666415801</v>
      </c>
      <c r="AL2200">
        <v>95.248309165616902</v>
      </c>
      <c r="AM2200">
        <v>94.354099940513805</v>
      </c>
      <c r="AN2200">
        <v>0.99999998036900595</v>
      </c>
    </row>
    <row r="2201" spans="1:40" x14ac:dyDescent="0.25">
      <c r="A2201" t="str">
        <f>"20190305135628115"</f>
        <v>20190305135628115</v>
      </c>
      <c r="B2201" t="str">
        <f>"1551765388104238"</f>
        <v>1551765388104238</v>
      </c>
      <c r="C2201" t="s">
        <v>40</v>
      </c>
      <c r="D2201">
        <v>4.3854930000000003</v>
      </c>
      <c r="E2201">
        <v>0.49667709999999998</v>
      </c>
      <c r="F2201" t="s">
        <v>55</v>
      </c>
      <c r="G2201">
        <v>-376.85640000000001</v>
      </c>
      <c r="H2201" s="1">
        <v>2.1118639999999999E-6</v>
      </c>
      <c r="I2201">
        <v>217.22380000000001</v>
      </c>
      <c r="J2201">
        <v>-404.04829999999998</v>
      </c>
      <c r="K2201">
        <v>1.107027</v>
      </c>
      <c r="L2201">
        <v>215.2902</v>
      </c>
      <c r="M2201">
        <v>0.99977769999999999</v>
      </c>
      <c r="N2201">
        <v>-9.0044770000000003E-3</v>
      </c>
      <c r="O2201">
        <v>-1.9069969999999999E-2</v>
      </c>
      <c r="P2201">
        <v>0.99331519999999995</v>
      </c>
      <c r="Q2201">
        <v>-0.1004244</v>
      </c>
      <c r="R2201">
        <v>5.6923269999999998E-2</v>
      </c>
      <c r="S2201">
        <v>2.9961549999999999</v>
      </c>
      <c r="T2201">
        <v>-0.11993180000000001</v>
      </c>
      <c r="U2201">
        <v>0.20852660000000001</v>
      </c>
      <c r="V2201">
        <v>-7.6085169999999994E-2</v>
      </c>
      <c r="W2201">
        <v>-9.1297600000000007E-2</v>
      </c>
      <c r="X2201">
        <v>0.99291280000000004</v>
      </c>
      <c r="Y2201">
        <v>-8.8346750000000002E-2</v>
      </c>
      <c r="Z2201">
        <v>2.75457E-3</v>
      </c>
      <c r="AA2201">
        <v>0.99608600000000003</v>
      </c>
      <c r="AB2201">
        <v>44</v>
      </c>
      <c r="AC2201">
        <v>27.191899999999901</v>
      </c>
      <c r="AD2201">
        <v>-1.1070248881360001</v>
      </c>
      <c r="AE2201">
        <v>1.93360000000001</v>
      </c>
      <c r="AF2201">
        <v>-2.4477814205135702</v>
      </c>
      <c r="AG2201">
        <v>-1.1070248881360001</v>
      </c>
      <c r="AH2201">
        <v>27.105380316253701</v>
      </c>
      <c r="AI2201">
        <v>92.329278773363001</v>
      </c>
      <c r="AJ2201">
        <v>95.160161894766603</v>
      </c>
      <c r="AK2201">
        <v>27.238186064316402</v>
      </c>
      <c r="AL2201">
        <v>95.238261370190898</v>
      </c>
      <c r="AM2201">
        <v>94.381911989883307</v>
      </c>
      <c r="AN2201">
        <v>1.00000001663176</v>
      </c>
    </row>
    <row r="2202" spans="1:40" x14ac:dyDescent="0.25">
      <c r="A2202" t="str">
        <f>"20190305135628140"</f>
        <v>20190305135628140</v>
      </c>
      <c r="B2202" t="str">
        <f>"1551765388134493"</f>
        <v>1551765388134493</v>
      </c>
      <c r="C2202" t="s">
        <v>40</v>
      </c>
      <c r="D2202">
        <v>4.3875919999999997</v>
      </c>
      <c r="E2202">
        <v>0.49630590000000002</v>
      </c>
      <c r="F2202" t="s">
        <v>55</v>
      </c>
      <c r="G2202">
        <v>-376.4461</v>
      </c>
      <c r="H2202" s="1">
        <v>1.893523E-6</v>
      </c>
      <c r="I2202">
        <v>217.22120000000001</v>
      </c>
      <c r="J2202">
        <v>-403.57530000000003</v>
      </c>
      <c r="K2202">
        <v>1.1071150000000001</v>
      </c>
      <c r="L2202">
        <v>215.2808</v>
      </c>
      <c r="M2202">
        <v>0.99976699999999996</v>
      </c>
      <c r="N2202">
        <v>-8.9692490000000003E-3</v>
      </c>
      <c r="O2202">
        <v>-1.9642079999999999E-2</v>
      </c>
      <c r="P2202">
        <v>0.99333970000000005</v>
      </c>
      <c r="Q2202">
        <v>-9.9796670000000004E-2</v>
      </c>
      <c r="R2202">
        <v>5.759616E-2</v>
      </c>
      <c r="S2202">
        <v>2.9960629999999999</v>
      </c>
      <c r="T2202">
        <v>-0.1201615</v>
      </c>
      <c r="U2202">
        <v>0.20959469999999999</v>
      </c>
      <c r="V2202">
        <v>-7.7303140000000006E-2</v>
      </c>
      <c r="W2202">
        <v>-9.0719820000000007E-2</v>
      </c>
      <c r="X2202">
        <v>0.99287159999999997</v>
      </c>
      <c r="Y2202">
        <v>-8.9270710000000003E-2</v>
      </c>
      <c r="Z2202">
        <v>2.7990129999999999E-3</v>
      </c>
      <c r="AA2202">
        <v>0.99600339999999998</v>
      </c>
      <c r="AB2202">
        <v>44</v>
      </c>
      <c r="AC2202">
        <v>27.129200000000001</v>
      </c>
      <c r="AD2202">
        <v>-1.1071131064769999</v>
      </c>
      <c r="AE2202">
        <v>1.9404000000000099</v>
      </c>
      <c r="AF2202">
        <v>-2.4688303058619399</v>
      </c>
      <c r="AG2202">
        <v>-1.1071131064769999</v>
      </c>
      <c r="AH2202">
        <v>27.041046613972501</v>
      </c>
      <c r="AI2202">
        <v>92.334791488117105</v>
      </c>
      <c r="AJ2202">
        <v>95.216605731292404</v>
      </c>
      <c r="AK2202">
        <v>27.1760744863696</v>
      </c>
      <c r="AL2202">
        <v>95.205019474698901</v>
      </c>
      <c r="AM2202">
        <v>94.451961778862398</v>
      </c>
      <c r="AN2202">
        <v>0.999999937640624</v>
      </c>
    </row>
    <row r="2203" spans="1:40" x14ac:dyDescent="0.25">
      <c r="A2203" t="str">
        <f>"20190305135628159"</f>
        <v>20190305135628159</v>
      </c>
      <c r="B2203" t="str">
        <f>"1551765388154015"</f>
        <v>1551765388154015</v>
      </c>
      <c r="C2203" t="s">
        <v>40</v>
      </c>
      <c r="D2203">
        <v>4.4171180000000003</v>
      </c>
      <c r="E2203">
        <v>0.49607800000000002</v>
      </c>
      <c r="F2203" t="s">
        <v>55</v>
      </c>
      <c r="G2203">
        <v>-375.77820000000003</v>
      </c>
      <c r="H2203" s="1">
        <v>1.538103E-6</v>
      </c>
      <c r="I2203">
        <v>217.2713</v>
      </c>
      <c r="J2203">
        <v>-403.18819999999999</v>
      </c>
      <c r="K2203">
        <v>1.1071709999999999</v>
      </c>
      <c r="L2203">
        <v>215.273</v>
      </c>
      <c r="M2203">
        <v>0.99975890000000001</v>
      </c>
      <c r="N2203">
        <v>-8.9450309999999904E-3</v>
      </c>
      <c r="O2203">
        <v>-2.0060169999999999E-2</v>
      </c>
      <c r="P2203">
        <v>0.9933014</v>
      </c>
      <c r="Q2203">
        <v>-9.9327650000000003E-2</v>
      </c>
      <c r="R2203">
        <v>5.9048080000000003E-2</v>
      </c>
      <c r="S2203">
        <v>2.9956670000000001</v>
      </c>
      <c r="T2203">
        <v>-0.1193125</v>
      </c>
      <c r="U2203">
        <v>0.21450810000000001</v>
      </c>
      <c r="V2203">
        <v>-7.9153050000000003E-2</v>
      </c>
      <c r="W2203">
        <v>-9.0284439999999994E-2</v>
      </c>
      <c r="X2203">
        <v>0.99276560000000003</v>
      </c>
      <c r="Y2203">
        <v>-9.1320780000000004E-2</v>
      </c>
      <c r="Z2203">
        <v>2.8432930000000002E-3</v>
      </c>
      <c r="AA2203">
        <v>0.99581750000000002</v>
      </c>
      <c r="AB2203">
        <v>44</v>
      </c>
      <c r="AC2203">
        <v>27.409999999999901</v>
      </c>
      <c r="AD2203">
        <v>-1.1071694618969901</v>
      </c>
      <c r="AE2203">
        <v>1.9983</v>
      </c>
      <c r="AF2203">
        <v>-2.5436408115664801</v>
      </c>
      <c r="AG2203">
        <v>-1.1071694618969901</v>
      </c>
      <c r="AH2203">
        <v>27.320056760206601</v>
      </c>
      <c r="AI2203">
        <v>92.310709451546202</v>
      </c>
      <c r="AJ2203">
        <v>95.319203453099703</v>
      </c>
      <c r="AK2203">
        <v>27.460543224352602</v>
      </c>
      <c r="AL2203">
        <v>95.179970864098195</v>
      </c>
      <c r="AM2203">
        <v>94.558540771195894</v>
      </c>
      <c r="AN2203">
        <v>1.0000000109868801</v>
      </c>
    </row>
    <row r="2204" spans="1:40" x14ac:dyDescent="0.25">
      <c r="A2204" t="str">
        <f>"20190305135628181"</f>
        <v>20190305135628181</v>
      </c>
      <c r="B2204" t="str">
        <f>"1551765388174510"</f>
        <v>1551765388174510</v>
      </c>
      <c r="C2204" t="s">
        <v>40</v>
      </c>
      <c r="D2204">
        <v>4.6234149999999996</v>
      </c>
      <c r="E2204">
        <v>0.49597469999999999</v>
      </c>
      <c r="F2204" t="s">
        <v>55</v>
      </c>
      <c r="G2204">
        <v>-375.21870000000001</v>
      </c>
      <c r="H2204" s="1">
        <v>1.240316E-6</v>
      </c>
      <c r="I2204">
        <v>217.33590000000001</v>
      </c>
      <c r="J2204">
        <v>-402.75810000000001</v>
      </c>
      <c r="K2204">
        <v>1.107232</v>
      </c>
      <c r="L2204">
        <v>215.26400000000001</v>
      </c>
      <c r="M2204">
        <v>0.99975040000000004</v>
      </c>
      <c r="N2204">
        <v>-8.9223959999999904E-3</v>
      </c>
      <c r="O2204">
        <v>-2.0487379999999999E-2</v>
      </c>
      <c r="P2204">
        <v>0.99325730000000001</v>
      </c>
      <c r="Q2204">
        <v>-9.9254060000000005E-2</v>
      </c>
      <c r="R2204">
        <v>5.9904369999999998E-2</v>
      </c>
      <c r="S2204">
        <v>2.9952390000000002</v>
      </c>
      <c r="T2204">
        <v>-0.118566</v>
      </c>
      <c r="U2204">
        <v>0.22091669999999999</v>
      </c>
      <c r="V2204">
        <v>-8.0418180000000006E-2</v>
      </c>
      <c r="W2204">
        <v>-9.0244030000000003E-2</v>
      </c>
      <c r="X2204">
        <v>0.99266759999999998</v>
      </c>
      <c r="Y2204">
        <v>-9.387413E-2</v>
      </c>
      <c r="Z2204">
        <v>2.9015320000000001E-3</v>
      </c>
      <c r="AA2204">
        <v>0.99557980000000001</v>
      </c>
      <c r="AB2204">
        <v>44</v>
      </c>
      <c r="AC2204">
        <v>27.539400000000001</v>
      </c>
      <c r="AD2204">
        <v>-1.1072307596840001</v>
      </c>
      <c r="AE2204">
        <v>2.0718999999999901</v>
      </c>
      <c r="AF2204">
        <v>-2.63146790750418</v>
      </c>
      <c r="AG2204">
        <v>-1.1072307596840001</v>
      </c>
      <c r="AH2204">
        <v>27.447052260378801</v>
      </c>
      <c r="AI2204">
        <v>92.299560888740601</v>
      </c>
      <c r="AJ2204">
        <v>95.476456085344793</v>
      </c>
      <c r="AK2204">
        <v>27.595131111980301</v>
      </c>
      <c r="AL2204">
        <v>95.177646023561294</v>
      </c>
      <c r="AM2204">
        <v>94.631542233586302</v>
      </c>
      <c r="AN2204">
        <v>1.0000000163574501</v>
      </c>
    </row>
    <row r="2205" spans="1:40" x14ac:dyDescent="0.25">
      <c r="A2205" t="str">
        <f>"20190305135628203"</f>
        <v>20190305135628203</v>
      </c>
      <c r="B2205" t="str">
        <f>"1551765388194031"</f>
        <v>1551765388194031</v>
      </c>
      <c r="C2205" t="s">
        <v>40</v>
      </c>
      <c r="D2205">
        <v>4.3322339999999997</v>
      </c>
      <c r="E2205">
        <v>0.49572290000000002</v>
      </c>
      <c r="F2205" t="s">
        <v>55</v>
      </c>
      <c r="G2205">
        <v>-374.97230000000002</v>
      </c>
      <c r="H2205" s="1">
        <v>1.109196E-6</v>
      </c>
      <c r="I2205">
        <v>217.34350000000001</v>
      </c>
      <c r="J2205">
        <v>-402.30799999999999</v>
      </c>
      <c r="K2205">
        <v>1.1072850000000001</v>
      </c>
      <c r="L2205">
        <v>215.25450000000001</v>
      </c>
      <c r="M2205">
        <v>0.99974189999999996</v>
      </c>
      <c r="N2205">
        <v>-8.9027729999999992E-3</v>
      </c>
      <c r="O2205">
        <v>-2.090792E-2</v>
      </c>
      <c r="P2205">
        <v>0.99322639999999995</v>
      </c>
      <c r="Q2205">
        <v>-9.8772399999999996E-2</v>
      </c>
      <c r="R2205">
        <v>6.1198589999999997E-2</v>
      </c>
      <c r="S2205">
        <v>2.9949650000000001</v>
      </c>
      <c r="T2205">
        <v>-0.1193458</v>
      </c>
      <c r="U2205">
        <v>0.22413640000000001</v>
      </c>
      <c r="V2205">
        <v>-8.2115519999999997E-2</v>
      </c>
      <c r="W2205">
        <v>-8.9790819999999993E-2</v>
      </c>
      <c r="X2205">
        <v>0.9925697</v>
      </c>
      <c r="Y2205">
        <v>-9.5361009999999996E-2</v>
      </c>
      <c r="Z2205">
        <v>2.9678859999999999E-3</v>
      </c>
      <c r="AA2205">
        <v>0.9954383</v>
      </c>
      <c r="AB2205">
        <v>44</v>
      </c>
      <c r="AC2205">
        <v>27.335699999999999</v>
      </c>
      <c r="AD2205">
        <v>-1.1072838908039999</v>
      </c>
      <c r="AE2205">
        <v>2.0889999999999902</v>
      </c>
      <c r="AF2205">
        <v>-2.65576622391182</v>
      </c>
      <c r="AG2205">
        <v>-1.1072838908039999</v>
      </c>
      <c r="AH2205">
        <v>27.241607023623502</v>
      </c>
      <c r="AI2205">
        <v>92.316637469098296</v>
      </c>
      <c r="AJ2205">
        <v>95.568131919654803</v>
      </c>
      <c r="AK2205">
        <v>27.3931437604456</v>
      </c>
      <c r="AL2205">
        <v>95.151573342150698</v>
      </c>
      <c r="AM2205">
        <v>94.7293230430883</v>
      </c>
      <c r="AN2205">
        <v>0.99999997966961596</v>
      </c>
    </row>
    <row r="2206" spans="1:40" x14ac:dyDescent="0.25">
      <c r="A2206" t="str">
        <f>"20190305135628227"</f>
        <v>20190305135628227</v>
      </c>
      <c r="B2206" t="str">
        <f>"1551765388224286"</f>
        <v>1551765388224286</v>
      </c>
      <c r="C2206" t="s">
        <v>40</v>
      </c>
      <c r="D2206">
        <v>4.4059410000000003</v>
      </c>
      <c r="E2206">
        <v>0.49541960000000002</v>
      </c>
      <c r="F2206" t="s">
        <v>55</v>
      </c>
      <c r="G2206">
        <v>-374.52659999999997</v>
      </c>
      <c r="H2206" s="1">
        <v>8.7201140000000003E-7</v>
      </c>
      <c r="I2206">
        <v>217.38679999999999</v>
      </c>
      <c r="J2206">
        <v>-401.85270000000003</v>
      </c>
      <c r="K2206">
        <v>1.1073329999999999</v>
      </c>
      <c r="L2206">
        <v>215.24469999999999</v>
      </c>
      <c r="M2206">
        <v>0.99973330000000005</v>
      </c>
      <c r="N2206">
        <v>-8.8866129999999998E-3</v>
      </c>
      <c r="O2206">
        <v>-2.131833E-2</v>
      </c>
      <c r="P2206">
        <v>0.99320560000000002</v>
      </c>
      <c r="Q2206">
        <v>-9.8475759999999996E-2</v>
      </c>
      <c r="R2206">
        <v>6.2010469999999998E-2</v>
      </c>
      <c r="S2206">
        <v>2.9943849999999999</v>
      </c>
      <c r="T2206">
        <v>-0.1193471</v>
      </c>
      <c r="U2206">
        <v>0.2298279</v>
      </c>
      <c r="V2206">
        <v>-8.3322030000000005E-2</v>
      </c>
      <c r="W2206">
        <v>-8.9518780000000006E-2</v>
      </c>
      <c r="X2206">
        <v>0.99249370000000003</v>
      </c>
      <c r="Y2206">
        <v>-9.7662570000000004E-2</v>
      </c>
      <c r="Z2206">
        <v>3.0365800000000001E-3</v>
      </c>
      <c r="AA2206">
        <v>0.99521490000000001</v>
      </c>
      <c r="AB2206">
        <v>44</v>
      </c>
      <c r="AC2206">
        <v>27.3261</v>
      </c>
      <c r="AD2206">
        <v>-1.1073321279885999</v>
      </c>
      <c r="AE2206">
        <v>2.1420999999999899</v>
      </c>
      <c r="AF2206">
        <v>-2.71974410855834</v>
      </c>
      <c r="AG2206">
        <v>-1.1073321279885999</v>
      </c>
      <c r="AH2206">
        <v>27.229780523439999</v>
      </c>
      <c r="AI2206">
        <v>92.317202233334896</v>
      </c>
      <c r="AJ2206">
        <v>95.703855700936401</v>
      </c>
      <c r="AK2206">
        <v>27.387664007951201</v>
      </c>
      <c r="AL2206">
        <v>95.135923683252898</v>
      </c>
      <c r="AM2206">
        <v>94.798853812775306</v>
      </c>
      <c r="AN2206">
        <v>0.99999995859784796</v>
      </c>
    </row>
    <row r="2207" spans="1:40" x14ac:dyDescent="0.25">
      <c r="A2207" t="str">
        <f>"20190305135628248"</f>
        <v>20190305135628248</v>
      </c>
      <c r="B2207" t="str">
        <f>"1551765388244782"</f>
        <v>1551765388244782</v>
      </c>
      <c r="C2207" t="s">
        <v>40</v>
      </c>
      <c r="D2207">
        <v>4.5114960000000002</v>
      </c>
      <c r="E2207">
        <v>0.49526940000000003</v>
      </c>
      <c r="F2207" t="s">
        <v>55</v>
      </c>
      <c r="G2207">
        <v>-374.17500000000001</v>
      </c>
      <c r="H2207" s="1">
        <v>6.8494749999999898E-7</v>
      </c>
      <c r="I2207">
        <v>217.4118</v>
      </c>
      <c r="J2207">
        <v>-401.42910000000001</v>
      </c>
      <c r="K2207">
        <v>1.1073729999999999</v>
      </c>
      <c r="L2207">
        <v>215.2353</v>
      </c>
      <c r="M2207">
        <v>0.99972550000000004</v>
      </c>
      <c r="N2207">
        <v>-8.8746859999999997E-3</v>
      </c>
      <c r="O2207">
        <v>-2.1693730000000001E-2</v>
      </c>
      <c r="P2207">
        <v>0.99322759999999999</v>
      </c>
      <c r="Q2207">
        <v>-9.7675159999999997E-2</v>
      </c>
      <c r="R2207">
        <v>6.2917929999999997E-2</v>
      </c>
      <c r="S2207">
        <v>2.994049</v>
      </c>
      <c r="T2207">
        <v>-0.1197864</v>
      </c>
      <c r="U2207">
        <v>0.23443600000000001</v>
      </c>
      <c r="V2207">
        <v>-8.4591979999999997E-2</v>
      </c>
      <c r="W2207">
        <v>-8.873644E-2</v>
      </c>
      <c r="X2207">
        <v>0.99245660000000002</v>
      </c>
      <c r="Y2207">
        <v>-9.9564459999999994E-2</v>
      </c>
      <c r="Z2207">
        <v>3.1048030000000002E-3</v>
      </c>
      <c r="AA2207">
        <v>0.99502630000000003</v>
      </c>
      <c r="AB2207">
        <v>44</v>
      </c>
      <c r="AC2207">
        <v>27.254099999999902</v>
      </c>
      <c r="AD2207">
        <v>-1.1073723150524999</v>
      </c>
      <c r="AE2207">
        <v>2.1764999999999999</v>
      </c>
      <c r="AF2207">
        <v>-2.76272188301995</v>
      </c>
      <c r="AG2207">
        <v>-1.1073723150524999</v>
      </c>
      <c r="AH2207">
        <v>27.1559194598975</v>
      </c>
      <c r="AI2207">
        <v>92.323152634484003</v>
      </c>
      <c r="AJ2207">
        <v>95.809030180310799</v>
      </c>
      <c r="AK2207">
        <v>27.318544385810601</v>
      </c>
      <c r="AL2207">
        <v>95.090919425342904</v>
      </c>
      <c r="AM2207">
        <v>94.8718272371014</v>
      </c>
      <c r="AN2207">
        <v>1.0000000308738699</v>
      </c>
    </row>
    <row r="2208" spans="1:40" x14ac:dyDescent="0.25">
      <c r="A2208" t="str">
        <f>"20190305135628270"</f>
        <v>20190305135628270</v>
      </c>
      <c r="B2208" t="str">
        <f>"1551765388264302"</f>
        <v>1551765388264302</v>
      </c>
      <c r="C2208" t="s">
        <v>40</v>
      </c>
      <c r="D2208">
        <v>4.4555619999999996</v>
      </c>
      <c r="E2208">
        <v>0.49539719999999998</v>
      </c>
      <c r="F2208" t="s">
        <v>55</v>
      </c>
      <c r="G2208">
        <v>-373.38310000000001</v>
      </c>
      <c r="H2208" s="1">
        <v>2.6350609999999899E-7</v>
      </c>
      <c r="I2208">
        <v>217.4665</v>
      </c>
      <c r="J2208">
        <v>-401.00130000000001</v>
      </c>
      <c r="K2208">
        <v>1.107405</v>
      </c>
      <c r="L2208">
        <v>215.22569999999999</v>
      </c>
      <c r="M2208">
        <v>0.99971710000000003</v>
      </c>
      <c r="N2208">
        <v>-8.8649999999999996E-3</v>
      </c>
      <c r="O2208">
        <v>-2.2069689999999999E-2</v>
      </c>
      <c r="P2208">
        <v>0.99324000000000001</v>
      </c>
      <c r="Q2208">
        <v>-9.7360859999999994E-2</v>
      </c>
      <c r="R2208">
        <v>6.3208189999999997E-2</v>
      </c>
      <c r="S2208">
        <v>2.9937130000000001</v>
      </c>
      <c r="T2208">
        <v>-0.1182039</v>
      </c>
      <c r="U2208">
        <v>0.23815919999999999</v>
      </c>
      <c r="V2208">
        <v>-8.5247779999999995E-2</v>
      </c>
      <c r="W2208">
        <v>-8.8438299999999997E-2</v>
      </c>
      <c r="X2208">
        <v>0.99242710000000001</v>
      </c>
      <c r="Y2208">
        <v>-0.1011779</v>
      </c>
      <c r="Z2208">
        <v>3.1175059999999999E-3</v>
      </c>
      <c r="AA2208">
        <v>0.99486350000000001</v>
      </c>
      <c r="AB2208">
        <v>44</v>
      </c>
      <c r="AC2208">
        <v>27.618200000000002</v>
      </c>
      <c r="AD2208">
        <v>-1.1074047364938999</v>
      </c>
      <c r="AE2208">
        <v>2.2408000000000001</v>
      </c>
      <c r="AF2208">
        <v>-2.8452586739569301</v>
      </c>
      <c r="AG2208">
        <v>-1.1074047364938999</v>
      </c>
      <c r="AH2208">
        <v>27.5180637455097</v>
      </c>
      <c r="AI2208">
        <v>92.292293324545199</v>
      </c>
      <c r="AJ2208">
        <v>95.903179592621896</v>
      </c>
      <c r="AK2208">
        <v>27.686922444975199</v>
      </c>
      <c r="AL2208">
        <v>95.073769826865103</v>
      </c>
      <c r="AM2208">
        <v>94.909557446148298</v>
      </c>
      <c r="AN2208">
        <v>1.00000003285811</v>
      </c>
    </row>
    <row r="2209" spans="1:40" x14ac:dyDescent="0.25">
      <c r="A2209" t="str">
        <f>"20190305135628293"</f>
        <v>20190305135628293</v>
      </c>
      <c r="B2209" t="str">
        <f>"1551765388284798"</f>
        <v>1551765388284798</v>
      </c>
      <c r="C2209" t="s">
        <v>40</v>
      </c>
      <c r="D2209">
        <v>4.5429149999999998</v>
      </c>
      <c r="E2209">
        <v>0.5587974</v>
      </c>
      <c r="F2209" t="s">
        <v>55</v>
      </c>
      <c r="G2209">
        <v>-372.6465</v>
      </c>
      <c r="H2209" s="1">
        <v>-1.2847510000000001E-7</v>
      </c>
      <c r="I2209">
        <v>217.4794</v>
      </c>
      <c r="J2209">
        <v>-400.53539999999998</v>
      </c>
      <c r="K2209">
        <v>1.1074360000000001</v>
      </c>
      <c r="L2209">
        <v>215.21510000000001</v>
      </c>
      <c r="M2209">
        <v>0.99970829999999999</v>
      </c>
      <c r="N2209">
        <v>-8.8568120000000004E-3</v>
      </c>
      <c r="O2209">
        <v>-2.2472140000000002E-2</v>
      </c>
      <c r="P2209">
        <v>0.99331429999999998</v>
      </c>
      <c r="Q2209">
        <v>-9.6407259999999995E-2</v>
      </c>
      <c r="R2209">
        <v>6.3501050000000003E-2</v>
      </c>
      <c r="S2209">
        <v>2.9937740000000002</v>
      </c>
      <c r="T2209">
        <v>-0.1169226</v>
      </c>
      <c r="U2209">
        <v>0.23794560000000001</v>
      </c>
      <c r="V2209">
        <v>-8.5932579999999995E-2</v>
      </c>
      <c r="W2209">
        <v>-8.7498699999999999E-2</v>
      </c>
      <c r="X2209">
        <v>0.99245130000000004</v>
      </c>
      <c r="Y2209">
        <v>-0.101508</v>
      </c>
      <c r="Z2209">
        <v>3.1062310000000001E-3</v>
      </c>
      <c r="AA2209">
        <v>0.99482990000000004</v>
      </c>
      <c r="AB2209">
        <v>44</v>
      </c>
      <c r="AC2209">
        <v>27.8888999999999</v>
      </c>
      <c r="AD2209">
        <v>-1.1074361284751</v>
      </c>
      <c r="AE2209">
        <v>2.2642999999999902</v>
      </c>
      <c r="AF2209">
        <v>-2.88595520589273</v>
      </c>
      <c r="AG2209">
        <v>-1.1074361284751</v>
      </c>
      <c r="AH2209">
        <v>27.7874428850965</v>
      </c>
      <c r="AI2209">
        <v>92.270051380749294</v>
      </c>
      <c r="AJ2209">
        <v>95.929381242083196</v>
      </c>
      <c r="AK2209">
        <v>27.958847156518601</v>
      </c>
      <c r="AL2209">
        <v>95.019725325964998</v>
      </c>
      <c r="AM2209">
        <v>94.948681029944098</v>
      </c>
      <c r="AN2209">
        <v>1.0000000068394099</v>
      </c>
    </row>
    <row r="2210" spans="1:40" x14ac:dyDescent="0.25">
      <c r="A2210" t="str">
        <f>"20190305135628317"</f>
        <v>20190305135628317</v>
      </c>
      <c r="B2210" t="str">
        <f>"1551765388314223"</f>
        <v>1551765388314223</v>
      </c>
      <c r="C2210" t="s">
        <v>40</v>
      </c>
      <c r="D2210">
        <v>4.4521329999999999</v>
      </c>
      <c r="E2210">
        <v>0.56361190000000005</v>
      </c>
      <c r="F2210" t="s">
        <v>41</v>
      </c>
      <c r="G2210">
        <v>-399.4665</v>
      </c>
      <c r="H2210">
        <v>1.0562450000000001</v>
      </c>
      <c r="I2210">
        <v>215.12</v>
      </c>
      <c r="J2210">
        <v>-400.05939999999998</v>
      </c>
      <c r="K2210">
        <v>1.1074850000000001</v>
      </c>
      <c r="L2210">
        <v>215.20410000000001</v>
      </c>
      <c r="M2210">
        <v>0.99969920000000001</v>
      </c>
      <c r="N2210">
        <v>-8.8507789999999996E-3</v>
      </c>
      <c r="O2210">
        <v>-2.2874269999999999E-2</v>
      </c>
      <c r="P2210">
        <v>0.99346710000000005</v>
      </c>
      <c r="Q2210">
        <v>-9.4503569999999995E-2</v>
      </c>
      <c r="R2210">
        <v>6.3971910000000007E-2</v>
      </c>
      <c r="S2210">
        <v>3.0233150000000002</v>
      </c>
      <c r="T2210">
        <v>-0.14485000000000001</v>
      </c>
      <c r="U2210">
        <v>-0.26869199999999999</v>
      </c>
      <c r="V2210">
        <v>-8.6796330000000005E-2</v>
      </c>
      <c r="W2210">
        <v>-8.5605550000000002E-2</v>
      </c>
      <c r="X2210">
        <v>0.99254129999999996</v>
      </c>
      <c r="Y2210">
        <v>6.5644569999999999E-2</v>
      </c>
      <c r="Z2210">
        <v>-9.6906659999999997E-4</v>
      </c>
      <c r="AA2210">
        <v>0.99784260000000002</v>
      </c>
      <c r="AB2210">
        <v>45</v>
      </c>
      <c r="AC2210">
        <v>0.59289999999998599</v>
      </c>
      <c r="AD2210">
        <v>-5.1239999999999897E-2</v>
      </c>
      <c r="AE2210">
        <v>-8.4100000000006503E-2</v>
      </c>
      <c r="AF2210">
        <v>7.0002777916766595E-2</v>
      </c>
      <c r="AG2210">
        <v>-5.1239999999999897E-2</v>
      </c>
      <c r="AH2210">
        <v>0.59034639591549598</v>
      </c>
      <c r="AI2210">
        <v>94.926298885956101</v>
      </c>
      <c r="AJ2210">
        <v>83.237492699558601</v>
      </c>
      <c r="AK2210">
        <v>0.59668651207018197</v>
      </c>
      <c r="AL2210">
        <v>94.910846896760305</v>
      </c>
      <c r="AM2210">
        <v>94.997720976623896</v>
      </c>
      <c r="AN2210">
        <v>1.00000007264897</v>
      </c>
    </row>
    <row r="2211" spans="1:40" x14ac:dyDescent="0.25">
      <c r="A2211" t="str">
        <f>"20190305135628360"</f>
        <v>20190305135628360</v>
      </c>
      <c r="B2211" t="str">
        <f>"1551765388354241"</f>
        <v>1551765388354241</v>
      </c>
      <c r="C2211" t="s">
        <v>40</v>
      </c>
      <c r="D2211">
        <v>4.4197240000000004</v>
      </c>
      <c r="E2211">
        <v>0.56445590000000001</v>
      </c>
      <c r="F2211" t="s">
        <v>55</v>
      </c>
      <c r="G2211">
        <v>-376.74650000000003</v>
      </c>
      <c r="H2211" s="1">
        <v>2.0533790000000002E-6</v>
      </c>
      <c r="I2211">
        <v>212.84630000000001</v>
      </c>
      <c r="J2211">
        <v>-399.23079999999999</v>
      </c>
      <c r="K2211">
        <v>1.107564</v>
      </c>
      <c r="L2211">
        <v>215.18450000000001</v>
      </c>
      <c r="M2211">
        <v>0.99968449999999998</v>
      </c>
      <c r="N2211">
        <v>-8.8453219999999992E-3</v>
      </c>
      <c r="O2211">
        <v>-2.3515319999999999E-2</v>
      </c>
      <c r="P2211">
        <v>0.99395120000000003</v>
      </c>
      <c r="Q2211">
        <v>-8.9405810000000002E-2</v>
      </c>
      <c r="R2211">
        <v>6.3779730000000007E-2</v>
      </c>
      <c r="S2211">
        <v>3.0258180000000001</v>
      </c>
      <c r="T2211">
        <v>-0.14374219999999999</v>
      </c>
      <c r="U2211">
        <v>-0.30603029999999998</v>
      </c>
      <c r="V2211">
        <v>-8.7232870000000004E-2</v>
      </c>
      <c r="W2211">
        <v>-8.0521579999999995E-2</v>
      </c>
      <c r="X2211">
        <v>0.99292829999999999</v>
      </c>
      <c r="Y2211">
        <v>7.7116770000000001E-2</v>
      </c>
      <c r="Z2211">
        <v>-1.262434E-3</v>
      </c>
      <c r="AA2211">
        <v>0.9970213</v>
      </c>
      <c r="AB2211">
        <v>45</v>
      </c>
      <c r="AC2211">
        <v>22.484299999999902</v>
      </c>
      <c r="AD2211">
        <v>-1.107561946621</v>
      </c>
      <c r="AE2211">
        <v>-2.3382000000000001</v>
      </c>
      <c r="AF2211">
        <v>1.8044755850474701</v>
      </c>
      <c r="AG2211">
        <v>-1.107561946621</v>
      </c>
      <c r="AH2211">
        <v>22.479106134109301</v>
      </c>
      <c r="AI2211">
        <v>92.811693861674797</v>
      </c>
      <c r="AJ2211">
        <v>85.410510719691302</v>
      </c>
      <c r="AK2211">
        <v>22.578596904838601</v>
      </c>
      <c r="AL2211">
        <v>94.618547005039801</v>
      </c>
      <c r="AM2211">
        <v>95.020780999428098</v>
      </c>
      <c r="AN2211">
        <v>0.99999995369751005</v>
      </c>
    </row>
    <row r="2212" spans="1:40" x14ac:dyDescent="0.25">
      <c r="A2212" t="str">
        <f>"20190305135628382"</f>
        <v>20190305135628382</v>
      </c>
      <c r="B2212" t="str">
        <f>"1551765388374736"</f>
        <v>1551765388374736</v>
      </c>
      <c r="C2212" t="s">
        <v>40</v>
      </c>
      <c r="D2212">
        <v>4.417529</v>
      </c>
      <c r="E2212">
        <v>0.56460769999999905</v>
      </c>
      <c r="F2212" t="s">
        <v>55</v>
      </c>
      <c r="G2212">
        <v>-374.5394</v>
      </c>
      <c r="H2212" s="1">
        <v>8.7885379999999998E-7</v>
      </c>
      <c r="I2212">
        <v>212.62029999999999</v>
      </c>
      <c r="J2212">
        <v>-398.74810000000002</v>
      </c>
      <c r="K2212">
        <v>1.107602</v>
      </c>
      <c r="L2212">
        <v>215.173</v>
      </c>
      <c r="M2212">
        <v>0.99967700000000004</v>
      </c>
      <c r="N2212">
        <v>-8.8443150000000002E-3</v>
      </c>
      <c r="O2212">
        <v>-2.3830219999999999E-2</v>
      </c>
      <c r="P2212">
        <v>0.99399700000000002</v>
      </c>
      <c r="Q2212">
        <v>-8.8984830000000001E-2</v>
      </c>
      <c r="R2212">
        <v>6.3654779999999994E-2</v>
      </c>
      <c r="S2212">
        <v>3.0262150000000001</v>
      </c>
      <c r="T2212">
        <v>-0.13574430000000001</v>
      </c>
      <c r="U2212">
        <v>-0.31426999999999999</v>
      </c>
      <c r="V2212">
        <v>-8.7412379999999998E-2</v>
      </c>
      <c r="W2212">
        <v>-8.0110219999999996E-2</v>
      </c>
      <c r="X2212">
        <v>0.99294579999999999</v>
      </c>
      <c r="Y2212">
        <v>7.9481209999999997E-2</v>
      </c>
      <c r="Z2212">
        <v>-1.2746490000000001E-3</v>
      </c>
      <c r="AA2212">
        <v>0.99683549999999999</v>
      </c>
      <c r="AB2212">
        <v>45</v>
      </c>
      <c r="AC2212">
        <v>24.2087</v>
      </c>
      <c r="AD2212">
        <v>-1.1076011211462</v>
      </c>
      <c r="AE2212">
        <v>-2.55270000000001</v>
      </c>
      <c r="AF2212">
        <v>1.9709734784292801</v>
      </c>
      <c r="AG2212">
        <v>-1.1076011211462</v>
      </c>
      <c r="AH2212">
        <v>24.212532586836101</v>
      </c>
      <c r="AI2212">
        <v>92.6105436621894</v>
      </c>
      <c r="AJ2212">
        <v>85.346211300938705</v>
      </c>
      <c r="AK2212">
        <v>24.317858683791101</v>
      </c>
      <c r="AL2212">
        <v>94.594901364353603</v>
      </c>
      <c r="AM2212">
        <v>95.030971702786303</v>
      </c>
      <c r="AN2212">
        <v>0.99999996663167501</v>
      </c>
    </row>
    <row r="2213" spans="1:40" x14ac:dyDescent="0.25">
      <c r="A2213" t="str">
        <f>"20190305135628404"</f>
        <v>20190305135628404</v>
      </c>
      <c r="B2213" t="str">
        <f>"1551765388394256"</f>
        <v>1551765388394256</v>
      </c>
      <c r="C2213" t="s">
        <v>40</v>
      </c>
      <c r="D2213">
        <v>4.451028</v>
      </c>
      <c r="E2213">
        <v>0.56454349999999998</v>
      </c>
      <c r="F2213" t="s">
        <v>55</v>
      </c>
      <c r="G2213">
        <v>-374.31670000000003</v>
      </c>
      <c r="H2213" s="1">
        <v>7.6032860000000004E-7</v>
      </c>
      <c r="I2213">
        <v>212.62129999999999</v>
      </c>
      <c r="J2213">
        <v>-398.3107</v>
      </c>
      <c r="K2213">
        <v>1.107637</v>
      </c>
      <c r="L2213">
        <v>215.16239999999999</v>
      </c>
      <c r="M2213">
        <v>0.99967130000000004</v>
      </c>
      <c r="N2213">
        <v>-8.8442509999999992E-3</v>
      </c>
      <c r="O2213">
        <v>-2.4063310000000001E-2</v>
      </c>
      <c r="P2213">
        <v>0.99399630000000005</v>
      </c>
      <c r="Q2213">
        <v>-8.9034619999999995E-2</v>
      </c>
      <c r="R2213">
        <v>6.359397E-2</v>
      </c>
      <c r="S2213">
        <v>3.0261230000000001</v>
      </c>
      <c r="T2213">
        <v>-0.13718949999999999</v>
      </c>
      <c r="U2213">
        <v>-0.31605529999999998</v>
      </c>
      <c r="V2213">
        <v>-8.7574360000000004E-2</v>
      </c>
      <c r="W2213">
        <v>-8.0169980000000002E-2</v>
      </c>
      <c r="X2213">
        <v>0.99292670000000005</v>
      </c>
      <c r="Y2213">
        <v>7.9831940000000004E-2</v>
      </c>
      <c r="Z2213">
        <v>-1.283237E-3</v>
      </c>
      <c r="AA2213">
        <v>0.99680749999999996</v>
      </c>
      <c r="AB2213">
        <v>45</v>
      </c>
      <c r="AC2213">
        <v>23.9939999999999</v>
      </c>
      <c r="AD2213">
        <v>-1.1076362396713999</v>
      </c>
      <c r="AE2213">
        <v>-2.5411000000000001</v>
      </c>
      <c r="AF2213">
        <v>1.95883844392636</v>
      </c>
      <c r="AG2213">
        <v>-1.1076362396713999</v>
      </c>
      <c r="AH2213">
        <v>23.997628961055</v>
      </c>
      <c r="AI2213">
        <v>92.633924666938896</v>
      </c>
      <c r="AJ2213">
        <v>85.333501365485404</v>
      </c>
      <c r="AK2213">
        <v>24.102906501940801</v>
      </c>
      <c r="AL2213">
        <v>94.598336425903298</v>
      </c>
      <c r="AM2213">
        <v>95.040342850730894</v>
      </c>
      <c r="AN2213">
        <v>0.99999996289774895</v>
      </c>
    </row>
    <row r="2214" spans="1:40" x14ac:dyDescent="0.25">
      <c r="A2214" t="str">
        <f>"20190305135628428"</f>
        <v>20190305135628428</v>
      </c>
      <c r="B2214" t="str">
        <f>"1551765388424512"</f>
        <v>1551765388424512</v>
      </c>
      <c r="C2214" t="s">
        <v>40</v>
      </c>
      <c r="D2214">
        <v>4.3895030000000004</v>
      </c>
      <c r="E2214">
        <v>0.56495980000000001</v>
      </c>
      <c r="F2214" t="s">
        <v>55</v>
      </c>
      <c r="G2214">
        <v>-374.91059999999999</v>
      </c>
      <c r="H2214" s="1">
        <v>1.076371E-6</v>
      </c>
      <c r="I2214">
        <v>212.71729999999999</v>
      </c>
      <c r="J2214">
        <v>-397.84640000000002</v>
      </c>
      <c r="K2214">
        <v>1.1076839999999999</v>
      </c>
      <c r="L2214">
        <v>215.15110000000001</v>
      </c>
      <c r="M2214">
        <v>0.99966690000000002</v>
      </c>
      <c r="N2214">
        <v>-8.8450209999999998E-3</v>
      </c>
      <c r="O2214">
        <v>-2.4249320000000001E-2</v>
      </c>
      <c r="P2214">
        <v>0.99401399999999995</v>
      </c>
      <c r="Q2214">
        <v>-8.9429579999999995E-2</v>
      </c>
      <c r="R2214">
        <v>6.2762219999999994E-2</v>
      </c>
      <c r="S2214">
        <v>3.0254819999999998</v>
      </c>
      <c r="T2214">
        <v>-0.1432099</v>
      </c>
      <c r="U2214">
        <v>-0.31613160000000001</v>
      </c>
      <c r="V2214">
        <v>-8.6917149999999999E-2</v>
      </c>
      <c r="W2214">
        <v>-8.0576540000000002E-2</v>
      </c>
      <c r="X2214">
        <v>0.99295160000000005</v>
      </c>
      <c r="Y2214">
        <v>7.9687250000000001E-2</v>
      </c>
      <c r="Z2214">
        <v>-1.3036910000000001E-3</v>
      </c>
      <c r="AA2214">
        <v>0.99681909999999896</v>
      </c>
      <c r="AB2214">
        <v>45</v>
      </c>
      <c r="AC2214">
        <v>22.9358</v>
      </c>
      <c r="AD2214">
        <v>-1.107682923629</v>
      </c>
      <c r="AE2214">
        <v>-2.4338000000000202</v>
      </c>
      <c r="AF2214">
        <v>1.87256606095128</v>
      </c>
      <c r="AG2214">
        <v>-1.107682923629</v>
      </c>
      <c r="AH2214">
        <v>22.9351769380112</v>
      </c>
      <c r="AI2214">
        <v>92.755866567614305</v>
      </c>
      <c r="AJ2214">
        <v>85.332380467857504</v>
      </c>
      <c r="AK2214">
        <v>23.038138082097799</v>
      </c>
      <c r="AL2214">
        <v>94.621705917153093</v>
      </c>
      <c r="AM2214">
        <v>95.002584984540704</v>
      </c>
      <c r="AN2214">
        <v>1.00000002485252</v>
      </c>
    </row>
    <row r="2215" spans="1:40" x14ac:dyDescent="0.25">
      <c r="A2215" t="str">
        <f>"20190305135628448"</f>
        <v>20190305135628448</v>
      </c>
      <c r="B2215" t="str">
        <f>"1551765388444032"</f>
        <v>1551765388444032</v>
      </c>
      <c r="C2215" t="s">
        <v>40</v>
      </c>
      <c r="D2215">
        <v>5.0576049999999997</v>
      </c>
      <c r="E2215">
        <v>0.56507130000000005</v>
      </c>
      <c r="F2215" t="s">
        <v>55</v>
      </c>
      <c r="G2215">
        <v>-374.83600000000001</v>
      </c>
      <c r="H2215" s="1">
        <v>1.0367040000000001E-6</v>
      </c>
      <c r="I2215">
        <v>212.7013</v>
      </c>
      <c r="J2215">
        <v>-397.42739999999998</v>
      </c>
      <c r="K2215">
        <v>1.1077300000000001</v>
      </c>
      <c r="L2215">
        <v>215.14080000000001</v>
      </c>
      <c r="M2215">
        <v>0.9996642</v>
      </c>
      <c r="N2215">
        <v>-8.8463980000000001E-3</v>
      </c>
      <c r="O2215">
        <v>-2.4361109999999998E-2</v>
      </c>
      <c r="P2215">
        <v>0.99407599999999996</v>
      </c>
      <c r="Q2215">
        <v>-8.9411240000000003E-2</v>
      </c>
      <c r="R2215">
        <v>6.1796950000000003E-2</v>
      </c>
      <c r="S2215">
        <v>3.0253299999999999</v>
      </c>
      <c r="T2215">
        <v>-0.14563480000000001</v>
      </c>
      <c r="U2215">
        <v>-0.32208249999999999</v>
      </c>
      <c r="V2215">
        <v>-8.6054030000000004E-2</v>
      </c>
      <c r="W2215">
        <v>-8.056808E-2</v>
      </c>
      <c r="X2215">
        <v>0.9930274</v>
      </c>
      <c r="Y2215">
        <v>8.1515099999999993E-2</v>
      </c>
      <c r="Z2215">
        <v>-1.3638039999999999E-3</v>
      </c>
      <c r="AA2215">
        <v>0.99667119999999998</v>
      </c>
      <c r="AB2215">
        <v>45</v>
      </c>
      <c r="AC2215">
        <v>22.591399999999901</v>
      </c>
      <c r="AD2215">
        <v>-1.1077289632959999</v>
      </c>
      <c r="AE2215">
        <v>-2.4394999999999998</v>
      </c>
      <c r="AF2215">
        <v>1.8839256735516501</v>
      </c>
      <c r="AG2215">
        <v>-1.1077289632959999</v>
      </c>
      <c r="AH2215">
        <v>22.590438956064101</v>
      </c>
      <c r="AI2215">
        <v>92.797571453307697</v>
      </c>
      <c r="AJ2215">
        <v>85.232859487345905</v>
      </c>
      <c r="AK2215">
        <v>22.6959064949442</v>
      </c>
      <c r="AL2215">
        <v>94.621219893884003</v>
      </c>
      <c r="AM2215">
        <v>94.952779595632194</v>
      </c>
      <c r="AN2215">
        <v>0.99999996437244298</v>
      </c>
    </row>
    <row r="2216" spans="1:40" x14ac:dyDescent="0.25">
      <c r="A2216" t="str">
        <f>"20190305135628472"</f>
        <v>20190305135628472</v>
      </c>
      <c r="B2216" t="str">
        <f>"1551765388464528"</f>
        <v>1551765388464528</v>
      </c>
      <c r="C2216" t="s">
        <v>40</v>
      </c>
      <c r="D2216">
        <v>4.4466659999999996</v>
      </c>
      <c r="E2216">
        <v>0.56539309999999998</v>
      </c>
      <c r="F2216" t="s">
        <v>55</v>
      </c>
      <c r="G2216">
        <v>-374.70420000000001</v>
      </c>
      <c r="H2216" s="1">
        <v>9.6652999999999996E-7</v>
      </c>
      <c r="I2216">
        <v>212.69149999999999</v>
      </c>
      <c r="J2216">
        <v>-396.95819999999998</v>
      </c>
      <c r="K2216">
        <v>1.1077900000000001</v>
      </c>
      <c r="L2216">
        <v>215.1294</v>
      </c>
      <c r="M2216">
        <v>0.99966299999999997</v>
      </c>
      <c r="N2216">
        <v>-8.8490089999999997E-3</v>
      </c>
      <c r="O2216">
        <v>-2.4412240000000002E-2</v>
      </c>
      <c r="P2216">
        <v>0.99411609999999995</v>
      </c>
      <c r="Q2216">
        <v>-8.9591850000000001E-2</v>
      </c>
      <c r="R2216">
        <v>6.088623E-2</v>
      </c>
      <c r="S2216">
        <v>3.0248409999999999</v>
      </c>
      <c r="T2216">
        <v>-0.14745710000000001</v>
      </c>
      <c r="U2216">
        <v>-0.3260498</v>
      </c>
      <c r="V2216">
        <v>-8.5182820000000006E-2</v>
      </c>
      <c r="W2216">
        <v>-8.0759429999999993E-2</v>
      </c>
      <c r="X2216">
        <v>0.99308700000000005</v>
      </c>
      <c r="Y2216">
        <v>8.276965E-2</v>
      </c>
      <c r="Z2216">
        <v>-1.407915E-3</v>
      </c>
      <c r="AA2216">
        <v>0.99656769999999995</v>
      </c>
      <c r="AB2216">
        <v>45</v>
      </c>
      <c r="AC2216">
        <v>22.253999999999898</v>
      </c>
      <c r="AD2216">
        <v>-1.10778903347</v>
      </c>
      <c r="AE2216">
        <v>-2.4379000000000102</v>
      </c>
      <c r="AF2216">
        <v>1.88925621018881</v>
      </c>
      <c r="AG2216">
        <v>-1.10778903347</v>
      </c>
      <c r="AH2216">
        <v>22.2523970771481</v>
      </c>
      <c r="AI2216">
        <v>92.839797893117407</v>
      </c>
      <c r="AJ2216">
        <v>85.1471547999694</v>
      </c>
      <c r="AK2216">
        <v>22.359911924009999</v>
      </c>
      <c r="AL2216">
        <v>94.6322191472795</v>
      </c>
      <c r="AM2216">
        <v>94.902590557684206</v>
      </c>
      <c r="AN2216">
        <v>0.99999999396303796</v>
      </c>
    </row>
    <row r="2217" spans="1:40" x14ac:dyDescent="0.25">
      <c r="A2217" t="str">
        <f>"20190305135628494"</f>
        <v>20190305135628494</v>
      </c>
      <c r="B2217" t="str">
        <f>"1551765388484048"</f>
        <v>1551765388484048</v>
      </c>
      <c r="C2217" t="s">
        <v>40</v>
      </c>
      <c r="D2217">
        <v>4.363321</v>
      </c>
      <c r="E2217">
        <v>0.56570849999999995</v>
      </c>
      <c r="F2217" t="s">
        <v>55</v>
      </c>
      <c r="G2217">
        <v>-374.06979999999999</v>
      </c>
      <c r="H2217" s="1">
        <v>6.2895419999999896E-7</v>
      </c>
      <c r="I2217">
        <v>212.62540000000001</v>
      </c>
      <c r="J2217">
        <v>-396.49990000000003</v>
      </c>
      <c r="K2217">
        <v>1.107855</v>
      </c>
      <c r="L2217">
        <v>215.1182</v>
      </c>
      <c r="M2217">
        <v>0.99966350000000004</v>
      </c>
      <c r="N2217">
        <v>-8.8522740000000003E-3</v>
      </c>
      <c r="O2217">
        <v>-2.4384900000000001E-2</v>
      </c>
      <c r="P2217">
        <v>0.99414069999999999</v>
      </c>
      <c r="Q2217">
        <v>-8.9553649999999999E-2</v>
      </c>
      <c r="R2217">
        <v>6.0537899999999999E-2</v>
      </c>
      <c r="S2217">
        <v>3.0248409999999999</v>
      </c>
      <c r="T2217">
        <v>-0.14640120000000001</v>
      </c>
      <c r="U2217">
        <v>-0.33091739999999997</v>
      </c>
      <c r="V2217">
        <v>-8.4795179999999998E-2</v>
      </c>
      <c r="W2217">
        <v>-8.0731769999999994E-2</v>
      </c>
      <c r="X2217">
        <v>0.99312250000000002</v>
      </c>
      <c r="Y2217">
        <v>8.4380720000000006E-2</v>
      </c>
      <c r="Z2217">
        <v>-1.4492589999999901E-3</v>
      </c>
      <c r="AA2217">
        <v>0.99643250000000005</v>
      </c>
      <c r="AB2217">
        <v>45</v>
      </c>
      <c r="AC2217">
        <v>22.430099999999999</v>
      </c>
      <c r="AD2217">
        <v>-1.1078543710458</v>
      </c>
      <c r="AE2217">
        <v>-2.4927999999999799</v>
      </c>
      <c r="AF2217">
        <v>1.9404056538680401</v>
      </c>
      <c r="AG2217">
        <v>-1.1078543710458</v>
      </c>
      <c r="AH2217">
        <v>22.430167753765598</v>
      </c>
      <c r="AI2217">
        <v>92.817108640517901</v>
      </c>
      <c r="AJ2217">
        <v>85.055723455303806</v>
      </c>
      <c r="AK2217">
        <v>22.541183218080501</v>
      </c>
      <c r="AL2217">
        <v>94.630628798516895</v>
      </c>
      <c r="AM2217">
        <v>94.880214812846006</v>
      </c>
      <c r="AN2217">
        <v>1.0000000706223999</v>
      </c>
    </row>
    <row r="2218" spans="1:40" x14ac:dyDescent="0.25">
      <c r="A2218" t="str">
        <f>"20190305135628518"</f>
        <v>20190305135628518</v>
      </c>
      <c r="B2218" t="str">
        <f>"1551765388514304"</f>
        <v>1551765388514304</v>
      </c>
      <c r="C2218" t="s">
        <v>40</v>
      </c>
      <c r="D2218">
        <v>4.3033010000000003</v>
      </c>
      <c r="E2218">
        <v>0.5663861</v>
      </c>
      <c r="F2218" t="s">
        <v>55</v>
      </c>
      <c r="G2218">
        <v>-373.34440000000001</v>
      </c>
      <c r="H2218" s="1">
        <v>2.4294599999999998E-7</v>
      </c>
      <c r="I2218">
        <v>212.55799999999999</v>
      </c>
      <c r="J2218">
        <v>-396.03140000000002</v>
      </c>
      <c r="K2218">
        <v>1.1079190000000001</v>
      </c>
      <c r="L2218">
        <v>215.1069</v>
      </c>
      <c r="M2218">
        <v>0.9996659</v>
      </c>
      <c r="N2218">
        <v>-8.8561709999999995E-3</v>
      </c>
      <c r="O2218">
        <v>-2.428891E-2</v>
      </c>
      <c r="P2218">
        <v>0.9941567</v>
      </c>
      <c r="Q2218">
        <v>-8.9266300000000007E-2</v>
      </c>
      <c r="R2218">
        <v>6.069737E-2</v>
      </c>
      <c r="S2218">
        <v>3.0250240000000002</v>
      </c>
      <c r="T2218">
        <v>-0.14472969999999999</v>
      </c>
      <c r="U2218">
        <v>-0.33447270000000001</v>
      </c>
      <c r="V2218">
        <v>-8.4845859999999995E-2</v>
      </c>
      <c r="W2218">
        <v>-8.0454510000000007E-2</v>
      </c>
      <c r="X2218">
        <v>0.99314060000000004</v>
      </c>
      <c r="Y2218">
        <v>8.562707E-2</v>
      </c>
      <c r="Z2218">
        <v>-1.4785989999999999E-3</v>
      </c>
      <c r="AA2218">
        <v>0.99632609999999999</v>
      </c>
      <c r="AB2218">
        <v>45</v>
      </c>
      <c r="AC2218">
        <v>22.687000000000001</v>
      </c>
      <c r="AD2218">
        <v>-1.1079187570539999</v>
      </c>
      <c r="AE2218">
        <v>-2.5489000000000002</v>
      </c>
      <c r="AF2218">
        <v>1.9923916040604199</v>
      </c>
      <c r="AG2218">
        <v>-1.1079187570539999</v>
      </c>
      <c r="AH2218">
        <v>22.688783868778099</v>
      </c>
      <c r="AI2218">
        <v>92.784896575190999</v>
      </c>
      <c r="AJ2218">
        <v>84.981504875125694</v>
      </c>
      <c r="AK2218">
        <v>22.8030265912288</v>
      </c>
      <c r="AL2218">
        <v>94.6146914555802</v>
      </c>
      <c r="AM2218">
        <v>94.883028933550094</v>
      </c>
      <c r="AN2218">
        <v>0.99999999975341902</v>
      </c>
    </row>
    <row r="2219" spans="1:40" x14ac:dyDescent="0.25">
      <c r="A2219" t="str">
        <f>"20190305135628541"</f>
        <v>20190305135628541</v>
      </c>
      <c r="B2219" t="str">
        <f>"1551765388534800"</f>
        <v>1551765388534800</v>
      </c>
      <c r="C2219" t="s">
        <v>40</v>
      </c>
      <c r="D2219">
        <v>4.2445680000000001</v>
      </c>
      <c r="E2219">
        <v>0.56667749999999995</v>
      </c>
      <c r="F2219" t="s">
        <v>55</v>
      </c>
      <c r="G2219">
        <v>-372.44049999999999</v>
      </c>
      <c r="H2219" s="1">
        <v>-2.3807369999999999E-7</v>
      </c>
      <c r="I2219">
        <v>212.46100000000001</v>
      </c>
      <c r="J2219">
        <v>-395.55759999999998</v>
      </c>
      <c r="K2219">
        <v>1.1079859999999999</v>
      </c>
      <c r="L2219">
        <v>215.09549999999999</v>
      </c>
      <c r="M2219">
        <v>0.99966969999999999</v>
      </c>
      <c r="N2219">
        <v>-8.8606919999999999E-3</v>
      </c>
      <c r="O2219">
        <v>-2.41239E-2</v>
      </c>
      <c r="P2219">
        <v>0.99413229999999997</v>
      </c>
      <c r="Q2219">
        <v>-8.8949920000000002E-2</v>
      </c>
      <c r="R2219">
        <v>6.1554530000000003E-2</v>
      </c>
      <c r="S2219">
        <v>3.025604</v>
      </c>
      <c r="T2219">
        <v>-0.1420941</v>
      </c>
      <c r="U2219">
        <v>-0.33934019999999998</v>
      </c>
      <c r="V2219">
        <v>-8.5525169999999998E-2</v>
      </c>
      <c r="W2219">
        <v>-8.0148319999999995E-2</v>
      </c>
      <c r="X2219">
        <v>0.99310710000000002</v>
      </c>
      <c r="Y2219">
        <v>8.7354500000000002E-2</v>
      </c>
      <c r="Z2219">
        <v>-1.516957E-3</v>
      </c>
      <c r="AA2219">
        <v>0.99617610000000001</v>
      </c>
      <c r="AB2219">
        <v>45</v>
      </c>
      <c r="AC2219">
        <v>23.117099999999901</v>
      </c>
      <c r="AD2219">
        <v>-1.1079862380737</v>
      </c>
      <c r="AE2219">
        <v>-2.6345000000000001</v>
      </c>
      <c r="AF2219">
        <v>2.0713394221016102</v>
      </c>
      <c r="AG2219">
        <v>-1.1079862380737</v>
      </c>
      <c r="AH2219">
        <v>23.121494662293699</v>
      </c>
      <c r="AI2219">
        <v>92.732598852192098</v>
      </c>
      <c r="AJ2219">
        <v>84.880822217467696</v>
      </c>
      <c r="AK2219">
        <v>23.240516257686402</v>
      </c>
      <c r="AL2219">
        <v>94.597091175916802</v>
      </c>
      <c r="AM2219">
        <v>94.922098340093598</v>
      </c>
      <c r="AN2219">
        <v>1.0000000099863799</v>
      </c>
    </row>
    <row r="2220" spans="1:40" x14ac:dyDescent="0.25">
      <c r="A2220" t="str">
        <f>"20190305135628562"</f>
        <v>20190305135628562</v>
      </c>
      <c r="B2220" t="str">
        <f>"1551765388554322"</f>
        <v>1551765388554322</v>
      </c>
      <c r="C2220" t="s">
        <v>40</v>
      </c>
      <c r="D2220">
        <v>4.3396980000000003</v>
      </c>
      <c r="E2220">
        <v>0.56692209999999998</v>
      </c>
      <c r="F2220" t="s">
        <v>55</v>
      </c>
      <c r="G2220">
        <v>-371.96379999999999</v>
      </c>
      <c r="H2220" s="1">
        <v>-4.9176840000000003E-7</v>
      </c>
      <c r="I2220">
        <v>212.452</v>
      </c>
      <c r="J2220">
        <v>-395.14429999999999</v>
      </c>
      <c r="K2220">
        <v>1.1080570000000001</v>
      </c>
      <c r="L2220">
        <v>215.0857</v>
      </c>
      <c r="M2220">
        <v>0.99967459999999997</v>
      </c>
      <c r="N2220">
        <v>-8.8649760000000001E-3</v>
      </c>
      <c r="O2220">
        <v>-2.392466E-2</v>
      </c>
      <c r="P2220">
        <v>0.9941624</v>
      </c>
      <c r="Q2220">
        <v>-8.8383119999999996E-2</v>
      </c>
      <c r="R2220">
        <v>6.1884160000000001E-2</v>
      </c>
      <c r="S2220">
        <v>3.0259399999999999</v>
      </c>
      <c r="T2220">
        <v>-0.1421007</v>
      </c>
      <c r="U2220">
        <v>-0.33903499999999998</v>
      </c>
      <c r="V2220">
        <v>-8.5645490000000005E-2</v>
      </c>
      <c r="W2220">
        <v>-7.9589729999999997E-2</v>
      </c>
      <c r="X2220">
        <v>0.99314170000000002</v>
      </c>
      <c r="Y2220">
        <v>8.7441320000000003E-2</v>
      </c>
      <c r="Z2220">
        <v>-1.5271620000000001E-3</v>
      </c>
      <c r="AA2220">
        <v>0.99616850000000001</v>
      </c>
      <c r="AB2220">
        <v>45</v>
      </c>
      <c r="AC2220">
        <v>23.180499999999899</v>
      </c>
      <c r="AD2220">
        <v>-1.1080574917683901</v>
      </c>
      <c r="AE2220">
        <v>-2.6337000000000002</v>
      </c>
      <c r="AF2220">
        <v>2.0736609354647202</v>
      </c>
      <c r="AG2220">
        <v>-1.1080574917683901</v>
      </c>
      <c r="AH2220">
        <v>23.184576503403999</v>
      </c>
      <c r="AI2220">
        <v>92.725384768622803</v>
      </c>
      <c r="AJ2220">
        <v>84.888985395072893</v>
      </c>
      <c r="AK2220">
        <v>23.303485763347201</v>
      </c>
      <c r="AL2220">
        <v>94.564983545865402</v>
      </c>
      <c r="AM2220">
        <v>94.928817966828802</v>
      </c>
      <c r="AN2220">
        <v>1.00000005567885</v>
      </c>
    </row>
    <row r="2221" spans="1:40" x14ac:dyDescent="0.25">
      <c r="A2221" t="str">
        <f>"20190305135628583"</f>
        <v>20190305135628583</v>
      </c>
      <c r="B2221" t="str">
        <f>"1551765388574817"</f>
        <v>1551765388574817</v>
      </c>
      <c r="C2221" t="s">
        <v>40</v>
      </c>
      <c r="D2221">
        <v>4.3138759999999996</v>
      </c>
      <c r="E2221">
        <v>0.56715119999999997</v>
      </c>
      <c r="F2221" t="s">
        <v>55</v>
      </c>
      <c r="G2221">
        <v>-371.96719999999999</v>
      </c>
      <c r="H2221" s="1">
        <v>-4.8993279999999898E-7</v>
      </c>
      <c r="I2221">
        <v>212.47839999999999</v>
      </c>
      <c r="J2221">
        <v>-394.70440000000002</v>
      </c>
      <c r="K2221">
        <v>1.108125</v>
      </c>
      <c r="L2221">
        <v>215.0753</v>
      </c>
      <c r="M2221">
        <v>0.99968069999999998</v>
      </c>
      <c r="N2221">
        <v>-8.8697729999999992E-3</v>
      </c>
      <c r="O2221">
        <v>-2.3660779999999999E-2</v>
      </c>
      <c r="P2221">
        <v>0.99413359999999995</v>
      </c>
      <c r="Q2221">
        <v>-8.8044129999999998E-2</v>
      </c>
      <c r="R2221">
        <v>6.2824420000000006E-2</v>
      </c>
      <c r="S2221">
        <v>3.025909</v>
      </c>
      <c r="T2221">
        <v>-0.14466329999999999</v>
      </c>
      <c r="U2221">
        <v>-0.340393099999999</v>
      </c>
      <c r="V2221">
        <v>-8.6310269999999994E-2</v>
      </c>
      <c r="W2221">
        <v>-7.9260010000000006E-2</v>
      </c>
      <c r="X2221">
        <v>0.99311050000000001</v>
      </c>
      <c r="Y2221">
        <v>8.8142709999999999E-2</v>
      </c>
      <c r="Z2221">
        <v>-1.57422799999999E-3</v>
      </c>
      <c r="AA2221">
        <v>0.99610659999999895</v>
      </c>
      <c r="AB2221">
        <v>45</v>
      </c>
      <c r="AC2221">
        <v>22.737200000000001</v>
      </c>
      <c r="AD2221">
        <v>-1.1081254899327999</v>
      </c>
      <c r="AE2221">
        <v>-2.5969000000000002</v>
      </c>
      <c r="AF2221">
        <v>2.05335750365979</v>
      </c>
      <c r="AG2221">
        <v>-1.1081254899327999</v>
      </c>
      <c r="AH2221">
        <v>22.738966610547699</v>
      </c>
      <c r="AI2221">
        <v>92.778668125913597</v>
      </c>
      <c r="AJ2221">
        <v>84.8401132477414</v>
      </c>
      <c r="AK2221">
        <v>22.858364369632302</v>
      </c>
      <c r="AL2221">
        <v>94.546032190111703</v>
      </c>
      <c r="AM2221">
        <v>94.967040048046201</v>
      </c>
      <c r="AN2221">
        <v>1.00000003855146</v>
      </c>
    </row>
    <row r="2222" spans="1:40" x14ac:dyDescent="0.25">
      <c r="A2222" t="str">
        <f>"20190305135628605"</f>
        <v>20190305135628605</v>
      </c>
      <c r="B2222" t="str">
        <f>"1551765388594336"</f>
        <v>1551765388594336</v>
      </c>
      <c r="C2222" t="s">
        <v>40</v>
      </c>
      <c r="D2222">
        <v>4.2168320000000001</v>
      </c>
      <c r="E2222">
        <v>0.56680209999999998</v>
      </c>
      <c r="F2222" t="s">
        <v>55</v>
      </c>
      <c r="G2222">
        <v>-371.3947</v>
      </c>
      <c r="H2222" s="1">
        <v>-7.9456829999999997E-7</v>
      </c>
      <c r="I2222">
        <v>212.4615</v>
      </c>
      <c r="J2222">
        <v>-394.26400000000001</v>
      </c>
      <c r="K2222">
        <v>1.10819</v>
      </c>
      <c r="L2222">
        <v>215.065</v>
      </c>
      <c r="M2222">
        <v>0.99968800000000002</v>
      </c>
      <c r="N2222">
        <v>-8.8748560000000004E-3</v>
      </c>
      <c r="O2222">
        <v>-2.3351279999999999E-2</v>
      </c>
      <c r="P2222">
        <v>0.99408660000000004</v>
      </c>
      <c r="Q2222">
        <v>-8.7799699999999994E-2</v>
      </c>
      <c r="R2222">
        <v>6.3900250000000006E-2</v>
      </c>
      <c r="S2222">
        <v>3.0263979999999999</v>
      </c>
      <c r="T2222">
        <v>-0.143873</v>
      </c>
      <c r="U2222">
        <v>-0.33935549999999998</v>
      </c>
      <c r="V2222">
        <v>-8.7065299999999998E-2</v>
      </c>
      <c r="W2222">
        <v>-7.9024399999999995E-2</v>
      </c>
      <c r="X2222">
        <v>0.99306329999999998</v>
      </c>
      <c r="Y2222">
        <v>8.8096750000000001E-2</v>
      </c>
      <c r="Z2222">
        <v>-1.5797350000000001E-3</v>
      </c>
      <c r="AA2222">
        <v>0.99611070000000002</v>
      </c>
      <c r="AB2222">
        <v>45</v>
      </c>
      <c r="AC2222">
        <v>22.869299999999999</v>
      </c>
      <c r="AD2222">
        <v>-1.1081907945683001</v>
      </c>
      <c r="AE2222">
        <v>-2.6034999999999902</v>
      </c>
      <c r="AF2222">
        <v>2.0639571584988001</v>
      </c>
      <c r="AG2222">
        <v>-1.1081907945683001</v>
      </c>
      <c r="AH2222">
        <v>22.870844235707601</v>
      </c>
      <c r="AI2222">
        <v>92.762847389868298</v>
      </c>
      <c r="AJ2222">
        <v>84.843366185953201</v>
      </c>
      <c r="AK2222">
        <v>22.9905093906874</v>
      </c>
      <c r="AL2222">
        <v>94.532490566706301</v>
      </c>
      <c r="AM2222">
        <v>95.010507718207194</v>
      </c>
      <c r="AN2222">
        <v>0.99999997003316898</v>
      </c>
    </row>
    <row r="2223" spans="1:40" x14ac:dyDescent="0.25">
      <c r="A2223" t="str">
        <f>"20190305135628627"</f>
        <v>20190305135628627</v>
      </c>
      <c r="B2223" t="str">
        <f>"1551765388624593"</f>
        <v>1551765388624593</v>
      </c>
      <c r="C2223" t="s">
        <v>40</v>
      </c>
      <c r="D2223">
        <v>4.245717</v>
      </c>
      <c r="E2223">
        <v>0.565536699999999</v>
      </c>
      <c r="F2223" t="s">
        <v>55</v>
      </c>
      <c r="G2223">
        <v>-370.51010000000002</v>
      </c>
      <c r="H2223" s="1">
        <v>-1.2653350000000001E-6</v>
      </c>
      <c r="I2223">
        <v>212.44990000000001</v>
      </c>
      <c r="J2223">
        <v>-393.81639999999999</v>
      </c>
      <c r="K2223">
        <v>1.1082479999999999</v>
      </c>
      <c r="L2223">
        <v>215.0548</v>
      </c>
      <c r="M2223">
        <v>0.99969609999999998</v>
      </c>
      <c r="N2223">
        <v>-8.8802369999999992E-3</v>
      </c>
      <c r="O2223">
        <v>-2.2999639999999998E-2</v>
      </c>
      <c r="P2223">
        <v>0.99405929999999998</v>
      </c>
      <c r="Q2223">
        <v>-8.7618829999999995E-2</v>
      </c>
      <c r="R2223">
        <v>6.4570119999999995E-2</v>
      </c>
      <c r="S2223">
        <v>3.026764</v>
      </c>
      <c r="T2223">
        <v>-0.14120750000000001</v>
      </c>
      <c r="U2223">
        <v>-0.3332214</v>
      </c>
      <c r="V2223">
        <v>-8.7374309999999997E-2</v>
      </c>
      <c r="W2223">
        <v>-7.8850870000000003E-2</v>
      </c>
      <c r="X2223">
        <v>0.99304999999999999</v>
      </c>
      <c r="Y2223">
        <v>8.6444599999999996E-2</v>
      </c>
      <c r="Z2223">
        <v>-1.52936E-3</v>
      </c>
      <c r="AA2223">
        <v>0.99625549999999996</v>
      </c>
      <c r="AB2223">
        <v>45</v>
      </c>
      <c r="AC2223">
        <v>23.306299999999901</v>
      </c>
      <c r="AD2223">
        <v>-1.10824926533499</v>
      </c>
      <c r="AE2223">
        <v>-2.6048999999999798</v>
      </c>
      <c r="AF2223">
        <v>2.06354486597108</v>
      </c>
      <c r="AG2223">
        <v>-1.10824926533499</v>
      </c>
      <c r="AH2223">
        <v>23.307996003789</v>
      </c>
      <c r="AI2223">
        <v>92.711660467318595</v>
      </c>
      <c r="AJ2223">
        <v>84.9405798153945</v>
      </c>
      <c r="AK2223">
        <v>23.425394587085101</v>
      </c>
      <c r="AL2223">
        <v>94.522516698653007</v>
      </c>
      <c r="AM2223">
        <v>95.028266880355503</v>
      </c>
      <c r="AN2223">
        <v>1.00000001612386</v>
      </c>
    </row>
    <row r="2224" spans="1:40" x14ac:dyDescent="0.25">
      <c r="A2224" t="str">
        <f>"20190305135628650"</f>
        <v>20190305135628650</v>
      </c>
      <c r="B2224" t="str">
        <f>"1551765388644112"</f>
        <v>1551765388644112</v>
      </c>
      <c r="C2224" t="s">
        <v>40</v>
      </c>
      <c r="D2224">
        <v>4.2702470000000003</v>
      </c>
      <c r="E2224">
        <v>0.56474609999999903</v>
      </c>
      <c r="F2224" t="s">
        <v>55</v>
      </c>
      <c r="G2224">
        <v>-368.8569</v>
      </c>
      <c r="H2224" s="1">
        <v>3.1764210000000001E-6</v>
      </c>
      <c r="I2224">
        <v>212.41120000000001</v>
      </c>
      <c r="J2224">
        <v>-393.3408</v>
      </c>
      <c r="K2224">
        <v>1.1083019999999999</v>
      </c>
      <c r="L2224">
        <v>215.04409999999999</v>
      </c>
      <c r="M2224">
        <v>0.99970539999999997</v>
      </c>
      <c r="N2224">
        <v>-8.8859660000000004E-3</v>
      </c>
      <c r="O2224">
        <v>-2.2594889999999999E-2</v>
      </c>
      <c r="P2224">
        <v>0.99405049999999995</v>
      </c>
      <c r="Q2224">
        <v>-8.703205E-2</v>
      </c>
      <c r="R2224">
        <v>6.5496090000000007E-2</v>
      </c>
      <c r="S2224">
        <v>3.0269469999999998</v>
      </c>
      <c r="T2224">
        <v>-0.13440179999999999</v>
      </c>
      <c r="U2224">
        <v>-0.32060240000000001</v>
      </c>
      <c r="V2224">
        <v>-8.7888309999999997E-2</v>
      </c>
      <c r="W2224">
        <v>-7.8270259999999994E-2</v>
      </c>
      <c r="X2224">
        <v>0.99305060000000001</v>
      </c>
      <c r="Y2224">
        <v>8.2747180000000004E-2</v>
      </c>
      <c r="Z2224">
        <v>-1.4005459999999999E-3</v>
      </c>
      <c r="AA2224">
        <v>0.99656960000000006</v>
      </c>
      <c r="AB2224">
        <v>45</v>
      </c>
      <c r="AC2224">
        <v>24.483899999999998</v>
      </c>
      <c r="AD2224">
        <v>-1.1082988235789999</v>
      </c>
      <c r="AE2224">
        <v>-2.63289999999997</v>
      </c>
      <c r="AF2224">
        <v>2.0747922575758699</v>
      </c>
      <c r="AG2224">
        <v>-1.1082988235789999</v>
      </c>
      <c r="AH2224">
        <v>24.487538676269502</v>
      </c>
      <c r="AI2224">
        <v>92.582182224179903</v>
      </c>
      <c r="AJ2224">
        <v>85.156982033139201</v>
      </c>
      <c r="AK2224">
        <v>24.600256901427599</v>
      </c>
      <c r="AL2224">
        <v>94.489146948370006</v>
      </c>
      <c r="AM2224">
        <v>95.057690829329104</v>
      </c>
      <c r="AN2224">
        <v>1.0000000413977399</v>
      </c>
    </row>
    <row r="2225" spans="1:40" x14ac:dyDescent="0.25">
      <c r="A2225" t="str">
        <f>"20190305135628673"</f>
        <v>20190305135628673</v>
      </c>
      <c r="B2225" t="str">
        <f>"1551765388664609"</f>
        <v>1551765388664609</v>
      </c>
      <c r="C2225" t="s">
        <v>40</v>
      </c>
      <c r="D2225">
        <v>4.3043719999999999</v>
      </c>
      <c r="E2225">
        <v>0.56421980000000005</v>
      </c>
      <c r="F2225" t="s">
        <v>55</v>
      </c>
      <c r="G2225">
        <v>-367.57799999999997</v>
      </c>
      <c r="H2225" s="1">
        <v>2.4958599999999999E-6</v>
      </c>
      <c r="I2225">
        <v>212.39359999999999</v>
      </c>
      <c r="J2225">
        <v>-392.88029999999998</v>
      </c>
      <c r="K2225">
        <v>1.1083480000000001</v>
      </c>
      <c r="L2225">
        <v>215.03399999999999</v>
      </c>
      <c r="M2225">
        <v>0.9997144</v>
      </c>
      <c r="N2225">
        <v>-8.891843E-3</v>
      </c>
      <c r="O2225">
        <v>-2.2180470000000001E-2</v>
      </c>
      <c r="P2225">
        <v>0.9940968</v>
      </c>
      <c r="Q2225">
        <v>-8.6620299999999997E-2</v>
      </c>
      <c r="R2225">
        <v>6.5335969999999993E-2</v>
      </c>
      <c r="S2225">
        <v>3.0270999999999999</v>
      </c>
      <c r="T2225">
        <v>-0.13022410000000001</v>
      </c>
      <c r="U2225">
        <v>-0.31143189999999998</v>
      </c>
      <c r="V2225">
        <v>-8.7309600000000001E-2</v>
      </c>
      <c r="W2225">
        <v>-7.7860949999999998E-2</v>
      </c>
      <c r="X2225">
        <v>0.99313379999999996</v>
      </c>
      <c r="Y2225">
        <v>8.0175150000000001E-2</v>
      </c>
      <c r="Z2225">
        <v>-1.322604E-3</v>
      </c>
      <c r="AA2225">
        <v>0.99677990000000005</v>
      </c>
      <c r="AB2225">
        <v>46</v>
      </c>
      <c r="AC2225">
        <v>25.302299999999899</v>
      </c>
      <c r="AD2225">
        <v>-1.1083455041400001</v>
      </c>
      <c r="AE2225">
        <v>-2.6404000000000201</v>
      </c>
      <c r="AF2225">
        <v>2.0745734341996598</v>
      </c>
      <c r="AG2225">
        <v>-1.1083455041400001</v>
      </c>
      <c r="AH2225">
        <v>25.306607052476501</v>
      </c>
      <c r="AI2225">
        <v>92.499389025079793</v>
      </c>
      <c r="AJ2225">
        <v>85.313512327732695</v>
      </c>
      <c r="AK2225">
        <v>25.415677154049799</v>
      </c>
      <c r="AL2225">
        <v>94.465623524270399</v>
      </c>
      <c r="AM2225">
        <v>95.024140183183206</v>
      </c>
      <c r="AN2225">
        <v>1.00000001924475</v>
      </c>
    </row>
    <row r="2226" spans="1:40" x14ac:dyDescent="0.25">
      <c r="A2226" t="str">
        <f>"20190305135628695"</f>
        <v>20190305135628695</v>
      </c>
      <c r="B2226" t="str">
        <f>"1551765388684128"</f>
        <v>1551765388684128</v>
      </c>
      <c r="C2226" t="s">
        <v>40</v>
      </c>
      <c r="D2226">
        <v>4.2329889999999999</v>
      </c>
      <c r="E2226">
        <v>0.56381289999999995</v>
      </c>
      <c r="F2226" t="s">
        <v>55</v>
      </c>
      <c r="G2226">
        <v>-366.69229999999999</v>
      </c>
      <c r="H2226" s="1">
        <v>2.0245069999999998E-6</v>
      </c>
      <c r="I2226">
        <v>212.37010000000001</v>
      </c>
      <c r="J2226">
        <v>-392.41820000000001</v>
      </c>
      <c r="K2226">
        <v>1.1083780000000001</v>
      </c>
      <c r="L2226">
        <v>215.024</v>
      </c>
      <c r="M2226">
        <v>0.99972380000000005</v>
      </c>
      <c r="N2226">
        <v>-8.8979230000000003E-3</v>
      </c>
      <c r="O2226">
        <v>-2.1751099999999999E-2</v>
      </c>
      <c r="P2226">
        <v>0.99406240000000001</v>
      </c>
      <c r="Q2226">
        <v>-8.6480020000000005E-2</v>
      </c>
      <c r="R2226">
        <v>6.603792E-2</v>
      </c>
      <c r="S2226">
        <v>3.0268860000000002</v>
      </c>
      <c r="T2226">
        <v>-0.12810579999999999</v>
      </c>
      <c r="U2226">
        <v>-0.30789179999999999</v>
      </c>
      <c r="V2226">
        <v>-8.7577160000000001E-2</v>
      </c>
      <c r="W2226">
        <v>-7.7722949999999999E-2</v>
      </c>
      <c r="X2226">
        <v>0.99312100000000003</v>
      </c>
      <c r="Y2226">
        <v>7.9459290000000002E-2</v>
      </c>
      <c r="Z2226">
        <v>-1.306572E-3</v>
      </c>
      <c r="AA2226">
        <v>0.99683730000000004</v>
      </c>
      <c r="AB2226">
        <v>46</v>
      </c>
      <c r="AC2226">
        <v>25.725899999999999</v>
      </c>
      <c r="AD2226">
        <v>-1.108375975493</v>
      </c>
      <c r="AE2226">
        <v>-2.6538999999999899</v>
      </c>
      <c r="AF2226">
        <v>2.08984489936199</v>
      </c>
      <c r="AG2226">
        <v>-1.108375975493</v>
      </c>
      <c r="AH2226">
        <v>25.730282203553699</v>
      </c>
      <c r="AI2226">
        <v>92.458503000170495</v>
      </c>
      <c r="AJ2226">
        <v>85.3565597629336</v>
      </c>
      <c r="AK2226">
        <v>25.838795855862799</v>
      </c>
      <c r="AL2226">
        <v>94.457692900973598</v>
      </c>
      <c r="AM2226">
        <v>95.039522099800394</v>
      </c>
      <c r="AN2226">
        <v>0.99999996827568305</v>
      </c>
    </row>
    <row r="2227" spans="1:40" x14ac:dyDescent="0.25">
      <c r="A2227" t="str">
        <f>"20190305135628720"</f>
        <v>20190305135628720</v>
      </c>
      <c r="B2227" t="str">
        <f>"1551765388714385"</f>
        <v>1551765388714385</v>
      </c>
      <c r="C2227" t="s">
        <v>40</v>
      </c>
      <c r="D2227">
        <v>4.5537619999999999</v>
      </c>
      <c r="E2227">
        <v>0.56329980000000002</v>
      </c>
      <c r="F2227" t="s">
        <v>55</v>
      </c>
      <c r="G2227">
        <v>-365.9248</v>
      </c>
      <c r="H2227" s="1">
        <v>1.616113E-6</v>
      </c>
      <c r="I2227">
        <v>212.3784</v>
      </c>
      <c r="J2227">
        <v>-391.92020000000002</v>
      </c>
      <c r="K2227">
        <v>1.1084039999999999</v>
      </c>
      <c r="L2227">
        <v>215.01339999999999</v>
      </c>
      <c r="M2227">
        <v>0.99973400000000001</v>
      </c>
      <c r="N2227">
        <v>-8.9047009999999992E-3</v>
      </c>
      <c r="O2227">
        <v>-2.1278020000000002E-2</v>
      </c>
      <c r="P2227">
        <v>0.99404959999999998</v>
      </c>
      <c r="Q2227">
        <v>-8.6288599999999993E-2</v>
      </c>
      <c r="R2227">
        <v>6.6481429999999994E-2</v>
      </c>
      <c r="S2227">
        <v>3.0269469999999998</v>
      </c>
      <c r="T2227">
        <v>-0.12663530000000001</v>
      </c>
      <c r="U2227">
        <v>-0.30226140000000001</v>
      </c>
      <c r="V2227">
        <v>-8.7544849999999994E-2</v>
      </c>
      <c r="W2227">
        <v>-7.7531950000000002E-2</v>
      </c>
      <c r="X2227">
        <v>0.99313879999999999</v>
      </c>
      <c r="Y2227">
        <v>7.8095899999999996E-2</v>
      </c>
      <c r="Z2227">
        <v>-1.279309E-3</v>
      </c>
      <c r="AA2227">
        <v>0.99694499999999997</v>
      </c>
      <c r="AB2227">
        <v>46</v>
      </c>
      <c r="AC2227">
        <v>25.9954</v>
      </c>
      <c r="AD2227">
        <v>-1.1084023838869901</v>
      </c>
      <c r="AE2227">
        <v>-2.63499999999999</v>
      </c>
      <c r="AF2227">
        <v>2.0775122677991802</v>
      </c>
      <c r="AG2227">
        <v>-1.1084023838869901</v>
      </c>
      <c r="AH2227">
        <v>25.998797931632399</v>
      </c>
      <c r="AI2227">
        <v>92.433455619092896</v>
      </c>
      <c r="AJ2227">
        <v>85.431315762283106</v>
      </c>
      <c r="AK2227">
        <v>26.105212256507698</v>
      </c>
      <c r="AL2227">
        <v>94.446716187069498</v>
      </c>
      <c r="AM2227">
        <v>95.037582603337498</v>
      </c>
      <c r="AN2227">
        <v>0.99999999004888196</v>
      </c>
    </row>
    <row r="2228" spans="1:40" x14ac:dyDescent="0.25">
      <c r="A2228" t="str">
        <f>"20190305135628763"</f>
        <v>20190305135628763</v>
      </c>
      <c r="B2228" t="str">
        <f>"1551765388754400"</f>
        <v>1551765388754400</v>
      </c>
      <c r="C2228" t="s">
        <v>40</v>
      </c>
      <c r="D2228">
        <v>4.1671019999999999</v>
      </c>
      <c r="E2228">
        <v>0.56283149999999904</v>
      </c>
      <c r="F2228" t="s">
        <v>55</v>
      </c>
      <c r="G2228">
        <v>-364.88130000000001</v>
      </c>
      <c r="H2228" s="1">
        <v>1.060804E-6</v>
      </c>
      <c r="I2228">
        <v>212.36269999999999</v>
      </c>
      <c r="J2228">
        <v>-391.04180000000002</v>
      </c>
      <c r="K2228">
        <v>1.108457</v>
      </c>
      <c r="L2228">
        <v>214.99539999999999</v>
      </c>
      <c r="M2228">
        <v>0.99975190000000003</v>
      </c>
      <c r="N2228">
        <v>-8.9069470000000001E-3</v>
      </c>
      <c r="O2228">
        <v>-2.041898E-2</v>
      </c>
      <c r="P2228">
        <v>0.99406930000000004</v>
      </c>
      <c r="Q2228">
        <v>-8.5616529999999996E-2</v>
      </c>
      <c r="R2228">
        <v>6.7054119999999995E-2</v>
      </c>
      <c r="S2228">
        <v>3.027069</v>
      </c>
      <c r="T2228">
        <v>-0.1240883</v>
      </c>
      <c r="U2228">
        <v>-0.29675289999999999</v>
      </c>
      <c r="V2228">
        <v>-8.7254780000000004E-2</v>
      </c>
      <c r="W2228">
        <v>-7.6868080000000005E-2</v>
      </c>
      <c r="X2228">
        <v>0.99321590000000004</v>
      </c>
      <c r="Y2228">
        <v>7.7154840000000002E-2</v>
      </c>
      <c r="Z2228">
        <v>-1.268574E-3</v>
      </c>
      <c r="AA2228">
        <v>0.99701830000000002</v>
      </c>
      <c r="AB2228">
        <v>46</v>
      </c>
      <c r="AC2228">
        <v>26.160499999999999</v>
      </c>
      <c r="AD2228">
        <v>-1.1084559391960001</v>
      </c>
      <c r="AE2228">
        <v>-2.6326999999999998</v>
      </c>
      <c r="AF2228">
        <v>2.0942370314927001</v>
      </c>
      <c r="AG2228">
        <v>-1.1084559391960001</v>
      </c>
      <c r="AH2228">
        <v>26.162305469016101</v>
      </c>
      <c r="AI2228">
        <v>92.418355130092394</v>
      </c>
      <c r="AJ2228">
        <v>85.423352998663802</v>
      </c>
      <c r="AK2228">
        <v>26.269387712075101</v>
      </c>
      <c r="AL2228">
        <v>94.408565508040795</v>
      </c>
      <c r="AM2228">
        <v>95.020588835328596</v>
      </c>
      <c r="AN2228">
        <v>0.99999996118427104</v>
      </c>
    </row>
    <row r="2229" spans="1:40" x14ac:dyDescent="0.25">
      <c r="A2229" t="str">
        <f>"20190305135628784"</f>
        <v>20190305135628784</v>
      </c>
      <c r="B2229" t="str">
        <f>"1551765388773920"</f>
        <v>1551765388773920</v>
      </c>
      <c r="C2229" t="s">
        <v>40</v>
      </c>
      <c r="D2229">
        <v>4.2931619999999997</v>
      </c>
      <c r="E2229">
        <v>0.56260919999999903</v>
      </c>
      <c r="F2229" t="s">
        <v>55</v>
      </c>
      <c r="G2229">
        <v>-362.6148</v>
      </c>
      <c r="H2229" s="1">
        <v>-1.45334E-7</v>
      </c>
      <c r="I2229">
        <v>212.2637</v>
      </c>
      <c r="J2229">
        <v>-390.59249999999997</v>
      </c>
      <c r="K2229">
        <v>1.1084799999999999</v>
      </c>
      <c r="L2229">
        <v>214.98650000000001</v>
      </c>
      <c r="M2229">
        <v>0.99976120000000002</v>
      </c>
      <c r="N2229">
        <v>-8.9001469999999902E-3</v>
      </c>
      <c r="O2229">
        <v>-1.9964409999999998E-2</v>
      </c>
      <c r="P2229">
        <v>0.99408810000000003</v>
      </c>
      <c r="Q2229">
        <v>-8.5229189999999996E-2</v>
      </c>
      <c r="R2229">
        <v>6.7268599999999998E-2</v>
      </c>
      <c r="S2229">
        <v>3.0273439999999998</v>
      </c>
      <c r="T2229">
        <v>-0.1180456</v>
      </c>
      <c r="U2229">
        <v>-0.29090880000000002</v>
      </c>
      <c r="V2229">
        <v>-8.7014350000000004E-2</v>
      </c>
      <c r="W2229">
        <v>-7.6492350000000001E-2</v>
      </c>
      <c r="X2229">
        <v>0.99326599999999998</v>
      </c>
      <c r="Y2229">
        <v>7.5699279999999994E-2</v>
      </c>
      <c r="Z2229">
        <v>-1.2108450000000001E-3</v>
      </c>
      <c r="AA2229">
        <v>0.99712999999999996</v>
      </c>
      <c r="AB2229">
        <v>46</v>
      </c>
      <c r="AC2229">
        <v>27.977699999999899</v>
      </c>
      <c r="AD2229">
        <v>-1.1084801453340001</v>
      </c>
      <c r="AE2229">
        <v>-2.7227999999999999</v>
      </c>
      <c r="AF2229">
        <v>2.1603175994519499</v>
      </c>
      <c r="AG2229">
        <v>-1.1084801453340001</v>
      </c>
      <c r="AH2229">
        <v>27.9829703353371</v>
      </c>
      <c r="AI2229">
        <v>92.261729786149004</v>
      </c>
      <c r="AJ2229">
        <v>85.5854560664188</v>
      </c>
      <c r="AK2229">
        <v>28.088117223328801</v>
      </c>
      <c r="AL2229">
        <v>94.386974190924406</v>
      </c>
      <c r="AM2229">
        <v>95.006573791658397</v>
      </c>
      <c r="AN2229">
        <v>0.99999996173522099</v>
      </c>
    </row>
    <row r="2230" spans="1:40" x14ac:dyDescent="0.25">
      <c r="A2230" t="str">
        <f>"20190305135628828"</f>
        <v>20190305135628828</v>
      </c>
      <c r="B2230" t="str">
        <f>"1551765388824483"</f>
        <v>1551765388824483</v>
      </c>
      <c r="C2230" t="s">
        <v>40</v>
      </c>
      <c r="D2230">
        <v>4.310219</v>
      </c>
      <c r="E2230">
        <v>0.56226529999999997</v>
      </c>
      <c r="F2230" t="s">
        <v>55</v>
      </c>
      <c r="G2230">
        <v>-361.52109999999999</v>
      </c>
      <c r="H2230" s="1">
        <v>-7.2734420000000004E-7</v>
      </c>
      <c r="I2230">
        <v>212.21469999999999</v>
      </c>
      <c r="J2230">
        <v>-389.69240000000002</v>
      </c>
      <c r="K2230">
        <v>1.1085020000000001</v>
      </c>
      <c r="L2230">
        <v>214.9693</v>
      </c>
      <c r="M2230">
        <v>0.99978149999999999</v>
      </c>
      <c r="N2230">
        <v>-8.7912990000000007E-3</v>
      </c>
      <c r="O2230">
        <v>-1.8970150000000002E-2</v>
      </c>
      <c r="P2230">
        <v>0.99407319999999999</v>
      </c>
      <c r="Q2230">
        <v>-8.4927020000000006E-2</v>
      </c>
      <c r="R2230">
        <v>6.7871039999999994E-2</v>
      </c>
      <c r="S2230">
        <v>3.0274960000000002</v>
      </c>
      <c r="T2230">
        <v>-0.1154372</v>
      </c>
      <c r="U2230">
        <v>-0.28865049999999998</v>
      </c>
      <c r="V2230">
        <v>-8.6617219999999995E-2</v>
      </c>
      <c r="W2230">
        <v>-7.6311560000000001E-2</v>
      </c>
      <c r="X2230">
        <v>0.99331469999999999</v>
      </c>
      <c r="Y2230">
        <v>7.5950959999999998E-2</v>
      </c>
      <c r="Z2230">
        <v>-1.2241210000000001E-3</v>
      </c>
      <c r="AA2230">
        <v>0.99711079999999996</v>
      </c>
      <c r="AB2230">
        <v>46</v>
      </c>
      <c r="AC2230">
        <v>28.171299999999999</v>
      </c>
      <c r="AD2230">
        <v>-1.1085027273442001</v>
      </c>
      <c r="AE2230">
        <v>-2.7546000000000102</v>
      </c>
      <c r="AF2230">
        <v>2.2162708960747199</v>
      </c>
      <c r="AG2230">
        <v>-1.1085027273442001</v>
      </c>
      <c r="AH2230">
        <v>28.175276282462502</v>
      </c>
      <c r="AI2230">
        <v>92.246100693933201</v>
      </c>
      <c r="AJ2230">
        <v>85.502367518160995</v>
      </c>
      <c r="AK2230">
        <v>28.2840384063947</v>
      </c>
      <c r="AL2230">
        <v>94.376584955272307</v>
      </c>
      <c r="AM2230">
        <v>94.983596220116596</v>
      </c>
      <c r="AN2230">
        <v>1.0000000451131199</v>
      </c>
    </row>
    <row r="2231" spans="1:40" x14ac:dyDescent="0.25">
      <c r="A2231" t="str">
        <f>"20190305135628852"</f>
        <v>20190305135628852</v>
      </c>
      <c r="B2231" t="str">
        <f>"1551765388844002"</f>
        <v>1551765388844002</v>
      </c>
      <c r="C2231" t="s">
        <v>40</v>
      </c>
      <c r="D2231">
        <v>4.2860769999999997</v>
      </c>
      <c r="E2231">
        <v>0.56202289999999999</v>
      </c>
      <c r="F2231" t="s">
        <v>55</v>
      </c>
      <c r="G2231">
        <v>-360.12599999999998</v>
      </c>
      <c r="H2231" s="1">
        <v>-1.469734E-6</v>
      </c>
      <c r="I2231">
        <v>212.19470000000001</v>
      </c>
      <c r="J2231">
        <v>-389.18970000000002</v>
      </c>
      <c r="K2231">
        <v>1.1085259999999999</v>
      </c>
      <c r="L2231">
        <v>214.96019999999999</v>
      </c>
      <c r="M2231">
        <v>0.99979459999999998</v>
      </c>
      <c r="N2231">
        <v>-8.6520309999999993E-3</v>
      </c>
      <c r="O2231">
        <v>-1.8325689999999999E-2</v>
      </c>
      <c r="P2231">
        <v>0.99412780000000001</v>
      </c>
      <c r="Q2231">
        <v>-8.4168480000000004E-2</v>
      </c>
      <c r="R2231">
        <v>6.8013089999999998E-2</v>
      </c>
      <c r="S2231">
        <v>3.0276179999999999</v>
      </c>
      <c r="T2231">
        <v>-0.1135114</v>
      </c>
      <c r="U2231">
        <v>-0.2841187</v>
      </c>
      <c r="V2231">
        <v>-8.6111110000000005E-2</v>
      </c>
      <c r="W2231">
        <v>-7.5701210000000005E-2</v>
      </c>
      <c r="X2231">
        <v>0.99340530000000005</v>
      </c>
      <c r="Y2231">
        <v>7.5112979999999996E-2</v>
      </c>
      <c r="Z2231">
        <v>-1.2033510000000001E-3</v>
      </c>
      <c r="AA2231">
        <v>0.99717429999999996</v>
      </c>
      <c r="AB2231">
        <v>46</v>
      </c>
      <c r="AC2231">
        <v>29.063700000000001</v>
      </c>
      <c r="AD2231">
        <v>-1.108527469734</v>
      </c>
      <c r="AE2231">
        <v>-2.7654999999999701</v>
      </c>
      <c r="AF2231">
        <v>2.2291894095182299</v>
      </c>
      <c r="AG2231">
        <v>-1.108527469734</v>
      </c>
      <c r="AH2231">
        <v>29.067593654511601</v>
      </c>
      <c r="AI2231">
        <v>92.177596740037004</v>
      </c>
      <c r="AJ2231">
        <v>85.614579170566401</v>
      </c>
      <c r="AK2231">
        <v>29.174014455307098</v>
      </c>
      <c r="AL2231">
        <v>94.341513468818306</v>
      </c>
      <c r="AM2231">
        <v>94.954172499102697</v>
      </c>
      <c r="AN2231">
        <v>0.99999994326449104</v>
      </c>
    </row>
    <row r="2232" spans="1:40" x14ac:dyDescent="0.25">
      <c r="A2232" t="str">
        <f>"20190305135628874"</f>
        <v>20190305135628874</v>
      </c>
      <c r="B2232" t="str">
        <f>"1551765388864498"</f>
        <v>1551765388864498</v>
      </c>
      <c r="C2232" t="s">
        <v>40</v>
      </c>
      <c r="D2232">
        <v>4.2021249999999997</v>
      </c>
      <c r="E2232">
        <v>0.56161459999999996</v>
      </c>
      <c r="F2232" t="s">
        <v>55</v>
      </c>
      <c r="G2232">
        <v>-359.00259999999997</v>
      </c>
      <c r="H2232" s="1">
        <v>3.3617100000000002E-6</v>
      </c>
      <c r="I2232">
        <v>212.1514</v>
      </c>
      <c r="J2232">
        <v>-388.73719999999997</v>
      </c>
      <c r="K2232">
        <v>1.1085510000000001</v>
      </c>
      <c r="L2232">
        <v>214.9522</v>
      </c>
      <c r="M2232">
        <v>0.99980760000000002</v>
      </c>
      <c r="N2232">
        <v>-8.5006609999999996E-3</v>
      </c>
      <c r="O2232">
        <v>-1.7679159999999999E-2</v>
      </c>
      <c r="P2232">
        <v>0.99415609999999999</v>
      </c>
      <c r="Q2232">
        <v>-8.3704780000000006E-2</v>
      </c>
      <c r="R2232">
        <v>6.8170179999999997E-2</v>
      </c>
      <c r="S2232">
        <v>3.0276179999999999</v>
      </c>
      <c r="T2232">
        <v>-0.1111796</v>
      </c>
      <c r="U2232">
        <v>-0.28170780000000001</v>
      </c>
      <c r="V2232">
        <v>-8.5616170000000005E-2</v>
      </c>
      <c r="W2232">
        <v>-7.539862E-2</v>
      </c>
      <c r="X2232">
        <v>0.99347110000000005</v>
      </c>
      <c r="Y2232">
        <v>7.4972769999999994E-2</v>
      </c>
      <c r="Z2232">
        <v>-1.195149E-3</v>
      </c>
      <c r="AA2232">
        <v>0.99718490000000004</v>
      </c>
      <c r="AB2232">
        <v>46</v>
      </c>
      <c r="AC2232">
        <v>29.7346</v>
      </c>
      <c r="AD2232">
        <v>-1.1085476382899999</v>
      </c>
      <c r="AE2232">
        <v>-2.8008000000000002</v>
      </c>
      <c r="AF2232">
        <v>2.2715310611164301</v>
      </c>
      <c r="AG2232">
        <v>-1.1085476382899999</v>
      </c>
      <c r="AH2232">
        <v>29.738499935146098</v>
      </c>
      <c r="AI2232">
        <v>92.128603707968097</v>
      </c>
      <c r="AJ2232">
        <v>85.632028861934202</v>
      </c>
      <c r="AK2232">
        <v>29.8457217976155</v>
      </c>
      <c r="AL2232">
        <v>94.324126602327794</v>
      </c>
      <c r="AM2232">
        <v>94.925513308625597</v>
      </c>
      <c r="AN2232">
        <v>0.99999995349929005</v>
      </c>
    </row>
    <row r="2233" spans="1:40" x14ac:dyDescent="0.25">
      <c r="A2233" t="str">
        <f>"20190305135628896"</f>
        <v>20190305135628896</v>
      </c>
      <c r="B2233" t="str">
        <f>"1551765388894753"</f>
        <v>1551765388894753</v>
      </c>
      <c r="C2233" t="s">
        <v>40</v>
      </c>
      <c r="D2233">
        <v>4.2334370000000003</v>
      </c>
      <c r="E2233">
        <v>0.56130059999999904</v>
      </c>
      <c r="F2233" t="s">
        <v>55</v>
      </c>
      <c r="G2233">
        <v>-358.22500000000002</v>
      </c>
      <c r="H2233" s="1">
        <v>2.9479019999999998E-6</v>
      </c>
      <c r="I2233">
        <v>212.1514</v>
      </c>
      <c r="J2233">
        <v>-388.27289999999999</v>
      </c>
      <c r="K2233">
        <v>1.1085860000000001</v>
      </c>
      <c r="L2233">
        <v>214.94450000000001</v>
      </c>
      <c r="M2233">
        <v>0.99982159999999998</v>
      </c>
      <c r="N2233">
        <v>-8.3422989999999992E-3</v>
      </c>
      <c r="O2233">
        <v>-1.6953470000000002E-2</v>
      </c>
      <c r="P2233">
        <v>0.99420169999999997</v>
      </c>
      <c r="Q2233">
        <v>-8.2757549999999999E-2</v>
      </c>
      <c r="R2233">
        <v>6.8661780000000006E-2</v>
      </c>
      <c r="S2233">
        <v>3.027466</v>
      </c>
      <c r="T2233">
        <v>-0.10999200000000001</v>
      </c>
      <c r="U2233">
        <v>-0.2779083</v>
      </c>
      <c r="V2233">
        <v>-8.5377690000000006E-2</v>
      </c>
      <c r="W2233">
        <v>-7.4620560000000002E-2</v>
      </c>
      <c r="X2233">
        <v>0.99355039999999994</v>
      </c>
      <c r="Y2233">
        <v>7.4461760000000002E-2</v>
      </c>
      <c r="Z2233">
        <v>-1.187568E-3</v>
      </c>
      <c r="AA2233">
        <v>0.99722310000000003</v>
      </c>
      <c r="AB2233">
        <v>46</v>
      </c>
      <c r="AC2233">
        <v>30.047899999999899</v>
      </c>
      <c r="AD2233">
        <v>-1.108583052098</v>
      </c>
      <c r="AE2233">
        <v>-2.7930999999999999</v>
      </c>
      <c r="AF2233">
        <v>2.2801876058494202</v>
      </c>
      <c r="AG2233">
        <v>-1.108583052098</v>
      </c>
      <c r="AH2233">
        <v>30.050382696648899</v>
      </c>
      <c r="AI2233">
        <v>92.106679295733997</v>
      </c>
      <c r="AJ2233">
        <v>85.660778888265099</v>
      </c>
      <c r="AK2233">
        <v>30.1571502651747</v>
      </c>
      <c r="AL2233">
        <v>94.279420954760994</v>
      </c>
      <c r="AM2233">
        <v>94.911470606023698</v>
      </c>
      <c r="AN2233">
        <v>0.99999998763230402</v>
      </c>
    </row>
    <row r="2234" spans="1:40" x14ac:dyDescent="0.25">
      <c r="A2234" t="str">
        <f>"20190305135628921"</f>
        <v>20190305135628921</v>
      </c>
      <c r="B2234" t="str">
        <f>"1551765388914484"</f>
        <v>1551765388914484</v>
      </c>
      <c r="C2234" t="s">
        <v>40</v>
      </c>
      <c r="D2234">
        <v>4.2677360000000002</v>
      </c>
      <c r="E2234">
        <v>0.56113729999999995</v>
      </c>
      <c r="F2234" t="s">
        <v>55</v>
      </c>
      <c r="G2234">
        <v>-356.6259</v>
      </c>
      <c r="H2234" s="1">
        <v>2.0999360000000002E-6</v>
      </c>
      <c r="I2234">
        <v>212.08250000000001</v>
      </c>
      <c r="J2234">
        <v>-387.76459999999997</v>
      </c>
      <c r="K2234">
        <v>1.108636</v>
      </c>
      <c r="L2234">
        <v>214.93639999999999</v>
      </c>
      <c r="M2234">
        <v>0.99983739999999999</v>
      </c>
      <c r="N2234">
        <v>-8.1740159999999992E-3</v>
      </c>
      <c r="O2234">
        <v>-1.6078700000000001E-2</v>
      </c>
      <c r="P2234">
        <v>0.99419329999999995</v>
      </c>
      <c r="Q2234">
        <v>-8.2555980000000001E-2</v>
      </c>
      <c r="R2234">
        <v>6.9025970000000006E-2</v>
      </c>
      <c r="S2234">
        <v>3.0275880000000002</v>
      </c>
      <c r="T2234">
        <v>-0.1060555</v>
      </c>
      <c r="U2234">
        <v>-0.27380369999999998</v>
      </c>
      <c r="V2234">
        <v>-8.4859989999999996E-2</v>
      </c>
      <c r="W2234">
        <v>-7.4599960000000007E-2</v>
      </c>
      <c r="X2234">
        <v>0.99359629999999999</v>
      </c>
      <c r="Y2234">
        <v>7.3993349999999999E-2</v>
      </c>
      <c r="Z2234">
        <v>-1.165461E-3</v>
      </c>
      <c r="AA2234">
        <v>0.99725810000000004</v>
      </c>
      <c r="AB2234">
        <v>46</v>
      </c>
      <c r="AC2234">
        <v>31.138699999999901</v>
      </c>
      <c r="AD2234">
        <v>-1.108633900064</v>
      </c>
      <c r="AE2234">
        <v>-2.8538999999999799</v>
      </c>
      <c r="AF2234">
        <v>2.3498906868196698</v>
      </c>
      <c r="AG2234">
        <v>-1.108633900064</v>
      </c>
      <c r="AH2234">
        <v>31.141417526381002</v>
      </c>
      <c r="AI2234">
        <v>92.033092536892696</v>
      </c>
      <c r="AJ2234">
        <v>85.684713358253106</v>
      </c>
      <c r="AK2234">
        <v>31.249623052394799</v>
      </c>
      <c r="AL2234">
        <v>94.278237354078996</v>
      </c>
      <c r="AM2234">
        <v>94.881609124742994</v>
      </c>
      <c r="AN2234">
        <v>0.99999998965424497</v>
      </c>
    </row>
    <row r="2235" spans="1:40" x14ac:dyDescent="0.25">
      <c r="A2235" t="str">
        <f>"20190305135628941"</f>
        <v>20190305135628941</v>
      </c>
      <c r="B2235" t="str">
        <f>"1551765388934004"</f>
        <v>1551765388934004</v>
      </c>
      <c r="C2235" t="s">
        <v>40</v>
      </c>
      <c r="D2235">
        <v>4.590147</v>
      </c>
      <c r="E2235">
        <v>0.54796</v>
      </c>
      <c r="F2235" t="s">
        <v>55</v>
      </c>
      <c r="G2235">
        <v>-356.01069999999999</v>
      </c>
      <c r="H2235" s="1">
        <v>1.772218E-6</v>
      </c>
      <c r="I2235">
        <v>212.09100000000001</v>
      </c>
      <c r="J2235">
        <v>-387.35090000000002</v>
      </c>
      <c r="K2235">
        <v>1.108681</v>
      </c>
      <c r="L2235">
        <v>214.93020000000001</v>
      </c>
      <c r="M2235">
        <v>0.99985069999999998</v>
      </c>
      <c r="N2235">
        <v>-8.0429509999999996E-3</v>
      </c>
      <c r="O2235">
        <v>-1.529665E-2</v>
      </c>
      <c r="P2235">
        <v>0.99414219999999998</v>
      </c>
      <c r="Q2235">
        <v>-8.2897419999999999E-2</v>
      </c>
      <c r="R2235">
        <v>6.9350499999999995E-2</v>
      </c>
      <c r="S2235">
        <v>3.0275880000000002</v>
      </c>
      <c r="T2235">
        <v>-0.10570350000000001</v>
      </c>
      <c r="U2235">
        <v>-0.27130130000000002</v>
      </c>
      <c r="V2235">
        <v>-8.4394010000000005E-2</v>
      </c>
      <c r="W2235">
        <v>-7.5084120000000004E-2</v>
      </c>
      <c r="X2235">
        <v>0.99359949999999997</v>
      </c>
      <c r="Y2235">
        <v>7.3955960000000001E-2</v>
      </c>
      <c r="Z2235">
        <v>-1.1762389999999999E-3</v>
      </c>
      <c r="AA2235">
        <v>0.99726079999999995</v>
      </c>
      <c r="AB2235">
        <v>47</v>
      </c>
      <c r="AC2235">
        <v>31.340199999999999</v>
      </c>
      <c r="AD2235">
        <v>-1.1086792277819999</v>
      </c>
      <c r="AE2235">
        <v>-2.8392000000000301</v>
      </c>
      <c r="AF2235">
        <v>2.3565272024781101</v>
      </c>
      <c r="AG2235">
        <v>-1.1086792277819999</v>
      </c>
      <c r="AH2235">
        <v>31.341062561969999</v>
      </c>
      <c r="AI2235">
        <v>92.020275529144499</v>
      </c>
      <c r="AJ2235">
        <v>85.700034773974707</v>
      </c>
      <c r="AK2235">
        <v>31.4490793601252</v>
      </c>
      <c r="AL2235">
        <v>94.306055782465506</v>
      </c>
      <c r="AM2235">
        <v>94.854916330218103</v>
      </c>
      <c r="AN2235">
        <v>0.99999997020015097</v>
      </c>
    </row>
    <row r="2236" spans="1:40" x14ac:dyDescent="0.25">
      <c r="A2236" t="str">
        <f>"20190305135628964"</f>
        <v>20190305135628964</v>
      </c>
      <c r="B2236" t="str">
        <f>"1551765388954500"</f>
        <v>1551765388954500</v>
      </c>
      <c r="C2236" t="s">
        <v>40</v>
      </c>
      <c r="D2236">
        <v>4.3172350000000002</v>
      </c>
      <c r="E2236">
        <v>0.54861859999999996</v>
      </c>
      <c r="F2236" t="s">
        <v>55</v>
      </c>
      <c r="G2236">
        <v>-359.06670000000003</v>
      </c>
      <c r="H2236" s="1">
        <v>3.3423160000000002E-6</v>
      </c>
      <c r="I2236">
        <v>213.3749</v>
      </c>
      <c r="J2236">
        <v>-386.87490000000003</v>
      </c>
      <c r="K2236">
        <v>1.108743</v>
      </c>
      <c r="L2236">
        <v>214.92349999999999</v>
      </c>
      <c r="M2236">
        <v>0.99986629999999999</v>
      </c>
      <c r="N2236">
        <v>-7.9023389999999995E-3</v>
      </c>
      <c r="O2236">
        <v>-1.431495E-2</v>
      </c>
      <c r="P2236">
        <v>0.99406700000000003</v>
      </c>
      <c r="Q2236">
        <v>-8.3008299999999993E-2</v>
      </c>
      <c r="R2236">
        <v>7.0289009999999999E-2</v>
      </c>
      <c r="S2236">
        <v>3.0193789999999998</v>
      </c>
      <c r="T2236">
        <v>-0.118353</v>
      </c>
      <c r="U2236">
        <v>-0.16603090000000001</v>
      </c>
      <c r="V2236">
        <v>-8.4340650000000003E-2</v>
      </c>
      <c r="W2236">
        <v>-7.5351680000000004E-2</v>
      </c>
      <c r="X2236">
        <v>0.99358380000000002</v>
      </c>
      <c r="Y2236">
        <v>4.0575689999999998E-2</v>
      </c>
      <c r="Z2236">
        <v>-5.0746340000000002E-4</v>
      </c>
      <c r="AA2236">
        <v>0.99917630000000002</v>
      </c>
      <c r="AB2236">
        <v>47</v>
      </c>
      <c r="AC2236">
        <v>27.808199999999999</v>
      </c>
      <c r="AD2236">
        <v>-1.1087396576840001</v>
      </c>
      <c r="AE2236">
        <v>-1.54859999999999</v>
      </c>
      <c r="AF2236">
        <v>1.14853571322841</v>
      </c>
      <c r="AG2236">
        <v>-1.1087396576840001</v>
      </c>
      <c r="AH2236">
        <v>27.783488619250601</v>
      </c>
      <c r="AI2236">
        <v>92.283308969146503</v>
      </c>
      <c r="AJ2236">
        <v>87.632809797653096</v>
      </c>
      <c r="AK2236">
        <v>27.8293132823847</v>
      </c>
      <c r="AL2236">
        <v>94.321429289093302</v>
      </c>
      <c r="AM2236">
        <v>94.851937659107705</v>
      </c>
      <c r="AN2236">
        <v>0.99999999427184205</v>
      </c>
    </row>
    <row r="2237" spans="1:40" x14ac:dyDescent="0.25">
      <c r="A2237" t="str">
        <f>"20190305135628984"</f>
        <v>20190305135628984</v>
      </c>
      <c r="B2237" t="str">
        <f>"1551765388974020"</f>
        <v>1551765388974020</v>
      </c>
      <c r="C2237" t="s">
        <v>40</v>
      </c>
      <c r="D2237">
        <v>4.3285650000000002</v>
      </c>
      <c r="E2237">
        <v>0.54905130000000002</v>
      </c>
      <c r="F2237" t="s">
        <v>55</v>
      </c>
      <c r="G2237">
        <v>-357.90190000000001</v>
      </c>
      <c r="H2237" s="1">
        <v>2.7253E-6</v>
      </c>
      <c r="I2237">
        <v>213.3098</v>
      </c>
      <c r="J2237">
        <v>-386.42579999999998</v>
      </c>
      <c r="K2237">
        <v>1.1088119999999999</v>
      </c>
      <c r="L2237">
        <v>214.9177</v>
      </c>
      <c r="M2237">
        <v>0.99988129999999997</v>
      </c>
      <c r="N2237">
        <v>-7.7824290000000004E-3</v>
      </c>
      <c r="O2237">
        <v>-1.330808E-2</v>
      </c>
      <c r="P2237">
        <v>0.99396470000000003</v>
      </c>
      <c r="Q2237">
        <v>-8.3556679999999994E-2</v>
      </c>
      <c r="R2237">
        <v>7.108072E-2</v>
      </c>
      <c r="S2237">
        <v>3.0201720000000001</v>
      </c>
      <c r="T2237">
        <v>-0.11557580000000001</v>
      </c>
      <c r="U2237">
        <v>-0.1682129</v>
      </c>
      <c r="V2237">
        <v>-8.4114069999999999E-2</v>
      </c>
      <c r="W2237">
        <v>-7.6036149999999997E-2</v>
      </c>
      <c r="X2237">
        <v>0.99355090000000001</v>
      </c>
      <c r="Y2237">
        <v>4.228647E-2</v>
      </c>
      <c r="Z2237">
        <v>-5.6777219999999998E-4</v>
      </c>
      <c r="AA2237">
        <v>0.99910540000000003</v>
      </c>
      <c r="AB2237">
        <v>47</v>
      </c>
      <c r="AC2237">
        <v>28.523899999999902</v>
      </c>
      <c r="AD2237">
        <v>-1.1088092747</v>
      </c>
      <c r="AE2237">
        <v>-1.6079000000000001</v>
      </c>
      <c r="AF2237">
        <v>1.22630061203879</v>
      </c>
      <c r="AG2237">
        <v>-1.1088092747</v>
      </c>
      <c r="AH2237">
        <v>28.499842616372</v>
      </c>
      <c r="AI2237">
        <v>92.225957053178902</v>
      </c>
      <c r="AJ2237">
        <v>87.536178120841996</v>
      </c>
      <c r="AK2237">
        <v>28.547754734071901</v>
      </c>
      <c r="AL2237">
        <v>94.360759202013298</v>
      </c>
      <c r="AM2237">
        <v>94.839124446271697</v>
      </c>
      <c r="AN2237">
        <v>1.0000000318847899</v>
      </c>
    </row>
    <row r="2238" spans="1:40" x14ac:dyDescent="0.25">
      <c r="A2238" t="str">
        <f>"20190305135629008"</f>
        <v>20190305135629008</v>
      </c>
      <c r="B2238" t="str">
        <f>"1551765389004276"</f>
        <v>1551765389004276</v>
      </c>
      <c r="C2238" t="s">
        <v>40</v>
      </c>
      <c r="D2238">
        <v>4.3062649999999998</v>
      </c>
      <c r="E2238">
        <v>0.54935769999999995</v>
      </c>
      <c r="F2238" t="s">
        <v>55</v>
      </c>
      <c r="G2238">
        <v>-356.73079999999999</v>
      </c>
      <c r="H2238" s="1">
        <v>2.104389E-6</v>
      </c>
      <c r="I2238">
        <v>213.25810000000001</v>
      </c>
      <c r="J2238">
        <v>-385.95</v>
      </c>
      <c r="K2238">
        <v>1.108892</v>
      </c>
      <c r="L2238">
        <v>214.91200000000001</v>
      </c>
      <c r="M2238">
        <v>0.99989669999999997</v>
      </c>
      <c r="N2238">
        <v>-7.6689669999999996E-3</v>
      </c>
      <c r="O2238">
        <v>-1.216152E-2</v>
      </c>
      <c r="P2238">
        <v>0.99385299999999999</v>
      </c>
      <c r="Q2238">
        <v>-8.4048490000000003E-2</v>
      </c>
      <c r="R2238">
        <v>7.2056679999999998E-2</v>
      </c>
      <c r="S2238">
        <v>3.020813</v>
      </c>
      <c r="T2238">
        <v>-0.11279699999999999</v>
      </c>
      <c r="U2238">
        <v>-0.16882320000000001</v>
      </c>
      <c r="V2238">
        <v>-8.3930969999999994E-2</v>
      </c>
      <c r="W2238">
        <v>-7.6659389999999994E-2</v>
      </c>
      <c r="X2238">
        <v>0.99351849999999997</v>
      </c>
      <c r="Y2238">
        <v>4.3621359999999998E-2</v>
      </c>
      <c r="Z2238">
        <v>-6.2058730000000002E-4</v>
      </c>
      <c r="AA2238">
        <v>0.99904789999999999</v>
      </c>
      <c r="AB2238">
        <v>47</v>
      </c>
      <c r="AC2238">
        <v>29.219200000000001</v>
      </c>
      <c r="AD2238">
        <v>-1.108889895611</v>
      </c>
      <c r="AE2238">
        <v>-1.6538999999999899</v>
      </c>
      <c r="AF2238">
        <v>1.29655595655529</v>
      </c>
      <c r="AG2238">
        <v>-1.108889895611</v>
      </c>
      <c r="AH2238">
        <v>29.195239146039999</v>
      </c>
      <c r="AI2238">
        <v>92.173015769830897</v>
      </c>
      <c r="AJ2238">
        <v>87.457174290876097</v>
      </c>
      <c r="AK2238">
        <v>29.2450454426649</v>
      </c>
      <c r="AL2238">
        <v>94.396572718945393</v>
      </c>
      <c r="AM2238">
        <v>94.828797195895305</v>
      </c>
      <c r="AN2238">
        <v>1.0000000398212801</v>
      </c>
    </row>
    <row r="2239" spans="1:40" x14ac:dyDescent="0.25">
      <c r="A2239" t="str">
        <f>"20190305135629029"</f>
        <v>20190305135629029</v>
      </c>
      <c r="B2239" t="str">
        <f>"1551765389024772"</f>
        <v>1551765389024772</v>
      </c>
      <c r="C2239" t="s">
        <v>40</v>
      </c>
      <c r="D2239">
        <v>4.3055779999999997</v>
      </c>
      <c r="E2239">
        <v>0.5497206</v>
      </c>
      <c r="F2239" t="s">
        <v>55</v>
      </c>
      <c r="G2239">
        <v>-356.77019999999999</v>
      </c>
      <c r="H2239" s="1">
        <v>2.1241230000000001E-6</v>
      </c>
      <c r="I2239">
        <v>213.28639999999999</v>
      </c>
      <c r="J2239">
        <v>-385.49889999999999</v>
      </c>
      <c r="K2239">
        <v>1.10897</v>
      </c>
      <c r="L2239">
        <v>214.90710000000001</v>
      </c>
      <c r="M2239">
        <v>0.99991079999999999</v>
      </c>
      <c r="N2239">
        <v>-7.5772309999999898E-3</v>
      </c>
      <c r="O2239">
        <v>-1.1004E-2</v>
      </c>
      <c r="P2239">
        <v>0.99378820000000001</v>
      </c>
      <c r="Q2239">
        <v>-8.4151599999999993E-2</v>
      </c>
      <c r="R2239">
        <v>7.2825000000000001E-2</v>
      </c>
      <c r="S2239">
        <v>3.0210880000000002</v>
      </c>
      <c r="T2239">
        <v>-0.1148076</v>
      </c>
      <c r="U2239">
        <v>-0.16830439999999999</v>
      </c>
      <c r="V2239">
        <v>-8.3531659999999994E-2</v>
      </c>
      <c r="W2239">
        <v>-7.6870279999999999E-2</v>
      </c>
      <c r="X2239">
        <v>0.99353579999999997</v>
      </c>
      <c r="Y2239">
        <v>4.4599560000000003E-2</v>
      </c>
      <c r="Z2239">
        <v>-6.8129140000000002E-4</v>
      </c>
      <c r="AA2239">
        <v>0.99900469999999997</v>
      </c>
      <c r="AB2239">
        <v>47</v>
      </c>
      <c r="AC2239">
        <v>28.7287</v>
      </c>
      <c r="AD2239">
        <v>-1.1089678758769901</v>
      </c>
      <c r="AE2239">
        <v>-1.62070000000002</v>
      </c>
      <c r="AF2239">
        <v>1.3025274979308901</v>
      </c>
      <c r="AG2239">
        <v>-1.1089678758769901</v>
      </c>
      <c r="AH2239">
        <v>28.7021627063788</v>
      </c>
      <c r="AI2239">
        <v>92.2103686582047</v>
      </c>
      <c r="AJ2239">
        <v>87.401653620860699</v>
      </c>
      <c r="AK2239">
        <v>28.753096036010302</v>
      </c>
      <c r="AL2239">
        <v>94.408691840762998</v>
      </c>
      <c r="AM2239">
        <v>94.805848278509899</v>
      </c>
      <c r="AN2239">
        <v>0.999999982025636</v>
      </c>
    </row>
    <row r="2240" spans="1:40" x14ac:dyDescent="0.25">
      <c r="A2240" t="str">
        <f>"20190305135629053"</f>
        <v>20190305135629053</v>
      </c>
      <c r="B2240" t="str">
        <f>"1551765389044291"</f>
        <v>1551765389044291</v>
      </c>
      <c r="C2240" t="s">
        <v>40</v>
      </c>
      <c r="D2240">
        <v>4.5602530000000003</v>
      </c>
      <c r="E2240">
        <v>0.55007119999999998</v>
      </c>
      <c r="F2240" t="s">
        <v>55</v>
      </c>
      <c r="G2240">
        <v>-355.53680000000003</v>
      </c>
      <c r="H2240" s="1">
        <v>1.4700389999999999E-6</v>
      </c>
      <c r="I2240">
        <v>213.23429999999999</v>
      </c>
      <c r="J2240">
        <v>-385.01080000000002</v>
      </c>
      <c r="K2240">
        <v>1.1090469999999999</v>
      </c>
      <c r="L2240">
        <v>214.9025</v>
      </c>
      <c r="M2240">
        <v>0.99992510000000001</v>
      </c>
      <c r="N2240">
        <v>-7.4999439999999997E-3</v>
      </c>
      <c r="O2240">
        <v>-9.6845479999999994E-3</v>
      </c>
      <c r="P2240">
        <v>0.99378310000000003</v>
      </c>
      <c r="Q2240">
        <v>-8.3413780000000007E-2</v>
      </c>
      <c r="R2240">
        <v>7.3740559999999997E-2</v>
      </c>
      <c r="S2240">
        <v>3.0216059999999998</v>
      </c>
      <c r="T2240">
        <v>-0.11183700000000001</v>
      </c>
      <c r="U2240">
        <v>-0.1687012</v>
      </c>
      <c r="V2240">
        <v>-8.3122660000000001E-2</v>
      </c>
      <c r="W2240">
        <v>-7.6225440000000005E-2</v>
      </c>
      <c r="X2240">
        <v>0.99361980000000005</v>
      </c>
      <c r="Y2240">
        <v>4.6038820000000001E-2</v>
      </c>
      <c r="Z2240">
        <v>-7.3844769999999995E-4</v>
      </c>
      <c r="AA2240">
        <v>0.99893940000000003</v>
      </c>
      <c r="AB2240">
        <v>47</v>
      </c>
      <c r="AC2240">
        <v>29.473999999999901</v>
      </c>
      <c r="AD2240">
        <v>-1.10904552996099</v>
      </c>
      <c r="AE2240">
        <v>-1.6682000000000099</v>
      </c>
      <c r="AF2240">
        <v>1.3807227332325001</v>
      </c>
      <c r="AG2240">
        <v>-1.10904552996099</v>
      </c>
      <c r="AH2240">
        <v>29.4472138917024</v>
      </c>
      <c r="AI2240">
        <v>92.154498327397405</v>
      </c>
      <c r="AJ2240">
        <v>87.315478195871705</v>
      </c>
      <c r="AK2240">
        <v>29.500420051878301</v>
      </c>
      <c r="AL2240">
        <v>94.371636423728006</v>
      </c>
      <c r="AM2240">
        <v>94.782024158795707</v>
      </c>
      <c r="AN2240">
        <v>1.00000000063035</v>
      </c>
    </row>
    <row r="2241" spans="1:40" x14ac:dyDescent="0.25">
      <c r="A2241" t="str">
        <f>"20190305135629075"</f>
        <v>20190305135629075</v>
      </c>
      <c r="B2241" t="str">
        <f>"1551765389064788"</f>
        <v>1551765389064788</v>
      </c>
      <c r="C2241" t="s">
        <v>40</v>
      </c>
      <c r="D2241">
        <v>4.3635169999999999</v>
      </c>
      <c r="E2241">
        <v>0.55033480000000001</v>
      </c>
      <c r="F2241" t="s">
        <v>55</v>
      </c>
      <c r="G2241">
        <v>-354.2647</v>
      </c>
      <c r="H2241" s="1">
        <v>7.9514180000000003E-7</v>
      </c>
      <c r="I2241">
        <v>213.18680000000001</v>
      </c>
      <c r="J2241">
        <v>-384.53829999999999</v>
      </c>
      <c r="K2241">
        <v>1.1091230000000001</v>
      </c>
      <c r="L2241">
        <v>214.89869999999999</v>
      </c>
      <c r="M2241">
        <v>0.99993730000000003</v>
      </c>
      <c r="N2241">
        <v>-7.4482619999999998E-3</v>
      </c>
      <c r="O2241">
        <v>-8.3621430000000007E-3</v>
      </c>
      <c r="P2241">
        <v>0.99369390000000002</v>
      </c>
      <c r="Q2241">
        <v>-8.3278909999999998E-2</v>
      </c>
      <c r="R2241">
        <v>7.5080339999999995E-2</v>
      </c>
      <c r="S2241">
        <v>3.0220950000000002</v>
      </c>
      <c r="T2241">
        <v>-0.1090101</v>
      </c>
      <c r="U2241">
        <v>-0.16864009999999999</v>
      </c>
      <c r="V2241">
        <v>-8.3134E-2</v>
      </c>
      <c r="W2241">
        <v>-7.6157760000000005E-2</v>
      </c>
      <c r="X2241">
        <v>0.99362399999999995</v>
      </c>
      <c r="Y2241">
        <v>4.7330770000000001E-2</v>
      </c>
      <c r="Z2241">
        <v>-7.9011439999999999E-4</v>
      </c>
      <c r="AA2241">
        <v>0.99887899999999996</v>
      </c>
      <c r="AB2241">
        <v>47</v>
      </c>
      <c r="AC2241">
        <v>30.273599999999899</v>
      </c>
      <c r="AD2241">
        <v>-1.1091222048581999</v>
      </c>
      <c r="AE2241">
        <v>-1.71189999999998</v>
      </c>
      <c r="AF2241">
        <v>1.45673189543409</v>
      </c>
      <c r="AG2241">
        <v>-1.1091222048581999</v>
      </c>
      <c r="AH2241">
        <v>30.246388470771901</v>
      </c>
      <c r="AI2241">
        <v>92.097641663633894</v>
      </c>
      <c r="AJ2241">
        <v>87.242641231324995</v>
      </c>
      <c r="AK2241">
        <v>30.301753008783599</v>
      </c>
      <c r="AL2241">
        <v>94.367747518943105</v>
      </c>
      <c r="AM2241">
        <v>94.782653397532798</v>
      </c>
      <c r="AN2241">
        <v>0.99999995987010803</v>
      </c>
    </row>
    <row r="2242" spans="1:40" x14ac:dyDescent="0.25">
      <c r="A2242" t="str">
        <f>"20190305135629096"</f>
        <v>20190305135629096</v>
      </c>
      <c r="B2242" t="str">
        <f>"1551765389094067"</f>
        <v>1551765389094067</v>
      </c>
      <c r="C2242" t="s">
        <v>40</v>
      </c>
      <c r="D2242">
        <v>4.3908019999999999</v>
      </c>
      <c r="E2242">
        <v>0.5507128</v>
      </c>
      <c r="F2242" t="s">
        <v>55</v>
      </c>
      <c r="G2242">
        <v>-353.22320000000002</v>
      </c>
      <c r="H2242" s="1">
        <v>2.4142159999999998E-7</v>
      </c>
      <c r="I2242">
        <v>213.17490000000001</v>
      </c>
      <c r="J2242">
        <v>-384.06459999999998</v>
      </c>
      <c r="K2242">
        <v>1.1091879999999901</v>
      </c>
      <c r="L2242">
        <v>214.8955</v>
      </c>
      <c r="M2242">
        <v>0.99994799999999995</v>
      </c>
      <c r="N2242">
        <v>-7.4145849999999996E-3</v>
      </c>
      <c r="O2242">
        <v>-7.0030090000000001E-3</v>
      </c>
      <c r="P2242">
        <v>0.99357770000000001</v>
      </c>
      <c r="Q2242">
        <v>-8.3438199999999907E-2</v>
      </c>
      <c r="R2242">
        <v>7.6430120000000004E-2</v>
      </c>
      <c r="S2242">
        <v>3.0226440000000001</v>
      </c>
      <c r="T2242">
        <v>-0.1070561</v>
      </c>
      <c r="U2242">
        <v>-0.1663818</v>
      </c>
      <c r="V2242">
        <v>-8.3119879999999993E-2</v>
      </c>
      <c r="W2242">
        <v>-7.6364559999999998E-2</v>
      </c>
      <c r="X2242">
        <v>0.99360939999999998</v>
      </c>
      <c r="Y2242">
        <v>4.7934450000000003E-2</v>
      </c>
      <c r="Z2242">
        <v>-8.2999759999999995E-4</v>
      </c>
      <c r="AA2242">
        <v>0.99885020000000002</v>
      </c>
      <c r="AB2242">
        <v>47</v>
      </c>
      <c r="AC2242">
        <v>30.841399999999901</v>
      </c>
      <c r="AD2242">
        <v>-1.10918775857839</v>
      </c>
      <c r="AE2242">
        <v>-1.7205999999999899</v>
      </c>
      <c r="AF2242">
        <v>1.50263175510069</v>
      </c>
      <c r="AG2242">
        <v>-1.10918775857839</v>
      </c>
      <c r="AH2242">
        <v>30.812962728057201</v>
      </c>
      <c r="AI2242">
        <v>92.059166236202202</v>
      </c>
      <c r="AJ2242">
        <v>87.208113112729706</v>
      </c>
      <c r="AK2242">
        <v>30.8695136300502</v>
      </c>
      <c r="AL2242">
        <v>94.379630496445003</v>
      </c>
      <c r="AM2242">
        <v>94.781914786947894</v>
      </c>
      <c r="AN2242">
        <v>1.0000000501217801</v>
      </c>
    </row>
    <row r="2243" spans="1:40" x14ac:dyDescent="0.25">
      <c r="A2243" t="str">
        <f>"20190305135629120"</f>
        <v>20190305135629120</v>
      </c>
      <c r="B2243" t="str">
        <f>"1551765389114564"</f>
        <v>1551765389114564</v>
      </c>
      <c r="C2243" t="s">
        <v>40</v>
      </c>
      <c r="D2243">
        <v>4.3612229999999998</v>
      </c>
      <c r="E2243">
        <v>0.55073680000000003</v>
      </c>
      <c r="F2243" t="s">
        <v>55</v>
      </c>
      <c r="G2243">
        <v>-352.54070000000002</v>
      </c>
      <c r="H2243" s="1">
        <v>-1.217289E-7</v>
      </c>
      <c r="I2243">
        <v>213.1747</v>
      </c>
      <c r="J2243">
        <v>-383.5736</v>
      </c>
      <c r="K2243">
        <v>1.1092470000000001</v>
      </c>
      <c r="L2243">
        <v>214.89279999999999</v>
      </c>
      <c r="M2243">
        <v>0.99995710000000004</v>
      </c>
      <c r="N2243">
        <v>-7.4074329999999997E-3</v>
      </c>
      <c r="O2243">
        <v>-5.5713719999999998E-3</v>
      </c>
      <c r="P2243">
        <v>0.99340499999999998</v>
      </c>
      <c r="Q2243">
        <v>-8.4251649999999997E-2</v>
      </c>
      <c r="R2243">
        <v>7.7773250000000002E-2</v>
      </c>
      <c r="S2243">
        <v>3.023193</v>
      </c>
      <c r="T2243">
        <v>-0.106373</v>
      </c>
      <c r="U2243">
        <v>-0.165023799999999</v>
      </c>
      <c r="V2243">
        <v>-8.3025459999999995E-2</v>
      </c>
      <c r="W2243">
        <v>-7.7198000000000003E-2</v>
      </c>
      <c r="X2243">
        <v>0.99355289999999996</v>
      </c>
      <c r="Y2243">
        <v>4.8906289999999998E-2</v>
      </c>
      <c r="Z2243">
        <v>-8.8624709999999998E-4</v>
      </c>
      <c r="AA2243">
        <v>0.998803</v>
      </c>
      <c r="AB2243">
        <v>47</v>
      </c>
      <c r="AC2243">
        <v>31.032899999999898</v>
      </c>
      <c r="AD2243">
        <v>-1.1092471217288999</v>
      </c>
      <c r="AE2243">
        <v>-1.71809999999999</v>
      </c>
      <c r="AF2243">
        <v>1.54320711568277</v>
      </c>
      <c r="AG2243">
        <v>-1.1092471217288999</v>
      </c>
      <c r="AH2243">
        <v>31.002501467678499</v>
      </c>
      <c r="AI2243">
        <v>92.046595791608098</v>
      </c>
      <c r="AJ2243">
        <v>87.150348122841294</v>
      </c>
      <c r="AK2243">
        <v>31.0606988754658</v>
      </c>
      <c r="AL2243">
        <v>94.427524423690897</v>
      </c>
      <c r="AM2243">
        <v>94.776778286500502</v>
      </c>
      <c r="AN2243">
        <v>1.0000000616553</v>
      </c>
    </row>
    <row r="2244" spans="1:40" x14ac:dyDescent="0.25">
      <c r="A2244" t="str">
        <f>"20190305135629143"</f>
        <v>20190305135629143</v>
      </c>
      <c r="B2244" t="str">
        <f>"1551765389134084"</f>
        <v>1551765389134084</v>
      </c>
      <c r="C2244" t="s">
        <v>40</v>
      </c>
      <c r="D2244">
        <v>4.3557160000000001</v>
      </c>
      <c r="E2244">
        <v>0.55081000000000002</v>
      </c>
      <c r="F2244" t="s">
        <v>55</v>
      </c>
      <c r="G2244">
        <v>-353.92070000000001</v>
      </c>
      <c r="H2244" s="1">
        <v>6.0677220000000001E-7</v>
      </c>
      <c r="I2244">
        <v>213.3092</v>
      </c>
      <c r="J2244">
        <v>-383.09469999999999</v>
      </c>
      <c r="K2244">
        <v>1.1093189999999999</v>
      </c>
      <c r="L2244">
        <v>214.89089999999999</v>
      </c>
      <c r="M2244">
        <v>0.99996350000000001</v>
      </c>
      <c r="N2244">
        <v>-7.4577019999999897E-3</v>
      </c>
      <c r="O2244">
        <v>-4.1622959999999898E-3</v>
      </c>
      <c r="P2244">
        <v>0.99333280000000002</v>
      </c>
      <c r="Q2244">
        <v>-8.447839E-2</v>
      </c>
      <c r="R2244">
        <v>7.8443410000000005E-2</v>
      </c>
      <c r="S2244">
        <v>3.0229490000000001</v>
      </c>
      <c r="T2244">
        <v>-0.11308169999999999</v>
      </c>
      <c r="U2244">
        <v>-0.161438</v>
      </c>
      <c r="V2244">
        <v>-8.2284709999999997E-2</v>
      </c>
      <c r="W2244">
        <v>-7.7382889999999996E-2</v>
      </c>
      <c r="X2244">
        <v>0.99360009999999999</v>
      </c>
      <c r="Y2244">
        <v>4.9131939999999999E-2</v>
      </c>
      <c r="Z2244">
        <v>-9.7687750000000008E-4</v>
      </c>
      <c r="AA2244">
        <v>0.99879180000000001</v>
      </c>
      <c r="AB2244">
        <v>47</v>
      </c>
      <c r="AC2244">
        <v>29.1739999999999</v>
      </c>
      <c r="AD2244">
        <v>-1.1093183932277999</v>
      </c>
      <c r="AE2244">
        <v>-1.5816999999999799</v>
      </c>
      <c r="AF2244">
        <v>1.45815002005571</v>
      </c>
      <c r="AG2244">
        <v>-1.1093183932277999</v>
      </c>
      <c r="AH2244">
        <v>29.1383250489611</v>
      </c>
      <c r="AI2244">
        <v>92.177519184099694</v>
      </c>
      <c r="AJ2244">
        <v>87.135174825443499</v>
      </c>
      <c r="AK2244">
        <v>29.1958691502318</v>
      </c>
      <c r="AL2244">
        <v>94.438149800346693</v>
      </c>
      <c r="AM2244">
        <v>94.734130764837104</v>
      </c>
      <c r="AN2244">
        <v>1.00000002194227</v>
      </c>
    </row>
    <row r="2245" spans="1:40" x14ac:dyDescent="0.25">
      <c r="A2245" t="str">
        <f>"20190305135629164"</f>
        <v>20190305135629164</v>
      </c>
      <c r="B2245" t="str">
        <f>"1551765389154581"</f>
        <v>1551765389154581</v>
      </c>
      <c r="C2245" t="s">
        <v>40</v>
      </c>
      <c r="D2245">
        <v>4.4000000000000004</v>
      </c>
      <c r="E2245">
        <v>0.55086349999999995</v>
      </c>
      <c r="F2245" t="s">
        <v>55</v>
      </c>
      <c r="G2245">
        <v>-354.19889999999998</v>
      </c>
      <c r="H2245" s="1">
        <v>7.5261729999999997E-7</v>
      </c>
      <c r="I2245">
        <v>213.35939999999999</v>
      </c>
      <c r="J2245">
        <v>-382.63159999999999</v>
      </c>
      <c r="K2245">
        <v>1.109413</v>
      </c>
      <c r="L2245">
        <v>214.8896</v>
      </c>
      <c r="M2245">
        <v>0.99996719999999895</v>
      </c>
      <c r="N2245">
        <v>-7.6002719999999999E-3</v>
      </c>
      <c r="O2245">
        <v>-2.796808E-3</v>
      </c>
      <c r="P2245">
        <v>0.99332730000000002</v>
      </c>
      <c r="Q2245">
        <v>-8.4381639999999994E-2</v>
      </c>
      <c r="R2245">
        <v>7.8619170000000002E-2</v>
      </c>
      <c r="S2245">
        <v>3.0229189999999999</v>
      </c>
      <c r="T2245">
        <v>-0.1160508</v>
      </c>
      <c r="U2245">
        <v>-0.16021729999999901</v>
      </c>
      <c r="V2245">
        <v>-8.109645E-2</v>
      </c>
      <c r="W2245">
        <v>-7.7148939999999999E-2</v>
      </c>
      <c r="X2245">
        <v>0.99371589999999999</v>
      </c>
      <c r="Y2245">
        <v>5.0090620000000002E-2</v>
      </c>
      <c r="Z2245">
        <v>-1.0650239999999999E-3</v>
      </c>
      <c r="AA2245">
        <v>0.99874410000000002</v>
      </c>
      <c r="AB2245">
        <v>48</v>
      </c>
      <c r="AC2245">
        <v>28.432700000000001</v>
      </c>
      <c r="AD2245">
        <v>-1.1094122473826999</v>
      </c>
      <c r="AE2245">
        <v>-1.5302</v>
      </c>
      <c r="AF2245">
        <v>1.4484720235795501</v>
      </c>
      <c r="AG2245">
        <v>-1.1094122473826999</v>
      </c>
      <c r="AH2245">
        <v>28.393764686253402</v>
      </c>
      <c r="AI2245">
        <v>92.234641978493201</v>
      </c>
      <c r="AJ2245">
        <v>87.079659757627198</v>
      </c>
      <c r="AK2245">
        <v>28.452323978825799</v>
      </c>
      <c r="AL2245">
        <v>94.424705617334496</v>
      </c>
      <c r="AM2245">
        <v>94.665528679179303</v>
      </c>
      <c r="AN2245">
        <v>0.99999994152926597</v>
      </c>
    </row>
    <row r="2246" spans="1:40" x14ac:dyDescent="0.25">
      <c r="A2246" t="str">
        <f>"20190305135629186"</f>
        <v>20190305135629186</v>
      </c>
      <c r="B2246" t="str">
        <f>"1551765389183860"</f>
        <v>1551765389183860</v>
      </c>
      <c r="C2246" t="s">
        <v>40</v>
      </c>
      <c r="D2246">
        <v>4.3572629999999997</v>
      </c>
      <c r="E2246">
        <v>0.54874730000000005</v>
      </c>
      <c r="F2246" t="s">
        <v>41</v>
      </c>
      <c r="G2246">
        <v>-381.78469999999999</v>
      </c>
      <c r="H2246">
        <v>1.0562039999999999</v>
      </c>
      <c r="I2246">
        <v>214.84299999999999</v>
      </c>
      <c r="J2246">
        <v>-382.16109999999998</v>
      </c>
      <c r="K2246">
        <v>1.1095280000000001</v>
      </c>
      <c r="L2246">
        <v>214.88910000000001</v>
      </c>
      <c r="M2246">
        <v>0.99996810000000003</v>
      </c>
      <c r="N2246">
        <v>-7.8744660000000001E-3</v>
      </c>
      <c r="O2246">
        <v>-1.4152539999999999E-3</v>
      </c>
      <c r="P2246">
        <v>0.99326729999999996</v>
      </c>
      <c r="Q2246">
        <v>-8.4801730000000006E-2</v>
      </c>
      <c r="R2246">
        <v>7.8923989999999999E-2</v>
      </c>
      <c r="S2246">
        <v>3.0171199999999998</v>
      </c>
      <c r="T2246">
        <v>-0.1897981</v>
      </c>
      <c r="U2246">
        <v>-0.1651154</v>
      </c>
      <c r="V2246">
        <v>-8.0019370000000006E-2</v>
      </c>
      <c r="W2246">
        <v>-7.7300899999999895E-2</v>
      </c>
      <c r="X2246">
        <v>0.99379150000000005</v>
      </c>
      <c r="Y2246">
        <v>5.3115429999999998E-2</v>
      </c>
      <c r="Z2246">
        <v>-1.7995450000000001E-3</v>
      </c>
      <c r="AA2246">
        <v>0.9985868</v>
      </c>
      <c r="AB2246">
        <v>48</v>
      </c>
      <c r="AC2246">
        <v>0.37639999999998902</v>
      </c>
      <c r="AD2246">
        <v>-5.3323999999999899E-2</v>
      </c>
      <c r="AE2246">
        <v>-4.6100000000023997E-2</v>
      </c>
      <c r="AF2246">
        <v>4.4683690037585502E-2</v>
      </c>
      <c r="AG2246">
        <v>-5.3323999999999899E-2</v>
      </c>
      <c r="AH2246">
        <v>0.36916523903563803</v>
      </c>
      <c r="AI2246">
        <v>98.160479470203995</v>
      </c>
      <c r="AJ2246">
        <v>83.098502887312904</v>
      </c>
      <c r="AK2246">
        <v>0.37566348617295098</v>
      </c>
      <c r="AL2246">
        <v>94.433437938607696</v>
      </c>
      <c r="AM2246">
        <v>94.603483037405596</v>
      </c>
      <c r="AN2246">
        <v>1.00000003709412</v>
      </c>
    </row>
    <row r="2247" spans="1:40" x14ac:dyDescent="0.25">
      <c r="A2247" t="str">
        <f>"20190305135629208"</f>
        <v>20190305135629208</v>
      </c>
      <c r="B2247" t="str">
        <f>"1551765389204356"</f>
        <v>1551765389204356</v>
      </c>
      <c r="C2247" t="s">
        <v>40</v>
      </c>
      <c r="D2247">
        <v>5.1246510000000001</v>
      </c>
      <c r="E2247">
        <v>0.54982869999999995</v>
      </c>
      <c r="F2247" t="s">
        <v>55</v>
      </c>
      <c r="G2247">
        <v>-363.90480000000002</v>
      </c>
      <c r="H2247" s="1">
        <v>5.4114210000000003E-7</v>
      </c>
      <c r="I2247">
        <v>214.0008</v>
      </c>
      <c r="J2247">
        <v>-381.72500000000002</v>
      </c>
      <c r="K2247">
        <v>1.1096440000000001</v>
      </c>
      <c r="L2247">
        <v>214.88910000000001</v>
      </c>
      <c r="M2247">
        <v>0.99996600000000002</v>
      </c>
      <c r="N2247">
        <v>-8.2606420000000003E-3</v>
      </c>
      <c r="O2247">
        <v>-1.505771E-4</v>
      </c>
      <c r="P2247">
        <v>0.99322189999999999</v>
      </c>
      <c r="Q2247">
        <v>-8.4851360000000001E-2</v>
      </c>
      <c r="R2247">
        <v>7.9439750000000003E-2</v>
      </c>
      <c r="S2247">
        <v>3.016327</v>
      </c>
      <c r="T2247">
        <v>-0.18331749999999999</v>
      </c>
      <c r="U2247">
        <v>-0.146759</v>
      </c>
      <c r="V2247">
        <v>-7.9274070000000002E-2</v>
      </c>
      <c r="W2247">
        <v>-7.6970280000000002E-2</v>
      </c>
      <c r="X2247">
        <v>0.99387689999999995</v>
      </c>
      <c r="Y2247">
        <v>4.8346060000000003E-2</v>
      </c>
      <c r="Z2247">
        <v>-1.659018E-3</v>
      </c>
      <c r="AA2247">
        <v>0.99882919999999997</v>
      </c>
      <c r="AB2247">
        <v>48</v>
      </c>
      <c r="AC2247">
        <v>17.8202</v>
      </c>
      <c r="AD2247">
        <v>-1.1096434588578901</v>
      </c>
      <c r="AE2247">
        <v>-0.88830000000001497</v>
      </c>
      <c r="AF2247">
        <v>0.88220439488332103</v>
      </c>
      <c r="AG2247">
        <v>-1.1096434588578901</v>
      </c>
      <c r="AH2247">
        <v>17.7516736439852</v>
      </c>
      <c r="AI2247">
        <v>93.572463727402805</v>
      </c>
      <c r="AJ2247">
        <v>87.154914070018407</v>
      </c>
      <c r="AK2247">
        <v>17.808186610733198</v>
      </c>
      <c r="AL2247">
        <v>94.414438156022896</v>
      </c>
      <c r="AM2247">
        <v>94.560397717230302</v>
      </c>
      <c r="AN2247">
        <v>1.0000000472656201</v>
      </c>
    </row>
    <row r="2248" spans="1:40" x14ac:dyDescent="0.25">
      <c r="A2248" t="str">
        <f>"20190305135629230"</f>
        <v>20190305135629230</v>
      </c>
      <c r="B2248" t="str">
        <f>"1551765389224853"</f>
        <v>1551765389224853</v>
      </c>
      <c r="C2248" t="s">
        <v>40</v>
      </c>
      <c r="D2248">
        <v>4.3261050000000001</v>
      </c>
      <c r="E2248">
        <v>0.55065509999999995</v>
      </c>
      <c r="F2248" t="s">
        <v>55</v>
      </c>
      <c r="G2248">
        <v>-362.4271</v>
      </c>
      <c r="H2248" s="1">
        <v>-2.4520520000000002E-7</v>
      </c>
      <c r="I2248">
        <v>213.9102</v>
      </c>
      <c r="J2248">
        <v>-381.2346</v>
      </c>
      <c r="K2248">
        <v>1.10978</v>
      </c>
      <c r="L2248">
        <v>214.88990000000001</v>
      </c>
      <c r="M2248">
        <v>0.99996039999999997</v>
      </c>
      <c r="N2248">
        <v>-8.8246690000000003E-3</v>
      </c>
      <c r="O2248">
        <v>1.239904E-3</v>
      </c>
      <c r="P2248">
        <v>0.99308189999999996</v>
      </c>
      <c r="Q2248">
        <v>-8.5776649999999996E-2</v>
      </c>
      <c r="R2248">
        <v>8.019271E-2</v>
      </c>
      <c r="S2248">
        <v>3.0178530000000001</v>
      </c>
      <c r="T2248">
        <v>-0.17352879999999901</v>
      </c>
      <c r="U2248">
        <v>-0.15309139999999999</v>
      </c>
      <c r="V2248">
        <v>-7.8638659999999999E-2</v>
      </c>
      <c r="W2248">
        <v>-7.7338110000000002E-2</v>
      </c>
      <c r="X2248">
        <v>0.99389870000000002</v>
      </c>
      <c r="Y2248">
        <v>5.1801819999999998E-2</v>
      </c>
      <c r="Z2248">
        <v>-1.7763379999999999E-3</v>
      </c>
      <c r="AA2248">
        <v>0.99865579999999998</v>
      </c>
      <c r="AB2248">
        <v>48</v>
      </c>
      <c r="AC2248">
        <v>18.807500000000001</v>
      </c>
      <c r="AD2248">
        <v>-1.1097802452051999</v>
      </c>
      <c r="AE2248">
        <v>-0.97970000000000801</v>
      </c>
      <c r="AF2248">
        <v>0.999548771835857</v>
      </c>
      <c r="AG2248">
        <v>-1.1097802452051999</v>
      </c>
      <c r="AH2248">
        <v>18.7411930561336</v>
      </c>
      <c r="AI2248">
        <v>93.384076400179197</v>
      </c>
      <c r="AJ2248">
        <v>86.947061161892506</v>
      </c>
      <c r="AK2248">
        <v>18.800612413088999</v>
      </c>
      <c r="AL2248">
        <v>94.435576818719198</v>
      </c>
      <c r="AM2248">
        <v>94.5238980293434</v>
      </c>
      <c r="AN2248">
        <v>0.99999992398332505</v>
      </c>
    </row>
    <row r="2249" spans="1:40" x14ac:dyDescent="0.25">
      <c r="A2249" t="str">
        <f>"20190305135629253"</f>
        <v>20190305135629253</v>
      </c>
      <c r="B2249" t="str">
        <f>"1551765389244373"</f>
        <v>1551765389244373</v>
      </c>
      <c r="C2249" t="s">
        <v>40</v>
      </c>
      <c r="D2249">
        <v>4.3180550000000002</v>
      </c>
      <c r="E2249">
        <v>0.55157409999999996</v>
      </c>
      <c r="F2249" t="s">
        <v>41</v>
      </c>
      <c r="G2249">
        <v>-380.09339999999997</v>
      </c>
      <c r="H2249">
        <v>1.0467439999999999</v>
      </c>
      <c r="I2249">
        <v>214.83070000000001</v>
      </c>
      <c r="J2249">
        <v>-380.74520000000001</v>
      </c>
      <c r="K2249">
        <v>1.109896</v>
      </c>
      <c r="L2249">
        <v>214.8914</v>
      </c>
      <c r="M2249">
        <v>0.99995210000000001</v>
      </c>
      <c r="N2249">
        <v>-9.4532850000000005E-3</v>
      </c>
      <c r="O2249">
        <v>2.5942069999999998E-3</v>
      </c>
      <c r="P2249">
        <v>0.99298160000000002</v>
      </c>
      <c r="Q2249">
        <v>-8.6599330000000002E-2</v>
      </c>
      <c r="R2249">
        <v>8.0549519999999999E-2</v>
      </c>
      <c r="S2249">
        <v>3.0191349999999999</v>
      </c>
      <c r="T2249">
        <v>-0.1668705</v>
      </c>
      <c r="U2249">
        <v>-0.1564026</v>
      </c>
      <c r="V2249">
        <v>-7.7647869999999994E-2</v>
      </c>
      <c r="W2249">
        <v>-7.7533569999999996E-2</v>
      </c>
      <c r="X2249">
        <v>0.99396150000000005</v>
      </c>
      <c r="Y2249">
        <v>5.422565E-2</v>
      </c>
      <c r="Z2249">
        <v>-1.8718090000000001E-3</v>
      </c>
      <c r="AA2249">
        <v>0.9985269</v>
      </c>
      <c r="AB2249">
        <v>48</v>
      </c>
      <c r="AC2249">
        <v>0.65180000000003602</v>
      </c>
      <c r="AD2249">
        <v>-6.3151999999999806E-2</v>
      </c>
      <c r="AE2249">
        <v>-6.0699999999996999E-2</v>
      </c>
      <c r="AF2249">
        <v>6.18154776188959E-2</v>
      </c>
      <c r="AG2249">
        <v>-6.3151999999999806E-2</v>
      </c>
      <c r="AH2249">
        <v>0.64563163709548899</v>
      </c>
      <c r="AI2249">
        <v>95.561303016122494</v>
      </c>
      <c r="AJ2249">
        <v>84.530932943242703</v>
      </c>
      <c r="AK2249">
        <v>0.65165139391844595</v>
      </c>
      <c r="AL2249">
        <v>94.446808997798698</v>
      </c>
      <c r="AM2249">
        <v>94.466851266256896</v>
      </c>
      <c r="AN2249">
        <v>1.00000005483736</v>
      </c>
    </row>
    <row r="2250" spans="1:40" x14ac:dyDescent="0.25">
      <c r="A2250" t="str">
        <f>"20190305135629275"</f>
        <v>20190305135629275</v>
      </c>
      <c r="B2250" t="str">
        <f>"1551765389264868"</f>
        <v>1551765389264868</v>
      </c>
      <c r="C2250" t="s">
        <v>40</v>
      </c>
      <c r="D2250">
        <v>4.2934570000000001</v>
      </c>
      <c r="E2250">
        <v>0.55233120000000002</v>
      </c>
      <c r="F2250" t="s">
        <v>41</v>
      </c>
      <c r="G2250">
        <v>-379.6644</v>
      </c>
      <c r="H2250">
        <v>1.051904</v>
      </c>
      <c r="I2250">
        <v>214.8331</v>
      </c>
      <c r="J2250">
        <v>-380.27260000000001</v>
      </c>
      <c r="K2250">
        <v>1.109985</v>
      </c>
      <c r="L2250">
        <v>214.89349999999999</v>
      </c>
      <c r="M2250">
        <v>0.9999422</v>
      </c>
      <c r="N2250">
        <v>-1.004182E-2</v>
      </c>
      <c r="O2250">
        <v>3.8821319999999999E-3</v>
      </c>
      <c r="P2250">
        <v>0.99286870000000005</v>
      </c>
      <c r="Q2250">
        <v>-8.7172449999999999E-2</v>
      </c>
      <c r="R2250">
        <v>8.1321569999999996E-2</v>
      </c>
      <c r="S2250">
        <v>3.020203</v>
      </c>
      <c r="T2250">
        <v>-0.16208059999999999</v>
      </c>
      <c r="U2250">
        <v>-0.16224669999999999</v>
      </c>
      <c r="V2250">
        <v>-7.7141299999999996E-2</v>
      </c>
      <c r="W2250">
        <v>-7.7519229999999995E-2</v>
      </c>
      <c r="X2250">
        <v>0.99400200000000005</v>
      </c>
      <c r="Y2250">
        <v>5.7417910000000003E-2</v>
      </c>
      <c r="Z2250">
        <v>-1.9963260000000001E-3</v>
      </c>
      <c r="AA2250">
        <v>0.99834820000000002</v>
      </c>
      <c r="AB2250">
        <v>48</v>
      </c>
      <c r="AC2250">
        <v>0.60820000000000995</v>
      </c>
      <c r="AD2250">
        <v>-5.8080999999999799E-2</v>
      </c>
      <c r="AE2250">
        <v>-6.0399999999987103E-2</v>
      </c>
      <c r="AF2250">
        <v>6.2199085583255598E-2</v>
      </c>
      <c r="AG2250">
        <v>-5.8080999999999799E-2</v>
      </c>
      <c r="AH2250">
        <v>0.602519851398854</v>
      </c>
      <c r="AI2250">
        <v>95.477189498481494</v>
      </c>
      <c r="AJ2250">
        <v>84.106142576874404</v>
      </c>
      <c r="AK2250">
        <v>0.60850004119810097</v>
      </c>
      <c r="AL2250">
        <v>94.445985168898005</v>
      </c>
      <c r="AM2250">
        <v>94.4376464958236</v>
      </c>
      <c r="AN2250">
        <v>0.99999999359474101</v>
      </c>
    </row>
    <row r="2251" spans="1:40" x14ac:dyDescent="0.25">
      <c r="A2251" t="str">
        <f>"20190305135629298"</f>
        <v>20190305135629298</v>
      </c>
      <c r="B2251" t="str">
        <f>"1551765389294147"</f>
        <v>1551765389294147</v>
      </c>
      <c r="C2251" t="s">
        <v>40</v>
      </c>
      <c r="D2251">
        <v>4.2884989999999998</v>
      </c>
      <c r="E2251">
        <v>0.55319169999999995</v>
      </c>
      <c r="F2251" t="s">
        <v>41</v>
      </c>
      <c r="G2251">
        <v>-379.23669999999998</v>
      </c>
      <c r="H2251">
        <v>1.055404</v>
      </c>
      <c r="I2251">
        <v>214.8365</v>
      </c>
      <c r="J2251">
        <v>-379.7962</v>
      </c>
      <c r="K2251">
        <v>1.110044</v>
      </c>
      <c r="L2251">
        <v>214.89619999999999</v>
      </c>
      <c r="M2251">
        <v>0.99993069999999895</v>
      </c>
      <c r="N2251">
        <v>-1.058957E-2</v>
      </c>
      <c r="O2251">
        <v>5.1529979999999998E-3</v>
      </c>
      <c r="P2251">
        <v>0.99282309999999996</v>
      </c>
      <c r="Q2251">
        <v>-8.6754250000000005E-2</v>
      </c>
      <c r="R2251">
        <v>8.2316879999999995E-2</v>
      </c>
      <c r="S2251">
        <v>3.021118</v>
      </c>
      <c r="T2251">
        <v>-0.15929560000000001</v>
      </c>
      <c r="U2251">
        <v>-0.16563420000000001</v>
      </c>
      <c r="V2251">
        <v>-7.6881619999999998E-2</v>
      </c>
      <c r="W2251">
        <v>-7.6552560000000006E-2</v>
      </c>
      <c r="X2251">
        <v>0.99409709999999996</v>
      </c>
      <c r="Y2251">
        <v>5.9784009999999999E-2</v>
      </c>
      <c r="Z2251">
        <v>-2.1077299999999999E-3</v>
      </c>
      <c r="AA2251">
        <v>0.99820909999999996</v>
      </c>
      <c r="AB2251">
        <v>48</v>
      </c>
      <c r="AC2251">
        <v>0.55950000000001399</v>
      </c>
      <c r="AD2251">
        <v>-5.4640000000000001E-2</v>
      </c>
      <c r="AE2251">
        <v>-5.9699999999992301E-2</v>
      </c>
      <c r="AF2251">
        <v>6.1997841212329902E-2</v>
      </c>
      <c r="AG2251">
        <v>-5.4640000000000001E-2</v>
      </c>
      <c r="AH2251">
        <v>0.55396115223220699</v>
      </c>
      <c r="AI2251">
        <v>95.598424334218194</v>
      </c>
      <c r="AJ2251">
        <v>83.614183902298294</v>
      </c>
      <c r="AK2251">
        <v>0.56009126050798497</v>
      </c>
      <c r="AL2251">
        <v>94.390433677897093</v>
      </c>
      <c r="AM2251">
        <v>94.422346035739295</v>
      </c>
      <c r="AN2251">
        <v>1.00000006108239</v>
      </c>
    </row>
    <row r="2252" spans="1:40" x14ac:dyDescent="0.25">
      <c r="A2252" t="str">
        <f>"20190305135629322"</f>
        <v>20190305135629322</v>
      </c>
      <c r="B2252" t="str">
        <f>"1551765389314645"</f>
        <v>1551765389314645</v>
      </c>
      <c r="C2252" t="s">
        <v>40</v>
      </c>
      <c r="D2252">
        <v>4.2985220000000002</v>
      </c>
      <c r="E2252">
        <v>0.55358180000000001</v>
      </c>
      <c r="F2252" t="s">
        <v>55</v>
      </c>
      <c r="G2252">
        <v>-357.8553</v>
      </c>
      <c r="H2252" s="1">
        <v>2.6848269999999998E-6</v>
      </c>
      <c r="I2252">
        <v>213.6696</v>
      </c>
      <c r="J2252">
        <v>-379.29329999999999</v>
      </c>
      <c r="K2252">
        <v>1.110074</v>
      </c>
      <c r="L2252">
        <v>214.8998</v>
      </c>
      <c r="M2252">
        <v>0.99991739999999996</v>
      </c>
      <c r="N2252">
        <v>-1.1116330000000001E-2</v>
      </c>
      <c r="O2252">
        <v>6.4540439999999999E-3</v>
      </c>
      <c r="P2252">
        <v>0.99278279999999997</v>
      </c>
      <c r="Q2252">
        <v>-8.6053359999999995E-2</v>
      </c>
      <c r="R2252">
        <v>8.3529590000000001E-2</v>
      </c>
      <c r="S2252">
        <v>3.0223689999999999</v>
      </c>
      <c r="T2252">
        <v>-0.1529092</v>
      </c>
      <c r="U2252">
        <v>-0.16897579999999901</v>
      </c>
      <c r="V2252">
        <v>-7.6811569999999996E-2</v>
      </c>
      <c r="W2252">
        <v>-7.5322109999999998E-2</v>
      </c>
      <c r="X2252">
        <v>0.99419639999999998</v>
      </c>
      <c r="Y2252">
        <v>6.2162679999999998E-2</v>
      </c>
      <c r="Z2252">
        <v>-2.1707359999999999E-3</v>
      </c>
      <c r="AA2252">
        <v>0.9980637</v>
      </c>
      <c r="AB2252">
        <v>47</v>
      </c>
      <c r="AC2252">
        <v>21.437999999999899</v>
      </c>
      <c r="AD2252">
        <v>-1.110071315173</v>
      </c>
      <c r="AE2252">
        <v>-1.23019999999999</v>
      </c>
      <c r="AF2252">
        <v>1.3648971325517201</v>
      </c>
      <c r="AG2252">
        <v>-1.110071315173</v>
      </c>
      <c r="AH2252">
        <v>21.372496800221601</v>
      </c>
      <c r="AI2252">
        <v>92.967194048781195</v>
      </c>
      <c r="AJ2252">
        <v>86.3459210566715</v>
      </c>
      <c r="AK2252">
        <v>21.4447854263619</v>
      </c>
      <c r="AL2252">
        <v>94.319730374187301</v>
      </c>
      <c r="AM2252">
        <v>94.417893062751205</v>
      </c>
      <c r="AN2252">
        <v>0.99999995965683697</v>
      </c>
    </row>
    <row r="2253" spans="1:40" x14ac:dyDescent="0.25">
      <c r="A2253" t="str">
        <f>"20190305135629344"</f>
        <v>20190305135629344</v>
      </c>
      <c r="B2253" t="str">
        <f>"1551765389334164"</f>
        <v>1551765389334164</v>
      </c>
      <c r="C2253" t="s">
        <v>40</v>
      </c>
      <c r="D2253">
        <v>4.2766339999999996</v>
      </c>
      <c r="E2253">
        <v>0.55373430000000001</v>
      </c>
      <c r="F2253" t="s">
        <v>55</v>
      </c>
      <c r="G2253">
        <v>-357.0899</v>
      </c>
      <c r="H2253" s="1">
        <v>2.2776789999999999E-6</v>
      </c>
      <c r="I2253">
        <v>213.66489999999999</v>
      </c>
      <c r="J2253">
        <v>-378.81240000000003</v>
      </c>
      <c r="K2253">
        <v>1.110074</v>
      </c>
      <c r="L2253">
        <v>214.90379999999999</v>
      </c>
      <c r="M2253">
        <v>0.99990389999999996</v>
      </c>
      <c r="N2253">
        <v>-1.1572209999999999E-2</v>
      </c>
      <c r="O2253">
        <v>7.6541609999999996E-3</v>
      </c>
      <c r="P2253">
        <v>0.99281560000000002</v>
      </c>
      <c r="Q2253">
        <v>-8.5250720000000002E-2</v>
      </c>
      <c r="R2253">
        <v>8.3962220000000004E-2</v>
      </c>
      <c r="S2253">
        <v>3.0228269999999999</v>
      </c>
      <c r="T2253">
        <v>-0.15112790000000001</v>
      </c>
      <c r="U2253">
        <v>-0.1681213</v>
      </c>
      <c r="V2253">
        <v>-7.6063599999999995E-2</v>
      </c>
      <c r="W2253">
        <v>-7.4054670000000003E-2</v>
      </c>
      <c r="X2253">
        <v>0.99434909999999999</v>
      </c>
      <c r="Y2253">
        <v>6.3070249999999994E-2</v>
      </c>
      <c r="Z2253">
        <v>-2.2336169999999998E-3</v>
      </c>
      <c r="AA2253">
        <v>0.99800659999999997</v>
      </c>
      <c r="AB2253">
        <v>47</v>
      </c>
      <c r="AC2253">
        <v>21.7225</v>
      </c>
      <c r="AD2253">
        <v>-1.1100717223209999</v>
      </c>
      <c r="AE2253">
        <v>-1.2388999999999999</v>
      </c>
      <c r="AF2253">
        <v>1.4014942517175399</v>
      </c>
      <c r="AG2253">
        <v>-1.1100717223209999</v>
      </c>
      <c r="AH2253">
        <v>21.656009887395101</v>
      </c>
      <c r="AI2253">
        <v>92.928257882892098</v>
      </c>
      <c r="AJ2253">
        <v>86.297199548666498</v>
      </c>
      <c r="AK2253">
        <v>21.729684986424601</v>
      </c>
      <c r="AL2253">
        <v>94.246908050099407</v>
      </c>
      <c r="AM2253">
        <v>94.3743714204019</v>
      </c>
      <c r="AN2253">
        <v>0.99999994903228795</v>
      </c>
    </row>
    <row r="2254" spans="1:40" x14ac:dyDescent="0.25">
      <c r="A2254" t="str">
        <f>"20190305135629365"</f>
        <v>20190305135629365</v>
      </c>
      <c r="B2254" t="str">
        <f>"1551765389354660"</f>
        <v>1551765389354660</v>
      </c>
      <c r="C2254" t="s">
        <v>40</v>
      </c>
      <c r="D2254">
        <v>4.2803870000000002</v>
      </c>
      <c r="E2254">
        <v>0.55398049999999999</v>
      </c>
      <c r="F2254" t="s">
        <v>55</v>
      </c>
      <c r="G2254">
        <v>-356.34390000000002</v>
      </c>
      <c r="H2254" s="1">
        <v>1.881158E-6</v>
      </c>
      <c r="I2254">
        <v>213.65469999999999</v>
      </c>
      <c r="J2254">
        <v>-378.36380000000003</v>
      </c>
      <c r="K2254">
        <v>1.1100589999999999</v>
      </c>
      <c r="L2254">
        <v>214.90799999999999</v>
      </c>
      <c r="M2254">
        <v>0.99989039999999996</v>
      </c>
      <c r="N2254">
        <v>-1.19551E-2</v>
      </c>
      <c r="O2254">
        <v>8.7313809999999999E-3</v>
      </c>
      <c r="P2254">
        <v>0.99277930000000003</v>
      </c>
      <c r="Q2254">
        <v>-8.5724999999999996E-2</v>
      </c>
      <c r="R2254">
        <v>8.3909059999999994E-2</v>
      </c>
      <c r="S2254">
        <v>3.0230709999999998</v>
      </c>
      <c r="T2254">
        <v>-0.14935709999999999</v>
      </c>
      <c r="U2254">
        <v>-0.1680603</v>
      </c>
      <c r="V2254">
        <v>-7.4948399999999998E-2</v>
      </c>
      <c r="W2254">
        <v>-7.4134809999999995E-2</v>
      </c>
      <c r="X2254">
        <v>0.99442790000000003</v>
      </c>
      <c r="Y2254">
        <v>6.4120280000000002E-2</v>
      </c>
      <c r="Z2254">
        <v>-2.2922049999999999E-3</v>
      </c>
      <c r="AA2254">
        <v>0.99793949999999998</v>
      </c>
      <c r="AB2254">
        <v>47</v>
      </c>
      <c r="AC2254">
        <v>22.0199</v>
      </c>
      <c r="AD2254">
        <v>-1.1100571188420001</v>
      </c>
      <c r="AE2254">
        <v>-1.2532999999999901</v>
      </c>
      <c r="AF2254">
        <v>1.44187765290408</v>
      </c>
      <c r="AG2254">
        <v>-1.1100571188420001</v>
      </c>
      <c r="AH2254">
        <v>21.952508392401199</v>
      </c>
      <c r="AI2254">
        <v>92.888556521725206</v>
      </c>
      <c r="AJ2254">
        <v>86.242114629211201</v>
      </c>
      <c r="AK2254">
        <v>22.027797499783802</v>
      </c>
      <c r="AL2254">
        <v>94.251512000862903</v>
      </c>
      <c r="AM2254">
        <v>94.310140172649398</v>
      </c>
      <c r="AN2254">
        <v>1.0000000405073499</v>
      </c>
    </row>
    <row r="2255" spans="1:40" x14ac:dyDescent="0.25">
      <c r="A2255" t="str">
        <f>"20190305135629386"</f>
        <v>20190305135629386</v>
      </c>
      <c r="B2255" t="str">
        <f>"1551765389383940"</f>
        <v>1551765389383940</v>
      </c>
      <c r="C2255" t="s">
        <v>40</v>
      </c>
      <c r="D2255">
        <v>4.2451660000000002</v>
      </c>
      <c r="E2255">
        <v>0.55449139999999997</v>
      </c>
      <c r="F2255" t="s">
        <v>55</v>
      </c>
      <c r="G2255">
        <v>-356.26940000000002</v>
      </c>
      <c r="H2255" s="1">
        <v>1.841184E-6</v>
      </c>
      <c r="I2255">
        <v>213.66239999999999</v>
      </c>
      <c r="J2255">
        <v>-377.9162</v>
      </c>
      <c r="K2255">
        <v>1.110028</v>
      </c>
      <c r="L2255">
        <v>214.9127</v>
      </c>
      <c r="M2255">
        <v>0.99987680000000001</v>
      </c>
      <c r="N2255">
        <v>-1.2298099999999999E-2</v>
      </c>
      <c r="O2255">
        <v>9.7670949999999999E-3</v>
      </c>
      <c r="P2255">
        <v>0.99275219999999997</v>
      </c>
      <c r="Q2255">
        <v>-8.6498660000000005E-2</v>
      </c>
      <c r="R2255">
        <v>8.3434549999999996E-2</v>
      </c>
      <c r="S2255">
        <v>3.0231020000000002</v>
      </c>
      <c r="T2255">
        <v>-0.15188550000000001</v>
      </c>
      <c r="U2255">
        <v>-0.17042539999999901</v>
      </c>
      <c r="V2255">
        <v>-7.3452829999999997E-2</v>
      </c>
      <c r="W2255">
        <v>-7.4551519999999996E-2</v>
      </c>
      <c r="X2255">
        <v>0.99450830000000001</v>
      </c>
      <c r="Y2255">
        <v>6.5924380000000005E-2</v>
      </c>
      <c r="Z2255">
        <v>-2.4298290000000001E-3</v>
      </c>
      <c r="AA2255">
        <v>0.99782170000000003</v>
      </c>
      <c r="AB2255">
        <v>47</v>
      </c>
      <c r="AC2255">
        <v>21.646799999999899</v>
      </c>
      <c r="AD2255">
        <v>-1.1100261588160001</v>
      </c>
      <c r="AE2255">
        <v>-1.25030000000001</v>
      </c>
      <c r="AF2255">
        <v>1.45786191501319</v>
      </c>
      <c r="AG2255">
        <v>-1.1100261588160001</v>
      </c>
      <c r="AH2255">
        <v>21.577005741499399</v>
      </c>
      <c r="AI2255">
        <v>92.938290089741997</v>
      </c>
      <c r="AJ2255">
        <v>86.134654815571807</v>
      </c>
      <c r="AK2255">
        <v>21.6546691548313</v>
      </c>
      <c r="AL2255">
        <v>94.275454138915407</v>
      </c>
      <c r="AM2255">
        <v>94.224107010847206</v>
      </c>
      <c r="AN2255">
        <v>1.0000000030691001</v>
      </c>
    </row>
    <row r="2256" spans="1:40" x14ac:dyDescent="0.25">
      <c r="A2256" t="str">
        <f>"20190305135629409"</f>
        <v>20190305135629409</v>
      </c>
      <c r="B2256" t="str">
        <f>"1551765389404437"</f>
        <v>1551765389404437</v>
      </c>
      <c r="C2256" t="s">
        <v>40</v>
      </c>
      <c r="D2256">
        <v>4.236567</v>
      </c>
      <c r="E2256">
        <v>0.5547069</v>
      </c>
      <c r="F2256" t="s">
        <v>55</v>
      </c>
      <c r="G2256">
        <v>-356.10969999999998</v>
      </c>
      <c r="H2256" s="1">
        <v>1.7570249999999999E-6</v>
      </c>
      <c r="I2256">
        <v>213.64330000000001</v>
      </c>
      <c r="J2256">
        <v>-377.45569999999998</v>
      </c>
      <c r="K2256">
        <v>1.109988</v>
      </c>
      <c r="L2256">
        <v>214.91800000000001</v>
      </c>
      <c r="M2256">
        <v>0.99986240000000004</v>
      </c>
      <c r="N2256">
        <v>-1.261222E-2</v>
      </c>
      <c r="O2256">
        <v>1.0791149999999999E-2</v>
      </c>
      <c r="P2256">
        <v>0.99277170000000003</v>
      </c>
      <c r="Q2256">
        <v>-8.629966E-2</v>
      </c>
      <c r="R2256">
        <v>8.3408419999999997E-2</v>
      </c>
      <c r="S2256">
        <v>3.023285</v>
      </c>
      <c r="T2256">
        <v>-0.15389559999999999</v>
      </c>
      <c r="U2256">
        <v>-0.17599489999999901</v>
      </c>
      <c r="V2256">
        <v>-7.2420880000000007E-2</v>
      </c>
      <c r="W2256">
        <v>-7.4024889999999996E-2</v>
      </c>
      <c r="X2256">
        <v>0.99462329999999999</v>
      </c>
      <c r="Y2256">
        <v>6.8766419999999995E-2</v>
      </c>
      <c r="Z2256">
        <v>-2.5946039999999999E-3</v>
      </c>
      <c r="AA2256">
        <v>0.9976294</v>
      </c>
      <c r="AB2256">
        <v>47</v>
      </c>
      <c r="AC2256">
        <v>21.346</v>
      </c>
      <c r="AD2256">
        <v>-1.109986242975</v>
      </c>
      <c r="AE2256">
        <v>-1.27469999999999</v>
      </c>
      <c r="AF2256">
        <v>1.5009478396759901</v>
      </c>
      <c r="AG2256">
        <v>-1.109986242975</v>
      </c>
      <c r="AH2256">
        <v>21.273681299349398</v>
      </c>
      <c r="AI2256">
        <v>92.979391884809601</v>
      </c>
      <c r="AJ2256">
        <v>85.964229058125596</v>
      </c>
      <c r="AK2256">
        <v>21.355430922913001</v>
      </c>
      <c r="AL2256">
        <v>94.245196917521298</v>
      </c>
      <c r="AM2256">
        <v>94.164492340659706</v>
      </c>
      <c r="AN2256">
        <v>0.99999998855118799</v>
      </c>
    </row>
    <row r="2257" spans="1:40" x14ac:dyDescent="0.25">
      <c r="A2257" t="str">
        <f>"20190305135629432"</f>
        <v>20190305135629432</v>
      </c>
      <c r="B2257" t="str">
        <f>"1551765389423956"</f>
        <v>1551765389423956</v>
      </c>
      <c r="C2257" t="s">
        <v>40</v>
      </c>
      <c r="D2257">
        <v>4.2571890000000003</v>
      </c>
      <c r="E2257">
        <v>0.55493190000000003</v>
      </c>
      <c r="F2257" t="s">
        <v>55</v>
      </c>
      <c r="G2257">
        <v>-355.78429999999997</v>
      </c>
      <c r="H2257" s="1">
        <v>1.58382999999999E-6</v>
      </c>
      <c r="I2257">
        <v>213.64429999999999</v>
      </c>
      <c r="J2257">
        <v>-376.95400000000001</v>
      </c>
      <c r="K2257">
        <v>1.109937</v>
      </c>
      <c r="L2257">
        <v>214.92420000000001</v>
      </c>
      <c r="M2257">
        <v>0.99984649999999997</v>
      </c>
      <c r="N2257">
        <v>-1.291086E-2</v>
      </c>
      <c r="O2257">
        <v>1.1855620000000001E-2</v>
      </c>
      <c r="P2257">
        <v>0.99275630000000004</v>
      </c>
      <c r="Q2257">
        <v>-8.666596E-2</v>
      </c>
      <c r="R2257">
        <v>8.3212049999999996E-2</v>
      </c>
      <c r="S2257">
        <v>3.0233150000000002</v>
      </c>
      <c r="T2257">
        <v>-0.15485079999999901</v>
      </c>
      <c r="U2257">
        <v>-0.1776886</v>
      </c>
      <c r="V2257">
        <v>-7.1178439999999996E-2</v>
      </c>
      <c r="W2257">
        <v>-7.4077840000000006E-2</v>
      </c>
      <c r="X2257">
        <v>0.99470910000000001</v>
      </c>
      <c r="Y2257">
        <v>7.0379670000000005E-2</v>
      </c>
      <c r="Z2257">
        <v>-2.708266E-3</v>
      </c>
      <c r="AA2257">
        <v>0.99751659999999998</v>
      </c>
      <c r="AB2257">
        <v>47</v>
      </c>
      <c r="AC2257">
        <v>21.169699999999999</v>
      </c>
      <c r="AD2257">
        <v>-1.1099354161699999</v>
      </c>
      <c r="AE2257">
        <v>-1.27990000000002</v>
      </c>
      <c r="AF2257">
        <v>1.5266295025478001</v>
      </c>
      <c r="AG2257">
        <v>-1.1099354161699999</v>
      </c>
      <c r="AH2257">
        <v>21.095258166353599</v>
      </c>
      <c r="AI2257">
        <v>93.004021411963507</v>
      </c>
      <c r="AJ2257">
        <v>85.860813507368505</v>
      </c>
      <c r="AK2257">
        <v>21.179529536116402</v>
      </c>
      <c r="AL2257">
        <v>94.248238840625206</v>
      </c>
      <c r="AM2257">
        <v>94.092940121521906</v>
      </c>
      <c r="AN2257">
        <v>1.00000004516135</v>
      </c>
    </row>
    <row r="2258" spans="1:40" x14ac:dyDescent="0.25">
      <c r="A2258" t="str">
        <f>"20190305135629454"</f>
        <v>20190305135629454</v>
      </c>
      <c r="B2258" t="str">
        <f>"1551765389444452"</f>
        <v>1551765389444452</v>
      </c>
      <c r="C2258" t="s">
        <v>40</v>
      </c>
      <c r="D2258">
        <v>4.2970889999999997</v>
      </c>
      <c r="E2258">
        <v>0.55510749999999998</v>
      </c>
      <c r="F2258" t="s">
        <v>41</v>
      </c>
      <c r="G2258">
        <v>-375.85340000000002</v>
      </c>
      <c r="H2258">
        <v>1.0528150000000001</v>
      </c>
      <c r="I2258">
        <v>214.8587</v>
      </c>
      <c r="J2258">
        <v>-376.48700000000002</v>
      </c>
      <c r="K2258">
        <v>1.1098920000000001</v>
      </c>
      <c r="L2258">
        <v>214.93049999999999</v>
      </c>
      <c r="M2258">
        <v>0.99983169999999999</v>
      </c>
      <c r="N2258">
        <v>-1.3153720000000001E-2</v>
      </c>
      <c r="O2258">
        <v>1.2800479999999999E-2</v>
      </c>
      <c r="P2258">
        <v>0.99285449999999997</v>
      </c>
      <c r="Q2258">
        <v>-8.6420880000000005E-2</v>
      </c>
      <c r="R2258">
        <v>8.2290760000000004E-2</v>
      </c>
      <c r="S2258">
        <v>3.023285</v>
      </c>
      <c r="T2258">
        <v>-0.15690570000000001</v>
      </c>
      <c r="U2258">
        <v>-0.18006900000000001</v>
      </c>
      <c r="V2258">
        <v>-6.9328710000000002E-2</v>
      </c>
      <c r="W2258">
        <v>-7.3572890000000002E-2</v>
      </c>
      <c r="X2258">
        <v>0.99487720000000002</v>
      </c>
      <c r="Y2258">
        <v>7.2098510000000005E-2</v>
      </c>
      <c r="Z2258">
        <v>-2.8382469999999999E-3</v>
      </c>
      <c r="AA2258">
        <v>0.99739350000000004</v>
      </c>
      <c r="AB2258">
        <v>47</v>
      </c>
      <c r="AC2258">
        <v>0.63359999999994399</v>
      </c>
      <c r="AD2258">
        <v>-5.7077000000000003E-2</v>
      </c>
      <c r="AE2258">
        <v>-7.1799999999996006E-2</v>
      </c>
      <c r="AF2258">
        <v>7.9270075373538307E-2</v>
      </c>
      <c r="AG2258">
        <v>-5.7077000000000003E-2</v>
      </c>
      <c r="AH2258">
        <v>0.62760048188351003</v>
      </c>
      <c r="AI2258">
        <v>95.155718691947797</v>
      </c>
      <c r="AJ2258">
        <v>82.801285298832397</v>
      </c>
      <c r="AK2258">
        <v>0.63515658985728995</v>
      </c>
      <c r="AL2258">
        <v>94.219228187942207</v>
      </c>
      <c r="AM2258">
        <v>93.986252059934699</v>
      </c>
      <c r="AN2258">
        <v>1.00000004162652</v>
      </c>
    </row>
    <row r="2259" spans="1:40" x14ac:dyDescent="0.25">
      <c r="A2259" t="str">
        <f>"20190305135629476"</f>
        <v>20190305135629476</v>
      </c>
      <c r="B2259" t="str">
        <f>"1551765389474708"</f>
        <v>1551765389474708</v>
      </c>
      <c r="C2259" t="s">
        <v>40</v>
      </c>
      <c r="D2259">
        <v>4.3199360000000002</v>
      </c>
      <c r="E2259">
        <v>0.55555359999999998</v>
      </c>
      <c r="F2259" t="s">
        <v>55</v>
      </c>
      <c r="G2259">
        <v>-355.0779</v>
      </c>
      <c r="H2259" s="1">
        <v>1.2087679999999999E-6</v>
      </c>
      <c r="I2259">
        <v>213.62389999999999</v>
      </c>
      <c r="J2259">
        <v>-376.0231</v>
      </c>
      <c r="K2259">
        <v>1.1098429999999999</v>
      </c>
      <c r="L2259">
        <v>214.93709999999999</v>
      </c>
      <c r="M2259">
        <v>0.99981690000000001</v>
      </c>
      <c r="N2259">
        <v>-1.336499E-2</v>
      </c>
      <c r="O2259">
        <v>1.370034E-2</v>
      </c>
      <c r="P2259">
        <v>0.9929656</v>
      </c>
      <c r="Q2259">
        <v>-8.5848640000000004E-2</v>
      </c>
      <c r="R2259">
        <v>8.1543909999999997E-2</v>
      </c>
      <c r="S2259">
        <v>3.0232540000000001</v>
      </c>
      <c r="T2259">
        <v>-0.15673119999999999</v>
      </c>
      <c r="U2259">
        <v>-0.18450929999999999</v>
      </c>
      <c r="V2259">
        <v>-6.7698309999999998E-2</v>
      </c>
      <c r="W2259">
        <v>-7.2773790000000005E-2</v>
      </c>
      <c r="X2259">
        <v>0.99504820000000005</v>
      </c>
      <c r="Y2259">
        <v>7.4451539999999997E-2</v>
      </c>
      <c r="Z2259">
        <v>-2.9515320000000002E-3</v>
      </c>
      <c r="AA2259">
        <v>0.99722029999999995</v>
      </c>
      <c r="AB2259">
        <v>47</v>
      </c>
      <c r="AC2259">
        <v>20.9452</v>
      </c>
      <c r="AD2259">
        <v>-1.109841791232</v>
      </c>
      <c r="AE2259">
        <v>-1.3131999999999899</v>
      </c>
      <c r="AF2259">
        <v>1.59559626059927</v>
      </c>
      <c r="AG2259">
        <v>-1.109841791232</v>
      </c>
      <c r="AH2259">
        <v>20.866882096374798</v>
      </c>
      <c r="AI2259">
        <v>93.035662941582302</v>
      </c>
      <c r="AJ2259">
        <v>85.627359415362506</v>
      </c>
      <c r="AK2259">
        <v>20.957205077309599</v>
      </c>
      <c r="AL2259">
        <v>94.173320223906003</v>
      </c>
      <c r="AM2259">
        <v>93.892132312111499</v>
      </c>
      <c r="AN2259">
        <v>1.00000000300553</v>
      </c>
    </row>
    <row r="2260" spans="1:40" x14ac:dyDescent="0.25">
      <c r="A2260" t="str">
        <f>"20190305135629498"</f>
        <v>20190305135629498</v>
      </c>
      <c r="B2260" t="str">
        <f>"1551765389494229"</f>
        <v>1551765389494229</v>
      </c>
      <c r="C2260" t="s">
        <v>40</v>
      </c>
      <c r="D2260">
        <v>4.2470319999999999</v>
      </c>
      <c r="E2260">
        <v>0.55584869999999897</v>
      </c>
      <c r="F2260" t="s">
        <v>55</v>
      </c>
      <c r="G2260">
        <v>-354.28949999999998</v>
      </c>
      <c r="H2260" s="1">
        <v>7.9155399999999997E-7</v>
      </c>
      <c r="I2260">
        <v>213.57130000000001</v>
      </c>
      <c r="J2260">
        <v>-375.56639999999999</v>
      </c>
      <c r="K2260">
        <v>1.1097980000000001</v>
      </c>
      <c r="L2260">
        <v>214.94409999999999</v>
      </c>
      <c r="M2260">
        <v>0.99980250000000004</v>
      </c>
      <c r="N2260">
        <v>-1.3546829999999999E-2</v>
      </c>
      <c r="O2260">
        <v>1.4546969999999999E-2</v>
      </c>
      <c r="P2260">
        <v>0.99304680000000001</v>
      </c>
      <c r="Q2260">
        <v>-8.5973339999999995E-2</v>
      </c>
      <c r="R2260">
        <v>8.0417269999999999E-2</v>
      </c>
      <c r="S2260">
        <v>3.0234990000000002</v>
      </c>
      <c r="T2260">
        <v>-0.15439749999999999</v>
      </c>
      <c r="U2260">
        <v>-0.19000239999999999</v>
      </c>
      <c r="V2260">
        <v>-6.5738480000000002E-2</v>
      </c>
      <c r="W2260">
        <v>-7.2701089999999996E-2</v>
      </c>
      <c r="X2260">
        <v>0.99518490000000004</v>
      </c>
      <c r="Y2260">
        <v>7.7094270000000006E-2</v>
      </c>
      <c r="Z2260">
        <v>-3.0333199999999999E-3</v>
      </c>
      <c r="AA2260">
        <v>0.99701919999999999</v>
      </c>
      <c r="AB2260">
        <v>47</v>
      </c>
      <c r="AC2260">
        <v>21.276900000000001</v>
      </c>
      <c r="AD2260">
        <v>-1.1097972084459999</v>
      </c>
      <c r="AE2260">
        <v>-1.37279999999998</v>
      </c>
      <c r="AF2260">
        <v>1.67765215764821</v>
      </c>
      <c r="AG2260">
        <v>-1.1097972084459999</v>
      </c>
      <c r="AH2260">
        <v>21.197245384684599</v>
      </c>
      <c r="AI2260">
        <v>92.987700110352407</v>
      </c>
      <c r="AJ2260">
        <v>85.474768683136503</v>
      </c>
      <c r="AK2260">
        <v>21.292472343635101</v>
      </c>
      <c r="AL2260">
        <v>94.169143809142795</v>
      </c>
      <c r="AM2260">
        <v>93.779270933270695</v>
      </c>
      <c r="AN2260">
        <v>0.99999999071395396</v>
      </c>
    </row>
    <row r="2261" spans="1:40" x14ac:dyDescent="0.25">
      <c r="A2261" t="str">
        <f>"20190305135629522"</f>
        <v>20190305135629522</v>
      </c>
      <c r="B2261" t="str">
        <f>"1551765389514724"</f>
        <v>1551765389514724</v>
      </c>
      <c r="C2261" t="s">
        <v>40</v>
      </c>
      <c r="D2261">
        <v>4.3252839999999999</v>
      </c>
      <c r="E2261">
        <v>0.55589509999999998</v>
      </c>
      <c r="F2261" t="s">
        <v>55</v>
      </c>
      <c r="G2261">
        <v>-353.61509999999998</v>
      </c>
      <c r="H2261" s="1">
        <v>4.3485969999999999E-7</v>
      </c>
      <c r="I2261">
        <v>213.52109999999999</v>
      </c>
      <c r="J2261">
        <v>-375.0523</v>
      </c>
      <c r="K2261">
        <v>1.109742</v>
      </c>
      <c r="L2261">
        <v>214.95230000000001</v>
      </c>
      <c r="M2261">
        <v>0.99978639999999996</v>
      </c>
      <c r="N2261">
        <v>-1.3724210000000001E-2</v>
      </c>
      <c r="O2261">
        <v>1.5451039999999999E-2</v>
      </c>
      <c r="P2261">
        <v>0.99315690000000001</v>
      </c>
      <c r="Q2261">
        <v>-8.5713300000000006E-2</v>
      </c>
      <c r="R2261">
        <v>7.9327369999999994E-2</v>
      </c>
      <c r="S2261">
        <v>3.0236209999999999</v>
      </c>
      <c r="T2261">
        <v>-0.1528659</v>
      </c>
      <c r="U2261">
        <v>-0.19599910000000001</v>
      </c>
      <c r="V2261">
        <v>-6.3760200000000003E-2</v>
      </c>
      <c r="W2261">
        <v>-7.22468E-2</v>
      </c>
      <c r="X2261">
        <v>0.99534670000000003</v>
      </c>
      <c r="Y2261">
        <v>7.9959420000000003E-2</v>
      </c>
      <c r="Z2261">
        <v>-3.135793E-3</v>
      </c>
      <c r="AA2261">
        <v>0.99679320000000005</v>
      </c>
      <c r="AB2261">
        <v>47</v>
      </c>
      <c r="AC2261">
        <v>21.437200000000001</v>
      </c>
      <c r="AD2261">
        <v>-1.1097415651403</v>
      </c>
      <c r="AE2261">
        <v>-1.43120000000001</v>
      </c>
      <c r="AF2261">
        <v>1.75759819564914</v>
      </c>
      <c r="AG2261">
        <v>-1.1097415651403</v>
      </c>
      <c r="AH2261">
        <v>21.355549516457</v>
      </c>
      <c r="AI2261">
        <v>92.964694815748899</v>
      </c>
      <c r="AJ2261">
        <v>85.295063451409902</v>
      </c>
      <c r="AK2261">
        <v>21.456471585715001</v>
      </c>
      <c r="AL2261">
        <v>94.143046207878299</v>
      </c>
      <c r="AM2261">
        <v>93.6652612768941</v>
      </c>
      <c r="AN2261">
        <v>1.0000000082075799</v>
      </c>
    </row>
    <row r="2262" spans="1:40" x14ac:dyDescent="0.25">
      <c r="A2262" t="str">
        <f>"20190305135629544"</f>
        <v>20190305135629544</v>
      </c>
      <c r="B2262" t="str">
        <f>"1551765389534245"</f>
        <v>1551765389534245</v>
      </c>
      <c r="C2262" t="s">
        <v>40</v>
      </c>
      <c r="D2262">
        <v>4.3620320000000001</v>
      </c>
      <c r="E2262">
        <v>0.55615340000000002</v>
      </c>
      <c r="F2262" t="s">
        <v>55</v>
      </c>
      <c r="G2262">
        <v>-353.11180000000002</v>
      </c>
      <c r="H2262" s="1">
        <v>1.6782119999999999E-7</v>
      </c>
      <c r="I2262">
        <v>213.50370000000001</v>
      </c>
      <c r="J2262">
        <v>-374.59089999999998</v>
      </c>
      <c r="K2262">
        <v>1.109696</v>
      </c>
      <c r="L2262">
        <v>214.96</v>
      </c>
      <c r="M2262">
        <v>0.99977240000000001</v>
      </c>
      <c r="N2262">
        <v>-1.386136E-2</v>
      </c>
      <c r="O2262">
        <v>1.6213769999999999E-2</v>
      </c>
      <c r="P2262">
        <v>0.9932801</v>
      </c>
      <c r="Q2262">
        <v>-8.5144789999999998E-2</v>
      </c>
      <c r="R2262">
        <v>7.838871E-2</v>
      </c>
      <c r="S2262">
        <v>3.0234070000000002</v>
      </c>
      <c r="T2262">
        <v>-0.15292310000000001</v>
      </c>
      <c r="U2262">
        <v>-0.1996155</v>
      </c>
      <c r="V2262">
        <v>-6.2073219999999998E-2</v>
      </c>
      <c r="W2262">
        <v>-7.1525829999999999E-2</v>
      </c>
      <c r="X2262">
        <v>0.99550539999999998</v>
      </c>
      <c r="Y2262">
        <v>8.1907510000000003E-2</v>
      </c>
      <c r="Z2262">
        <v>-3.2310120000000001E-3</v>
      </c>
      <c r="AA2262">
        <v>0.99663469999999998</v>
      </c>
      <c r="AB2262">
        <v>47</v>
      </c>
      <c r="AC2262">
        <v>21.479099999999899</v>
      </c>
      <c r="AD2262">
        <v>-1.1096958321788</v>
      </c>
      <c r="AE2262">
        <v>-1.4562999999999899</v>
      </c>
      <c r="AF2262">
        <v>1.79961770033059</v>
      </c>
      <c r="AG2262">
        <v>-1.1096958321788</v>
      </c>
      <c r="AH2262">
        <v>21.395813931928</v>
      </c>
      <c r="AI2262">
        <v>92.958562287197594</v>
      </c>
      <c r="AJ2262">
        <v>85.192126342609598</v>
      </c>
      <c r="AK2262">
        <v>21.500020988756798</v>
      </c>
      <c r="AL2262">
        <v>94.101630491027194</v>
      </c>
      <c r="AM2262">
        <v>93.567971639657699</v>
      </c>
      <c r="AN2262">
        <v>1.00000001521375</v>
      </c>
    </row>
    <row r="2263" spans="1:40" x14ac:dyDescent="0.25">
      <c r="A2263" t="str">
        <f>"20190305135629567"</f>
        <v>20190305135629567</v>
      </c>
      <c r="B2263" t="str">
        <f>"1551765389564500"</f>
        <v>1551765389564500</v>
      </c>
      <c r="C2263" t="s">
        <v>40</v>
      </c>
      <c r="D2263">
        <v>4.3418070000000002</v>
      </c>
      <c r="E2263">
        <v>0.55643359999999997</v>
      </c>
      <c r="F2263" t="s">
        <v>55</v>
      </c>
      <c r="G2263">
        <v>-352.19560000000001</v>
      </c>
      <c r="H2263" s="1">
        <v>-3.1729219999999999E-7</v>
      </c>
      <c r="I2263">
        <v>213.44640000000001</v>
      </c>
      <c r="J2263">
        <v>-374.12189999999998</v>
      </c>
      <c r="K2263">
        <v>1.1096379999999999</v>
      </c>
      <c r="L2263">
        <v>214.96809999999999</v>
      </c>
      <c r="M2263">
        <v>0.99975879999999995</v>
      </c>
      <c r="N2263">
        <v>-1.3982069999999999E-2</v>
      </c>
      <c r="O2263">
        <v>1.693654E-2</v>
      </c>
      <c r="P2263">
        <v>0.99341400000000002</v>
      </c>
      <c r="Q2263">
        <v>-8.4562219999999994E-2</v>
      </c>
      <c r="R2263">
        <v>7.7318860000000003E-2</v>
      </c>
      <c r="S2263">
        <v>3.02359</v>
      </c>
      <c r="T2263">
        <v>-0.14981989999999901</v>
      </c>
      <c r="U2263">
        <v>-0.20434569999999999</v>
      </c>
      <c r="V2263">
        <v>-6.029516E-2</v>
      </c>
      <c r="W2263">
        <v>-7.0806460000000002E-2</v>
      </c>
      <c r="X2263">
        <v>0.9956661</v>
      </c>
      <c r="Y2263">
        <v>8.417732E-2</v>
      </c>
      <c r="Z2263">
        <v>-3.2729170000000002E-3</v>
      </c>
      <c r="AA2263">
        <v>0.99644540000000004</v>
      </c>
      <c r="AB2263">
        <v>47</v>
      </c>
      <c r="AC2263">
        <v>21.926299999999902</v>
      </c>
      <c r="AD2263">
        <v>-1.1096383172922</v>
      </c>
      <c r="AE2263">
        <v>-1.5216999999999801</v>
      </c>
      <c r="AF2263">
        <v>1.88806125817732</v>
      </c>
      <c r="AG2263">
        <v>-1.1096383172922</v>
      </c>
      <c r="AH2263">
        <v>21.841708179082602</v>
      </c>
      <c r="AI2263">
        <v>92.897546709271296</v>
      </c>
      <c r="AJ2263">
        <v>85.059466347037798</v>
      </c>
      <c r="AK2263">
        <v>21.9512252207033</v>
      </c>
      <c r="AL2263">
        <v>94.060308826651095</v>
      </c>
      <c r="AM2263">
        <v>93.465463430726302</v>
      </c>
      <c r="AN2263">
        <v>1.0000000218931799</v>
      </c>
    </row>
    <row r="2264" spans="1:40" x14ac:dyDescent="0.25">
      <c r="A2264" t="str">
        <f>"20190305135629588"</f>
        <v>20190305135629588</v>
      </c>
      <c r="B2264" t="str">
        <f>"1551765389584021"</f>
        <v>1551765389584021</v>
      </c>
      <c r="C2264" t="s">
        <v>40</v>
      </c>
      <c r="D2264">
        <v>4.3251600000000003</v>
      </c>
      <c r="E2264">
        <v>0.55662089999999997</v>
      </c>
      <c r="F2264" t="s">
        <v>55</v>
      </c>
      <c r="G2264">
        <v>-351.21789999999999</v>
      </c>
      <c r="H2264" s="1">
        <v>-8.3464670000000002E-7</v>
      </c>
      <c r="I2264">
        <v>213.37979999999999</v>
      </c>
      <c r="J2264">
        <v>-373.68369999999999</v>
      </c>
      <c r="K2264">
        <v>1.1095889999999999</v>
      </c>
      <c r="L2264">
        <v>214.976</v>
      </c>
      <c r="M2264">
        <v>0.99974689999999999</v>
      </c>
      <c r="N2264">
        <v>-1.407953E-2</v>
      </c>
      <c r="O2264">
        <v>1.75564E-2</v>
      </c>
      <c r="P2264">
        <v>0.99358919999999995</v>
      </c>
      <c r="Q2264">
        <v>-8.3430509999999999E-2</v>
      </c>
      <c r="R2264">
        <v>7.6289259999999998E-2</v>
      </c>
      <c r="S2264">
        <v>3.0237120000000002</v>
      </c>
      <c r="T2264">
        <v>-0.1464905</v>
      </c>
      <c r="U2264">
        <v>-0.20968629999999999</v>
      </c>
      <c r="V2264">
        <v>-5.8660379999999998E-2</v>
      </c>
      <c r="W2264">
        <v>-6.9561349999999994E-2</v>
      </c>
      <c r="X2264">
        <v>0.9958515</v>
      </c>
      <c r="Y2264">
        <v>8.654568E-2</v>
      </c>
      <c r="Z2264">
        <v>-3.3055599999999999E-3</v>
      </c>
      <c r="AA2264">
        <v>0.99624239999999997</v>
      </c>
      <c r="AB2264">
        <v>47</v>
      </c>
      <c r="AC2264">
        <v>22.465800000000002</v>
      </c>
      <c r="AD2264">
        <v>-1.1095898346466999</v>
      </c>
      <c r="AE2264">
        <v>-1.5962000000000101</v>
      </c>
      <c r="AF2264">
        <v>1.9855922380876601</v>
      </c>
      <c r="AG2264">
        <v>-1.1095898346466999</v>
      </c>
      <c r="AH2264">
        <v>22.3799911576276</v>
      </c>
      <c r="AI2264">
        <v>92.827287015652502</v>
      </c>
      <c r="AJ2264">
        <v>84.929892906691805</v>
      </c>
      <c r="AK2264">
        <v>22.495283291227899</v>
      </c>
      <c r="AL2264">
        <v>93.988792946477602</v>
      </c>
      <c r="AM2264">
        <v>93.371097982402503</v>
      </c>
      <c r="AN2264">
        <v>1.0000000158239</v>
      </c>
    </row>
    <row r="2265" spans="1:40" x14ac:dyDescent="0.25">
      <c r="A2265" t="str">
        <f>"20190305135629610"</f>
        <v>20190305135629610</v>
      </c>
      <c r="B2265" t="str">
        <f>"1551765389604517"</f>
        <v>1551765389604517</v>
      </c>
      <c r="C2265" t="s">
        <v>40</v>
      </c>
      <c r="D2265">
        <v>4.2961609999999997</v>
      </c>
      <c r="E2265">
        <v>0.55662880000000003</v>
      </c>
      <c r="F2265" t="s">
        <v>55</v>
      </c>
      <c r="G2265">
        <v>-349.98700000000002</v>
      </c>
      <c r="H2265" s="1">
        <v>-1.486053E-6</v>
      </c>
      <c r="I2265">
        <v>213.29769999999999</v>
      </c>
      <c r="J2265">
        <v>-373.22519999999997</v>
      </c>
      <c r="K2265">
        <v>1.109534</v>
      </c>
      <c r="L2265">
        <v>214.9845</v>
      </c>
      <c r="M2265">
        <v>0.99973520000000005</v>
      </c>
      <c r="N2265">
        <v>-1.416797E-2</v>
      </c>
      <c r="O2265">
        <v>1.8140860000000002E-2</v>
      </c>
      <c r="P2265">
        <v>0.99376770000000003</v>
      </c>
      <c r="Q2265">
        <v>-8.2103979999999993E-2</v>
      </c>
      <c r="R2265">
        <v>7.5399789999999994E-2</v>
      </c>
      <c r="S2265">
        <v>3.023895</v>
      </c>
      <c r="T2265">
        <v>-0.14159330000000001</v>
      </c>
      <c r="U2265">
        <v>-0.21417240000000001</v>
      </c>
      <c r="V2265">
        <v>-5.7201990000000001E-2</v>
      </c>
      <c r="W2265">
        <v>-6.8130049999999998E-2</v>
      </c>
      <c r="X2265">
        <v>0.99603529999999996</v>
      </c>
      <c r="Y2265">
        <v>8.8599739999999996E-2</v>
      </c>
      <c r="Z2265">
        <v>-3.2909459999999999E-3</v>
      </c>
      <c r="AA2265">
        <v>0.99606189999999994</v>
      </c>
      <c r="AB2265">
        <v>47</v>
      </c>
      <c r="AC2265">
        <v>23.238199999999999</v>
      </c>
      <c r="AD2265">
        <v>-1.109535486053</v>
      </c>
      <c r="AE2265">
        <v>-1.6868000000000001</v>
      </c>
      <c r="AF2265">
        <v>2.10335566947691</v>
      </c>
      <c r="AG2265">
        <v>-1.109535486053</v>
      </c>
      <c r="AH2265">
        <v>23.151270816859</v>
      </c>
      <c r="AI2265">
        <v>92.732590252708107</v>
      </c>
      <c r="AJ2265">
        <v>84.808775077442206</v>
      </c>
      <c r="AK2265">
        <v>23.273085624873101</v>
      </c>
      <c r="AL2265">
        <v>93.906590336628696</v>
      </c>
      <c r="AM2265">
        <v>93.286867991055004</v>
      </c>
      <c r="AN2265">
        <v>1.0000000451095199</v>
      </c>
    </row>
    <row r="2266" spans="1:40" x14ac:dyDescent="0.25">
      <c r="A2266" t="str">
        <f>"20190305135629632"</f>
        <v>20190305135629632</v>
      </c>
      <c r="B2266" t="str">
        <f>"1551765389624037"</f>
        <v>1551765389624037</v>
      </c>
      <c r="C2266" t="s">
        <v>40</v>
      </c>
      <c r="D2266">
        <v>5.3260489999999896</v>
      </c>
      <c r="E2266">
        <v>0.55675640000000004</v>
      </c>
      <c r="F2266" t="s">
        <v>55</v>
      </c>
      <c r="G2266">
        <v>-348.95839999999998</v>
      </c>
      <c r="H2266" s="1">
        <v>3.23043E-6</v>
      </c>
      <c r="I2266">
        <v>213.24279999999999</v>
      </c>
      <c r="J2266">
        <v>-372.74619999999999</v>
      </c>
      <c r="K2266">
        <v>1.109477</v>
      </c>
      <c r="L2266">
        <v>214.99369999999999</v>
      </c>
      <c r="M2266">
        <v>0.99972430000000001</v>
      </c>
      <c r="N2266">
        <v>-1.4246490000000001E-2</v>
      </c>
      <c r="O2266">
        <v>1.866744E-2</v>
      </c>
      <c r="P2266">
        <v>0.9939443</v>
      </c>
      <c r="Q2266">
        <v>-8.1261899999999998E-2</v>
      </c>
      <c r="R2266">
        <v>7.3969419999999994E-2</v>
      </c>
      <c r="S2266">
        <v>3.0238649999999998</v>
      </c>
      <c r="T2266">
        <v>-0.13825760000000001</v>
      </c>
      <c r="U2266">
        <v>-0.21704100000000001</v>
      </c>
      <c r="V2266">
        <v>-5.5260509999999999E-2</v>
      </c>
      <c r="W2266">
        <v>-6.7191459999999995E-2</v>
      </c>
      <c r="X2266">
        <v>0.9962086</v>
      </c>
      <c r="Y2266">
        <v>9.006865E-2</v>
      </c>
      <c r="Z2266">
        <v>-3.2848199999999999E-3</v>
      </c>
      <c r="AA2266">
        <v>0.99593010000000004</v>
      </c>
      <c r="AB2266">
        <v>47</v>
      </c>
      <c r="AC2266">
        <v>23.787800000000001</v>
      </c>
      <c r="AD2266">
        <v>-1.1094737695700001</v>
      </c>
      <c r="AE2266">
        <v>-1.7508999999999999</v>
      </c>
      <c r="AF2266">
        <v>2.18995899790117</v>
      </c>
      <c r="AG2266">
        <v>-1.1094737695700001</v>
      </c>
      <c r="AH2266">
        <v>23.699689068233699</v>
      </c>
      <c r="AI2266">
        <v>92.668925709129596</v>
      </c>
      <c r="AJ2266">
        <v>84.720601694061301</v>
      </c>
      <c r="AK2266">
        <v>23.8265002547333</v>
      </c>
      <c r="AL2266">
        <v>93.852689763044594</v>
      </c>
      <c r="AM2266">
        <v>93.174990164396306</v>
      </c>
      <c r="AN2266">
        <v>0.99999999548817498</v>
      </c>
    </row>
    <row r="2267" spans="1:40" x14ac:dyDescent="0.25">
      <c r="A2267" t="str">
        <f>"20190305135629655"</f>
        <v>20190305135629655</v>
      </c>
      <c r="B2267" t="str">
        <f>"1551765389644536"</f>
        <v>1551765389644536</v>
      </c>
      <c r="C2267" t="s">
        <v>40</v>
      </c>
      <c r="D2267">
        <v>4.6050370000000003</v>
      </c>
      <c r="E2267">
        <v>0.58063569999999998</v>
      </c>
      <c r="F2267" t="s">
        <v>55</v>
      </c>
      <c r="G2267">
        <v>-348.12979999999999</v>
      </c>
      <c r="H2267" s="1">
        <v>2.7895059999999999E-6</v>
      </c>
      <c r="I2267">
        <v>213.18340000000001</v>
      </c>
      <c r="J2267">
        <v>-372.27690000000001</v>
      </c>
      <c r="K2267">
        <v>1.109407</v>
      </c>
      <c r="L2267">
        <v>215.00280000000001</v>
      </c>
      <c r="M2267">
        <v>0.99971489999999996</v>
      </c>
      <c r="N2267">
        <v>-1.431258E-2</v>
      </c>
      <c r="O2267">
        <v>1.9114289999999999E-2</v>
      </c>
      <c r="P2267">
        <v>0.99406559999999999</v>
      </c>
      <c r="Q2267">
        <v>-8.0906560000000002E-2</v>
      </c>
      <c r="R2267">
        <v>7.2716619999999996E-2</v>
      </c>
      <c r="S2267">
        <v>3.023682</v>
      </c>
      <c r="T2267">
        <v>-0.13627890000000001</v>
      </c>
      <c r="U2267">
        <v>-0.2223511</v>
      </c>
      <c r="V2267">
        <v>-5.3575169999999998E-2</v>
      </c>
      <c r="W2267">
        <v>-6.6754240000000006E-2</v>
      </c>
      <c r="X2267">
        <v>0.99633000000000005</v>
      </c>
      <c r="Y2267">
        <v>9.2257950000000005E-2</v>
      </c>
      <c r="Z2267">
        <v>-3.3237079999999999E-3</v>
      </c>
      <c r="AA2267">
        <v>0.99572959999999999</v>
      </c>
      <c r="AB2267">
        <v>47</v>
      </c>
      <c r="AC2267">
        <v>24.147099999999998</v>
      </c>
      <c r="AD2267">
        <v>-1.1094042104940001</v>
      </c>
      <c r="AE2267">
        <v>-1.8193999999999999</v>
      </c>
      <c r="AF2267">
        <v>2.27589260717067</v>
      </c>
      <c r="AG2267">
        <v>-1.1094042104940001</v>
      </c>
      <c r="AH2267">
        <v>24.057413418759499</v>
      </c>
      <c r="AI2267">
        <v>92.628596471029397</v>
      </c>
      <c r="AJ2267">
        <v>84.595756986255395</v>
      </c>
      <c r="AK2267">
        <v>24.190279148094699</v>
      </c>
      <c r="AL2267">
        <v>93.827582712671202</v>
      </c>
      <c r="AM2267">
        <v>93.077973818069495</v>
      </c>
      <c r="AN2267">
        <v>0.99999994814925097</v>
      </c>
    </row>
    <row r="2268" spans="1:40" x14ac:dyDescent="0.25">
      <c r="A2268" t="str">
        <f>"20190305135629676"</f>
        <v>20190305135629676</v>
      </c>
      <c r="B2268" t="str">
        <f>"1551765389674789"</f>
        <v>1551765389674789</v>
      </c>
      <c r="C2268" t="s">
        <v>40</v>
      </c>
      <c r="D2268">
        <v>4.4690629999999896</v>
      </c>
      <c r="E2268">
        <v>0.62820779999999998</v>
      </c>
      <c r="F2268" t="s">
        <v>55</v>
      </c>
      <c r="G2268">
        <v>-348.90519999999998</v>
      </c>
      <c r="H2268" s="1">
        <v>3.2021140000000002E-6</v>
      </c>
      <c r="I2268">
        <v>211.79060000000001</v>
      </c>
      <c r="J2268">
        <v>-371.82089999999999</v>
      </c>
      <c r="K2268">
        <v>1.109337</v>
      </c>
      <c r="L2268">
        <v>215.01179999999999</v>
      </c>
      <c r="M2268">
        <v>0.99970709999999996</v>
      </c>
      <c r="N2268">
        <v>-1.436782E-2</v>
      </c>
      <c r="O2268">
        <v>1.947745E-2</v>
      </c>
      <c r="P2268">
        <v>0.99416939999999998</v>
      </c>
      <c r="Q2268">
        <v>-8.0626760000000006E-2</v>
      </c>
      <c r="R2268">
        <v>7.1601280000000003E-2</v>
      </c>
      <c r="S2268">
        <v>3.0367130000000002</v>
      </c>
      <c r="T2268">
        <v>-0.1441462</v>
      </c>
      <c r="U2268">
        <v>-0.41735840000000002</v>
      </c>
      <c r="V2268">
        <v>-5.2110219999999999E-2</v>
      </c>
      <c r="W2268">
        <v>-6.6404850000000001E-2</v>
      </c>
      <c r="X2268">
        <v>0.99643110000000001</v>
      </c>
      <c r="Y2268">
        <v>0.155195</v>
      </c>
      <c r="Z2268">
        <v>-5.4267209999999998E-3</v>
      </c>
      <c r="AA2268">
        <v>0.987869</v>
      </c>
      <c r="AB2268">
        <v>47</v>
      </c>
      <c r="AC2268">
        <v>22.915700000000001</v>
      </c>
      <c r="AD2268">
        <v>-1.1093337978860001</v>
      </c>
      <c r="AE2268">
        <v>-3.2211999999999801</v>
      </c>
      <c r="AF2268">
        <v>3.6585666674672201</v>
      </c>
      <c r="AG2268">
        <v>-1.1093337978860001</v>
      </c>
      <c r="AH2268">
        <v>22.7962176930541</v>
      </c>
      <c r="AI2268">
        <v>92.750843914129902</v>
      </c>
      <c r="AJ2268">
        <v>80.882346879289102</v>
      </c>
      <c r="AK2268">
        <v>23.1145684070576</v>
      </c>
      <c r="AL2268">
        <v>93.807519392976303</v>
      </c>
      <c r="AM2268">
        <v>92.993662293550997</v>
      </c>
      <c r="AN2268">
        <v>1.0000000080895901</v>
      </c>
    </row>
    <row r="2269" spans="1:40" x14ac:dyDescent="0.25">
      <c r="A2269" t="str">
        <f>"20190305135629699"</f>
        <v>20190305135629699</v>
      </c>
      <c r="B2269" t="str">
        <f>"1551765389694309"</f>
        <v>1551765389694309</v>
      </c>
      <c r="C2269" t="s">
        <v>40</v>
      </c>
      <c r="D2269">
        <v>3.7364099999999998</v>
      </c>
      <c r="E2269">
        <v>0.62909530000000002</v>
      </c>
      <c r="F2269" t="s">
        <v>55</v>
      </c>
      <c r="G2269">
        <v>-340.95699999999999</v>
      </c>
      <c r="H2269">
        <v>8.0001180000000005E-2</v>
      </c>
      <c r="I2269">
        <v>206.99119999999999</v>
      </c>
      <c r="J2269">
        <v>-371.3519</v>
      </c>
      <c r="K2269">
        <v>1.1092679999999999</v>
      </c>
      <c r="L2269">
        <v>215.02119999999999</v>
      </c>
      <c r="M2269">
        <v>0.99970079999999995</v>
      </c>
      <c r="N2269">
        <v>-1.441655E-2</v>
      </c>
      <c r="O2269">
        <v>1.9767969999999999E-2</v>
      </c>
      <c r="P2269">
        <v>0.99427849999999995</v>
      </c>
      <c r="Q2269">
        <v>-8.0453869999999997E-2</v>
      </c>
      <c r="R2269">
        <v>7.0270719999999995E-2</v>
      </c>
      <c r="S2269">
        <v>3.0667110000000002</v>
      </c>
      <c r="T2269">
        <v>-0.10227749999999999</v>
      </c>
      <c r="U2269">
        <v>-0.79695130000000003</v>
      </c>
      <c r="V2269">
        <v>-5.0503079999999999E-2</v>
      </c>
      <c r="W2269">
        <v>-6.6168359999999996E-2</v>
      </c>
      <c r="X2269">
        <v>0.99652960000000002</v>
      </c>
      <c r="Y2269">
        <v>0.27039410000000003</v>
      </c>
      <c r="Z2269">
        <v>-6.78445E-3</v>
      </c>
      <c r="AA2269">
        <v>0.96272579999999996</v>
      </c>
      <c r="AB2269">
        <v>47</v>
      </c>
      <c r="AC2269">
        <v>30.3949</v>
      </c>
      <c r="AD2269">
        <v>-1.0292668199999999</v>
      </c>
      <c r="AE2269">
        <v>-8.0299999999999994</v>
      </c>
      <c r="AF2269">
        <v>8.6200985297020001</v>
      </c>
      <c r="AG2269">
        <v>-1.0292668199999999</v>
      </c>
      <c r="AH2269">
        <v>30.197837154143201</v>
      </c>
      <c r="AI2269">
        <v>91.877194472759399</v>
      </c>
      <c r="AJ2269">
        <v>74.068383802484306</v>
      </c>
      <c r="AK2269">
        <v>31.420930247792999</v>
      </c>
      <c r="AL2269">
        <v>93.793939570347604</v>
      </c>
      <c r="AM2269">
        <v>92.901208222981097</v>
      </c>
      <c r="AN2269">
        <v>1.0000000283153601</v>
      </c>
    </row>
    <row r="2270" spans="1:40" x14ac:dyDescent="0.25">
      <c r="A2270" t="str">
        <f>"20190305135629722"</f>
        <v>20190305135629722</v>
      </c>
      <c r="B2270" t="str">
        <f>"1551765389714806"</f>
        <v>1551765389714806</v>
      </c>
      <c r="C2270" t="s">
        <v>40</v>
      </c>
      <c r="D2270">
        <v>4.2934130000000001</v>
      </c>
      <c r="E2270">
        <v>0.62772109999999903</v>
      </c>
      <c r="F2270" t="s">
        <v>43</v>
      </c>
      <c r="G2270">
        <v>-324.57470000000001</v>
      </c>
      <c r="H2270">
        <v>-0.05</v>
      </c>
      <c r="I2270">
        <v>202.73140000000001</v>
      </c>
      <c r="J2270">
        <v>-370.86149999999998</v>
      </c>
      <c r="K2270">
        <v>1.1091850000000001</v>
      </c>
      <c r="L2270">
        <v>215.03110000000001</v>
      </c>
      <c r="M2270">
        <v>0.99969569999999996</v>
      </c>
      <c r="N2270">
        <v>-1.4460229999999999E-2</v>
      </c>
      <c r="O2270">
        <v>1.998548E-2</v>
      </c>
      <c r="P2270">
        <v>0.99439040000000001</v>
      </c>
      <c r="Q2270">
        <v>-8.0246990000000004E-2</v>
      </c>
      <c r="R2270">
        <v>6.8908109999999995E-2</v>
      </c>
      <c r="S2270">
        <v>3.068085</v>
      </c>
      <c r="T2270">
        <v>-7.6035619999999998E-2</v>
      </c>
      <c r="U2270">
        <v>-0.80607600000000001</v>
      </c>
      <c r="V2270">
        <v>-4.8937679999999997E-2</v>
      </c>
      <c r="W2270">
        <v>-6.5902870000000002E-2</v>
      </c>
      <c r="X2270">
        <v>0.99662519999999999</v>
      </c>
      <c r="Y2270">
        <v>0.27325820000000001</v>
      </c>
      <c r="Z2270">
        <v>-5.5415389999999998E-3</v>
      </c>
      <c r="AA2270">
        <v>0.96192469999999997</v>
      </c>
      <c r="AB2270">
        <v>47</v>
      </c>
      <c r="AC2270">
        <v>46.2867999999999</v>
      </c>
      <c r="AD2270">
        <v>-1.1591849999999999</v>
      </c>
      <c r="AE2270">
        <v>-12.2997</v>
      </c>
      <c r="AF2270">
        <v>13.2146621853481</v>
      </c>
      <c r="AG2270">
        <v>-1.1591849999999999</v>
      </c>
      <c r="AH2270">
        <v>46.004761901083697</v>
      </c>
      <c r="AI2270">
        <v>91.387304380006</v>
      </c>
      <c r="AJ2270">
        <v>73.973524568669703</v>
      </c>
      <c r="AK2270">
        <v>47.879109474931802</v>
      </c>
      <c r="AL2270">
        <v>93.778695184463601</v>
      </c>
      <c r="AM2270">
        <v>92.811159325215399</v>
      </c>
      <c r="AN2270">
        <v>0.99999993703652701</v>
      </c>
    </row>
    <row r="2271" spans="1:40" x14ac:dyDescent="0.25">
      <c r="A2271" t="str">
        <f>"20190305135629746"</f>
        <v>20190305135629746</v>
      </c>
      <c r="B2271" t="str">
        <f>"1551765389734324"</f>
        <v>1551765389734324</v>
      </c>
      <c r="C2271" t="s">
        <v>40</v>
      </c>
      <c r="D2271">
        <v>4.4584960000000002</v>
      </c>
      <c r="E2271">
        <v>0.62714919999999996</v>
      </c>
      <c r="F2271" t="s">
        <v>42</v>
      </c>
      <c r="G2271">
        <v>-304.39269999999999</v>
      </c>
      <c r="H2271" s="1">
        <v>-4.4434380000000003E-6</v>
      </c>
      <c r="I2271">
        <v>197.7544</v>
      </c>
      <c r="J2271">
        <v>-370.38990000000001</v>
      </c>
      <c r="K2271">
        <v>1.109105</v>
      </c>
      <c r="L2271">
        <v>215.04060000000001</v>
      </c>
      <c r="M2271">
        <v>0.99969260000000004</v>
      </c>
      <c r="N2271">
        <v>-1.4496E-2</v>
      </c>
      <c r="O2271">
        <v>2.0124070000000001E-2</v>
      </c>
      <c r="P2271">
        <v>0.99449889999999996</v>
      </c>
      <c r="Q2271">
        <v>-7.9755309999999996E-2</v>
      </c>
      <c r="R2271">
        <v>6.7904519999999996E-2</v>
      </c>
      <c r="S2271">
        <v>3.0680540000000001</v>
      </c>
      <c r="T2271">
        <v>-5.1197769999999997E-2</v>
      </c>
      <c r="U2271">
        <v>-0.79745480000000002</v>
      </c>
      <c r="V2271">
        <v>-4.7809270000000001E-2</v>
      </c>
      <c r="W2271">
        <v>-6.5362299999999998E-2</v>
      </c>
      <c r="X2271">
        <v>0.99671560000000003</v>
      </c>
      <c r="Y2271">
        <v>0.27092300000000002</v>
      </c>
      <c r="Z2271">
        <v>-4.263218E-3</v>
      </c>
      <c r="AA2271">
        <v>0.96259159999999999</v>
      </c>
      <c r="AB2271">
        <v>47</v>
      </c>
      <c r="AC2271">
        <v>65.997200000000007</v>
      </c>
      <c r="AD2271">
        <v>-1.109109443438</v>
      </c>
      <c r="AE2271">
        <v>-17.286200000000001</v>
      </c>
      <c r="AF2271">
        <v>18.606052813799501</v>
      </c>
      <c r="AG2271">
        <v>-1.109109443438</v>
      </c>
      <c r="AH2271">
        <v>65.618584596442503</v>
      </c>
      <c r="AI2271">
        <v>90.931621839151404</v>
      </c>
      <c r="AJ2271">
        <v>74.169393409213598</v>
      </c>
      <c r="AK2271">
        <v>68.2144703820817</v>
      </c>
      <c r="AL2271">
        <v>93.747655746495496</v>
      </c>
      <c r="AM2271">
        <v>92.7461910270858</v>
      </c>
      <c r="AN2271">
        <v>0.99999997192129098</v>
      </c>
    </row>
    <row r="2272" spans="1:40" x14ac:dyDescent="0.25">
      <c r="A2272" t="str">
        <f>"20190305135629768"</f>
        <v>20190305135629768</v>
      </c>
      <c r="B2272" t="str">
        <f>"1551765389764581"</f>
        <v>1551765389764581</v>
      </c>
      <c r="C2272" t="s">
        <v>40</v>
      </c>
      <c r="D2272">
        <v>4.4534500000000001</v>
      </c>
      <c r="E2272">
        <v>0.62632469999999996</v>
      </c>
      <c r="F2272" t="s">
        <v>43</v>
      </c>
      <c r="G2272">
        <v>-317.78230000000002</v>
      </c>
      <c r="H2272">
        <v>-0.05</v>
      </c>
      <c r="I2272">
        <v>201.35749999999999</v>
      </c>
      <c r="J2272">
        <v>-369.92590000000001</v>
      </c>
      <c r="K2272">
        <v>1.109029</v>
      </c>
      <c r="L2272">
        <v>215.05</v>
      </c>
      <c r="M2272">
        <v>0.99969059999999998</v>
      </c>
      <c r="N2272">
        <v>-1.452562E-2</v>
      </c>
      <c r="O2272">
        <v>2.0196039999999998E-2</v>
      </c>
      <c r="P2272">
        <v>0.99460400000000004</v>
      </c>
      <c r="Q2272">
        <v>-7.9378169999999998E-2</v>
      </c>
      <c r="R2272">
        <v>6.6801559999999996E-2</v>
      </c>
      <c r="S2272">
        <v>3.065582</v>
      </c>
      <c r="T2272">
        <v>-6.7544099999999996E-2</v>
      </c>
      <c r="U2272">
        <v>-0.79734799999999995</v>
      </c>
      <c r="V2272">
        <v>-4.6646569999999998E-2</v>
      </c>
      <c r="W2272">
        <v>-6.4943429999999996E-2</v>
      </c>
      <c r="X2272">
        <v>0.99679810000000002</v>
      </c>
      <c r="Y2272">
        <v>0.27111269999999998</v>
      </c>
      <c r="Z2272">
        <v>-5.0887759999999997E-3</v>
      </c>
      <c r="AA2272">
        <v>0.96253420000000001</v>
      </c>
      <c r="AB2272">
        <v>47</v>
      </c>
      <c r="AC2272">
        <v>52.1435999999999</v>
      </c>
      <c r="AD2272">
        <v>-1.1590290000000001</v>
      </c>
      <c r="AE2272">
        <v>-13.692500000000001</v>
      </c>
      <c r="AF2272">
        <v>14.7361009508249</v>
      </c>
      <c r="AG2272">
        <v>-1.1590290000000001</v>
      </c>
      <c r="AH2272">
        <v>51.832442264083198</v>
      </c>
      <c r="AI2272">
        <v>91.232168240649003</v>
      </c>
      <c r="AJ2272">
        <v>74.1294082446434</v>
      </c>
      <c r="AK2272">
        <v>53.898961868622898</v>
      </c>
      <c r="AL2272">
        <v>93.723605050371205</v>
      </c>
      <c r="AM2272">
        <v>92.679281992294804</v>
      </c>
      <c r="AN2272">
        <v>1.00000000187826</v>
      </c>
    </row>
    <row r="2273" spans="1:40" x14ac:dyDescent="0.25">
      <c r="A2273" t="str">
        <f>"20190305135629789"</f>
        <v>20190305135629789</v>
      </c>
      <c r="B2273" t="str">
        <f>"1551765389784101"</f>
        <v>1551765389784101</v>
      </c>
      <c r="C2273" t="s">
        <v>40</v>
      </c>
      <c r="D2273">
        <v>4.439368</v>
      </c>
      <c r="E2273">
        <v>0.6261565</v>
      </c>
      <c r="F2273" t="s">
        <v>55</v>
      </c>
      <c r="G2273">
        <v>-337.48680000000002</v>
      </c>
      <c r="H2273">
        <v>8.0001080000000002E-2</v>
      </c>
      <c r="I2273">
        <v>206.61089999999999</v>
      </c>
      <c r="J2273">
        <v>-369.47359999999998</v>
      </c>
      <c r="K2273">
        <v>1.1089500000000001</v>
      </c>
      <c r="L2273">
        <v>215.0592</v>
      </c>
      <c r="M2273">
        <v>0.99969019999999997</v>
      </c>
      <c r="N2273">
        <v>-1.455012E-2</v>
      </c>
      <c r="O2273">
        <v>2.0197960000000001E-2</v>
      </c>
      <c r="P2273">
        <v>0.99463520000000005</v>
      </c>
      <c r="Q2273">
        <v>-7.9867199999999999E-2</v>
      </c>
      <c r="R2273">
        <v>6.5743949999999995E-2</v>
      </c>
      <c r="S2273">
        <v>3.0620419999999999</v>
      </c>
      <c r="T2273">
        <v>-9.7133639999999993E-2</v>
      </c>
      <c r="U2273">
        <v>-0.79660030000000004</v>
      </c>
      <c r="V2273">
        <v>-4.559999E-2</v>
      </c>
      <c r="W2273">
        <v>-6.5397579999999997E-2</v>
      </c>
      <c r="X2273">
        <v>0.99681679999999995</v>
      </c>
      <c r="Y2273">
        <v>0.27107809999999999</v>
      </c>
      <c r="Z2273">
        <v>-6.5749249999999997E-3</v>
      </c>
      <c r="AA2273">
        <v>0.96253489999999997</v>
      </c>
      <c r="AB2273">
        <v>47</v>
      </c>
      <c r="AC2273">
        <v>31.986799999999899</v>
      </c>
      <c r="AD2273">
        <v>-1.0289489199999999</v>
      </c>
      <c r="AE2273">
        <v>-8.4483000000000104</v>
      </c>
      <c r="AF2273">
        <v>9.0839257764899592</v>
      </c>
      <c r="AG2273">
        <v>-1.0289489199999999</v>
      </c>
      <c r="AH2273">
        <v>31.778877202301299</v>
      </c>
      <c r="AI2273">
        <v>91.783127626553707</v>
      </c>
      <c r="AJ2273">
        <v>74.047525817320604</v>
      </c>
      <c r="AK2273">
        <v>33.067710529029597</v>
      </c>
      <c r="AL2273">
        <v>93.749681491818606</v>
      </c>
      <c r="AM2273">
        <v>92.619204219578506</v>
      </c>
      <c r="AN2273">
        <v>0.99999996766004695</v>
      </c>
    </row>
    <row r="2274" spans="1:40" x14ac:dyDescent="0.25">
      <c r="A2274" t="str">
        <f>"20190305135629811"</f>
        <v>20190305135629811</v>
      </c>
      <c r="B2274" t="str">
        <f>"1551765389804598"</f>
        <v>1551765389804598</v>
      </c>
      <c r="C2274" t="s">
        <v>40</v>
      </c>
      <c r="D2274">
        <v>4.3649300000000002</v>
      </c>
      <c r="E2274">
        <v>0.626198699999999</v>
      </c>
      <c r="F2274" t="s">
        <v>55</v>
      </c>
      <c r="G2274">
        <v>-340.73169999999999</v>
      </c>
      <c r="H2274">
        <v>8.0001249999999996E-2</v>
      </c>
      <c r="I2274">
        <v>207.55279999999999</v>
      </c>
      <c r="J2274">
        <v>-369.03840000000002</v>
      </c>
      <c r="K2274">
        <v>1.1088709999999999</v>
      </c>
      <c r="L2274">
        <v>215.06800000000001</v>
      </c>
      <c r="M2274">
        <v>0.9996912</v>
      </c>
      <c r="N2274">
        <v>-1.456994E-2</v>
      </c>
      <c r="O2274">
        <v>2.0132609999999999E-2</v>
      </c>
      <c r="P2274">
        <v>0.99466929999999998</v>
      </c>
      <c r="Q2274">
        <v>-8.0096189999999998E-2</v>
      </c>
      <c r="R2274">
        <v>6.4945100000000006E-2</v>
      </c>
      <c r="S2274">
        <v>3.0602109999999998</v>
      </c>
      <c r="T2274">
        <v>-0.109554399999999</v>
      </c>
      <c r="U2274">
        <v>-0.79922490000000002</v>
      </c>
      <c r="V2274">
        <v>-4.4878790000000002E-2</v>
      </c>
      <c r="W2274">
        <v>-6.5596979999999999E-2</v>
      </c>
      <c r="X2274">
        <v>0.99683650000000001</v>
      </c>
      <c r="Y2274">
        <v>0.27188329999999999</v>
      </c>
      <c r="Z2274">
        <v>-7.2200010000000002E-3</v>
      </c>
      <c r="AA2274">
        <v>0.96230320000000003</v>
      </c>
      <c r="AB2274">
        <v>47</v>
      </c>
      <c r="AC2274">
        <v>28.306699999999999</v>
      </c>
      <c r="AD2274">
        <v>-1.0288697499999999</v>
      </c>
      <c r="AE2274">
        <v>-7.5151999999999903</v>
      </c>
      <c r="AF2274">
        <v>8.0736607489294094</v>
      </c>
      <c r="AG2274">
        <v>-1.0288697499999999</v>
      </c>
      <c r="AH2274">
        <v>28.114947357782</v>
      </c>
      <c r="AI2274">
        <v>92.014466007562604</v>
      </c>
      <c r="AJ2274">
        <v>73.977726929290398</v>
      </c>
      <c r="AK2274">
        <v>29.2693156015327</v>
      </c>
      <c r="AL2274">
        <v>93.7611305879106</v>
      </c>
      <c r="AM2274">
        <v>92.577784880440007</v>
      </c>
      <c r="AN2274">
        <v>1.00000003865461</v>
      </c>
    </row>
    <row r="2275" spans="1:40" x14ac:dyDescent="0.25">
      <c r="A2275" t="str">
        <f>"20190305135629833"</f>
        <v>20190305135629833</v>
      </c>
      <c r="B2275" t="str">
        <f>"1551765389824116"</f>
        <v>1551765389824116</v>
      </c>
      <c r="C2275" t="s">
        <v>40</v>
      </c>
      <c r="D2275">
        <v>4.4478090000000003</v>
      </c>
      <c r="E2275">
        <v>0.62629709999999905</v>
      </c>
      <c r="F2275" t="s">
        <v>55</v>
      </c>
      <c r="G2275">
        <v>-341.04050000000001</v>
      </c>
      <c r="H2275">
        <v>8.0001160000000002E-2</v>
      </c>
      <c r="I2275">
        <v>207.72499999999999</v>
      </c>
      <c r="J2275">
        <v>-368.54390000000001</v>
      </c>
      <c r="K2275">
        <v>1.108787</v>
      </c>
      <c r="L2275">
        <v>215.0779</v>
      </c>
      <c r="M2275">
        <v>0.99969390000000002</v>
      </c>
      <c r="N2275">
        <v>-1.4588749999999999E-2</v>
      </c>
      <c r="O2275">
        <v>1.9983299999999999E-2</v>
      </c>
      <c r="P2275">
        <v>0.99465919999999997</v>
      </c>
      <c r="Q2275">
        <v>-8.0354949999999994E-2</v>
      </c>
      <c r="R2275">
        <v>6.4775579999999999E-2</v>
      </c>
      <c r="S2275">
        <v>3.0593870000000001</v>
      </c>
      <c r="T2275">
        <v>-0.1124269</v>
      </c>
      <c r="U2275">
        <v>-0.80238339999999997</v>
      </c>
      <c r="V2275">
        <v>-4.4873360000000001E-2</v>
      </c>
      <c r="W2275">
        <v>-6.5826869999999996E-2</v>
      </c>
      <c r="X2275">
        <v>0.99682150000000003</v>
      </c>
      <c r="Y2275">
        <v>0.27272089999999999</v>
      </c>
      <c r="Z2275">
        <v>-7.3853679999999998E-3</v>
      </c>
      <c r="AA2275">
        <v>0.9620649</v>
      </c>
      <c r="AB2275">
        <v>47</v>
      </c>
      <c r="AC2275">
        <v>27.503399999999999</v>
      </c>
      <c r="AD2275">
        <v>-1.0287858400000001</v>
      </c>
      <c r="AE2275">
        <v>-7.3529</v>
      </c>
      <c r="AF2275">
        <v>7.8907943366179003</v>
      </c>
      <c r="AG2275">
        <v>-1.0287858400000001</v>
      </c>
      <c r="AH2275">
        <v>27.315286073008402</v>
      </c>
      <c r="AI2275">
        <v>92.072277219250594</v>
      </c>
      <c r="AJ2275">
        <v>73.887139930155001</v>
      </c>
      <c r="AK2275">
        <v>28.450797683328201</v>
      </c>
      <c r="AL2275">
        <v>93.774331183406005</v>
      </c>
      <c r="AM2275">
        <v>92.577512141341799</v>
      </c>
      <c r="AN2275">
        <v>0.99999994905696699</v>
      </c>
    </row>
    <row r="2276" spans="1:40" x14ac:dyDescent="0.25">
      <c r="A2276" t="str">
        <f>"20190305135629879"</f>
        <v>20190305135629879</v>
      </c>
      <c r="B2276" t="str">
        <f>"1551765389874869"</f>
        <v>1551765389874869</v>
      </c>
      <c r="C2276" t="s">
        <v>40</v>
      </c>
      <c r="D2276">
        <v>4.3671300000000004</v>
      </c>
      <c r="E2276">
        <v>0.62642319999999996</v>
      </c>
      <c r="F2276" t="s">
        <v>55</v>
      </c>
      <c r="G2276">
        <v>-342.29559999999998</v>
      </c>
      <c r="H2276">
        <v>8.0000790000000002E-2</v>
      </c>
      <c r="I2276">
        <v>208.17679999999999</v>
      </c>
      <c r="J2276">
        <v>-367.6207</v>
      </c>
      <c r="K2276">
        <v>1.1086530000000001</v>
      </c>
      <c r="L2276">
        <v>215.0959</v>
      </c>
      <c r="M2276">
        <v>0.99970210000000004</v>
      </c>
      <c r="N2276">
        <v>-1.461643E-2</v>
      </c>
      <c r="O2276">
        <v>1.955016E-2</v>
      </c>
      <c r="P2276">
        <v>0.99478949999999999</v>
      </c>
      <c r="Q2276">
        <v>-7.8362810000000005E-2</v>
      </c>
      <c r="R2276">
        <v>6.5215739999999994E-2</v>
      </c>
      <c r="S2276">
        <v>3.0588380000000002</v>
      </c>
      <c r="T2276">
        <v>-0.119889</v>
      </c>
      <c r="U2276">
        <v>-0.80421450000000005</v>
      </c>
      <c r="V2276">
        <v>-4.5767309999999999E-2</v>
      </c>
      <c r="W2276">
        <v>-6.3787919999999998E-2</v>
      </c>
      <c r="X2276">
        <v>0.99691350000000001</v>
      </c>
      <c r="Y2276">
        <v>0.27285559999999998</v>
      </c>
      <c r="Z2276">
        <v>-7.7573030000000001E-3</v>
      </c>
      <c r="AA2276">
        <v>0.96202370000000004</v>
      </c>
      <c r="AB2276">
        <v>47</v>
      </c>
      <c r="AC2276">
        <v>25.325099999999999</v>
      </c>
      <c r="AD2276">
        <v>-1.02865221</v>
      </c>
      <c r="AE2276">
        <v>-6.91910000000001</v>
      </c>
      <c r="AF2276">
        <v>7.4015769063972998</v>
      </c>
      <c r="AG2276">
        <v>-1.02865221</v>
      </c>
      <c r="AH2276">
        <v>25.146369654148401</v>
      </c>
      <c r="AI2276">
        <v>92.247248477600493</v>
      </c>
      <c r="AJ2276">
        <v>73.598746420247195</v>
      </c>
      <c r="AK2276">
        <v>26.233211256983498</v>
      </c>
      <c r="AL2276">
        <v>93.657261504770304</v>
      </c>
      <c r="AM2276">
        <v>92.628546771421</v>
      </c>
      <c r="AN2276">
        <v>1.0000000359423999</v>
      </c>
    </row>
    <row r="2277" spans="1:40" x14ac:dyDescent="0.25">
      <c r="A2277" t="str">
        <f>"20190305135629900"</f>
        <v>20190305135629900</v>
      </c>
      <c r="B2277" t="str">
        <f>"1551765389894389"</f>
        <v>1551765389894389</v>
      </c>
      <c r="C2277" t="s">
        <v>40</v>
      </c>
      <c r="D2277">
        <v>4.4172120000000001</v>
      </c>
      <c r="E2277">
        <v>0.62669739999999996</v>
      </c>
      <c r="F2277" t="s">
        <v>55</v>
      </c>
      <c r="G2277">
        <v>-342.46559999999999</v>
      </c>
      <c r="H2277">
        <v>8.0000740000000001E-2</v>
      </c>
      <c r="I2277">
        <v>208.4785</v>
      </c>
      <c r="J2277">
        <v>-367.17860000000002</v>
      </c>
      <c r="K2277">
        <v>1.108589</v>
      </c>
      <c r="L2277">
        <v>215.1044</v>
      </c>
      <c r="M2277">
        <v>0.99970709999999996</v>
      </c>
      <c r="N2277">
        <v>-1.4626490000000001E-2</v>
      </c>
      <c r="O2277">
        <v>1.928417E-2</v>
      </c>
      <c r="P2277">
        <v>0.99484050000000002</v>
      </c>
      <c r="Q2277">
        <v>-7.7859220000000007E-2</v>
      </c>
      <c r="R2277">
        <v>6.5043699999999996E-2</v>
      </c>
      <c r="S2277">
        <v>3.0585939999999998</v>
      </c>
      <c r="T2277">
        <v>-0.1250733</v>
      </c>
      <c r="U2277">
        <v>-0.80461119999999997</v>
      </c>
      <c r="V2277">
        <v>-4.5869149999999997E-2</v>
      </c>
      <c r="W2277">
        <v>-6.3266649999999994E-2</v>
      </c>
      <c r="X2277">
        <v>0.99694199999999999</v>
      </c>
      <c r="Y2277">
        <v>0.27271390000000001</v>
      </c>
      <c r="Z2277">
        <v>-8.0078960000000005E-3</v>
      </c>
      <c r="AA2277">
        <v>0.96206179999999997</v>
      </c>
      <c r="AB2277">
        <v>46</v>
      </c>
      <c r="AC2277">
        <v>24.713000000000001</v>
      </c>
      <c r="AD2277">
        <v>-1.02858826</v>
      </c>
      <c r="AE2277">
        <v>-6.6258999999999997</v>
      </c>
      <c r="AF2277">
        <v>7.0898299704984504</v>
      </c>
      <c r="AG2277">
        <v>-1.02858826</v>
      </c>
      <c r="AH2277">
        <v>24.540952748576299</v>
      </c>
      <c r="AI2277">
        <v>92.305851733658002</v>
      </c>
      <c r="AJ2277">
        <v>73.886104684269597</v>
      </c>
      <c r="AK2277">
        <v>25.5652507249008</v>
      </c>
      <c r="AL2277">
        <v>93.627334616834105</v>
      </c>
      <c r="AM2277">
        <v>92.634312297295807</v>
      </c>
      <c r="AN2277">
        <v>0.99999999964397202</v>
      </c>
    </row>
    <row r="2278" spans="1:40" x14ac:dyDescent="0.25">
      <c r="A2278" t="str">
        <f>"20190305135629923"</f>
        <v>20190305135629923</v>
      </c>
      <c r="B2278" t="str">
        <f>"1551765389913909"</f>
        <v>1551765389913909</v>
      </c>
      <c r="C2278" t="s">
        <v>40</v>
      </c>
      <c r="D2278">
        <v>4.3658460000000003</v>
      </c>
      <c r="E2278">
        <v>0.62703260000000005</v>
      </c>
      <c r="F2278" t="s">
        <v>55</v>
      </c>
      <c r="G2278">
        <v>-342.33670000000001</v>
      </c>
      <c r="H2278">
        <v>8.0000769999999999E-2</v>
      </c>
      <c r="I2278">
        <v>208.54480000000001</v>
      </c>
      <c r="J2278">
        <v>-366.68560000000002</v>
      </c>
      <c r="K2278">
        <v>1.1085400000000001</v>
      </c>
      <c r="L2278">
        <v>215.11359999999999</v>
      </c>
      <c r="M2278">
        <v>0.99971319999999997</v>
      </c>
      <c r="N2278">
        <v>-1.463568E-2</v>
      </c>
      <c r="O2278">
        <v>1.8955779999999998E-2</v>
      </c>
      <c r="P2278">
        <v>0.99485219999999996</v>
      </c>
      <c r="Q2278">
        <v>-7.7777199999999894E-2</v>
      </c>
      <c r="R2278">
        <v>6.4960000000000004E-2</v>
      </c>
      <c r="S2278">
        <v>3.0584720000000001</v>
      </c>
      <c r="T2278">
        <v>-0.12663730000000001</v>
      </c>
      <c r="U2278">
        <v>-0.80760189999999998</v>
      </c>
      <c r="V2278">
        <v>-4.6121870000000002E-2</v>
      </c>
      <c r="W2278">
        <v>-6.3168699999999994E-2</v>
      </c>
      <c r="X2278">
        <v>0.99693659999999995</v>
      </c>
      <c r="Y2278">
        <v>0.27327980000000002</v>
      </c>
      <c r="Z2278">
        <v>-8.0940070000000003E-3</v>
      </c>
      <c r="AA2278">
        <v>0.96190050000000005</v>
      </c>
      <c r="AB2278">
        <v>46</v>
      </c>
      <c r="AC2278">
        <v>24.3489</v>
      </c>
      <c r="AD2278">
        <v>-1.02853922999999</v>
      </c>
      <c r="AE2278">
        <v>-6.56879999999998</v>
      </c>
      <c r="AF2278">
        <v>7.0175489817249801</v>
      </c>
      <c r="AG2278">
        <v>-1.02853922999999</v>
      </c>
      <c r="AH2278">
        <v>24.179775684682198</v>
      </c>
      <c r="AI2278">
        <v>92.339317217183606</v>
      </c>
      <c r="AJ2278">
        <v>73.816007955608697</v>
      </c>
      <c r="AK2278">
        <v>25.198520568083101</v>
      </c>
      <c r="AL2278">
        <v>93.621711071836899</v>
      </c>
      <c r="AM2278">
        <v>92.648819978360294</v>
      </c>
      <c r="AN2278">
        <v>1.00000004798577</v>
      </c>
    </row>
    <row r="2279" spans="1:40" x14ac:dyDescent="0.25">
      <c r="A2279" t="str">
        <f>"20190305135629948"</f>
        <v>20190305135629948</v>
      </c>
      <c r="B2279" t="str">
        <f>"1551765389944164"</f>
        <v>1551765389944164</v>
      </c>
      <c r="C2279" t="s">
        <v>40</v>
      </c>
      <c r="D2279">
        <v>4.3524710000000004</v>
      </c>
      <c r="E2279">
        <v>0.62750119999999998</v>
      </c>
      <c r="F2279" t="s">
        <v>55</v>
      </c>
      <c r="G2279">
        <v>-342.19499999999999</v>
      </c>
      <c r="H2279">
        <v>8.000082E-2</v>
      </c>
      <c r="I2279">
        <v>208.6217</v>
      </c>
      <c r="J2279">
        <v>-366.18650000000002</v>
      </c>
      <c r="K2279">
        <v>1.1084940000000001</v>
      </c>
      <c r="L2279">
        <v>215.12280000000001</v>
      </c>
      <c r="M2279">
        <v>0.99971989999999999</v>
      </c>
      <c r="N2279">
        <v>-1.464319E-2</v>
      </c>
      <c r="O2279">
        <v>1.8599750000000002E-2</v>
      </c>
      <c r="P2279">
        <v>0.99487650000000005</v>
      </c>
      <c r="Q2279">
        <v>-7.7609990000000004E-2</v>
      </c>
      <c r="R2279">
        <v>6.4789910000000006E-2</v>
      </c>
      <c r="S2279">
        <v>3.058411</v>
      </c>
      <c r="T2279">
        <v>-0.128444899999999</v>
      </c>
      <c r="U2279">
        <v>-0.81071470000000001</v>
      </c>
      <c r="V2279">
        <v>-4.6313489999999999E-2</v>
      </c>
      <c r="W2279">
        <v>-6.2988189999999999E-2</v>
      </c>
      <c r="X2279">
        <v>0.99693909999999997</v>
      </c>
      <c r="Y2279">
        <v>0.2738487</v>
      </c>
      <c r="Z2279">
        <v>-8.1912259999999994E-3</v>
      </c>
      <c r="AA2279">
        <v>0.96173790000000003</v>
      </c>
      <c r="AB2279">
        <v>46</v>
      </c>
      <c r="AC2279">
        <v>23.991499999999998</v>
      </c>
      <c r="AD2279">
        <v>-1.0284931799999999</v>
      </c>
      <c r="AE2279">
        <v>-6.5011000000000001</v>
      </c>
      <c r="AF2279">
        <v>6.9343868411458596</v>
      </c>
      <c r="AG2279">
        <v>-1.0284931799999999</v>
      </c>
      <c r="AH2279">
        <v>23.825626471830901</v>
      </c>
      <c r="AI2279">
        <v>92.373420400002502</v>
      </c>
      <c r="AJ2279">
        <v>73.772499909074199</v>
      </c>
      <c r="AK2279">
        <v>24.835538968566201</v>
      </c>
      <c r="AL2279">
        <v>93.611348110175101</v>
      </c>
      <c r="AM2279">
        <v>92.659802453618596</v>
      </c>
      <c r="AN2279">
        <v>1.00000001027213</v>
      </c>
    </row>
    <row r="2280" spans="1:40" x14ac:dyDescent="0.25">
      <c r="A2280" t="str">
        <f>"20190305135629970"</f>
        <v>20190305135629970</v>
      </c>
      <c r="B2280" t="str">
        <f>"1551765389964660"</f>
        <v>1551765389964660</v>
      </c>
      <c r="C2280" t="s">
        <v>40</v>
      </c>
      <c r="D2280">
        <v>4.3639150000000004</v>
      </c>
      <c r="E2280">
        <v>0.62789439999999996</v>
      </c>
      <c r="F2280" t="s">
        <v>55</v>
      </c>
      <c r="G2280">
        <v>-341.70400000000001</v>
      </c>
      <c r="H2280">
        <v>8.0000959999999996E-2</v>
      </c>
      <c r="I2280">
        <v>208.5976</v>
      </c>
      <c r="J2280">
        <v>-365.73050000000001</v>
      </c>
      <c r="K2280">
        <v>1.108465</v>
      </c>
      <c r="L2280">
        <v>215.1311</v>
      </c>
      <c r="M2280">
        <v>0.99972589999999995</v>
      </c>
      <c r="N2280">
        <v>-1.464845E-2</v>
      </c>
      <c r="O2280">
        <v>1.8261659999999999E-2</v>
      </c>
      <c r="P2280">
        <v>0.99494150000000003</v>
      </c>
      <c r="Q2280">
        <v>-7.7215919999999993E-2</v>
      </c>
      <c r="R2280">
        <v>6.425836E-2</v>
      </c>
      <c r="S2280">
        <v>3.0585330000000002</v>
      </c>
      <c r="T2280">
        <v>-0.1284873</v>
      </c>
      <c r="U2280">
        <v>-0.81518550000000001</v>
      </c>
      <c r="V2280">
        <v>-4.6123570000000003E-2</v>
      </c>
      <c r="W2280">
        <v>-6.2584239999999999E-2</v>
      </c>
      <c r="X2280">
        <v>0.99697329999999995</v>
      </c>
      <c r="Y2280">
        <v>0.27482579999999901</v>
      </c>
      <c r="Z2280">
        <v>-8.2113009999999903E-3</v>
      </c>
      <c r="AA2280">
        <v>0.96145899999999995</v>
      </c>
      <c r="AB2280">
        <v>46</v>
      </c>
      <c r="AC2280">
        <v>24.026499999999999</v>
      </c>
      <c r="AD2280">
        <v>-1.02846404</v>
      </c>
      <c r="AE2280">
        <v>-6.5335000000000001</v>
      </c>
      <c r="AF2280">
        <v>6.9593474905369996</v>
      </c>
      <c r="AG2280">
        <v>-1.02846404</v>
      </c>
      <c r="AH2280">
        <v>23.862454444300901</v>
      </c>
      <c r="AI2280">
        <v>92.369315157522294</v>
      </c>
      <c r="AJ2280">
        <v>73.740979291443907</v>
      </c>
      <c r="AK2280">
        <v>24.877841302692499</v>
      </c>
      <c r="AL2280">
        <v>93.588157885041397</v>
      </c>
      <c r="AM2280">
        <v>92.648820100286002</v>
      </c>
      <c r="AN2280">
        <v>0.99999996585940498</v>
      </c>
    </row>
    <row r="2281" spans="1:40" x14ac:dyDescent="0.25">
      <c r="A2281" t="str">
        <f>"20190305135629991"</f>
        <v>20190305135629991</v>
      </c>
      <c r="B2281" t="str">
        <f>"1551765389984180"</f>
        <v>1551765389984180</v>
      </c>
      <c r="C2281" t="s">
        <v>40</v>
      </c>
      <c r="D2281">
        <v>4.3710750000000003</v>
      </c>
      <c r="E2281">
        <v>0.6282951</v>
      </c>
      <c r="F2281" t="s">
        <v>55</v>
      </c>
      <c r="G2281">
        <v>-340.97019999999998</v>
      </c>
      <c r="H2281">
        <v>8.0001180000000005E-2</v>
      </c>
      <c r="I2281">
        <v>208.494</v>
      </c>
      <c r="J2281">
        <v>-365.29599999999999</v>
      </c>
      <c r="K2281">
        <v>1.108406</v>
      </c>
      <c r="L2281">
        <v>215.1388</v>
      </c>
      <c r="M2281">
        <v>0.99973310000000004</v>
      </c>
      <c r="N2281">
        <v>-1.458021E-2</v>
      </c>
      <c r="O2281">
        <v>1.792382E-2</v>
      </c>
      <c r="P2281">
        <v>0.99498489999999995</v>
      </c>
      <c r="Q2281">
        <v>-7.7001650000000005E-2</v>
      </c>
      <c r="R2281">
        <v>6.3843609999999995E-2</v>
      </c>
      <c r="S2281">
        <v>3.0583499999999999</v>
      </c>
      <c r="T2281">
        <v>-0.1270338</v>
      </c>
      <c r="U2281">
        <v>-0.81980900000000001</v>
      </c>
      <c r="V2281">
        <v>-4.604888E-2</v>
      </c>
      <c r="W2281">
        <v>-6.2434139999999999E-2</v>
      </c>
      <c r="X2281">
        <v>0.99698620000000004</v>
      </c>
      <c r="Y2281">
        <v>0.27587729999999999</v>
      </c>
      <c r="Z2281">
        <v>-8.1502019999999901E-3</v>
      </c>
      <c r="AA2281">
        <v>0.96115830000000002</v>
      </c>
      <c r="AB2281">
        <v>46</v>
      </c>
      <c r="AC2281">
        <v>24.325800000000001</v>
      </c>
      <c r="AD2281">
        <v>-1.02840482</v>
      </c>
      <c r="AE2281">
        <v>-6.6447999999999698</v>
      </c>
      <c r="AF2281">
        <v>7.0680344531375798</v>
      </c>
      <c r="AG2281">
        <v>-1.02840482</v>
      </c>
      <c r="AH2281">
        <v>24.162591625532599</v>
      </c>
      <c r="AI2281">
        <v>92.339232293075398</v>
      </c>
      <c r="AJ2281">
        <v>73.694761360600296</v>
      </c>
      <c r="AK2281">
        <v>25.196141799227799</v>
      </c>
      <c r="AL2281">
        <v>93.579540806976496</v>
      </c>
      <c r="AM2281">
        <v>92.644502670304107</v>
      </c>
      <c r="AN2281">
        <v>1.00000000208861</v>
      </c>
    </row>
    <row r="2282" spans="1:40" x14ac:dyDescent="0.25">
      <c r="A2282" t="str">
        <f>"20190305135630012"</f>
        <v>20190305135630012</v>
      </c>
      <c r="B2282" t="str">
        <f>"1551765390004677"</f>
        <v>1551765390004677</v>
      </c>
      <c r="C2282" t="s">
        <v>40</v>
      </c>
      <c r="D2282">
        <v>4.419441</v>
      </c>
      <c r="E2282">
        <v>0.62865159999999998</v>
      </c>
      <c r="F2282" t="s">
        <v>55</v>
      </c>
      <c r="G2282">
        <v>-340.36430000000001</v>
      </c>
      <c r="H2282">
        <v>8.0001349999999999E-2</v>
      </c>
      <c r="I2282">
        <v>208.4187</v>
      </c>
      <c r="J2282">
        <v>-364.84690000000001</v>
      </c>
      <c r="K2282">
        <v>1.1083430000000001</v>
      </c>
      <c r="L2282">
        <v>215.14660000000001</v>
      </c>
      <c r="M2282">
        <v>0.9997412</v>
      </c>
      <c r="N2282">
        <v>-1.444672E-2</v>
      </c>
      <c r="O2282">
        <v>1.7572259999999999E-2</v>
      </c>
      <c r="P2282">
        <v>0.99503949999999997</v>
      </c>
      <c r="Q2282">
        <v>-7.6569499999999999E-2</v>
      </c>
      <c r="R2282">
        <v>6.3510010000000006E-2</v>
      </c>
      <c r="S2282">
        <v>3.0582889999999998</v>
      </c>
      <c r="T2282">
        <v>-0.1261514</v>
      </c>
      <c r="U2282">
        <v>-0.82434079999999998</v>
      </c>
      <c r="V2282">
        <v>-4.6069249999999999E-2</v>
      </c>
      <c r="W2282">
        <v>-6.213105E-2</v>
      </c>
      <c r="X2282">
        <v>0.99700420000000001</v>
      </c>
      <c r="Y2282">
        <v>0.27687580000000001</v>
      </c>
      <c r="Z2282">
        <v>-8.1072980000000006E-3</v>
      </c>
      <c r="AA2282">
        <v>0.96087149999999999</v>
      </c>
      <c r="AB2282">
        <v>46</v>
      </c>
      <c r="AC2282">
        <v>24.482599999999898</v>
      </c>
      <c r="AD2282">
        <v>-1.02834165</v>
      </c>
      <c r="AE2282">
        <v>-6.7279</v>
      </c>
      <c r="AF2282">
        <v>7.1453993723995604</v>
      </c>
      <c r="AG2282">
        <v>-1.02834165</v>
      </c>
      <c r="AH2282">
        <v>24.3206872546466</v>
      </c>
      <c r="AI2282">
        <v>92.323098641290301</v>
      </c>
      <c r="AJ2282">
        <v>73.627252123631393</v>
      </c>
      <c r="AK2282">
        <v>25.369470772535699</v>
      </c>
      <c r="AL2282">
        <v>93.5621412242118</v>
      </c>
      <c r="AM2282">
        <v>92.645623122950596</v>
      </c>
      <c r="AN2282">
        <v>1.00000000899365</v>
      </c>
    </row>
    <row r="2283" spans="1:40" x14ac:dyDescent="0.25">
      <c r="A2283" t="str">
        <f>"20190305135630034"</f>
        <v>20190305135630034</v>
      </c>
      <c r="B2283" t="str">
        <f>"1551765390024197"</f>
        <v>1551765390024197</v>
      </c>
      <c r="C2283" t="s">
        <v>40</v>
      </c>
      <c r="D2283">
        <v>4.3854139999999999</v>
      </c>
      <c r="E2283">
        <v>0.62903949999999997</v>
      </c>
      <c r="F2283" t="s">
        <v>55</v>
      </c>
      <c r="G2283">
        <v>-339.96030000000002</v>
      </c>
      <c r="H2283">
        <v>8.0001470000000005E-2</v>
      </c>
      <c r="I2283">
        <v>208.4074</v>
      </c>
      <c r="J2283">
        <v>-364.37479999999999</v>
      </c>
      <c r="K2283">
        <v>1.108277</v>
      </c>
      <c r="L2283">
        <v>215.15459999999999</v>
      </c>
      <c r="M2283">
        <v>0.99975099999999995</v>
      </c>
      <c r="N2283">
        <v>-1.4209960000000001E-2</v>
      </c>
      <c r="O2283">
        <v>1.7210530000000002E-2</v>
      </c>
      <c r="P2283">
        <v>0.9950175</v>
      </c>
      <c r="Q2283">
        <v>-7.6233690000000007E-2</v>
      </c>
      <c r="R2283">
        <v>6.425728E-2</v>
      </c>
      <c r="S2283">
        <v>3.0580750000000001</v>
      </c>
      <c r="T2283">
        <v>-0.1263628</v>
      </c>
      <c r="U2283">
        <v>-0.82810969999999995</v>
      </c>
      <c r="V2283">
        <v>-4.7181029999999999E-2</v>
      </c>
      <c r="W2283">
        <v>-6.2027789999999999E-2</v>
      </c>
      <c r="X2283">
        <v>0.99695860000000003</v>
      </c>
      <c r="Y2283">
        <v>0.27764830000000001</v>
      </c>
      <c r="Z2283">
        <v>-8.0999780000000007E-3</v>
      </c>
      <c r="AA2283">
        <v>0.96064870000000002</v>
      </c>
      <c r="AB2283">
        <v>46</v>
      </c>
      <c r="AC2283">
        <v>24.414499999999901</v>
      </c>
      <c r="AD2283">
        <v>-1.0282755299999999</v>
      </c>
      <c r="AE2283">
        <v>-6.7471999999999897</v>
      </c>
      <c r="AF2283">
        <v>7.1546384184170204</v>
      </c>
      <c r="AG2283">
        <v>-1.0282755299999999</v>
      </c>
      <c r="AH2283">
        <v>24.254776481523798</v>
      </c>
      <c r="AI2283">
        <v>92.328511734129094</v>
      </c>
      <c r="AJ2283">
        <v>73.565072208554696</v>
      </c>
      <c r="AK2283">
        <v>25.308899297135898</v>
      </c>
      <c r="AL2283">
        <v>93.556213555998895</v>
      </c>
      <c r="AM2283">
        <v>92.709499139243604</v>
      </c>
      <c r="AN2283">
        <v>0.99999997321905199</v>
      </c>
    </row>
    <row r="2284" spans="1:40" x14ac:dyDescent="0.25">
      <c r="A2284" t="str">
        <f>"20190305135630057"</f>
        <v>20190305135630057</v>
      </c>
      <c r="B2284" t="str">
        <f>"1551765390054453"</f>
        <v>1551765390054453</v>
      </c>
      <c r="C2284" t="s">
        <v>40</v>
      </c>
      <c r="D2284">
        <v>4.3818349999999997</v>
      </c>
      <c r="E2284">
        <v>0.57068699999999895</v>
      </c>
      <c r="F2284" t="s">
        <v>55</v>
      </c>
      <c r="G2284">
        <v>-339.27460000000002</v>
      </c>
      <c r="H2284">
        <v>8.0000489999999994E-2</v>
      </c>
      <c r="I2284">
        <v>208.35310000000001</v>
      </c>
      <c r="J2284">
        <v>-363.92160000000001</v>
      </c>
      <c r="K2284">
        <v>1.1082000000000001</v>
      </c>
      <c r="L2284">
        <v>215.16210000000001</v>
      </c>
      <c r="M2284">
        <v>0.99976140000000002</v>
      </c>
      <c r="N2284">
        <v>-1.389665E-2</v>
      </c>
      <c r="O2284">
        <v>1.6859180000000001E-2</v>
      </c>
      <c r="P2284">
        <v>0.99505259999999995</v>
      </c>
      <c r="Q2284">
        <v>-7.5248350000000006E-2</v>
      </c>
      <c r="R2284">
        <v>6.4870999999999998E-2</v>
      </c>
      <c r="S2284">
        <v>3.0589900000000001</v>
      </c>
      <c r="T2284">
        <v>-0.12531709999999999</v>
      </c>
      <c r="U2284">
        <v>-0.82890319999999995</v>
      </c>
      <c r="V2284">
        <v>-4.8145689999999998E-2</v>
      </c>
      <c r="W2284">
        <v>-6.1352039999999997E-2</v>
      </c>
      <c r="X2284">
        <v>0.99695429999999996</v>
      </c>
      <c r="Y2284">
        <v>0.27747670000000002</v>
      </c>
      <c r="Z2284">
        <v>-7.992608E-3</v>
      </c>
      <c r="AA2284">
        <v>0.96069910000000003</v>
      </c>
      <c r="AB2284">
        <v>46</v>
      </c>
      <c r="AC2284">
        <v>24.646999999999899</v>
      </c>
      <c r="AD2284">
        <v>-1.0281995100000001</v>
      </c>
      <c r="AE2284">
        <v>-6.8089999999999904</v>
      </c>
      <c r="AF2284">
        <v>7.2119393317698597</v>
      </c>
      <c r="AG2284">
        <v>-1.0281995100000001</v>
      </c>
      <c r="AH2284">
        <v>24.489094506193702</v>
      </c>
      <c r="AI2284">
        <v>92.306387265357898</v>
      </c>
      <c r="AJ2284">
        <v>73.590511888400101</v>
      </c>
      <c r="AK2284">
        <v>25.5496577842205</v>
      </c>
      <c r="AL2284">
        <v>93.517422029641295</v>
      </c>
      <c r="AM2284">
        <v>92.764824174017093</v>
      </c>
      <c r="AN2284">
        <v>0.99999997828311304</v>
      </c>
    </row>
    <row r="2285" spans="1:40" x14ac:dyDescent="0.25">
      <c r="A2285" t="str">
        <f>"20190305135630077"</f>
        <v>20190305135630077</v>
      </c>
      <c r="B2285" t="str">
        <f>"1551765390073973"</f>
        <v>1551765390073973</v>
      </c>
      <c r="C2285" t="s">
        <v>40</v>
      </c>
      <c r="D2285">
        <v>4.4683960000000003</v>
      </c>
      <c r="E2285">
        <v>0.55506160000000004</v>
      </c>
      <c r="F2285" t="s">
        <v>55</v>
      </c>
      <c r="G2285">
        <v>-341.923</v>
      </c>
      <c r="H2285" s="1">
        <v>-5.1345379999999995E-7</v>
      </c>
      <c r="I2285">
        <v>212.51769999999999</v>
      </c>
      <c r="J2285">
        <v>-363.49529999999999</v>
      </c>
      <c r="K2285">
        <v>1.108134</v>
      </c>
      <c r="L2285">
        <v>215.16909999999999</v>
      </c>
      <c r="M2285">
        <v>0.99977169999999904</v>
      </c>
      <c r="N2285">
        <v>-1.3560819999999999E-2</v>
      </c>
      <c r="O2285">
        <v>1.652091E-2</v>
      </c>
      <c r="P2285">
        <v>0.99500659999999996</v>
      </c>
      <c r="Q2285">
        <v>-7.4998170000000003E-2</v>
      </c>
      <c r="R2285">
        <v>6.5859020000000004E-2</v>
      </c>
      <c r="S2285">
        <v>3.0270999999999999</v>
      </c>
      <c r="T2285">
        <v>-0.1524932</v>
      </c>
      <c r="U2285">
        <v>-0.36389159999999998</v>
      </c>
      <c r="V2285">
        <v>-4.9472179999999998E-2</v>
      </c>
      <c r="W2285">
        <v>-6.1435330000000003E-2</v>
      </c>
      <c r="X2285">
        <v>0.9968842</v>
      </c>
      <c r="Y2285">
        <v>0.13551340000000001</v>
      </c>
      <c r="Z2285">
        <v>-4.9276779999999996E-3</v>
      </c>
      <c r="AA2285">
        <v>0.99076319999999996</v>
      </c>
      <c r="AB2285">
        <v>46</v>
      </c>
      <c r="AC2285">
        <v>21.572299999999899</v>
      </c>
      <c r="AD2285">
        <v>-1.1081345134538001</v>
      </c>
      <c r="AE2285">
        <v>-2.65139999999999</v>
      </c>
      <c r="AF2285">
        <v>2.99966735254629</v>
      </c>
      <c r="AG2285">
        <v>-1.1081345134538001</v>
      </c>
      <c r="AH2285">
        <v>21.469738326298401</v>
      </c>
      <c r="AI2285">
        <v>92.926257399972499</v>
      </c>
      <c r="AJ2285">
        <v>82.046345783563098</v>
      </c>
      <c r="AK2285">
        <v>21.706580341582299</v>
      </c>
      <c r="AL2285">
        <v>93.522203305988697</v>
      </c>
      <c r="AM2285">
        <v>92.841075780666202</v>
      </c>
      <c r="AN2285">
        <v>0.99999995228789895</v>
      </c>
    </row>
    <row r="2286" spans="1:40" x14ac:dyDescent="0.25">
      <c r="A2286" t="str">
        <f>"20190305135630101"</f>
        <v>20190305135630101</v>
      </c>
      <c r="B2286" t="str">
        <f>"1551765390094469"</f>
        <v>1551765390094469</v>
      </c>
      <c r="C2286" t="s">
        <v>40</v>
      </c>
      <c r="D2286">
        <v>4.3431389999999999</v>
      </c>
      <c r="E2286">
        <v>0.55129229999999996</v>
      </c>
      <c r="F2286" t="s">
        <v>55</v>
      </c>
      <c r="G2286">
        <v>-341.57139999999998</v>
      </c>
      <c r="H2286" s="1">
        <v>-7.0054069999999899E-7</v>
      </c>
      <c r="I2286">
        <v>213.4529</v>
      </c>
      <c r="J2286">
        <v>-363.01580000000001</v>
      </c>
      <c r="K2286">
        <v>1.108082</v>
      </c>
      <c r="L2286">
        <v>215.17670000000001</v>
      </c>
      <c r="M2286">
        <v>0.99978299999999998</v>
      </c>
      <c r="N2286">
        <v>-1.31798E-2</v>
      </c>
      <c r="O2286">
        <v>1.61327E-2</v>
      </c>
      <c r="P2286">
        <v>0.99501530000000005</v>
      </c>
      <c r="Q2286">
        <v>-7.4096049999999997E-2</v>
      </c>
      <c r="R2286">
        <v>6.6741199999999903E-2</v>
      </c>
      <c r="S2286">
        <v>3.0191349999999999</v>
      </c>
      <c r="T2286">
        <v>-0.1526014</v>
      </c>
      <c r="U2286">
        <v>-0.23634340000000001</v>
      </c>
      <c r="V2286">
        <v>-5.0741050000000003E-2</v>
      </c>
      <c r="W2286">
        <v>-6.0911390000000003E-2</v>
      </c>
      <c r="X2286">
        <v>0.99685259999999998</v>
      </c>
      <c r="Y2286">
        <v>9.3956100000000001E-2</v>
      </c>
      <c r="Z2286">
        <v>-3.5915690000000002E-3</v>
      </c>
      <c r="AA2286">
        <v>0.99556990000000001</v>
      </c>
      <c r="AB2286">
        <v>46</v>
      </c>
      <c r="AC2286">
        <v>21.444400000000002</v>
      </c>
      <c r="AD2286">
        <v>-1.1080827005406999</v>
      </c>
      <c r="AE2286">
        <v>-1.72380000000001</v>
      </c>
      <c r="AF2286">
        <v>2.06408595129873</v>
      </c>
      <c r="AG2286">
        <v>-1.1080827005406999</v>
      </c>
      <c r="AH2286">
        <v>21.357138619780599</v>
      </c>
      <c r="AI2286">
        <v>92.956291494509202</v>
      </c>
      <c r="AJ2286">
        <v>84.479726286403206</v>
      </c>
      <c r="AK2286">
        <v>21.485243031208899</v>
      </c>
      <c r="AL2286">
        <v>93.492127333163396</v>
      </c>
      <c r="AM2286">
        <v>92.913912323703499</v>
      </c>
      <c r="AN2286">
        <v>0.99999997885679703</v>
      </c>
    </row>
    <row r="2287" spans="1:40" x14ac:dyDescent="0.25">
      <c r="A2287" t="str">
        <f>"20190305135630124"</f>
        <v>20190305135630124</v>
      </c>
      <c r="B2287" t="str">
        <f>"1551765390113989"</f>
        <v>1551765390113989</v>
      </c>
      <c r="C2287" t="s">
        <v>40</v>
      </c>
      <c r="D2287">
        <v>4.306756</v>
      </c>
      <c r="E2287">
        <v>0.54959910000000001</v>
      </c>
      <c r="F2287" t="s">
        <v>55</v>
      </c>
      <c r="G2287">
        <v>-339.62079999999997</v>
      </c>
      <c r="H2287" s="1">
        <v>3.6272440000000001E-6</v>
      </c>
      <c r="I2287">
        <v>213.6028</v>
      </c>
      <c r="J2287">
        <v>-362.52609999999999</v>
      </c>
      <c r="K2287">
        <v>1.108026</v>
      </c>
      <c r="L2287">
        <v>215.18440000000001</v>
      </c>
      <c r="M2287">
        <v>0.99979430000000002</v>
      </c>
      <c r="N2287">
        <v>-1.281353E-2</v>
      </c>
      <c r="O2287">
        <v>1.5733210000000001E-2</v>
      </c>
      <c r="P2287">
        <v>0.99496459999999998</v>
      </c>
      <c r="Q2287">
        <v>-7.4389739999999996E-2</v>
      </c>
      <c r="R2287">
        <v>6.7170469999999996E-2</v>
      </c>
      <c r="S2287">
        <v>3.0180359999999999</v>
      </c>
      <c r="T2287">
        <v>-0.14294609999999999</v>
      </c>
      <c r="U2287">
        <v>-0.2030487</v>
      </c>
      <c r="V2287">
        <v>-5.1570320000000003E-2</v>
      </c>
      <c r="W2287">
        <v>-6.1569579999999999E-2</v>
      </c>
      <c r="X2287">
        <v>0.99676960000000003</v>
      </c>
      <c r="Y2287">
        <v>8.2690650000000004E-2</v>
      </c>
      <c r="Z2287">
        <v>-3.0284790000000002E-3</v>
      </c>
      <c r="AA2287">
        <v>0.99657059999999997</v>
      </c>
      <c r="AB2287">
        <v>46</v>
      </c>
      <c r="AC2287">
        <v>22.9053</v>
      </c>
      <c r="AD2287">
        <v>-1.1080223727559999</v>
      </c>
      <c r="AE2287">
        <v>-1.5815999999999999</v>
      </c>
      <c r="AF2287">
        <v>1.9372957668711801</v>
      </c>
      <c r="AG2287">
        <v>-1.1080223727559999</v>
      </c>
      <c r="AH2287">
        <v>22.824421917769602</v>
      </c>
      <c r="AI2287">
        <v>92.769326803300501</v>
      </c>
      <c r="AJ2287">
        <v>85.148465922445794</v>
      </c>
      <c r="AK2287">
        <v>22.933274174160701</v>
      </c>
      <c r="AL2287">
        <v>93.529909779567802</v>
      </c>
      <c r="AM2287">
        <v>92.961696976274595</v>
      </c>
      <c r="AN2287">
        <v>0.99999997328521895</v>
      </c>
    </row>
    <row r="2288" spans="1:40" x14ac:dyDescent="0.25">
      <c r="A2288" t="str">
        <f>"20190305135630148"</f>
        <v>20190305135630148</v>
      </c>
      <c r="B2288" t="str">
        <f>"1551765390144246"</f>
        <v>1551765390144246</v>
      </c>
      <c r="C2288" t="s">
        <v>40</v>
      </c>
      <c r="D2288">
        <v>4.3118819999999998</v>
      </c>
      <c r="E2288">
        <v>0.54816889999999996</v>
      </c>
      <c r="F2288" t="s">
        <v>55</v>
      </c>
      <c r="G2288">
        <v>-338.8193</v>
      </c>
      <c r="H2288" s="1">
        <v>3.196154E-6</v>
      </c>
      <c r="I2288">
        <v>213.70650000000001</v>
      </c>
      <c r="J2288">
        <v>-362.03680000000003</v>
      </c>
      <c r="K2288">
        <v>1.1079749999999999</v>
      </c>
      <c r="L2288">
        <v>215.1918</v>
      </c>
      <c r="M2288">
        <v>0.99980449999999998</v>
      </c>
      <c r="N2288">
        <v>-1.247827E-2</v>
      </c>
      <c r="O2288">
        <v>1.533721E-2</v>
      </c>
      <c r="P2288">
        <v>0.99475530000000001</v>
      </c>
      <c r="Q2288">
        <v>-7.6619519999999997E-2</v>
      </c>
      <c r="R2288">
        <v>6.7760970000000004E-2</v>
      </c>
      <c r="S2288">
        <v>3.017334</v>
      </c>
      <c r="T2288">
        <v>-0.14102600000000001</v>
      </c>
      <c r="U2288">
        <v>-0.18809509999999999</v>
      </c>
      <c r="V2288">
        <v>-5.256276E-2</v>
      </c>
      <c r="W2288">
        <v>-6.413423E-2</v>
      </c>
      <c r="X2288">
        <v>0.996556</v>
      </c>
      <c r="Y2288">
        <v>7.7403070000000004E-2</v>
      </c>
      <c r="Z2288">
        <v>-2.814577E-3</v>
      </c>
      <c r="AA2288">
        <v>0.99699590000000005</v>
      </c>
      <c r="AB2288">
        <v>46</v>
      </c>
      <c r="AC2288">
        <v>23.217500000000001</v>
      </c>
      <c r="AD2288">
        <v>-1.107971803846</v>
      </c>
      <c r="AE2288">
        <v>-1.4852999999999901</v>
      </c>
      <c r="AF2288">
        <v>1.8370780865988801</v>
      </c>
      <c r="AG2288">
        <v>-1.107971803846</v>
      </c>
      <c r="AH2288">
        <v>23.1395049862092</v>
      </c>
      <c r="AI2288">
        <v>92.732771966265403</v>
      </c>
      <c r="AJ2288">
        <v>85.460727912745895</v>
      </c>
      <c r="AK2288">
        <v>23.2387424018853</v>
      </c>
      <c r="AL2288">
        <v>93.677144626203898</v>
      </c>
      <c r="AM2288">
        <v>93.019234450907504</v>
      </c>
      <c r="AN2288">
        <v>0.99999995216625404</v>
      </c>
    </row>
    <row r="2289" spans="1:40" x14ac:dyDescent="0.25">
      <c r="A2289" t="str">
        <f>"20190305135630169"</f>
        <v>20190305135630169</v>
      </c>
      <c r="B2289" t="str">
        <f>"1551765390164741"</f>
        <v>1551765390164741</v>
      </c>
      <c r="C2289" t="s">
        <v>40</v>
      </c>
      <c r="D2289">
        <v>4.3186580000000001</v>
      </c>
      <c r="E2289">
        <v>0.54784639999999996</v>
      </c>
      <c r="F2289" t="s">
        <v>55</v>
      </c>
      <c r="G2289">
        <v>-339.48039999999997</v>
      </c>
      <c r="H2289" s="1">
        <v>3.5402180000000001E-6</v>
      </c>
      <c r="I2289">
        <v>213.88399999999999</v>
      </c>
      <c r="J2289">
        <v>-361.58749999999998</v>
      </c>
      <c r="K2289">
        <v>1.10795</v>
      </c>
      <c r="L2289">
        <v>215.1985</v>
      </c>
      <c r="M2289">
        <v>0.99981339999999996</v>
      </c>
      <c r="N2289">
        <v>-1.219836E-2</v>
      </c>
      <c r="O2289">
        <v>1.4981990000000001E-2</v>
      </c>
      <c r="P2289">
        <v>0.99468409999999996</v>
      </c>
      <c r="Q2289">
        <v>-7.7286629999999995E-2</v>
      </c>
      <c r="R2289">
        <v>6.8048919999999999E-2</v>
      </c>
      <c r="S2289">
        <v>3.0163880000000001</v>
      </c>
      <c r="T2289">
        <v>-0.14816499999999999</v>
      </c>
      <c r="U2289">
        <v>-0.1748962</v>
      </c>
      <c r="V2289">
        <v>-5.3207169999999998E-2</v>
      </c>
      <c r="W2289">
        <v>-6.5079739999999997E-2</v>
      </c>
      <c r="X2289">
        <v>0.99646060000000003</v>
      </c>
      <c r="Y2289">
        <v>7.2716929999999999E-2</v>
      </c>
      <c r="Z2289">
        <v>-2.7799949999999999E-3</v>
      </c>
      <c r="AA2289">
        <v>0.99734869999999998</v>
      </c>
      <c r="AB2289">
        <v>47</v>
      </c>
      <c r="AC2289">
        <v>22.107099999999999</v>
      </c>
      <c r="AD2289">
        <v>-1.1079464597819999</v>
      </c>
      <c r="AE2289">
        <v>-1.31449999999998</v>
      </c>
      <c r="AF2289">
        <v>1.64147699216647</v>
      </c>
      <c r="AG2289">
        <v>-1.1079464597819999</v>
      </c>
      <c r="AH2289">
        <v>22.029785059932699</v>
      </c>
      <c r="AI2289">
        <v>92.871211144110205</v>
      </c>
      <c r="AJ2289">
        <v>85.738668054028096</v>
      </c>
      <c r="AK2289">
        <v>22.1186216085088</v>
      </c>
      <c r="AL2289">
        <v>93.731431409908396</v>
      </c>
      <c r="AM2289">
        <v>93.056472016662497</v>
      </c>
      <c r="AN2289">
        <v>1.0000000514251099</v>
      </c>
    </row>
    <row r="2290" spans="1:40" x14ac:dyDescent="0.25">
      <c r="A2290" t="str">
        <f>"20190305135630190"</f>
        <v>20190305135630190</v>
      </c>
      <c r="B2290" t="str">
        <f>"1551765390184261"</f>
        <v>1551765390184261</v>
      </c>
      <c r="C2290" t="s">
        <v>40</v>
      </c>
      <c r="D2290">
        <v>4.3583350000000003</v>
      </c>
      <c r="E2290">
        <v>0.54753759999999996</v>
      </c>
      <c r="F2290" t="s">
        <v>55</v>
      </c>
      <c r="G2290">
        <v>-339.31959999999998</v>
      </c>
      <c r="H2290" s="1">
        <v>3.452571E-6</v>
      </c>
      <c r="I2290">
        <v>213.93119999999999</v>
      </c>
      <c r="J2290">
        <v>-361.16370000000001</v>
      </c>
      <c r="K2290">
        <v>1.107936</v>
      </c>
      <c r="L2290">
        <v>215.2047</v>
      </c>
      <c r="M2290">
        <v>0.99982110000000002</v>
      </c>
      <c r="N2290">
        <v>-1.195912E-2</v>
      </c>
      <c r="O2290">
        <v>1.4661749999999999E-2</v>
      </c>
      <c r="P2290">
        <v>0.99467340000000004</v>
      </c>
      <c r="Q2290">
        <v>-7.7260399999999896E-2</v>
      </c>
      <c r="R2290">
        <v>6.8234039999999996E-2</v>
      </c>
      <c r="S2290">
        <v>3.0161129999999998</v>
      </c>
      <c r="T2290">
        <v>-0.15006739999999999</v>
      </c>
      <c r="U2290">
        <v>-0.17166139999999999</v>
      </c>
      <c r="V2290">
        <v>-5.3711979999999999E-2</v>
      </c>
      <c r="W2290">
        <v>-6.5291399999999999E-2</v>
      </c>
      <c r="X2290">
        <v>0.99641959999999996</v>
      </c>
      <c r="Y2290">
        <v>7.1336179999999999E-2</v>
      </c>
      <c r="Z2290">
        <v>-2.752797E-3</v>
      </c>
      <c r="AA2290">
        <v>0.99744849999999996</v>
      </c>
      <c r="AB2290">
        <v>47</v>
      </c>
      <c r="AC2290">
        <v>21.844100000000001</v>
      </c>
      <c r="AD2290">
        <v>-1.107932547429</v>
      </c>
      <c r="AE2290">
        <v>-1.2735000000000101</v>
      </c>
      <c r="AF2290">
        <v>1.58958331688548</v>
      </c>
      <c r="AG2290">
        <v>-1.107932547429</v>
      </c>
      <c r="AH2290">
        <v>21.767271579746499</v>
      </c>
      <c r="AI2290">
        <v>92.906058712715804</v>
      </c>
      <c r="AJ2290">
        <v>85.823315186558503</v>
      </c>
      <c r="AK2290">
        <v>21.853338456112599</v>
      </c>
      <c r="AL2290">
        <v>93.743584743841097</v>
      </c>
      <c r="AM2290">
        <v>93.085541639793007</v>
      </c>
      <c r="AN2290">
        <v>0.99999998148681901</v>
      </c>
    </row>
    <row r="2291" spans="1:40" x14ac:dyDescent="0.25">
      <c r="A2291" t="str">
        <f>"20190305135630213"</f>
        <v>20190305135630213</v>
      </c>
      <c r="B2291" t="str">
        <f>"1551765390204757"</f>
        <v>1551765390204757</v>
      </c>
      <c r="C2291" t="s">
        <v>40</v>
      </c>
      <c r="D2291">
        <v>4.3746280000000004</v>
      </c>
      <c r="E2291">
        <v>0.54757349999999905</v>
      </c>
      <c r="F2291" t="s">
        <v>41</v>
      </c>
      <c r="G2291">
        <v>-360.01049999999998</v>
      </c>
      <c r="H2291">
        <v>1.050352</v>
      </c>
      <c r="I2291">
        <v>215.14009999999999</v>
      </c>
      <c r="J2291">
        <v>-360.66590000000002</v>
      </c>
      <c r="K2291">
        <v>1.1079209999999999</v>
      </c>
      <c r="L2291">
        <v>215.21180000000001</v>
      </c>
      <c r="M2291">
        <v>0.99982899999999997</v>
      </c>
      <c r="N2291">
        <v>-1.171001E-2</v>
      </c>
      <c r="O2291">
        <v>1.4311870000000001E-2</v>
      </c>
      <c r="P2291">
        <v>0.9945908</v>
      </c>
      <c r="Q2291">
        <v>-7.7776680000000001E-2</v>
      </c>
      <c r="R2291">
        <v>6.8849380000000002E-2</v>
      </c>
      <c r="S2291">
        <v>3.0159609999999999</v>
      </c>
      <c r="T2291">
        <v>-0.150678799999999</v>
      </c>
      <c r="U2291">
        <v>-0.16862489999999999</v>
      </c>
      <c r="V2291">
        <v>-5.4676559999999999E-2</v>
      </c>
      <c r="W2291">
        <v>-6.6056680000000007E-2</v>
      </c>
      <c r="X2291">
        <v>0.99631670000000006</v>
      </c>
      <c r="Y2291">
        <v>6.9990520000000001E-2</v>
      </c>
      <c r="Z2291">
        <v>-2.7030750000000001E-3</v>
      </c>
      <c r="AA2291">
        <v>0.99754399999999999</v>
      </c>
      <c r="AB2291">
        <v>47</v>
      </c>
      <c r="AC2291">
        <v>0.65540000000004195</v>
      </c>
      <c r="AD2291">
        <v>-5.7568999999999898E-2</v>
      </c>
      <c r="AE2291">
        <v>-7.1700000000021094E-2</v>
      </c>
      <c r="AF2291">
        <v>8.0459851540000904E-2</v>
      </c>
      <c r="AG2291">
        <v>-5.7568999999999898E-2</v>
      </c>
      <c r="AH2291">
        <v>0.64935577626436702</v>
      </c>
      <c r="AI2291">
        <v>95.028091887198599</v>
      </c>
      <c r="AJ2291">
        <v>82.936641864877103</v>
      </c>
      <c r="AK2291">
        <v>0.65684922291096404</v>
      </c>
      <c r="AL2291">
        <v>93.787526897073903</v>
      </c>
      <c r="AM2291">
        <v>93.141166732758094</v>
      </c>
      <c r="AN2291">
        <v>0.99999998894247299</v>
      </c>
    </row>
    <row r="2292" spans="1:40" x14ac:dyDescent="0.25">
      <c r="A2292" t="str">
        <f>"20190305135630235"</f>
        <v>20190305135630235</v>
      </c>
      <c r="B2292" t="str">
        <f>"1551765390224277"</f>
        <v>1551765390224277</v>
      </c>
      <c r="C2292" t="s">
        <v>40</v>
      </c>
      <c r="D2292">
        <v>4.3339089999999896</v>
      </c>
      <c r="E2292">
        <v>0.54748229999999998</v>
      </c>
      <c r="F2292" t="s">
        <v>41</v>
      </c>
      <c r="G2292">
        <v>-359.59019999999998</v>
      </c>
      <c r="H2292">
        <v>1.0537319999999999</v>
      </c>
      <c r="I2292">
        <v>215.15209999999999</v>
      </c>
      <c r="J2292">
        <v>-360.20350000000002</v>
      </c>
      <c r="K2292">
        <v>1.1079270000000001</v>
      </c>
      <c r="L2292">
        <v>215.2182</v>
      </c>
      <c r="M2292">
        <v>0.99983569999999999</v>
      </c>
      <c r="N2292">
        <v>-1.1504550000000001E-2</v>
      </c>
      <c r="O2292">
        <v>1.400873E-2</v>
      </c>
      <c r="P2292">
        <v>0.99473310000000004</v>
      </c>
      <c r="Q2292">
        <v>-7.5038549999999996E-2</v>
      </c>
      <c r="R2292">
        <v>6.9824339999999999E-2</v>
      </c>
      <c r="S2292">
        <v>3.0159910000000001</v>
      </c>
      <c r="T2292">
        <v>-0.15197279999999999</v>
      </c>
      <c r="U2292">
        <v>-0.16694639999999999</v>
      </c>
      <c r="V2292">
        <v>-5.594756E-2</v>
      </c>
      <c r="W2292">
        <v>-6.3522029999999993E-2</v>
      </c>
      <c r="X2292">
        <v>0.99641100000000005</v>
      </c>
      <c r="Y2292">
        <v>6.9133899999999998E-2</v>
      </c>
      <c r="Z2292">
        <v>-2.6816589999999999E-3</v>
      </c>
      <c r="AA2292">
        <v>0.99760380000000004</v>
      </c>
      <c r="AB2292">
        <v>47</v>
      </c>
      <c r="AC2292">
        <v>0.61330000000003704</v>
      </c>
      <c r="AD2292">
        <v>-5.4195000000000201E-2</v>
      </c>
      <c r="AE2292">
        <v>-6.6100000000005807E-2</v>
      </c>
      <c r="AF2292">
        <v>7.4113558565574E-2</v>
      </c>
      <c r="AG2292">
        <v>-5.4195000000000201E-2</v>
      </c>
      <c r="AH2292">
        <v>0.60762357163458602</v>
      </c>
      <c r="AI2292">
        <v>95.059522666209403</v>
      </c>
      <c r="AJ2292">
        <v>83.045823237030305</v>
      </c>
      <c r="AK2292">
        <v>0.61452121394970805</v>
      </c>
      <c r="AL2292">
        <v>93.6419961959066</v>
      </c>
      <c r="AM2292">
        <v>93.213730757444097</v>
      </c>
      <c r="AN2292">
        <v>1.0000000293431299</v>
      </c>
    </row>
    <row r="2293" spans="1:40" x14ac:dyDescent="0.25">
      <c r="A2293" t="str">
        <f>"20190305135630259"</f>
        <v>20190305135630259</v>
      </c>
      <c r="B2293" t="str">
        <f>"1551765390254533"</f>
        <v>1551765390254533</v>
      </c>
      <c r="C2293" t="s">
        <v>40</v>
      </c>
      <c r="D2293">
        <v>4.332128</v>
      </c>
      <c r="E2293">
        <v>0.54708009999999996</v>
      </c>
      <c r="F2293" t="s">
        <v>55</v>
      </c>
      <c r="G2293">
        <v>-336.90679999999998</v>
      </c>
      <c r="H2293" s="1">
        <v>2.167516E-6</v>
      </c>
      <c r="I2293">
        <v>213.95650000000001</v>
      </c>
      <c r="J2293">
        <v>-359.72039999999998</v>
      </c>
      <c r="K2293">
        <v>1.1079399999999999</v>
      </c>
      <c r="L2293">
        <v>215.22479999999999</v>
      </c>
      <c r="M2293">
        <v>0.99984189999999995</v>
      </c>
      <c r="N2293">
        <v>-1.131535E-2</v>
      </c>
      <c r="O2293">
        <v>1.3720410000000001E-2</v>
      </c>
      <c r="P2293">
        <v>0.99487170000000003</v>
      </c>
      <c r="Q2293">
        <v>-7.1752899999999994E-2</v>
      </c>
      <c r="R2293">
        <v>7.1287290000000003E-2</v>
      </c>
      <c r="S2293">
        <v>3.0165410000000001</v>
      </c>
      <c r="T2293">
        <v>-0.143458</v>
      </c>
      <c r="U2293">
        <v>-0.16337589999999999</v>
      </c>
      <c r="V2293">
        <v>-5.7688990000000002E-2</v>
      </c>
      <c r="W2293">
        <v>-6.042426E-2</v>
      </c>
      <c r="X2293">
        <v>0.99650430000000001</v>
      </c>
      <c r="Y2293">
        <v>6.7673410000000003E-2</v>
      </c>
      <c r="Z2293">
        <v>-2.487164E-3</v>
      </c>
      <c r="AA2293">
        <v>0.99770440000000005</v>
      </c>
      <c r="AB2293">
        <v>47</v>
      </c>
      <c r="AC2293">
        <v>22.813600000000001</v>
      </c>
      <c r="AD2293">
        <v>-1.1079378324839999</v>
      </c>
      <c r="AE2293">
        <v>-1.26829999999998</v>
      </c>
      <c r="AF2293">
        <v>1.57750342897153</v>
      </c>
      <c r="AG2293">
        <v>-1.1079378324839999</v>
      </c>
      <c r="AH2293">
        <v>22.740580291187602</v>
      </c>
      <c r="AI2293">
        <v>92.782610454485706</v>
      </c>
      <c r="AJ2293">
        <v>86.031775606458098</v>
      </c>
      <c r="AK2293">
        <v>22.8221391479636</v>
      </c>
      <c r="AL2293">
        <v>93.464165380399905</v>
      </c>
      <c r="AM2293">
        <v>93.313232614690094</v>
      </c>
      <c r="AN2293">
        <v>0.99999996534112801</v>
      </c>
    </row>
    <row r="2294" spans="1:40" x14ac:dyDescent="0.25">
      <c r="A2294" t="str">
        <f>"20190305135630279"</f>
        <v>20190305135630279</v>
      </c>
      <c r="B2294" t="str">
        <f>"1551765390274053"</f>
        <v>1551765390274053</v>
      </c>
      <c r="C2294" t="s">
        <v>40</v>
      </c>
      <c r="D2294">
        <v>4.3376049999999999</v>
      </c>
      <c r="E2294">
        <v>0.54692940000000001</v>
      </c>
      <c r="F2294" t="s">
        <v>55</v>
      </c>
      <c r="G2294">
        <v>-335.28640000000001</v>
      </c>
      <c r="H2294" s="1">
        <v>1.30496E-6</v>
      </c>
      <c r="I2294">
        <v>213.9622</v>
      </c>
      <c r="J2294">
        <v>-359.28719999999998</v>
      </c>
      <c r="K2294">
        <v>1.107947</v>
      </c>
      <c r="L2294">
        <v>215.23070000000001</v>
      </c>
      <c r="M2294">
        <v>0.99984680000000004</v>
      </c>
      <c r="N2294">
        <v>-1.1167689999999999E-2</v>
      </c>
      <c r="O2294">
        <v>1.3494999999999899E-2</v>
      </c>
      <c r="P2294">
        <v>0.99451529999999999</v>
      </c>
      <c r="Q2294">
        <v>-7.4679919999999997E-2</v>
      </c>
      <c r="R2294">
        <v>7.3229920000000004E-2</v>
      </c>
      <c r="S2294">
        <v>3.016724</v>
      </c>
      <c r="T2294">
        <v>-0.13679050000000001</v>
      </c>
      <c r="U2294">
        <v>-0.15588379999999999</v>
      </c>
      <c r="V2294">
        <v>-5.9860320000000002E-2</v>
      </c>
      <c r="W2294">
        <v>-6.3503340000000005E-2</v>
      </c>
      <c r="X2294">
        <v>0.99618479999999998</v>
      </c>
      <c r="Y2294">
        <v>6.4986589999999997E-2</v>
      </c>
      <c r="Z2294">
        <v>-2.2956930000000001E-3</v>
      </c>
      <c r="AA2294">
        <v>0.99788350000000003</v>
      </c>
      <c r="AB2294">
        <v>47</v>
      </c>
      <c r="AC2294">
        <v>24.000799999999899</v>
      </c>
      <c r="AD2294">
        <v>-1.10794569504</v>
      </c>
      <c r="AE2294">
        <v>-1.26850000000001</v>
      </c>
      <c r="AF2294">
        <v>1.5889188253148201</v>
      </c>
      <c r="AG2294">
        <v>-1.10794569504</v>
      </c>
      <c r="AH2294">
        <v>23.930640323198102</v>
      </c>
      <c r="AI2294">
        <v>92.644983270932599</v>
      </c>
      <c r="AJ2294">
        <v>86.201317133435495</v>
      </c>
      <c r="AK2294">
        <v>24.0089098664407</v>
      </c>
      <c r="AL2294">
        <v>93.640923118248196</v>
      </c>
      <c r="AM2294">
        <v>93.438744122773002</v>
      </c>
      <c r="AN2294">
        <v>1.0000000439263399</v>
      </c>
    </row>
    <row r="2295" spans="1:40" x14ac:dyDescent="0.25">
      <c r="A2295" t="str">
        <f>"20190305135630302"</f>
        <v>20190305135630302</v>
      </c>
      <c r="B2295" t="str">
        <f>"1551765390294550"</f>
        <v>1551765390294550</v>
      </c>
      <c r="C2295" t="s">
        <v>40</v>
      </c>
      <c r="D2295">
        <v>4.3548559999999998</v>
      </c>
      <c r="E2295">
        <v>0.5467438</v>
      </c>
      <c r="F2295" t="s">
        <v>55</v>
      </c>
      <c r="G2295">
        <v>-336.39269999999999</v>
      </c>
      <c r="H2295" s="1">
        <v>1.887625E-6</v>
      </c>
      <c r="I2295">
        <v>214.1011</v>
      </c>
      <c r="J2295">
        <v>-358.81240000000003</v>
      </c>
      <c r="K2295">
        <v>1.107961</v>
      </c>
      <c r="L2295">
        <v>215.23689999999999</v>
      </c>
      <c r="M2295">
        <v>0.99985089999999999</v>
      </c>
      <c r="N2295">
        <v>-1.1032119999999999E-2</v>
      </c>
      <c r="O2295">
        <v>1.3291509999999999E-2</v>
      </c>
      <c r="P2295">
        <v>0.99417449999999996</v>
      </c>
      <c r="Q2295">
        <v>-7.8190880000000004E-2</v>
      </c>
      <c r="R2295">
        <v>7.4184559999999997E-2</v>
      </c>
      <c r="S2295">
        <v>3.0165410000000001</v>
      </c>
      <c r="T2295">
        <v>-0.145981</v>
      </c>
      <c r="U2295">
        <v>-0.1488342</v>
      </c>
      <c r="V2295">
        <v>-6.1019900000000002E-2</v>
      </c>
      <c r="W2295">
        <v>-6.7156779999999999E-2</v>
      </c>
      <c r="X2295">
        <v>0.99587479999999995</v>
      </c>
      <c r="Y2295">
        <v>6.2452390000000003E-2</v>
      </c>
      <c r="Z2295">
        <v>-2.350324E-3</v>
      </c>
      <c r="AA2295">
        <v>0.99804519999999997</v>
      </c>
      <c r="AB2295">
        <v>47</v>
      </c>
      <c r="AC2295">
        <v>22.419699999999999</v>
      </c>
      <c r="AD2295">
        <v>-1.1079591123750001</v>
      </c>
      <c r="AE2295">
        <v>-1.1357999999999799</v>
      </c>
      <c r="AF2295">
        <v>1.4302254209476899</v>
      </c>
      <c r="AG2295">
        <v>-1.1079591123750001</v>
      </c>
      <c r="AH2295">
        <v>22.348182033200601</v>
      </c>
      <c r="AI2295">
        <v>92.832452462099596</v>
      </c>
      <c r="AJ2295">
        <v>86.338213102209707</v>
      </c>
      <c r="AK2295">
        <v>22.421292521585102</v>
      </c>
      <c r="AL2295">
        <v>93.850698078196203</v>
      </c>
      <c r="AM2295">
        <v>93.506281392549994</v>
      </c>
      <c r="AN2295">
        <v>1.0000000392855</v>
      </c>
    </row>
    <row r="2296" spans="1:40" x14ac:dyDescent="0.25">
      <c r="A2296" t="str">
        <f>"20190305135630325"</f>
        <v>20190305135630325</v>
      </c>
      <c r="B2296" t="str">
        <f>"1551765390314634"</f>
        <v>1551765390314634</v>
      </c>
      <c r="C2296" t="s">
        <v>40</v>
      </c>
      <c r="D2296">
        <v>4.4368460000000001</v>
      </c>
      <c r="E2296">
        <v>0.54673090000000002</v>
      </c>
      <c r="F2296" t="s">
        <v>55</v>
      </c>
      <c r="G2296">
        <v>-337.56650000000002</v>
      </c>
      <c r="H2296" s="1">
        <v>2.5070479999999999E-6</v>
      </c>
      <c r="I2296">
        <v>214.22</v>
      </c>
      <c r="J2296">
        <v>-358.33789999999999</v>
      </c>
      <c r="K2296">
        <v>1.1079969999999999</v>
      </c>
      <c r="L2296">
        <v>215.2432</v>
      </c>
      <c r="M2296">
        <v>0.99985420000000003</v>
      </c>
      <c r="N2296">
        <v>-1.0924079999999999E-2</v>
      </c>
      <c r="O2296">
        <v>1.313512E-2</v>
      </c>
      <c r="P2296">
        <v>0.99406729999999999</v>
      </c>
      <c r="Q2296">
        <v>-7.8524839999999999E-2</v>
      </c>
      <c r="R2296">
        <v>7.5262140000000005E-2</v>
      </c>
      <c r="S2296">
        <v>3.016022</v>
      </c>
      <c r="T2296">
        <v>-0.15728329999999999</v>
      </c>
      <c r="U2296">
        <v>-0.1443634</v>
      </c>
      <c r="V2296">
        <v>-6.2248829999999998E-2</v>
      </c>
      <c r="W2296">
        <v>-6.7604330000000004E-2</v>
      </c>
      <c r="X2296">
        <v>0.9957684</v>
      </c>
      <c r="Y2296">
        <v>6.0816599999999901E-2</v>
      </c>
      <c r="Z2296">
        <v>-2.4572880000000002E-3</v>
      </c>
      <c r="AA2296">
        <v>0.99814590000000003</v>
      </c>
      <c r="AB2296">
        <v>47</v>
      </c>
      <c r="AC2296">
        <v>20.7713999999999</v>
      </c>
      <c r="AD2296">
        <v>-1.10799449295199</v>
      </c>
      <c r="AE2296">
        <v>-1.0232000000000001</v>
      </c>
      <c r="AF2296">
        <v>1.2922945949462901</v>
      </c>
      <c r="AG2296">
        <v>-1.10799449295199</v>
      </c>
      <c r="AH2296">
        <v>20.697417278089201</v>
      </c>
      <c r="AI2296">
        <v>93.058344799357798</v>
      </c>
      <c r="AJ2296">
        <v>86.427233784248898</v>
      </c>
      <c r="AK2296">
        <v>20.7673002361858</v>
      </c>
      <c r="AL2296">
        <v>93.876399426519797</v>
      </c>
      <c r="AM2296">
        <v>93.577096955420302</v>
      </c>
      <c r="AN2296">
        <v>0.99999998435483795</v>
      </c>
    </row>
    <row r="2297" spans="1:40" x14ac:dyDescent="0.25">
      <c r="A2297" t="str">
        <f>"20190305135630348"</f>
        <v>20190305135630348</v>
      </c>
      <c r="B2297" t="str">
        <f>"1551765390344887"</f>
        <v>1551765390344887</v>
      </c>
      <c r="C2297" t="s">
        <v>40</v>
      </c>
      <c r="D2297">
        <v>4.3409219999999999</v>
      </c>
      <c r="E2297">
        <v>0.52571840000000003</v>
      </c>
      <c r="F2297" t="s">
        <v>55</v>
      </c>
      <c r="G2297">
        <v>-337.02390000000003</v>
      </c>
      <c r="H2297" s="1">
        <v>2.217097E-6</v>
      </c>
      <c r="I2297">
        <v>214.2474</v>
      </c>
      <c r="J2297">
        <v>-357.84969999999998</v>
      </c>
      <c r="K2297">
        <v>1.1080410000000001</v>
      </c>
      <c r="L2297">
        <v>215.24950000000001</v>
      </c>
      <c r="M2297">
        <v>0.99985650000000004</v>
      </c>
      <c r="N2297">
        <v>-1.0839089999999999E-2</v>
      </c>
      <c r="O2297">
        <v>1.3018800000000001E-2</v>
      </c>
      <c r="P2297">
        <v>0.99412389999999995</v>
      </c>
      <c r="Q2297">
        <v>-7.6494839999999995E-2</v>
      </c>
      <c r="R2297">
        <v>7.6590249999999999E-2</v>
      </c>
      <c r="S2297">
        <v>3.0161440000000002</v>
      </c>
      <c r="T2297">
        <v>-0.156792299999999</v>
      </c>
      <c r="U2297">
        <v>-0.14091489999999901</v>
      </c>
      <c r="V2297">
        <v>-6.3682909999999995E-2</v>
      </c>
      <c r="W2297">
        <v>-6.5663840000000001E-2</v>
      </c>
      <c r="X2297">
        <v>0.99580760000000001</v>
      </c>
      <c r="Y2297">
        <v>5.9562700000000003E-2</v>
      </c>
      <c r="Z2297">
        <v>-2.4045590000000001E-3</v>
      </c>
      <c r="AA2297">
        <v>0.99822169999999999</v>
      </c>
      <c r="AB2297">
        <v>47</v>
      </c>
      <c r="AC2297">
        <v>20.825799999999902</v>
      </c>
      <c r="AD2297">
        <v>-1.1080387829030001</v>
      </c>
      <c r="AE2297">
        <v>-1.00210000000001</v>
      </c>
      <c r="AF2297">
        <v>1.26957233619081</v>
      </c>
      <c r="AG2297">
        <v>-1.1080387829030001</v>
      </c>
      <c r="AH2297">
        <v>20.752378167453401</v>
      </c>
      <c r="AI2297">
        <v>93.050618316418706</v>
      </c>
      <c r="AJ2297">
        <v>86.499167897214207</v>
      </c>
      <c r="AK2297">
        <v>20.820681147989198</v>
      </c>
      <c r="AL2297">
        <v>93.764969751452199</v>
      </c>
      <c r="AM2297">
        <v>93.659140567502106</v>
      </c>
      <c r="AN2297">
        <v>1.00000001456368</v>
      </c>
    </row>
    <row r="2298" spans="1:40" x14ac:dyDescent="0.25">
      <c r="A2298" t="str">
        <f>"20190305135630392"</f>
        <v>20190305135630392</v>
      </c>
      <c r="B2298" t="str">
        <f>"1551765390384902"</f>
        <v>1551765390384902</v>
      </c>
      <c r="C2298" t="s">
        <v>40</v>
      </c>
      <c r="D2298">
        <v>4.2100249999999999</v>
      </c>
      <c r="E2298">
        <v>0.52683709999999995</v>
      </c>
      <c r="F2298" t="s">
        <v>55</v>
      </c>
      <c r="G2298">
        <v>-327.59050000000002</v>
      </c>
      <c r="H2298" s="1">
        <v>2.5025179999999998E-6</v>
      </c>
      <c r="I2298">
        <v>215.5908</v>
      </c>
      <c r="J2298">
        <v>-356.92610000000002</v>
      </c>
      <c r="K2298">
        <v>1.1081259999999999</v>
      </c>
      <c r="L2298">
        <v>215.26150000000001</v>
      </c>
      <c r="M2298">
        <v>0.99985900000000005</v>
      </c>
      <c r="N2298">
        <v>-1.0758149999999999E-2</v>
      </c>
      <c r="O2298">
        <v>1.2896670000000001E-2</v>
      </c>
      <c r="P2298">
        <v>0.994479</v>
      </c>
      <c r="Q2298">
        <v>-7.219979E-2</v>
      </c>
      <c r="R2298">
        <v>7.6151259999999998E-2</v>
      </c>
      <c r="S2298">
        <v>3.006653</v>
      </c>
      <c r="T2298">
        <v>-0.1100984</v>
      </c>
      <c r="U2298">
        <v>3.3905030000000003E-2</v>
      </c>
      <c r="V2298">
        <v>-6.3348070000000006E-2</v>
      </c>
      <c r="W2298">
        <v>-6.145697E-2</v>
      </c>
      <c r="X2298">
        <v>0.99609740000000002</v>
      </c>
      <c r="Y2298">
        <v>1.6158749999999999E-3</v>
      </c>
      <c r="Z2298">
        <v>-3.7161619999999997E-4</v>
      </c>
      <c r="AA2298">
        <v>0.99999859999999896</v>
      </c>
      <c r="AB2298">
        <v>47</v>
      </c>
      <c r="AC2298">
        <v>29.335599999999999</v>
      </c>
      <c r="AD2298">
        <v>-1.108123497482</v>
      </c>
      <c r="AE2298">
        <v>0.32929999999998899</v>
      </c>
      <c r="AF2298">
        <v>4.9010898393331503E-2</v>
      </c>
      <c r="AG2298">
        <v>-1.108123497482</v>
      </c>
      <c r="AH2298">
        <v>29.295611174961699</v>
      </c>
      <c r="AI2298">
        <v>92.166210362045902</v>
      </c>
      <c r="AJ2298">
        <v>89.904145539361494</v>
      </c>
      <c r="AK2298">
        <v>29.316602358874601</v>
      </c>
      <c r="AL2298">
        <v>93.523445423175204</v>
      </c>
      <c r="AM2298">
        <v>93.638896794249106</v>
      </c>
      <c r="AN2298">
        <v>0.999999983710532</v>
      </c>
    </row>
    <row r="2299" spans="1:40" x14ac:dyDescent="0.25">
      <c r="A2299" t="str">
        <f>"20190305135630457"</f>
        <v>20190305135630457</v>
      </c>
      <c r="B2299" t="str">
        <f>"1551765390454175"</f>
        <v>1551765390454175</v>
      </c>
      <c r="C2299" t="s">
        <v>40</v>
      </c>
      <c r="D2299">
        <v>4.2296170000000002</v>
      </c>
      <c r="E2299">
        <v>0.52742140000000004</v>
      </c>
      <c r="F2299" t="s">
        <v>61</v>
      </c>
      <c r="G2299">
        <v>-316.44049999999999</v>
      </c>
      <c r="H2299" s="1">
        <v>3.7617490000000002E-6</v>
      </c>
      <c r="I2299">
        <v>215.59899999999999</v>
      </c>
      <c r="J2299">
        <v>-355.55239999999998</v>
      </c>
      <c r="K2299">
        <v>1.108214</v>
      </c>
      <c r="L2299">
        <v>215.2791</v>
      </c>
      <c r="M2299">
        <v>0.99985979999999997</v>
      </c>
      <c r="N2299">
        <v>-1.0760240000000001E-2</v>
      </c>
      <c r="O2299">
        <v>1.2836429999999999E-2</v>
      </c>
      <c r="P2299">
        <v>0.99437560000000003</v>
      </c>
      <c r="Q2299">
        <v>-7.5084590000000007E-2</v>
      </c>
      <c r="R2299">
        <v>7.4696780000000004E-2</v>
      </c>
      <c r="S2299">
        <v>3.008759</v>
      </c>
      <c r="T2299">
        <v>-8.2352040000000001E-2</v>
      </c>
      <c r="U2299">
        <v>2.5085449999999999E-2</v>
      </c>
      <c r="V2299">
        <v>-6.194595E-2</v>
      </c>
      <c r="W2299">
        <v>-6.4351829999999999E-2</v>
      </c>
      <c r="X2299">
        <v>0.99600279999999997</v>
      </c>
      <c r="Y2299">
        <v>4.4961150000000002E-3</v>
      </c>
      <c r="Z2299">
        <v>-2.9886110000000002E-4</v>
      </c>
      <c r="AA2299">
        <v>0.99998989999999999</v>
      </c>
      <c r="AB2299">
        <v>47</v>
      </c>
      <c r="AC2299">
        <v>39.111899999999899</v>
      </c>
      <c r="AD2299">
        <v>-1.108210238251</v>
      </c>
      <c r="AE2299">
        <v>0.319900000000018</v>
      </c>
      <c r="AF2299">
        <v>0.18206638971411401</v>
      </c>
      <c r="AG2299">
        <v>-1.108210238251</v>
      </c>
      <c r="AH2299">
        <v>39.081409956438101</v>
      </c>
      <c r="AI2299">
        <v>91.624252311858598</v>
      </c>
      <c r="AJ2299">
        <v>89.733081271412701</v>
      </c>
      <c r="AK2299">
        <v>39.097543174547503</v>
      </c>
      <c r="AL2299">
        <v>93.689637752324998</v>
      </c>
      <c r="AM2299">
        <v>93.558901377809704</v>
      </c>
      <c r="AN2299">
        <v>1.0000000181767901</v>
      </c>
    </row>
    <row r="2300" spans="1:40" x14ac:dyDescent="0.25">
      <c r="A2300" t="str">
        <f>"20190305135630480"</f>
        <v>20190305135630480</v>
      </c>
      <c r="B2300" t="str">
        <f>"1551765390474672"</f>
        <v>1551765390474672</v>
      </c>
      <c r="C2300" t="s">
        <v>40</v>
      </c>
      <c r="D2300">
        <v>4.212771</v>
      </c>
      <c r="E2300">
        <v>0.5285398</v>
      </c>
      <c r="F2300" t="s">
        <v>61</v>
      </c>
      <c r="G2300">
        <v>-317.78469999999999</v>
      </c>
      <c r="H2300" s="1">
        <v>4.3578479999999996E-6</v>
      </c>
      <c r="I2300">
        <v>215.4821</v>
      </c>
      <c r="J2300">
        <v>-355.06880000000001</v>
      </c>
      <c r="K2300">
        <v>1.1082399999999999</v>
      </c>
      <c r="L2300">
        <v>215.28530000000001</v>
      </c>
      <c r="M2300">
        <v>0.99985970000000002</v>
      </c>
      <c r="N2300">
        <v>-1.0785869999999999E-2</v>
      </c>
      <c r="O2300">
        <v>1.28177E-2</v>
      </c>
      <c r="P2300">
        <v>0.99458120000000005</v>
      </c>
      <c r="Q2300">
        <v>-7.3275800000000002E-2</v>
      </c>
      <c r="R2300">
        <v>7.3749490000000001E-2</v>
      </c>
      <c r="S2300">
        <v>3.0090940000000002</v>
      </c>
      <c r="T2300">
        <v>-8.829534E-2</v>
      </c>
      <c r="U2300">
        <v>1.6174319999999999E-2</v>
      </c>
      <c r="V2300">
        <v>-6.101173E-2</v>
      </c>
      <c r="W2300">
        <v>-6.2517870000000003E-2</v>
      </c>
      <c r="X2300">
        <v>0.99617730000000004</v>
      </c>
      <c r="Y2300">
        <v>7.4370540000000002E-3</v>
      </c>
      <c r="Z2300">
        <v>-3.8698349999999999E-4</v>
      </c>
      <c r="AA2300">
        <v>0.99997230000000004</v>
      </c>
      <c r="AB2300">
        <v>47</v>
      </c>
      <c r="AC2300">
        <v>37.284100000000002</v>
      </c>
      <c r="AD2300">
        <v>-1.1082356421520001</v>
      </c>
      <c r="AE2300">
        <v>0.19679999999999601</v>
      </c>
      <c r="AF2300">
        <v>0.28089219929845799</v>
      </c>
      <c r="AG2300">
        <v>-1.1082356421520001</v>
      </c>
      <c r="AH2300">
        <v>37.250648606558201</v>
      </c>
      <c r="AI2300">
        <v>91.704042741968493</v>
      </c>
      <c r="AJ2300">
        <v>89.567963697459703</v>
      </c>
      <c r="AK2300">
        <v>37.2681889588888</v>
      </c>
      <c r="AL2300">
        <v>93.584347350021503</v>
      </c>
      <c r="AM2300">
        <v>93.504751180818303</v>
      </c>
      <c r="AN2300">
        <v>1.0000000641511</v>
      </c>
    </row>
    <row r="2301" spans="1:40" x14ac:dyDescent="0.25">
      <c r="A2301" t="str">
        <f>"20190305135630503"</f>
        <v>20190305135630503</v>
      </c>
      <c r="B2301" t="str">
        <f>"1551765390494191"</f>
        <v>1551765390494191</v>
      </c>
      <c r="C2301" t="s">
        <v>40</v>
      </c>
      <c r="D2301">
        <v>4.237444</v>
      </c>
      <c r="E2301">
        <v>0.52937009999999995</v>
      </c>
      <c r="F2301" t="s">
        <v>61</v>
      </c>
      <c r="G2301">
        <v>-312.3417</v>
      </c>
      <c r="H2301" s="1">
        <v>1.9440860000000002E-6</v>
      </c>
      <c r="I2301">
        <v>215.3546</v>
      </c>
      <c r="J2301">
        <v>-354.56560000000002</v>
      </c>
      <c r="K2301">
        <v>1.1082650000000001</v>
      </c>
      <c r="L2301">
        <v>215.29169999999999</v>
      </c>
      <c r="M2301">
        <v>0.99985979999999997</v>
      </c>
      <c r="N2301">
        <v>-1.0815429999999999E-2</v>
      </c>
      <c r="O2301">
        <v>1.278516E-2</v>
      </c>
      <c r="P2301">
        <v>0.99486940000000001</v>
      </c>
      <c r="Q2301">
        <v>-7.0353490000000005E-2</v>
      </c>
      <c r="R2301">
        <v>7.2700199999999895E-2</v>
      </c>
      <c r="S2301">
        <v>3.0102229999999999</v>
      </c>
      <c r="T2301">
        <v>-7.807791E-2</v>
      </c>
      <c r="U2301">
        <v>4.8828129999999997E-3</v>
      </c>
      <c r="V2301">
        <v>-5.9989389999999997E-2</v>
      </c>
      <c r="W2301">
        <v>-5.9564829999999999E-2</v>
      </c>
      <c r="X2301">
        <v>0.99642030000000004</v>
      </c>
      <c r="Y2301">
        <v>1.1157169999999999E-2</v>
      </c>
      <c r="Z2301">
        <v>-3.9830360000000001E-4</v>
      </c>
      <c r="AA2301">
        <v>0.99993770000000004</v>
      </c>
      <c r="AB2301">
        <v>47</v>
      </c>
      <c r="AC2301">
        <v>42.2239</v>
      </c>
      <c r="AD2301">
        <v>-1.1082630559139901</v>
      </c>
      <c r="AE2301">
        <v>6.2900000000013195E-2</v>
      </c>
      <c r="AF2301">
        <v>0.47664764919952901</v>
      </c>
      <c r="AG2301">
        <v>-1.1082630559139901</v>
      </c>
      <c r="AH2301">
        <v>42.192185731412998</v>
      </c>
      <c r="AI2301">
        <v>91.5045475375466</v>
      </c>
      <c r="AJ2301">
        <v>89.352753680948197</v>
      </c>
      <c r="AK2301">
        <v>42.209429950861001</v>
      </c>
      <c r="AL2301">
        <v>93.414834499675806</v>
      </c>
      <c r="AM2301">
        <v>93.445328326160904</v>
      </c>
      <c r="AN2301">
        <v>1.00000005506879</v>
      </c>
    </row>
    <row r="2302" spans="1:40" x14ac:dyDescent="0.25">
      <c r="A2302" t="str">
        <f>"20190305135630526"</f>
        <v>20190305135630526</v>
      </c>
      <c r="B2302" t="str">
        <f>"1551765390514691"</f>
        <v>1551765390514691</v>
      </c>
      <c r="C2302" t="s">
        <v>40</v>
      </c>
      <c r="D2302">
        <v>4.217708</v>
      </c>
      <c r="E2302">
        <v>0.52988900000000005</v>
      </c>
      <c r="F2302" t="s">
        <v>61</v>
      </c>
      <c r="G2302">
        <v>-304.03100000000001</v>
      </c>
      <c r="H2302" s="1">
        <v>1.938232E-6</v>
      </c>
      <c r="I2302">
        <v>215.2159</v>
      </c>
      <c r="J2302">
        <v>-354.10750000000002</v>
      </c>
      <c r="K2302">
        <v>1.1082700000000001</v>
      </c>
      <c r="L2302">
        <v>215.29750000000001</v>
      </c>
      <c r="M2302">
        <v>0.99986010000000003</v>
      </c>
      <c r="N2302">
        <v>-1.0841959999999999E-2</v>
      </c>
      <c r="O2302">
        <v>1.2740339999999999E-2</v>
      </c>
      <c r="P2302">
        <v>0.99514829999999999</v>
      </c>
      <c r="Q2302">
        <v>-6.7485660000000003E-2</v>
      </c>
      <c r="R2302">
        <v>7.1595210000000006E-2</v>
      </c>
      <c r="S2302">
        <v>3.011139</v>
      </c>
      <c r="T2302">
        <v>-6.6036579999999998E-2</v>
      </c>
      <c r="U2302">
        <v>-4.5166019999999998E-3</v>
      </c>
      <c r="V2302">
        <v>-5.892505E-2</v>
      </c>
      <c r="W2302">
        <v>-5.6668459999999997E-2</v>
      </c>
      <c r="X2302">
        <v>0.99665269999999995</v>
      </c>
      <c r="Y2302">
        <v>1.4235019999999999E-2</v>
      </c>
      <c r="Z2302">
        <v>-3.7449590000000001E-4</v>
      </c>
      <c r="AA2302">
        <v>0.99989859999999997</v>
      </c>
      <c r="AB2302">
        <v>47</v>
      </c>
      <c r="AC2302">
        <v>50.076500000000003</v>
      </c>
      <c r="AD2302">
        <v>-1.1082680617680001</v>
      </c>
      <c r="AE2302">
        <v>-8.1600000000008693E-2</v>
      </c>
      <c r="AF2302">
        <v>0.71927018636723095</v>
      </c>
      <c r="AG2302">
        <v>-1.1082680617680001</v>
      </c>
      <c r="AH2302">
        <v>50.046882506779397</v>
      </c>
      <c r="AI2302">
        <v>91.268453678674305</v>
      </c>
      <c r="AJ2302">
        <v>89.176605876793801</v>
      </c>
      <c r="AK2302">
        <v>50.064319193864101</v>
      </c>
      <c r="AL2302">
        <v>93.248603758289207</v>
      </c>
      <c r="AM2302">
        <v>93.383556870760899</v>
      </c>
      <c r="AN2302">
        <v>1.0000000401467799</v>
      </c>
    </row>
    <row r="2303" spans="1:40" x14ac:dyDescent="0.25">
      <c r="A2303" t="str">
        <f>"20190305135630548"</f>
        <v>20190305135630548</v>
      </c>
      <c r="B2303" t="str">
        <f>"1551765390544944"</f>
        <v>1551765390544944</v>
      </c>
      <c r="C2303" t="s">
        <v>40</v>
      </c>
      <c r="D2303">
        <v>4.2198979999999997</v>
      </c>
      <c r="E2303">
        <v>0.53018769999999904</v>
      </c>
      <c r="F2303" t="s">
        <v>61</v>
      </c>
      <c r="G2303">
        <v>-294.18889999999999</v>
      </c>
      <c r="H2303" s="1">
        <v>1.6374500000000001E-6</v>
      </c>
      <c r="I2303">
        <v>215.05459999999999</v>
      </c>
      <c r="J2303">
        <v>-353.63159999999999</v>
      </c>
      <c r="K2303">
        <v>1.108276</v>
      </c>
      <c r="L2303">
        <v>215.30350000000001</v>
      </c>
      <c r="M2303">
        <v>0.99986070000000005</v>
      </c>
      <c r="N2303">
        <v>-1.086175E-2</v>
      </c>
      <c r="O2303">
        <v>1.267954E-2</v>
      </c>
      <c r="P2303">
        <v>0.99519170000000001</v>
      </c>
      <c r="Q2303">
        <v>-6.7058030000000005E-2</v>
      </c>
      <c r="R2303">
        <v>7.1393419999999999E-2</v>
      </c>
      <c r="S2303">
        <v>3.0117189999999998</v>
      </c>
      <c r="T2303">
        <v>-5.570543E-2</v>
      </c>
      <c r="U2303">
        <v>-1.2207030000000001E-2</v>
      </c>
      <c r="V2303">
        <v>-5.8783009999999997E-2</v>
      </c>
      <c r="W2303">
        <v>-5.6220630000000001E-2</v>
      </c>
      <c r="X2303">
        <v>0.99668639999999997</v>
      </c>
      <c r="Y2303">
        <v>1.6728099999999999E-2</v>
      </c>
      <c r="Z2303">
        <v>-3.4233000000000001E-4</v>
      </c>
      <c r="AA2303">
        <v>0.99985999999999997</v>
      </c>
      <c r="AB2303">
        <v>47</v>
      </c>
      <c r="AC2303">
        <v>59.442700000000002</v>
      </c>
      <c r="AD2303">
        <v>-1.10827436255</v>
      </c>
      <c r="AE2303">
        <v>-0.24890000000001999</v>
      </c>
      <c r="AF2303">
        <v>1.0022820808235799</v>
      </c>
      <c r="AG2303">
        <v>-1.10827436255</v>
      </c>
      <c r="AH2303">
        <v>59.414111970841503</v>
      </c>
      <c r="AI2303">
        <v>91.068484370229498</v>
      </c>
      <c r="AJ2303">
        <v>89.033544646161999</v>
      </c>
      <c r="AK2303">
        <v>59.432899497802701</v>
      </c>
      <c r="AL2303">
        <v>93.222904177445301</v>
      </c>
      <c r="AM2303">
        <v>93.375305754930594</v>
      </c>
      <c r="AN2303">
        <v>0.99999999072360801</v>
      </c>
    </row>
    <row r="2304" spans="1:40" x14ac:dyDescent="0.25">
      <c r="A2304" t="str">
        <f>"20190305135630572"</f>
        <v>20190305135630572</v>
      </c>
      <c r="B2304" t="str">
        <f>"1551765390564465"</f>
        <v>1551765390564465</v>
      </c>
      <c r="C2304" t="s">
        <v>40</v>
      </c>
      <c r="D2304">
        <v>4.256405</v>
      </c>
      <c r="E2304">
        <v>0.53001030000000005</v>
      </c>
      <c r="F2304" t="s">
        <v>61</v>
      </c>
      <c r="G2304">
        <v>-293.54020000000003</v>
      </c>
      <c r="H2304" s="1">
        <v>1.5223769999999901E-6</v>
      </c>
      <c r="I2304">
        <v>214.99510000000001</v>
      </c>
      <c r="J2304">
        <v>-353.14170000000001</v>
      </c>
      <c r="K2304">
        <v>1.108263</v>
      </c>
      <c r="L2304">
        <v>215.30969999999999</v>
      </c>
      <c r="M2304">
        <v>0.99986149999999996</v>
      </c>
      <c r="N2304">
        <v>-1.087261E-2</v>
      </c>
      <c r="O2304">
        <v>1.260476E-2</v>
      </c>
      <c r="P2304">
        <v>0.99520280000000005</v>
      </c>
      <c r="Q2304">
        <v>-6.5718670000000007E-2</v>
      </c>
      <c r="R2304">
        <v>7.2473969999999999E-2</v>
      </c>
      <c r="S2304">
        <v>3.0118710000000002</v>
      </c>
      <c r="T2304">
        <v>-5.5548309999999997E-2</v>
      </c>
      <c r="U2304">
        <v>-1.5457149999999999E-2</v>
      </c>
      <c r="V2304">
        <v>-5.9937600000000001E-2</v>
      </c>
      <c r="W2304">
        <v>-5.4869639999999997E-2</v>
      </c>
      <c r="X2304">
        <v>0.99669300000000005</v>
      </c>
      <c r="Y2304">
        <v>1.7731799999999999E-2</v>
      </c>
      <c r="Z2304">
        <v>-3.5531229999999998E-4</v>
      </c>
      <c r="AA2304">
        <v>0.99984269999999997</v>
      </c>
      <c r="AB2304">
        <v>47</v>
      </c>
      <c r="AC2304">
        <v>59.601499999999902</v>
      </c>
      <c r="AD2304">
        <v>-1.108261477623</v>
      </c>
      <c r="AE2304">
        <v>-0.314599999999984</v>
      </c>
      <c r="AF2304">
        <v>1.0655135759161101</v>
      </c>
      <c r="AG2304">
        <v>-1.108261477623</v>
      </c>
      <c r="AH2304">
        <v>59.572201928585699</v>
      </c>
      <c r="AI2304">
        <v>91.065618327308599</v>
      </c>
      <c r="AJ2304">
        <v>88.975311973765898</v>
      </c>
      <c r="AK2304">
        <v>59.592036425209002</v>
      </c>
      <c r="AL2304">
        <v>93.145378226505002</v>
      </c>
      <c r="AM2304">
        <v>93.441421480704093</v>
      </c>
      <c r="AN2304">
        <v>1.0000000647682401</v>
      </c>
    </row>
    <row r="2305" spans="1:40" x14ac:dyDescent="0.25">
      <c r="A2305" t="str">
        <f>"20190305135630592"</f>
        <v>20190305135630592</v>
      </c>
      <c r="B2305" t="str">
        <f>"1551765390584959"</f>
        <v>1551765390584959</v>
      </c>
      <c r="C2305" t="s">
        <v>40</v>
      </c>
      <c r="D2305">
        <v>4.2221159999999998</v>
      </c>
      <c r="E2305">
        <v>0.52993349999999995</v>
      </c>
      <c r="F2305" t="s">
        <v>61</v>
      </c>
      <c r="G2305">
        <v>-292.02109999999999</v>
      </c>
      <c r="H2305" s="1">
        <v>1.252926E-6</v>
      </c>
      <c r="I2305">
        <v>215.08699999999999</v>
      </c>
      <c r="J2305">
        <v>-352.69060000000002</v>
      </c>
      <c r="K2305">
        <v>1.1082510000000001</v>
      </c>
      <c r="L2305">
        <v>215.31530000000001</v>
      </c>
      <c r="M2305">
        <v>0.99986249999999999</v>
      </c>
      <c r="N2305">
        <v>-1.0875589999999999E-2</v>
      </c>
      <c r="O2305">
        <v>1.252729E-2</v>
      </c>
      <c r="P2305">
        <v>0.99521809999999999</v>
      </c>
      <c r="Q2305">
        <v>-6.3584450000000001E-2</v>
      </c>
      <c r="R2305">
        <v>7.4150320000000006E-2</v>
      </c>
      <c r="S2305">
        <v>3.0116580000000002</v>
      </c>
      <c r="T2305">
        <v>-5.4608579999999997E-2</v>
      </c>
      <c r="U2305">
        <v>-1.0971069999999999E-2</v>
      </c>
      <c r="V2305">
        <v>-6.1690259999999997E-2</v>
      </c>
      <c r="W2305">
        <v>-5.2731420000000001E-2</v>
      </c>
      <c r="X2305">
        <v>0.99670139999999996</v>
      </c>
      <c r="Y2305">
        <v>1.6165929999999998E-2</v>
      </c>
      <c r="Z2305">
        <v>-3.2535700000000002E-4</v>
      </c>
      <c r="AA2305">
        <v>0.99986929999999996</v>
      </c>
      <c r="AB2305">
        <v>47</v>
      </c>
      <c r="AC2305">
        <v>60.669499999999999</v>
      </c>
      <c r="AD2305">
        <v>-1.108249747074</v>
      </c>
      <c r="AE2305">
        <v>-0.22829999999999001</v>
      </c>
      <c r="AF2305">
        <v>0.98802168597497297</v>
      </c>
      <c r="AG2305">
        <v>-1.108249747074</v>
      </c>
      <c r="AH2305">
        <v>60.641643762574702</v>
      </c>
      <c r="AI2305">
        <v>91.046847313993098</v>
      </c>
      <c r="AJ2305">
        <v>89.066574372513003</v>
      </c>
      <c r="AK2305">
        <v>60.659816704148298</v>
      </c>
      <c r="AL2305">
        <v>93.022689778412897</v>
      </c>
      <c r="AM2305">
        <v>93.541771188953504</v>
      </c>
      <c r="AN2305">
        <v>0.99999998579802196</v>
      </c>
    </row>
    <row r="2306" spans="1:40" x14ac:dyDescent="0.25">
      <c r="A2306" t="str">
        <f>"20190305135630615"</f>
        <v>20190305135630615</v>
      </c>
      <c r="B2306" t="str">
        <f>"1551765390604479"</f>
        <v>1551765390604479</v>
      </c>
      <c r="C2306" t="s">
        <v>40</v>
      </c>
      <c r="D2306">
        <v>4.249638</v>
      </c>
      <c r="E2306">
        <v>0.52996180000000004</v>
      </c>
      <c r="F2306" t="s">
        <v>61</v>
      </c>
      <c r="G2306">
        <v>-287.90710000000001</v>
      </c>
      <c r="H2306" s="1">
        <v>3.5155200000000002E-6</v>
      </c>
      <c r="I2306">
        <v>215.19450000000001</v>
      </c>
      <c r="J2306">
        <v>-352.20460000000003</v>
      </c>
      <c r="K2306">
        <v>1.1082430000000001</v>
      </c>
      <c r="L2306">
        <v>215.32130000000001</v>
      </c>
      <c r="M2306">
        <v>0.99986359999999996</v>
      </c>
      <c r="N2306">
        <v>-1.087514E-2</v>
      </c>
      <c r="O2306">
        <v>1.2437500000000001E-2</v>
      </c>
      <c r="P2306">
        <v>0.995143</v>
      </c>
      <c r="Q2306">
        <v>-6.2908080000000005E-2</v>
      </c>
      <c r="R2306">
        <v>7.5716870000000006E-2</v>
      </c>
      <c r="S2306">
        <v>3.011536</v>
      </c>
      <c r="T2306">
        <v>-5.15182E-2</v>
      </c>
      <c r="U2306">
        <v>-5.6152340000000002E-3</v>
      </c>
      <c r="V2306">
        <v>-6.3347290000000001E-2</v>
      </c>
      <c r="W2306">
        <v>-5.2055410000000003E-2</v>
      </c>
      <c r="X2306">
        <v>0.99663299999999999</v>
      </c>
      <c r="Y2306">
        <v>1.4298979999999999E-2</v>
      </c>
      <c r="Z2306">
        <v>-2.7754679999999999E-4</v>
      </c>
      <c r="AA2306">
        <v>0.9998977</v>
      </c>
      <c r="AB2306">
        <v>47</v>
      </c>
      <c r="AC2306">
        <v>64.297499999999999</v>
      </c>
      <c r="AD2306">
        <v>-1.1082394844800001</v>
      </c>
      <c r="AE2306">
        <v>-0.12680000000000199</v>
      </c>
      <c r="AF2306">
        <v>0.92626239320999304</v>
      </c>
      <c r="AG2306">
        <v>-1.1082394844800001</v>
      </c>
      <c r="AH2306">
        <v>64.271854860053907</v>
      </c>
      <c r="AI2306">
        <v>90.987750583830405</v>
      </c>
      <c r="AJ2306">
        <v>89.1743314047133</v>
      </c>
      <c r="AK2306">
        <v>64.288081974249906</v>
      </c>
      <c r="AL2306">
        <v>92.9839039709031</v>
      </c>
      <c r="AM2306">
        <v>93.636901805675095</v>
      </c>
      <c r="AN2306">
        <v>0.99999999077480595</v>
      </c>
    </row>
    <row r="2307" spans="1:40" x14ac:dyDescent="0.25">
      <c r="A2307" t="str">
        <f>"20190305135630637"</f>
        <v>20190305135630637</v>
      </c>
      <c r="B2307" t="str">
        <f>"1551765390624507"</f>
        <v>1551765390624507</v>
      </c>
      <c r="C2307" t="s">
        <v>40</v>
      </c>
      <c r="D2307">
        <v>4.2524819999999997</v>
      </c>
      <c r="E2307">
        <v>0.52991569999999899</v>
      </c>
      <c r="F2307" t="s">
        <v>61</v>
      </c>
      <c r="G2307">
        <v>-287.94920000000002</v>
      </c>
      <c r="H2307" s="1">
        <v>3.4847860000000001E-6</v>
      </c>
      <c r="I2307">
        <v>215.29560000000001</v>
      </c>
      <c r="J2307">
        <v>-351.7611</v>
      </c>
      <c r="K2307">
        <v>1.1082270000000001</v>
      </c>
      <c r="L2307">
        <v>215.32679999999999</v>
      </c>
      <c r="M2307">
        <v>0.99986450000000004</v>
      </c>
      <c r="N2307">
        <v>-1.0873890000000001E-2</v>
      </c>
      <c r="O2307">
        <v>1.235201E-2</v>
      </c>
      <c r="P2307">
        <v>0.99495400000000001</v>
      </c>
      <c r="Q2307">
        <v>-6.4457440000000005E-2</v>
      </c>
      <c r="R2307">
        <v>7.6887789999999998E-2</v>
      </c>
      <c r="S2307">
        <v>3.0114749999999999</v>
      </c>
      <c r="T2307">
        <v>-5.1940199999999902E-2</v>
      </c>
      <c r="U2307">
        <v>-1.205444E-3</v>
      </c>
      <c r="V2307">
        <v>-6.4606520000000001E-2</v>
      </c>
      <c r="W2307">
        <v>-5.3607219999999997E-2</v>
      </c>
      <c r="X2307">
        <v>0.99646990000000002</v>
      </c>
      <c r="Y2307">
        <v>1.274965E-2</v>
      </c>
      <c r="Z2307">
        <v>-2.579743E-4</v>
      </c>
      <c r="AA2307">
        <v>0.99991870000000005</v>
      </c>
      <c r="AB2307">
        <v>47</v>
      </c>
      <c r="AC2307">
        <v>63.811899999999902</v>
      </c>
      <c r="AD2307">
        <v>-1.1082235152140001</v>
      </c>
      <c r="AE2307">
        <v>-3.1199999999984102E-2</v>
      </c>
      <c r="AF2307">
        <v>0.81920243326232001</v>
      </c>
      <c r="AG2307">
        <v>-1.1082235152140001</v>
      </c>
      <c r="AH2307">
        <v>63.7874067081178</v>
      </c>
      <c r="AI2307">
        <v>90.995257711929895</v>
      </c>
      <c r="AJ2307">
        <v>89.264208028474599</v>
      </c>
      <c r="AK2307">
        <v>63.802292329767901</v>
      </c>
      <c r="AL2307">
        <v>93.072940462815694</v>
      </c>
      <c r="AM2307">
        <v>93.709602404951298</v>
      </c>
      <c r="AN2307">
        <v>0.99999999903432402</v>
      </c>
    </row>
    <row r="2308" spans="1:40" x14ac:dyDescent="0.25">
      <c r="A2308" t="str">
        <f>"20190305135630658"</f>
        <v>20190305135630658</v>
      </c>
      <c r="B2308" t="str">
        <f>"1551765390654763"</f>
        <v>1551765390654763</v>
      </c>
      <c r="C2308" t="s">
        <v>40</v>
      </c>
      <c r="D2308">
        <v>4.2563649999999997</v>
      </c>
      <c r="E2308">
        <v>0.51002449999999999</v>
      </c>
      <c r="F2308" t="s">
        <v>61</v>
      </c>
      <c r="G2308">
        <v>-296.16469999999998</v>
      </c>
      <c r="H2308" s="1">
        <v>1.9879250000000001E-6</v>
      </c>
      <c r="I2308">
        <v>215.3707</v>
      </c>
      <c r="J2308">
        <v>-351.29329999999999</v>
      </c>
      <c r="K2308">
        <v>1.10822</v>
      </c>
      <c r="L2308">
        <v>215.33250000000001</v>
      </c>
      <c r="M2308">
        <v>0.99986580000000003</v>
      </c>
      <c r="N2308">
        <v>-1.087079E-2</v>
      </c>
      <c r="O2308">
        <v>1.2259549999999999E-2</v>
      </c>
      <c r="P2308">
        <v>0.99475259999999999</v>
      </c>
      <c r="Q2308">
        <v>-6.6784560000000007E-2</v>
      </c>
      <c r="R2308">
        <v>7.7506099999999994E-2</v>
      </c>
      <c r="S2308">
        <v>3.011139</v>
      </c>
      <c r="T2308">
        <v>-6.0022230000000003E-2</v>
      </c>
      <c r="U2308">
        <v>2.380371E-3</v>
      </c>
      <c r="V2308">
        <v>-6.5320370000000003E-2</v>
      </c>
      <c r="W2308">
        <v>-5.59389E-2</v>
      </c>
      <c r="X2308">
        <v>0.99629520000000005</v>
      </c>
      <c r="Y2308">
        <v>1.146579E-2</v>
      </c>
      <c r="Z2308">
        <v>-2.8767099999999998E-4</v>
      </c>
      <c r="AA2308">
        <v>0.9999342</v>
      </c>
      <c r="AB2308">
        <v>47</v>
      </c>
      <c r="AC2308">
        <v>55.128599999999999</v>
      </c>
      <c r="AD2308">
        <v>-1.108218012075</v>
      </c>
      <c r="AE2308">
        <v>3.8199999999989097E-2</v>
      </c>
      <c r="AF2308">
        <v>0.63743701420054699</v>
      </c>
      <c r="AG2308">
        <v>-1.108218012075</v>
      </c>
      <c r="AH2308">
        <v>55.102657513361102</v>
      </c>
      <c r="AI2308">
        <v>91.152093423400203</v>
      </c>
      <c r="AJ2308">
        <v>89.337222137342295</v>
      </c>
      <c r="AK2308">
        <v>55.117486682033402</v>
      </c>
      <c r="AL2308">
        <v>93.2067367056693</v>
      </c>
      <c r="AM2308">
        <v>93.751129943592204</v>
      </c>
      <c r="AN2308">
        <v>1.00000001840659</v>
      </c>
    </row>
    <row r="2309" spans="1:40" x14ac:dyDescent="0.25">
      <c r="A2309" t="str">
        <f>"20190305135630682"</f>
        <v>20190305135630682</v>
      </c>
      <c r="B2309" t="str">
        <f>"1551765390674283"</f>
        <v>1551765390674283</v>
      </c>
      <c r="C2309" t="s">
        <v>40</v>
      </c>
      <c r="D2309">
        <v>4.5158699999999996</v>
      </c>
      <c r="E2309">
        <v>0.49768509999999999</v>
      </c>
      <c r="F2309" t="s">
        <v>55</v>
      </c>
      <c r="G2309">
        <v>-230.31030000000001</v>
      </c>
      <c r="H2309">
        <v>7.9999790000000001E-2</v>
      </c>
      <c r="I2309">
        <v>222.02680000000001</v>
      </c>
      <c r="J2309">
        <v>-350.80680000000001</v>
      </c>
      <c r="K2309">
        <v>1.1082179999999999</v>
      </c>
      <c r="L2309">
        <v>215.33840000000001</v>
      </c>
      <c r="M2309">
        <v>0.99986710000000001</v>
      </c>
      <c r="N2309">
        <v>-1.086354E-2</v>
      </c>
      <c r="O2309">
        <v>1.2162879999999999E-2</v>
      </c>
      <c r="P2309">
        <v>0.99483410000000005</v>
      </c>
      <c r="Q2309">
        <v>-6.5105880000000005E-2</v>
      </c>
      <c r="R2309">
        <v>7.78866E-2</v>
      </c>
      <c r="S2309">
        <v>3.00116</v>
      </c>
      <c r="T2309">
        <v>-2.5506500000000001E-2</v>
      </c>
      <c r="U2309">
        <v>0.1660614</v>
      </c>
      <c r="V2309">
        <v>-6.5796289999999993E-2</v>
      </c>
      <c r="W2309">
        <v>-5.4266099999999998E-2</v>
      </c>
      <c r="X2309">
        <v>0.99635640000000003</v>
      </c>
      <c r="Y2309">
        <v>-4.3095290000000001E-2</v>
      </c>
      <c r="Z2309">
        <v>4.4603649999999998E-4</v>
      </c>
      <c r="AA2309">
        <v>0.99907089999999998</v>
      </c>
      <c r="AB2309">
        <v>47</v>
      </c>
      <c r="AC2309">
        <v>120.4965</v>
      </c>
      <c r="AD2309">
        <v>-1.0282182099999999</v>
      </c>
      <c r="AE2309">
        <v>6.6883999999999997</v>
      </c>
      <c r="AF2309">
        <v>-5.2218553000487997</v>
      </c>
      <c r="AG2309">
        <v>-1.0282182099999999</v>
      </c>
      <c r="AH2309">
        <v>120.560189112644</v>
      </c>
      <c r="AI2309">
        <v>90.488187323378099</v>
      </c>
      <c r="AJ2309">
        <v>92.480117067821993</v>
      </c>
      <c r="AK2309">
        <v>120.677604402551</v>
      </c>
      <c r="AL2309">
        <v>93.110746477890302</v>
      </c>
      <c r="AM2309">
        <v>93.778150141786597</v>
      </c>
      <c r="AN2309">
        <v>1.0000000186039599</v>
      </c>
    </row>
    <row r="2310" spans="1:40" x14ac:dyDescent="0.25">
      <c r="A2310" t="str">
        <f>"20190305135630704"</f>
        <v>20190305135630704</v>
      </c>
      <c r="B2310" t="str">
        <f>"1551765390694779"</f>
        <v>1551765390694779</v>
      </c>
      <c r="C2310" t="s">
        <v>40</v>
      </c>
      <c r="D2310">
        <v>4.5558670000000001</v>
      </c>
      <c r="E2310">
        <v>0.49865480000000001</v>
      </c>
      <c r="F2310" t="s">
        <v>42</v>
      </c>
      <c r="G2310">
        <v>-182.99680000000001</v>
      </c>
      <c r="H2310" s="1">
        <v>-2.0941489999999999E-6</v>
      </c>
      <c r="I2310">
        <v>230.24539999999999</v>
      </c>
      <c r="J2310">
        <v>-350.3193</v>
      </c>
      <c r="K2310">
        <v>1.108212</v>
      </c>
      <c r="L2310">
        <v>215.3443</v>
      </c>
      <c r="M2310">
        <v>0.99986839999999999</v>
      </c>
      <c r="N2310">
        <v>-1.0854239999999999E-2</v>
      </c>
      <c r="O2310">
        <v>1.206604E-2</v>
      </c>
      <c r="P2310">
        <v>0.99488120000000002</v>
      </c>
      <c r="Q2310">
        <v>-6.3623230000000003E-2</v>
      </c>
      <c r="R2310">
        <v>7.8512230000000002E-2</v>
      </c>
      <c r="S2310">
        <v>2.993439</v>
      </c>
      <c r="T2310">
        <v>-1.9768709999999998E-2</v>
      </c>
      <c r="U2310">
        <v>0.26591490000000001</v>
      </c>
      <c r="V2310">
        <v>-6.6517039999999999E-2</v>
      </c>
      <c r="W2310">
        <v>-5.2791589999999999E-2</v>
      </c>
      <c r="X2310">
        <v>0.99638769999999999</v>
      </c>
      <c r="Y2310">
        <v>-7.6454019999999998E-2</v>
      </c>
      <c r="Z2310">
        <v>7.1893770000000003E-4</v>
      </c>
      <c r="AA2310">
        <v>0.99707290000000004</v>
      </c>
      <c r="AB2310">
        <v>47</v>
      </c>
      <c r="AC2310">
        <v>167.32249999999999</v>
      </c>
      <c r="AD2310">
        <v>-1.108214094149</v>
      </c>
      <c r="AE2310">
        <v>14.9010999999999</v>
      </c>
      <c r="AF2310">
        <v>-12.8804158380869</v>
      </c>
      <c r="AG2310">
        <v>-1.108214094149</v>
      </c>
      <c r="AH2310">
        <v>167.482836609261</v>
      </c>
      <c r="AI2310">
        <v>90.377997698352402</v>
      </c>
      <c r="AJ2310">
        <v>94.397726145898602</v>
      </c>
      <c r="AK2310">
        <v>167.981051935404</v>
      </c>
      <c r="AL2310">
        <v>93.026142156310001</v>
      </c>
      <c r="AM2310">
        <v>93.819295535095506</v>
      </c>
      <c r="AN2310">
        <v>0.99999995864818902</v>
      </c>
    </row>
    <row r="2311" spans="1:40" x14ac:dyDescent="0.25">
      <c r="A2311" t="str">
        <f>"20190305135630726"</f>
        <v>20190305135630726</v>
      </c>
      <c r="B2311" t="str">
        <f>"1551765390714299"</f>
        <v>1551765390714299</v>
      </c>
      <c r="C2311" t="s">
        <v>40</v>
      </c>
      <c r="D2311">
        <v>4.2916249999999998</v>
      </c>
      <c r="E2311">
        <v>0.49592190000000003</v>
      </c>
      <c r="F2311" t="s">
        <v>42</v>
      </c>
      <c r="G2311">
        <v>-179.95779999999999</v>
      </c>
      <c r="H2311">
        <v>4.9146570000000001E-2</v>
      </c>
      <c r="I2311">
        <v>230.12819999999999</v>
      </c>
      <c r="J2311">
        <v>-349.85559999999998</v>
      </c>
      <c r="K2311">
        <v>1.1081989999999999</v>
      </c>
      <c r="L2311">
        <v>215.34979999999999</v>
      </c>
      <c r="M2311">
        <v>0.99986969999999997</v>
      </c>
      <c r="N2311">
        <v>-1.084239E-2</v>
      </c>
      <c r="O2311">
        <v>1.197457E-2</v>
      </c>
      <c r="P2311">
        <v>0.99482020000000004</v>
      </c>
      <c r="Q2311">
        <v>-6.4304539999999993E-2</v>
      </c>
      <c r="R2311">
        <v>7.8727619999999998E-2</v>
      </c>
      <c r="S2311">
        <v>2.993744</v>
      </c>
      <c r="T2311">
        <v>-1.861084E-2</v>
      </c>
      <c r="U2311">
        <v>0.25979609999999997</v>
      </c>
      <c r="V2311">
        <v>-6.6825289999999996E-2</v>
      </c>
      <c r="W2311">
        <v>-5.3484799999999999E-2</v>
      </c>
      <c r="X2311">
        <v>0.9963301</v>
      </c>
      <c r="Y2311">
        <v>-7.451431E-2</v>
      </c>
      <c r="Z2311">
        <v>6.9123589999999999E-4</v>
      </c>
      <c r="AA2311">
        <v>0.99721970000000004</v>
      </c>
      <c r="AB2311">
        <v>47</v>
      </c>
      <c r="AC2311">
        <v>169.89779999999999</v>
      </c>
      <c r="AD2311">
        <v>-1.0590524299999999</v>
      </c>
      <c r="AE2311">
        <v>14.7784</v>
      </c>
      <c r="AF2311">
        <v>-12.7422765796923</v>
      </c>
      <c r="AG2311">
        <v>-1.0590524299999999</v>
      </c>
      <c r="AH2311">
        <v>170.056034543386</v>
      </c>
      <c r="AI2311">
        <v>90.355817007085093</v>
      </c>
      <c r="AJ2311">
        <v>94.285157636839898</v>
      </c>
      <c r="AK2311">
        <v>170.536043372373</v>
      </c>
      <c r="AL2311">
        <v>93.065916369420293</v>
      </c>
      <c r="AM2311">
        <v>93.837163138913297</v>
      </c>
      <c r="AN2311">
        <v>0.99999995569031597</v>
      </c>
    </row>
    <row r="2312" spans="1:40" x14ac:dyDescent="0.25">
      <c r="A2312" t="str">
        <f>"20190305135630749"</f>
        <v>20190305135630749</v>
      </c>
      <c r="B2312" t="str">
        <f>"1551765390744555"</f>
        <v>1551765390744555</v>
      </c>
      <c r="C2312" t="s">
        <v>40</v>
      </c>
      <c r="D2312">
        <v>4.3303000000000003</v>
      </c>
      <c r="E2312">
        <v>0.49437880000000001</v>
      </c>
      <c r="F2312" t="s">
        <v>55</v>
      </c>
      <c r="G2312">
        <v>-278.58359999999999</v>
      </c>
      <c r="H2312">
        <v>8.0000740000000001E-2</v>
      </c>
      <c r="I2312">
        <v>222.0401</v>
      </c>
      <c r="J2312">
        <v>-349.3818</v>
      </c>
      <c r="K2312">
        <v>1.108187</v>
      </c>
      <c r="L2312">
        <v>215.3554</v>
      </c>
      <c r="M2312">
        <v>0.99987090000000001</v>
      </c>
      <c r="N2312">
        <v>-1.0827460000000001E-2</v>
      </c>
      <c r="O2312">
        <v>1.1881640000000001E-2</v>
      </c>
      <c r="P2312">
        <v>0.99474960000000001</v>
      </c>
      <c r="Q2312">
        <v>-6.5311889999999997E-2</v>
      </c>
      <c r="R2312">
        <v>7.879129E-2</v>
      </c>
      <c r="S2312">
        <v>2.990631</v>
      </c>
      <c r="T2312">
        <v>-4.314399E-2</v>
      </c>
      <c r="U2312">
        <v>0.28073120000000001</v>
      </c>
      <c r="V2312">
        <v>-6.6982639999999996E-2</v>
      </c>
      <c r="W2312">
        <v>-5.4507310000000003E-2</v>
      </c>
      <c r="X2312">
        <v>0.99626420000000004</v>
      </c>
      <c r="Y2312">
        <v>-8.1607719999999995E-2</v>
      </c>
      <c r="Z2312">
        <v>9.8754560000000003E-4</v>
      </c>
      <c r="AA2312">
        <v>0.99666399999999999</v>
      </c>
      <c r="AB2312">
        <v>47</v>
      </c>
      <c r="AC2312">
        <v>70.798199999999994</v>
      </c>
      <c r="AD2312">
        <v>-1.02818626</v>
      </c>
      <c r="AE2312">
        <v>6.6846999999999897</v>
      </c>
      <c r="AF2312">
        <v>-5.8417589296001298</v>
      </c>
      <c r="AG2312">
        <v>-1.02818626</v>
      </c>
      <c r="AH2312">
        <v>70.857819037682404</v>
      </c>
      <c r="AI2312">
        <v>90.828524656372693</v>
      </c>
      <c r="AJ2312">
        <v>94.712999728726004</v>
      </c>
      <c r="AK2312">
        <v>71.105652610420293</v>
      </c>
      <c r="AL2312">
        <v>93.124587215352804</v>
      </c>
      <c r="AM2312">
        <v>93.846424868040998</v>
      </c>
      <c r="AN2312">
        <v>1.0000000385532199</v>
      </c>
    </row>
    <row r="2313" spans="1:40" x14ac:dyDescent="0.25">
      <c r="A2313" t="str">
        <f>"20190305135630772"</f>
        <v>20190305135630772</v>
      </c>
      <c r="B2313" t="str">
        <f>"1551765390764075"</f>
        <v>1551765390764075</v>
      </c>
      <c r="C2313" t="s">
        <v>40</v>
      </c>
      <c r="D2313">
        <v>4.2746389999999996</v>
      </c>
      <c r="E2313">
        <v>0.49520170000000002</v>
      </c>
      <c r="F2313" t="s">
        <v>61</v>
      </c>
      <c r="G2313">
        <v>-296.89890000000003</v>
      </c>
      <c r="H2313" s="1">
        <v>2.0414020000000001E-6</v>
      </c>
      <c r="I2313">
        <v>220.48179999999999</v>
      </c>
      <c r="J2313">
        <v>-348.88240000000002</v>
      </c>
      <c r="K2313">
        <v>1.1081669999999999</v>
      </c>
      <c r="L2313">
        <v>215.3613</v>
      </c>
      <c r="M2313">
        <v>0.99987210000000004</v>
      </c>
      <c r="N2313">
        <v>-1.081173E-2</v>
      </c>
      <c r="O2313">
        <v>1.178383E-2</v>
      </c>
      <c r="P2313">
        <v>0.99461350000000004</v>
      </c>
      <c r="Q2313">
        <v>-6.7887630000000004E-2</v>
      </c>
      <c r="R2313">
        <v>7.8328720000000004E-2</v>
      </c>
      <c r="S2313">
        <v>2.988556</v>
      </c>
      <c r="T2313">
        <v>-6.3103909999999999E-2</v>
      </c>
      <c r="U2313">
        <v>0.29191590000000001</v>
      </c>
      <c r="V2313">
        <v>-6.6620479999999996E-2</v>
      </c>
      <c r="W2313">
        <v>-5.7099900000000002E-2</v>
      </c>
      <c r="X2313">
        <v>0.99614320000000001</v>
      </c>
      <c r="Y2313">
        <v>-8.5451799999999994E-2</v>
      </c>
      <c r="Z2313">
        <v>1.2420109999999999E-3</v>
      </c>
      <c r="AA2313">
        <v>0.99634149999999999</v>
      </c>
      <c r="AB2313">
        <v>48</v>
      </c>
      <c r="AC2313">
        <v>51.9834999999999</v>
      </c>
      <c r="AD2313">
        <v>-1.10816495859799</v>
      </c>
      <c r="AE2313">
        <v>5.1204999999999901</v>
      </c>
      <c r="AF2313">
        <v>-4.5055160739895301</v>
      </c>
      <c r="AG2313">
        <v>-1.10816495859799</v>
      </c>
      <c r="AH2313">
        <v>52.016821465516898</v>
      </c>
      <c r="AI2313">
        <v>91.215891954194603</v>
      </c>
      <c r="AJ2313">
        <v>94.950405711953593</v>
      </c>
      <c r="AK2313">
        <v>52.2233417165533</v>
      </c>
      <c r="AL2313">
        <v>93.273363734112294</v>
      </c>
      <c r="AM2313">
        <v>93.826153363180595</v>
      </c>
      <c r="AN2313">
        <v>0.99999998092083997</v>
      </c>
    </row>
    <row r="2314" spans="1:40" x14ac:dyDescent="0.25">
      <c r="A2314" t="str">
        <f>"20190305135630794"</f>
        <v>20190305135630794</v>
      </c>
      <c r="B2314" t="str">
        <f>"1551765390784572"</f>
        <v>1551765390784572</v>
      </c>
      <c r="C2314" t="s">
        <v>40</v>
      </c>
      <c r="D2314">
        <v>4.3202309999999997</v>
      </c>
      <c r="E2314">
        <v>0.4959151</v>
      </c>
      <c r="F2314" t="s">
        <v>61</v>
      </c>
      <c r="G2314">
        <v>-296.8734</v>
      </c>
      <c r="H2314" s="1">
        <v>2.0525880000000001E-6</v>
      </c>
      <c r="I2314">
        <v>220.3047</v>
      </c>
      <c r="J2314">
        <v>-348.4178</v>
      </c>
      <c r="K2314">
        <v>1.1081350000000001</v>
      </c>
      <c r="L2314">
        <v>215.36670000000001</v>
      </c>
      <c r="M2314">
        <v>0.99987349999999997</v>
      </c>
      <c r="N2314">
        <v>-1.0798510000000001E-2</v>
      </c>
      <c r="O2314">
        <v>1.169269E-2</v>
      </c>
      <c r="P2314">
        <v>0.99442520000000001</v>
      </c>
      <c r="Q2314">
        <v>-7.1784630000000002E-2</v>
      </c>
      <c r="R2314">
        <v>7.7239070000000007E-2</v>
      </c>
      <c r="S2314">
        <v>2.989471</v>
      </c>
      <c r="T2314">
        <v>-6.3697219999999999E-2</v>
      </c>
      <c r="U2314">
        <v>0.28414919999999999</v>
      </c>
      <c r="V2314">
        <v>-6.5625299999999998E-2</v>
      </c>
      <c r="W2314">
        <v>-6.1012089999999998E-2</v>
      </c>
      <c r="X2314">
        <v>0.99597729999999995</v>
      </c>
      <c r="Y2314">
        <v>-8.2948579999999994E-2</v>
      </c>
      <c r="Z2314">
        <v>1.208055E-3</v>
      </c>
      <c r="AA2314">
        <v>0.99655309999999997</v>
      </c>
      <c r="AB2314">
        <v>48</v>
      </c>
      <c r="AC2314">
        <v>51.544400000000003</v>
      </c>
      <c r="AD2314">
        <v>-1.1081329474120001</v>
      </c>
      <c r="AE2314">
        <v>4.9379999999999802</v>
      </c>
      <c r="AF2314">
        <v>-4.33295022599407</v>
      </c>
      <c r="AG2314">
        <v>-1.1081329474120001</v>
      </c>
      <c r="AH2314">
        <v>51.574997106912399</v>
      </c>
      <c r="AI2314">
        <v>91.226539876461402</v>
      </c>
      <c r="AJ2314">
        <v>94.802290906128903</v>
      </c>
      <c r="AK2314">
        <v>51.768549746618397</v>
      </c>
      <c r="AL2314">
        <v>93.497907805147307</v>
      </c>
      <c r="AM2314">
        <v>93.769790112729297</v>
      </c>
      <c r="AN2314">
        <v>0.99999996862077301</v>
      </c>
    </row>
    <row r="2315" spans="1:40" x14ac:dyDescent="0.25">
      <c r="A2315" t="str">
        <f>"20190305135630815"</f>
        <v>20190305135630815</v>
      </c>
      <c r="B2315" t="str">
        <f>"1551765390804091"</f>
        <v>1551765390804091</v>
      </c>
      <c r="C2315" t="s">
        <v>40</v>
      </c>
      <c r="D2315">
        <v>4.3374610000000002</v>
      </c>
      <c r="E2315">
        <v>0.4963825</v>
      </c>
      <c r="F2315" t="s">
        <v>61</v>
      </c>
      <c r="G2315">
        <v>-301.71719999999999</v>
      </c>
      <c r="H2315" s="1">
        <v>2.3360499999999999E-6</v>
      </c>
      <c r="I2315">
        <v>219.66370000000001</v>
      </c>
      <c r="J2315">
        <v>-347.96179999999998</v>
      </c>
      <c r="K2315">
        <v>1.108106</v>
      </c>
      <c r="L2315">
        <v>215.37190000000001</v>
      </c>
      <c r="M2315">
        <v>0.9998745</v>
      </c>
      <c r="N2315">
        <v>-1.078731E-2</v>
      </c>
      <c r="O2315">
        <v>1.1603209999999999E-2</v>
      </c>
      <c r="P2315">
        <v>0.99422809999999995</v>
      </c>
      <c r="Q2315">
        <v>-7.4615570000000006E-2</v>
      </c>
      <c r="R2315">
        <v>7.7092740000000007E-2</v>
      </c>
      <c r="S2315">
        <v>2.990326</v>
      </c>
      <c r="T2315">
        <v>-7.0955870000000004E-2</v>
      </c>
      <c r="U2315">
        <v>0.27514650000000002</v>
      </c>
      <c r="V2315">
        <v>-6.557135E-2</v>
      </c>
      <c r="W2315">
        <v>-6.3856010000000005E-2</v>
      </c>
      <c r="X2315">
        <v>0.99580259999999998</v>
      </c>
      <c r="Y2315">
        <v>-8.0032320000000004E-2</v>
      </c>
      <c r="Z2315">
        <v>1.230316E-3</v>
      </c>
      <c r="AA2315">
        <v>0.99679150000000005</v>
      </c>
      <c r="AB2315">
        <v>48</v>
      </c>
      <c r="AC2315">
        <v>46.244599999999899</v>
      </c>
      <c r="AD2315">
        <v>-1.1081036639499999</v>
      </c>
      <c r="AE2315">
        <v>4.2917999999999896</v>
      </c>
      <c r="AF2315">
        <v>-3.7527577088579398</v>
      </c>
      <c r="AG2315">
        <v>-1.1081036639499999</v>
      </c>
      <c r="AH2315">
        <v>46.264951031175897</v>
      </c>
      <c r="AI2315">
        <v>91.367553671873097</v>
      </c>
      <c r="AJ2315">
        <v>94.637364865142899</v>
      </c>
      <c r="AK2315">
        <v>46.430127913549299</v>
      </c>
      <c r="AL2315">
        <v>93.661170857241004</v>
      </c>
      <c r="AM2315">
        <v>93.767358839082306</v>
      </c>
      <c r="AN2315">
        <v>1.0000000050603499</v>
      </c>
    </row>
    <row r="2316" spans="1:40" x14ac:dyDescent="0.25">
      <c r="A2316" t="str">
        <f>"20190305135630838"</f>
        <v>20190305135630838</v>
      </c>
      <c r="B2316" t="str">
        <f>"1551765390834347"</f>
        <v>1551765390834347</v>
      </c>
      <c r="C2316" t="s">
        <v>40</v>
      </c>
      <c r="D2316">
        <v>4.4098790000000001</v>
      </c>
      <c r="E2316">
        <v>0.49657479999999998</v>
      </c>
      <c r="F2316" t="s">
        <v>61</v>
      </c>
      <c r="G2316">
        <v>-305.05110000000002</v>
      </c>
      <c r="H2316" s="1">
        <v>1.757273E-6</v>
      </c>
      <c r="I2316">
        <v>219.25919999999999</v>
      </c>
      <c r="J2316">
        <v>-347.48140000000001</v>
      </c>
      <c r="K2316">
        <v>1.10808</v>
      </c>
      <c r="L2316">
        <v>215.3775</v>
      </c>
      <c r="M2316">
        <v>0.99987579999999998</v>
      </c>
      <c r="N2316">
        <v>-1.0776910000000001E-2</v>
      </c>
      <c r="O2316">
        <v>1.1508600000000001E-2</v>
      </c>
      <c r="P2316">
        <v>0.99407409999999996</v>
      </c>
      <c r="Q2316">
        <v>-7.6395379999999999E-2</v>
      </c>
      <c r="R2316">
        <v>7.7333890000000002E-2</v>
      </c>
      <c r="S2316">
        <v>2.9906009999999998</v>
      </c>
      <c r="T2316">
        <v>-7.7227829999999997E-2</v>
      </c>
      <c r="U2316">
        <v>0.27091979999999999</v>
      </c>
      <c r="V2316">
        <v>-6.590886E-2</v>
      </c>
      <c r="W2316">
        <v>-6.5647510000000006E-2</v>
      </c>
      <c r="X2316">
        <v>0.99566379999999999</v>
      </c>
      <c r="Y2316">
        <v>-7.8716999999999995E-2</v>
      </c>
      <c r="Z2316">
        <v>1.2665630000000001E-3</v>
      </c>
      <c r="AA2316">
        <v>0.99689620000000001</v>
      </c>
      <c r="AB2316">
        <v>48</v>
      </c>
      <c r="AC2316">
        <v>42.430299999999903</v>
      </c>
      <c r="AD2316">
        <v>-1.108078242727</v>
      </c>
      <c r="AE2316">
        <v>3.8816999999999902</v>
      </c>
      <c r="AF2316">
        <v>-3.3908078806520101</v>
      </c>
      <c r="AG2316">
        <v>-1.108078242727</v>
      </c>
      <c r="AH2316">
        <v>42.443458732730001</v>
      </c>
      <c r="AI2316">
        <v>91.490742930499593</v>
      </c>
      <c r="AJ2316">
        <v>94.567658698829106</v>
      </c>
      <c r="AK2316">
        <v>42.593105130671702</v>
      </c>
      <c r="AL2316">
        <v>93.764032188307894</v>
      </c>
      <c r="AM2316">
        <v>93.787220326661199</v>
      </c>
      <c r="AN2316">
        <v>0.999999988013069</v>
      </c>
    </row>
    <row r="2317" spans="1:40" x14ac:dyDescent="0.25">
      <c r="A2317" t="str">
        <f>"20190305135630860"</f>
        <v>20190305135630860</v>
      </c>
      <c r="B2317" t="str">
        <f>"1551765390854844"</f>
        <v>1551765390854844</v>
      </c>
      <c r="C2317" t="s">
        <v>40</v>
      </c>
      <c r="D2317">
        <v>4.4476969999999998</v>
      </c>
      <c r="E2317">
        <v>0.49624649999999998</v>
      </c>
      <c r="F2317" t="s">
        <v>61</v>
      </c>
      <c r="G2317">
        <v>-304.33629999999999</v>
      </c>
      <c r="H2317" s="1">
        <v>1.8840699999999999E-6</v>
      </c>
      <c r="I2317">
        <v>219.2774</v>
      </c>
      <c r="J2317">
        <v>-347.01409999999998</v>
      </c>
      <c r="K2317">
        <v>1.1080479999999999</v>
      </c>
      <c r="L2317">
        <v>215.3828</v>
      </c>
      <c r="M2317">
        <v>0.99987700000000002</v>
      </c>
      <c r="N2317">
        <v>-1.076622E-2</v>
      </c>
      <c r="O2317">
        <v>1.141728E-2</v>
      </c>
      <c r="P2317">
        <v>0.99377300000000002</v>
      </c>
      <c r="Q2317">
        <v>-7.8899349999999993E-2</v>
      </c>
      <c r="R2317">
        <v>7.8679959999999993E-2</v>
      </c>
      <c r="S2317">
        <v>2.9909669999999999</v>
      </c>
      <c r="T2317">
        <v>-7.6815720000000004E-2</v>
      </c>
      <c r="U2317">
        <v>0.27035520000000002</v>
      </c>
      <c r="V2317">
        <v>-6.7350660000000007E-2</v>
      </c>
      <c r="W2317">
        <v>-6.8164509999999998E-2</v>
      </c>
      <c r="X2317">
        <v>0.99539820000000001</v>
      </c>
      <c r="Y2317">
        <v>-7.8610819999999998E-2</v>
      </c>
      <c r="Z2317">
        <v>1.2615300000000001E-3</v>
      </c>
      <c r="AA2317">
        <v>0.99690460000000003</v>
      </c>
      <c r="AB2317">
        <v>48</v>
      </c>
      <c r="AC2317">
        <v>42.677799999999898</v>
      </c>
      <c r="AD2317">
        <v>-1.1080461159299999</v>
      </c>
      <c r="AE2317">
        <v>3.8945999999999898</v>
      </c>
      <c r="AF2317">
        <v>-3.4047774188402</v>
      </c>
      <c r="AG2317">
        <v>-1.1080461159299999</v>
      </c>
      <c r="AH2317">
        <v>42.690946821060997</v>
      </c>
      <c r="AI2317">
        <v>91.482077674909405</v>
      </c>
      <c r="AJ2317">
        <v>94.559920719859505</v>
      </c>
      <c r="AK2317">
        <v>42.840835845552</v>
      </c>
      <c r="AL2317">
        <v>93.908569353350401</v>
      </c>
      <c r="AM2317">
        <v>93.870848672954097</v>
      </c>
      <c r="AN2317">
        <v>1.0000000441946</v>
      </c>
    </row>
    <row r="2318" spans="1:40" x14ac:dyDescent="0.25">
      <c r="A2318" t="str">
        <f>"20190305135630884"</f>
        <v>20190305135630884</v>
      </c>
      <c r="B2318" t="str">
        <f>"1551765390874364"</f>
        <v>1551765390874364</v>
      </c>
      <c r="C2318" t="s">
        <v>40</v>
      </c>
      <c r="D2318">
        <v>4.4845879999999996</v>
      </c>
      <c r="E2318">
        <v>0.4952549</v>
      </c>
      <c r="F2318" t="s">
        <v>61</v>
      </c>
      <c r="G2318">
        <v>-306.91199999999998</v>
      </c>
      <c r="H2318" s="1">
        <v>1.4271799999999999E-6</v>
      </c>
      <c r="I2318">
        <v>219.09829999999999</v>
      </c>
      <c r="J2318">
        <v>-346.50130000000001</v>
      </c>
      <c r="K2318">
        <v>1.1080179999999999</v>
      </c>
      <c r="L2318">
        <v>215.3886</v>
      </c>
      <c r="M2318">
        <v>0.9998783</v>
      </c>
      <c r="N2318">
        <v>-1.075168E-2</v>
      </c>
      <c r="O2318">
        <v>1.1318480000000001E-2</v>
      </c>
      <c r="P2318">
        <v>0.99352030000000002</v>
      </c>
      <c r="Q2318">
        <v>-8.229844E-2</v>
      </c>
      <c r="R2318">
        <v>7.838784E-2</v>
      </c>
      <c r="S2318">
        <v>2.990265</v>
      </c>
      <c r="T2318">
        <v>-8.2622890000000004E-2</v>
      </c>
      <c r="U2318">
        <v>0.27705380000000002</v>
      </c>
      <c r="V2318">
        <v>-6.7160839999999999E-2</v>
      </c>
      <c r="W2318">
        <v>-7.1580749999999999E-2</v>
      </c>
      <c r="X2318">
        <v>0.99517109999999998</v>
      </c>
      <c r="Y2318">
        <v>-8.0938990000000002E-2</v>
      </c>
      <c r="Z2318">
        <v>1.3612450000000001E-3</v>
      </c>
      <c r="AA2318">
        <v>0.99671810000000005</v>
      </c>
      <c r="AB2318">
        <v>48</v>
      </c>
      <c r="AC2318">
        <v>39.589299999999902</v>
      </c>
      <c r="AD2318">
        <v>-1.10801657282</v>
      </c>
      <c r="AE2318">
        <v>3.70969999999999</v>
      </c>
      <c r="AF2318">
        <v>-3.2588153514960001</v>
      </c>
      <c r="AG2318">
        <v>-1.10801657282</v>
      </c>
      <c r="AH2318">
        <v>39.5980065987643</v>
      </c>
      <c r="AI2318">
        <v>91.597413190946298</v>
      </c>
      <c r="AJ2318">
        <v>94.704694788286403</v>
      </c>
      <c r="AK2318">
        <v>39.747323240899803</v>
      </c>
      <c r="AL2318">
        <v>94.104785528736997</v>
      </c>
      <c r="AM2318">
        <v>93.860850351656097</v>
      </c>
      <c r="AN2318">
        <v>0.99999995023763699</v>
      </c>
    </row>
    <row r="2319" spans="1:40" x14ac:dyDescent="0.25">
      <c r="A2319" t="str">
        <f>"20190305135630907"</f>
        <v>20190305135630907</v>
      </c>
      <c r="B2319" t="str">
        <f>"1551765390904620"</f>
        <v>1551765390904620</v>
      </c>
      <c r="C2319" t="s">
        <v>40</v>
      </c>
      <c r="D2319">
        <v>4.8347439999999997</v>
      </c>
      <c r="E2319">
        <v>0.4947358</v>
      </c>
      <c r="F2319" t="s">
        <v>61</v>
      </c>
      <c r="G2319">
        <v>-311.53969999999998</v>
      </c>
      <c r="H2319" s="1">
        <v>1.588451E-6</v>
      </c>
      <c r="I2319">
        <v>218.70830000000001</v>
      </c>
      <c r="J2319">
        <v>-346.00110000000001</v>
      </c>
      <c r="K2319">
        <v>1.107993</v>
      </c>
      <c r="L2319">
        <v>215.39420000000001</v>
      </c>
      <c r="M2319">
        <v>0.99987950000000003</v>
      </c>
      <c r="N2319">
        <v>-1.073695E-2</v>
      </c>
      <c r="O2319">
        <v>1.122284E-2</v>
      </c>
      <c r="P2319">
        <v>0.99321669999999995</v>
      </c>
      <c r="Q2319">
        <v>-8.6802649999999995E-2</v>
      </c>
      <c r="R2319">
        <v>7.7369690000000005E-2</v>
      </c>
      <c r="S2319">
        <v>2.9893190000000001</v>
      </c>
      <c r="T2319">
        <v>-9.4738719999999998E-2</v>
      </c>
      <c r="U2319">
        <v>0.28384399999999999</v>
      </c>
      <c r="V2319">
        <v>-6.624265E-2</v>
      </c>
      <c r="W2319">
        <v>-7.6103149999999994E-2</v>
      </c>
      <c r="X2319">
        <v>0.99489709999999998</v>
      </c>
      <c r="Y2319">
        <v>-8.3295229999999998E-2</v>
      </c>
      <c r="Z2319">
        <v>1.53044799999999E-3</v>
      </c>
      <c r="AA2319">
        <v>0.99652370000000001</v>
      </c>
      <c r="AB2319">
        <v>48</v>
      </c>
      <c r="AC2319">
        <v>34.461399999999998</v>
      </c>
      <c r="AD2319">
        <v>-1.1079914115489999</v>
      </c>
      <c r="AE2319">
        <v>3.3140999999999901</v>
      </c>
      <c r="AF2319">
        <v>-2.9241191860445799</v>
      </c>
      <c r="AG2319">
        <v>-1.1079914115489999</v>
      </c>
      <c r="AH2319">
        <v>34.461128143838103</v>
      </c>
      <c r="AI2319">
        <v>91.834945491487403</v>
      </c>
      <c r="AJ2319">
        <v>94.850082725082004</v>
      </c>
      <c r="AK2319">
        <v>34.602709011409601</v>
      </c>
      <c r="AL2319">
        <v>94.364609275105195</v>
      </c>
      <c r="AM2319">
        <v>93.8092688106683</v>
      </c>
      <c r="AN2319">
        <v>1.00000000885367</v>
      </c>
    </row>
    <row r="2320" spans="1:40" x14ac:dyDescent="0.25">
      <c r="A2320" t="str">
        <f>"20190305135630927"</f>
        <v>20190305135630927</v>
      </c>
      <c r="B2320" t="str">
        <f>"1551765390924139"</f>
        <v>1551765390924139</v>
      </c>
      <c r="C2320" t="s">
        <v>40</v>
      </c>
      <c r="D2320">
        <v>4.5914830000000002</v>
      </c>
      <c r="E2320">
        <v>0.49384230000000001</v>
      </c>
      <c r="F2320" t="s">
        <v>61</v>
      </c>
      <c r="G2320">
        <v>-314.50009999999997</v>
      </c>
      <c r="H2320" s="1">
        <v>2.901245E-6</v>
      </c>
      <c r="I2320">
        <v>218.40350000000001</v>
      </c>
      <c r="J2320">
        <v>-345.58210000000003</v>
      </c>
      <c r="K2320">
        <v>1.107996</v>
      </c>
      <c r="L2320">
        <v>215.39879999999999</v>
      </c>
      <c r="M2320">
        <v>0.9998804</v>
      </c>
      <c r="N2320">
        <v>-1.073497E-2</v>
      </c>
      <c r="O2320">
        <v>1.1143399999999999E-2</v>
      </c>
      <c r="P2320">
        <v>0.99327390000000004</v>
      </c>
      <c r="Q2320">
        <v>-8.7615709999999999E-2</v>
      </c>
      <c r="R2320">
        <v>7.5700690000000001E-2</v>
      </c>
      <c r="S2320">
        <v>2.9891049999999999</v>
      </c>
      <c r="T2320">
        <v>-0.1051363</v>
      </c>
      <c r="U2320">
        <v>0.285553</v>
      </c>
      <c r="V2320">
        <v>-6.4652099999999907E-2</v>
      </c>
      <c r="W2320">
        <v>-7.6918310000000004E-2</v>
      </c>
      <c r="X2320">
        <v>0.99493900000000002</v>
      </c>
      <c r="Y2320">
        <v>-8.3934930000000005E-2</v>
      </c>
      <c r="Z2320">
        <v>1.6525279999999999E-3</v>
      </c>
      <c r="AA2320">
        <v>0.99646990000000002</v>
      </c>
      <c r="AB2320">
        <v>48</v>
      </c>
      <c r="AC2320">
        <v>31.082000000000001</v>
      </c>
      <c r="AD2320">
        <v>-1.107993098755</v>
      </c>
      <c r="AE2320">
        <v>3.0047000000000099</v>
      </c>
      <c r="AF2320">
        <v>-2.65479202768097</v>
      </c>
      <c r="AG2320">
        <v>-1.107993098755</v>
      </c>
      <c r="AH2320">
        <v>31.074432527813698</v>
      </c>
      <c r="AI2320">
        <v>92.034673352521295</v>
      </c>
      <c r="AJ2320">
        <v>94.88311149626</v>
      </c>
      <c r="AK2320">
        <v>31.207305656572998</v>
      </c>
      <c r="AL2320">
        <v>94.411451995075893</v>
      </c>
      <c r="AM2320">
        <v>93.717908145266605</v>
      </c>
      <c r="AN2320">
        <v>0.99999996708433203</v>
      </c>
    </row>
    <row r="2321" spans="1:40" x14ac:dyDescent="0.25">
      <c r="A2321" t="str">
        <f>"20190305135630949"</f>
        <v>20190305135630949</v>
      </c>
      <c r="B2321" t="str">
        <f>"1551765390944635"</f>
        <v>1551765390944635</v>
      </c>
      <c r="C2321" t="s">
        <v>40</v>
      </c>
      <c r="D2321">
        <v>4.6129100000000003</v>
      </c>
      <c r="E2321">
        <v>0.49311700000000003</v>
      </c>
      <c r="F2321" t="s">
        <v>61</v>
      </c>
      <c r="G2321">
        <v>-315.80540000000002</v>
      </c>
      <c r="H2321" s="1">
        <v>3.4801150000000001E-6</v>
      </c>
      <c r="I2321">
        <v>218.2621</v>
      </c>
      <c r="J2321">
        <v>-345.11130000000003</v>
      </c>
      <c r="K2321">
        <v>1.1079950000000001</v>
      </c>
      <c r="L2321">
        <v>215.404</v>
      </c>
      <c r="M2321">
        <v>0.99988120000000003</v>
      </c>
      <c r="N2321">
        <v>-1.0750600000000001E-2</v>
      </c>
      <c r="O2321">
        <v>1.105481E-2</v>
      </c>
      <c r="P2321">
        <v>0.99341630000000003</v>
      </c>
      <c r="Q2321">
        <v>-8.6830080000000004E-2</v>
      </c>
      <c r="R2321">
        <v>7.4731220000000001E-2</v>
      </c>
      <c r="S2321">
        <v>2.9886170000000001</v>
      </c>
      <c r="T2321">
        <v>-0.11120670000000001</v>
      </c>
      <c r="U2321">
        <v>0.28738399999999997</v>
      </c>
      <c r="V2321">
        <v>-6.3768829999999999E-2</v>
      </c>
      <c r="W2321">
        <v>-7.6116130000000004E-2</v>
      </c>
      <c r="X2321">
        <v>0.99505770000000004</v>
      </c>
      <c r="Y2321">
        <v>-8.4636379999999997E-2</v>
      </c>
      <c r="Z2321">
        <v>1.73507E-3</v>
      </c>
      <c r="AA2321">
        <v>0.99641040000000003</v>
      </c>
      <c r="AB2321">
        <v>48</v>
      </c>
      <c r="AC2321">
        <v>29.305900000000001</v>
      </c>
      <c r="AD2321">
        <v>-1.1079915198849899</v>
      </c>
      <c r="AE2321">
        <v>2.8580999999999701</v>
      </c>
      <c r="AF2321">
        <v>-2.5303526021211198</v>
      </c>
      <c r="AG2321">
        <v>-1.1079915198849899</v>
      </c>
      <c r="AH2321">
        <v>29.2942270896589</v>
      </c>
      <c r="AI2321">
        <v>92.158029931223595</v>
      </c>
      <c r="AJ2321">
        <v>94.936794116310693</v>
      </c>
      <c r="AK2321">
        <v>29.424174929464101</v>
      </c>
      <c r="AL2321">
        <v>94.365355274302502</v>
      </c>
      <c r="AM2321">
        <v>93.6668177817904</v>
      </c>
      <c r="AN2321">
        <v>0.99999997762751702</v>
      </c>
    </row>
    <row r="2322" spans="1:40" x14ac:dyDescent="0.25">
      <c r="A2322" t="str">
        <f>"20190305135630985"</f>
        <v>20190305135630985</v>
      </c>
      <c r="B2322" t="str">
        <f>"1551765390974891"</f>
        <v>1551765390974891</v>
      </c>
      <c r="C2322" t="s">
        <v>40</v>
      </c>
      <c r="D2322">
        <v>4.6326519999999896</v>
      </c>
      <c r="E2322">
        <v>0.49221949999999998</v>
      </c>
      <c r="F2322" t="s">
        <v>61</v>
      </c>
      <c r="G2322">
        <v>-315.7672</v>
      </c>
      <c r="H2322" s="1">
        <v>3.463141E-6</v>
      </c>
      <c r="I2322">
        <v>218.2492</v>
      </c>
      <c r="J2322">
        <v>-344.33749999999998</v>
      </c>
      <c r="K2322">
        <v>1.108004</v>
      </c>
      <c r="L2322">
        <v>215.41239999999999</v>
      </c>
      <c r="M2322">
        <v>0.99988220000000005</v>
      </c>
      <c r="N2322">
        <v>-1.081347E-2</v>
      </c>
      <c r="O2322">
        <v>1.0909739999999999E-2</v>
      </c>
      <c r="P2322">
        <v>0.99328349999999999</v>
      </c>
      <c r="Q2322">
        <v>-8.9142879999999994E-2</v>
      </c>
      <c r="R2322">
        <v>7.3769000000000001E-2</v>
      </c>
      <c r="S2322">
        <v>2.9882200000000001</v>
      </c>
      <c r="T2322">
        <v>-0.1128306</v>
      </c>
      <c r="U2322">
        <v>0.28973389999999999</v>
      </c>
      <c r="V2322">
        <v>-6.2953079999999995E-2</v>
      </c>
      <c r="W2322">
        <v>-7.8368179999999996E-2</v>
      </c>
      <c r="X2322">
        <v>0.99493489999999996</v>
      </c>
      <c r="Y2322">
        <v>-8.5566999999999893E-2</v>
      </c>
      <c r="Z2322">
        <v>1.781957E-3</v>
      </c>
      <c r="AA2322">
        <v>0.99633079999999996</v>
      </c>
      <c r="AB2322">
        <v>48</v>
      </c>
      <c r="AC2322">
        <v>28.5702999999999</v>
      </c>
      <c r="AD2322">
        <v>-1.108000536859</v>
      </c>
      <c r="AE2322">
        <v>2.83680000000001</v>
      </c>
      <c r="AF2322">
        <v>-2.5211636079847199</v>
      </c>
      <c r="AG2322">
        <v>-1.108000536859</v>
      </c>
      <c r="AH2322">
        <v>28.557019352864501</v>
      </c>
      <c r="AI2322">
        <v>92.213337676555398</v>
      </c>
      <c r="AJ2322">
        <v>95.045291236263395</v>
      </c>
      <c r="AK2322">
        <v>28.689497824949498</v>
      </c>
      <c r="AL2322">
        <v>94.494774559878394</v>
      </c>
      <c r="AM2322">
        <v>93.620481901566507</v>
      </c>
      <c r="AN2322">
        <v>1.000000058578</v>
      </c>
    </row>
    <row r="2323" spans="1:40" x14ac:dyDescent="0.25">
      <c r="A2323" t="str">
        <f>"20190305135631027"</f>
        <v>20190305135631027</v>
      </c>
      <c r="B2323" t="str">
        <f>"1551765391024668"</f>
        <v>1551765391024668</v>
      </c>
      <c r="C2323" t="s">
        <v>40</v>
      </c>
      <c r="D2323">
        <v>4.5551729999999999</v>
      </c>
      <c r="E2323">
        <v>0.57285759999999997</v>
      </c>
      <c r="F2323" t="s">
        <v>61</v>
      </c>
      <c r="G2323">
        <v>-317.8759</v>
      </c>
      <c r="H2323" s="1">
        <v>4.398297E-6</v>
      </c>
      <c r="I2323">
        <v>218.0146</v>
      </c>
      <c r="J2323">
        <v>-343.42989999999998</v>
      </c>
      <c r="K2323">
        <v>1.108034</v>
      </c>
      <c r="L2323">
        <v>215.4222</v>
      </c>
      <c r="M2323">
        <v>0.99988250000000001</v>
      </c>
      <c r="N2323">
        <v>-1.0945740000000001E-2</v>
      </c>
      <c r="O2323">
        <v>1.074049E-2</v>
      </c>
      <c r="P2323">
        <v>0.99335119999999999</v>
      </c>
      <c r="Q2323">
        <v>-8.8895130000000003E-2</v>
      </c>
      <c r="R2323">
        <v>7.3153620000000003E-2</v>
      </c>
      <c r="S2323">
        <v>2.9872740000000002</v>
      </c>
      <c r="T2323">
        <v>-0.12508339999999901</v>
      </c>
      <c r="U2323">
        <v>0.29376219999999997</v>
      </c>
      <c r="V2323">
        <v>-6.2505660000000005E-2</v>
      </c>
      <c r="W2323">
        <v>-7.7988360000000007E-2</v>
      </c>
      <c r="X2323">
        <v>0.99499289999999996</v>
      </c>
      <c r="Y2323">
        <v>-8.7080199999999996E-2</v>
      </c>
      <c r="Z2323">
        <v>1.9648180000000001E-3</v>
      </c>
      <c r="AA2323">
        <v>0.99619939999999996</v>
      </c>
      <c r="AB2323">
        <v>48</v>
      </c>
      <c r="AC2323">
        <v>25.553999999999899</v>
      </c>
      <c r="AD2323">
        <v>-1.108029601703</v>
      </c>
      <c r="AE2323">
        <v>2.5923999999999898</v>
      </c>
      <c r="AF2323">
        <v>-2.3134662715533501</v>
      </c>
      <c r="AG2323">
        <v>-1.108029601703</v>
      </c>
      <c r="AH2323">
        <v>25.532855415929799</v>
      </c>
      <c r="AI2323">
        <v>92.474736622333495</v>
      </c>
      <c r="AJ2323">
        <v>95.177285908637302</v>
      </c>
      <c r="AK2323">
        <v>25.6613826883634</v>
      </c>
      <c r="AL2323">
        <v>94.4729459021368</v>
      </c>
      <c r="AM2323">
        <v>93.594609135896206</v>
      </c>
      <c r="AN2323">
        <v>1.00000000643896</v>
      </c>
    </row>
    <row r="2324" spans="1:40" x14ac:dyDescent="0.25">
      <c r="A2324" t="str">
        <f>"20190305135631073"</f>
        <v>20190305135631073</v>
      </c>
      <c r="B2324" t="str">
        <f>"1551765391064683"</f>
        <v>1551765391064683</v>
      </c>
      <c r="C2324" t="s">
        <v>40</v>
      </c>
      <c r="D2324">
        <v>4.500273</v>
      </c>
      <c r="E2324">
        <v>0.58431719999999998</v>
      </c>
      <c r="F2324" t="s">
        <v>70</v>
      </c>
      <c r="G2324">
        <v>-168.416</v>
      </c>
      <c r="H2324">
        <v>6.3016180000000004</v>
      </c>
      <c r="I2324">
        <v>196.21600000000001</v>
      </c>
      <c r="J2324">
        <v>-342.46179999999998</v>
      </c>
      <c r="K2324">
        <v>1.1081129999999999</v>
      </c>
      <c r="L2324">
        <v>215.4323</v>
      </c>
      <c r="M2324">
        <v>0.99987979999999999</v>
      </c>
      <c r="N2324">
        <v>-1.136352E-2</v>
      </c>
      <c r="O2324">
        <v>1.05495E-2</v>
      </c>
      <c r="P2324">
        <v>0.99339379999999999</v>
      </c>
      <c r="Q2324">
        <v>-9.0443629999999997E-2</v>
      </c>
      <c r="R2324">
        <v>7.0633669999999996E-2</v>
      </c>
      <c r="S2324">
        <v>3.0528559999999998</v>
      </c>
      <c r="T2324">
        <v>9.0594889999999997E-2</v>
      </c>
      <c r="U2324">
        <v>-0.33502199999999999</v>
      </c>
      <c r="V2324">
        <v>-6.0176729999999998E-2</v>
      </c>
      <c r="W2324">
        <v>-7.9120700000000002E-2</v>
      </c>
      <c r="X2324">
        <v>0.99504709999999996</v>
      </c>
      <c r="Y2324">
        <v>0.1195261</v>
      </c>
      <c r="Z2324">
        <v>1.51810799999999E-3</v>
      </c>
      <c r="AA2324">
        <v>0.99282990000000004</v>
      </c>
      <c r="AB2324">
        <v>48</v>
      </c>
      <c r="AC2324">
        <v>174.04580000000001</v>
      </c>
      <c r="AD2324">
        <v>5.193505</v>
      </c>
      <c r="AE2324">
        <v>-19.2163</v>
      </c>
      <c r="AF2324">
        <v>21.032942651647101</v>
      </c>
      <c r="AG2324">
        <v>5.193505</v>
      </c>
      <c r="AH2324">
        <v>173.68059223078001</v>
      </c>
      <c r="AI2324">
        <v>88.299632014938894</v>
      </c>
      <c r="AJ2324">
        <v>83.095031539136002</v>
      </c>
      <c r="AK2324">
        <v>175.02658451905799</v>
      </c>
      <c r="AL2324">
        <v>94.538025219178195</v>
      </c>
      <c r="AM2324">
        <v>93.460819555457107</v>
      </c>
      <c r="AN2324">
        <v>1.0000000276101899</v>
      </c>
    </row>
    <row r="2325" spans="1:40" x14ac:dyDescent="0.25">
      <c r="A2325" t="str">
        <f>"20190305135631094"</f>
        <v>20190305135631094</v>
      </c>
      <c r="B2325" t="str">
        <f>"1551765391084203"</f>
        <v>1551765391084203</v>
      </c>
      <c r="C2325" t="s">
        <v>40</v>
      </c>
      <c r="D2325">
        <v>4.4806150000000002</v>
      </c>
      <c r="E2325">
        <v>0.58940740000000003</v>
      </c>
      <c r="F2325" t="s">
        <v>70</v>
      </c>
      <c r="G2325">
        <v>-168.4177</v>
      </c>
      <c r="H2325">
        <v>5.9592229999999997</v>
      </c>
      <c r="I2325">
        <v>190.71600000000001</v>
      </c>
      <c r="J2325">
        <v>-341.97949999999997</v>
      </c>
      <c r="K2325">
        <v>1.1081620000000001</v>
      </c>
      <c r="L2325">
        <v>215.4374</v>
      </c>
      <c r="M2325">
        <v>0.99987689999999996</v>
      </c>
      <c r="N2325">
        <v>-1.169658E-2</v>
      </c>
      <c r="O2325">
        <v>1.046132E-2</v>
      </c>
      <c r="P2325">
        <v>0.99331539999999996</v>
      </c>
      <c r="Q2325">
        <v>-9.2921829999999997E-2</v>
      </c>
      <c r="R2325">
        <v>6.84834E-2</v>
      </c>
      <c r="S2325">
        <v>3.0585939999999998</v>
      </c>
      <c r="T2325">
        <v>8.5252399999999895E-2</v>
      </c>
      <c r="U2325">
        <v>-0.43435669999999998</v>
      </c>
      <c r="V2325">
        <v>-5.8115359999999998E-2</v>
      </c>
      <c r="W2325">
        <v>-8.1269279999999999E-2</v>
      </c>
      <c r="X2325">
        <v>0.9949964</v>
      </c>
      <c r="Y2325">
        <v>0.1509105</v>
      </c>
      <c r="Z2325">
        <v>1.6169999999999999E-3</v>
      </c>
      <c r="AA2325">
        <v>0.98854609999999998</v>
      </c>
      <c r="AB2325">
        <v>48</v>
      </c>
      <c r="AC2325">
        <v>173.56179999999901</v>
      </c>
      <c r="AD2325">
        <v>4.8510609999999996</v>
      </c>
      <c r="AE2325">
        <v>-24.721399999999999</v>
      </c>
      <c r="AF2325">
        <v>26.515554516542998</v>
      </c>
      <c r="AG2325">
        <v>4.8510609999999996</v>
      </c>
      <c r="AH2325">
        <v>173.16108055870001</v>
      </c>
      <c r="AI2325">
        <v>88.413773242410102</v>
      </c>
      <c r="AJ2325">
        <v>81.294120453910693</v>
      </c>
      <c r="AK2325">
        <v>175.246589822461</v>
      </c>
      <c r="AL2325">
        <v>94.661527882653402</v>
      </c>
      <c r="AM2325">
        <v>93.342711736170799</v>
      </c>
      <c r="AN2325">
        <v>0.99999996347630304</v>
      </c>
    </row>
    <row r="2326" spans="1:40" x14ac:dyDescent="0.25">
      <c r="A2326" t="str">
        <f>"20190305135631116"</f>
        <v>20190305135631116</v>
      </c>
      <c r="B2326" t="str">
        <f>"1551765391114460"</f>
        <v>1551765391114460</v>
      </c>
      <c r="C2326" t="s">
        <v>40</v>
      </c>
      <c r="D2326">
        <v>4.5749269999999997</v>
      </c>
      <c r="E2326">
        <v>0.59178439999999999</v>
      </c>
      <c r="F2326" t="s">
        <v>71</v>
      </c>
      <c r="G2326">
        <v>-236.57380000000001</v>
      </c>
      <c r="H2326">
        <v>4.2190379999999896</v>
      </c>
      <c r="I2326">
        <v>198.89439999999999</v>
      </c>
      <c r="J2326">
        <v>-341.52159999999998</v>
      </c>
      <c r="K2326">
        <v>1.108204</v>
      </c>
      <c r="L2326">
        <v>215.44210000000001</v>
      </c>
      <c r="M2326">
        <v>0.99987400000000004</v>
      </c>
      <c r="N2326">
        <v>-1.201931E-2</v>
      </c>
      <c r="O2326">
        <v>1.037514E-2</v>
      </c>
      <c r="P2326">
        <v>0.99323170000000005</v>
      </c>
      <c r="Q2326">
        <v>-9.4933970000000006E-2</v>
      </c>
      <c r="R2326">
        <v>6.6920569999999999E-2</v>
      </c>
      <c r="S2326">
        <v>3.0617679999999998</v>
      </c>
      <c r="T2326">
        <v>9.0365650000000006E-2</v>
      </c>
      <c r="U2326">
        <v>-0.48052980000000001</v>
      </c>
      <c r="V2326">
        <v>-5.6639429999999998E-2</v>
      </c>
      <c r="W2326">
        <v>-8.2962240000000007E-2</v>
      </c>
      <c r="X2326">
        <v>0.99494179999999999</v>
      </c>
      <c r="Y2326">
        <v>0.16523950000000001</v>
      </c>
      <c r="Z2326">
        <v>1.8521029999999999E-3</v>
      </c>
      <c r="AA2326">
        <v>0.98625169999999995</v>
      </c>
      <c r="AB2326">
        <v>48</v>
      </c>
      <c r="AC2326">
        <v>104.94779999999901</v>
      </c>
      <c r="AD2326">
        <v>3.1108339999999899</v>
      </c>
      <c r="AE2326">
        <v>-16.547699999999999</v>
      </c>
      <c r="AF2326">
        <v>17.6206294523408</v>
      </c>
      <c r="AG2326">
        <v>3.1108339999999899</v>
      </c>
      <c r="AH2326">
        <v>104.680708836885</v>
      </c>
      <c r="AI2326">
        <v>88.321422419278207</v>
      </c>
      <c r="AJ2326">
        <v>80.445122606555998</v>
      </c>
      <c r="AK2326">
        <v>106.198939133425</v>
      </c>
      <c r="AL2326">
        <v>94.758856017987497</v>
      </c>
      <c r="AM2326">
        <v>93.258182027733298</v>
      </c>
      <c r="AN2326">
        <v>0.99999997184189005</v>
      </c>
    </row>
    <row r="2327" spans="1:40" x14ac:dyDescent="0.25">
      <c r="A2327" t="str">
        <f>"20190305135631137"</f>
        <v>20190305135631137</v>
      </c>
      <c r="B2327" t="str">
        <f>"1551765391134956"</f>
        <v>1551765391134956</v>
      </c>
      <c r="C2327" t="s">
        <v>40</v>
      </c>
      <c r="D2327">
        <v>4.5676920000000001</v>
      </c>
      <c r="E2327">
        <v>0.59176169999999995</v>
      </c>
      <c r="F2327" t="s">
        <v>71</v>
      </c>
      <c r="G2327">
        <v>-236.00790000000001</v>
      </c>
      <c r="H2327">
        <v>4.000038</v>
      </c>
      <c r="I2327">
        <v>198.07050000000001</v>
      </c>
      <c r="J2327">
        <v>-341.06729999999999</v>
      </c>
      <c r="K2327">
        <v>1.108236</v>
      </c>
      <c r="L2327">
        <v>215.44669999999999</v>
      </c>
      <c r="M2327">
        <v>0.99987119999999996</v>
      </c>
      <c r="N2327">
        <v>-1.2318819999999999E-2</v>
      </c>
      <c r="O2327">
        <v>1.028747E-2</v>
      </c>
      <c r="P2327">
        <v>0.99311660000000002</v>
      </c>
      <c r="Q2327">
        <v>-9.7498860000000007E-2</v>
      </c>
      <c r="R2327">
        <v>6.4913330000000005E-2</v>
      </c>
      <c r="S2327">
        <v>3.0623779999999998</v>
      </c>
      <c r="T2327">
        <v>8.3933830000000001E-2</v>
      </c>
      <c r="U2327">
        <v>-0.50418090000000004</v>
      </c>
      <c r="V2327">
        <v>-5.4721140000000001E-2</v>
      </c>
      <c r="W2327">
        <v>-8.5231630000000003E-2</v>
      </c>
      <c r="X2327">
        <v>0.9948574</v>
      </c>
      <c r="Y2327">
        <v>0.17255100000000001</v>
      </c>
      <c r="Z2327">
        <v>1.6842440000000001E-3</v>
      </c>
      <c r="AA2327">
        <v>0.98499919999999996</v>
      </c>
      <c r="AB2327">
        <v>48</v>
      </c>
      <c r="AC2327">
        <v>105.059399999999</v>
      </c>
      <c r="AD2327">
        <v>2.8918020000000002</v>
      </c>
      <c r="AE2327">
        <v>-17.376199999999901</v>
      </c>
      <c r="AF2327">
        <v>18.442556893564099</v>
      </c>
      <c r="AG2327">
        <v>2.8918020000000002</v>
      </c>
      <c r="AH2327">
        <v>104.797783352777</v>
      </c>
      <c r="AI2327">
        <v>88.443284538373504</v>
      </c>
      <c r="AJ2327">
        <v>80.019153349482707</v>
      </c>
      <c r="AK2327">
        <v>106.447479158668</v>
      </c>
      <c r="AL2327">
        <v>94.889344430932795</v>
      </c>
      <c r="AM2327">
        <v>93.148324796448605</v>
      </c>
      <c r="AN2327">
        <v>1.0000000401250499</v>
      </c>
    </row>
    <row r="2328" spans="1:40" x14ac:dyDescent="0.25">
      <c r="A2328" t="str">
        <f>"20190305135631164"</f>
        <v>20190305135631164</v>
      </c>
      <c r="B2328" t="str">
        <f>"1551765391154475"</f>
        <v>1551765391154475</v>
      </c>
      <c r="C2328" t="s">
        <v>40</v>
      </c>
      <c r="D2328">
        <v>4.5917570000000003</v>
      </c>
      <c r="E2328">
        <v>0.59235470000000001</v>
      </c>
      <c r="F2328" t="s">
        <v>71</v>
      </c>
      <c r="G2328">
        <v>-234.15950000000001</v>
      </c>
      <c r="H2328">
        <v>3.7219859999999998</v>
      </c>
      <c r="I2328">
        <v>197.6266</v>
      </c>
      <c r="J2328">
        <v>-340.51319999999998</v>
      </c>
      <c r="K2328">
        <v>1.10826</v>
      </c>
      <c r="L2328">
        <v>215.45230000000001</v>
      </c>
      <c r="M2328">
        <v>0.99986830000000004</v>
      </c>
      <c r="N2328">
        <v>-1.265111E-2</v>
      </c>
      <c r="O2328">
        <v>1.017932E-2</v>
      </c>
      <c r="P2328">
        <v>0.99305759999999998</v>
      </c>
      <c r="Q2328">
        <v>-9.9457450000000003E-2</v>
      </c>
      <c r="R2328">
        <v>6.2808950000000002E-2</v>
      </c>
      <c r="S2328">
        <v>3.0615230000000002</v>
      </c>
      <c r="T2328">
        <v>7.4852710000000003E-2</v>
      </c>
      <c r="U2328">
        <v>-0.51031490000000002</v>
      </c>
      <c r="V2328">
        <v>-5.2724960000000001E-2</v>
      </c>
      <c r="W2328">
        <v>-8.6861480000000005E-2</v>
      </c>
      <c r="X2328">
        <v>0.99482420000000005</v>
      </c>
      <c r="Y2328">
        <v>0.1744203</v>
      </c>
      <c r="Z2328">
        <v>1.3813779999999999E-3</v>
      </c>
      <c r="AA2328">
        <v>0.9846703</v>
      </c>
      <c r="AB2328">
        <v>48</v>
      </c>
      <c r="AC2328">
        <v>106.35369999999899</v>
      </c>
      <c r="AD2328">
        <v>2.61372599999999</v>
      </c>
      <c r="AE2328">
        <v>-17.825700000000001</v>
      </c>
      <c r="AF2328">
        <v>18.896370152470599</v>
      </c>
      <c r="AG2328">
        <v>2.61372599999999</v>
      </c>
      <c r="AH2328">
        <v>106.10438813991701</v>
      </c>
      <c r="AI2328">
        <v>88.610738629010896</v>
      </c>
      <c r="AJ2328">
        <v>79.901936549031404</v>
      </c>
      <c r="AK2328">
        <v>107.80559146486</v>
      </c>
      <c r="AL2328">
        <v>94.983075734923005</v>
      </c>
      <c r="AM2328">
        <v>93.033796254751707</v>
      </c>
      <c r="AN2328">
        <v>1.0000000135102101</v>
      </c>
    </row>
    <row r="2329" spans="1:40" x14ac:dyDescent="0.25">
      <c r="A2329" t="str">
        <f>"20190305135631206"</f>
        <v>20190305135631206</v>
      </c>
      <c r="B2329" t="str">
        <f>"1551765391194495"</f>
        <v>1551765391194495</v>
      </c>
      <c r="C2329" t="s">
        <v>40</v>
      </c>
      <c r="D2329">
        <v>4.6086019999999897</v>
      </c>
      <c r="E2329">
        <v>0.59302290000000002</v>
      </c>
      <c r="F2329" t="s">
        <v>71</v>
      </c>
      <c r="G2329">
        <v>-234.80520000000001</v>
      </c>
      <c r="H2329">
        <v>3.5815250000000001</v>
      </c>
      <c r="I2329">
        <v>197.45330000000001</v>
      </c>
      <c r="J2329">
        <v>-339.61439999999999</v>
      </c>
      <c r="K2329">
        <v>1.1082939999999999</v>
      </c>
      <c r="L2329">
        <v>215.46129999999999</v>
      </c>
      <c r="M2329">
        <v>0.99986399999999998</v>
      </c>
      <c r="N2329">
        <v>-1.311695E-2</v>
      </c>
      <c r="O2329">
        <v>1.00082E-2</v>
      </c>
      <c r="P2329">
        <v>0.99311229999999995</v>
      </c>
      <c r="Q2329">
        <v>-0.1011345</v>
      </c>
      <c r="R2329">
        <v>5.9161760000000001E-2</v>
      </c>
      <c r="S2329">
        <v>3.0611570000000001</v>
      </c>
      <c r="T2329">
        <v>7.1624880000000002E-2</v>
      </c>
      <c r="U2329">
        <v>-0.52122500000000005</v>
      </c>
      <c r="V2329">
        <v>-4.9247470000000002E-2</v>
      </c>
      <c r="W2329">
        <v>-8.8076020000000005E-2</v>
      </c>
      <c r="X2329">
        <v>0.99489559999999999</v>
      </c>
      <c r="Y2329">
        <v>0.1776866</v>
      </c>
      <c r="Z2329">
        <v>1.252633E-3</v>
      </c>
      <c r="AA2329">
        <v>0.98408629999999997</v>
      </c>
      <c r="AB2329">
        <v>48</v>
      </c>
      <c r="AC2329">
        <v>104.809199999999</v>
      </c>
      <c r="AD2329">
        <v>2.4732310000000002</v>
      </c>
      <c r="AE2329">
        <v>-18.0079999999999</v>
      </c>
      <c r="AF2329">
        <v>19.045838126505799</v>
      </c>
      <c r="AG2329">
        <v>2.4732310000000002</v>
      </c>
      <c r="AH2329">
        <v>104.56714920920101</v>
      </c>
      <c r="AI2329">
        <v>88.667010414782098</v>
      </c>
      <c r="AJ2329">
        <v>79.677317657219902</v>
      </c>
      <c r="AK2329">
        <v>106.316271168903</v>
      </c>
      <c r="AL2329">
        <v>95.052931679348006</v>
      </c>
      <c r="AM2329">
        <v>92.833835983667896</v>
      </c>
      <c r="AN2329">
        <v>0.99999997674990004</v>
      </c>
    </row>
    <row r="2330" spans="1:40" x14ac:dyDescent="0.25">
      <c r="A2330" t="str">
        <f>"20190305135631227"</f>
        <v>20190305135631227</v>
      </c>
      <c r="B2330" t="str">
        <f>"1551765391224747"</f>
        <v>1551765391224747</v>
      </c>
      <c r="C2330" t="s">
        <v>40</v>
      </c>
      <c r="D2330">
        <v>4.6017199999999896</v>
      </c>
      <c r="E2330">
        <v>0.59304389999999996</v>
      </c>
      <c r="F2330" t="s">
        <v>71</v>
      </c>
      <c r="G2330">
        <v>-236.05340000000001</v>
      </c>
      <c r="H2330">
        <v>3.653702</v>
      </c>
      <c r="I2330">
        <v>197.2824</v>
      </c>
      <c r="J2330">
        <v>-339.15809999999999</v>
      </c>
      <c r="K2330">
        <v>1.108309</v>
      </c>
      <c r="L2330">
        <v>215.4658</v>
      </c>
      <c r="M2330">
        <v>0.99986209999999998</v>
      </c>
      <c r="N2330">
        <v>-1.332008E-2</v>
      </c>
      <c r="O2330">
        <v>9.9235999999999994E-3</v>
      </c>
      <c r="P2330">
        <v>0.99323689999999998</v>
      </c>
      <c r="Q2330">
        <v>-0.1008666</v>
      </c>
      <c r="R2330">
        <v>5.7502280000000003E-2</v>
      </c>
      <c r="S2330">
        <v>3.060486</v>
      </c>
      <c r="T2330">
        <v>7.5225829999999994E-2</v>
      </c>
      <c r="U2330">
        <v>-0.53723140000000003</v>
      </c>
      <c r="V2330">
        <v>-4.7670579999999997E-2</v>
      </c>
      <c r="W2330">
        <v>-8.7605100000000005E-2</v>
      </c>
      <c r="X2330">
        <v>0.99501399999999995</v>
      </c>
      <c r="Y2330">
        <v>0.18263009999999999</v>
      </c>
      <c r="Z2330">
        <v>1.374665E-3</v>
      </c>
      <c r="AA2330">
        <v>0.98318079999999997</v>
      </c>
      <c r="AB2330">
        <v>48</v>
      </c>
      <c r="AC2330">
        <v>103.104699999999</v>
      </c>
      <c r="AD2330">
        <v>2.5453929999999998</v>
      </c>
      <c r="AE2330">
        <v>-18.183399999999999</v>
      </c>
      <c r="AF2330">
        <v>19.1944194460166</v>
      </c>
      <c r="AG2330">
        <v>2.5453929999999998</v>
      </c>
      <c r="AH2330">
        <v>102.85836324128201</v>
      </c>
      <c r="AI2330">
        <v>88.606461063451107</v>
      </c>
      <c r="AJ2330">
        <v>79.429603134668199</v>
      </c>
      <c r="AK2330">
        <v>104.664930382959</v>
      </c>
      <c r="AL2330">
        <v>95.025845136688602</v>
      </c>
      <c r="AM2330">
        <v>92.742912325215698</v>
      </c>
      <c r="AN2330">
        <v>0.99999999896977299</v>
      </c>
    </row>
    <row r="2331" spans="1:40" x14ac:dyDescent="0.25">
      <c r="A2331" t="str">
        <f>"20190305135631251"</f>
        <v>20190305135631251</v>
      </c>
      <c r="B2331" t="str">
        <f>"1551765391244269"</f>
        <v>1551765391244269</v>
      </c>
      <c r="C2331" t="s">
        <v>40</v>
      </c>
      <c r="D2331">
        <v>4.6156620000000004</v>
      </c>
      <c r="E2331">
        <v>0.59297279999999997</v>
      </c>
      <c r="F2331" t="s">
        <v>71</v>
      </c>
      <c r="G2331">
        <v>-236.1541</v>
      </c>
      <c r="H2331">
        <v>3.697851</v>
      </c>
      <c r="I2331">
        <v>197.2039</v>
      </c>
      <c r="J2331">
        <v>-338.66480000000001</v>
      </c>
      <c r="K2331">
        <v>1.1083259999999999</v>
      </c>
      <c r="L2331">
        <v>215.47059999999999</v>
      </c>
      <c r="M2331">
        <v>0.99986039999999998</v>
      </c>
      <c r="N2331">
        <v>-1.3514969999999999E-2</v>
      </c>
      <c r="O2331">
        <v>9.8321840000000008E-3</v>
      </c>
      <c r="P2331">
        <v>0.99347589999999997</v>
      </c>
      <c r="Q2331">
        <v>-0.10014049999999999</v>
      </c>
      <c r="R2331">
        <v>5.4569140000000002E-2</v>
      </c>
      <c r="S2331">
        <v>3.059631</v>
      </c>
      <c r="T2331">
        <v>7.6922420000000005E-2</v>
      </c>
      <c r="U2331">
        <v>-0.54244999999999999</v>
      </c>
      <c r="V2331">
        <v>-4.4826310000000001E-2</v>
      </c>
      <c r="W2331">
        <v>-8.668331E-2</v>
      </c>
      <c r="X2331">
        <v>0.99522690000000003</v>
      </c>
      <c r="Y2331">
        <v>0.18421119999999999</v>
      </c>
      <c r="Z2331">
        <v>1.4198769999999999E-3</v>
      </c>
      <c r="AA2331">
        <v>0.98288569999999997</v>
      </c>
      <c r="AB2331">
        <v>48</v>
      </c>
      <c r="AC2331">
        <v>102.5107</v>
      </c>
      <c r="AD2331">
        <v>2.5895250000000001</v>
      </c>
      <c r="AE2331">
        <v>-18.266699999999901</v>
      </c>
      <c r="AF2331">
        <v>19.261899818526199</v>
      </c>
      <c r="AG2331">
        <v>2.5895250000000001</v>
      </c>
      <c r="AH2331">
        <v>102.26287846029101</v>
      </c>
      <c r="AI2331">
        <v>88.574508553513098</v>
      </c>
      <c r="AJ2331">
        <v>79.332933033897902</v>
      </c>
      <c r="AK2331">
        <v>104.093336651915</v>
      </c>
      <c r="AL2331">
        <v>94.972828821066699</v>
      </c>
      <c r="AM2331">
        <v>92.578933165799995</v>
      </c>
      <c r="AN2331">
        <v>0.99999998839219095</v>
      </c>
    </row>
    <row r="2332" spans="1:40" x14ac:dyDescent="0.25">
      <c r="A2332" t="str">
        <f>"20190305135631274"</f>
        <v>20190305135631274</v>
      </c>
      <c r="B2332" t="str">
        <f>"1551765391264763"</f>
        <v>1551765391264763</v>
      </c>
      <c r="C2332" t="s">
        <v>40</v>
      </c>
      <c r="D2332">
        <v>4.6441220000000003</v>
      </c>
      <c r="E2332">
        <v>0.59279630000000005</v>
      </c>
      <c r="F2332" t="s">
        <v>71</v>
      </c>
      <c r="G2332">
        <v>-235.8981</v>
      </c>
      <c r="H2332">
        <v>3.7489479999999999</v>
      </c>
      <c r="I2332">
        <v>196.9589</v>
      </c>
      <c r="J2332">
        <v>-338.1662</v>
      </c>
      <c r="K2332">
        <v>1.1083339999999999</v>
      </c>
      <c r="L2332">
        <v>215.47540000000001</v>
      </c>
      <c r="M2332">
        <v>0.99985900000000005</v>
      </c>
      <c r="N2332">
        <v>-1.368668E-2</v>
      </c>
      <c r="O2332">
        <v>9.7388309999999999E-3</v>
      </c>
      <c r="P2332">
        <v>0.99363069999999998</v>
      </c>
      <c r="Q2332">
        <v>-0.1004094</v>
      </c>
      <c r="R2332">
        <v>5.1149849999999997E-2</v>
      </c>
      <c r="S2332">
        <v>3.0578919999999998</v>
      </c>
      <c r="T2332">
        <v>7.8576090000000001E-2</v>
      </c>
      <c r="U2332">
        <v>-0.55082699999999996</v>
      </c>
      <c r="V2332">
        <v>-4.149808E-2</v>
      </c>
      <c r="W2332">
        <v>-8.678073E-2</v>
      </c>
      <c r="X2332">
        <v>0.99536279999999999</v>
      </c>
      <c r="Y2332">
        <v>0.18682219999999999</v>
      </c>
      <c r="Z2332">
        <v>1.4723529999999901E-3</v>
      </c>
      <c r="AA2332">
        <v>0.98239270000000001</v>
      </c>
      <c r="AB2332">
        <v>48</v>
      </c>
      <c r="AC2332">
        <v>102.2681</v>
      </c>
      <c r="AD2332">
        <v>2.6406139999999998</v>
      </c>
      <c r="AE2332">
        <v>-18.516500000000001</v>
      </c>
      <c r="AF2332">
        <v>19.499099285455799</v>
      </c>
      <c r="AG2332">
        <v>2.6406139999999998</v>
      </c>
      <c r="AH2332">
        <v>102.01704751843801</v>
      </c>
      <c r="AI2332">
        <v>88.543636714401501</v>
      </c>
      <c r="AJ2332">
        <v>79.179242680237707</v>
      </c>
      <c r="AK2332">
        <v>103.89738061963</v>
      </c>
      <c r="AL2332">
        <v>94.978431408435597</v>
      </c>
      <c r="AM2332">
        <v>92.387359341322494</v>
      </c>
      <c r="AN2332">
        <v>1.0000000446834201</v>
      </c>
    </row>
    <row r="2333" spans="1:40" x14ac:dyDescent="0.25">
      <c r="A2333" t="str">
        <f>"20190305135631295"</f>
        <v>20190305135631295</v>
      </c>
      <c r="B2333" t="str">
        <f>"1551765391284284"</f>
        <v>1551765391284284</v>
      </c>
      <c r="C2333" t="s">
        <v>40</v>
      </c>
      <c r="D2333">
        <v>4.5958489999999896</v>
      </c>
      <c r="E2333">
        <v>0.59283830000000004</v>
      </c>
      <c r="F2333" t="s">
        <v>71</v>
      </c>
      <c r="G2333">
        <v>-235.79660000000001</v>
      </c>
      <c r="H2333">
        <v>3.6930350000000001</v>
      </c>
      <c r="I2333">
        <v>196.7107</v>
      </c>
      <c r="J2333">
        <v>-337.70229999999998</v>
      </c>
      <c r="K2333">
        <v>1.1083339999999999</v>
      </c>
      <c r="L2333">
        <v>215.47980000000001</v>
      </c>
      <c r="M2333">
        <v>0.99985800000000002</v>
      </c>
      <c r="N2333">
        <v>-1.382719E-2</v>
      </c>
      <c r="O2333">
        <v>9.6500960000000004E-3</v>
      </c>
      <c r="P2333">
        <v>0.99347229999999997</v>
      </c>
      <c r="Q2333">
        <v>-0.1032459</v>
      </c>
      <c r="R2333">
        <v>4.851134E-2</v>
      </c>
      <c r="S2333">
        <v>3.0558779999999999</v>
      </c>
      <c r="T2333">
        <v>7.7159640000000002E-2</v>
      </c>
      <c r="U2333">
        <v>-0.56015009999999998</v>
      </c>
      <c r="V2333">
        <v>-3.8950319999999997E-2</v>
      </c>
      <c r="W2333">
        <v>-8.9480519999999994E-2</v>
      </c>
      <c r="X2333">
        <v>0.99522670000000002</v>
      </c>
      <c r="Y2333">
        <v>0.18975</v>
      </c>
      <c r="Z2333">
        <v>1.4264869999999999E-3</v>
      </c>
      <c r="AA2333">
        <v>0.98183140000000002</v>
      </c>
      <c r="AB2333">
        <v>48</v>
      </c>
      <c r="AC2333">
        <v>101.905699999999</v>
      </c>
      <c r="AD2333">
        <v>2.5847009999999999</v>
      </c>
      <c r="AE2333">
        <v>-18.769100000000002</v>
      </c>
      <c r="AF2333">
        <v>19.739437491109801</v>
      </c>
      <c r="AG2333">
        <v>2.5847009999999999</v>
      </c>
      <c r="AH2333">
        <v>101.656561599806</v>
      </c>
      <c r="AI2333">
        <v>88.570216058460701</v>
      </c>
      <c r="AJ2333">
        <v>79.011186332140497</v>
      </c>
      <c r="AK2333">
        <v>103.587560006112</v>
      </c>
      <c r="AL2333">
        <v>95.133722306953601</v>
      </c>
      <c r="AM2333">
        <v>92.241248707878299</v>
      </c>
      <c r="AN2333">
        <v>1.00000003764023</v>
      </c>
    </row>
    <row r="2334" spans="1:40" x14ac:dyDescent="0.25">
      <c r="A2334" t="str">
        <f>"20190305135631317"</f>
        <v>20190305135631317</v>
      </c>
      <c r="B2334" t="str">
        <f>"1551765391314540"</f>
        <v>1551765391314540</v>
      </c>
      <c r="C2334" t="s">
        <v>40</v>
      </c>
      <c r="D2334">
        <v>4.6021979999999996</v>
      </c>
      <c r="E2334">
        <v>0.59285019999999999</v>
      </c>
      <c r="F2334" t="s">
        <v>50</v>
      </c>
      <c r="G2334">
        <v>-285.56729999999999</v>
      </c>
      <c r="H2334">
        <v>2.2985609999999999</v>
      </c>
      <c r="I2334">
        <v>205.7766</v>
      </c>
      <c r="J2334">
        <v>-337.24130000000002</v>
      </c>
      <c r="K2334">
        <v>1.108328</v>
      </c>
      <c r="L2334">
        <v>215.48419999999999</v>
      </c>
      <c r="M2334">
        <v>0.99985690000000005</v>
      </c>
      <c r="N2334">
        <v>-1.3949690000000001E-2</v>
      </c>
      <c r="O2334">
        <v>9.5574619999999992E-3</v>
      </c>
      <c r="P2334">
        <v>0.99352750000000001</v>
      </c>
      <c r="Q2334">
        <v>-0.10345799999999999</v>
      </c>
      <c r="R2334">
        <v>4.6898090000000003E-2</v>
      </c>
      <c r="S2334">
        <v>3.0547490000000002</v>
      </c>
      <c r="T2334">
        <v>6.9738980000000006E-2</v>
      </c>
      <c r="U2334">
        <v>-0.56854249999999995</v>
      </c>
      <c r="V2334">
        <v>-3.7428999999999997E-2</v>
      </c>
      <c r="W2334">
        <v>-8.9570510000000006E-2</v>
      </c>
      <c r="X2334">
        <v>0.99527690000000002</v>
      </c>
      <c r="Y2334">
        <v>0.1923396</v>
      </c>
      <c r="Z2334">
        <v>1.171966E-3</v>
      </c>
      <c r="AA2334">
        <v>0.98132770000000002</v>
      </c>
      <c r="AB2334">
        <v>47</v>
      </c>
      <c r="AC2334">
        <v>51.673999999999999</v>
      </c>
      <c r="AD2334">
        <v>1.1902330000000001</v>
      </c>
      <c r="AE2334">
        <v>-9.7075999999999798</v>
      </c>
      <c r="AF2334">
        <v>10.1958520141484</v>
      </c>
      <c r="AG2334">
        <v>1.1902330000000001</v>
      </c>
      <c r="AH2334">
        <v>51.552431976683501</v>
      </c>
      <c r="AI2334">
        <v>88.702524075621</v>
      </c>
      <c r="AJ2334">
        <v>78.812625089482907</v>
      </c>
      <c r="AK2334">
        <v>52.564487019272697</v>
      </c>
      <c r="AL2334">
        <v>95.138899556964205</v>
      </c>
      <c r="AM2334">
        <v>92.153685691438</v>
      </c>
      <c r="AN2334">
        <v>0.99999995698813404</v>
      </c>
    </row>
    <row r="2335" spans="1:40" x14ac:dyDescent="0.25">
      <c r="A2335" t="str">
        <f>"20190305135631341"</f>
        <v>20190305135631341</v>
      </c>
      <c r="B2335" t="str">
        <f>"1551765391334059"</f>
        <v>1551765391334059</v>
      </c>
      <c r="C2335" t="s">
        <v>40</v>
      </c>
      <c r="D2335">
        <v>4.7096439999999999</v>
      </c>
      <c r="E2335">
        <v>0.59217019999999998</v>
      </c>
      <c r="F2335" t="s">
        <v>50</v>
      </c>
      <c r="G2335">
        <v>-285.57080000000002</v>
      </c>
      <c r="H2335">
        <v>2.2998919999999998</v>
      </c>
      <c r="I2335">
        <v>205.7722</v>
      </c>
      <c r="J2335">
        <v>-336.73630000000003</v>
      </c>
      <c r="K2335">
        <v>1.1083259999999999</v>
      </c>
      <c r="L2335">
        <v>215.4889</v>
      </c>
      <c r="M2335">
        <v>0.99985650000000004</v>
      </c>
      <c r="N2335">
        <v>-1.406628E-2</v>
      </c>
      <c r="O2335">
        <v>9.4427269999999997E-3</v>
      </c>
      <c r="P2335">
        <v>0.99348449999999999</v>
      </c>
      <c r="Q2335">
        <v>-0.1035368</v>
      </c>
      <c r="R2335">
        <v>4.7630310000000002E-2</v>
      </c>
      <c r="S2335">
        <v>3.0539550000000002</v>
      </c>
      <c r="T2335">
        <v>7.0426580000000003E-2</v>
      </c>
      <c r="U2335">
        <v>-0.57402039999999999</v>
      </c>
      <c r="V2335">
        <v>-3.8277190000000003E-2</v>
      </c>
      <c r="W2335">
        <v>-8.9532870000000001E-2</v>
      </c>
      <c r="X2335">
        <v>0.99524809999999997</v>
      </c>
      <c r="Y2335">
        <v>0.1939728</v>
      </c>
      <c r="Z2335">
        <v>1.188176E-3</v>
      </c>
      <c r="AA2335">
        <v>0.98100620000000005</v>
      </c>
      <c r="AB2335">
        <v>47</v>
      </c>
      <c r="AC2335">
        <v>51.165500000000002</v>
      </c>
      <c r="AD2335">
        <v>1.1915659999999999</v>
      </c>
      <c r="AE2335">
        <v>-9.7166999999999994</v>
      </c>
      <c r="AF2335">
        <v>10.194119997434001</v>
      </c>
      <c r="AG2335">
        <v>1.1915659999999999</v>
      </c>
      <c r="AH2335">
        <v>51.044736611409199</v>
      </c>
      <c r="AI2335">
        <v>88.688641307743097</v>
      </c>
      <c r="AJ2335">
        <v>78.706071409354806</v>
      </c>
      <c r="AK2335">
        <v>52.066352357185302</v>
      </c>
      <c r="AL2335">
        <v>95.136733871338805</v>
      </c>
      <c r="AM2335">
        <v>92.202507159679897</v>
      </c>
      <c r="AN2335">
        <v>1.00000002931917</v>
      </c>
    </row>
    <row r="2336" spans="1:40" x14ac:dyDescent="0.25">
      <c r="A2336" t="str">
        <f>"20190305135631365"</f>
        <v>20190305135631365</v>
      </c>
      <c r="B2336" t="str">
        <f>"1551765391354555"</f>
        <v>1551765391354555</v>
      </c>
      <c r="C2336" t="s">
        <v>40</v>
      </c>
      <c r="D2336">
        <v>4.7452740000000002</v>
      </c>
      <c r="E2336">
        <v>0.59040230000000005</v>
      </c>
      <c r="F2336" t="s">
        <v>71</v>
      </c>
      <c r="G2336">
        <v>-236.38550000000001</v>
      </c>
      <c r="H2336">
        <v>3.2628439999999999</v>
      </c>
      <c r="I2336">
        <v>196.8605</v>
      </c>
      <c r="J2336">
        <v>-336.2448</v>
      </c>
      <c r="K2336">
        <v>1.1083190000000001</v>
      </c>
      <c r="L2336">
        <v>215.49350000000001</v>
      </c>
      <c r="M2336">
        <v>0.99985650000000004</v>
      </c>
      <c r="N2336">
        <v>-1.4164329999999999E-2</v>
      </c>
      <c r="O2336">
        <v>9.3087399999999994E-3</v>
      </c>
      <c r="P2336">
        <v>0.99337350000000002</v>
      </c>
      <c r="Q2336">
        <v>-0.1039409</v>
      </c>
      <c r="R2336">
        <v>4.9046180000000002E-2</v>
      </c>
      <c r="S2336">
        <v>3.0536799999999999</v>
      </c>
      <c r="T2336">
        <v>6.5564750000000005E-2</v>
      </c>
      <c r="U2336">
        <v>-0.56686400000000003</v>
      </c>
      <c r="V2336">
        <v>-3.9830270000000001E-2</v>
      </c>
      <c r="W2336">
        <v>-8.9838940000000006E-2</v>
      </c>
      <c r="X2336">
        <v>0.99515960000000003</v>
      </c>
      <c r="Y2336">
        <v>0.1916407</v>
      </c>
      <c r="Z2336">
        <v>9.9971700000000001E-4</v>
      </c>
      <c r="AA2336">
        <v>0.98146460000000002</v>
      </c>
      <c r="AB2336">
        <v>47</v>
      </c>
      <c r="AC2336">
        <v>99.859300000000005</v>
      </c>
      <c r="AD2336">
        <v>2.154525</v>
      </c>
      <c r="AE2336">
        <v>-18.632999999999999</v>
      </c>
      <c r="AF2336">
        <v>19.553054066809999</v>
      </c>
      <c r="AG2336">
        <v>2.154525</v>
      </c>
      <c r="AH2336">
        <v>99.636684343423596</v>
      </c>
      <c r="AI2336">
        <v>88.784418515539599</v>
      </c>
      <c r="AJ2336">
        <v>78.897168362993895</v>
      </c>
      <c r="AK2336">
        <v>101.55999590520901</v>
      </c>
      <c r="AL2336">
        <v>95.154341200805106</v>
      </c>
      <c r="AM2336">
        <v>92.291983068101104</v>
      </c>
      <c r="AN2336">
        <v>1.00000005751037</v>
      </c>
    </row>
    <row r="2337" spans="1:40" x14ac:dyDescent="0.25">
      <c r="A2337" t="str">
        <f>"20190305135631386"</f>
        <v>20190305135631386</v>
      </c>
      <c r="B2337" t="str">
        <f>"1551765391384811"</f>
        <v>1551765391384811</v>
      </c>
      <c r="C2337" t="s">
        <v>40</v>
      </c>
      <c r="D2337">
        <v>4.549919</v>
      </c>
      <c r="E2337">
        <v>0.58871569999999995</v>
      </c>
      <c r="F2337" t="s">
        <v>71</v>
      </c>
      <c r="G2337">
        <v>-235.91149999999999</v>
      </c>
      <c r="H2337">
        <v>2.7908140000000001</v>
      </c>
      <c r="I2337">
        <v>197.44730000000001</v>
      </c>
      <c r="J2337">
        <v>-335.77890000000002</v>
      </c>
      <c r="K2337">
        <v>1.1083069999999999</v>
      </c>
      <c r="L2337">
        <v>215.49770000000001</v>
      </c>
      <c r="M2337">
        <v>0.99985670000000004</v>
      </c>
      <c r="N2337">
        <v>-1.4244710000000001E-2</v>
      </c>
      <c r="O2337">
        <v>9.1506999999999995E-3</v>
      </c>
      <c r="P2337">
        <v>0.99341840000000003</v>
      </c>
      <c r="Q2337">
        <v>-0.103767</v>
      </c>
      <c r="R2337">
        <v>4.8503400000000002E-2</v>
      </c>
      <c r="S2337">
        <v>3.0524900000000001</v>
      </c>
      <c r="T2337">
        <v>5.1189779999999997E-2</v>
      </c>
      <c r="U2337">
        <v>-0.54902649999999997</v>
      </c>
      <c r="V2337">
        <v>-3.944918E-2</v>
      </c>
      <c r="W2337">
        <v>-8.9582609999999993E-2</v>
      </c>
      <c r="X2337">
        <v>0.99519780000000002</v>
      </c>
      <c r="Y2337">
        <v>0.18601329999999999</v>
      </c>
      <c r="Z2337">
        <v>4.9323889999999999E-4</v>
      </c>
      <c r="AA2337">
        <v>0.98254710000000001</v>
      </c>
      <c r="AB2337">
        <v>47</v>
      </c>
      <c r="AC2337">
        <v>99.867400000000004</v>
      </c>
      <c r="AD2337">
        <v>1.682507</v>
      </c>
      <c r="AE2337">
        <v>-18.0504</v>
      </c>
      <c r="AF2337">
        <v>18.9583825916359</v>
      </c>
      <c r="AG2337">
        <v>1.682507</v>
      </c>
      <c r="AH2337">
        <v>99.670632215195397</v>
      </c>
      <c r="AI2337">
        <v>89.049931547918305</v>
      </c>
      <c r="AJ2337">
        <v>79.230402918437505</v>
      </c>
      <c r="AK2337">
        <v>101.471602069114</v>
      </c>
      <c r="AL2337">
        <v>95.139595559562807</v>
      </c>
      <c r="AM2337">
        <v>92.269989729258796</v>
      </c>
      <c r="AN2337">
        <v>0.99999997147096098</v>
      </c>
    </row>
    <row r="2338" spans="1:40" x14ac:dyDescent="0.25">
      <c r="A2338" t="str">
        <f>"20190305135631408"</f>
        <v>20190305135631408</v>
      </c>
      <c r="B2338" t="str">
        <f>"1551765391404332"</f>
        <v>1551765391404332</v>
      </c>
      <c r="C2338" t="s">
        <v>40</v>
      </c>
      <c r="D2338">
        <v>4.6787609999999997</v>
      </c>
      <c r="E2338">
        <v>0.58723429999999999</v>
      </c>
      <c r="F2338" t="s">
        <v>71</v>
      </c>
      <c r="G2338">
        <v>-235.20490000000001</v>
      </c>
      <c r="H2338">
        <v>2.5887920000000002</v>
      </c>
      <c r="I2338">
        <v>197.7757</v>
      </c>
      <c r="J2338">
        <v>-335.34309999999999</v>
      </c>
      <c r="K2338">
        <v>1.1082959999999999</v>
      </c>
      <c r="L2338">
        <v>215.50149999999999</v>
      </c>
      <c r="M2338">
        <v>0.99985749999999995</v>
      </c>
      <c r="N2338">
        <v>-1.430989E-2</v>
      </c>
      <c r="O2338">
        <v>8.9650979999999995E-3</v>
      </c>
      <c r="P2338">
        <v>0.99374560000000001</v>
      </c>
      <c r="Q2338">
        <v>-0.1011973</v>
      </c>
      <c r="R2338">
        <v>4.7214239999999998E-2</v>
      </c>
      <c r="S2338">
        <v>3.0508419999999998</v>
      </c>
      <c r="T2338">
        <v>4.4912220000000003E-2</v>
      </c>
      <c r="U2338">
        <v>-0.53758240000000002</v>
      </c>
      <c r="V2338">
        <v>-3.8346779999999997E-2</v>
      </c>
      <c r="W2338">
        <v>-8.6941669999999999E-2</v>
      </c>
      <c r="X2338">
        <v>0.99547509999999995</v>
      </c>
      <c r="Y2338">
        <v>0.1823535</v>
      </c>
      <c r="Z2338">
        <v>2.753993E-4</v>
      </c>
      <c r="AA2338">
        <v>0.98323300000000002</v>
      </c>
      <c r="AB2338">
        <v>47</v>
      </c>
      <c r="AC2338">
        <v>100.138199999999</v>
      </c>
      <c r="AD2338">
        <v>1.48049599999999</v>
      </c>
      <c r="AE2338">
        <v>-17.7257999999999</v>
      </c>
      <c r="AF2338">
        <v>18.6189820034006</v>
      </c>
      <c r="AG2338">
        <v>1.48049599999999</v>
      </c>
      <c r="AH2338">
        <v>99.954060700273203</v>
      </c>
      <c r="AI2338">
        <v>89.165758438883202</v>
      </c>
      <c r="AJ2338">
        <v>79.448141551633697</v>
      </c>
      <c r="AK2338">
        <v>101.684180725041</v>
      </c>
      <c r="AL2338">
        <v>94.987687788011101</v>
      </c>
      <c r="AM2338">
        <v>92.2060048256089</v>
      </c>
      <c r="AN2338">
        <v>1.00000000211938</v>
      </c>
    </row>
    <row r="2339" spans="1:40" x14ac:dyDescent="0.25">
      <c r="A2339" t="str">
        <f>"20190305135631428"</f>
        <v>20190305135631428</v>
      </c>
      <c r="B2339" t="str">
        <f>"1551765391424827"</f>
        <v>1551765391424827</v>
      </c>
      <c r="C2339" t="s">
        <v>40</v>
      </c>
      <c r="D2339">
        <v>4.6873339999999999</v>
      </c>
      <c r="E2339">
        <v>0.5859491</v>
      </c>
      <c r="F2339" t="s">
        <v>70</v>
      </c>
      <c r="G2339">
        <v>-168.41829999999999</v>
      </c>
      <c r="H2339">
        <v>3.4816470000000002</v>
      </c>
      <c r="I2339">
        <v>186.41569999999999</v>
      </c>
      <c r="J2339">
        <v>-334.88760000000002</v>
      </c>
      <c r="K2339">
        <v>1.1082730000000001</v>
      </c>
      <c r="L2339">
        <v>215.50540000000001</v>
      </c>
      <c r="M2339">
        <v>0.99985869999999999</v>
      </c>
      <c r="N2339">
        <v>-1.4369420000000001E-2</v>
      </c>
      <c r="O2339">
        <v>8.7254629999999993E-3</v>
      </c>
      <c r="P2339">
        <v>0.99387340000000002</v>
      </c>
      <c r="Q2339">
        <v>-0.1001187</v>
      </c>
      <c r="R2339">
        <v>4.6818989999999998E-2</v>
      </c>
      <c r="S2339">
        <v>3.0485229999999999</v>
      </c>
      <c r="T2339">
        <v>4.334474E-2</v>
      </c>
      <c r="U2339">
        <v>-0.53118900000000002</v>
      </c>
      <c r="V2339">
        <v>-3.8196290000000001E-2</v>
      </c>
      <c r="W2339">
        <v>-8.5798630000000001E-2</v>
      </c>
      <c r="X2339">
        <v>0.99558009999999997</v>
      </c>
      <c r="Y2339">
        <v>0.18024560000000001</v>
      </c>
      <c r="Z2339">
        <v>2.14549E-4</v>
      </c>
      <c r="AA2339">
        <v>0.98362159999999998</v>
      </c>
      <c r="AB2339">
        <v>47</v>
      </c>
      <c r="AC2339">
        <v>166.4693</v>
      </c>
      <c r="AD2339">
        <v>2.3733740000000001</v>
      </c>
      <c r="AE2339">
        <v>-29.089700000000001</v>
      </c>
      <c r="AF2339">
        <v>30.5352412183328</v>
      </c>
      <c r="AG2339">
        <v>2.3733740000000001</v>
      </c>
      <c r="AH2339">
        <v>166.176337233379</v>
      </c>
      <c r="AI2339">
        <v>89.195214403378898</v>
      </c>
      <c r="AJ2339">
        <v>79.587933814754606</v>
      </c>
      <c r="AK2339">
        <v>168.97517248610001</v>
      </c>
      <c r="AL2339">
        <v>94.921950536227598</v>
      </c>
      <c r="AM2339">
        <v>92.197124454682594</v>
      </c>
      <c r="AN2339">
        <v>1.00000004849782</v>
      </c>
    </row>
    <row r="2340" spans="1:40" x14ac:dyDescent="0.25">
      <c r="A2340" t="str">
        <f>"20190305135631453"</f>
        <v>20190305135631453</v>
      </c>
      <c r="B2340" t="str">
        <f>"1551765391444348"</f>
        <v>1551765391444348</v>
      </c>
      <c r="C2340" t="s">
        <v>40</v>
      </c>
      <c r="D2340">
        <v>4.6653289999999998</v>
      </c>
      <c r="E2340">
        <v>0.58471359999999994</v>
      </c>
      <c r="F2340" t="s">
        <v>70</v>
      </c>
      <c r="G2340">
        <v>-168.41810000000001</v>
      </c>
      <c r="H2340">
        <v>3.3416320000000002</v>
      </c>
      <c r="I2340">
        <v>186.9872</v>
      </c>
      <c r="J2340">
        <v>-334.38749999999999</v>
      </c>
      <c r="K2340">
        <v>1.1082339999999999</v>
      </c>
      <c r="L2340">
        <v>215.5095</v>
      </c>
      <c r="M2340">
        <v>0.99986070000000005</v>
      </c>
      <c r="N2340">
        <v>-1.4422620000000001E-2</v>
      </c>
      <c r="O2340">
        <v>8.3982669999999992E-3</v>
      </c>
      <c r="P2340">
        <v>0.99412199999999995</v>
      </c>
      <c r="Q2340">
        <v>-9.7922739999999994E-2</v>
      </c>
      <c r="R2340">
        <v>4.6183120000000001E-2</v>
      </c>
      <c r="S2340">
        <v>3.04718</v>
      </c>
      <c r="T2340">
        <v>4.0881630000000002E-2</v>
      </c>
      <c r="U2340">
        <v>-0.52201839999999999</v>
      </c>
      <c r="V2340">
        <v>-3.7892639999999998E-2</v>
      </c>
      <c r="W2340">
        <v>-8.3541939999999995E-2</v>
      </c>
      <c r="X2340">
        <v>0.99578359999999999</v>
      </c>
      <c r="Y2340">
        <v>0.177123</v>
      </c>
      <c r="Z2340">
        <v>1.250256E-4</v>
      </c>
      <c r="AA2340">
        <v>0.98418870000000003</v>
      </c>
      <c r="AB2340">
        <v>47</v>
      </c>
      <c r="AC2340">
        <v>165.96939999999901</v>
      </c>
      <c r="AD2340">
        <v>2.23339799999999</v>
      </c>
      <c r="AE2340">
        <v>-28.522300000000001</v>
      </c>
      <c r="AF2340">
        <v>29.910033464001799</v>
      </c>
      <c r="AG2340">
        <v>2.23339799999999</v>
      </c>
      <c r="AH2340">
        <v>165.69483917727399</v>
      </c>
      <c r="AI2340">
        <v>89.240038785815997</v>
      </c>
      <c r="AJ2340">
        <v>79.767571603377505</v>
      </c>
      <c r="AK2340">
        <v>168.38758237597801</v>
      </c>
      <c r="AL2340">
        <v>94.792185745846695</v>
      </c>
      <c r="AM2340">
        <v>92.179229821695699</v>
      </c>
      <c r="AN2340">
        <v>1.0000000429670399</v>
      </c>
    </row>
    <row r="2341" spans="1:40" x14ac:dyDescent="0.25">
      <c r="A2341" t="str">
        <f>"20190305135631475"</f>
        <v>20190305135631475</v>
      </c>
      <c r="B2341" t="str">
        <f>"1551765391464846"</f>
        <v>1551765391464846</v>
      </c>
      <c r="C2341" t="s">
        <v>40</v>
      </c>
      <c r="D2341">
        <v>4.6479549999999996</v>
      </c>
      <c r="E2341">
        <v>0.58364740000000004</v>
      </c>
      <c r="F2341" t="s">
        <v>70</v>
      </c>
      <c r="G2341">
        <v>-168.4179</v>
      </c>
      <c r="H2341">
        <v>3.314111</v>
      </c>
      <c r="I2341">
        <v>187.48150000000001</v>
      </c>
      <c r="J2341">
        <v>-333.90660000000003</v>
      </c>
      <c r="K2341">
        <v>1.1081939999999999</v>
      </c>
      <c r="L2341">
        <v>215.51329999999999</v>
      </c>
      <c r="M2341">
        <v>0.99986339999999996</v>
      </c>
      <c r="N2341">
        <v>-1.4445940000000001E-2</v>
      </c>
      <c r="O2341">
        <v>8.0266250000000008E-3</v>
      </c>
      <c r="P2341">
        <v>0.9943187</v>
      </c>
      <c r="Q2341">
        <v>-9.6124730000000005E-2</v>
      </c>
      <c r="R2341">
        <v>4.5720280000000002E-2</v>
      </c>
      <c r="S2341">
        <v>3.0456240000000001</v>
      </c>
      <c r="T2341">
        <v>4.0479540000000001E-2</v>
      </c>
      <c r="U2341">
        <v>-0.51432800000000001</v>
      </c>
      <c r="V2341">
        <v>-3.7807229999999997E-2</v>
      </c>
      <c r="W2341">
        <v>-8.1713540000000001E-2</v>
      </c>
      <c r="X2341">
        <v>0.99593849999999995</v>
      </c>
      <c r="Y2341">
        <v>0.17442530000000001</v>
      </c>
      <c r="Z2341">
        <v>1.032229E-4</v>
      </c>
      <c r="AA2341">
        <v>0.98467039999999995</v>
      </c>
      <c r="AB2341">
        <v>47</v>
      </c>
      <c r="AC2341">
        <v>165.48869999999999</v>
      </c>
      <c r="AD2341">
        <v>2.2059169999999999</v>
      </c>
      <c r="AE2341">
        <v>-28.031799999999901</v>
      </c>
      <c r="AF2341">
        <v>29.354280973605899</v>
      </c>
      <c r="AG2341">
        <v>2.2059169999999999</v>
      </c>
      <c r="AH2341">
        <v>165.229804238616</v>
      </c>
      <c r="AI2341">
        <v>89.246903363193596</v>
      </c>
      <c r="AJ2341">
        <v>79.926093514111898</v>
      </c>
      <c r="AK2341">
        <v>167.83154676645199</v>
      </c>
      <c r="AL2341">
        <v>94.687066912514098</v>
      </c>
      <c r="AM2341">
        <v>92.173984706627905</v>
      </c>
      <c r="AN2341">
        <v>0.99999999252092697</v>
      </c>
    </row>
    <row r="2342" spans="1:40" x14ac:dyDescent="0.25">
      <c r="A2342" t="str">
        <f>"20190305135631497"</f>
        <v>20190305135631497</v>
      </c>
      <c r="B2342" t="str">
        <f>"1551765391484364"</f>
        <v>1551765391484364</v>
      </c>
      <c r="C2342" t="s">
        <v>40</v>
      </c>
      <c r="D2342">
        <v>4.6157500000000002</v>
      </c>
      <c r="E2342">
        <v>0.58272979999999996</v>
      </c>
      <c r="F2342" t="s">
        <v>70</v>
      </c>
      <c r="G2342">
        <v>-168.4177</v>
      </c>
      <c r="H2342">
        <v>3.23943</v>
      </c>
      <c r="I2342">
        <v>187.92490000000001</v>
      </c>
      <c r="J2342">
        <v>-333.46109999999999</v>
      </c>
      <c r="K2342">
        <v>1.108142</v>
      </c>
      <c r="L2342">
        <v>215.51650000000001</v>
      </c>
      <c r="M2342">
        <v>0.99986699999999995</v>
      </c>
      <c r="N2342">
        <v>-1.4421399999999999E-2</v>
      </c>
      <c r="O2342">
        <v>7.6403679999999998E-3</v>
      </c>
      <c r="P2342">
        <v>0.99431519999999995</v>
      </c>
      <c r="Q2342">
        <v>-9.6531829999999999E-2</v>
      </c>
      <c r="R2342">
        <v>4.493805E-2</v>
      </c>
      <c r="S2342">
        <v>3.0442809999999998</v>
      </c>
      <c r="T2342">
        <v>3.9206150000000002E-2</v>
      </c>
      <c r="U2342">
        <v>-0.50750729999999999</v>
      </c>
      <c r="V2342">
        <v>-3.7419340000000002E-2</v>
      </c>
      <c r="W2342">
        <v>-8.2141400000000003E-2</v>
      </c>
      <c r="X2342">
        <v>0.99591799999999997</v>
      </c>
      <c r="Y2342">
        <v>0.1719705</v>
      </c>
      <c r="Z2342" s="1">
        <v>5.8298699999999998E-5</v>
      </c>
      <c r="AA2342">
        <v>0.98510209999999998</v>
      </c>
      <c r="AB2342">
        <v>47</v>
      </c>
      <c r="AC2342">
        <v>165.04339999999999</v>
      </c>
      <c r="AD2342">
        <v>2.1312880000000001</v>
      </c>
      <c r="AE2342">
        <v>-27.5916</v>
      </c>
      <c r="AF2342">
        <v>28.8472379852054</v>
      </c>
      <c r="AG2342">
        <v>2.1312880000000001</v>
      </c>
      <c r="AH2342">
        <v>164.80101506923401</v>
      </c>
      <c r="AI2342">
        <v>89.270159594339006</v>
      </c>
      <c r="AJ2342">
        <v>80.071372804458605</v>
      </c>
      <c r="AK2342">
        <v>167.320291942621</v>
      </c>
      <c r="AL2342">
        <v>94.711663951252007</v>
      </c>
      <c r="AM2342">
        <v>92.151745646452</v>
      </c>
      <c r="AN2342">
        <v>1.0000000396619899</v>
      </c>
    </row>
    <row r="2343" spans="1:40" x14ac:dyDescent="0.25">
      <c r="A2343" t="str">
        <f>"20190305135631518"</f>
        <v>20190305135631518</v>
      </c>
      <c r="B2343" t="str">
        <f>"1551765391514619"</f>
        <v>1551765391514619</v>
      </c>
      <c r="C2343" t="s">
        <v>40</v>
      </c>
      <c r="D2343">
        <v>4.6376629999999999</v>
      </c>
      <c r="E2343">
        <v>0.58149249999999997</v>
      </c>
      <c r="F2343" t="s">
        <v>70</v>
      </c>
      <c r="G2343">
        <v>-168.41749999999999</v>
      </c>
      <c r="H2343">
        <v>2.8275160000000001</v>
      </c>
      <c r="I2343">
        <v>188.22219999999999</v>
      </c>
      <c r="J2343">
        <v>-333.00709999999998</v>
      </c>
      <c r="K2343">
        <v>1.108066</v>
      </c>
      <c r="L2343">
        <v>215.5197</v>
      </c>
      <c r="M2343">
        <v>0.99987210000000004</v>
      </c>
      <c r="N2343">
        <v>-1.4276840000000001E-2</v>
      </c>
      <c r="O2343">
        <v>7.2139090000000001E-3</v>
      </c>
      <c r="P2343">
        <v>0.99431009999999997</v>
      </c>
      <c r="Q2343">
        <v>-9.7140069999999995E-2</v>
      </c>
      <c r="R2343">
        <v>4.3721339999999997E-2</v>
      </c>
      <c r="S2343">
        <v>3.0429689999999998</v>
      </c>
      <c r="T2343">
        <v>3.170133E-2</v>
      </c>
      <c r="U2343">
        <v>-0.50323490000000004</v>
      </c>
      <c r="V2343">
        <v>-3.6636799999999997E-2</v>
      </c>
      <c r="W2343">
        <v>-8.2890809999999995E-2</v>
      </c>
      <c r="X2343">
        <v>0.99588500000000002</v>
      </c>
      <c r="Y2343">
        <v>0.17027519999999999</v>
      </c>
      <c r="Z2343">
        <v>-1.6585969999999999E-4</v>
      </c>
      <c r="AA2343">
        <v>0.98539650000000001</v>
      </c>
      <c r="AB2343">
        <v>47</v>
      </c>
      <c r="AC2343">
        <v>164.58959999999999</v>
      </c>
      <c r="AD2343">
        <v>1.7194499999999999</v>
      </c>
      <c r="AE2343">
        <v>-27.297499999999999</v>
      </c>
      <c r="AF2343">
        <v>28.481219770511299</v>
      </c>
      <c r="AG2343">
        <v>1.7194499999999999</v>
      </c>
      <c r="AH2343">
        <v>164.37091585843299</v>
      </c>
      <c r="AI2343">
        <v>89.409461553352202</v>
      </c>
      <c r="AJ2343">
        <v>80.1697318249484</v>
      </c>
      <c r="AK2343">
        <v>166.82905732533101</v>
      </c>
      <c r="AL2343">
        <v>94.754748922956907</v>
      </c>
      <c r="AM2343">
        <v>92.106857533191999</v>
      </c>
      <c r="AN2343">
        <v>1.00000003736084</v>
      </c>
    </row>
    <row r="2344" spans="1:40" x14ac:dyDescent="0.25">
      <c r="A2344" t="str">
        <f>"20190305135631540"</f>
        <v>20190305135631540</v>
      </c>
      <c r="B2344" t="str">
        <f>"1551765391534140"</f>
        <v>1551765391534140</v>
      </c>
      <c r="C2344" t="s">
        <v>40</v>
      </c>
      <c r="D2344">
        <v>4.5770140000000001</v>
      </c>
      <c r="E2344">
        <v>0.58073999999999903</v>
      </c>
      <c r="F2344" t="s">
        <v>70</v>
      </c>
      <c r="G2344">
        <v>-168.41720000000001</v>
      </c>
      <c r="H2344">
        <v>2.2008670000000001</v>
      </c>
      <c r="I2344">
        <v>188.5538</v>
      </c>
      <c r="J2344">
        <v>-332.52339999999998</v>
      </c>
      <c r="K2344">
        <v>1.107961</v>
      </c>
      <c r="L2344">
        <v>215.52279999999999</v>
      </c>
      <c r="M2344">
        <v>0.99987939999999997</v>
      </c>
      <c r="N2344">
        <v>-1.3994100000000001E-2</v>
      </c>
      <c r="O2344">
        <v>6.7369659999999996E-3</v>
      </c>
      <c r="P2344">
        <v>0.99439820000000001</v>
      </c>
      <c r="Q2344">
        <v>-9.6839640000000005E-2</v>
      </c>
      <c r="R2344">
        <v>4.236123E-2</v>
      </c>
      <c r="S2344">
        <v>3.0410159999999999</v>
      </c>
      <c r="T2344">
        <v>2.0191549999999999E-2</v>
      </c>
      <c r="U2344">
        <v>-0.49823000000000001</v>
      </c>
      <c r="V2344">
        <v>-3.5757860000000002E-2</v>
      </c>
      <c r="W2344">
        <v>-8.2868869999999997E-2</v>
      </c>
      <c r="X2344">
        <v>0.99591879999999999</v>
      </c>
      <c r="Y2344">
        <v>0.16832910000000001</v>
      </c>
      <c r="Z2344">
        <v>-4.9244329999999995E-4</v>
      </c>
      <c r="AA2344">
        <v>0.98573069999999896</v>
      </c>
      <c r="AB2344">
        <v>47</v>
      </c>
      <c r="AC2344">
        <v>164.10619999999901</v>
      </c>
      <c r="AD2344">
        <v>1.0929059999999899</v>
      </c>
      <c r="AE2344">
        <v>-26.968999999999902</v>
      </c>
      <c r="AF2344">
        <v>28.0728616448772</v>
      </c>
      <c r="AG2344">
        <v>1.0929059999999899</v>
      </c>
      <c r="AH2344">
        <v>163.91368931909901</v>
      </c>
      <c r="AI2344">
        <v>89.623464255408805</v>
      </c>
      <c r="AJ2344">
        <v>80.281463728191</v>
      </c>
      <c r="AK2344">
        <v>166.303871123481</v>
      </c>
      <c r="AL2344">
        <v>94.753487381240603</v>
      </c>
      <c r="AM2344">
        <v>92.056286885019006</v>
      </c>
      <c r="AN2344">
        <v>1.00000006518014</v>
      </c>
    </row>
    <row r="2345" spans="1:40" x14ac:dyDescent="0.25">
      <c r="A2345" t="str">
        <f>"20190305135631564"</f>
        <v>20190305135631564</v>
      </c>
      <c r="B2345" t="str">
        <f>"1551765391554635"</f>
        <v>1551765391554635</v>
      </c>
      <c r="C2345" t="s">
        <v>40</v>
      </c>
      <c r="D2345">
        <v>4.5946879999999997</v>
      </c>
      <c r="E2345">
        <v>0.56248089999999995</v>
      </c>
      <c r="F2345" t="s">
        <v>70</v>
      </c>
      <c r="G2345">
        <v>-168.417</v>
      </c>
      <c r="H2345">
        <v>1.9641759999999999</v>
      </c>
      <c r="I2345">
        <v>188.71350000000001</v>
      </c>
      <c r="J2345">
        <v>-332.0333</v>
      </c>
      <c r="K2345">
        <v>1.1078589999999999</v>
      </c>
      <c r="L2345">
        <v>215.5257</v>
      </c>
      <c r="M2345">
        <v>0.99988739999999998</v>
      </c>
      <c r="N2345">
        <v>-1.3654879999999999E-2</v>
      </c>
      <c r="O2345">
        <v>6.2319760000000002E-3</v>
      </c>
      <c r="P2345">
        <v>0.99444679999999996</v>
      </c>
      <c r="Q2345">
        <v>-9.6882979999999994E-2</v>
      </c>
      <c r="R2345">
        <v>4.1103670000000002E-2</v>
      </c>
      <c r="S2345">
        <v>3.039612</v>
      </c>
      <c r="T2345">
        <v>1.5859600000000001E-2</v>
      </c>
      <c r="U2345">
        <v>-0.49656679999999997</v>
      </c>
      <c r="V2345">
        <v>-3.5008310000000001E-2</v>
      </c>
      <c r="W2345">
        <v>-8.3248500000000003E-2</v>
      </c>
      <c r="X2345">
        <v>0.99591370000000001</v>
      </c>
      <c r="Y2345">
        <v>0.16737839999999901</v>
      </c>
      <c r="Z2345">
        <v>-5.9971500000000001E-4</v>
      </c>
      <c r="AA2345">
        <v>0.98589249999999995</v>
      </c>
      <c r="AB2345">
        <v>47</v>
      </c>
      <c r="AC2345">
        <v>163.6163</v>
      </c>
      <c r="AD2345">
        <v>0.85631699999999999</v>
      </c>
      <c r="AE2345">
        <v>-26.812199999999901</v>
      </c>
      <c r="AF2345">
        <v>27.830684724001301</v>
      </c>
      <c r="AG2345">
        <v>0.85631699999999999</v>
      </c>
      <c r="AH2345">
        <v>163.441653758744</v>
      </c>
      <c r="AI2345">
        <v>89.704073424842207</v>
      </c>
      <c r="AJ2345">
        <v>80.336417737392793</v>
      </c>
      <c r="AK2345">
        <v>165.79642479379399</v>
      </c>
      <c r="AL2345">
        <v>94.775314325386404</v>
      </c>
      <c r="AM2345">
        <v>92.013229508839402</v>
      </c>
      <c r="AN2345">
        <v>0.99999999618449797</v>
      </c>
    </row>
    <row r="2346" spans="1:40" x14ac:dyDescent="0.25">
      <c r="A2346" t="str">
        <f>"20190305135631586"</f>
        <v>20190305135631586</v>
      </c>
      <c r="B2346" t="str">
        <f>"1551765391574156"</f>
        <v>1551765391574156</v>
      </c>
      <c r="C2346" t="s">
        <v>40</v>
      </c>
      <c r="D2346">
        <v>4.6285639999999999</v>
      </c>
      <c r="E2346">
        <v>0.56206959999999995</v>
      </c>
      <c r="F2346" t="s">
        <v>61</v>
      </c>
      <c r="G2346">
        <v>-309.91329999999999</v>
      </c>
      <c r="H2346" s="1">
        <v>8.948087E-7</v>
      </c>
      <c r="I2346">
        <v>212.8433</v>
      </c>
      <c r="J2346">
        <v>-331.55610000000001</v>
      </c>
      <c r="K2346">
        <v>1.1077709999999901</v>
      </c>
      <c r="L2346">
        <v>215.5283</v>
      </c>
      <c r="M2346">
        <v>0.99989479999999997</v>
      </c>
      <c r="N2346">
        <v>-1.333284E-2</v>
      </c>
      <c r="O2346">
        <v>5.7246409999999999E-3</v>
      </c>
      <c r="P2346">
        <v>0.99447430000000003</v>
      </c>
      <c r="Q2346">
        <v>-9.710415E-2</v>
      </c>
      <c r="R2346">
        <v>3.9898959999999997E-2</v>
      </c>
      <c r="S2346">
        <v>3.0171199999999998</v>
      </c>
      <c r="T2346">
        <v>-0.1511091</v>
      </c>
      <c r="U2346">
        <v>-0.36587520000000001</v>
      </c>
      <c r="V2346">
        <v>-3.4311979999999999E-2</v>
      </c>
      <c r="W2346">
        <v>-8.3789799999999998E-2</v>
      </c>
      <c r="X2346">
        <v>0.99589249999999996</v>
      </c>
      <c r="Y2346">
        <v>0.1258648</v>
      </c>
      <c r="Z2346">
        <v>-4.1907769999999997E-3</v>
      </c>
      <c r="AA2346">
        <v>0.99203850000000005</v>
      </c>
      <c r="AB2346">
        <v>47</v>
      </c>
      <c r="AC2346">
        <v>21.642800000000001</v>
      </c>
      <c r="AD2346">
        <v>-1.10777010519129</v>
      </c>
      <c r="AE2346">
        <v>-2.6850000000000001</v>
      </c>
      <c r="AF2346">
        <v>2.80163571701573</v>
      </c>
      <c r="AG2346">
        <v>-1.10777010519129</v>
      </c>
      <c r="AH2346">
        <v>21.571416526684501</v>
      </c>
      <c r="AI2346">
        <v>92.915320319325204</v>
      </c>
      <c r="AJ2346">
        <v>82.600005564299806</v>
      </c>
      <c r="AK2346">
        <v>21.780778871852299</v>
      </c>
      <c r="AL2346">
        <v>94.806437458058994</v>
      </c>
      <c r="AM2346">
        <v>91.973259475461802</v>
      </c>
      <c r="AN2346">
        <v>0.99999995705590405</v>
      </c>
    </row>
    <row r="2347" spans="1:40" x14ac:dyDescent="0.25">
      <c r="A2347" t="str">
        <f>"20190305135631607"</f>
        <v>20190305135631607</v>
      </c>
      <c r="B2347" t="str">
        <f>"1551765391604412"</f>
        <v>1551765391604412</v>
      </c>
      <c r="C2347" t="s">
        <v>40</v>
      </c>
      <c r="D2347">
        <v>4.4615309999999999</v>
      </c>
      <c r="E2347">
        <v>0.56406750000000005</v>
      </c>
      <c r="F2347" t="s">
        <v>61</v>
      </c>
      <c r="G2347">
        <v>-309.77190000000002</v>
      </c>
      <c r="H2347" s="1">
        <v>9.1988650000000002E-7</v>
      </c>
      <c r="I2347">
        <v>212.88300000000001</v>
      </c>
      <c r="J2347">
        <v>-331.1189</v>
      </c>
      <c r="K2347">
        <v>1.1077049999999999</v>
      </c>
      <c r="L2347">
        <v>215.53049999999999</v>
      </c>
      <c r="M2347">
        <v>0.99990100000000004</v>
      </c>
      <c r="N2347">
        <v>-1.3058810000000001E-2</v>
      </c>
      <c r="O2347">
        <v>5.2518469999999996E-3</v>
      </c>
      <c r="P2347">
        <v>0.99445830000000002</v>
      </c>
      <c r="Q2347">
        <v>-9.7395060000000006E-2</v>
      </c>
      <c r="R2347">
        <v>3.958602E-2</v>
      </c>
      <c r="S2347">
        <v>3.0163880000000001</v>
      </c>
      <c r="T2347">
        <v>-0.15338950000000001</v>
      </c>
      <c r="U2347">
        <v>-0.36628719999999998</v>
      </c>
      <c r="V2347">
        <v>-3.4472740000000002E-2</v>
      </c>
      <c r="W2347">
        <v>-8.4352720000000006E-2</v>
      </c>
      <c r="X2347">
        <v>0.99583949999999999</v>
      </c>
      <c r="Y2347">
        <v>0.125554</v>
      </c>
      <c r="Z2347">
        <v>-4.1997529999999996E-3</v>
      </c>
      <c r="AA2347">
        <v>0.99207789999999996</v>
      </c>
      <c r="AB2347">
        <v>47</v>
      </c>
      <c r="AC2347">
        <v>21.346999999999898</v>
      </c>
      <c r="AD2347">
        <v>-1.1077040801135001</v>
      </c>
      <c r="AE2347">
        <v>-2.6475</v>
      </c>
      <c r="AF2347">
        <v>2.7522856384594299</v>
      </c>
      <c r="AG2347">
        <v>-1.1077040801135001</v>
      </c>
      <c r="AH2347">
        <v>21.276378906751098</v>
      </c>
      <c r="AI2347">
        <v>92.955694758766697</v>
      </c>
      <c r="AJ2347">
        <v>82.629221519713695</v>
      </c>
      <c r="AK2347">
        <v>21.482234147043801</v>
      </c>
      <c r="AL2347">
        <v>94.838804633342093</v>
      </c>
      <c r="AM2347">
        <v>91.982602744624401</v>
      </c>
      <c r="AN2347">
        <v>1.00000003046737</v>
      </c>
    </row>
    <row r="2348" spans="1:40" x14ac:dyDescent="0.25">
      <c r="A2348" t="str">
        <f>"20190305135631629"</f>
        <v>20190305135631629</v>
      </c>
      <c r="B2348" t="str">
        <f>"1551765391624908"</f>
        <v>1551765391624908</v>
      </c>
      <c r="C2348" t="s">
        <v>40</v>
      </c>
      <c r="D2348">
        <v>4.3983780000000001</v>
      </c>
      <c r="E2348">
        <v>0.57043239999999995</v>
      </c>
      <c r="F2348" t="s">
        <v>61</v>
      </c>
      <c r="G2348">
        <v>-305.1782</v>
      </c>
      <c r="H2348" s="1">
        <v>1.734729E-6</v>
      </c>
      <c r="I2348">
        <v>212.2551</v>
      </c>
      <c r="J2348">
        <v>-330.64569999999998</v>
      </c>
      <c r="K2348">
        <v>1.10764</v>
      </c>
      <c r="L2348">
        <v>215.53270000000001</v>
      </c>
      <c r="M2348">
        <v>0.99990710000000005</v>
      </c>
      <c r="N2348">
        <v>-1.278406E-2</v>
      </c>
      <c r="O2348">
        <v>4.7389340000000002E-3</v>
      </c>
      <c r="P2348">
        <v>0.99395529999999999</v>
      </c>
      <c r="Q2348">
        <v>-0.1028901</v>
      </c>
      <c r="R2348">
        <v>3.8297110000000002E-2</v>
      </c>
      <c r="S2348">
        <v>3.0192260000000002</v>
      </c>
      <c r="T2348">
        <v>-0.12892529999999999</v>
      </c>
      <c r="U2348">
        <v>-0.3812256</v>
      </c>
      <c r="V2348">
        <v>-3.3707719999999997E-2</v>
      </c>
      <c r="W2348">
        <v>-9.012742E-2</v>
      </c>
      <c r="X2348">
        <v>0.99535969999999996</v>
      </c>
      <c r="Y2348">
        <v>0.12981799999999999</v>
      </c>
      <c r="Z2348">
        <v>-3.7342679999999998E-3</v>
      </c>
      <c r="AA2348">
        <v>0.99153080000000005</v>
      </c>
      <c r="AB2348">
        <v>47</v>
      </c>
      <c r="AC2348">
        <v>25.467499999999902</v>
      </c>
      <c r="AD2348">
        <v>-1.107638265271</v>
      </c>
      <c r="AE2348">
        <v>-3.2776000000000001</v>
      </c>
      <c r="AF2348">
        <v>3.39195026444095</v>
      </c>
      <c r="AG2348">
        <v>-1.107638265271</v>
      </c>
      <c r="AH2348">
        <v>25.404409028280998</v>
      </c>
      <c r="AI2348">
        <v>92.474596102625597</v>
      </c>
      <c r="AJ2348">
        <v>82.394951371762502</v>
      </c>
      <c r="AK2348">
        <v>25.6537753011002</v>
      </c>
      <c r="AL2348">
        <v>95.170937264584396</v>
      </c>
      <c r="AM2348">
        <v>91.939572504793603</v>
      </c>
      <c r="AN2348">
        <v>1.00000004730377</v>
      </c>
    </row>
    <row r="2349" spans="1:40" x14ac:dyDescent="0.25">
      <c r="A2349" t="str">
        <f>"20190305135631653"</f>
        <v>20190305135631653</v>
      </c>
      <c r="B2349" t="str">
        <f>"1551765391644428"</f>
        <v>1551765391644428</v>
      </c>
      <c r="C2349" t="s">
        <v>40</v>
      </c>
      <c r="D2349">
        <v>4.440239</v>
      </c>
      <c r="E2349">
        <v>0.57448900000000003</v>
      </c>
      <c r="F2349" t="s">
        <v>61</v>
      </c>
      <c r="G2349">
        <v>-293.4819</v>
      </c>
      <c r="H2349" s="1">
        <v>1.512049E-6</v>
      </c>
      <c r="I2349">
        <v>210.23070000000001</v>
      </c>
      <c r="J2349">
        <v>-330.1386</v>
      </c>
      <c r="K2349">
        <v>1.1075889999999999</v>
      </c>
      <c r="L2349">
        <v>215.53479999999999</v>
      </c>
      <c r="M2349">
        <v>0.99991289999999999</v>
      </c>
      <c r="N2349">
        <v>-1.252667E-2</v>
      </c>
      <c r="O2349">
        <v>4.1948209999999996E-3</v>
      </c>
      <c r="P2349">
        <v>0.99378580000000005</v>
      </c>
      <c r="Q2349">
        <v>-0.1048602</v>
      </c>
      <c r="R2349">
        <v>3.7345299999999998E-2</v>
      </c>
      <c r="S2349">
        <v>3.0255429999999999</v>
      </c>
      <c r="T2349">
        <v>-9.0174199999999996E-2</v>
      </c>
      <c r="U2349">
        <v>-0.43164059999999999</v>
      </c>
      <c r="V2349">
        <v>-3.3305050000000003E-2</v>
      </c>
      <c r="W2349">
        <v>-9.235496E-2</v>
      </c>
      <c r="X2349">
        <v>0.99516899999999997</v>
      </c>
      <c r="Y2349">
        <v>0.14529639999999999</v>
      </c>
      <c r="Z2349">
        <v>-3.1408949999999999E-3</v>
      </c>
      <c r="AA2349">
        <v>0.98938320000000002</v>
      </c>
      <c r="AB2349">
        <v>47</v>
      </c>
      <c r="AC2349">
        <v>36.656700000000001</v>
      </c>
      <c r="AD2349">
        <v>-1.1075874879509999</v>
      </c>
      <c r="AE2349">
        <v>-5.3040999999999698</v>
      </c>
      <c r="AF2349">
        <v>5.4529574509396497</v>
      </c>
      <c r="AG2349">
        <v>-1.1075874879509999</v>
      </c>
      <c r="AH2349">
        <v>36.601395789374102</v>
      </c>
      <c r="AI2349">
        <v>91.714377134110407</v>
      </c>
      <c r="AJ2349">
        <v>81.526273797436204</v>
      </c>
      <c r="AK2349">
        <v>37.021934967470798</v>
      </c>
      <c r="AL2349">
        <v>95.299100759996094</v>
      </c>
      <c r="AM2349">
        <v>91.916786854077401</v>
      </c>
      <c r="AN2349">
        <v>1.00000000177655</v>
      </c>
    </row>
    <row r="2350" spans="1:40" x14ac:dyDescent="0.25">
      <c r="A2350" t="str">
        <f>"20190305135631674"</f>
        <v>20190305135631674</v>
      </c>
      <c r="B2350" t="str">
        <f>"1551765391664924"</f>
        <v>1551765391664924</v>
      </c>
      <c r="C2350" t="s">
        <v>40</v>
      </c>
      <c r="D2350">
        <v>4.4385500000000002</v>
      </c>
      <c r="E2350">
        <v>0.59593890000000005</v>
      </c>
      <c r="F2350" t="s">
        <v>55</v>
      </c>
      <c r="G2350">
        <v>-277.65960000000001</v>
      </c>
      <c r="H2350">
        <v>8.0000989999999994E-2</v>
      </c>
      <c r="I2350">
        <v>207.4924</v>
      </c>
      <c r="J2350">
        <v>-329.69560000000001</v>
      </c>
      <c r="K2350">
        <v>1.1075729999999999</v>
      </c>
      <c r="L2350">
        <v>215.53630000000001</v>
      </c>
      <c r="M2350">
        <v>0.9999171</v>
      </c>
      <c r="N2350">
        <v>-1.2329039999999999E-2</v>
      </c>
      <c r="O2350">
        <v>3.7239759999999999E-3</v>
      </c>
      <c r="P2350">
        <v>0.99399280000000001</v>
      </c>
      <c r="Q2350">
        <v>-0.1034214</v>
      </c>
      <c r="R2350">
        <v>3.5810250000000002E-2</v>
      </c>
      <c r="S2350">
        <v>3.0299680000000002</v>
      </c>
      <c r="T2350">
        <v>-5.9329630000000001E-2</v>
      </c>
      <c r="U2350">
        <v>-0.46434019999999998</v>
      </c>
      <c r="V2350">
        <v>-3.2239139999999999E-2</v>
      </c>
      <c r="W2350">
        <v>-9.1110830000000004E-2</v>
      </c>
      <c r="X2350">
        <v>0.99531879999999995</v>
      </c>
      <c r="Y2350">
        <v>0.1551131</v>
      </c>
      <c r="Z2350">
        <v>-2.4984569999999999E-3</v>
      </c>
      <c r="AA2350">
        <v>0.98789360000000004</v>
      </c>
      <c r="AB2350">
        <v>47</v>
      </c>
      <c r="AC2350">
        <v>52.036000000000001</v>
      </c>
      <c r="AD2350">
        <v>-1.0275720100000001</v>
      </c>
      <c r="AE2350">
        <v>-8.0439000000000007</v>
      </c>
      <c r="AF2350">
        <v>8.2345035912601592</v>
      </c>
      <c r="AG2350">
        <v>-1.0275720100000001</v>
      </c>
      <c r="AH2350">
        <v>51.985882421810203</v>
      </c>
      <c r="AI2350">
        <v>91.118441495139294</v>
      </c>
      <c r="AJ2350">
        <v>80.999195023107703</v>
      </c>
      <c r="AK2350">
        <v>52.644039784238501</v>
      </c>
      <c r="AL2350">
        <v>95.227515383100396</v>
      </c>
      <c r="AM2350">
        <v>91.855205659962607</v>
      </c>
      <c r="AN2350">
        <v>1.0000000295623299</v>
      </c>
    </row>
    <row r="2351" spans="1:40" x14ac:dyDescent="0.25">
      <c r="A2351" t="str">
        <f>"20190305135631700"</f>
        <v>20190305135631700</v>
      </c>
      <c r="B2351" t="str">
        <f>"1551765391694204"</f>
        <v>1551765391694204</v>
      </c>
      <c r="C2351" t="s">
        <v>40</v>
      </c>
      <c r="D2351">
        <v>4.5471719999999998</v>
      </c>
      <c r="E2351">
        <v>0.60621910000000001</v>
      </c>
      <c r="F2351" t="s">
        <v>71</v>
      </c>
      <c r="G2351">
        <v>-237.21690000000001</v>
      </c>
      <c r="H2351">
        <v>3.3234430000000001</v>
      </c>
      <c r="I2351">
        <v>196.37719999999999</v>
      </c>
      <c r="J2351">
        <v>-329.1583</v>
      </c>
      <c r="K2351">
        <v>1.1075729999999999</v>
      </c>
      <c r="L2351">
        <v>215.53800000000001</v>
      </c>
      <c r="M2351">
        <v>0.99992159999999997</v>
      </c>
      <c r="N2351">
        <v>-1.213038E-2</v>
      </c>
      <c r="O2351">
        <v>3.1577229999999999E-3</v>
      </c>
      <c r="P2351">
        <v>0.99447019999999997</v>
      </c>
      <c r="Q2351">
        <v>-9.954288E-2</v>
      </c>
      <c r="R2351">
        <v>3.3472990000000001E-2</v>
      </c>
      <c r="S2351">
        <v>3.0484619999999998</v>
      </c>
      <c r="T2351">
        <v>7.3046920000000001E-2</v>
      </c>
      <c r="U2351">
        <v>-0.63156129999999999</v>
      </c>
      <c r="V2351">
        <v>-3.0461829999999999E-2</v>
      </c>
      <c r="W2351">
        <v>-8.7425970000000006E-2</v>
      </c>
      <c r="X2351">
        <v>0.99570519999999996</v>
      </c>
      <c r="Y2351">
        <v>0.205928</v>
      </c>
      <c r="Z2351">
        <v>1.291468E-3</v>
      </c>
      <c r="AA2351">
        <v>0.9785663</v>
      </c>
      <c r="AB2351">
        <v>47</v>
      </c>
      <c r="AC2351">
        <v>91.941400000000002</v>
      </c>
      <c r="AD2351">
        <v>2.2158699999999998</v>
      </c>
      <c r="AE2351">
        <v>-19.160799999999899</v>
      </c>
      <c r="AF2351">
        <v>19.4402293403509</v>
      </c>
      <c r="AG2351">
        <v>2.2158699999999998</v>
      </c>
      <c r="AH2351">
        <v>91.829313446019299</v>
      </c>
      <c r="AI2351">
        <v>88.647663225960798</v>
      </c>
      <c r="AJ2351">
        <v>78.046985745456197</v>
      </c>
      <c r="AK2351">
        <v>93.890656641806501</v>
      </c>
      <c r="AL2351">
        <v>95.015542035241296</v>
      </c>
      <c r="AM2351">
        <v>91.752315934868804</v>
      </c>
      <c r="AN2351">
        <v>1.00000003431221</v>
      </c>
    </row>
    <row r="2352" spans="1:40" x14ac:dyDescent="0.25">
      <c r="A2352" t="str">
        <f>"20190305135631718"</f>
        <v>20190305135631718</v>
      </c>
      <c r="B2352" t="str">
        <f>"1551765391714700"</f>
        <v>1551765391714700</v>
      </c>
      <c r="C2352" t="s">
        <v>40</v>
      </c>
      <c r="D2352">
        <v>4.403295</v>
      </c>
      <c r="E2352">
        <v>0.60745439999999995</v>
      </c>
      <c r="F2352" t="s">
        <v>71</v>
      </c>
      <c r="G2352">
        <v>-252.3409</v>
      </c>
      <c r="H2352">
        <v>3.5918770000000002</v>
      </c>
      <c r="I2352">
        <v>197.39609999999999</v>
      </c>
      <c r="J2352">
        <v>-328.76870000000002</v>
      </c>
      <c r="K2352">
        <v>1.107593</v>
      </c>
      <c r="L2352">
        <v>215.53899999999999</v>
      </c>
      <c r="M2352">
        <v>0.99992389999999998</v>
      </c>
      <c r="N2352">
        <v>-1.202983E-2</v>
      </c>
      <c r="O2352">
        <v>2.747958E-3</v>
      </c>
      <c r="P2352">
        <v>0.99497029999999997</v>
      </c>
      <c r="Q2352">
        <v>-9.5408569999999998E-2</v>
      </c>
      <c r="R2352">
        <v>3.051918E-2</v>
      </c>
      <c r="S2352">
        <v>3.0508120000000001</v>
      </c>
      <c r="T2352">
        <v>9.8668690000000003E-2</v>
      </c>
      <c r="U2352">
        <v>-0.72050479999999995</v>
      </c>
      <c r="V2352">
        <v>-2.7910890000000001E-2</v>
      </c>
      <c r="W2352">
        <v>-8.3389270000000001E-2</v>
      </c>
      <c r="X2352">
        <v>0.99612610000000001</v>
      </c>
      <c r="Y2352">
        <v>0.23244580000000001</v>
      </c>
      <c r="Z2352">
        <v>2.409801E-3</v>
      </c>
      <c r="AA2352">
        <v>0.97260639999999998</v>
      </c>
      <c r="AB2352">
        <v>47</v>
      </c>
      <c r="AC2352">
        <v>76.427800000000005</v>
      </c>
      <c r="AD2352">
        <v>2.4842840000000002</v>
      </c>
      <c r="AE2352">
        <v>-18.142900000000001</v>
      </c>
      <c r="AF2352">
        <v>18.334528691677601</v>
      </c>
      <c r="AG2352">
        <v>2.4842840000000002</v>
      </c>
      <c r="AH2352">
        <v>76.301334530498394</v>
      </c>
      <c r="AI2352">
        <v>88.186751625113104</v>
      </c>
      <c r="AJ2352">
        <v>76.488499405177706</v>
      </c>
      <c r="AK2352">
        <v>78.512548426819194</v>
      </c>
      <c r="AL2352">
        <v>94.783407987640402</v>
      </c>
      <c r="AM2352">
        <v>91.604975412335605</v>
      </c>
      <c r="AN2352">
        <v>0.99999999761646696</v>
      </c>
    </row>
    <row r="2353" spans="1:40" x14ac:dyDescent="0.25">
      <c r="A2353" t="str">
        <f>"20190305135631743"</f>
        <v>20190305135631743</v>
      </c>
      <c r="B2353" t="str">
        <f>"1551765391734220"</f>
        <v>1551765391734220</v>
      </c>
      <c r="C2353" t="s">
        <v>40</v>
      </c>
      <c r="D2353">
        <v>4.567704</v>
      </c>
      <c r="E2353">
        <v>0.60857919999999999</v>
      </c>
      <c r="F2353" t="s">
        <v>71</v>
      </c>
      <c r="G2353">
        <v>-252.74270000000001</v>
      </c>
      <c r="H2353">
        <v>3.998138</v>
      </c>
      <c r="I2353">
        <v>197.08789999999999</v>
      </c>
      <c r="J2353">
        <v>-328.2294</v>
      </c>
      <c r="K2353">
        <v>1.107623</v>
      </c>
      <c r="L2353">
        <v>215.5401</v>
      </c>
      <c r="M2353">
        <v>0.99992559999999997</v>
      </c>
      <c r="N2353">
        <v>-1.200534E-2</v>
      </c>
      <c r="O2353">
        <v>2.1797880000000002E-3</v>
      </c>
      <c r="P2353">
        <v>0.99525249999999998</v>
      </c>
      <c r="Q2353">
        <v>-9.3440789999999996E-2</v>
      </c>
      <c r="R2353">
        <v>2.7225160000000002E-2</v>
      </c>
      <c r="S2353">
        <v>3.0490110000000001</v>
      </c>
      <c r="T2353">
        <v>0.1159292</v>
      </c>
      <c r="U2353">
        <v>-0.73997500000000005</v>
      </c>
      <c r="V2353">
        <v>-2.518223E-2</v>
      </c>
      <c r="W2353">
        <v>-8.1446039999999997E-2</v>
      </c>
      <c r="X2353">
        <v>0.99635960000000001</v>
      </c>
      <c r="Y2353">
        <v>0.23785329999999999</v>
      </c>
      <c r="Z2353">
        <v>3.1144789999999999E-3</v>
      </c>
      <c r="AA2353">
        <v>0.9712961</v>
      </c>
      <c r="AB2353">
        <v>47</v>
      </c>
      <c r="AC2353">
        <v>75.4866999999999</v>
      </c>
      <c r="AD2353">
        <v>2.8905150000000002</v>
      </c>
      <c r="AE2353">
        <v>-18.452200000000001</v>
      </c>
      <c r="AF2353">
        <v>18.590990835321001</v>
      </c>
      <c r="AG2353">
        <v>2.8905150000000002</v>
      </c>
      <c r="AH2353">
        <v>75.342053884383901</v>
      </c>
      <c r="AI2353">
        <v>87.866832529419398</v>
      </c>
      <c r="AJ2353">
        <v>76.138904752297194</v>
      </c>
      <c r="AK2353">
        <v>77.655682990503806</v>
      </c>
      <c r="AL2353">
        <v>94.671688871041695</v>
      </c>
      <c r="AM2353">
        <v>91.447798961182698</v>
      </c>
      <c r="AN2353">
        <v>1.0000000273258001</v>
      </c>
    </row>
    <row r="2354" spans="1:40" x14ac:dyDescent="0.25">
      <c r="A2354" t="str">
        <f>"20190305135631765"</f>
        <v>20190305135631765</v>
      </c>
      <c r="B2354" t="str">
        <f>"1551765391754716"</f>
        <v>1551765391754716</v>
      </c>
      <c r="C2354" t="s">
        <v>40</v>
      </c>
      <c r="D2354">
        <v>4.5098479999999999</v>
      </c>
      <c r="E2354">
        <v>0.60929560000000005</v>
      </c>
      <c r="F2354" t="s">
        <v>71</v>
      </c>
      <c r="G2354">
        <v>-253.09440000000001</v>
      </c>
      <c r="H2354">
        <v>4.1455659999999996</v>
      </c>
      <c r="I2354">
        <v>196.81120000000001</v>
      </c>
      <c r="J2354">
        <v>-327.76490000000001</v>
      </c>
      <c r="K2354">
        <v>1.107675</v>
      </c>
      <c r="L2354">
        <v>215.54069999999999</v>
      </c>
      <c r="M2354">
        <v>0.99992499999999995</v>
      </c>
      <c r="N2354">
        <v>-1.2133970000000001E-2</v>
      </c>
      <c r="O2354">
        <v>1.699267E-3</v>
      </c>
      <c r="P2354">
        <v>0.99517270000000002</v>
      </c>
      <c r="Q2354">
        <v>-9.5009070000000001E-2</v>
      </c>
      <c r="R2354">
        <v>2.4593199999999999E-2</v>
      </c>
      <c r="S2354">
        <v>3.0466920000000002</v>
      </c>
      <c r="T2354">
        <v>0.1231917</v>
      </c>
      <c r="U2354">
        <v>-0.75944519999999904</v>
      </c>
      <c r="V2354">
        <v>-2.303291E-2</v>
      </c>
      <c r="W2354">
        <v>-8.2889859999999996E-2</v>
      </c>
      <c r="X2354">
        <v>0.99629250000000003</v>
      </c>
      <c r="Y2354">
        <v>0.2433855</v>
      </c>
      <c r="Z2354">
        <v>3.4331940000000001E-3</v>
      </c>
      <c r="AA2354">
        <v>0.9699236</v>
      </c>
      <c r="AB2354">
        <v>47</v>
      </c>
      <c r="AC2354">
        <v>74.670500000000004</v>
      </c>
      <c r="AD2354">
        <v>3.0378910000000001</v>
      </c>
      <c r="AE2354">
        <v>-18.729499999999899</v>
      </c>
      <c r="AF2354">
        <v>18.827049699556099</v>
      </c>
      <c r="AG2354">
        <v>3.0378910000000001</v>
      </c>
      <c r="AH2354">
        <v>74.522516066080797</v>
      </c>
      <c r="AI2354">
        <v>87.736678368444998</v>
      </c>
      <c r="AJ2354">
        <v>75.821712412714305</v>
      </c>
      <c r="AK2354">
        <v>76.923936345826107</v>
      </c>
      <c r="AL2354">
        <v>94.754694507336495</v>
      </c>
      <c r="AM2354">
        <v>91.324363574608299</v>
      </c>
      <c r="AN2354">
        <v>0.99999999469506795</v>
      </c>
    </row>
    <row r="2355" spans="1:40" x14ac:dyDescent="0.25">
      <c r="A2355" t="str">
        <f>"20190305135631786"</f>
        <v>20190305135631786</v>
      </c>
      <c r="B2355" t="str">
        <f>"1551765391784973"</f>
        <v>1551765391784973</v>
      </c>
      <c r="C2355" t="s">
        <v>40</v>
      </c>
      <c r="D2355">
        <v>4.4002990000000004</v>
      </c>
      <c r="E2355">
        <v>0.60938979999999998</v>
      </c>
      <c r="F2355" t="s">
        <v>71</v>
      </c>
      <c r="G2355">
        <v>-252.1876</v>
      </c>
      <c r="H2355">
        <v>4.0630439999999997</v>
      </c>
      <c r="I2355">
        <v>196.34909999999999</v>
      </c>
      <c r="J2355">
        <v>-327.30930000000001</v>
      </c>
      <c r="K2355">
        <v>1.1077360000000001</v>
      </c>
      <c r="L2355">
        <v>215.5412</v>
      </c>
      <c r="M2355">
        <v>0.99992320000000001</v>
      </c>
      <c r="N2355">
        <v>-1.234829E-2</v>
      </c>
      <c r="O2355">
        <v>1.2317039999999999E-3</v>
      </c>
      <c r="P2355">
        <v>0.99503589999999997</v>
      </c>
      <c r="Q2355">
        <v>-9.6878969999999995E-2</v>
      </c>
      <c r="R2355">
        <v>2.2773660000000001E-2</v>
      </c>
      <c r="S2355">
        <v>3.0450439999999999</v>
      </c>
      <c r="T2355">
        <v>0.1190774</v>
      </c>
      <c r="U2355">
        <v>-0.77323909999999996</v>
      </c>
      <c r="V2355">
        <v>-2.1683040000000001E-2</v>
      </c>
      <c r="W2355">
        <v>-8.4549730000000003E-2</v>
      </c>
      <c r="X2355">
        <v>0.99618329999999999</v>
      </c>
      <c r="Y2355">
        <v>0.24719550000000001</v>
      </c>
      <c r="Z2355">
        <v>3.2679739999999999E-3</v>
      </c>
      <c r="AA2355">
        <v>0.96896009999999999</v>
      </c>
      <c r="AB2355">
        <v>47</v>
      </c>
      <c r="AC2355">
        <v>75.121700000000004</v>
      </c>
      <c r="AD2355">
        <v>2.955308</v>
      </c>
      <c r="AE2355">
        <v>-19.1921</v>
      </c>
      <c r="AF2355">
        <v>19.2566435352037</v>
      </c>
      <c r="AG2355">
        <v>2.955308</v>
      </c>
      <c r="AH2355">
        <v>74.989055835465294</v>
      </c>
      <c r="AI2355">
        <v>87.814001750703198</v>
      </c>
      <c r="AJ2355">
        <v>75.598045665418795</v>
      </c>
      <c r="AK2355">
        <v>77.478452880212402</v>
      </c>
      <c r="AL2355">
        <v>94.850133144588099</v>
      </c>
      <c r="AM2355">
        <v>91.246909621776695</v>
      </c>
      <c r="AN2355">
        <v>0.99999998913280197</v>
      </c>
    </row>
    <row r="2356" spans="1:40" x14ac:dyDescent="0.25">
      <c r="A2356" t="str">
        <f>"20190305135631808"</f>
        <v>20190305135631808</v>
      </c>
      <c r="B2356" t="str">
        <f>"1551765391804492"</f>
        <v>1551765391804492</v>
      </c>
      <c r="C2356" t="s">
        <v>40</v>
      </c>
      <c r="D2356">
        <v>4.3703969999999996</v>
      </c>
      <c r="E2356">
        <v>0.6095988</v>
      </c>
      <c r="F2356" t="s">
        <v>71</v>
      </c>
      <c r="G2356">
        <v>-253.31569999999999</v>
      </c>
      <c r="H2356">
        <v>4.2525139999999997</v>
      </c>
      <c r="I2356">
        <v>196.6422</v>
      </c>
      <c r="J2356">
        <v>-326.8553</v>
      </c>
      <c r="K2356">
        <v>1.1078190000000001</v>
      </c>
      <c r="L2356">
        <v>215.54140000000001</v>
      </c>
      <c r="M2356">
        <v>0.99992060000000005</v>
      </c>
      <c r="N2356">
        <v>-1.2580340000000001E-2</v>
      </c>
      <c r="O2356">
        <v>7.6014470000000005E-4</v>
      </c>
      <c r="P2356">
        <v>0.99521269999999995</v>
      </c>
      <c r="Q2356">
        <v>-9.5581070000000004E-2</v>
      </c>
      <c r="R2356">
        <v>2.0396299999999999E-2</v>
      </c>
      <c r="S2356">
        <v>3.0453800000000002</v>
      </c>
      <c r="T2356">
        <v>0.1294351</v>
      </c>
      <c r="U2356">
        <v>-0.77783199999999997</v>
      </c>
      <c r="V2356">
        <v>-1.9772169999999999E-2</v>
      </c>
      <c r="W2356">
        <v>-8.3021659999999997E-2</v>
      </c>
      <c r="X2356">
        <v>0.9963516</v>
      </c>
      <c r="Y2356">
        <v>0.24805949999999999</v>
      </c>
      <c r="Z2356">
        <v>3.6417039999999999E-3</v>
      </c>
      <c r="AA2356">
        <v>0.96873799999999999</v>
      </c>
      <c r="AB2356">
        <v>47</v>
      </c>
      <c r="AC2356">
        <v>73.539599999999993</v>
      </c>
      <c r="AD2356">
        <v>3.144695</v>
      </c>
      <c r="AE2356">
        <v>-18.8992</v>
      </c>
      <c r="AF2356">
        <v>18.9226417932089</v>
      </c>
      <c r="AG2356">
        <v>3.144695</v>
      </c>
      <c r="AH2356">
        <v>73.399310045386699</v>
      </c>
      <c r="AI2356">
        <v>87.624323407439903</v>
      </c>
      <c r="AJ2356">
        <v>75.543696821745101</v>
      </c>
      <c r="AK2356">
        <v>75.864446180117397</v>
      </c>
      <c r="AL2356">
        <v>94.762272075660505</v>
      </c>
      <c r="AM2356">
        <v>91.136860941756794</v>
      </c>
      <c r="AN2356">
        <v>1.0000000227791099</v>
      </c>
    </row>
    <row r="2357" spans="1:40" x14ac:dyDescent="0.25">
      <c r="A2357" t="str">
        <f>"20190305135631833"</f>
        <v>20190305135631833</v>
      </c>
      <c r="B2357" t="str">
        <f>"1551765391824012"</f>
        <v>1551765391824012</v>
      </c>
      <c r="C2357" t="s">
        <v>40</v>
      </c>
      <c r="D2357">
        <v>4.3297189999999999</v>
      </c>
      <c r="E2357">
        <v>0.60926630000000004</v>
      </c>
      <c r="F2357" t="s">
        <v>71</v>
      </c>
      <c r="G2357">
        <v>-253.45830000000001</v>
      </c>
      <c r="H2357">
        <v>4.5368389999999996</v>
      </c>
      <c r="I2357">
        <v>196.6104</v>
      </c>
      <c r="J2357">
        <v>-326.32819999999998</v>
      </c>
      <c r="K2357">
        <v>1.107883</v>
      </c>
      <c r="L2357">
        <v>215.54140000000001</v>
      </c>
      <c r="M2357">
        <v>0.99991759999999996</v>
      </c>
      <c r="N2357">
        <v>-1.283401E-2</v>
      </c>
      <c r="O2357">
        <v>2.0469809999999999E-4</v>
      </c>
      <c r="P2357">
        <v>0.99558449999999998</v>
      </c>
      <c r="Q2357">
        <v>-9.2055289999999998E-2</v>
      </c>
      <c r="R2357">
        <v>1.8360319999999999E-2</v>
      </c>
      <c r="S2357">
        <v>3.0441889999999998</v>
      </c>
      <c r="T2357">
        <v>0.14222509999999999</v>
      </c>
      <c r="U2357">
        <v>-0.78517150000000002</v>
      </c>
      <c r="V2357">
        <v>-1.828314E-2</v>
      </c>
      <c r="W2357">
        <v>-7.9241220000000001E-2</v>
      </c>
      <c r="X2357">
        <v>0.99668780000000001</v>
      </c>
      <c r="Y2357">
        <v>0.24976680000000001</v>
      </c>
      <c r="Z2357">
        <v>4.1204420000000002E-3</v>
      </c>
      <c r="AA2357">
        <v>0.96829719999999997</v>
      </c>
      <c r="AB2357">
        <v>47</v>
      </c>
      <c r="AC2357">
        <v>72.869899999999902</v>
      </c>
      <c r="AD2357">
        <v>3.4289559999999901</v>
      </c>
      <c r="AE2357">
        <v>-18.931000000000001</v>
      </c>
      <c r="AF2357">
        <v>18.9066997735173</v>
      </c>
      <c r="AG2357">
        <v>3.4289559999999901</v>
      </c>
      <c r="AH2357">
        <v>72.715192883864205</v>
      </c>
      <c r="AI2357">
        <v>87.386919696310002</v>
      </c>
      <c r="AJ2357">
        <v>75.425230539591595</v>
      </c>
      <c r="AK2357">
        <v>75.211171455531996</v>
      </c>
      <c r="AL2357">
        <v>94.544952347431106</v>
      </c>
      <c r="AM2357">
        <v>91.050910107075197</v>
      </c>
      <c r="AN2357">
        <v>1.0000000074120901</v>
      </c>
    </row>
    <row r="2358" spans="1:40" x14ac:dyDescent="0.25">
      <c r="A2358" t="str">
        <f>"20190305135631855"</f>
        <v>20190305135631855</v>
      </c>
      <c r="B2358" t="str">
        <f>"1551765391844509"</f>
        <v>1551765391844509</v>
      </c>
      <c r="C2358" t="s">
        <v>40</v>
      </c>
      <c r="D2358">
        <v>4.4335990000000001</v>
      </c>
      <c r="E2358">
        <v>0.60939359999999998</v>
      </c>
      <c r="F2358" t="s">
        <v>71</v>
      </c>
      <c r="G2358">
        <v>-253.48599999999999</v>
      </c>
      <c r="H2358">
        <v>4.681508</v>
      </c>
      <c r="I2358">
        <v>196.63630000000001</v>
      </c>
      <c r="J2358">
        <v>-325.86559999999997</v>
      </c>
      <c r="K2358">
        <v>1.107918</v>
      </c>
      <c r="L2358">
        <v>215.5411</v>
      </c>
      <c r="M2358">
        <v>0.99991490000000005</v>
      </c>
      <c r="N2358">
        <v>-1.30411E-2</v>
      </c>
      <c r="O2358">
        <v>-2.838707E-4</v>
      </c>
      <c r="P2358">
        <v>0.99562349999999999</v>
      </c>
      <c r="Q2358">
        <v>-9.1796409999999995E-2</v>
      </c>
      <c r="R2358">
        <v>1.7535390000000001E-2</v>
      </c>
      <c r="S2358">
        <v>3.0416560000000001</v>
      </c>
      <c r="T2358">
        <v>0.14922769999999999</v>
      </c>
      <c r="U2358">
        <v>-0.78941349999999999</v>
      </c>
      <c r="V2358">
        <v>-1.7943999999999901E-2</v>
      </c>
      <c r="W2358">
        <v>-7.8776100000000002E-2</v>
      </c>
      <c r="X2358">
        <v>0.99673080000000003</v>
      </c>
      <c r="Y2358">
        <v>0.25073319999999999</v>
      </c>
      <c r="Z2358">
        <v>4.3673419999999998E-3</v>
      </c>
      <c r="AA2358">
        <v>0.96804639999999997</v>
      </c>
      <c r="AB2358">
        <v>47</v>
      </c>
      <c r="AC2358">
        <v>72.379599999999897</v>
      </c>
      <c r="AD2358">
        <v>3.5735899999999998</v>
      </c>
      <c r="AE2358">
        <v>-18.904799999999899</v>
      </c>
      <c r="AF2358">
        <v>18.841255224995301</v>
      </c>
      <c r="AG2358">
        <v>3.5735899999999998</v>
      </c>
      <c r="AH2358">
        <v>72.220157378794099</v>
      </c>
      <c r="AI2358">
        <v>87.258809483441794</v>
      </c>
      <c r="AJ2358">
        <v>75.378224130823796</v>
      </c>
      <c r="AK2358">
        <v>74.722918678002003</v>
      </c>
      <c r="AL2358">
        <v>94.518219514844901</v>
      </c>
      <c r="AM2358">
        <v>91.031376192529805</v>
      </c>
      <c r="AN2358">
        <v>0.99999997436792398</v>
      </c>
    </row>
    <row r="2359" spans="1:40" x14ac:dyDescent="0.25">
      <c r="A2359" t="str">
        <f>"20190305135631877"</f>
        <v>20190305135631877</v>
      </c>
      <c r="B2359" t="str">
        <f>"1551765391874764"</f>
        <v>1551765391874764</v>
      </c>
      <c r="C2359" t="s">
        <v>40</v>
      </c>
      <c r="D2359">
        <v>4.2408489999999999</v>
      </c>
      <c r="E2359">
        <v>0.60920989999999997</v>
      </c>
      <c r="F2359" t="s">
        <v>71</v>
      </c>
      <c r="G2359">
        <v>-253.44759999999999</v>
      </c>
      <c r="H2359">
        <v>4.6409330000000004</v>
      </c>
      <c r="I2359">
        <v>196.65780000000001</v>
      </c>
      <c r="J2359">
        <v>-325.39179999999999</v>
      </c>
      <c r="K2359">
        <v>1.107934</v>
      </c>
      <c r="L2359">
        <v>215.54060000000001</v>
      </c>
      <c r="M2359">
        <v>0.99991200000000002</v>
      </c>
      <c r="N2359">
        <v>-1.3239030000000001E-2</v>
      </c>
      <c r="O2359">
        <v>-7.8181649999999904E-4</v>
      </c>
      <c r="P2359">
        <v>0.99547289999999999</v>
      </c>
      <c r="Q2359">
        <v>-9.3542189999999997E-2</v>
      </c>
      <c r="R2359">
        <v>1.6844379999999999E-2</v>
      </c>
      <c r="S2359">
        <v>3.0408330000000001</v>
      </c>
      <c r="T2359">
        <v>0.14835580000000001</v>
      </c>
      <c r="U2359">
        <v>-0.79290769999999899</v>
      </c>
      <c r="V2359">
        <v>-1.775121E-2</v>
      </c>
      <c r="W2359">
        <v>-8.0326830000000002E-2</v>
      </c>
      <c r="X2359">
        <v>0.99661049999999995</v>
      </c>
      <c r="Y2359">
        <v>0.2513611</v>
      </c>
      <c r="Z2359">
        <v>4.2878009999999999E-3</v>
      </c>
      <c r="AA2359">
        <v>0.96788390000000002</v>
      </c>
      <c r="AB2359">
        <v>47</v>
      </c>
      <c r="AC2359">
        <v>71.944199999999995</v>
      </c>
      <c r="AD2359">
        <v>3.5329989999999998</v>
      </c>
      <c r="AE2359">
        <v>-18.8828</v>
      </c>
      <c r="AF2359">
        <v>18.7841626893089</v>
      </c>
      <c r="AG2359">
        <v>3.5329989999999998</v>
      </c>
      <c r="AH2359">
        <v>71.796959181480403</v>
      </c>
      <c r="AI2359">
        <v>87.274442849724196</v>
      </c>
      <c r="AJ2359">
        <v>75.338396583896298</v>
      </c>
      <c r="AK2359">
        <v>74.297578679117095</v>
      </c>
      <c r="AL2359">
        <v>94.607352189582599</v>
      </c>
      <c r="AM2359">
        <v>91.020420594397294</v>
      </c>
      <c r="AN2359">
        <v>0.99999999689228103</v>
      </c>
    </row>
    <row r="2360" spans="1:40" x14ac:dyDescent="0.25">
      <c r="A2360" t="str">
        <f>"20190305135631901"</f>
        <v>20190305135631901</v>
      </c>
      <c r="B2360" t="str">
        <f>"1551765391894284"</f>
        <v>1551765391894284</v>
      </c>
      <c r="C2360" t="s">
        <v>40</v>
      </c>
      <c r="D2360">
        <v>4.3332680000000003</v>
      </c>
      <c r="E2360">
        <v>0.6095467</v>
      </c>
      <c r="F2360" t="s">
        <v>71</v>
      </c>
      <c r="G2360">
        <v>-253.3115</v>
      </c>
      <c r="H2360">
        <v>4.4813919999999996</v>
      </c>
      <c r="I2360">
        <v>196.72810000000001</v>
      </c>
      <c r="J2360">
        <v>-324.9513</v>
      </c>
      <c r="K2360">
        <v>1.1079349999999999</v>
      </c>
      <c r="L2360">
        <v>215.53989999999999</v>
      </c>
      <c r="M2360">
        <v>0.99990939999999995</v>
      </c>
      <c r="N2360">
        <v>-1.340891E-2</v>
      </c>
      <c r="O2360">
        <v>-1.2428539999999901E-3</v>
      </c>
      <c r="P2360">
        <v>0.99528559999999999</v>
      </c>
      <c r="Q2360">
        <v>-9.5699859999999998E-2</v>
      </c>
      <c r="R2360">
        <v>1.5763010000000001E-2</v>
      </c>
      <c r="S2360">
        <v>3.0404360000000001</v>
      </c>
      <c r="T2360">
        <v>0.14230110000000001</v>
      </c>
      <c r="U2360">
        <v>-0.7935333</v>
      </c>
      <c r="V2360">
        <v>-1.7131569999999999E-2</v>
      </c>
      <c r="W2360">
        <v>-8.2318569999999994E-2</v>
      </c>
      <c r="X2360">
        <v>0.99645879999999998</v>
      </c>
      <c r="Y2360">
        <v>0.25115310000000002</v>
      </c>
      <c r="Z2360">
        <v>3.9916960000000003E-3</v>
      </c>
      <c r="AA2360">
        <v>0.96793910000000005</v>
      </c>
      <c r="AB2360">
        <v>47</v>
      </c>
      <c r="AC2360">
        <v>71.639799999999994</v>
      </c>
      <c r="AD2360">
        <v>3.3734570000000001</v>
      </c>
      <c r="AE2360">
        <v>-18.811799999999899</v>
      </c>
      <c r="AF2360">
        <v>18.6839824440017</v>
      </c>
      <c r="AG2360">
        <v>3.3734570000000001</v>
      </c>
      <c r="AH2360">
        <v>71.514780035213803</v>
      </c>
      <c r="AI2360">
        <v>87.386858912968094</v>
      </c>
      <c r="AJ2360">
        <v>75.358159847830805</v>
      </c>
      <c r="AK2360">
        <v>73.992129146170896</v>
      </c>
      <c r="AL2360">
        <v>94.721849779170597</v>
      </c>
      <c r="AM2360">
        <v>90.984957896862497</v>
      </c>
      <c r="AN2360">
        <v>0.99999998887747399</v>
      </c>
    </row>
    <row r="2361" spans="1:40" x14ac:dyDescent="0.25">
      <c r="A2361" t="str">
        <f>"20190305135631921"</f>
        <v>20190305135631921</v>
      </c>
      <c r="B2361" t="str">
        <f>"1551765391914780"</f>
        <v>1551765391914780</v>
      </c>
      <c r="C2361" t="s">
        <v>40</v>
      </c>
      <c r="D2361">
        <v>4.1980139999999997</v>
      </c>
      <c r="E2361">
        <v>0.6098536</v>
      </c>
      <c r="F2361" t="s">
        <v>71</v>
      </c>
      <c r="G2361">
        <v>-253.29130000000001</v>
      </c>
      <c r="H2361">
        <v>4.3653870000000001</v>
      </c>
      <c r="I2361">
        <v>196.7055</v>
      </c>
      <c r="J2361">
        <v>-324.45979999999997</v>
      </c>
      <c r="K2361">
        <v>1.107928</v>
      </c>
      <c r="L2361">
        <v>215.53890000000001</v>
      </c>
      <c r="M2361">
        <v>0.99990619999999997</v>
      </c>
      <c r="N2361">
        <v>-1.3580999999999999E-2</v>
      </c>
      <c r="O2361">
        <v>-1.755644E-3</v>
      </c>
      <c r="P2361">
        <v>0.99515739999999997</v>
      </c>
      <c r="Q2361">
        <v>-9.7327849999999994E-2</v>
      </c>
      <c r="R2361">
        <v>1.375213E-2</v>
      </c>
      <c r="S2361">
        <v>3.0401609999999999</v>
      </c>
      <c r="T2361">
        <v>0.13820109999999999</v>
      </c>
      <c r="U2361">
        <v>-0.79904169999999997</v>
      </c>
      <c r="V2361">
        <v>-1.5633399999999999E-2</v>
      </c>
      <c r="W2361">
        <v>-8.3779149999999997E-2</v>
      </c>
      <c r="X2361">
        <v>0.99636170000000002</v>
      </c>
      <c r="Y2361">
        <v>0.25233240000000001</v>
      </c>
      <c r="Z2361">
        <v>3.7922049999999999E-3</v>
      </c>
      <c r="AA2361">
        <v>0.96763319999999997</v>
      </c>
      <c r="AB2361">
        <v>47</v>
      </c>
      <c r="AC2361">
        <v>71.168499999999895</v>
      </c>
      <c r="AD2361">
        <v>3.2574589999999999</v>
      </c>
      <c r="AE2361">
        <v>-18.833400000000001</v>
      </c>
      <c r="AF2361">
        <v>18.671855603391599</v>
      </c>
      <c r="AG2361">
        <v>3.2574589999999999</v>
      </c>
      <c r="AH2361">
        <v>71.0623264539133</v>
      </c>
      <c r="AI2361">
        <v>87.461477361411895</v>
      </c>
      <c r="AJ2361">
        <v>75.278123400616394</v>
      </c>
      <c r="AK2361">
        <v>73.546607480244305</v>
      </c>
      <c r="AL2361">
        <v>94.805824930781498</v>
      </c>
      <c r="AM2361">
        <v>90.898924901944497</v>
      </c>
      <c r="AN2361">
        <v>0.99999999319858601</v>
      </c>
    </row>
    <row r="2362" spans="1:40" x14ac:dyDescent="0.25">
      <c r="A2362" t="str">
        <f>"20190305135631944"</f>
        <v>20190305135631944</v>
      </c>
      <c r="B2362" t="str">
        <f>"1551765391934300"</f>
        <v>1551765391934300</v>
      </c>
      <c r="C2362" t="s">
        <v>40</v>
      </c>
      <c r="D2362">
        <v>4.1760890000000002</v>
      </c>
      <c r="E2362">
        <v>0.60987380000000002</v>
      </c>
      <c r="F2362" t="s">
        <v>71</v>
      </c>
      <c r="G2362">
        <v>-253.33109999999999</v>
      </c>
      <c r="H2362">
        <v>4.276929</v>
      </c>
      <c r="I2362">
        <v>196.63650000000001</v>
      </c>
      <c r="J2362">
        <v>-323.99439999999998</v>
      </c>
      <c r="K2362">
        <v>1.107925</v>
      </c>
      <c r="L2362">
        <v>215.5376</v>
      </c>
      <c r="M2362">
        <v>0.99990330000000005</v>
      </c>
      <c r="N2362">
        <v>-1.37269E-2</v>
      </c>
      <c r="O2362">
        <v>-2.2412930000000001E-3</v>
      </c>
      <c r="P2362">
        <v>0.99501010000000001</v>
      </c>
      <c r="Q2362">
        <v>-9.9146810000000002E-2</v>
      </c>
      <c r="R2362">
        <v>1.1175900000000001E-2</v>
      </c>
      <c r="S2362">
        <v>3.0389710000000001</v>
      </c>
      <c r="T2362">
        <v>0.1354001</v>
      </c>
      <c r="U2362">
        <v>-0.80760189999999998</v>
      </c>
      <c r="V2362">
        <v>-1.3541930000000001E-2</v>
      </c>
      <c r="W2362">
        <v>-8.5458000000000006E-2</v>
      </c>
      <c r="X2362">
        <v>0.99624970000000002</v>
      </c>
      <c r="Y2362">
        <v>0.25451099999999999</v>
      </c>
      <c r="Z2362">
        <v>3.664896E-3</v>
      </c>
      <c r="AA2362">
        <v>0.96706300000000001</v>
      </c>
      <c r="AB2362">
        <v>47</v>
      </c>
      <c r="AC2362">
        <v>70.663299999999893</v>
      </c>
      <c r="AD2362">
        <v>3.1690040000000002</v>
      </c>
      <c r="AE2362">
        <v>-18.9010999999999</v>
      </c>
      <c r="AF2362">
        <v>18.7075477795279</v>
      </c>
      <c r="AG2362">
        <v>3.1690040000000002</v>
      </c>
      <c r="AH2362">
        <v>70.573029110464105</v>
      </c>
      <c r="AI2362">
        <v>87.514647892901706</v>
      </c>
      <c r="AJ2362">
        <v>75.153452792267501</v>
      </c>
      <c r="AK2362">
        <v>73.079185600974995</v>
      </c>
      <c r="AL2362">
        <v>94.902362368598503</v>
      </c>
      <c r="AM2362">
        <v>90.778768268738204</v>
      </c>
      <c r="AN2362">
        <v>0.99999995919110596</v>
      </c>
    </row>
    <row r="2363" spans="1:40" x14ac:dyDescent="0.25">
      <c r="A2363" t="str">
        <f>"20190305135631966"</f>
        <v>20190305135631966</v>
      </c>
      <c r="B2363" t="str">
        <f>"1551765391954800"</f>
        <v>1551765391954800</v>
      </c>
      <c r="C2363" t="s">
        <v>40</v>
      </c>
      <c r="D2363">
        <v>4.1552199999999999</v>
      </c>
      <c r="E2363">
        <v>0.61014009999999996</v>
      </c>
      <c r="F2363" t="s">
        <v>71</v>
      </c>
      <c r="G2363">
        <v>-252.24170000000001</v>
      </c>
      <c r="H2363">
        <v>4.1303020000000004</v>
      </c>
      <c r="I2363">
        <v>196.24979999999999</v>
      </c>
      <c r="J2363">
        <v>-323.53789999999998</v>
      </c>
      <c r="K2363">
        <v>1.107926</v>
      </c>
      <c r="L2363">
        <v>215.53620000000001</v>
      </c>
      <c r="M2363">
        <v>0.99990040000000002</v>
      </c>
      <c r="N2363">
        <v>-1.3854440000000001E-2</v>
      </c>
      <c r="O2363">
        <v>-2.7184520000000001E-3</v>
      </c>
      <c r="P2363">
        <v>0.99494649999999996</v>
      </c>
      <c r="Q2363">
        <v>-0.1000558</v>
      </c>
      <c r="R2363">
        <v>8.4005989999999999E-3</v>
      </c>
      <c r="S2363">
        <v>3.0369570000000001</v>
      </c>
      <c r="T2363">
        <v>0.12792770000000001</v>
      </c>
      <c r="U2363">
        <v>-0.81636049999999905</v>
      </c>
      <c r="V2363">
        <v>-1.124284E-2</v>
      </c>
      <c r="W2363">
        <v>-8.6244429999999997E-2</v>
      </c>
      <c r="X2363">
        <v>0.99621059999999995</v>
      </c>
      <c r="Y2363">
        <v>0.2568318</v>
      </c>
      <c r="Z2363">
        <v>3.3526010000000002E-3</v>
      </c>
      <c r="AA2363">
        <v>0.96645029999999998</v>
      </c>
      <c r="AB2363">
        <v>47</v>
      </c>
      <c r="AC2363">
        <v>71.296199999999899</v>
      </c>
      <c r="AD2363">
        <v>3.0223759999999902</v>
      </c>
      <c r="AE2363">
        <v>-19.2864</v>
      </c>
      <c r="AF2363">
        <v>19.060577307600902</v>
      </c>
      <c r="AG2363">
        <v>3.0223759999999902</v>
      </c>
      <c r="AH2363">
        <v>71.229095359886898</v>
      </c>
      <c r="AI2363">
        <v>87.652785296662302</v>
      </c>
      <c r="AJ2363">
        <v>75.018915316656901</v>
      </c>
      <c r="AK2363">
        <v>73.797184158829893</v>
      </c>
      <c r="AL2363">
        <v>94.947588109767494</v>
      </c>
      <c r="AM2363">
        <v>90.646590124348293</v>
      </c>
      <c r="AN2363">
        <v>1.0000000313548201</v>
      </c>
    </row>
    <row r="2364" spans="1:40" x14ac:dyDescent="0.25">
      <c r="A2364" t="str">
        <f>"20190305135631988"</f>
        <v>20190305135631988</v>
      </c>
      <c r="B2364" t="str">
        <f>"1551765391984076"</f>
        <v>1551765391984076</v>
      </c>
      <c r="C2364" t="s">
        <v>40</v>
      </c>
      <c r="D2364">
        <v>4.0908220000000002</v>
      </c>
      <c r="E2364">
        <v>0.61089259999999901</v>
      </c>
      <c r="F2364" t="s">
        <v>71</v>
      </c>
      <c r="G2364">
        <v>-253.51589999999999</v>
      </c>
      <c r="H2364">
        <v>4.0401939999999996</v>
      </c>
      <c r="I2364">
        <v>196.4537</v>
      </c>
      <c r="J2364">
        <v>-323.07279999999997</v>
      </c>
      <c r="K2364">
        <v>1.1079429999999999</v>
      </c>
      <c r="L2364">
        <v>215.53460000000001</v>
      </c>
      <c r="M2364">
        <v>0.99989720000000004</v>
      </c>
      <c r="N2364">
        <v>-1.39696E-2</v>
      </c>
      <c r="O2364">
        <v>-3.2051689999999999E-3</v>
      </c>
      <c r="P2364">
        <v>0.99507250000000003</v>
      </c>
      <c r="Q2364">
        <v>-9.89091E-2</v>
      </c>
      <c r="R2364">
        <v>6.8953599999999997E-3</v>
      </c>
      <c r="S2364">
        <v>3.0350039999999998</v>
      </c>
      <c r="T2364">
        <v>0.12709960000000001</v>
      </c>
      <c r="U2364">
        <v>-0.82710269999999997</v>
      </c>
      <c r="V2364">
        <v>-1.0219779999999999E-2</v>
      </c>
      <c r="W2364">
        <v>-8.4983009999999998E-2</v>
      </c>
      <c r="X2364">
        <v>0.99633000000000005</v>
      </c>
      <c r="Y2364">
        <v>0.25970529999999997</v>
      </c>
      <c r="Z2364">
        <v>3.3156090000000002E-3</v>
      </c>
      <c r="AA2364">
        <v>0.96568229999999999</v>
      </c>
      <c r="AB2364">
        <v>47</v>
      </c>
      <c r="AC2364">
        <v>69.556899999999899</v>
      </c>
      <c r="AD2364">
        <v>2.9322509999999999</v>
      </c>
      <c r="AE2364">
        <v>-19.0809</v>
      </c>
      <c r="AF2364">
        <v>18.826722389318899</v>
      </c>
      <c r="AG2364">
        <v>2.9322509999999999</v>
      </c>
      <c r="AH2364">
        <v>69.502834135281404</v>
      </c>
      <c r="AI2364">
        <v>87.668122306018603</v>
      </c>
      <c r="AJ2364">
        <v>74.843598587852497</v>
      </c>
      <c r="AK2364">
        <v>72.067243076781594</v>
      </c>
      <c r="AL2364">
        <v>94.875047818674105</v>
      </c>
      <c r="AM2364">
        <v>90.587686536259298</v>
      </c>
      <c r="AN2364">
        <v>1.00000001239595</v>
      </c>
    </row>
    <row r="2365" spans="1:40" x14ac:dyDescent="0.25">
      <c r="A2365" t="str">
        <f>"20190305135632012"</f>
        <v>20190305135632012</v>
      </c>
      <c r="B2365" t="str">
        <f>"1551765392004573"</f>
        <v>1551765392004573</v>
      </c>
      <c r="C2365" t="s">
        <v>40</v>
      </c>
      <c r="D2365">
        <v>4.1141909999999999</v>
      </c>
      <c r="E2365">
        <v>0.61144670000000001</v>
      </c>
      <c r="F2365" t="s">
        <v>71</v>
      </c>
      <c r="G2365">
        <v>-253.66589999999999</v>
      </c>
      <c r="H2365">
        <v>4.1856929999999997</v>
      </c>
      <c r="I2365">
        <v>196.3621</v>
      </c>
      <c r="J2365">
        <v>-322.5763</v>
      </c>
      <c r="K2365">
        <v>1.10796299999999</v>
      </c>
      <c r="L2365">
        <v>215.5326</v>
      </c>
      <c r="M2365">
        <v>0.99989410000000001</v>
      </c>
      <c r="N2365">
        <v>-1.407685E-2</v>
      </c>
      <c r="O2365">
        <v>-3.7259160000000001E-3</v>
      </c>
      <c r="P2365">
        <v>0.99517509999999998</v>
      </c>
      <c r="Q2365">
        <v>-9.7941059999999996E-2</v>
      </c>
      <c r="R2365">
        <v>5.8769750000000004E-3</v>
      </c>
      <c r="S2365">
        <v>3.0340579999999999</v>
      </c>
      <c r="T2365">
        <v>0.13454569999999999</v>
      </c>
      <c r="U2365">
        <v>-0.83810419999999997</v>
      </c>
      <c r="V2365">
        <v>-9.7175549999999992E-3</v>
      </c>
      <c r="W2365">
        <v>-8.3907599999999999E-2</v>
      </c>
      <c r="X2365">
        <v>0.99642620000000004</v>
      </c>
      <c r="Y2365">
        <v>0.2625131</v>
      </c>
      <c r="Z2365">
        <v>3.6150969999999998E-3</v>
      </c>
      <c r="AA2365">
        <v>0.96492169999999999</v>
      </c>
      <c r="AB2365">
        <v>47</v>
      </c>
      <c r="AC2365">
        <v>68.910399999999996</v>
      </c>
      <c r="AD2365">
        <v>3.0777299999999999</v>
      </c>
      <c r="AE2365">
        <v>-19.170500000000001</v>
      </c>
      <c r="AF2365">
        <v>18.8786338312804</v>
      </c>
      <c r="AG2365">
        <v>3.0777299999999999</v>
      </c>
      <c r="AH2365">
        <v>68.853875151787406</v>
      </c>
      <c r="AI2365">
        <v>87.531597390870004</v>
      </c>
      <c r="AJ2365">
        <v>74.667221770643906</v>
      </c>
      <c r="AK2365">
        <v>71.461397696283498</v>
      </c>
      <c r="AL2365">
        <v>94.813210333266298</v>
      </c>
      <c r="AM2365">
        <v>90.558754113624104</v>
      </c>
      <c r="AN2365">
        <v>1.0000000441296799</v>
      </c>
    </row>
    <row r="2366" spans="1:40" x14ac:dyDescent="0.25">
      <c r="A2366" t="str">
        <f>"20190305135632032"</f>
        <v>20190305135632032</v>
      </c>
      <c r="B2366" t="str">
        <f>"1551765392024092"</f>
        <v>1551765392024092</v>
      </c>
      <c r="C2366" t="s">
        <v>40</v>
      </c>
      <c r="D2366">
        <v>4.09314</v>
      </c>
      <c r="E2366">
        <v>0.61190339999999999</v>
      </c>
      <c r="F2366" t="s">
        <v>71</v>
      </c>
      <c r="G2366">
        <v>-252.33170000000001</v>
      </c>
      <c r="H2366">
        <v>4.3867450000000003</v>
      </c>
      <c r="I2366">
        <v>195.95500000000001</v>
      </c>
      <c r="J2366">
        <v>-322.11939999999998</v>
      </c>
      <c r="K2366">
        <v>1.1079810000000001</v>
      </c>
      <c r="L2366">
        <v>215.53049999999999</v>
      </c>
      <c r="M2366">
        <v>0.99989090000000003</v>
      </c>
      <c r="N2366">
        <v>-1.416249E-2</v>
      </c>
      <c r="O2366">
        <v>-4.2049069999999999E-3</v>
      </c>
      <c r="P2366">
        <v>0.99524409999999996</v>
      </c>
      <c r="Q2366">
        <v>-9.7227999999999995E-2</v>
      </c>
      <c r="R2366">
        <v>5.992224E-3</v>
      </c>
      <c r="S2366">
        <v>3.0334780000000001</v>
      </c>
      <c r="T2366">
        <v>0.14159720000000001</v>
      </c>
      <c r="U2366">
        <v>-0.84544370000000002</v>
      </c>
      <c r="V2366">
        <v>-1.0308360000000001E-2</v>
      </c>
      <c r="W2366">
        <v>-8.3107520000000004E-2</v>
      </c>
      <c r="X2366">
        <v>0.99648729999999996</v>
      </c>
      <c r="Y2366">
        <v>0.2642447</v>
      </c>
      <c r="Z2366">
        <v>3.890995E-3</v>
      </c>
      <c r="AA2366">
        <v>0.96444779999999997</v>
      </c>
      <c r="AB2366">
        <v>47</v>
      </c>
      <c r="AC2366">
        <v>69.787699999999901</v>
      </c>
      <c r="AD2366">
        <v>3.2787639999999998</v>
      </c>
      <c r="AE2366">
        <v>-19.575499999999899</v>
      </c>
      <c r="AF2366">
        <v>19.242470792987699</v>
      </c>
      <c r="AG2366">
        <v>3.2787639999999998</v>
      </c>
      <c r="AH2366">
        <v>69.7267224098008</v>
      </c>
      <c r="AI2366">
        <v>87.404637244228397</v>
      </c>
      <c r="AJ2366">
        <v>74.572101934911601</v>
      </c>
      <c r="AK2366">
        <v>72.407449848755903</v>
      </c>
      <c r="AL2366">
        <v>94.767208513382798</v>
      </c>
      <c r="AM2366">
        <v>90.592686384358103</v>
      </c>
      <c r="AN2366">
        <v>1.0000000306138599</v>
      </c>
    </row>
    <row r="2367" spans="1:40" x14ac:dyDescent="0.25">
      <c r="A2367" t="str">
        <f>"20190305135632054"</f>
        <v>20190305135632054</v>
      </c>
      <c r="B2367" t="str">
        <f>"1551765392044588"</f>
        <v>1551765392044588</v>
      </c>
      <c r="C2367" t="s">
        <v>40</v>
      </c>
      <c r="D2367">
        <v>4.130903</v>
      </c>
      <c r="E2367">
        <v>0.61235360000000005</v>
      </c>
      <c r="F2367" t="s">
        <v>71</v>
      </c>
      <c r="G2367">
        <v>-253.6644</v>
      </c>
      <c r="H2367">
        <v>4.4297190000000004</v>
      </c>
      <c r="I2367">
        <v>196.37889999999999</v>
      </c>
      <c r="J2367">
        <v>-321.6644</v>
      </c>
      <c r="K2367">
        <v>1.1080019999999999</v>
      </c>
      <c r="L2367">
        <v>215.5282</v>
      </c>
      <c r="M2367">
        <v>0.99988779999999999</v>
      </c>
      <c r="N2367">
        <v>-1.4237049999999999E-2</v>
      </c>
      <c r="O2367">
        <v>-4.6822679999999998E-3</v>
      </c>
      <c r="P2367">
        <v>0.99537750000000003</v>
      </c>
      <c r="Q2367">
        <v>-9.5790719999999996E-2</v>
      </c>
      <c r="R2367">
        <v>6.9187190000000003E-3</v>
      </c>
      <c r="S2367">
        <v>3.0338440000000002</v>
      </c>
      <c r="T2367">
        <v>0.14722009999999999</v>
      </c>
      <c r="U2367">
        <v>-0.84877009999999897</v>
      </c>
      <c r="V2367">
        <v>-1.1707270000000001E-2</v>
      </c>
      <c r="W2367">
        <v>-8.159218E-2</v>
      </c>
      <c r="X2367">
        <v>0.99659710000000001</v>
      </c>
      <c r="Y2367">
        <v>0.26471850000000002</v>
      </c>
      <c r="Z2367">
        <v>4.0895189999999998E-3</v>
      </c>
      <c r="AA2367">
        <v>0.96431710000000004</v>
      </c>
      <c r="AB2367">
        <v>47</v>
      </c>
      <c r="AC2367">
        <v>68</v>
      </c>
      <c r="AD2367">
        <v>3.321717</v>
      </c>
      <c r="AE2367">
        <v>-19.1493</v>
      </c>
      <c r="AF2367">
        <v>18.7891231838667</v>
      </c>
      <c r="AG2367">
        <v>3.321717</v>
      </c>
      <c r="AH2367">
        <v>67.938721659729197</v>
      </c>
      <c r="AI2367">
        <v>87.301995541569894</v>
      </c>
      <c r="AJ2367">
        <v>74.540692329743095</v>
      </c>
      <c r="AK2367">
        <v>70.567236410424698</v>
      </c>
      <c r="AL2367">
        <v>94.680089874953396</v>
      </c>
      <c r="AM2367">
        <v>90.673036584118606</v>
      </c>
      <c r="AN2367">
        <v>1.0000000618681999</v>
      </c>
    </row>
    <row r="2368" spans="1:40" x14ac:dyDescent="0.25">
      <c r="A2368" t="str">
        <f>"20190305135632076"</f>
        <v>20190305135632076</v>
      </c>
      <c r="B2368" t="str">
        <f>"1551765392064108"</f>
        <v>1551765392064108</v>
      </c>
      <c r="C2368" t="s">
        <v>40</v>
      </c>
      <c r="D2368">
        <v>4.12155</v>
      </c>
      <c r="E2368">
        <v>0.61287550000000002</v>
      </c>
      <c r="F2368" t="s">
        <v>71</v>
      </c>
      <c r="G2368">
        <v>-253.61269999999999</v>
      </c>
      <c r="H2368">
        <v>4.5661889999999996</v>
      </c>
      <c r="I2368">
        <v>196.47620000000001</v>
      </c>
      <c r="J2368">
        <v>-321.21600000000001</v>
      </c>
      <c r="K2368">
        <v>1.1080190000000001</v>
      </c>
      <c r="L2368">
        <v>215.5257</v>
      </c>
      <c r="M2368">
        <v>0.99988440000000001</v>
      </c>
      <c r="N2368">
        <v>-1.430121E-2</v>
      </c>
      <c r="O2368">
        <v>-5.1521659999999997E-3</v>
      </c>
      <c r="P2368">
        <v>0.99562689999999998</v>
      </c>
      <c r="Q2368">
        <v>-9.3061489999999997E-2</v>
      </c>
      <c r="R2368">
        <v>8.1601030000000001E-3</v>
      </c>
      <c r="S2368">
        <v>3.0346679999999999</v>
      </c>
      <c r="T2368">
        <v>0.15421779999999999</v>
      </c>
      <c r="U2368">
        <v>-0.84959409999999902</v>
      </c>
      <c r="V2368">
        <v>-1.341298E-2</v>
      </c>
      <c r="W2368">
        <v>-7.8793240000000001E-2</v>
      </c>
      <c r="X2368">
        <v>0.99680069999999998</v>
      </c>
      <c r="Y2368">
        <v>0.26441880000000001</v>
      </c>
      <c r="Z2368">
        <v>4.3317159999999898E-3</v>
      </c>
      <c r="AA2368">
        <v>0.96439819999999998</v>
      </c>
      <c r="AB2368">
        <v>47</v>
      </c>
      <c r="AC2368">
        <v>67.603300000000004</v>
      </c>
      <c r="AD2368">
        <v>3.4581699999999902</v>
      </c>
      <c r="AE2368">
        <v>-19.049499999999899</v>
      </c>
      <c r="AF2368">
        <v>18.655682396488402</v>
      </c>
      <c r="AG2368">
        <v>3.4581699999999902</v>
      </c>
      <c r="AH2368">
        <v>67.536834019069104</v>
      </c>
      <c r="AI2368">
        <v>87.174412576918897</v>
      </c>
      <c r="AJ2368">
        <v>74.558264046123995</v>
      </c>
      <c r="AK2368">
        <v>70.151388972327894</v>
      </c>
      <c r="AL2368">
        <v>94.519204695687407</v>
      </c>
      <c r="AM2368">
        <v>90.770927193921096</v>
      </c>
      <c r="AN2368">
        <v>0.99999995911133299</v>
      </c>
    </row>
    <row r="2369" spans="1:40" x14ac:dyDescent="0.25">
      <c r="A2369" t="str">
        <f>"20190305135632099"</f>
        <v>20190305135632099</v>
      </c>
      <c r="B2369" t="str">
        <f>"1551765392094364"</f>
        <v>1551765392094364</v>
      </c>
      <c r="C2369" t="s">
        <v>40</v>
      </c>
      <c r="D2369">
        <v>4.2755769999999904</v>
      </c>
      <c r="E2369">
        <v>0.61334250000000001</v>
      </c>
      <c r="F2369" t="s">
        <v>71</v>
      </c>
      <c r="G2369">
        <v>-253.58670000000001</v>
      </c>
      <c r="H2369">
        <v>4.8028820000000003</v>
      </c>
      <c r="I2369">
        <v>196.5855</v>
      </c>
      <c r="J2369">
        <v>-320.74169999999998</v>
      </c>
      <c r="K2369">
        <v>1.1080239999999999</v>
      </c>
      <c r="L2369">
        <v>215.52289999999999</v>
      </c>
      <c r="M2369">
        <v>0.99988109999999997</v>
      </c>
      <c r="N2369">
        <v>-1.4360080000000001E-2</v>
      </c>
      <c r="O2369">
        <v>-5.6496799999999998E-3</v>
      </c>
      <c r="P2369">
        <v>0.99578009999999995</v>
      </c>
      <c r="Q2369">
        <v>-9.135132E-2</v>
      </c>
      <c r="R2369">
        <v>8.7761000000000002E-3</v>
      </c>
      <c r="S2369">
        <v>3.0356450000000001</v>
      </c>
      <c r="T2369">
        <v>0.16585420000000001</v>
      </c>
      <c r="U2369">
        <v>-0.85015869999999905</v>
      </c>
      <c r="V2369">
        <v>-1.452199E-2</v>
      </c>
      <c r="W2369">
        <v>-7.7020839999999993E-2</v>
      </c>
      <c r="X2369">
        <v>0.99692369999999997</v>
      </c>
      <c r="Y2369">
        <v>0.26398579999999999</v>
      </c>
      <c r="Z2369">
        <v>4.7560450000000004E-3</v>
      </c>
      <c r="AA2369">
        <v>0.96451489999999995</v>
      </c>
      <c r="AB2369">
        <v>47</v>
      </c>
      <c r="AC2369">
        <v>67.154999999999902</v>
      </c>
      <c r="AD2369">
        <v>3.694858</v>
      </c>
      <c r="AE2369">
        <v>-18.9374</v>
      </c>
      <c r="AF2369">
        <v>18.505760703298002</v>
      </c>
      <c r="AG2369">
        <v>3.694858</v>
      </c>
      <c r="AH2369">
        <v>67.072844233658401</v>
      </c>
      <c r="AI2369">
        <v>86.960271369050702</v>
      </c>
      <c r="AJ2369">
        <v>74.575530968784506</v>
      </c>
      <c r="AK2369">
        <v>69.676980333826805</v>
      </c>
      <c r="AL2369">
        <v>94.417343949823703</v>
      </c>
      <c r="AM2369">
        <v>90.834557241782406</v>
      </c>
      <c r="AN2369">
        <v>0.99999998080477703</v>
      </c>
    </row>
    <row r="2370" spans="1:40" x14ac:dyDescent="0.25">
      <c r="A2370" t="str">
        <f>"20190305135632144"</f>
        <v>20190305135632144</v>
      </c>
      <c r="B2370" t="str">
        <f>"1551765392134891"</f>
        <v>1551765392134891</v>
      </c>
      <c r="C2370" t="s">
        <v>40</v>
      </c>
      <c r="D2370">
        <v>4.4689249999999996</v>
      </c>
      <c r="E2370">
        <v>0.49086879999999999</v>
      </c>
      <c r="F2370" t="s">
        <v>50</v>
      </c>
      <c r="G2370">
        <v>-285.59179999999998</v>
      </c>
      <c r="H2370">
        <v>3.119497</v>
      </c>
      <c r="I2370">
        <v>205.66149999999999</v>
      </c>
      <c r="J2370">
        <v>-319.78519999999997</v>
      </c>
      <c r="K2370">
        <v>1.1080509999999999</v>
      </c>
      <c r="L2370">
        <v>215.5164</v>
      </c>
      <c r="M2370">
        <v>0.99987349999999997</v>
      </c>
      <c r="N2370">
        <v>-1.44543E-2</v>
      </c>
      <c r="O2370">
        <v>-6.6528739999999996E-3</v>
      </c>
      <c r="P2370">
        <v>0.99621079999999995</v>
      </c>
      <c r="Q2370">
        <v>-8.6303619999999998E-2</v>
      </c>
      <c r="R2370">
        <v>1.077759E-2</v>
      </c>
      <c r="S2370">
        <v>3.0361630000000002</v>
      </c>
      <c r="T2370">
        <v>0.17374609999999999</v>
      </c>
      <c r="U2370">
        <v>-0.85180659999999897</v>
      </c>
      <c r="V2370">
        <v>-1.7517319999999999E-2</v>
      </c>
      <c r="W2370">
        <v>-7.1869340000000004E-2</v>
      </c>
      <c r="X2370">
        <v>0.99726020000000004</v>
      </c>
      <c r="Y2370">
        <v>0.26343490000000003</v>
      </c>
      <c r="Z2370">
        <v>4.9806340000000003E-3</v>
      </c>
      <c r="AA2370">
        <v>0.96466430000000003</v>
      </c>
      <c r="AB2370">
        <v>47</v>
      </c>
      <c r="AC2370">
        <v>34.193399999999997</v>
      </c>
      <c r="AD2370">
        <v>2.0114459999999998</v>
      </c>
      <c r="AE2370">
        <v>-9.8549000000000095</v>
      </c>
      <c r="AF2370">
        <v>9.5965124059837201</v>
      </c>
      <c r="AG2370">
        <v>2.0114459999999998</v>
      </c>
      <c r="AH2370">
        <v>34.149105307885797</v>
      </c>
      <c r="AI2370">
        <v>86.754497633747803</v>
      </c>
      <c r="AJ2370">
        <v>74.303682497290794</v>
      </c>
      <c r="AK2370">
        <v>35.528866555213803</v>
      </c>
      <c r="AL2370">
        <v>94.121363082153195</v>
      </c>
      <c r="AM2370">
        <v>91.006322420057302</v>
      </c>
      <c r="AN2370">
        <v>0.99999998251802902</v>
      </c>
    </row>
    <row r="2371" spans="1:40" x14ac:dyDescent="0.25">
      <c r="A2371" t="str">
        <f>"20190305135632165"</f>
        <v>20190305135632165</v>
      </c>
      <c r="B2371" t="str">
        <f>"1551765392154408"</f>
        <v>1551765392154408</v>
      </c>
      <c r="C2371" t="s">
        <v>40</v>
      </c>
      <c r="D2371">
        <v>4.418615</v>
      </c>
      <c r="E2371">
        <v>0.49337629999999999</v>
      </c>
      <c r="F2371" t="s">
        <v>55</v>
      </c>
      <c r="G2371">
        <v>-267.38810000000001</v>
      </c>
      <c r="H2371" s="1">
        <v>2.2660180000000001E-6</v>
      </c>
      <c r="I2371">
        <v>217.56270000000001</v>
      </c>
      <c r="J2371">
        <v>-319.35480000000001</v>
      </c>
      <c r="K2371">
        <v>1.108066</v>
      </c>
      <c r="L2371">
        <v>215.51320000000001</v>
      </c>
      <c r="M2371">
        <v>0.99986980000000003</v>
      </c>
      <c r="N2371">
        <v>-1.4487770000000001E-2</v>
      </c>
      <c r="O2371">
        <v>-7.1046590000000001E-3</v>
      </c>
      <c r="P2371">
        <v>0.99632259999999995</v>
      </c>
      <c r="Q2371">
        <v>-8.4841360000000005E-2</v>
      </c>
      <c r="R2371">
        <v>1.1978900000000001E-2</v>
      </c>
      <c r="S2371">
        <v>3.0046390000000001</v>
      </c>
      <c r="T2371">
        <v>-6.3539509999999993E-2</v>
      </c>
      <c r="U2371">
        <v>0.1173401</v>
      </c>
      <c r="V2371">
        <v>-1.9167070000000001E-2</v>
      </c>
      <c r="W2371">
        <v>-7.0369950000000001E-2</v>
      </c>
      <c r="X2371">
        <v>0.99733680000000002</v>
      </c>
      <c r="Y2371">
        <v>-4.6104729999999997E-2</v>
      </c>
      <c r="Z2371">
        <v>8.6871949999999996E-4</v>
      </c>
      <c r="AA2371">
        <v>0.99893620000000005</v>
      </c>
      <c r="AB2371">
        <v>47</v>
      </c>
      <c r="AC2371">
        <v>51.966700000000003</v>
      </c>
      <c r="AD2371">
        <v>-1.1080637339820001</v>
      </c>
      <c r="AE2371">
        <v>2.0494999999999899</v>
      </c>
      <c r="AF2371">
        <v>-2.41759524362184</v>
      </c>
      <c r="AG2371">
        <v>-1.1080637339820001</v>
      </c>
      <c r="AH2371">
        <v>51.9272534702285</v>
      </c>
      <c r="AI2371">
        <v>91.221113640660306</v>
      </c>
      <c r="AJ2371">
        <v>92.665614710596003</v>
      </c>
      <c r="AK2371">
        <v>51.995309643869803</v>
      </c>
      <c r="AL2371">
        <v>94.035236193786602</v>
      </c>
      <c r="AM2371">
        <v>91.1009891984707</v>
      </c>
      <c r="AN2371">
        <v>0.999999999534813</v>
      </c>
    </row>
    <row r="2372" spans="1:40" x14ac:dyDescent="0.25">
      <c r="A2372" t="str">
        <f>"20190305135632188"</f>
        <v>20190305135632188</v>
      </c>
      <c r="B2372" t="str">
        <f>"1551765392184665"</f>
        <v>1551765392184665</v>
      </c>
      <c r="C2372" t="s">
        <v>40</v>
      </c>
      <c r="D2372">
        <v>4.3191759999999997</v>
      </c>
      <c r="E2372">
        <v>0.51129999999999998</v>
      </c>
      <c r="F2372" t="s">
        <v>55</v>
      </c>
      <c r="G2372">
        <v>-276.19659999999999</v>
      </c>
      <c r="H2372" s="1">
        <v>1.658848E-6</v>
      </c>
      <c r="I2372">
        <v>216.94659999999999</v>
      </c>
      <c r="J2372">
        <v>-318.86709999999999</v>
      </c>
      <c r="K2372">
        <v>1.1080669999999999</v>
      </c>
      <c r="L2372">
        <v>215.5094</v>
      </c>
      <c r="M2372">
        <v>0.99986569999999997</v>
      </c>
      <c r="N2372">
        <v>-1.4520419999999999E-2</v>
      </c>
      <c r="O2372">
        <v>-7.6161639999999999E-3</v>
      </c>
      <c r="P2372">
        <v>0.99633530000000003</v>
      </c>
      <c r="Q2372">
        <v>-8.4495310000000004E-2</v>
      </c>
      <c r="R2372">
        <v>1.329023E-2</v>
      </c>
      <c r="S2372">
        <v>3.0033569999999998</v>
      </c>
      <c r="T2372">
        <v>-7.7109579999999997E-2</v>
      </c>
      <c r="U2372">
        <v>9.9746699999999994E-2</v>
      </c>
      <c r="V2372">
        <v>-2.0987120000000001E-2</v>
      </c>
      <c r="W2372">
        <v>-6.9988739999999994E-2</v>
      </c>
      <c r="X2372">
        <v>0.99732699999999996</v>
      </c>
      <c r="Y2372">
        <v>-4.0783739999999999E-2</v>
      </c>
      <c r="Z2372">
        <v>9.0449680000000002E-4</v>
      </c>
      <c r="AA2372">
        <v>0.99916760000000004</v>
      </c>
      <c r="AB2372">
        <v>47</v>
      </c>
      <c r="AC2372">
        <v>42.670499999999997</v>
      </c>
      <c r="AD2372">
        <v>-1.1080653411519901</v>
      </c>
      <c r="AE2372">
        <v>1.43719999999998</v>
      </c>
      <c r="AF2372">
        <v>-1.76099190427332</v>
      </c>
      <c r="AG2372">
        <v>-1.1080653411519901</v>
      </c>
      <c r="AH2372">
        <v>42.629601016459901</v>
      </c>
      <c r="AI2372">
        <v>91.487677824037306</v>
      </c>
      <c r="AJ2372">
        <v>92.365494121815999</v>
      </c>
      <c r="AK2372">
        <v>42.680344236073601</v>
      </c>
      <c r="AL2372">
        <v>94.013340425383007</v>
      </c>
      <c r="AM2372">
        <v>91.205518303260007</v>
      </c>
      <c r="AN2372">
        <v>1.00000001393084</v>
      </c>
    </row>
    <row r="2373" spans="1:40" x14ac:dyDescent="0.25">
      <c r="A2373" t="str">
        <f>"20190305135632212"</f>
        <v>20190305135632212</v>
      </c>
      <c r="B2373" t="str">
        <f>"1551765392204184"</f>
        <v>1551765392204184</v>
      </c>
      <c r="C2373" t="s">
        <v>40</v>
      </c>
      <c r="D2373">
        <v>4.3015919999999896</v>
      </c>
      <c r="E2373">
        <v>0.51531359999999904</v>
      </c>
      <c r="F2373" t="s">
        <v>72</v>
      </c>
      <c r="G2373">
        <v>-107.39749999999999</v>
      </c>
      <c r="H2373">
        <v>5.8317319999999997</v>
      </c>
      <c r="I2373">
        <v>213.3811</v>
      </c>
      <c r="J2373">
        <v>-318.38850000000002</v>
      </c>
      <c r="K2373">
        <v>1.10806</v>
      </c>
      <c r="L2373">
        <v>215.50540000000001</v>
      </c>
      <c r="M2373">
        <v>0.99986140000000001</v>
      </c>
      <c r="N2373">
        <v>-1.4547239999999999E-2</v>
      </c>
      <c r="O2373">
        <v>-8.1184440000000007E-3</v>
      </c>
      <c r="P2373">
        <v>0.99625620000000004</v>
      </c>
      <c r="Q2373">
        <v>-8.5058229999999999E-2</v>
      </c>
      <c r="R2373">
        <v>1.5465690000000001E-2</v>
      </c>
      <c r="S2373">
        <v>3.0171510000000001</v>
      </c>
      <c r="T2373">
        <v>6.739581E-2</v>
      </c>
      <c r="U2373">
        <v>-3.0364990000000001E-2</v>
      </c>
      <c r="V2373">
        <v>-2.3663090000000001E-2</v>
      </c>
      <c r="W2373">
        <v>-7.0522299999999996E-2</v>
      </c>
      <c r="X2373">
        <v>0.99722949999999999</v>
      </c>
      <c r="Y2373">
        <v>1.9497469999999999E-3</v>
      </c>
      <c r="Z2373">
        <v>-2.9180820000000002E-4</v>
      </c>
      <c r="AA2373">
        <v>0.99999800000000005</v>
      </c>
      <c r="AB2373">
        <v>47</v>
      </c>
      <c r="AC2373">
        <v>210.99100000000001</v>
      </c>
      <c r="AD2373">
        <v>4.7236719999999996</v>
      </c>
      <c r="AE2373">
        <v>-2.1242999999999999</v>
      </c>
      <c r="AF2373">
        <v>0.410924442212179</v>
      </c>
      <c r="AG2373">
        <v>4.7236719999999996</v>
      </c>
      <c r="AH2373">
        <v>210.89559797205499</v>
      </c>
      <c r="AI2373">
        <v>88.716897303403002</v>
      </c>
      <c r="AJ2373">
        <v>89.8883608445677</v>
      </c>
      <c r="AK2373">
        <v>210.94889234137199</v>
      </c>
      <c r="AL2373">
        <v>94.043986919516001</v>
      </c>
      <c r="AM2373">
        <v>91.359306769066094</v>
      </c>
      <c r="AN2373">
        <v>1.0000000061479399</v>
      </c>
    </row>
    <row r="2374" spans="1:40" x14ac:dyDescent="0.25">
      <c r="A2374" t="str">
        <f>"20190305135632233"</f>
        <v>20190305135632233</v>
      </c>
      <c r="B2374" t="str">
        <f>"1551765392224680"</f>
        <v>1551765392224680</v>
      </c>
      <c r="C2374" t="s">
        <v>40</v>
      </c>
      <c r="D2374">
        <v>4.3491049999999998</v>
      </c>
      <c r="E2374">
        <v>0.51265810000000001</v>
      </c>
      <c r="F2374" t="s">
        <v>72</v>
      </c>
      <c r="G2374">
        <v>-107.39749999999999</v>
      </c>
      <c r="H2374">
        <v>7.3244720000000001</v>
      </c>
      <c r="I2374">
        <v>211.7535</v>
      </c>
      <c r="J2374">
        <v>-317.92419999999998</v>
      </c>
      <c r="K2374">
        <v>1.1080540000000001</v>
      </c>
      <c r="L2374">
        <v>215.50120000000001</v>
      </c>
      <c r="M2374">
        <v>0.99985679999999999</v>
      </c>
      <c r="N2374">
        <v>-1.456939E-2</v>
      </c>
      <c r="O2374">
        <v>-8.6055530000000002E-3</v>
      </c>
      <c r="P2374">
        <v>0.99609769999999997</v>
      </c>
      <c r="Q2374">
        <v>-8.6494269999999998E-2</v>
      </c>
      <c r="R2374">
        <v>1.7549309999999999E-2</v>
      </c>
      <c r="S2374">
        <v>3.0196529999999999</v>
      </c>
      <c r="T2374">
        <v>8.8968519999999995E-2</v>
      </c>
      <c r="U2374">
        <v>-5.3695680000000003E-2</v>
      </c>
      <c r="V2374">
        <v>-2.6232430000000001E-2</v>
      </c>
      <c r="W2374">
        <v>-7.1934919999999999E-2</v>
      </c>
      <c r="X2374">
        <v>0.99706430000000001</v>
      </c>
      <c r="Y2374">
        <v>9.1798190000000005E-3</v>
      </c>
      <c r="Z2374">
        <v>-3.1049700000000002E-4</v>
      </c>
      <c r="AA2374">
        <v>0.99995780000000001</v>
      </c>
      <c r="AB2374">
        <v>47</v>
      </c>
      <c r="AC2374">
        <v>210.52670000000001</v>
      </c>
      <c r="AD2374">
        <v>6.216418</v>
      </c>
      <c r="AE2374">
        <v>-3.7477</v>
      </c>
      <c r="AF2374">
        <v>1.9339844556432799</v>
      </c>
      <c r="AG2374">
        <v>6.216418</v>
      </c>
      <c r="AH2374">
        <v>210.367796009881</v>
      </c>
      <c r="AI2374">
        <v>88.307460237680402</v>
      </c>
      <c r="AJ2374">
        <v>89.473274771919407</v>
      </c>
      <c r="AK2374">
        <v>210.468510107047</v>
      </c>
      <c r="AL2374">
        <v>94.125130235593303</v>
      </c>
      <c r="AM2374">
        <v>91.5070852261982</v>
      </c>
      <c r="AN2374">
        <v>0.99999999571679998</v>
      </c>
    </row>
    <row r="2375" spans="1:40" x14ac:dyDescent="0.25">
      <c r="A2375" t="str">
        <f>"20190305135632254"</f>
        <v>20190305135632254</v>
      </c>
      <c r="B2375" t="str">
        <f>"1551765392244200"</f>
        <v>1551765392244200</v>
      </c>
      <c r="C2375" t="s">
        <v>40</v>
      </c>
      <c r="D2375">
        <v>4.3238729999999999</v>
      </c>
      <c r="E2375">
        <v>0.51141199999999998</v>
      </c>
      <c r="F2375" t="s">
        <v>72</v>
      </c>
      <c r="G2375">
        <v>-107.39749999999999</v>
      </c>
      <c r="H2375">
        <v>4.867248</v>
      </c>
      <c r="I2375">
        <v>213.55799999999999</v>
      </c>
      <c r="J2375">
        <v>-317.47669999999999</v>
      </c>
      <c r="K2375">
        <v>1.108053</v>
      </c>
      <c r="L2375">
        <v>215.49700000000001</v>
      </c>
      <c r="M2375">
        <v>0.99985250000000003</v>
      </c>
      <c r="N2375">
        <v>-1.458754E-2</v>
      </c>
      <c r="O2375">
        <v>-9.0753420000000001E-3</v>
      </c>
      <c r="P2375">
        <v>0.99593759999999998</v>
      </c>
      <c r="Q2375">
        <v>-8.7904949999999996E-2</v>
      </c>
      <c r="R2375">
        <v>1.9523080000000002E-2</v>
      </c>
      <c r="S2375">
        <v>3.0169069999999998</v>
      </c>
      <c r="T2375">
        <v>5.3871040000000002E-2</v>
      </c>
      <c r="U2375">
        <v>-2.784729E-2</v>
      </c>
      <c r="V2375">
        <v>-2.8675079999999999E-2</v>
      </c>
      <c r="W2375">
        <v>-7.3326429999999998E-2</v>
      </c>
      <c r="X2375">
        <v>0.99689570000000005</v>
      </c>
      <c r="Y2375">
        <v>1.5848959999999901E-4</v>
      </c>
      <c r="Z2375">
        <v>-2.9414900000000001E-4</v>
      </c>
      <c r="AA2375">
        <v>0.99999990000000005</v>
      </c>
      <c r="AB2375">
        <v>47</v>
      </c>
      <c r="AC2375">
        <v>210.07919999999999</v>
      </c>
      <c r="AD2375">
        <v>3.7591949999999899</v>
      </c>
      <c r="AE2375">
        <v>-1.93900000000002</v>
      </c>
      <c r="AF2375">
        <v>3.2166532356494998E-2</v>
      </c>
      <c r="AG2375">
        <v>3.7591949999999899</v>
      </c>
      <c r="AH2375">
        <v>210.02090237103599</v>
      </c>
      <c r="AI2375">
        <v>88.974563933497294</v>
      </c>
      <c r="AJ2375">
        <v>89.991224651877999</v>
      </c>
      <c r="AK2375">
        <v>210.054545331631</v>
      </c>
      <c r="AL2375">
        <v>94.205068869474104</v>
      </c>
      <c r="AM2375">
        <v>91.647622878987093</v>
      </c>
      <c r="AN2375">
        <v>1.00000003111402</v>
      </c>
    </row>
    <row r="2376" spans="1:40" x14ac:dyDescent="0.25">
      <c r="A2376" t="str">
        <f>"20190305135632277"</f>
        <v>20190305135632277</v>
      </c>
      <c r="B2376" t="str">
        <f>"1551765392274458"</f>
        <v>1551765392274458</v>
      </c>
      <c r="C2376" t="s">
        <v>40</v>
      </c>
      <c r="D2376">
        <v>4.3467799999999999</v>
      </c>
      <c r="E2376">
        <v>0.51001109999999905</v>
      </c>
      <c r="F2376" t="s">
        <v>72</v>
      </c>
      <c r="G2376">
        <v>-107.39749999999999</v>
      </c>
      <c r="H2376">
        <v>2.956528</v>
      </c>
      <c r="I2376">
        <v>214.56880000000001</v>
      </c>
      <c r="J2376">
        <v>-317.0222</v>
      </c>
      <c r="K2376">
        <v>1.108055</v>
      </c>
      <c r="L2376">
        <v>215.49260000000001</v>
      </c>
      <c r="M2376">
        <v>0.99984779999999995</v>
      </c>
      <c r="N2376">
        <v>-1.4603059999999999E-2</v>
      </c>
      <c r="O2376">
        <v>-9.5520169999999995E-3</v>
      </c>
      <c r="P2376">
        <v>0.99580389999999996</v>
      </c>
      <c r="Q2376">
        <v>-8.8983599999999996E-2</v>
      </c>
      <c r="R2376">
        <v>2.1376180000000002E-2</v>
      </c>
      <c r="S2376">
        <v>3.0148929999999998</v>
      </c>
      <c r="T2376">
        <v>2.6528599999999999E-2</v>
      </c>
      <c r="U2376">
        <v>-1.332092E-2</v>
      </c>
      <c r="V2376">
        <v>-3.1002760000000001E-2</v>
      </c>
      <c r="W2376">
        <v>-7.4388380000000004E-2</v>
      </c>
      <c r="X2376">
        <v>0.9967473</v>
      </c>
      <c r="Y2376">
        <v>-5.1323289999999997E-3</v>
      </c>
      <c r="Z2376">
        <v>-2.0864120000000001E-4</v>
      </c>
      <c r="AA2376">
        <v>0.99998679999999995</v>
      </c>
      <c r="AB2376">
        <v>47</v>
      </c>
      <c r="AC2376">
        <v>209.62469999999999</v>
      </c>
      <c r="AD2376">
        <v>1.848473</v>
      </c>
      <c r="AE2376">
        <v>-0.92379999999999995</v>
      </c>
      <c r="AF2376">
        <v>-1.0787103953434001</v>
      </c>
      <c r="AG2376">
        <v>1.848473</v>
      </c>
      <c r="AH2376">
        <v>209.60766143561401</v>
      </c>
      <c r="AI2376">
        <v>89.494743880268004</v>
      </c>
      <c r="AJ2376">
        <v>90.294860440315603</v>
      </c>
      <c r="AK2376">
        <v>209.61858744170499</v>
      </c>
      <c r="AL2376">
        <v>94.266080929357898</v>
      </c>
      <c r="AM2376">
        <v>91.781549641407594</v>
      </c>
      <c r="AN2376">
        <v>0.99999999113196603</v>
      </c>
    </row>
    <row r="2377" spans="1:40" x14ac:dyDescent="0.25">
      <c r="A2377" t="str">
        <f>"20190305135632300"</f>
        <v>20190305135632300</v>
      </c>
      <c r="B2377" t="str">
        <f>"1551765392294953"</f>
        <v>1551765392294953</v>
      </c>
      <c r="C2377" t="s">
        <v>40</v>
      </c>
      <c r="D2377">
        <v>4.3266239999999998</v>
      </c>
      <c r="E2377">
        <v>0.50954719999999998</v>
      </c>
      <c r="F2377" t="s">
        <v>72</v>
      </c>
      <c r="G2377">
        <v>-107.39749999999999</v>
      </c>
      <c r="H2377">
        <v>0.92023489999999997</v>
      </c>
      <c r="I2377">
        <v>215.6242</v>
      </c>
      <c r="J2377">
        <v>-316.54349999999999</v>
      </c>
      <c r="K2377">
        <v>1.1080559999999999</v>
      </c>
      <c r="L2377">
        <v>215.48759999999999</v>
      </c>
      <c r="M2377">
        <v>0.99984280000000003</v>
      </c>
      <c r="N2377">
        <v>-1.461671E-2</v>
      </c>
      <c r="O2377">
        <v>-1.005178E-2</v>
      </c>
      <c r="P2377">
        <v>0.99571220000000005</v>
      </c>
      <c r="Q2377">
        <v>-8.9294879999999993E-2</v>
      </c>
      <c r="R2377">
        <v>2.416511E-2</v>
      </c>
      <c r="S2377">
        <v>3.0123600000000001</v>
      </c>
      <c r="T2377">
        <v>-2.6983020000000001E-3</v>
      </c>
      <c r="U2377">
        <v>1.8920899999999999E-3</v>
      </c>
      <c r="V2377">
        <v>-3.428842E-2</v>
      </c>
      <c r="W2377">
        <v>-7.4683139999999995E-2</v>
      </c>
      <c r="X2377">
        <v>0.99661770000000005</v>
      </c>
      <c r="Y2377">
        <v>-1.0679910000000001E-2</v>
      </c>
      <c r="Z2377" s="1">
        <v>-5.5090009999999997E-5</v>
      </c>
      <c r="AA2377">
        <v>0.99994300000000003</v>
      </c>
      <c r="AB2377">
        <v>47</v>
      </c>
      <c r="AC2377">
        <v>209.14599999999999</v>
      </c>
      <c r="AD2377">
        <v>-0.18782109999999999</v>
      </c>
      <c r="AE2377">
        <v>0.13660000000001499</v>
      </c>
      <c r="AF2377">
        <v>-2.23910515551231</v>
      </c>
      <c r="AG2377">
        <v>-0.18782109999999999</v>
      </c>
      <c r="AH2377">
        <v>209.133889721911</v>
      </c>
      <c r="AI2377">
        <v>90.051453816109401</v>
      </c>
      <c r="AJ2377">
        <v>90.613417432124294</v>
      </c>
      <c r="AK2377">
        <v>209.145960273871</v>
      </c>
      <c r="AL2377">
        <v>94.2830162747983</v>
      </c>
      <c r="AM2377">
        <v>91.970471877736898</v>
      </c>
      <c r="AN2377">
        <v>1.0000000535498199</v>
      </c>
    </row>
    <row r="2378" spans="1:40" x14ac:dyDescent="0.25">
      <c r="A2378" t="str">
        <f>"20190305135632322"</f>
        <v>20190305135632322</v>
      </c>
      <c r="B2378" t="str">
        <f>"1551765392314473"</f>
        <v>1551765392314473</v>
      </c>
      <c r="C2378" t="s">
        <v>40</v>
      </c>
      <c r="D2378">
        <v>4.301412</v>
      </c>
      <c r="E2378">
        <v>0.50922849999999997</v>
      </c>
      <c r="F2378" t="s">
        <v>72</v>
      </c>
      <c r="G2378">
        <v>-107.39749999999999</v>
      </c>
      <c r="H2378">
        <v>8.2348450000000004E-2</v>
      </c>
      <c r="I2378">
        <v>216.43289999999999</v>
      </c>
      <c r="J2378">
        <v>-316.07139999999998</v>
      </c>
      <c r="K2378">
        <v>1.1080680000000001</v>
      </c>
      <c r="L2378">
        <v>215.48249999999999</v>
      </c>
      <c r="M2378">
        <v>0.99983739999999999</v>
      </c>
      <c r="N2378">
        <v>-1.4627869999999999E-2</v>
      </c>
      <c r="O2378">
        <v>-1.054161E-2</v>
      </c>
      <c r="P2378">
        <v>0.99574649999999998</v>
      </c>
      <c r="Q2378">
        <v>-8.8146169999999996E-2</v>
      </c>
      <c r="R2378">
        <v>2.6819900000000001E-2</v>
      </c>
      <c r="S2378">
        <v>3.0112610000000002</v>
      </c>
      <c r="T2378">
        <v>-1.4767290000000001E-2</v>
      </c>
      <c r="U2378">
        <v>1.3610840000000001E-2</v>
      </c>
      <c r="V2378">
        <v>-3.7428450000000002E-2</v>
      </c>
      <c r="W2378">
        <v>-7.3519100000000004E-2</v>
      </c>
      <c r="X2378">
        <v>0.99659120000000001</v>
      </c>
      <c r="Y2378">
        <v>-1.5061099999999999E-2</v>
      </c>
      <c r="Z2378" s="1">
        <v>4.4577979999999998E-5</v>
      </c>
      <c r="AA2378">
        <v>0.99988659999999996</v>
      </c>
      <c r="AB2378">
        <v>46</v>
      </c>
      <c r="AC2378">
        <v>208.6739</v>
      </c>
      <c r="AD2378">
        <v>-1.02571955</v>
      </c>
      <c r="AE2378">
        <v>0.95040000000000202</v>
      </c>
      <c r="AF2378">
        <v>-3.1502654031130199</v>
      </c>
      <c r="AG2378">
        <v>-1.02571955</v>
      </c>
      <c r="AH2378">
        <v>208.64724178461</v>
      </c>
      <c r="AI2378">
        <v>90.281634350196001</v>
      </c>
      <c r="AJ2378">
        <v>90.865015979080795</v>
      </c>
      <c r="AK2378">
        <v>208.67354354836399</v>
      </c>
      <c r="AL2378">
        <v>94.216138124823104</v>
      </c>
      <c r="AM2378">
        <v>92.150816513845797</v>
      </c>
      <c r="AN2378">
        <v>0.99999998342582597</v>
      </c>
    </row>
    <row r="2379" spans="1:40" x14ac:dyDescent="0.25">
      <c r="A2379" t="str">
        <f>"20190305135632345"</f>
        <v>20190305135632345</v>
      </c>
      <c r="B2379" t="str">
        <f>"1551765392333992"</f>
        <v>1551765392333992</v>
      </c>
      <c r="C2379" t="s">
        <v>40</v>
      </c>
      <c r="D2379">
        <v>4.3458489999999896</v>
      </c>
      <c r="E2379">
        <v>0.50909589999999905</v>
      </c>
      <c r="F2379" t="s">
        <v>43</v>
      </c>
      <c r="G2379">
        <v>-149.27619999999999</v>
      </c>
      <c r="H2379">
        <v>-0.05</v>
      </c>
      <c r="I2379">
        <v>216.7938</v>
      </c>
      <c r="J2379">
        <v>-315.5951</v>
      </c>
      <c r="K2379">
        <v>1.10808</v>
      </c>
      <c r="L2379">
        <v>215.47710000000001</v>
      </c>
      <c r="M2379">
        <v>0.9998319</v>
      </c>
      <c r="N2379">
        <v>-1.463716E-2</v>
      </c>
      <c r="O2379">
        <v>-1.1033690000000001E-2</v>
      </c>
      <c r="P2379">
        <v>0.99578770000000005</v>
      </c>
      <c r="Q2379">
        <v>-8.7024279999999996E-2</v>
      </c>
      <c r="R2379">
        <v>2.8869829999999999E-2</v>
      </c>
      <c r="S2379">
        <v>3.0103759999999999</v>
      </c>
      <c r="T2379">
        <v>-2.0901200000000002E-2</v>
      </c>
      <c r="U2379">
        <v>2.3666380000000001E-2</v>
      </c>
      <c r="V2379">
        <v>-3.9966429999999997E-2</v>
      </c>
      <c r="W2379">
        <v>-7.2384509999999999E-2</v>
      </c>
      <c r="X2379">
        <v>0.99657569999999995</v>
      </c>
      <c r="Y2379">
        <v>-1.8893670000000001E-2</v>
      </c>
      <c r="Z2379">
        <v>1.189718E-4</v>
      </c>
      <c r="AA2379">
        <v>0.99982150000000003</v>
      </c>
      <c r="AB2379">
        <v>46</v>
      </c>
      <c r="AC2379">
        <v>166.31890000000001</v>
      </c>
      <c r="AD2379">
        <v>-1.15808</v>
      </c>
      <c r="AE2379">
        <v>1.31669999999999</v>
      </c>
      <c r="AF2379">
        <v>-3.1517749981357301</v>
      </c>
      <c r="AG2379">
        <v>-1.15808</v>
      </c>
      <c r="AH2379">
        <v>166.28618224895899</v>
      </c>
      <c r="AI2379">
        <v>90.398951420884501</v>
      </c>
      <c r="AJ2379">
        <v>91.085849603725407</v>
      </c>
      <c r="AK2379">
        <v>166.320080693401</v>
      </c>
      <c r="AL2379">
        <v>94.1509572421173</v>
      </c>
      <c r="AM2379">
        <v>92.296545376610197</v>
      </c>
      <c r="AN2379">
        <v>0.99999997932268703</v>
      </c>
    </row>
    <row r="2380" spans="1:40" x14ac:dyDescent="0.25">
      <c r="A2380" t="str">
        <f>"20190305135632367"</f>
        <v>20190305135632367</v>
      </c>
      <c r="B2380" t="str">
        <f>"1551765392364249"</f>
        <v>1551765392364249</v>
      </c>
      <c r="C2380" t="s">
        <v>40</v>
      </c>
      <c r="D2380">
        <v>4.3263290000000003</v>
      </c>
      <c r="E2380">
        <v>0.50906010000000002</v>
      </c>
      <c r="F2380" t="s">
        <v>54</v>
      </c>
      <c r="G2380">
        <v>-179.95689999999999</v>
      </c>
      <c r="H2380">
        <v>5.077081E-2</v>
      </c>
      <c r="I2380">
        <v>216.84970000000001</v>
      </c>
      <c r="J2380">
        <v>-315.15460000000002</v>
      </c>
      <c r="K2380">
        <v>1.1080909999999999</v>
      </c>
      <c r="L2380">
        <v>215.47200000000001</v>
      </c>
      <c r="M2380">
        <v>0.99982689999999996</v>
      </c>
      <c r="N2380">
        <v>-1.4644239999999999E-2</v>
      </c>
      <c r="O2380">
        <v>-1.148714E-2</v>
      </c>
      <c r="P2380">
        <v>0.99584919999999999</v>
      </c>
      <c r="Q2380">
        <v>-8.5903950000000007E-2</v>
      </c>
      <c r="R2380">
        <v>3.0084590000000001E-2</v>
      </c>
      <c r="S2380">
        <v>3.0097960000000001</v>
      </c>
      <c r="T2380">
        <v>-2.3461579999999999E-2</v>
      </c>
      <c r="U2380">
        <v>3.0456540000000001E-2</v>
      </c>
      <c r="V2380">
        <v>-4.1631090000000003E-2</v>
      </c>
      <c r="W2380">
        <v>-7.1254600000000001E-2</v>
      </c>
      <c r="X2380">
        <v>0.99658899999999995</v>
      </c>
      <c r="Y2380">
        <v>-2.1603569999999999E-2</v>
      </c>
      <c r="Z2380">
        <v>1.6371229999999999E-4</v>
      </c>
      <c r="AA2380">
        <v>0.99976659999999995</v>
      </c>
      <c r="AB2380">
        <v>46</v>
      </c>
      <c r="AC2380">
        <v>135.1977</v>
      </c>
      <c r="AD2380">
        <v>-1.05732019</v>
      </c>
      <c r="AE2380">
        <v>1.3776999999999999</v>
      </c>
      <c r="AF2380">
        <v>-2.93063113558035</v>
      </c>
      <c r="AG2380">
        <v>-1.05732019</v>
      </c>
      <c r="AH2380">
        <v>135.16468435520099</v>
      </c>
      <c r="AI2380">
        <v>90.448079433977199</v>
      </c>
      <c r="AJ2380">
        <v>91.242088429565001</v>
      </c>
      <c r="AK2380">
        <v>135.200585877717</v>
      </c>
      <c r="AL2380">
        <v>94.086050464825107</v>
      </c>
      <c r="AM2380">
        <v>92.392059051224905</v>
      </c>
      <c r="AN2380">
        <v>1.00000000029837</v>
      </c>
    </row>
    <row r="2381" spans="1:40" x14ac:dyDescent="0.25">
      <c r="A2381" t="str">
        <f>"20190305135632389"</f>
        <v>20190305135632389</v>
      </c>
      <c r="B2381" t="str">
        <f>"1551765392384745"</f>
        <v>1551765392384745</v>
      </c>
      <c r="C2381" t="s">
        <v>40</v>
      </c>
      <c r="D2381">
        <v>4.3150529999999998</v>
      </c>
      <c r="E2381">
        <v>0.50912139999999995</v>
      </c>
      <c r="F2381" t="s">
        <v>54</v>
      </c>
      <c r="G2381">
        <v>-204.73849999999999</v>
      </c>
      <c r="H2381" s="1">
        <v>4.1364049999999901E-6</v>
      </c>
      <c r="I2381">
        <v>216.69710000000001</v>
      </c>
      <c r="J2381">
        <v>-314.68830000000003</v>
      </c>
      <c r="K2381">
        <v>1.108104</v>
      </c>
      <c r="L2381">
        <v>215.46619999999999</v>
      </c>
      <c r="M2381">
        <v>0.99982119999999997</v>
      </c>
      <c r="N2381">
        <v>-1.4650389999999999E-2</v>
      </c>
      <c r="O2381">
        <v>-1.196357E-2</v>
      </c>
      <c r="P2381">
        <v>0.99600679999999997</v>
      </c>
      <c r="Q2381">
        <v>-8.383496E-2</v>
      </c>
      <c r="R2381">
        <v>3.0693399999999999E-2</v>
      </c>
      <c r="S2381">
        <v>3.0088499999999998</v>
      </c>
      <c r="T2381">
        <v>-3.0195469999999999E-2</v>
      </c>
      <c r="U2381">
        <v>3.3386230000000003E-2</v>
      </c>
      <c r="V2381">
        <v>-4.2712260000000002E-2</v>
      </c>
      <c r="W2381">
        <v>-6.9176520000000005E-2</v>
      </c>
      <c r="X2381">
        <v>0.99668970000000001</v>
      </c>
      <c r="Y2381">
        <v>-2.305567E-2</v>
      </c>
      <c r="Z2381">
        <v>2.293706E-4</v>
      </c>
      <c r="AA2381">
        <v>0.99973420000000002</v>
      </c>
      <c r="AB2381">
        <v>46</v>
      </c>
      <c r="AC2381">
        <v>109.9498</v>
      </c>
      <c r="AD2381">
        <v>-1.1080998635949999</v>
      </c>
      <c r="AE2381">
        <v>1.2309000000000101</v>
      </c>
      <c r="AF2381">
        <v>-2.5460865032658302</v>
      </c>
      <c r="AG2381">
        <v>-1.1080998635949999</v>
      </c>
      <c r="AH2381">
        <v>109.91603923816901</v>
      </c>
      <c r="AI2381">
        <v>90.577443206266693</v>
      </c>
      <c r="AJ2381">
        <v>91.326957638218801</v>
      </c>
      <c r="AK2381">
        <v>109.951107877986</v>
      </c>
      <c r="AL2381">
        <v>93.966690460577695</v>
      </c>
      <c r="AM2381">
        <v>92.453858794705297</v>
      </c>
      <c r="AN2381">
        <v>1.0000000430798499</v>
      </c>
    </row>
    <row r="2382" spans="1:40" x14ac:dyDescent="0.25">
      <c r="A2382" t="str">
        <f>"20190305135632414"</f>
        <v>20190305135632414</v>
      </c>
      <c r="B2382" t="str">
        <f>"1551765392404265"</f>
        <v>1551765392404265</v>
      </c>
      <c r="C2382" t="s">
        <v>40</v>
      </c>
      <c r="D2382">
        <v>4.3279740000000002</v>
      </c>
      <c r="E2382">
        <v>0.50925959999999904</v>
      </c>
      <c r="F2382" t="s">
        <v>54</v>
      </c>
      <c r="G2382">
        <v>-198.25210000000001</v>
      </c>
      <c r="H2382" s="1">
        <v>2.3104610000000001E-6</v>
      </c>
      <c r="I2382">
        <v>216.7937</v>
      </c>
      <c r="J2382">
        <v>-314.19940000000003</v>
      </c>
      <c r="K2382">
        <v>1.108114</v>
      </c>
      <c r="L2382">
        <v>215.46</v>
      </c>
      <c r="M2382">
        <v>0.99981520000000002</v>
      </c>
      <c r="N2382">
        <v>-1.4655359999999999E-2</v>
      </c>
      <c r="O2382">
        <v>-1.2452090000000001E-2</v>
      </c>
      <c r="P2382">
        <v>0.99605390000000005</v>
      </c>
      <c r="Q2382">
        <v>-8.2890850000000002E-2</v>
      </c>
      <c r="R2382">
        <v>3.1715689999999998E-2</v>
      </c>
      <c r="S2382">
        <v>3.008575</v>
      </c>
      <c r="T2382">
        <v>-2.8632040000000001E-2</v>
      </c>
      <c r="U2382">
        <v>3.4301760000000001E-2</v>
      </c>
      <c r="V2382">
        <v>-4.4218349999999997E-2</v>
      </c>
      <c r="W2382">
        <v>-6.8225820000000006E-2</v>
      </c>
      <c r="X2382">
        <v>0.99668950000000001</v>
      </c>
      <c r="Y2382">
        <v>-2.384942E-2</v>
      </c>
      <c r="Z2382">
        <v>2.2426609999999999E-4</v>
      </c>
      <c r="AA2382">
        <v>0.99971560000000004</v>
      </c>
      <c r="AB2382">
        <v>46</v>
      </c>
      <c r="AC2382">
        <v>115.9473</v>
      </c>
      <c r="AD2382">
        <v>-1.108111689539</v>
      </c>
      <c r="AE2382">
        <v>1.3336999999999899</v>
      </c>
      <c r="AF2382">
        <v>-2.7772840350096</v>
      </c>
      <c r="AG2382">
        <v>-1.108111689539</v>
      </c>
      <c r="AH2382">
        <v>115.911113961133</v>
      </c>
      <c r="AI2382">
        <v>90.547574527769498</v>
      </c>
      <c r="AJ2382">
        <v>91.372570817615895</v>
      </c>
      <c r="AK2382">
        <v>115.949676833696</v>
      </c>
      <c r="AL2382">
        <v>93.912090558048405</v>
      </c>
      <c r="AM2382">
        <v>92.540274147160005</v>
      </c>
      <c r="AN2382">
        <v>0.99999999220082203</v>
      </c>
    </row>
    <row r="2383" spans="1:40" x14ac:dyDescent="0.25">
      <c r="A2383" t="str">
        <f>"20190305135632435"</f>
        <v>20190305135632435</v>
      </c>
      <c r="B2383" t="str">
        <f>"1551765392424761"</f>
        <v>1551765392424761</v>
      </c>
      <c r="C2383" t="s">
        <v>40</v>
      </c>
      <c r="D2383">
        <v>4.3585589999999996</v>
      </c>
      <c r="E2383">
        <v>0.50947120000000001</v>
      </c>
      <c r="F2383" t="s">
        <v>54</v>
      </c>
      <c r="G2383">
        <v>-201.8776</v>
      </c>
      <c r="H2383" s="1">
        <v>2.8586839999999998E-6</v>
      </c>
      <c r="I2383">
        <v>216.8005</v>
      </c>
      <c r="J2383">
        <v>-313.7457</v>
      </c>
      <c r="K2383">
        <v>1.108128</v>
      </c>
      <c r="L2383">
        <v>215.45400000000001</v>
      </c>
      <c r="M2383">
        <v>0.99980959999999997</v>
      </c>
      <c r="N2383">
        <v>-1.465895E-2</v>
      </c>
      <c r="O2383">
        <v>-1.2889609999999999E-2</v>
      </c>
      <c r="P2383">
        <v>0.99603529999999996</v>
      </c>
      <c r="Q2383">
        <v>-8.2585370000000005E-2</v>
      </c>
      <c r="R2383">
        <v>3.307069E-2</v>
      </c>
      <c r="S2383">
        <v>3.00827</v>
      </c>
      <c r="T2383">
        <v>-2.9678110000000001E-2</v>
      </c>
      <c r="U2383">
        <v>3.5903930000000001E-2</v>
      </c>
      <c r="V2383">
        <v>-4.6006699999999998E-2</v>
      </c>
      <c r="W2383">
        <v>-6.7916199999999996E-2</v>
      </c>
      <c r="X2383">
        <v>0.99662969999999895</v>
      </c>
      <c r="Y2383">
        <v>-2.4820160000000001E-2</v>
      </c>
      <c r="Z2383">
        <v>2.4257099999999999E-4</v>
      </c>
      <c r="AA2383">
        <v>0.99969189999999997</v>
      </c>
      <c r="AB2383">
        <v>46</v>
      </c>
      <c r="AC2383">
        <v>111.8681</v>
      </c>
      <c r="AD2383">
        <v>-1.108125141316</v>
      </c>
      <c r="AE2383">
        <v>1.34649999999999</v>
      </c>
      <c r="AF2383">
        <v>-2.7882055131059298</v>
      </c>
      <c r="AG2383">
        <v>-1.108125141316</v>
      </c>
      <c r="AH2383">
        <v>111.83047549117499</v>
      </c>
      <c r="AI2383">
        <v>90.567547378639404</v>
      </c>
      <c r="AJ2383">
        <v>91.428227125638799</v>
      </c>
      <c r="AK2383">
        <v>111.87071681139101</v>
      </c>
      <c r="AL2383">
        <v>93.894309392481304</v>
      </c>
      <c r="AM2383">
        <v>92.643027532511795</v>
      </c>
      <c r="AN2383">
        <v>0.99999999279470897</v>
      </c>
    </row>
    <row r="2384" spans="1:40" x14ac:dyDescent="0.25">
      <c r="A2384" t="str">
        <f>"20190305135632466"</f>
        <v>20190305135632466</v>
      </c>
      <c r="B2384" t="str">
        <f>"1551765392464776"</f>
        <v>1551765392464776</v>
      </c>
      <c r="C2384" t="s">
        <v>40</v>
      </c>
      <c r="D2384">
        <v>4.3212669999999997</v>
      </c>
      <c r="E2384">
        <v>0.50995709999999905</v>
      </c>
      <c r="F2384" t="s">
        <v>55</v>
      </c>
      <c r="G2384">
        <v>-210.00710000000001</v>
      </c>
      <c r="H2384" s="1">
        <v>-1.6269540000000001E-6</v>
      </c>
      <c r="I2384">
        <v>216.7654</v>
      </c>
      <c r="J2384">
        <v>-313.09399999999999</v>
      </c>
      <c r="K2384">
        <v>1.1081540000000001</v>
      </c>
      <c r="L2384">
        <v>215.4451</v>
      </c>
      <c r="M2384">
        <v>0.99980159999999996</v>
      </c>
      <c r="N2384">
        <v>-1.4662669999999999E-2</v>
      </c>
      <c r="O2384">
        <v>-1.3485179999999999E-2</v>
      </c>
      <c r="P2384">
        <v>0.99582219999999999</v>
      </c>
      <c r="Q2384">
        <v>-8.4184460000000003E-2</v>
      </c>
      <c r="R2384">
        <v>3.5373679999999998E-2</v>
      </c>
      <c r="S2384">
        <v>3.0080260000000001</v>
      </c>
      <c r="T2384">
        <v>-3.2131550000000002E-2</v>
      </c>
      <c r="U2384">
        <v>3.80249E-2</v>
      </c>
      <c r="V2384">
        <v>-4.8898110000000002E-2</v>
      </c>
      <c r="W2384">
        <v>-6.9514069999999997E-2</v>
      </c>
      <c r="X2384">
        <v>0.99638179999999998</v>
      </c>
      <c r="Y2384">
        <v>-2.6120899999999999E-2</v>
      </c>
      <c r="Z2384">
        <v>2.773373E-4</v>
      </c>
      <c r="AA2384">
        <v>0.99965879999999996</v>
      </c>
      <c r="AB2384">
        <v>46</v>
      </c>
      <c r="AC2384">
        <v>103.0869</v>
      </c>
      <c r="AD2384">
        <v>-1.1081556269540001</v>
      </c>
      <c r="AE2384">
        <v>1.3203</v>
      </c>
      <c r="AF2384">
        <v>-2.7101615995397599</v>
      </c>
      <c r="AG2384">
        <v>-1.1081556269540001</v>
      </c>
      <c r="AH2384">
        <v>103.047812085435</v>
      </c>
      <c r="AI2384">
        <v>90.615910683369606</v>
      </c>
      <c r="AJ2384">
        <v>91.506534015503604</v>
      </c>
      <c r="AK2384">
        <v>103.08940081494499</v>
      </c>
      <c r="AL2384">
        <v>93.986077646640993</v>
      </c>
      <c r="AM2384">
        <v>92.809574988623197</v>
      </c>
      <c r="AN2384">
        <v>0.99999996123038704</v>
      </c>
    </row>
    <row r="2385" spans="1:40" x14ac:dyDescent="0.25">
      <c r="A2385" t="str">
        <f>"20190305135632489"</f>
        <v>20190305135632489</v>
      </c>
      <c r="B2385" t="str">
        <f>"1551765392484297"</f>
        <v>1551765392484297</v>
      </c>
      <c r="C2385" t="s">
        <v>40</v>
      </c>
      <c r="D2385">
        <v>4.3222940000000003</v>
      </c>
      <c r="E2385">
        <v>0.51017190000000001</v>
      </c>
      <c r="F2385" t="s">
        <v>55</v>
      </c>
      <c r="G2385">
        <v>-235.99250000000001</v>
      </c>
      <c r="H2385" s="1">
        <v>1.5701739999999999E-6</v>
      </c>
      <c r="I2385">
        <v>216.4915</v>
      </c>
      <c r="J2385">
        <v>-312.62939999999998</v>
      </c>
      <c r="K2385">
        <v>1.1081799999999999</v>
      </c>
      <c r="L2385">
        <v>215.4385</v>
      </c>
      <c r="M2385">
        <v>0.99979640000000003</v>
      </c>
      <c r="N2385">
        <v>-1.4664399999999999E-2</v>
      </c>
      <c r="O2385">
        <v>-1.386631E-2</v>
      </c>
      <c r="P2385">
        <v>0.99583920000000004</v>
      </c>
      <c r="Q2385">
        <v>-8.3466699999999894E-2</v>
      </c>
      <c r="R2385">
        <v>3.657407E-2</v>
      </c>
      <c r="S2385">
        <v>3.0074770000000002</v>
      </c>
      <c r="T2385">
        <v>-4.3225409999999999E-2</v>
      </c>
      <c r="U2385">
        <v>4.0817260000000001E-2</v>
      </c>
      <c r="V2385">
        <v>-5.0471759999999997E-2</v>
      </c>
      <c r="W2385">
        <v>-6.8796280000000001E-2</v>
      </c>
      <c r="X2385">
        <v>0.99635320000000005</v>
      </c>
      <c r="Y2385">
        <v>-2.7430179999999998E-2</v>
      </c>
      <c r="Z2385">
        <v>3.9420059999999997E-4</v>
      </c>
      <c r="AA2385">
        <v>0.9996237</v>
      </c>
      <c r="AB2385">
        <v>46</v>
      </c>
      <c r="AC2385">
        <v>76.636899999999898</v>
      </c>
      <c r="AD2385">
        <v>-1.108178429826</v>
      </c>
      <c r="AE2385">
        <v>1.0529999999999899</v>
      </c>
      <c r="AF2385">
        <v>-2.1152417446943401</v>
      </c>
      <c r="AG2385">
        <v>-1.108178429826</v>
      </c>
      <c r="AH2385">
        <v>76.598914183491104</v>
      </c>
      <c r="AI2385">
        <v>90.828540825686801</v>
      </c>
      <c r="AJ2385">
        <v>91.581793083338297</v>
      </c>
      <c r="AK2385">
        <v>76.636126997393802</v>
      </c>
      <c r="AL2385">
        <v>93.944852406074205</v>
      </c>
      <c r="AM2385">
        <v>92.899924532269296</v>
      </c>
      <c r="AN2385">
        <v>1.0000000129247799</v>
      </c>
    </row>
    <row r="2386" spans="1:40" x14ac:dyDescent="0.25">
      <c r="A2386" t="str">
        <f>"20190305135632512"</f>
        <v>20190305135632512</v>
      </c>
      <c r="B2386" t="str">
        <f>"1551765392504793"</f>
        <v>1551765392504793</v>
      </c>
      <c r="C2386" t="s">
        <v>40</v>
      </c>
      <c r="D2386">
        <v>4.2938320000000001</v>
      </c>
      <c r="E2386">
        <v>0.51010509999999998</v>
      </c>
      <c r="F2386" t="s">
        <v>55</v>
      </c>
      <c r="G2386">
        <v>-234.96700000000001</v>
      </c>
      <c r="H2386" s="1">
        <v>1.0222839999999999E-6</v>
      </c>
      <c r="I2386">
        <v>216.54060000000001</v>
      </c>
      <c r="J2386">
        <v>-312.1429</v>
      </c>
      <c r="K2386">
        <v>1.1082320000000001</v>
      </c>
      <c r="L2386">
        <v>215.4315</v>
      </c>
      <c r="M2386">
        <v>0.99979200000000001</v>
      </c>
      <c r="N2386">
        <v>-1.466537E-2</v>
      </c>
      <c r="O2386">
        <v>-1.417998E-2</v>
      </c>
      <c r="P2386">
        <v>0.99590000000000001</v>
      </c>
      <c r="Q2386">
        <v>-8.2618090000000005E-2</v>
      </c>
      <c r="R2386">
        <v>3.684453E-2</v>
      </c>
      <c r="S2386">
        <v>3.0073850000000002</v>
      </c>
      <c r="T2386">
        <v>-4.291296E-2</v>
      </c>
      <c r="U2386">
        <v>4.2678830000000001E-2</v>
      </c>
      <c r="V2386">
        <v>-5.1045300000000002E-2</v>
      </c>
      <c r="W2386">
        <v>-6.7952120000000005E-2</v>
      </c>
      <c r="X2386">
        <v>0.99638190000000004</v>
      </c>
      <c r="Y2386">
        <v>-2.8362709999999999E-2</v>
      </c>
      <c r="Z2386">
        <v>4.0471460000000002E-4</v>
      </c>
      <c r="AA2386">
        <v>0.99959759999999998</v>
      </c>
      <c r="AB2386">
        <v>46</v>
      </c>
      <c r="AC2386">
        <v>77.175899999999899</v>
      </c>
      <c r="AD2386">
        <v>-1.108230977716</v>
      </c>
      <c r="AE2386">
        <v>1.10910000000001</v>
      </c>
      <c r="AF2386">
        <v>-2.2030046087688699</v>
      </c>
      <c r="AG2386">
        <v>-1.108230977716</v>
      </c>
      <c r="AH2386">
        <v>77.136507711411596</v>
      </c>
      <c r="AI2386">
        <v>90.822784390622601</v>
      </c>
      <c r="AJ2386">
        <v>91.635912337893501</v>
      </c>
      <c r="AK2386">
        <v>77.175917403804704</v>
      </c>
      <c r="AL2386">
        <v>93.896372186681603</v>
      </c>
      <c r="AM2386">
        <v>92.932736523700996</v>
      </c>
      <c r="AN2386">
        <v>1.00000000195609</v>
      </c>
    </row>
    <row r="2387" spans="1:40" x14ac:dyDescent="0.25">
      <c r="A2387" t="str">
        <f>"20190305135632535"</f>
        <v>20190305135632535</v>
      </c>
      <c r="B2387" t="str">
        <f>"1551765392524313"</f>
        <v>1551765392524313</v>
      </c>
      <c r="C2387" t="s">
        <v>40</v>
      </c>
      <c r="D2387">
        <v>4.3686569999999998</v>
      </c>
      <c r="E2387">
        <v>0.49318840000000003</v>
      </c>
      <c r="F2387" t="s">
        <v>55</v>
      </c>
      <c r="G2387">
        <v>-230.54239999999999</v>
      </c>
      <c r="H2387" s="1">
        <v>-1.335217E-6</v>
      </c>
      <c r="I2387">
        <v>216.60769999999999</v>
      </c>
      <c r="J2387">
        <v>-311.68610000000001</v>
      </c>
      <c r="K2387">
        <v>1.1082959999999999</v>
      </c>
      <c r="L2387">
        <v>215.4248</v>
      </c>
      <c r="M2387">
        <v>0.99978889999999998</v>
      </c>
      <c r="N2387">
        <v>-1.4665569999999999E-2</v>
      </c>
      <c r="O2387">
        <v>-1.439674E-2</v>
      </c>
      <c r="P2387">
        <v>0.99584030000000001</v>
      </c>
      <c r="Q2387">
        <v>-8.3052870000000001E-2</v>
      </c>
      <c r="R2387">
        <v>3.7478409999999997E-2</v>
      </c>
      <c r="S2387">
        <v>3.007355</v>
      </c>
      <c r="T2387">
        <v>-4.0843490000000003E-2</v>
      </c>
      <c r="U2387">
        <v>4.3350220000000002E-2</v>
      </c>
      <c r="V2387">
        <v>-5.188371E-2</v>
      </c>
      <c r="W2387">
        <v>-6.8395070000000002E-2</v>
      </c>
      <c r="X2387">
        <v>0.99630830000000004</v>
      </c>
      <c r="Y2387">
        <v>-2.880301E-2</v>
      </c>
      <c r="Z2387">
        <v>3.9118760000000002E-4</v>
      </c>
      <c r="AA2387">
        <v>0.99958499999999995</v>
      </c>
      <c r="AB2387">
        <v>46</v>
      </c>
      <c r="AC2387">
        <v>81.143699999999995</v>
      </c>
      <c r="AD2387">
        <v>-1.108297335217</v>
      </c>
      <c r="AE2387">
        <v>1.1828999999999801</v>
      </c>
      <c r="AF2387">
        <v>-2.3506692369181899</v>
      </c>
      <c r="AG2387">
        <v>-1.108297335217</v>
      </c>
      <c r="AH2387">
        <v>81.1031300098728</v>
      </c>
      <c r="AI2387">
        <v>90.782585791376206</v>
      </c>
      <c r="AJ2387">
        <v>91.660179224291198</v>
      </c>
      <c r="AK2387">
        <v>81.144757478490007</v>
      </c>
      <c r="AL2387">
        <v>93.921810477024394</v>
      </c>
      <c r="AM2387">
        <v>92.981039834249898</v>
      </c>
      <c r="AN2387">
        <v>1.0000000168062699</v>
      </c>
    </row>
    <row r="2388" spans="1:40" x14ac:dyDescent="0.25">
      <c r="A2388" t="str">
        <f>"20190305135632556"</f>
        <v>20190305135632556</v>
      </c>
      <c r="B2388" t="str">
        <f>"1551765392544809"</f>
        <v>1551765392544809</v>
      </c>
      <c r="C2388" t="s">
        <v>40</v>
      </c>
      <c r="D2388">
        <v>4.3338419999999998</v>
      </c>
      <c r="E2388">
        <v>0.4941661</v>
      </c>
      <c r="F2388" t="s">
        <v>69</v>
      </c>
      <c r="G2388">
        <v>-168.35059999999999</v>
      </c>
      <c r="H2388">
        <v>2.7379669999999998</v>
      </c>
      <c r="I2388">
        <v>224.23169999999999</v>
      </c>
      <c r="J2388">
        <v>-311.24939999999998</v>
      </c>
      <c r="K2388">
        <v>1.1083559999999999</v>
      </c>
      <c r="L2388">
        <v>215.41839999999999</v>
      </c>
      <c r="M2388">
        <v>0.99978670000000003</v>
      </c>
      <c r="N2388">
        <v>-1.466542E-2</v>
      </c>
      <c r="O2388">
        <v>-1.4539099999999999E-2</v>
      </c>
      <c r="P2388">
        <v>0.99581059999999999</v>
      </c>
      <c r="Q2388">
        <v>-8.3141709999999994E-2</v>
      </c>
      <c r="R2388">
        <v>3.8063529999999998E-2</v>
      </c>
      <c r="S2388">
        <v>3.0084230000000001</v>
      </c>
      <c r="T2388">
        <v>3.420579E-2</v>
      </c>
      <c r="U2388">
        <v>0.18484500000000001</v>
      </c>
      <c r="V2388">
        <v>-5.259929E-2</v>
      </c>
      <c r="W2388">
        <v>-6.8492600000000001E-2</v>
      </c>
      <c r="X2388">
        <v>0.99626400000000004</v>
      </c>
      <c r="Y2388">
        <v>-7.5830159999999994E-2</v>
      </c>
      <c r="Z2388">
        <v>-2.5224710000000002E-4</v>
      </c>
      <c r="AA2388">
        <v>0.99712069999999997</v>
      </c>
      <c r="AB2388">
        <v>46</v>
      </c>
      <c r="AC2388">
        <v>142.89879999999999</v>
      </c>
      <c r="AD2388">
        <v>1.6296109999999999</v>
      </c>
      <c r="AE2388">
        <v>8.8132999999999893</v>
      </c>
      <c r="AF2388">
        <v>-10.8888010239541</v>
      </c>
      <c r="AG2388">
        <v>1.6296109999999999</v>
      </c>
      <c r="AH2388">
        <v>142.73704872442599</v>
      </c>
      <c r="AI2388">
        <v>89.347784554527095</v>
      </c>
      <c r="AJ2388">
        <v>94.362401533863107</v>
      </c>
      <c r="AK2388">
        <v>143.16105161079901</v>
      </c>
      <c r="AL2388">
        <v>93.927411972845803</v>
      </c>
      <c r="AM2388">
        <v>93.022212763316404</v>
      </c>
      <c r="AN2388">
        <v>0.99999993962962996</v>
      </c>
    </row>
    <row r="2389" spans="1:40" x14ac:dyDescent="0.25">
      <c r="A2389" t="str">
        <f>"20190305135632577"</f>
        <v>20190305135632577</v>
      </c>
      <c r="B2389" t="str">
        <f>"1551765392574089"</f>
        <v>1551765392574089</v>
      </c>
      <c r="C2389" t="s">
        <v>40</v>
      </c>
      <c r="D2389">
        <v>4.2509880000000004</v>
      </c>
      <c r="E2389">
        <v>0.49482930000000003</v>
      </c>
      <c r="F2389" t="s">
        <v>69</v>
      </c>
      <c r="G2389">
        <v>-168.35059999999999</v>
      </c>
      <c r="H2389">
        <v>2.6712379999999998</v>
      </c>
      <c r="I2389">
        <v>223.893</v>
      </c>
      <c r="J2389">
        <v>-310.79020000000003</v>
      </c>
      <c r="K2389">
        <v>1.1084290000000001</v>
      </c>
      <c r="L2389">
        <v>215.4117</v>
      </c>
      <c r="M2389">
        <v>0.9997857</v>
      </c>
      <c r="N2389">
        <v>-1.4665060000000001E-2</v>
      </c>
      <c r="O2389">
        <v>-1.460642E-2</v>
      </c>
      <c r="P2389">
        <v>0.99577800000000005</v>
      </c>
      <c r="Q2389">
        <v>-8.3216399999999996E-2</v>
      </c>
      <c r="R2389">
        <v>3.8745439999999999E-2</v>
      </c>
      <c r="S2389">
        <v>3.0085449999999998</v>
      </c>
      <c r="T2389">
        <v>3.2905579999999997E-2</v>
      </c>
      <c r="U2389">
        <v>0.178421</v>
      </c>
      <c r="V2389">
        <v>-5.3334350000000003E-2</v>
      </c>
      <c r="W2389">
        <v>-6.8577680000000002E-2</v>
      </c>
      <c r="X2389">
        <v>0.99621910000000002</v>
      </c>
      <c r="Y2389">
        <v>-7.3773530000000004E-2</v>
      </c>
      <c r="Z2389">
        <v>-2.3525210000000001E-4</v>
      </c>
      <c r="AA2389">
        <v>0.99727500000000002</v>
      </c>
      <c r="AB2389">
        <v>46</v>
      </c>
      <c r="AC2389">
        <v>142.43960000000001</v>
      </c>
      <c r="AD2389">
        <v>1.5628089999999999</v>
      </c>
      <c r="AE2389">
        <v>8.4812999999999992</v>
      </c>
      <c r="AF2389">
        <v>-10.5598848591522</v>
      </c>
      <c r="AG2389">
        <v>1.5628089999999999</v>
      </c>
      <c r="AH2389">
        <v>142.283439178436</v>
      </c>
      <c r="AI2389">
        <v>89.372427354540804</v>
      </c>
      <c r="AJ2389">
        <v>94.244553035965097</v>
      </c>
      <c r="AK2389">
        <v>142.68332279791099</v>
      </c>
      <c r="AL2389">
        <v>93.932298055006996</v>
      </c>
      <c r="AM2389">
        <v>93.064505228213903</v>
      </c>
      <c r="AN2389">
        <v>0.99999997314445699</v>
      </c>
    </row>
    <row r="2390" spans="1:40" x14ac:dyDescent="0.25">
      <c r="A2390" t="str">
        <f>"20190305135632602"</f>
        <v>20190305135632602</v>
      </c>
      <c r="B2390" t="str">
        <f>"1551765392594585"</f>
        <v>1551765392594585</v>
      </c>
      <c r="C2390" t="s">
        <v>40</v>
      </c>
      <c r="D2390">
        <v>4.2764199999999999</v>
      </c>
      <c r="E2390">
        <v>0.49599720000000003</v>
      </c>
      <c r="F2390" t="s">
        <v>69</v>
      </c>
      <c r="G2390">
        <v>-168.35059999999999</v>
      </c>
      <c r="H2390">
        <v>2.769495</v>
      </c>
      <c r="I2390">
        <v>223.70509999999999</v>
      </c>
      <c r="J2390">
        <v>-310.29629999999997</v>
      </c>
      <c r="K2390">
        <v>1.1085290000000001</v>
      </c>
      <c r="L2390">
        <v>215.40450000000001</v>
      </c>
      <c r="M2390">
        <v>0.99978650000000002</v>
      </c>
      <c r="N2390">
        <v>-1.466435E-2</v>
      </c>
      <c r="O2390">
        <v>-1.456496E-2</v>
      </c>
      <c r="P2390">
        <v>0.99572289999999997</v>
      </c>
      <c r="Q2390">
        <v>-8.3543640000000002E-2</v>
      </c>
      <c r="R2390">
        <v>3.9457140000000002E-2</v>
      </c>
      <c r="S2390">
        <v>3.0088200000000001</v>
      </c>
      <c r="T2390">
        <v>3.5088660000000001E-2</v>
      </c>
      <c r="U2390">
        <v>0.17518619999999999</v>
      </c>
      <c r="V2390">
        <v>-5.3988609999999999E-2</v>
      </c>
      <c r="W2390">
        <v>-6.8918519999999997E-2</v>
      </c>
      <c r="X2390">
        <v>0.99616039999999995</v>
      </c>
      <c r="Y2390">
        <v>-7.2657749999999993E-2</v>
      </c>
      <c r="Z2390">
        <v>-2.7318079999999998E-4</v>
      </c>
      <c r="AA2390">
        <v>0.99735689999999999</v>
      </c>
      <c r="AB2390">
        <v>46</v>
      </c>
      <c r="AC2390">
        <v>141.94569999999999</v>
      </c>
      <c r="AD2390">
        <v>1.6609659999999999</v>
      </c>
      <c r="AE2390">
        <v>8.3005999999999691</v>
      </c>
      <c r="AF2390">
        <v>-10.365960361918701</v>
      </c>
      <c r="AG2390">
        <v>1.6609659999999999</v>
      </c>
      <c r="AH2390">
        <v>141.79038080097499</v>
      </c>
      <c r="AI2390">
        <v>89.330640632716296</v>
      </c>
      <c r="AJ2390">
        <v>94.181320570168594</v>
      </c>
      <c r="AK2390">
        <v>142.178493556387</v>
      </c>
      <c r="AL2390">
        <v>93.951872807994604</v>
      </c>
      <c r="AM2390">
        <v>93.102207405494994</v>
      </c>
      <c r="AN2390">
        <v>1.0000000374684399</v>
      </c>
    </row>
    <row r="2391" spans="1:40" x14ac:dyDescent="0.25">
      <c r="A2391" t="str">
        <f>"20190305135632625"</f>
        <v>20190305135632625</v>
      </c>
      <c r="B2391" t="str">
        <f>"1551765392615081"</f>
        <v>1551765392615081</v>
      </c>
      <c r="C2391" t="s">
        <v>40</v>
      </c>
      <c r="D2391">
        <v>4.2948339999999998</v>
      </c>
      <c r="E2391">
        <v>0.49626710000000002</v>
      </c>
      <c r="F2391" t="s">
        <v>69</v>
      </c>
      <c r="G2391">
        <v>-168.35059999999999</v>
      </c>
      <c r="H2391">
        <v>2.8753820000000001</v>
      </c>
      <c r="I2391">
        <v>223.35230000000001</v>
      </c>
      <c r="J2391">
        <v>-309.8272</v>
      </c>
      <c r="K2391">
        <v>1.1086389999999999</v>
      </c>
      <c r="L2391">
        <v>215.39779999999999</v>
      </c>
      <c r="M2391">
        <v>0.99978880000000003</v>
      </c>
      <c r="N2391">
        <v>-1.466343E-2</v>
      </c>
      <c r="O2391">
        <v>-1.4408590000000001E-2</v>
      </c>
      <c r="P2391">
        <v>0.99568780000000001</v>
      </c>
      <c r="Q2391">
        <v>-8.3905690000000005E-2</v>
      </c>
      <c r="R2391">
        <v>3.957053E-2</v>
      </c>
      <c r="S2391">
        <v>3.0093990000000002</v>
      </c>
      <c r="T2391">
        <v>3.746033E-2</v>
      </c>
      <c r="U2391">
        <v>0.16850279999999901</v>
      </c>
      <c r="V2391">
        <v>-5.3928780000000003E-2</v>
      </c>
      <c r="W2391">
        <v>-6.9295380000000004E-2</v>
      </c>
      <c r="X2391">
        <v>0.99613739999999995</v>
      </c>
      <c r="Y2391">
        <v>-7.0282090000000005E-2</v>
      </c>
      <c r="Z2391">
        <v>-3.116657E-4</v>
      </c>
      <c r="AA2391">
        <v>0.9975271</v>
      </c>
      <c r="AB2391">
        <v>46</v>
      </c>
      <c r="AC2391">
        <v>141.47659999999999</v>
      </c>
      <c r="AD2391">
        <v>1.766743</v>
      </c>
      <c r="AE2391">
        <v>7.9545000000000199</v>
      </c>
      <c r="AF2391">
        <v>-9.9908181815931201</v>
      </c>
      <c r="AG2391">
        <v>1.766743</v>
      </c>
      <c r="AH2391">
        <v>141.325315013356</v>
      </c>
      <c r="AI2391">
        <v>89.285551340910999</v>
      </c>
      <c r="AJ2391">
        <v>94.043726833011803</v>
      </c>
      <c r="AK2391">
        <v>141.689034481818</v>
      </c>
      <c r="AL2391">
        <v>93.973517423159606</v>
      </c>
      <c r="AM2391">
        <v>93.098847661971107</v>
      </c>
      <c r="AN2391">
        <v>0.99999994134019399</v>
      </c>
    </row>
    <row r="2392" spans="1:40" x14ac:dyDescent="0.25">
      <c r="A2392" t="str">
        <f>"20190305135632646"</f>
        <v>20190305135632646</v>
      </c>
      <c r="B2392" t="str">
        <f>"1551765392634602"</f>
        <v>1551765392634602</v>
      </c>
      <c r="C2392" t="s">
        <v>40</v>
      </c>
      <c r="D2392">
        <v>4.3095420000000004</v>
      </c>
      <c r="E2392">
        <v>0.49647469999999999</v>
      </c>
      <c r="F2392" t="s">
        <v>69</v>
      </c>
      <c r="G2392">
        <v>-168.35059999999999</v>
      </c>
      <c r="H2392">
        <v>2.888414</v>
      </c>
      <c r="I2392">
        <v>223.24289999999999</v>
      </c>
      <c r="J2392">
        <v>-309.40629999999999</v>
      </c>
      <c r="K2392">
        <v>1.108744</v>
      </c>
      <c r="L2392">
        <v>215.39179999999999</v>
      </c>
      <c r="M2392">
        <v>0.99979200000000001</v>
      </c>
      <c r="N2392">
        <v>-1.466249E-2</v>
      </c>
      <c r="O2392">
        <v>-1.417534E-2</v>
      </c>
      <c r="P2392">
        <v>0.99572799999999995</v>
      </c>
      <c r="Q2392">
        <v>-8.3020629999999998E-2</v>
      </c>
      <c r="R2392">
        <v>4.0417870000000002E-2</v>
      </c>
      <c r="S2392">
        <v>3.0095519999999998</v>
      </c>
      <c r="T2392">
        <v>3.7861350000000002E-2</v>
      </c>
      <c r="U2392">
        <v>0.16688539999999999</v>
      </c>
      <c r="V2392">
        <v>-5.4527689999999997E-2</v>
      </c>
      <c r="W2392">
        <v>-6.8423639999999994E-2</v>
      </c>
      <c r="X2392">
        <v>0.99616510000000003</v>
      </c>
      <c r="Y2392">
        <v>-6.9512060000000001E-2</v>
      </c>
      <c r="Z2392">
        <v>-3.1273169999999998E-4</v>
      </c>
      <c r="AA2392">
        <v>0.9975811</v>
      </c>
      <c r="AB2392">
        <v>46</v>
      </c>
      <c r="AC2392">
        <v>141.0557</v>
      </c>
      <c r="AD2392">
        <v>1.7796700000000001</v>
      </c>
      <c r="AE2392">
        <v>7.8510999999999997</v>
      </c>
      <c r="AF2392">
        <v>-9.8484756231087793</v>
      </c>
      <c r="AG2392">
        <v>1.7796700000000001</v>
      </c>
      <c r="AH2392">
        <v>140.90785946320199</v>
      </c>
      <c r="AI2392">
        <v>89.278152051392695</v>
      </c>
      <c r="AJ2392">
        <v>93.998073193286302</v>
      </c>
      <c r="AK2392">
        <v>141.26282085499199</v>
      </c>
      <c r="AL2392">
        <v>93.923451386316202</v>
      </c>
      <c r="AM2392">
        <v>93.133106998403903</v>
      </c>
      <c r="AN2392">
        <v>0.99999998497279696</v>
      </c>
    </row>
    <row r="2393" spans="1:40" x14ac:dyDescent="0.25">
      <c r="A2393" t="str">
        <f>"20190305135632667"</f>
        <v>20190305135632667</v>
      </c>
      <c r="B2393" t="str">
        <f>"1551765392664857"</f>
        <v>1551765392664857</v>
      </c>
      <c r="C2393" t="s">
        <v>40</v>
      </c>
      <c r="D2393">
        <v>4.3351280000000001</v>
      </c>
      <c r="E2393">
        <v>0.4963497</v>
      </c>
      <c r="F2393" t="s">
        <v>69</v>
      </c>
      <c r="G2393">
        <v>-168.35059999999999</v>
      </c>
      <c r="H2393">
        <v>3.0149689999999998</v>
      </c>
      <c r="I2393">
        <v>223.26179999999999</v>
      </c>
      <c r="J2393">
        <v>-308.9597</v>
      </c>
      <c r="K2393">
        <v>1.108859</v>
      </c>
      <c r="L2393">
        <v>215.38570000000001</v>
      </c>
      <c r="M2393">
        <v>0.99979660000000004</v>
      </c>
      <c r="N2393">
        <v>-1.466133E-2</v>
      </c>
      <c r="O2393">
        <v>-1.385288E-2</v>
      </c>
      <c r="P2393">
        <v>0.99573370000000005</v>
      </c>
      <c r="Q2393">
        <v>-8.2374470000000005E-2</v>
      </c>
      <c r="R2393">
        <v>4.1578990000000003E-2</v>
      </c>
      <c r="S2393">
        <v>3.0094599999999998</v>
      </c>
      <c r="T2393">
        <v>4.0670989999999997E-2</v>
      </c>
      <c r="U2393">
        <v>0.16790769999999999</v>
      </c>
      <c r="V2393">
        <v>-5.5351360000000002E-2</v>
      </c>
      <c r="W2393">
        <v>-6.7792270000000002E-2</v>
      </c>
      <c r="X2393">
        <v>0.99616280000000001</v>
      </c>
      <c r="Y2393">
        <v>-6.9529240000000006E-2</v>
      </c>
      <c r="Z2393">
        <v>-3.4931239999999998E-4</v>
      </c>
      <c r="AA2393">
        <v>0.99757989999999996</v>
      </c>
      <c r="AB2393">
        <v>46</v>
      </c>
      <c r="AC2393">
        <v>140.60910000000001</v>
      </c>
      <c r="AD2393">
        <v>1.90611</v>
      </c>
      <c r="AE2393">
        <v>7.8760999999999797</v>
      </c>
      <c r="AF2393">
        <v>-9.8215951102902608</v>
      </c>
      <c r="AG2393">
        <v>1.90611</v>
      </c>
      <c r="AH2393">
        <v>140.46075504964699</v>
      </c>
      <c r="AI2393">
        <v>89.224414042694093</v>
      </c>
      <c r="AJ2393">
        <v>93.999846683528006</v>
      </c>
      <c r="AK2393">
        <v>140.81662080507201</v>
      </c>
      <c r="AL2393">
        <v>93.887192511334902</v>
      </c>
      <c r="AM2393">
        <v>93.180345155809604</v>
      </c>
      <c r="AN2393">
        <v>0.99999994451471896</v>
      </c>
    </row>
    <row r="2394" spans="1:40" x14ac:dyDescent="0.25">
      <c r="A2394" t="str">
        <f>"20190305135632692"</f>
        <v>20190305135632692</v>
      </c>
      <c r="B2394" t="str">
        <f>"1551765392684378"</f>
        <v>1551765392684378</v>
      </c>
      <c r="C2394" t="s">
        <v>40</v>
      </c>
      <c r="D2394">
        <v>4.3500329999999998</v>
      </c>
      <c r="E2394">
        <v>0.49575039999999998</v>
      </c>
      <c r="F2394" t="s">
        <v>69</v>
      </c>
      <c r="G2394">
        <v>-168.35059999999999</v>
      </c>
      <c r="H2394">
        <v>2.81664</v>
      </c>
      <c r="I2394">
        <v>223.4503</v>
      </c>
      <c r="J2394">
        <v>-308.47739999999999</v>
      </c>
      <c r="K2394">
        <v>1.1089719999999901</v>
      </c>
      <c r="L2394">
        <v>215.3794</v>
      </c>
      <c r="M2394">
        <v>0.99980239999999998</v>
      </c>
      <c r="N2394">
        <v>-1.4659760000000001E-2</v>
      </c>
      <c r="O2394">
        <v>-1.3436480000000001E-2</v>
      </c>
      <c r="P2394">
        <v>0.99583920000000004</v>
      </c>
      <c r="Q2394">
        <v>-8.0067459999999993E-2</v>
      </c>
      <c r="R2394">
        <v>4.3518059999999997E-2</v>
      </c>
      <c r="S2394">
        <v>3.0086979999999999</v>
      </c>
      <c r="T2394">
        <v>3.6543609999999997E-2</v>
      </c>
      <c r="U2394">
        <v>0.17256160000000001</v>
      </c>
      <c r="V2394">
        <v>-5.6862469999999998E-2</v>
      </c>
      <c r="W2394">
        <v>-6.5499489999999994E-2</v>
      </c>
      <c r="X2394">
        <v>0.99623110000000004</v>
      </c>
      <c r="Y2394">
        <v>-7.0667129999999995E-2</v>
      </c>
      <c r="Z2394">
        <v>-2.7022759999999999E-4</v>
      </c>
      <c r="AA2394">
        <v>0.99749989999999999</v>
      </c>
      <c r="AB2394">
        <v>46</v>
      </c>
      <c r="AC2394">
        <v>140.1268</v>
      </c>
      <c r="AD2394">
        <v>1.707668</v>
      </c>
      <c r="AE2394">
        <v>8.0708999999999893</v>
      </c>
      <c r="AF2394">
        <v>-9.9517112074156202</v>
      </c>
      <c r="AG2394">
        <v>1.707668</v>
      </c>
      <c r="AH2394">
        <v>139.98497056397099</v>
      </c>
      <c r="AI2394">
        <v>89.302846299116197</v>
      </c>
      <c r="AJ2394">
        <v>94.066389233939901</v>
      </c>
      <c r="AK2394">
        <v>140.348653964867</v>
      </c>
      <c r="AL2394">
        <v>93.755533064174998</v>
      </c>
      <c r="AM2394">
        <v>93.266760532942101</v>
      </c>
      <c r="AN2394">
        <v>0.99999996414598402</v>
      </c>
    </row>
    <row r="2395" spans="1:40" x14ac:dyDescent="0.25">
      <c r="A2395" t="str">
        <f>"20190305135632713"</f>
        <v>20190305135632713</v>
      </c>
      <c r="B2395" t="str">
        <f>"1551765392704876"</f>
        <v>1551765392704876</v>
      </c>
      <c r="C2395" t="s">
        <v>40</v>
      </c>
      <c r="D2395">
        <v>4.3839410000000001</v>
      </c>
      <c r="E2395">
        <v>0.49532229999999999</v>
      </c>
      <c r="F2395" t="s">
        <v>69</v>
      </c>
      <c r="G2395">
        <v>-168.35059999999999</v>
      </c>
      <c r="H2395">
        <v>2.6720730000000001</v>
      </c>
      <c r="I2395">
        <v>223.8922</v>
      </c>
      <c r="J2395">
        <v>-308.01670000000001</v>
      </c>
      <c r="K2395">
        <v>1.109049</v>
      </c>
      <c r="L2395">
        <v>215.37350000000001</v>
      </c>
      <c r="M2395">
        <v>0.99980829999999998</v>
      </c>
      <c r="N2395">
        <v>-1.4657989999999999E-2</v>
      </c>
      <c r="O2395">
        <v>-1.2991040000000001E-2</v>
      </c>
      <c r="P2395">
        <v>0.99593860000000001</v>
      </c>
      <c r="Q2395">
        <v>-7.8106739999999994E-2</v>
      </c>
      <c r="R2395">
        <v>4.4787199999999902E-2</v>
      </c>
      <c r="S2395">
        <v>3.007263</v>
      </c>
      <c r="T2395">
        <v>3.3546920000000001E-2</v>
      </c>
      <c r="U2395">
        <v>0.18269350000000001</v>
      </c>
      <c r="V2395">
        <v>-5.7678720000000003E-2</v>
      </c>
      <c r="W2395">
        <v>-6.3550099999999998E-2</v>
      </c>
      <c r="X2395">
        <v>0.99631049999999999</v>
      </c>
      <c r="Y2395">
        <v>-7.3599490000000004E-2</v>
      </c>
      <c r="Z2395">
        <v>-2.0521180000000001E-4</v>
      </c>
      <c r="AA2395">
        <v>0.9972879</v>
      </c>
      <c r="AB2395">
        <v>46</v>
      </c>
      <c r="AC2395">
        <v>139.6661</v>
      </c>
      <c r="AD2395">
        <v>1.563024</v>
      </c>
      <c r="AE2395">
        <v>8.5186999999999902</v>
      </c>
      <c r="AF2395">
        <v>-10.331294468556299</v>
      </c>
      <c r="AG2395">
        <v>1.563024</v>
      </c>
      <c r="AH2395">
        <v>139.52622305435699</v>
      </c>
      <c r="AI2395">
        <v>89.359930602491801</v>
      </c>
      <c r="AJ2395">
        <v>94.234768810034097</v>
      </c>
      <c r="AK2395">
        <v>139.91692395573401</v>
      </c>
      <c r="AL2395">
        <v>93.643607737750699</v>
      </c>
      <c r="AM2395">
        <v>93.313287027259904</v>
      </c>
      <c r="AN2395">
        <v>1.0000000311805399</v>
      </c>
    </row>
    <row r="2396" spans="1:40" x14ac:dyDescent="0.25">
      <c r="A2396" t="str">
        <f>"20190305135632735"</f>
        <v>20190305135632735</v>
      </c>
      <c r="B2396" t="str">
        <f>"1551765392724393"</f>
        <v>1551765392724393</v>
      </c>
      <c r="C2396" t="s">
        <v>40</v>
      </c>
      <c r="D2396">
        <v>4.3881519999999998</v>
      </c>
      <c r="E2396">
        <v>0.49464710000000001</v>
      </c>
      <c r="F2396" t="s">
        <v>69</v>
      </c>
      <c r="G2396">
        <v>-168.35059999999999</v>
      </c>
      <c r="H2396">
        <v>2.4759419999999999</v>
      </c>
      <c r="I2396">
        <v>224.1703</v>
      </c>
      <c r="J2396">
        <v>-307.57679999999999</v>
      </c>
      <c r="K2396">
        <v>1.1091</v>
      </c>
      <c r="L2396">
        <v>215.3681</v>
      </c>
      <c r="M2396">
        <v>0.99981390000000003</v>
      </c>
      <c r="N2396">
        <v>-1.465606E-2</v>
      </c>
      <c r="O2396">
        <v>-1.254128E-2</v>
      </c>
      <c r="P2396">
        <v>0.99589890000000003</v>
      </c>
      <c r="Q2396">
        <v>-7.8264029999999998E-2</v>
      </c>
      <c r="R2396">
        <v>4.5391109999999998E-2</v>
      </c>
      <c r="S2396">
        <v>3.0060120000000001</v>
      </c>
      <c r="T2396">
        <v>2.942061E-2</v>
      </c>
      <c r="U2396">
        <v>0.1893311</v>
      </c>
      <c r="V2396">
        <v>-5.7825380000000003E-2</v>
      </c>
      <c r="W2396">
        <v>-6.3717529999999994E-2</v>
      </c>
      <c r="X2396">
        <v>0.99629129999999999</v>
      </c>
      <c r="Y2396">
        <v>-7.537054E-2</v>
      </c>
      <c r="Z2396">
        <v>-1.218127E-4</v>
      </c>
      <c r="AA2396">
        <v>0.99715560000000003</v>
      </c>
      <c r="AB2396">
        <v>46</v>
      </c>
      <c r="AC2396">
        <v>139.22620000000001</v>
      </c>
      <c r="AD2396">
        <v>1.3668419999999999</v>
      </c>
      <c r="AE2396">
        <v>8.8021999999999991</v>
      </c>
      <c r="AF2396">
        <v>-10.5467575223979</v>
      </c>
      <c r="AG2396">
        <v>1.3668419999999999</v>
      </c>
      <c r="AH2396">
        <v>139.091492985429</v>
      </c>
      <c r="AI2396">
        <v>89.438588185531302</v>
      </c>
      <c r="AJ2396">
        <v>94.336214458998796</v>
      </c>
      <c r="AK2396">
        <v>139.49747586320299</v>
      </c>
      <c r="AL2396">
        <v>93.6532202691116</v>
      </c>
      <c r="AM2396">
        <v>93.321756770381</v>
      </c>
      <c r="AN2396">
        <v>1.00000002632856</v>
      </c>
    </row>
    <row r="2397" spans="1:40" x14ac:dyDescent="0.25">
      <c r="A2397" t="str">
        <f>"20190305135632757"</f>
        <v>20190305135632757</v>
      </c>
      <c r="B2397" t="str">
        <f>"1551765392754649"</f>
        <v>1551765392754649</v>
      </c>
      <c r="C2397" t="s">
        <v>40</v>
      </c>
      <c r="D2397">
        <v>4.419689</v>
      </c>
      <c r="E2397">
        <v>0.49382310000000001</v>
      </c>
      <c r="F2397" t="s">
        <v>69</v>
      </c>
      <c r="G2397">
        <v>-168.35059999999999</v>
      </c>
      <c r="H2397">
        <v>2.3797950000000001</v>
      </c>
      <c r="I2397">
        <v>224.45930000000001</v>
      </c>
      <c r="J2397">
        <v>-307.13720000000001</v>
      </c>
      <c r="K2397">
        <v>1.1091329999999999</v>
      </c>
      <c r="L2397">
        <v>215.3629</v>
      </c>
      <c r="M2397">
        <v>0.99981949999999997</v>
      </c>
      <c r="N2397">
        <v>-1.4653920000000001E-2</v>
      </c>
      <c r="O2397">
        <v>-1.2092210000000001E-2</v>
      </c>
      <c r="P2397">
        <v>0.99574399999999996</v>
      </c>
      <c r="Q2397">
        <v>-7.9779600000000006E-2</v>
      </c>
      <c r="R2397">
        <v>4.6143049999999998E-2</v>
      </c>
      <c r="S2397">
        <v>3.005585</v>
      </c>
      <c r="T2397">
        <v>2.7432680000000001E-2</v>
      </c>
      <c r="U2397">
        <v>0.1962585</v>
      </c>
      <c r="V2397">
        <v>-5.8121300000000001E-2</v>
      </c>
      <c r="W2397">
        <v>-6.5242599999999998E-2</v>
      </c>
      <c r="X2397">
        <v>0.99617529999999999</v>
      </c>
      <c r="Y2397">
        <v>-7.7220789999999997E-2</v>
      </c>
      <c r="Z2397" s="1">
        <v>-7.2858699999999994E-5</v>
      </c>
      <c r="AA2397">
        <v>0.99701399999999996</v>
      </c>
      <c r="AB2397">
        <v>46</v>
      </c>
      <c r="AC2397">
        <v>138.78659999999999</v>
      </c>
      <c r="AD2397">
        <v>1.270662</v>
      </c>
      <c r="AE2397">
        <v>9.0964000000000098</v>
      </c>
      <c r="AF2397">
        <v>-10.773252539245901</v>
      </c>
      <c r="AG2397">
        <v>1.270662</v>
      </c>
      <c r="AH2397">
        <v>138.65487046132299</v>
      </c>
      <c r="AI2397">
        <v>89.476521948265699</v>
      </c>
      <c r="AJ2397">
        <v>94.442860441581303</v>
      </c>
      <c r="AK2397">
        <v>139.07857726781299</v>
      </c>
      <c r="AL2397">
        <v>93.740782833322001</v>
      </c>
      <c r="AM2397">
        <v>93.3391053224545</v>
      </c>
      <c r="AN2397">
        <v>0.999999955349269</v>
      </c>
    </row>
    <row r="2398" spans="1:40" x14ac:dyDescent="0.25">
      <c r="A2398" t="str">
        <f>"20190305135632780"</f>
        <v>20190305135632780</v>
      </c>
      <c r="B2398" t="str">
        <f>"1551765392774169"</f>
        <v>1551765392774169</v>
      </c>
      <c r="C2398" t="s">
        <v>40</v>
      </c>
      <c r="D2398">
        <v>4.4033280000000001</v>
      </c>
      <c r="E2398">
        <v>0.49344579999999999</v>
      </c>
      <c r="F2398" t="s">
        <v>69</v>
      </c>
      <c r="G2398">
        <v>-157.25</v>
      </c>
      <c r="H2398">
        <v>1.99217</v>
      </c>
      <c r="I2398">
        <v>225.56460000000001</v>
      </c>
      <c r="J2398">
        <v>-306.66649999999998</v>
      </c>
      <c r="K2398">
        <v>1.109145</v>
      </c>
      <c r="L2398">
        <v>215.35759999999999</v>
      </c>
      <c r="M2398">
        <v>0.99982490000000002</v>
      </c>
      <c r="N2398">
        <v>-1.465141E-2</v>
      </c>
      <c r="O2398">
        <v>-1.164492E-2</v>
      </c>
      <c r="P2398">
        <v>0.99569459999999999</v>
      </c>
      <c r="Q2398">
        <v>-8.010776E-2</v>
      </c>
      <c r="R2398">
        <v>4.6640319999999999E-2</v>
      </c>
      <c r="S2398">
        <v>3.004791</v>
      </c>
      <c r="T2398">
        <v>1.7703409999999999E-2</v>
      </c>
      <c r="U2398">
        <v>0.20451349999999999</v>
      </c>
      <c r="V2398">
        <v>-5.816992E-2</v>
      </c>
      <c r="W2398">
        <v>-6.5575910000000001E-2</v>
      </c>
      <c r="X2398">
        <v>0.9961506</v>
      </c>
      <c r="Y2398">
        <v>-7.9519649999999997E-2</v>
      </c>
      <c r="Z2398">
        <v>1.103111E-4</v>
      </c>
      <c r="AA2398">
        <v>0.99683330000000003</v>
      </c>
      <c r="AB2398">
        <v>46</v>
      </c>
      <c r="AC2398">
        <v>149.41649999999899</v>
      </c>
      <c r="AD2398">
        <v>0.88302499999999995</v>
      </c>
      <c r="AE2398">
        <v>10.207000000000001</v>
      </c>
      <c r="AF2398">
        <v>-11.946022368172001</v>
      </c>
      <c r="AG2398">
        <v>0.88302499999999995</v>
      </c>
      <c r="AH2398">
        <v>149.28230466416099</v>
      </c>
      <c r="AI2398">
        <v>89.662171598293298</v>
      </c>
      <c r="AJ2398">
        <v>94.575232397052901</v>
      </c>
      <c r="AK2398">
        <v>149.762123614133</v>
      </c>
      <c r="AL2398">
        <v>93.759920986657207</v>
      </c>
      <c r="AM2398">
        <v>93.341974919777996</v>
      </c>
      <c r="AN2398">
        <v>0.99999997872274704</v>
      </c>
    </row>
    <row r="2399" spans="1:40" x14ac:dyDescent="0.25">
      <c r="A2399" t="str">
        <f>"20190305135632804"</f>
        <v>20190305135632804</v>
      </c>
      <c r="B2399" t="str">
        <f>"1551765392794665"</f>
        <v>1551765392794665</v>
      </c>
      <c r="C2399" t="s">
        <v>40</v>
      </c>
      <c r="D2399">
        <v>4.4070309999999999</v>
      </c>
      <c r="E2399">
        <v>0.49316779999999999</v>
      </c>
      <c r="F2399" t="s">
        <v>69</v>
      </c>
      <c r="G2399">
        <v>-157.25</v>
      </c>
      <c r="H2399">
        <v>1.7246630000000001</v>
      </c>
      <c r="I2399">
        <v>225.74789999999999</v>
      </c>
      <c r="J2399">
        <v>-306.1748</v>
      </c>
      <c r="K2399">
        <v>1.1091329999999999</v>
      </c>
      <c r="L2399">
        <v>215.35220000000001</v>
      </c>
      <c r="M2399">
        <v>0.99982959999999999</v>
      </c>
      <c r="N2399">
        <v>-1.464856E-2</v>
      </c>
      <c r="O2399">
        <v>-1.1244209999999999E-2</v>
      </c>
      <c r="P2399">
        <v>0.99562689999999998</v>
      </c>
      <c r="Q2399">
        <v>-8.0269679999999996E-2</v>
      </c>
      <c r="R2399">
        <v>4.7793490000000001E-2</v>
      </c>
      <c r="S2399">
        <v>3.004181</v>
      </c>
      <c r="T2399">
        <v>1.237679E-2</v>
      </c>
      <c r="U2399">
        <v>0.20890810000000001</v>
      </c>
      <c r="V2399">
        <v>-5.8925459999999999E-2</v>
      </c>
      <c r="W2399">
        <v>-6.5740569999999998E-2</v>
      </c>
      <c r="X2399">
        <v>0.99609539999999996</v>
      </c>
      <c r="Y2399">
        <v>-8.0585320000000002E-2</v>
      </c>
      <c r="Z2399">
        <v>2.143902E-4</v>
      </c>
      <c r="AA2399">
        <v>0.99674770000000001</v>
      </c>
      <c r="AB2399">
        <v>46</v>
      </c>
      <c r="AC2399">
        <v>148.9248</v>
      </c>
      <c r="AD2399">
        <v>0.61553000000000002</v>
      </c>
      <c r="AE2399">
        <v>10.3956999999999</v>
      </c>
      <c r="AF2399">
        <v>-12.069558691647201</v>
      </c>
      <c r="AG2399">
        <v>0.61553000000000002</v>
      </c>
      <c r="AH2399">
        <v>148.795949714633</v>
      </c>
      <c r="AI2399">
        <v>89.763759572134404</v>
      </c>
      <c r="AJ2399">
        <v>94.6373846642622</v>
      </c>
      <c r="AK2399">
        <v>149.28592624782601</v>
      </c>
      <c r="AL2399">
        <v>93.769375483549993</v>
      </c>
      <c r="AM2399">
        <v>93.385469017889505</v>
      </c>
      <c r="AN2399">
        <v>1.0000000391406401</v>
      </c>
    </row>
    <row r="2400" spans="1:40" x14ac:dyDescent="0.25">
      <c r="A2400" t="str">
        <f>"20190305135632826"</f>
        <v>20190305135632826</v>
      </c>
      <c r="B2400" t="str">
        <f>"1551765392814186"</f>
        <v>1551765392814186</v>
      </c>
      <c r="C2400" t="s">
        <v>40</v>
      </c>
      <c r="D2400">
        <v>4.3546110000000002</v>
      </c>
      <c r="E2400">
        <v>0.49329529999999999</v>
      </c>
      <c r="F2400" t="s">
        <v>69</v>
      </c>
      <c r="G2400">
        <v>-157.25</v>
      </c>
      <c r="H2400">
        <v>1.541131</v>
      </c>
      <c r="I2400">
        <v>225.9956</v>
      </c>
      <c r="J2400">
        <v>-305.721</v>
      </c>
      <c r="K2400">
        <v>1.1091120000000001</v>
      </c>
      <c r="L2400">
        <v>215.34719999999999</v>
      </c>
      <c r="M2400">
        <v>0.99983270000000002</v>
      </c>
      <c r="N2400">
        <v>-1.4645989999999999E-2</v>
      </c>
      <c r="O2400">
        <v>-1.095869E-2</v>
      </c>
      <c r="P2400">
        <v>0.99551789999999996</v>
      </c>
      <c r="Q2400">
        <v>-8.1035460000000004E-2</v>
      </c>
      <c r="R2400">
        <v>4.8757929999999998E-2</v>
      </c>
      <c r="S2400">
        <v>3.003571</v>
      </c>
      <c r="T2400">
        <v>8.7138409999999999E-3</v>
      </c>
      <c r="U2400">
        <v>0.21466060000000001</v>
      </c>
      <c r="V2400">
        <v>-5.9608750000000002E-2</v>
      </c>
      <c r="W2400">
        <v>-6.6505899999999896E-2</v>
      </c>
      <c r="X2400">
        <v>0.99600390000000005</v>
      </c>
      <c r="Y2400">
        <v>-8.221407E-2</v>
      </c>
      <c r="Z2400">
        <v>2.9169649999999999E-4</v>
      </c>
      <c r="AA2400">
        <v>0.99661460000000002</v>
      </c>
      <c r="AB2400">
        <v>46</v>
      </c>
      <c r="AC2400">
        <v>148.471</v>
      </c>
      <c r="AD2400">
        <v>0.43201899999999899</v>
      </c>
      <c r="AE2400">
        <v>10.648400000000001</v>
      </c>
      <c r="AF2400">
        <v>-12.274879222185501</v>
      </c>
      <c r="AG2400">
        <v>0.43201899999999899</v>
      </c>
      <c r="AH2400">
        <v>148.344128052055</v>
      </c>
      <c r="AI2400">
        <v>89.833707683842206</v>
      </c>
      <c r="AJ2400">
        <v>94.730218896161801</v>
      </c>
      <c r="AK2400">
        <v>148.85173706698899</v>
      </c>
      <c r="AL2400">
        <v>93.813321976854198</v>
      </c>
      <c r="AM2400">
        <v>93.424947325467897</v>
      </c>
      <c r="AN2400">
        <v>1.0000000033132901</v>
      </c>
    </row>
    <row r="2401" spans="1:40" x14ac:dyDescent="0.25">
      <c r="A2401" t="str">
        <f>"20190305135632851"</f>
        <v>20190305135632851</v>
      </c>
      <c r="B2401" t="str">
        <f>"1551765392844441"</f>
        <v>1551765392844441</v>
      </c>
      <c r="C2401" t="s">
        <v>40</v>
      </c>
      <c r="D2401">
        <v>4.3726919999999998</v>
      </c>
      <c r="E2401">
        <v>0.49355690000000002</v>
      </c>
      <c r="F2401" t="s">
        <v>69</v>
      </c>
      <c r="G2401">
        <v>-157.25</v>
      </c>
      <c r="H2401">
        <v>1.396873</v>
      </c>
      <c r="I2401">
        <v>226.04640000000001</v>
      </c>
      <c r="J2401">
        <v>-305.22199999999998</v>
      </c>
      <c r="K2401">
        <v>1.1090660000000001</v>
      </c>
      <c r="L2401">
        <v>215.34190000000001</v>
      </c>
      <c r="M2401">
        <v>0.99983509999999998</v>
      </c>
      <c r="N2401">
        <v>-1.464274E-2</v>
      </c>
      <c r="O2401">
        <v>-1.073907E-2</v>
      </c>
      <c r="P2401">
        <v>0.99554849999999995</v>
      </c>
      <c r="Q2401">
        <v>-8.0403970000000005E-2</v>
      </c>
      <c r="R2401">
        <v>4.9175650000000001E-2</v>
      </c>
      <c r="S2401">
        <v>3.003387</v>
      </c>
      <c r="T2401">
        <v>5.8221820000000004E-3</v>
      </c>
      <c r="U2401">
        <v>0.2164307</v>
      </c>
      <c r="V2401">
        <v>-5.9817879999999997E-2</v>
      </c>
      <c r="W2401">
        <v>-6.5869380000000005E-2</v>
      </c>
      <c r="X2401">
        <v>0.99603370000000002</v>
      </c>
      <c r="Y2401">
        <v>-8.258364E-2</v>
      </c>
      <c r="Z2401">
        <v>3.4766229999999999E-4</v>
      </c>
      <c r="AA2401">
        <v>0.99658409999999997</v>
      </c>
      <c r="AB2401">
        <v>46</v>
      </c>
      <c r="AC2401">
        <v>147.97199999999901</v>
      </c>
      <c r="AD2401">
        <v>0.28780699999999998</v>
      </c>
      <c r="AE2401">
        <v>10.7044999999999</v>
      </c>
      <c r="AF2401">
        <v>-12.293088402999199</v>
      </c>
      <c r="AG2401">
        <v>0.28780699999999998</v>
      </c>
      <c r="AH2401">
        <v>147.84794018505099</v>
      </c>
      <c r="AI2401">
        <v>89.888849325519402</v>
      </c>
      <c r="AJ2401">
        <v>94.753029697631703</v>
      </c>
      <c r="AK2401">
        <v>148.35840479162499</v>
      </c>
      <c r="AL2401">
        <v>93.776771770380094</v>
      </c>
      <c r="AM2401">
        <v>93.4368319978431</v>
      </c>
      <c r="AN2401">
        <v>1.00000004276248</v>
      </c>
    </row>
    <row r="2402" spans="1:40" x14ac:dyDescent="0.25">
      <c r="A2402" t="str">
        <f>"20190305135632871"</f>
        <v>20190305135632871</v>
      </c>
      <c r="B2402" t="str">
        <f>"1551765392864938"</f>
        <v>1551765392864938</v>
      </c>
      <c r="C2402" t="s">
        <v>40</v>
      </c>
      <c r="D2402">
        <v>4.4088339999999997</v>
      </c>
      <c r="E2402">
        <v>0.49378109999999997</v>
      </c>
      <c r="F2402" t="s">
        <v>69</v>
      </c>
      <c r="G2402">
        <v>-157.25</v>
      </c>
      <c r="H2402">
        <v>1.6926509999999999</v>
      </c>
      <c r="I2402">
        <v>225.98609999999999</v>
      </c>
      <c r="J2402">
        <v>-304.80770000000001</v>
      </c>
      <c r="K2402">
        <v>1.1090180000000001</v>
      </c>
      <c r="L2402">
        <v>215.33750000000001</v>
      </c>
      <c r="M2402">
        <v>0.99983639999999996</v>
      </c>
      <c r="N2402">
        <v>-1.463043E-2</v>
      </c>
      <c r="O2402">
        <v>-1.064001E-2</v>
      </c>
      <c r="P2402">
        <v>0.99557859999999998</v>
      </c>
      <c r="Q2402">
        <v>-7.9607079999999997E-2</v>
      </c>
      <c r="R2402">
        <v>4.9862429999999999E-2</v>
      </c>
      <c r="S2402">
        <v>3.0036619999999998</v>
      </c>
      <c r="T2402">
        <v>1.184726E-2</v>
      </c>
      <c r="U2402">
        <v>0.21606449999999999</v>
      </c>
      <c r="V2402">
        <v>-6.0415650000000001E-2</v>
      </c>
      <c r="W2402">
        <v>-6.5076839999999997E-2</v>
      </c>
      <c r="X2402">
        <v>0.99604970000000004</v>
      </c>
      <c r="Y2402">
        <v>-8.235787E-2</v>
      </c>
      <c r="Z2402">
        <v>2.4368170000000001E-4</v>
      </c>
      <c r="AA2402">
        <v>0.99660280000000001</v>
      </c>
      <c r="AB2402">
        <v>46</v>
      </c>
      <c r="AC2402">
        <v>147.55770000000001</v>
      </c>
      <c r="AD2402">
        <v>0.58363299999999896</v>
      </c>
      <c r="AE2402">
        <v>10.648599999999901</v>
      </c>
      <c r="AF2402">
        <v>-12.2179903328718</v>
      </c>
      <c r="AG2402">
        <v>0.58363299999999896</v>
      </c>
      <c r="AH2402">
        <v>147.43373760582</v>
      </c>
      <c r="AI2402">
        <v>89.773964236929402</v>
      </c>
      <c r="AJ2402">
        <v>94.737337123498307</v>
      </c>
      <c r="AK2402">
        <v>147.940281531686</v>
      </c>
      <c r="AL2402">
        <v>93.731264996537803</v>
      </c>
      <c r="AM2402">
        <v>93.471037649832894</v>
      </c>
      <c r="AN2402">
        <v>1.0000000253696899</v>
      </c>
    </row>
    <row r="2403" spans="1:40" x14ac:dyDescent="0.25">
      <c r="A2403" t="str">
        <f>"20190305135632892"</f>
        <v>20190305135632892</v>
      </c>
      <c r="B2403" t="str">
        <f>"1551765392884457"</f>
        <v>1551765392884457</v>
      </c>
      <c r="C2403" t="s">
        <v>40</v>
      </c>
      <c r="D2403">
        <v>4.4190480000000001</v>
      </c>
      <c r="E2403">
        <v>0.49399779999999999</v>
      </c>
      <c r="F2403" t="s">
        <v>69</v>
      </c>
      <c r="G2403">
        <v>-157.25</v>
      </c>
      <c r="H2403">
        <v>1.8930450000000001</v>
      </c>
      <c r="I2403">
        <v>225.96209999999999</v>
      </c>
      <c r="J2403">
        <v>-304.38139999999999</v>
      </c>
      <c r="K2403">
        <v>1.1089629999999999</v>
      </c>
      <c r="L2403">
        <v>215.333</v>
      </c>
      <c r="M2403">
        <v>0.99983699999999998</v>
      </c>
      <c r="N2403">
        <v>-1.460757E-2</v>
      </c>
      <c r="O2403">
        <v>-1.0607709999999999E-2</v>
      </c>
      <c r="P2403">
        <v>0.9955756</v>
      </c>
      <c r="Q2403">
        <v>-7.922854E-2</v>
      </c>
      <c r="R2403">
        <v>5.0516329999999998E-2</v>
      </c>
      <c r="S2403">
        <v>3.0037539999999998</v>
      </c>
      <c r="T2403">
        <v>1.596117E-2</v>
      </c>
      <c r="U2403">
        <v>0.2162781</v>
      </c>
      <c r="V2403">
        <v>-6.1046870000000003E-2</v>
      </c>
      <c r="W2403">
        <v>-6.4712999999999896E-2</v>
      </c>
      <c r="X2403">
        <v>0.99603489999999995</v>
      </c>
      <c r="Y2403">
        <v>-8.2394010000000004E-2</v>
      </c>
      <c r="Z2403">
        <v>1.7292330000000001E-4</v>
      </c>
      <c r="AA2403">
        <v>0.99659980000000004</v>
      </c>
      <c r="AB2403">
        <v>46</v>
      </c>
      <c r="AC2403">
        <v>147.13140000000001</v>
      </c>
      <c r="AD2403">
        <v>0.78408199999999995</v>
      </c>
      <c r="AE2403">
        <v>10.6290999999999</v>
      </c>
      <c r="AF2403">
        <v>-12.189051295024299</v>
      </c>
      <c r="AG2403">
        <v>0.78408199999999995</v>
      </c>
      <c r="AH2403">
        <v>147.006204441298</v>
      </c>
      <c r="AI2403">
        <v>89.695451407194</v>
      </c>
      <c r="AJ2403">
        <v>94.739849765426101</v>
      </c>
      <c r="AK2403">
        <v>147.51275165317799</v>
      </c>
      <c r="AL2403">
        <v>93.710374532356695</v>
      </c>
      <c r="AM2403">
        <v>93.507264823142194</v>
      </c>
      <c r="AN2403">
        <v>1.0000000073619</v>
      </c>
    </row>
    <row r="2404" spans="1:40" x14ac:dyDescent="0.25">
      <c r="A2404" t="str">
        <f>"20190305135632916"</f>
        <v>20190305135632916</v>
      </c>
      <c r="B2404" t="str">
        <f>"1551765392904954"</f>
        <v>1551765392904954</v>
      </c>
      <c r="C2404" t="s">
        <v>40</v>
      </c>
      <c r="D2404">
        <v>4.4417239999999998</v>
      </c>
      <c r="E2404">
        <v>0.49406080000000002</v>
      </c>
      <c r="F2404" t="s">
        <v>69</v>
      </c>
      <c r="G2404">
        <v>-157.25</v>
      </c>
      <c r="H2404">
        <v>2.001992</v>
      </c>
      <c r="I2404">
        <v>225.91380000000001</v>
      </c>
      <c r="J2404">
        <v>-303.8981</v>
      </c>
      <c r="K2404">
        <v>1.1088769999999999</v>
      </c>
      <c r="L2404">
        <v>215.3278</v>
      </c>
      <c r="M2404">
        <v>0.99983739999999999</v>
      </c>
      <c r="N2404">
        <v>-1.454574E-2</v>
      </c>
      <c r="O2404">
        <v>-1.0663809999999999E-2</v>
      </c>
      <c r="P2404">
        <v>0.99558919999999995</v>
      </c>
      <c r="Q2404">
        <v>-7.9104359999999999E-2</v>
      </c>
      <c r="R2404">
        <v>5.0445999999999998E-2</v>
      </c>
      <c r="S2404">
        <v>3.0038450000000001</v>
      </c>
      <c r="T2404">
        <v>1.8233300000000001E-2</v>
      </c>
      <c r="U2404">
        <v>0.21601870000000001</v>
      </c>
      <c r="V2404">
        <v>-6.1043359999999998E-2</v>
      </c>
      <c r="W2404">
        <v>-6.4639710000000003E-2</v>
      </c>
      <c r="X2404">
        <v>0.99603989999999998</v>
      </c>
      <c r="Y2404">
        <v>-8.2362060000000001E-2</v>
      </c>
      <c r="Z2404">
        <v>1.3060740000000001E-4</v>
      </c>
      <c r="AA2404">
        <v>0.99660249999999995</v>
      </c>
      <c r="AB2404">
        <v>45</v>
      </c>
      <c r="AC2404">
        <v>146.6481</v>
      </c>
      <c r="AD2404">
        <v>0.89311499999999899</v>
      </c>
      <c r="AE2404">
        <v>10.586</v>
      </c>
      <c r="AF2404">
        <v>-12.1489425211015</v>
      </c>
      <c r="AG2404">
        <v>0.89311499999999899</v>
      </c>
      <c r="AH2404">
        <v>146.52145441782201</v>
      </c>
      <c r="AI2404">
        <v>89.651954784495302</v>
      </c>
      <c r="AJ2404">
        <v>94.739882535833203</v>
      </c>
      <c r="AK2404">
        <v>147.02697393164999</v>
      </c>
      <c r="AL2404">
        <v>93.706166418638105</v>
      </c>
      <c r="AM2404">
        <v>93.507046108850105</v>
      </c>
      <c r="AN2404">
        <v>1.0000000331504899</v>
      </c>
    </row>
    <row r="2405" spans="1:40" x14ac:dyDescent="0.25">
      <c r="A2405" t="str">
        <f>"20190305135632936"</f>
        <v>20190305135632936</v>
      </c>
      <c r="B2405" t="str">
        <f>"1551765392924473"</f>
        <v>1551765392924473</v>
      </c>
      <c r="C2405" t="s">
        <v>40</v>
      </c>
      <c r="D2405">
        <v>5.2920850000000002</v>
      </c>
      <c r="E2405">
        <v>0.49401309999999898</v>
      </c>
      <c r="F2405" t="s">
        <v>69</v>
      </c>
      <c r="G2405">
        <v>-157.25</v>
      </c>
      <c r="H2405">
        <v>2.130932</v>
      </c>
      <c r="I2405">
        <v>225.84350000000001</v>
      </c>
      <c r="J2405">
        <v>-303.4812</v>
      </c>
      <c r="K2405">
        <v>1.108784</v>
      </c>
      <c r="L2405">
        <v>215.32320000000001</v>
      </c>
      <c r="M2405">
        <v>0.99983699999999998</v>
      </c>
      <c r="N2405">
        <v>-1.447846E-2</v>
      </c>
      <c r="O2405">
        <v>-1.078906E-2</v>
      </c>
      <c r="P2405">
        <v>0.99555329999999997</v>
      </c>
      <c r="Q2405">
        <v>-8.0003480000000002E-2</v>
      </c>
      <c r="R2405">
        <v>4.9732779999999997E-2</v>
      </c>
      <c r="S2405">
        <v>3.0039980000000002</v>
      </c>
      <c r="T2405">
        <v>2.0937319999999999E-2</v>
      </c>
      <c r="U2405">
        <v>0.2154083</v>
      </c>
      <c r="V2405">
        <v>-6.0465350000000001E-2</v>
      </c>
      <c r="W2405">
        <v>-6.5596310000000005E-2</v>
      </c>
      <c r="X2405">
        <v>0.99601260000000003</v>
      </c>
      <c r="Y2405">
        <v>-8.2281640000000003E-2</v>
      </c>
      <c r="Z2405" s="1">
        <v>7.89648E-5</v>
      </c>
      <c r="AA2405">
        <v>0.99660910000000003</v>
      </c>
      <c r="AB2405">
        <v>45</v>
      </c>
      <c r="AC2405">
        <v>146.2312</v>
      </c>
      <c r="AD2405">
        <v>1.0221480000000001</v>
      </c>
      <c r="AE2405">
        <v>10.520299999999899</v>
      </c>
      <c r="AF2405">
        <v>-12.096962081621699</v>
      </c>
      <c r="AG2405">
        <v>1.0221480000000001</v>
      </c>
      <c r="AH2405">
        <v>146.102069298152</v>
      </c>
      <c r="AI2405">
        <v>89.600525156452903</v>
      </c>
      <c r="AJ2405">
        <v>94.733180684943306</v>
      </c>
      <c r="AK2405">
        <v>146.60557946865501</v>
      </c>
      <c r="AL2405">
        <v>93.761092198829999</v>
      </c>
      <c r="AM2405">
        <v>93.474015135713202</v>
      </c>
      <c r="AN2405">
        <v>1.0000000168974901</v>
      </c>
    </row>
    <row r="2406" spans="1:40" x14ac:dyDescent="0.25">
      <c r="A2406" t="str">
        <f>"20190305135632957"</f>
        <v>20190305135632957</v>
      </c>
      <c r="B2406" t="str">
        <f>"1551765392954729"</f>
        <v>1551765392954729</v>
      </c>
      <c r="C2406" t="s">
        <v>40</v>
      </c>
      <c r="D2406">
        <v>4.4787359999999996</v>
      </c>
      <c r="E2406">
        <v>0.56041430000000003</v>
      </c>
      <c r="F2406" t="s">
        <v>69</v>
      </c>
      <c r="G2406">
        <v>-157.25</v>
      </c>
      <c r="H2406">
        <v>1.907413</v>
      </c>
      <c r="I2406">
        <v>225.69730000000001</v>
      </c>
      <c r="J2406">
        <v>-303.05239999999998</v>
      </c>
      <c r="K2406">
        <v>1.1086800000000001</v>
      </c>
      <c r="L2406">
        <v>215.3185</v>
      </c>
      <c r="M2406">
        <v>0.99983580000000005</v>
      </c>
      <c r="N2406">
        <v>-1.441506E-2</v>
      </c>
      <c r="O2406">
        <v>-1.098877E-2</v>
      </c>
      <c r="P2406">
        <v>0.99545189999999995</v>
      </c>
      <c r="Q2406">
        <v>-8.2245890000000002E-2</v>
      </c>
      <c r="R2406">
        <v>4.8077719999999997E-2</v>
      </c>
      <c r="S2406">
        <v>3.004089</v>
      </c>
      <c r="T2406">
        <v>1.6407729999999999E-2</v>
      </c>
      <c r="U2406">
        <v>0.21311949999999999</v>
      </c>
      <c r="V2406">
        <v>-5.9020009999999998E-2</v>
      </c>
      <c r="W2406">
        <v>-6.7891989999999999E-2</v>
      </c>
      <c r="X2406">
        <v>0.99594550000000004</v>
      </c>
      <c r="Y2406">
        <v>-8.1723210000000004E-2</v>
      </c>
      <c r="Z2406">
        <v>1.4874549999999999E-4</v>
      </c>
      <c r="AA2406">
        <v>0.99665499999999996</v>
      </c>
      <c r="AB2406">
        <v>45</v>
      </c>
      <c r="AC2406">
        <v>145.80239999999901</v>
      </c>
      <c r="AD2406">
        <v>0.79873300000000003</v>
      </c>
      <c r="AE2406">
        <v>10.3788</v>
      </c>
      <c r="AF2406">
        <v>-11.9801708842965</v>
      </c>
      <c r="AG2406">
        <v>0.79873300000000003</v>
      </c>
      <c r="AH2406">
        <v>145.67518302414601</v>
      </c>
      <c r="AI2406">
        <v>89.686908923417803</v>
      </c>
      <c r="AJ2406">
        <v>94.701363713418701</v>
      </c>
      <c r="AK2406">
        <v>146.16915344196499</v>
      </c>
      <c r="AL2406">
        <v>93.892918784943205</v>
      </c>
      <c r="AM2406">
        <v>93.391397745435199</v>
      </c>
      <c r="AN2406">
        <v>1.0000000614283999</v>
      </c>
    </row>
    <row r="2407" spans="1:40" x14ac:dyDescent="0.25">
      <c r="A2407" t="str">
        <f>"20190305135632982"</f>
        <v>20190305135632982</v>
      </c>
      <c r="B2407" t="str">
        <f>"1551765392974250"</f>
        <v>1551765392974250</v>
      </c>
      <c r="C2407" t="s">
        <v>40</v>
      </c>
      <c r="D2407">
        <v>4.4146890000000001</v>
      </c>
      <c r="E2407">
        <v>0.56486930000000002</v>
      </c>
      <c r="F2407" t="s">
        <v>70</v>
      </c>
      <c r="G2407">
        <v>-168.41299999999899</v>
      </c>
      <c r="H2407">
        <v>2.1923620000000001</v>
      </c>
      <c r="I2407">
        <v>201.06460000000001</v>
      </c>
      <c r="J2407">
        <v>-302.57100000000003</v>
      </c>
      <c r="K2407">
        <v>1.1085700000000001</v>
      </c>
      <c r="L2407">
        <v>215.31299999999999</v>
      </c>
      <c r="M2407">
        <v>0.99983330000000004</v>
      </c>
      <c r="N2407">
        <v>-1.4357419999999999E-2</v>
      </c>
      <c r="O2407">
        <v>-1.128411E-2</v>
      </c>
      <c r="P2407">
        <v>0.99548749999999997</v>
      </c>
      <c r="Q2407">
        <v>-8.2727389999999998E-2</v>
      </c>
      <c r="R2407">
        <v>4.6487309999999997E-2</v>
      </c>
      <c r="S2407">
        <v>3.0312190000000001</v>
      </c>
      <c r="T2407">
        <v>2.4398329999999999E-2</v>
      </c>
      <c r="U2407">
        <v>-0.32090760000000002</v>
      </c>
      <c r="V2407">
        <v>-5.7739909999999998E-2</v>
      </c>
      <c r="W2407">
        <v>-6.8417149999999996E-2</v>
      </c>
      <c r="X2407">
        <v>0.9959846</v>
      </c>
      <c r="Y2407">
        <v>9.4055079999999999E-2</v>
      </c>
      <c r="Z2407">
        <v>-5.5178059999999997E-4</v>
      </c>
      <c r="AA2407">
        <v>0.99556679999999997</v>
      </c>
      <c r="AB2407">
        <v>45</v>
      </c>
      <c r="AC2407">
        <v>134.15799999999999</v>
      </c>
      <c r="AD2407">
        <v>1.0837919999999901</v>
      </c>
      <c r="AE2407">
        <v>-14.248399999999901</v>
      </c>
      <c r="AF2407">
        <v>12.732661352796701</v>
      </c>
      <c r="AG2407">
        <v>1.0837919999999901</v>
      </c>
      <c r="AH2407">
        <v>134.301586806047</v>
      </c>
      <c r="AI2407">
        <v>89.539706303377997</v>
      </c>
      <c r="AJ2407">
        <v>84.584176133150706</v>
      </c>
      <c r="AK2407">
        <v>134.90815945985699</v>
      </c>
      <c r="AL2407">
        <v>93.923078354589705</v>
      </c>
      <c r="AM2407">
        <v>93.317877049209997</v>
      </c>
      <c r="AN2407">
        <v>1.00000006352904</v>
      </c>
    </row>
    <row r="2408" spans="1:40" x14ac:dyDescent="0.25">
      <c r="A2408" t="str">
        <f>"20190305135633005"</f>
        <v>20190305135633005</v>
      </c>
      <c r="B2408" t="str">
        <f>"1551765392994745"</f>
        <v>1551765392994745</v>
      </c>
      <c r="C2408" t="s">
        <v>40</v>
      </c>
      <c r="D2408">
        <v>4.4185319999999999</v>
      </c>
      <c r="E2408">
        <v>0.5655019</v>
      </c>
      <c r="F2408" t="s">
        <v>70</v>
      </c>
      <c r="G2408">
        <v>-168.4136</v>
      </c>
      <c r="H2408">
        <v>2.2675689999999999</v>
      </c>
      <c r="I2408">
        <v>199.35470000000001</v>
      </c>
      <c r="J2408">
        <v>-302.09500000000003</v>
      </c>
      <c r="K2408">
        <v>1.108471</v>
      </c>
      <c r="L2408">
        <v>215.3074</v>
      </c>
      <c r="M2408">
        <v>0.99982979999999999</v>
      </c>
      <c r="N2408">
        <v>-1.431109E-2</v>
      </c>
      <c r="O2408">
        <v>-1.1640849999999999E-2</v>
      </c>
      <c r="P2408">
        <v>0.99548879999999995</v>
      </c>
      <c r="Q2408">
        <v>-8.3567559999999999E-2</v>
      </c>
      <c r="R2408">
        <v>4.4930520000000002E-2</v>
      </c>
      <c r="S2408">
        <v>3.0325929999999999</v>
      </c>
      <c r="T2408">
        <v>2.619958E-2</v>
      </c>
      <c r="U2408">
        <v>-0.36073300000000003</v>
      </c>
      <c r="V2408">
        <v>-5.655437E-2</v>
      </c>
      <c r="W2408">
        <v>-6.9290400000000002E-2</v>
      </c>
      <c r="X2408">
        <v>0.99599219999999999</v>
      </c>
      <c r="Y2408">
        <v>0.106556399999999</v>
      </c>
      <c r="Z2408">
        <v>-5.7274949999999995E-4</v>
      </c>
      <c r="AA2408">
        <v>0.99430649999999998</v>
      </c>
      <c r="AB2408">
        <v>45</v>
      </c>
      <c r="AC2408">
        <v>133.6814</v>
      </c>
      <c r="AD2408">
        <v>1.159098</v>
      </c>
      <c r="AE2408">
        <v>-15.952699999999901</v>
      </c>
      <c r="AF2408">
        <v>14.3942273685226</v>
      </c>
      <c r="AG2408">
        <v>1.159098</v>
      </c>
      <c r="AH2408">
        <v>133.84814098109101</v>
      </c>
      <c r="AI2408">
        <v>89.506686750788703</v>
      </c>
      <c r="AJ2408">
        <v>83.861917111069999</v>
      </c>
      <c r="AK2408">
        <v>134.62489418307601</v>
      </c>
      <c r="AL2408">
        <v>93.973231131899993</v>
      </c>
      <c r="AM2408">
        <v>93.249875812703905</v>
      </c>
      <c r="AN2408">
        <v>1.00000000937954</v>
      </c>
    </row>
    <row r="2409" spans="1:40" x14ac:dyDescent="0.25">
      <c r="A2409" t="str">
        <f>"20190305135633027"</f>
        <v>20190305135633027</v>
      </c>
      <c r="B2409" t="str">
        <f>"1551765393025002"</f>
        <v>1551765393025002</v>
      </c>
      <c r="C2409" t="s">
        <v>40</v>
      </c>
      <c r="D2409">
        <v>4.424061</v>
      </c>
      <c r="E2409">
        <v>0.56629430000000003</v>
      </c>
      <c r="F2409" t="s">
        <v>70</v>
      </c>
      <c r="G2409">
        <v>-168.41370000000001</v>
      </c>
      <c r="H2409">
        <v>2.129184</v>
      </c>
      <c r="I2409">
        <v>198.9983</v>
      </c>
      <c r="J2409">
        <v>-301.62810000000002</v>
      </c>
      <c r="K2409">
        <v>1.1083809999999901</v>
      </c>
      <c r="L2409">
        <v>215.30160000000001</v>
      </c>
      <c r="M2409">
        <v>0.99982539999999998</v>
      </c>
      <c r="N2409">
        <v>-1.427762E-2</v>
      </c>
      <c r="O2409">
        <v>-1.205406E-2</v>
      </c>
      <c r="P2409">
        <v>0.9954942</v>
      </c>
      <c r="Q2409">
        <v>-8.4139340000000007E-2</v>
      </c>
      <c r="R2409">
        <v>4.3725680000000003E-2</v>
      </c>
      <c r="S2409">
        <v>3.032257</v>
      </c>
      <c r="T2409">
        <v>2.315331E-2</v>
      </c>
      <c r="U2409">
        <v>-0.36993409999999999</v>
      </c>
      <c r="V2409">
        <v>-5.5776480000000003E-2</v>
      </c>
      <c r="W2409">
        <v>-6.9883909999999994E-2</v>
      </c>
      <c r="X2409">
        <v>0.99599459999999995</v>
      </c>
      <c r="Y2409">
        <v>0.1091319</v>
      </c>
      <c r="Z2409">
        <v>-6.3006230000000002E-4</v>
      </c>
      <c r="AA2409">
        <v>0.99402710000000005</v>
      </c>
      <c r="AB2409">
        <v>45</v>
      </c>
      <c r="AC2409">
        <v>133.21440000000001</v>
      </c>
      <c r="AD2409">
        <v>1.0208029999999999</v>
      </c>
      <c r="AE2409">
        <v>-16.3033</v>
      </c>
      <c r="AF2409">
        <v>14.695327031332599</v>
      </c>
      <c r="AG2409">
        <v>1.0208029999999999</v>
      </c>
      <c r="AH2409">
        <v>133.39354341572599</v>
      </c>
      <c r="AI2409">
        <v>89.564185305761001</v>
      </c>
      <c r="AJ2409">
        <v>83.713349303513894</v>
      </c>
      <c r="AK2409">
        <v>134.204441432934</v>
      </c>
      <c r="AL2409">
        <v>94.007319382203207</v>
      </c>
      <c r="AM2409">
        <v>93.205260798801007</v>
      </c>
      <c r="AN2409">
        <v>1.0000000099136099</v>
      </c>
    </row>
    <row r="2410" spans="1:40" x14ac:dyDescent="0.25">
      <c r="A2410" t="str">
        <f>"20190305135633049"</f>
        <v>20190305135633049</v>
      </c>
      <c r="B2410" t="str">
        <f>"1551765393044521"</f>
        <v>1551765393044521</v>
      </c>
      <c r="C2410" t="s">
        <v>40</v>
      </c>
      <c r="D2410">
        <v>4.4370859999999999</v>
      </c>
      <c r="E2410">
        <v>0.56660109999999997</v>
      </c>
      <c r="F2410" t="s">
        <v>50</v>
      </c>
      <c r="G2410">
        <v>-234.5581</v>
      </c>
      <c r="H2410">
        <v>1.59937</v>
      </c>
      <c r="I2410">
        <v>206.9023</v>
      </c>
      <c r="J2410">
        <v>-301.1866</v>
      </c>
      <c r="K2410">
        <v>1.1083069999999999</v>
      </c>
      <c r="L2410">
        <v>215.29589999999999</v>
      </c>
      <c r="M2410">
        <v>0.99982020000000005</v>
      </c>
      <c r="N2410">
        <v>-1.4258750000000001E-2</v>
      </c>
      <c r="O2410">
        <v>-1.250419E-2</v>
      </c>
      <c r="P2410">
        <v>0.9955233</v>
      </c>
      <c r="Q2410">
        <v>-8.4645990000000004E-2</v>
      </c>
      <c r="R2410">
        <v>4.205209E-2</v>
      </c>
      <c r="S2410">
        <v>3.0321039999999999</v>
      </c>
      <c r="T2410">
        <v>2.219892E-2</v>
      </c>
      <c r="U2410">
        <v>-0.37971500000000002</v>
      </c>
      <c r="V2410">
        <v>-5.4563880000000002E-2</v>
      </c>
      <c r="W2410">
        <v>-7.0400210000000005E-2</v>
      </c>
      <c r="X2410">
        <v>0.99602539999999995</v>
      </c>
      <c r="Y2410">
        <v>0.1118483</v>
      </c>
      <c r="Z2410">
        <v>-6.6151320000000003E-4</v>
      </c>
      <c r="AA2410">
        <v>0.99372510000000003</v>
      </c>
      <c r="AB2410">
        <v>45</v>
      </c>
      <c r="AC2410">
        <v>66.628500000000003</v>
      </c>
      <c r="AD2410">
        <v>0.49106300000000003</v>
      </c>
      <c r="AE2410">
        <v>-8.3935999999999904</v>
      </c>
      <c r="AF2410">
        <v>7.5593193605940696</v>
      </c>
      <c r="AG2410">
        <v>0.49106300000000003</v>
      </c>
      <c r="AH2410">
        <v>66.724687912002395</v>
      </c>
      <c r="AI2410">
        <v>89.581017170794397</v>
      </c>
      <c r="AJ2410">
        <v>83.536451871279894</v>
      </c>
      <c r="AK2410">
        <v>67.153320312695897</v>
      </c>
      <c r="AL2410">
        <v>94.036974264702707</v>
      </c>
      <c r="AM2410">
        <v>93.135621148241896</v>
      </c>
      <c r="AN2410">
        <v>1.00000000200692</v>
      </c>
    </row>
    <row r="2411" spans="1:40" x14ac:dyDescent="0.25">
      <c r="A2411" t="str">
        <f>"20190305135633070"</f>
        <v>20190305135633070</v>
      </c>
      <c r="B2411" t="str">
        <f>"1551765393064042"</f>
        <v>1551765393064042</v>
      </c>
      <c r="C2411" t="s">
        <v>40</v>
      </c>
      <c r="D2411">
        <v>4.4619179999999998</v>
      </c>
      <c r="E2411">
        <v>0.56657709999999994</v>
      </c>
      <c r="F2411" t="s">
        <v>70</v>
      </c>
      <c r="G2411">
        <v>-168.41380000000001</v>
      </c>
      <c r="H2411">
        <v>1.948296</v>
      </c>
      <c r="I2411">
        <v>198.31819999999999</v>
      </c>
      <c r="J2411">
        <v>-300.76499999999999</v>
      </c>
      <c r="K2411">
        <v>1.10825</v>
      </c>
      <c r="L2411">
        <v>215.2903</v>
      </c>
      <c r="M2411">
        <v>0.99981430000000004</v>
      </c>
      <c r="N2411">
        <v>-1.424809E-2</v>
      </c>
      <c r="O2411">
        <v>-1.298536E-2</v>
      </c>
      <c r="P2411">
        <v>0.99550530000000004</v>
      </c>
      <c r="Q2411">
        <v>-8.5092959999999995E-2</v>
      </c>
      <c r="R2411">
        <v>4.1579770000000002E-2</v>
      </c>
      <c r="S2411">
        <v>3.0314640000000002</v>
      </c>
      <c r="T2411">
        <v>1.917934E-2</v>
      </c>
      <c r="U2411">
        <v>-0.38763429999999999</v>
      </c>
      <c r="V2411">
        <v>-5.4581129999999999E-2</v>
      </c>
      <c r="W2411">
        <v>-7.0850350000000006E-2</v>
      </c>
      <c r="X2411">
        <v>0.99599249999999995</v>
      </c>
      <c r="Y2411">
        <v>0.1139506</v>
      </c>
      <c r="Z2411">
        <v>-7.2222300000000003E-4</v>
      </c>
      <c r="AA2411">
        <v>0.99348619999999999</v>
      </c>
      <c r="AB2411">
        <v>45</v>
      </c>
      <c r="AC2411">
        <v>132.35119999999901</v>
      </c>
      <c r="AD2411">
        <v>0.84004599999999896</v>
      </c>
      <c r="AE2411">
        <v>-16.972100000000001</v>
      </c>
      <c r="AF2411">
        <v>15.2512620410279</v>
      </c>
      <c r="AG2411">
        <v>0.84004599999999896</v>
      </c>
      <c r="AH2411">
        <v>132.555196259307</v>
      </c>
      <c r="AI2411">
        <v>89.639282261638499</v>
      </c>
      <c r="AJ2411">
        <v>83.436640612450802</v>
      </c>
      <c r="AK2411">
        <v>133.43233013954901</v>
      </c>
      <c r="AL2411">
        <v>94.062830097584097</v>
      </c>
      <c r="AM2411">
        <v>93.136713877294298</v>
      </c>
      <c r="AN2411">
        <v>0.99999996595172402</v>
      </c>
    </row>
    <row r="2412" spans="1:40" x14ac:dyDescent="0.25">
      <c r="A2412" t="str">
        <f>"20190305135633093"</f>
        <v>20190305135633093</v>
      </c>
      <c r="B2412" t="str">
        <f>"1551765393084537"</f>
        <v>1551765393084537</v>
      </c>
      <c r="C2412" t="s">
        <v>40</v>
      </c>
      <c r="D2412">
        <v>4.4713200000000004</v>
      </c>
      <c r="E2412">
        <v>0.56672419999999901</v>
      </c>
      <c r="F2412" t="s">
        <v>70</v>
      </c>
      <c r="G2412">
        <v>-168.41380000000001</v>
      </c>
      <c r="H2412">
        <v>1.818414</v>
      </c>
      <c r="I2412">
        <v>198.31559999999999</v>
      </c>
      <c r="J2412">
        <v>-300.29700000000003</v>
      </c>
      <c r="K2412">
        <v>1.1082000000000001</v>
      </c>
      <c r="L2412">
        <v>215.28370000000001</v>
      </c>
      <c r="M2412">
        <v>0.9998068</v>
      </c>
      <c r="N2412">
        <v>-1.42395E-2</v>
      </c>
      <c r="O2412">
        <v>-1.356572E-2</v>
      </c>
      <c r="P2412">
        <v>0.99550349999999999</v>
      </c>
      <c r="Q2412">
        <v>-8.5230310000000004E-2</v>
      </c>
      <c r="R2412">
        <v>4.1341700000000002E-2</v>
      </c>
      <c r="S2412">
        <v>3.0311889999999999</v>
      </c>
      <c r="T2412">
        <v>1.6265390000000001E-2</v>
      </c>
      <c r="U2412">
        <v>-0.38876339999999998</v>
      </c>
      <c r="V2412">
        <v>-5.493108E-2</v>
      </c>
      <c r="W2412">
        <v>-7.0988490000000001E-2</v>
      </c>
      <c r="X2412">
        <v>0.9959635</v>
      </c>
      <c r="Y2412">
        <v>0.11374910000000001</v>
      </c>
      <c r="Z2412">
        <v>-7.7416899999999903E-4</v>
      </c>
      <c r="AA2412">
        <v>0.99350919999999998</v>
      </c>
      <c r="AB2412">
        <v>45</v>
      </c>
      <c r="AC2412">
        <v>131.88319999999999</v>
      </c>
      <c r="AD2412">
        <v>0.71021399999999901</v>
      </c>
      <c r="AE2412">
        <v>-16.9681</v>
      </c>
      <c r="AF2412">
        <v>15.1768337520481</v>
      </c>
      <c r="AG2412">
        <v>0.71021399999999901</v>
      </c>
      <c r="AH2412">
        <v>132.09750115890901</v>
      </c>
      <c r="AI2412">
        <v>89.693968913858399</v>
      </c>
      <c r="AJ2412">
        <v>83.445958947174205</v>
      </c>
      <c r="AK2412">
        <v>132.968381576566</v>
      </c>
      <c r="AL2412">
        <v>94.070764609105495</v>
      </c>
      <c r="AM2412">
        <v>93.156876281576501</v>
      </c>
      <c r="AN2412">
        <v>1.00000004129734</v>
      </c>
    </row>
    <row r="2413" spans="1:40" x14ac:dyDescent="0.25">
      <c r="A2413" t="str">
        <f>"20190305135633114"</f>
        <v>20190305135633114</v>
      </c>
      <c r="B2413" t="str">
        <f>"1551765393105033"</f>
        <v>1551765393105033</v>
      </c>
      <c r="C2413" t="s">
        <v>40</v>
      </c>
      <c r="D2413">
        <v>4.451524</v>
      </c>
      <c r="E2413">
        <v>0.56695130000000005</v>
      </c>
      <c r="F2413" t="s">
        <v>70</v>
      </c>
      <c r="G2413">
        <v>-168.41380000000001</v>
      </c>
      <c r="H2413">
        <v>1.76101</v>
      </c>
      <c r="I2413">
        <v>198.2782</v>
      </c>
      <c r="J2413">
        <v>-299.87189999999998</v>
      </c>
      <c r="K2413">
        <v>1.1081570000000001</v>
      </c>
      <c r="L2413">
        <v>215.2775</v>
      </c>
      <c r="M2413">
        <v>0.99979910000000005</v>
      </c>
      <c r="N2413">
        <v>-1.42332E-2</v>
      </c>
      <c r="O2413">
        <v>-1.412003E-2</v>
      </c>
      <c r="P2413">
        <v>0.99547479999999999</v>
      </c>
      <c r="Q2413">
        <v>-8.5431899999999894E-2</v>
      </c>
      <c r="R2413">
        <v>4.1615859999999998E-2</v>
      </c>
      <c r="S2413">
        <v>3.0310670000000002</v>
      </c>
      <c r="T2413">
        <v>1.500428E-2</v>
      </c>
      <c r="U2413">
        <v>-0.39083859999999998</v>
      </c>
      <c r="V2413">
        <v>-5.5764679999999997E-2</v>
      </c>
      <c r="W2413">
        <v>-7.1189779999999994E-2</v>
      </c>
      <c r="X2413">
        <v>0.99590279999999998</v>
      </c>
      <c r="Y2413">
        <v>0.1138723</v>
      </c>
      <c r="Z2413">
        <v>-8.0286789999999995E-4</v>
      </c>
      <c r="AA2413">
        <v>0.99349500000000002</v>
      </c>
      <c r="AB2413">
        <v>45</v>
      </c>
      <c r="AC2413">
        <v>131.45809999999901</v>
      </c>
      <c r="AD2413">
        <v>0.65285299999999902</v>
      </c>
      <c r="AE2413">
        <v>-16.999300000000002</v>
      </c>
      <c r="AF2413">
        <v>15.140857490205001</v>
      </c>
      <c r="AG2413">
        <v>0.65285299999999902</v>
      </c>
      <c r="AH2413">
        <v>131.68185253670401</v>
      </c>
      <c r="AI2413">
        <v>89.717800262717901</v>
      </c>
      <c r="AJ2413">
        <v>83.440901028358098</v>
      </c>
      <c r="AK2413">
        <v>132.55105457926999</v>
      </c>
      <c r="AL2413">
        <v>94.082326952128398</v>
      </c>
      <c r="AM2413">
        <v>93.204878886767901</v>
      </c>
      <c r="AN2413">
        <v>1.0000000356798899</v>
      </c>
    </row>
    <row r="2414" spans="1:40" x14ac:dyDescent="0.25">
      <c r="A2414" t="str">
        <f>"20190305135633136"</f>
        <v>20190305135633136</v>
      </c>
      <c r="B2414" t="str">
        <f>"1551765393124553"</f>
        <v>1551765393124553</v>
      </c>
      <c r="C2414" t="s">
        <v>40</v>
      </c>
      <c r="D2414">
        <v>4.4811199999999998</v>
      </c>
      <c r="E2414">
        <v>0.56705589999999995</v>
      </c>
      <c r="F2414" t="s">
        <v>50</v>
      </c>
      <c r="G2414">
        <v>-234.45410000000001</v>
      </c>
      <c r="H2414">
        <v>1.423643</v>
      </c>
      <c r="I2414">
        <v>206.8135</v>
      </c>
      <c r="J2414">
        <v>-299.4384</v>
      </c>
      <c r="K2414">
        <v>1.1081179999999999</v>
      </c>
      <c r="L2414">
        <v>215.27099999999999</v>
      </c>
      <c r="M2414">
        <v>0.99979070000000003</v>
      </c>
      <c r="N2414">
        <v>-1.422816E-2</v>
      </c>
      <c r="O2414">
        <v>-1.4703610000000001E-2</v>
      </c>
      <c r="P2414">
        <v>0.99551559999999994</v>
      </c>
      <c r="Q2414">
        <v>-8.4942829999999997E-2</v>
      </c>
      <c r="R2414">
        <v>4.1636029999999997E-2</v>
      </c>
      <c r="S2414">
        <v>3.0312809999999999</v>
      </c>
      <c r="T2414">
        <v>1.462102E-2</v>
      </c>
      <c r="U2414">
        <v>-0.39219670000000001</v>
      </c>
      <c r="V2414">
        <v>-5.637259E-2</v>
      </c>
      <c r="W2414">
        <v>-7.0698919999999998E-2</v>
      </c>
      <c r="X2414">
        <v>0.99590350000000005</v>
      </c>
      <c r="Y2414">
        <v>0.1137214</v>
      </c>
      <c r="Z2414">
        <v>-8.1829759999999896E-4</v>
      </c>
      <c r="AA2414">
        <v>0.99351230000000001</v>
      </c>
      <c r="AB2414">
        <v>45</v>
      </c>
      <c r="AC2414">
        <v>64.984299999999905</v>
      </c>
      <c r="AD2414">
        <v>0.315525</v>
      </c>
      <c r="AE2414">
        <v>-8.45749999999998</v>
      </c>
      <c r="AF2414">
        <v>7.5008111442799104</v>
      </c>
      <c r="AG2414">
        <v>0.315525</v>
      </c>
      <c r="AH2414">
        <v>65.100132717147204</v>
      </c>
      <c r="AI2414">
        <v>89.7241281452078</v>
      </c>
      <c r="AJ2414">
        <v>83.427386076247402</v>
      </c>
      <c r="AK2414">
        <v>65.531587830892306</v>
      </c>
      <c r="AL2414">
        <v>94.054131872507696</v>
      </c>
      <c r="AM2414">
        <v>93.239740082430899</v>
      </c>
      <c r="AN2414">
        <v>0.99999999375236204</v>
      </c>
    </row>
    <row r="2415" spans="1:40" x14ac:dyDescent="0.25">
      <c r="A2415" t="str">
        <f>"20190305135633158"</f>
        <v>20190305135633158</v>
      </c>
      <c r="B2415" t="str">
        <f>"1551765393154811"</f>
        <v>1551765393154811</v>
      </c>
      <c r="C2415" t="s">
        <v>40</v>
      </c>
      <c r="D2415">
        <v>4.4762300000000002</v>
      </c>
      <c r="E2415">
        <v>0.56737479999999996</v>
      </c>
      <c r="F2415" t="s">
        <v>50</v>
      </c>
      <c r="G2415">
        <v>-234.5359</v>
      </c>
      <c r="H2415">
        <v>1.468394</v>
      </c>
      <c r="I2415">
        <v>206.8562</v>
      </c>
      <c r="J2415">
        <v>-298.98219999999998</v>
      </c>
      <c r="K2415">
        <v>1.1080840000000001</v>
      </c>
      <c r="L2415">
        <v>215.2638</v>
      </c>
      <c r="M2415">
        <v>0.99978129999999998</v>
      </c>
      <c r="N2415">
        <v>-1.422579E-2</v>
      </c>
      <c r="O2415">
        <v>-1.533114E-2</v>
      </c>
      <c r="P2415">
        <v>0.9955543</v>
      </c>
      <c r="Q2415">
        <v>-8.4459560000000003E-2</v>
      </c>
      <c r="R2415">
        <v>4.1692550000000002E-2</v>
      </c>
      <c r="S2415">
        <v>3.031342</v>
      </c>
      <c r="T2415">
        <v>1.682937E-2</v>
      </c>
      <c r="U2415">
        <v>-0.3930206</v>
      </c>
      <c r="V2415">
        <v>-5.7060760000000002E-2</v>
      </c>
      <c r="W2415">
        <v>-7.0211410000000002E-2</v>
      </c>
      <c r="X2415">
        <v>0.99589879999999997</v>
      </c>
      <c r="Y2415">
        <v>0.1133613</v>
      </c>
      <c r="Z2415">
        <v>-7.9834429999999998E-4</v>
      </c>
      <c r="AA2415">
        <v>0.99355349999999998</v>
      </c>
      <c r="AB2415">
        <v>45</v>
      </c>
      <c r="AC2415">
        <v>64.446299999999894</v>
      </c>
      <c r="AD2415">
        <v>0.36030999999999902</v>
      </c>
      <c r="AE2415">
        <v>-8.4076000000000004</v>
      </c>
      <c r="AF2415">
        <v>7.4182484610101396</v>
      </c>
      <c r="AG2415">
        <v>0.36030999999999902</v>
      </c>
      <c r="AH2415">
        <v>64.5656509035433</v>
      </c>
      <c r="AI2415">
        <v>89.682352671889902</v>
      </c>
      <c r="AJ2415">
        <v>83.445760471266496</v>
      </c>
      <c r="AK2415">
        <v>64.991411048873204</v>
      </c>
      <c r="AL2415">
        <v>94.026130010893297</v>
      </c>
      <c r="AM2415">
        <v>93.279218953977207</v>
      </c>
      <c r="AN2415">
        <v>0.99999999613370205</v>
      </c>
    </row>
    <row r="2416" spans="1:40" x14ac:dyDescent="0.25">
      <c r="A2416" t="str">
        <f>"20190305135633182"</f>
        <v>20190305135633182</v>
      </c>
      <c r="B2416" t="str">
        <f>"1551765393175307"</f>
        <v>1551765393175307</v>
      </c>
      <c r="C2416" t="s">
        <v>40</v>
      </c>
      <c r="D2416">
        <v>4.4506129999999997</v>
      </c>
      <c r="E2416">
        <v>0.56751260000000003</v>
      </c>
      <c r="F2416" t="s">
        <v>50</v>
      </c>
      <c r="G2416">
        <v>-234.5359</v>
      </c>
      <c r="H2416">
        <v>1.5287580000000001</v>
      </c>
      <c r="I2416">
        <v>206.8562</v>
      </c>
      <c r="J2416">
        <v>-298.5095</v>
      </c>
      <c r="K2416">
        <v>1.108044</v>
      </c>
      <c r="L2416">
        <v>215.256</v>
      </c>
      <c r="M2416">
        <v>0.99977090000000002</v>
      </c>
      <c r="N2416">
        <v>-1.4228930000000001E-2</v>
      </c>
      <c r="O2416">
        <v>-1.5991760000000001E-2</v>
      </c>
      <c r="P2416">
        <v>0.99552079999999998</v>
      </c>
      <c r="Q2416">
        <v>-8.4841130000000001E-2</v>
      </c>
      <c r="R2416">
        <v>4.1718669999999999E-2</v>
      </c>
      <c r="S2416">
        <v>3.0316770000000002</v>
      </c>
      <c r="T2416">
        <v>1.9791599999999999E-2</v>
      </c>
      <c r="U2416">
        <v>-0.39550780000000002</v>
      </c>
      <c r="V2416">
        <v>-5.7750170000000003E-2</v>
      </c>
      <c r="W2416">
        <v>-7.0584729999999998E-2</v>
      </c>
      <c r="X2416">
        <v>0.99583270000000002</v>
      </c>
      <c r="Y2416">
        <v>0.11349289999999899</v>
      </c>
      <c r="Z2416">
        <v>-7.7257210000000005E-4</v>
      </c>
      <c r="AA2416">
        <v>0.99353849999999999</v>
      </c>
      <c r="AB2416">
        <v>45</v>
      </c>
      <c r="AC2416">
        <v>63.973599999999998</v>
      </c>
      <c r="AD2416">
        <v>0.42071399999999998</v>
      </c>
      <c r="AE2416">
        <v>-8.3997999999999706</v>
      </c>
      <c r="AF2416">
        <v>7.3752580709663897</v>
      </c>
      <c r="AG2416">
        <v>0.42071399999999998</v>
      </c>
      <c r="AH2416">
        <v>64.097033686603794</v>
      </c>
      <c r="AI2416">
        <v>89.626397814389605</v>
      </c>
      <c r="AJ2416">
        <v>83.436187216237002</v>
      </c>
      <c r="AK2416">
        <v>64.521323291643398</v>
      </c>
      <c r="AL2416">
        <v>94.047572749345804</v>
      </c>
      <c r="AM2416">
        <v>93.318970349344298</v>
      </c>
      <c r="AN2416">
        <v>1.0000000263167399</v>
      </c>
    </row>
    <row r="2417" spans="1:40" x14ac:dyDescent="0.25">
      <c r="A2417" t="str">
        <f>"20190305135633206"</f>
        <v>20190305135633206</v>
      </c>
      <c r="B2417" t="str">
        <f>"1551765393194825"</f>
        <v>1551765393194825</v>
      </c>
      <c r="C2417" t="s">
        <v>40</v>
      </c>
      <c r="D2417">
        <v>4.484864</v>
      </c>
      <c r="E2417">
        <v>0.56774999999999998</v>
      </c>
      <c r="F2417" t="s">
        <v>50</v>
      </c>
      <c r="G2417">
        <v>-234.55109999999999</v>
      </c>
      <c r="H2417">
        <v>1.4870410000000001</v>
      </c>
      <c r="I2417">
        <v>206.8878</v>
      </c>
      <c r="J2417">
        <v>-298.03269999999998</v>
      </c>
      <c r="K2417">
        <v>1.1080129999999999</v>
      </c>
      <c r="L2417">
        <v>215.24789999999999</v>
      </c>
      <c r="M2417">
        <v>0.99975999999999998</v>
      </c>
      <c r="N2417">
        <v>-1.4234760000000001E-2</v>
      </c>
      <c r="O2417">
        <v>-1.6665889999999999E-2</v>
      </c>
      <c r="P2417">
        <v>0.99542560000000002</v>
      </c>
      <c r="Q2417">
        <v>-8.6195330000000001E-2</v>
      </c>
      <c r="R2417">
        <v>4.1216570000000001E-2</v>
      </c>
      <c r="S2417">
        <v>3.0316160000000001</v>
      </c>
      <c r="T2417">
        <v>1.796675E-2</v>
      </c>
      <c r="U2417">
        <v>-0.39665220000000001</v>
      </c>
      <c r="V2417">
        <v>-5.792456E-2</v>
      </c>
      <c r="W2417">
        <v>-7.1930259999999996E-2</v>
      </c>
      <c r="X2417">
        <v>0.99572629999999995</v>
      </c>
      <c r="Y2417">
        <v>0.11319419999999999</v>
      </c>
      <c r="Z2417">
        <v>-8.0972710000000003E-4</v>
      </c>
      <c r="AA2417">
        <v>0.99357249999999997</v>
      </c>
      <c r="AB2417">
        <v>45</v>
      </c>
      <c r="AC2417">
        <v>63.481599999999901</v>
      </c>
      <c r="AD2417">
        <v>0.37902799999999998</v>
      </c>
      <c r="AE2417">
        <v>-8.3600999999999797</v>
      </c>
      <c r="AF2417">
        <v>7.3005985104305902</v>
      </c>
      <c r="AG2417">
        <v>0.37902799999999998</v>
      </c>
      <c r="AH2417">
        <v>63.609895162714501</v>
      </c>
      <c r="AI2417">
        <v>89.660826056518701</v>
      </c>
      <c r="AJ2417">
        <v>83.452729201874703</v>
      </c>
      <c r="AK2417">
        <v>64.028596450701698</v>
      </c>
      <c r="AL2417">
        <v>94.124862357794697</v>
      </c>
      <c r="AM2417">
        <v>93.329325164163606</v>
      </c>
      <c r="AN2417">
        <v>1.0000000407332701</v>
      </c>
    </row>
    <row r="2418" spans="1:40" x14ac:dyDescent="0.25">
      <c r="A2418" t="str">
        <f>"20190305135633228"</f>
        <v>20190305135633228</v>
      </c>
      <c r="B2418" t="str">
        <f>"1551765393225082"</f>
        <v>1551765393225082</v>
      </c>
      <c r="C2418" t="s">
        <v>40</v>
      </c>
      <c r="D2418">
        <v>4.4510339999999999</v>
      </c>
      <c r="E2418">
        <v>0.56794049999999996</v>
      </c>
      <c r="F2418" t="s">
        <v>50</v>
      </c>
      <c r="G2418">
        <v>-234.54390000000001</v>
      </c>
      <c r="H2418">
        <v>1.4069199999999999</v>
      </c>
      <c r="I2418">
        <v>206.87270000000001</v>
      </c>
      <c r="J2418">
        <v>-297.56889999999999</v>
      </c>
      <c r="K2418">
        <v>1.1079909999999999</v>
      </c>
      <c r="L2418">
        <v>215.2396</v>
      </c>
      <c r="M2418">
        <v>0.99974830000000003</v>
      </c>
      <c r="N2418">
        <v>-1.424399E-2</v>
      </c>
      <c r="O2418">
        <v>-1.73274E-2</v>
      </c>
      <c r="P2418">
        <v>0.99534290000000003</v>
      </c>
      <c r="Q2418">
        <v>-8.7145399999999998E-2</v>
      </c>
      <c r="R2418">
        <v>4.1211650000000002E-2</v>
      </c>
      <c r="S2418">
        <v>3.0316160000000001</v>
      </c>
      <c r="T2418">
        <v>1.4275309999999999E-2</v>
      </c>
      <c r="U2418">
        <v>-0.39991759999999998</v>
      </c>
      <c r="V2418">
        <v>-5.8582420000000003E-2</v>
      </c>
      <c r="W2418">
        <v>-7.2868359999999993E-2</v>
      </c>
      <c r="X2418">
        <v>0.99561949999999999</v>
      </c>
      <c r="Y2418">
        <v>0.1135882</v>
      </c>
      <c r="Z2418">
        <v>-8.7326489999999999E-4</v>
      </c>
      <c r="AA2418">
        <v>0.99352750000000001</v>
      </c>
      <c r="AB2418">
        <v>45</v>
      </c>
      <c r="AC2418">
        <v>63.024999999999899</v>
      </c>
      <c r="AD2418">
        <v>0.298929</v>
      </c>
      <c r="AE2418">
        <v>-8.3668999999999798</v>
      </c>
      <c r="AF2418">
        <v>7.2733125285728804</v>
      </c>
      <c r="AG2418">
        <v>0.298929</v>
      </c>
      <c r="AH2418">
        <v>63.159131202888602</v>
      </c>
      <c r="AI2418">
        <v>89.730604357831993</v>
      </c>
      <c r="AJ2418">
        <v>83.4308393752775</v>
      </c>
      <c r="AK2418">
        <v>63.577246621641599</v>
      </c>
      <c r="AL2418">
        <v>94.178753359891303</v>
      </c>
      <c r="AM2418">
        <v>93.367410773833896</v>
      </c>
      <c r="AN2418">
        <v>0.99999994330119601</v>
      </c>
    </row>
    <row r="2419" spans="1:40" x14ac:dyDescent="0.25">
      <c r="A2419" t="str">
        <f>"20190305135633251"</f>
        <v>20190305135633251</v>
      </c>
      <c r="B2419" t="str">
        <f>"1551765393244602"</f>
        <v>1551765393244602</v>
      </c>
      <c r="C2419" t="s">
        <v>40</v>
      </c>
      <c r="D2419">
        <v>4.4569859999999997</v>
      </c>
      <c r="E2419">
        <v>0.56822209999999995</v>
      </c>
      <c r="F2419" t="s">
        <v>50</v>
      </c>
      <c r="G2419">
        <v>-234.55420000000001</v>
      </c>
      <c r="H2419">
        <v>1.382301</v>
      </c>
      <c r="I2419">
        <v>206.89429999999999</v>
      </c>
      <c r="J2419">
        <v>-297.1155</v>
      </c>
      <c r="K2419">
        <v>1.10798</v>
      </c>
      <c r="L2419">
        <v>215.2313</v>
      </c>
      <c r="M2419">
        <v>0.99973670000000003</v>
      </c>
      <c r="N2419">
        <v>-1.426147E-2</v>
      </c>
      <c r="O2419">
        <v>-1.7978259999999999E-2</v>
      </c>
      <c r="P2419">
        <v>0.99534449999999997</v>
      </c>
      <c r="Q2419">
        <v>-8.7342600000000006E-2</v>
      </c>
      <c r="R2419">
        <v>4.0750670000000003E-2</v>
      </c>
      <c r="S2419">
        <v>3.0318299999999998</v>
      </c>
      <c r="T2419">
        <v>1.320028E-2</v>
      </c>
      <c r="U2419">
        <v>-0.40151979999999998</v>
      </c>
      <c r="V2419">
        <v>-5.8772489999999997E-2</v>
      </c>
      <c r="W2419">
        <v>-7.3045650000000004E-2</v>
      </c>
      <c r="X2419">
        <v>0.99559529999999996</v>
      </c>
      <c r="Y2419">
        <v>0.1134483</v>
      </c>
      <c r="Z2419">
        <v>-8.9990670000000004E-4</v>
      </c>
      <c r="AA2419">
        <v>0.99354350000000002</v>
      </c>
      <c r="AB2419">
        <v>45</v>
      </c>
      <c r="AC2419">
        <v>62.561299999999903</v>
      </c>
      <c r="AD2419">
        <v>0.27432099999999998</v>
      </c>
      <c r="AE2419">
        <v>-8.3370000000000104</v>
      </c>
      <c r="AF2419">
        <v>7.2106583926908101</v>
      </c>
      <c r="AG2419">
        <v>0.27432099999999998</v>
      </c>
      <c r="AH2419">
        <v>62.699902172782899</v>
      </c>
      <c r="AI2419">
        <v>89.750965791583894</v>
      </c>
      <c r="AJ2419">
        <v>83.439650601615199</v>
      </c>
      <c r="AK2419">
        <v>63.113759030370503</v>
      </c>
      <c r="AL2419">
        <v>94.188938498226406</v>
      </c>
      <c r="AM2419">
        <v>93.378392962636596</v>
      </c>
      <c r="AN2419">
        <v>0.99999993697340395</v>
      </c>
    </row>
    <row r="2420" spans="1:40" x14ac:dyDescent="0.25">
      <c r="A2420" t="str">
        <f>"20190305135633270"</f>
        <v>20190305135633270</v>
      </c>
      <c r="B2420" t="str">
        <f>"1551765393264122"</f>
        <v>1551765393264122</v>
      </c>
      <c r="C2420" t="s">
        <v>40</v>
      </c>
      <c r="D2420">
        <v>4.4471179999999997</v>
      </c>
      <c r="E2420">
        <v>0.5685154</v>
      </c>
      <c r="F2420" t="s">
        <v>50</v>
      </c>
      <c r="G2420">
        <v>-234.5463</v>
      </c>
      <c r="H2420">
        <v>1.4234450000000001</v>
      </c>
      <c r="I2420">
        <v>206.87790000000001</v>
      </c>
      <c r="J2420">
        <v>-296.71510000000001</v>
      </c>
      <c r="K2420">
        <v>1.107977</v>
      </c>
      <c r="L2420">
        <v>215.2236</v>
      </c>
      <c r="M2420">
        <v>0.9997258</v>
      </c>
      <c r="N2420">
        <v>-1.428539E-2</v>
      </c>
      <c r="O2420">
        <v>-1.8555510000000001E-2</v>
      </c>
      <c r="P2420">
        <v>0.99542359999999996</v>
      </c>
      <c r="Q2420">
        <v>-8.6544369999999995E-2</v>
      </c>
      <c r="R2420">
        <v>4.0523839999999998E-2</v>
      </c>
      <c r="S2420">
        <v>3.031952</v>
      </c>
      <c r="T2420">
        <v>1.528907E-2</v>
      </c>
      <c r="U2420">
        <v>-0.40478520000000001</v>
      </c>
      <c r="V2420">
        <v>-5.9121659999999999E-2</v>
      </c>
      <c r="W2420">
        <v>-7.2220560000000003E-2</v>
      </c>
      <c r="X2420">
        <v>0.99563489999999999</v>
      </c>
      <c r="Y2420">
        <v>0.11392140000000001</v>
      </c>
      <c r="Z2420">
        <v>-8.8849449999999896E-4</v>
      </c>
      <c r="AA2420">
        <v>0.99348939999999997</v>
      </c>
      <c r="AB2420">
        <v>45</v>
      </c>
      <c r="AC2420">
        <v>62.168799999999997</v>
      </c>
      <c r="AD2420">
        <v>0.31546800000000003</v>
      </c>
      <c r="AE2420">
        <v>-8.3456999999999901</v>
      </c>
      <c r="AF2420">
        <v>7.1903894887891404</v>
      </c>
      <c r="AG2420">
        <v>0.31546800000000003</v>
      </c>
      <c r="AH2420">
        <v>62.311392765391098</v>
      </c>
      <c r="AI2420">
        <v>89.711839532590204</v>
      </c>
      <c r="AJ2420">
        <v>83.417498729804706</v>
      </c>
      <c r="AK2420">
        <v>62.725679664889597</v>
      </c>
      <c r="AL2420">
        <v>94.141538792349905</v>
      </c>
      <c r="AM2420">
        <v>93.398282392799402</v>
      </c>
      <c r="AN2420">
        <v>1.00000001703293</v>
      </c>
    </row>
    <row r="2421" spans="1:40" x14ac:dyDescent="0.25">
      <c r="A2421" t="str">
        <f>"20190305135633294"</f>
        <v>20190305135633294</v>
      </c>
      <c r="B2421" t="str">
        <f>"1551765393284617"</f>
        <v>1551765393284617</v>
      </c>
      <c r="C2421" t="s">
        <v>40</v>
      </c>
      <c r="D2421">
        <v>4.467676</v>
      </c>
      <c r="E2421">
        <v>0.5687913</v>
      </c>
      <c r="F2421" t="s">
        <v>50</v>
      </c>
      <c r="G2421">
        <v>-234.5376</v>
      </c>
      <c r="H2421">
        <v>1.4821169999999999</v>
      </c>
      <c r="I2421">
        <v>206.85980000000001</v>
      </c>
      <c r="J2421">
        <v>-296.25560000000002</v>
      </c>
      <c r="K2421">
        <v>1.1079749999999999</v>
      </c>
      <c r="L2421">
        <v>215.21459999999999</v>
      </c>
      <c r="M2421">
        <v>0.99971290000000002</v>
      </c>
      <c r="N2421">
        <v>-1.4316540000000001E-2</v>
      </c>
      <c r="O2421">
        <v>-1.9220540000000001E-2</v>
      </c>
      <c r="P2421">
        <v>0.99543369999999998</v>
      </c>
      <c r="Q2421">
        <v>-8.6626679999999998E-2</v>
      </c>
      <c r="R2421">
        <v>4.0100940000000002E-2</v>
      </c>
      <c r="S2421">
        <v>3.0320130000000001</v>
      </c>
      <c r="T2421">
        <v>1.8246890000000002E-2</v>
      </c>
      <c r="U2421">
        <v>-0.4078522</v>
      </c>
      <c r="V2421">
        <v>-5.936263E-2</v>
      </c>
      <c r="W2421">
        <v>-7.2270109999999999E-2</v>
      </c>
      <c r="X2421">
        <v>0.99561699999999997</v>
      </c>
      <c r="Y2421">
        <v>0.11424579999999999</v>
      </c>
      <c r="Z2421">
        <v>-8.6842850000000004E-4</v>
      </c>
      <c r="AA2421">
        <v>0.99345209999999995</v>
      </c>
      <c r="AB2421">
        <v>45</v>
      </c>
      <c r="AC2421">
        <v>61.718000000000004</v>
      </c>
      <c r="AD2421">
        <v>0.37414199999999997</v>
      </c>
      <c r="AE2421">
        <v>-8.3547999999999796</v>
      </c>
      <c r="AF2421">
        <v>7.1666229465031597</v>
      </c>
      <c r="AG2421">
        <v>0.37414199999999997</v>
      </c>
      <c r="AH2421">
        <v>61.864964020555497</v>
      </c>
      <c r="AI2421">
        <v>89.655797154094202</v>
      </c>
      <c r="AJ2421">
        <v>83.392138337021095</v>
      </c>
      <c r="AK2421">
        <v>62.279806036613003</v>
      </c>
      <c r="AL2421">
        <v>94.144385096617299</v>
      </c>
      <c r="AM2421">
        <v>93.412161765644797</v>
      </c>
      <c r="AN2421">
        <v>1.00000005066446</v>
      </c>
    </row>
    <row r="2422" spans="1:40" x14ac:dyDescent="0.25">
      <c r="A2422" t="str">
        <f>"20190305135633314"</f>
        <v>20190305135633314</v>
      </c>
      <c r="B2422" t="str">
        <f>"1551765393304138"</f>
        <v>1551765393304138</v>
      </c>
      <c r="C2422" t="s">
        <v>40</v>
      </c>
      <c r="D2422">
        <v>4.4396509999999996</v>
      </c>
      <c r="E2422">
        <v>0.57515909999999904</v>
      </c>
      <c r="F2422" t="s">
        <v>50</v>
      </c>
      <c r="G2422">
        <v>-234.5291</v>
      </c>
      <c r="H2422">
        <v>1.5079560000000001</v>
      </c>
      <c r="I2422">
        <v>206.84209999999999</v>
      </c>
      <c r="J2422">
        <v>-295.83300000000003</v>
      </c>
      <c r="K2422">
        <v>1.107972</v>
      </c>
      <c r="L2422">
        <v>215.20590000000001</v>
      </c>
      <c r="M2422">
        <v>0.99970040000000004</v>
      </c>
      <c r="N2422">
        <v>-1.43439E-2</v>
      </c>
      <c r="O2422">
        <v>-1.9833509999999999E-2</v>
      </c>
      <c r="P2422">
        <v>0.99546369999999895</v>
      </c>
      <c r="Q2422">
        <v>-8.6134530000000001E-2</v>
      </c>
      <c r="R2422">
        <v>4.0407459999999999E-2</v>
      </c>
      <c r="S2422">
        <v>3.0320130000000001</v>
      </c>
      <c r="T2422">
        <v>1.9649509999999999E-2</v>
      </c>
      <c r="U2422">
        <v>-0.41125489999999998</v>
      </c>
      <c r="V2422">
        <v>-6.0279720000000002E-2</v>
      </c>
      <c r="W2422">
        <v>-7.1748039999999999E-2</v>
      </c>
      <c r="X2422">
        <v>0.99559960000000003</v>
      </c>
      <c r="Y2422">
        <v>0.1147319</v>
      </c>
      <c r="Z2422">
        <v>-8.6776840000000002E-4</v>
      </c>
      <c r="AA2422">
        <v>0.9933961</v>
      </c>
      <c r="AB2422">
        <v>45</v>
      </c>
      <c r="AC2422">
        <v>61.303899999999899</v>
      </c>
      <c r="AD2422">
        <v>0.39998399999999901</v>
      </c>
      <c r="AE2422">
        <v>-8.3638000000000208</v>
      </c>
      <c r="AF2422">
        <v>7.1458592183405703</v>
      </c>
      <c r="AG2422">
        <v>0.39998399999999901</v>
      </c>
      <c r="AH2422">
        <v>61.455171038236202</v>
      </c>
      <c r="AI2422">
        <v>89.629588462608993</v>
      </c>
      <c r="AJ2422">
        <v>83.3675690042284</v>
      </c>
      <c r="AK2422">
        <v>61.870520755101701</v>
      </c>
      <c r="AL2422">
        <v>94.114395065412197</v>
      </c>
      <c r="AM2422">
        <v>93.464809027836907</v>
      </c>
      <c r="AN2422">
        <v>0.99999999470363998</v>
      </c>
    </row>
    <row r="2423" spans="1:40" x14ac:dyDescent="0.25">
      <c r="A2423" t="str">
        <f>"20190305135633337"</f>
        <v>20190305135633337</v>
      </c>
      <c r="B2423" t="str">
        <f>"1551765393334394"</f>
        <v>1551765393334394</v>
      </c>
      <c r="C2423" t="s">
        <v>40</v>
      </c>
      <c r="D2423">
        <v>4.4396930000000001</v>
      </c>
      <c r="E2423">
        <v>0.57482140000000004</v>
      </c>
      <c r="F2423" t="s">
        <v>70</v>
      </c>
      <c r="G2423">
        <v>-168.4151</v>
      </c>
      <c r="H2423">
        <v>3.3797790000000001</v>
      </c>
      <c r="I2423">
        <v>195.94919999999999</v>
      </c>
      <c r="J2423">
        <v>-295.3954</v>
      </c>
      <c r="K2423">
        <v>1.1079699999999999</v>
      </c>
      <c r="L2423">
        <v>215.19669999999999</v>
      </c>
      <c r="M2423">
        <v>0.99968729999999995</v>
      </c>
      <c r="N2423">
        <v>-1.436978E-2</v>
      </c>
      <c r="O2423">
        <v>-2.046885E-2</v>
      </c>
      <c r="P2423">
        <v>0.99545589999999995</v>
      </c>
      <c r="Q2423">
        <v>-8.6367009999999994E-2</v>
      </c>
      <c r="R2423">
        <v>4.0107909999999997E-2</v>
      </c>
      <c r="S2423">
        <v>3.0370180000000002</v>
      </c>
      <c r="T2423">
        <v>5.4149509999999998E-2</v>
      </c>
      <c r="U2423">
        <v>-0.45898440000000001</v>
      </c>
      <c r="V2423">
        <v>-6.0613970000000003E-2</v>
      </c>
      <c r="W2423">
        <v>-7.1953589999999998E-2</v>
      </c>
      <c r="X2423">
        <v>0.99556449999999996</v>
      </c>
      <c r="Y2423">
        <v>0.12916730000000001</v>
      </c>
      <c r="Z2423">
        <v>-4.4371299999999999E-4</v>
      </c>
      <c r="AA2423">
        <v>0.99162269999999997</v>
      </c>
      <c r="AB2423">
        <v>45</v>
      </c>
      <c r="AC2423">
        <v>126.9803</v>
      </c>
      <c r="AD2423">
        <v>2.2718090000000002</v>
      </c>
      <c r="AE2423">
        <v>-19.247499999999999</v>
      </c>
      <c r="AF2423">
        <v>16.638851457245401</v>
      </c>
      <c r="AG2423">
        <v>2.2718090000000002</v>
      </c>
      <c r="AH2423">
        <v>127.30787122946001</v>
      </c>
      <c r="AI2423">
        <v>88.986284913242898</v>
      </c>
      <c r="AJ2423">
        <v>82.553778040851796</v>
      </c>
      <c r="AK2423">
        <v>128.41069492423699</v>
      </c>
      <c r="AL2423">
        <v>94.126202613950696</v>
      </c>
      <c r="AM2423">
        <v>93.484096670471899</v>
      </c>
      <c r="AN2423">
        <v>1.0000000230666399</v>
      </c>
    </row>
    <row r="2424" spans="1:40" x14ac:dyDescent="0.25">
      <c r="A2424" t="str">
        <f>"20190305135633360"</f>
        <v>20190305135633360</v>
      </c>
      <c r="B2424" t="str">
        <f>"1551765393354890"</f>
        <v>1551765393354890</v>
      </c>
      <c r="C2424" t="s">
        <v>40</v>
      </c>
      <c r="D2424">
        <v>4.442202</v>
      </c>
      <c r="E2424">
        <v>0.57474150000000002</v>
      </c>
      <c r="F2424" t="s">
        <v>70</v>
      </c>
      <c r="G2424">
        <v>-168.4151</v>
      </c>
      <c r="H2424">
        <v>3.4426869999999998</v>
      </c>
      <c r="I2424">
        <v>196.0849</v>
      </c>
      <c r="J2424">
        <v>-294.92180000000002</v>
      </c>
      <c r="K2424">
        <v>1.107966</v>
      </c>
      <c r="L2424">
        <v>215.1865</v>
      </c>
      <c r="M2424">
        <v>0.99967260000000002</v>
      </c>
      <c r="N2424">
        <v>-1.439519E-2</v>
      </c>
      <c r="O2424">
        <v>-2.115651E-2</v>
      </c>
      <c r="P2424">
        <v>0.99547540000000001</v>
      </c>
      <c r="Q2424">
        <v>-8.6451749999999994E-2</v>
      </c>
      <c r="R2424">
        <v>3.9432620000000002E-2</v>
      </c>
      <c r="S2424">
        <v>3.0369570000000001</v>
      </c>
      <c r="T2424">
        <v>5.5839659999999999E-2</v>
      </c>
      <c r="U2424">
        <v>-0.45709230000000001</v>
      </c>
      <c r="V2424">
        <v>-6.062464E-2</v>
      </c>
      <c r="W2424">
        <v>-7.2012190000000004E-2</v>
      </c>
      <c r="X2424">
        <v>0.99555959999999999</v>
      </c>
      <c r="Y2424">
        <v>0.127884</v>
      </c>
      <c r="Z2424">
        <v>-4.462418E-4</v>
      </c>
      <c r="AA2424">
        <v>0.99178900000000003</v>
      </c>
      <c r="AB2424">
        <v>45</v>
      </c>
      <c r="AC2424">
        <v>126.5067</v>
      </c>
      <c r="AD2424">
        <v>2.334721</v>
      </c>
      <c r="AE2424">
        <v>-19.101599999999902</v>
      </c>
      <c r="AF2424">
        <v>16.415139924213602</v>
      </c>
      <c r="AG2424">
        <v>2.334721</v>
      </c>
      <c r="AH2424">
        <v>126.840305296003</v>
      </c>
      <c r="AI2424">
        <v>88.954207913716004</v>
      </c>
      <c r="AJ2424">
        <v>82.626006089793506</v>
      </c>
      <c r="AK2424">
        <v>127.919391760838</v>
      </c>
      <c r="AL2424">
        <v>94.129568933898597</v>
      </c>
      <c r="AM2424">
        <v>93.484725580847098</v>
      </c>
      <c r="AN2424">
        <v>1.00000000981794</v>
      </c>
    </row>
    <row r="2425" spans="1:40" x14ac:dyDescent="0.25">
      <c r="A2425" t="str">
        <f>"20190305135633384"</f>
        <v>20190305135633384</v>
      </c>
      <c r="B2425" t="str">
        <f>"1551765393374409"</f>
        <v>1551765393374409</v>
      </c>
      <c r="C2425" t="s">
        <v>40</v>
      </c>
      <c r="D2425">
        <v>4.460407</v>
      </c>
      <c r="E2425">
        <v>0.57514519999999902</v>
      </c>
      <c r="F2425" t="s">
        <v>70</v>
      </c>
      <c r="G2425">
        <v>-168.4151</v>
      </c>
      <c r="H2425">
        <v>3.3811439999999999</v>
      </c>
      <c r="I2425">
        <v>196.0829</v>
      </c>
      <c r="J2425">
        <v>-294.4511</v>
      </c>
      <c r="K2425">
        <v>1.1079680000000001</v>
      </c>
      <c r="L2425">
        <v>215.17590000000001</v>
      </c>
      <c r="M2425">
        <v>0.99965749999999998</v>
      </c>
      <c r="N2425">
        <v>-1.4417940000000001E-2</v>
      </c>
      <c r="O2425">
        <v>-2.1839819999999999E-2</v>
      </c>
      <c r="P2425">
        <v>0.99549489999999996</v>
      </c>
      <c r="Q2425">
        <v>-8.6552630000000005E-2</v>
      </c>
      <c r="R2425">
        <v>3.8713150000000002E-2</v>
      </c>
      <c r="S2425">
        <v>3.03653</v>
      </c>
      <c r="T2425">
        <v>5.4563639999999997E-2</v>
      </c>
      <c r="U2425">
        <v>-0.4585419</v>
      </c>
      <c r="V2425">
        <v>-6.0586319999999999E-2</v>
      </c>
      <c r="W2425">
        <v>-7.2089829999999994E-2</v>
      </c>
      <c r="X2425">
        <v>0.99555629999999995</v>
      </c>
      <c r="Y2425">
        <v>0.1276902</v>
      </c>
      <c r="Z2425">
        <v>-4.8833009999999996E-4</v>
      </c>
      <c r="AA2425">
        <v>0.99181399999999997</v>
      </c>
      <c r="AB2425">
        <v>45</v>
      </c>
      <c r="AC2425">
        <v>126.036</v>
      </c>
      <c r="AD2425">
        <v>2.2731759999999999</v>
      </c>
      <c r="AE2425">
        <v>-19.093</v>
      </c>
      <c r="AF2425">
        <v>16.330362297480601</v>
      </c>
      <c r="AG2425">
        <v>2.2731759999999999</v>
      </c>
      <c r="AH2425">
        <v>126.38277367376899</v>
      </c>
      <c r="AI2425">
        <v>88.978058187114598</v>
      </c>
      <c r="AJ2425">
        <v>82.637405749114507</v>
      </c>
      <c r="AK2425">
        <v>127.453730990384</v>
      </c>
      <c r="AL2425">
        <v>94.134029026787402</v>
      </c>
      <c r="AM2425">
        <v>93.4825398717052</v>
      </c>
      <c r="AN2425">
        <v>0.99999999611513002</v>
      </c>
    </row>
    <row r="2426" spans="1:40" x14ac:dyDescent="0.25">
      <c r="A2426" t="str">
        <f>"20190305135633404"</f>
        <v>20190305135633404</v>
      </c>
      <c r="B2426" t="str">
        <f>"1551765393394905"</f>
        <v>1551765393394905</v>
      </c>
      <c r="C2426" t="s">
        <v>40</v>
      </c>
      <c r="D2426">
        <v>4.428026</v>
      </c>
      <c r="E2426">
        <v>0.57551300000000005</v>
      </c>
      <c r="F2426" t="s">
        <v>70</v>
      </c>
      <c r="G2426">
        <v>-168.4151</v>
      </c>
      <c r="H2426">
        <v>3.5027490000000001</v>
      </c>
      <c r="I2426">
        <v>195.9211</v>
      </c>
      <c r="J2426">
        <v>-294.03890000000001</v>
      </c>
      <c r="K2426">
        <v>1.1079680000000001</v>
      </c>
      <c r="L2426">
        <v>215.16640000000001</v>
      </c>
      <c r="M2426">
        <v>0.99964399999999998</v>
      </c>
      <c r="N2426">
        <v>-1.443583E-2</v>
      </c>
      <c r="O2426">
        <v>-2.243902E-2</v>
      </c>
      <c r="P2426">
        <v>0.99546279999999998</v>
      </c>
      <c r="Q2426">
        <v>-8.7209750000000003E-2</v>
      </c>
      <c r="R2426">
        <v>3.8060080000000003E-2</v>
      </c>
      <c r="S2426">
        <v>3.0366209999999998</v>
      </c>
      <c r="T2426">
        <v>5.7698970000000002E-2</v>
      </c>
      <c r="U2426">
        <v>-0.46391300000000002</v>
      </c>
      <c r="V2426">
        <v>-6.0530809999999997E-2</v>
      </c>
      <c r="W2426">
        <v>-7.2729520000000006E-2</v>
      </c>
      <c r="X2426">
        <v>0.99551310000000004</v>
      </c>
      <c r="Y2426">
        <v>0.12880559999999999</v>
      </c>
      <c r="Z2426">
        <v>-4.6442659999999998E-4</v>
      </c>
      <c r="AA2426">
        <v>0.99166980000000005</v>
      </c>
      <c r="AB2426">
        <v>45</v>
      </c>
      <c r="AC2426">
        <v>125.6238</v>
      </c>
      <c r="AD2426">
        <v>2.394781</v>
      </c>
      <c r="AE2426">
        <v>-19.2453</v>
      </c>
      <c r="AF2426">
        <v>16.415455980738798</v>
      </c>
      <c r="AG2426">
        <v>2.394781</v>
      </c>
      <c r="AH2426">
        <v>125.979322340791</v>
      </c>
      <c r="AI2426">
        <v>88.920104366113407</v>
      </c>
      <c r="AJ2426">
        <v>82.576028799657806</v>
      </c>
      <c r="AK2426">
        <v>127.06687935311299</v>
      </c>
      <c r="AL2426">
        <v>94.170777233786197</v>
      </c>
      <c r="AM2426">
        <v>93.479507578741604</v>
      </c>
      <c r="AN2426">
        <v>0.99999994715514595</v>
      </c>
    </row>
    <row r="2427" spans="1:40" x14ac:dyDescent="0.25">
      <c r="A2427" t="str">
        <f>"20190305135633428"</f>
        <v>20190305135633428</v>
      </c>
      <c r="B2427" t="str">
        <f>"1551765393424185"</f>
        <v>1551765393424185</v>
      </c>
      <c r="C2427" t="s">
        <v>40</v>
      </c>
      <c r="D2427">
        <v>4.4356770000000001</v>
      </c>
      <c r="E2427">
        <v>0.57615669999999897</v>
      </c>
      <c r="F2427" t="s">
        <v>70</v>
      </c>
      <c r="G2427">
        <v>-168.4152</v>
      </c>
      <c r="H2427">
        <v>3.461716</v>
      </c>
      <c r="I2427">
        <v>195.77170000000001</v>
      </c>
      <c r="J2427">
        <v>-293.56659999999999</v>
      </c>
      <c r="K2427">
        <v>1.10796299999999</v>
      </c>
      <c r="L2427">
        <v>215.15530000000001</v>
      </c>
      <c r="M2427">
        <v>0.99962799999999996</v>
      </c>
      <c r="N2427">
        <v>-1.4453880000000001E-2</v>
      </c>
      <c r="O2427">
        <v>-2.3126290000000001E-2</v>
      </c>
      <c r="P2427">
        <v>0.99549670000000001</v>
      </c>
      <c r="Q2427">
        <v>-8.7073269999999994E-2</v>
      </c>
      <c r="R2427">
        <v>3.7476580000000002E-2</v>
      </c>
      <c r="S2427">
        <v>3.036591</v>
      </c>
      <c r="T2427">
        <v>5.6895849999999998E-2</v>
      </c>
      <c r="U2427">
        <v>-0.46881099999999998</v>
      </c>
      <c r="V2427">
        <v>-6.0632119999999998E-2</v>
      </c>
      <c r="W2427">
        <v>-7.2574520000000003E-2</v>
      </c>
      <c r="X2427">
        <v>0.99551829999999997</v>
      </c>
      <c r="Y2427">
        <v>0.12968850000000001</v>
      </c>
      <c r="Z2427">
        <v>-4.9806220000000003E-4</v>
      </c>
      <c r="AA2427">
        <v>0.99155470000000001</v>
      </c>
      <c r="AB2427">
        <v>45</v>
      </c>
      <c r="AC2427">
        <v>125.1514</v>
      </c>
      <c r="AD2427">
        <v>2.3537530000000002</v>
      </c>
      <c r="AE2427">
        <v>-19.383600000000001</v>
      </c>
      <c r="AF2427">
        <v>16.478132699199801</v>
      </c>
      <c r="AG2427">
        <v>2.3537530000000002</v>
      </c>
      <c r="AH2427">
        <v>125.52288016851</v>
      </c>
      <c r="AI2427">
        <v>88.934875703711398</v>
      </c>
      <c r="AJ2427">
        <v>82.521209237271705</v>
      </c>
      <c r="AK2427">
        <v>126.621729794833</v>
      </c>
      <c r="AL2427">
        <v>94.161872634832903</v>
      </c>
      <c r="AM2427">
        <v>93.485298702644997</v>
      </c>
      <c r="AN2427">
        <v>1.0000000002819001</v>
      </c>
    </row>
    <row r="2428" spans="1:40" x14ac:dyDescent="0.25">
      <c r="A2428" t="str">
        <f>"20190305135633452"</f>
        <v>20190305135633452</v>
      </c>
      <c r="B2428" t="str">
        <f>"1551765393444303"</f>
        <v>1551765393444303</v>
      </c>
      <c r="C2428" t="s">
        <v>40</v>
      </c>
      <c r="D2428">
        <v>4.4965820000000001</v>
      </c>
      <c r="E2428">
        <v>0.57629509999999995</v>
      </c>
      <c r="F2428" t="s">
        <v>70</v>
      </c>
      <c r="G2428">
        <v>-168.4153</v>
      </c>
      <c r="H2428">
        <v>3.4911989999999999</v>
      </c>
      <c r="I2428">
        <v>195.55240000000001</v>
      </c>
      <c r="J2428">
        <v>-293.10629999999998</v>
      </c>
      <c r="K2428">
        <v>1.1079619999999999</v>
      </c>
      <c r="L2428">
        <v>215.14410000000001</v>
      </c>
      <c r="M2428">
        <v>0.9996121</v>
      </c>
      <c r="N2428">
        <v>-1.446883E-2</v>
      </c>
      <c r="O2428">
        <v>-2.3796600000000001E-2</v>
      </c>
      <c r="P2428">
        <v>0.99541840000000004</v>
      </c>
      <c r="Q2428">
        <v>-8.8169880000000006E-2</v>
      </c>
      <c r="R2428">
        <v>3.6994489999999998E-2</v>
      </c>
      <c r="S2428">
        <v>3.0364990000000001</v>
      </c>
      <c r="T2428">
        <v>5.782437E-2</v>
      </c>
      <c r="U2428">
        <v>-0.4756165</v>
      </c>
      <c r="V2428">
        <v>-6.0817639999999999E-2</v>
      </c>
      <c r="W2428">
        <v>-7.3657120000000006E-2</v>
      </c>
      <c r="X2428">
        <v>0.99542750000000002</v>
      </c>
      <c r="Y2428">
        <v>0.13119790000000001</v>
      </c>
      <c r="Z2428">
        <v>-5.0593909999999999E-4</v>
      </c>
      <c r="AA2428">
        <v>0.99135609999999996</v>
      </c>
      <c r="AB2428">
        <v>45</v>
      </c>
      <c r="AC2428">
        <v>124.69099999999899</v>
      </c>
      <c r="AD2428">
        <v>2.3832369999999998</v>
      </c>
      <c r="AE2428">
        <v>-19.591699999999999</v>
      </c>
      <c r="AF2428">
        <v>16.612695743314799</v>
      </c>
      <c r="AG2428">
        <v>2.3832369999999998</v>
      </c>
      <c r="AH2428">
        <v>125.077355923045</v>
      </c>
      <c r="AI2428">
        <v>88.917912851128506</v>
      </c>
      <c r="AJ2428">
        <v>82.434292074946399</v>
      </c>
      <c r="AK2428">
        <v>126.198282251218</v>
      </c>
      <c r="AL2428">
        <v>94.224067381009206</v>
      </c>
      <c r="AM2428">
        <v>93.4962545856189</v>
      </c>
      <c r="AN2428">
        <v>1.0000000322090501</v>
      </c>
    </row>
    <row r="2429" spans="1:40" x14ac:dyDescent="0.25">
      <c r="A2429" t="str">
        <f>"20190305135633472"</f>
        <v>20190305135633472</v>
      </c>
      <c r="B2429" t="str">
        <f>"1551765393464799"</f>
        <v>1551765393464799</v>
      </c>
      <c r="C2429" t="s">
        <v>40</v>
      </c>
      <c r="D2429">
        <v>4.4959879999999997</v>
      </c>
      <c r="E2429">
        <v>0.57650239999999997</v>
      </c>
      <c r="F2429" t="s">
        <v>70</v>
      </c>
      <c r="G2429">
        <v>-168.4152</v>
      </c>
      <c r="H2429">
        <v>3.3302629999999902</v>
      </c>
      <c r="I2429">
        <v>195.50040000000001</v>
      </c>
      <c r="J2429">
        <v>-292.68049999999999</v>
      </c>
      <c r="K2429">
        <v>1.107961</v>
      </c>
      <c r="L2429">
        <v>215.13339999999999</v>
      </c>
      <c r="M2429">
        <v>0.99959710000000002</v>
      </c>
      <c r="N2429">
        <v>-1.448062E-2</v>
      </c>
      <c r="O2429">
        <v>-2.4414749999999999E-2</v>
      </c>
      <c r="P2429">
        <v>0.99534650000000002</v>
      </c>
      <c r="Q2429">
        <v>-8.9153389999999999E-2</v>
      </c>
      <c r="R2429">
        <v>3.656682E-2</v>
      </c>
      <c r="S2429">
        <v>3.0363769999999999</v>
      </c>
      <c r="T2429">
        <v>5.4116490000000003E-2</v>
      </c>
      <c r="U2429">
        <v>-0.47834779999999999</v>
      </c>
      <c r="V2429">
        <v>-6.1004509999999998E-2</v>
      </c>
      <c r="W2429">
        <v>-7.4629929999999997E-2</v>
      </c>
      <c r="X2429">
        <v>0.9953436</v>
      </c>
      <c r="Y2429">
        <v>0.131462299999999</v>
      </c>
      <c r="Z2429">
        <v>-5.7722440000000002E-4</v>
      </c>
      <c r="AA2429">
        <v>0.99132100000000001</v>
      </c>
      <c r="AB2429">
        <v>45</v>
      </c>
      <c r="AC2429">
        <v>124.2653</v>
      </c>
      <c r="AD2429">
        <v>2.222302</v>
      </c>
      <c r="AE2429">
        <v>-19.6329999999999</v>
      </c>
      <c r="AF2429">
        <v>16.5877464056293</v>
      </c>
      <c r="AG2429">
        <v>2.222302</v>
      </c>
      <c r="AH2429">
        <v>124.668735098323</v>
      </c>
      <c r="AI2429">
        <v>88.987692803109098</v>
      </c>
      <c r="AJ2429">
        <v>82.421049518937707</v>
      </c>
      <c r="AK2429">
        <v>125.787063993133</v>
      </c>
      <c r="AL2429">
        <v>94.279959138368895</v>
      </c>
      <c r="AM2429">
        <v>93.507265379498094</v>
      </c>
      <c r="AN2429">
        <v>1.0000000293765501</v>
      </c>
    </row>
    <row r="2430" spans="1:40" x14ac:dyDescent="0.25">
      <c r="A2430" t="str">
        <f>"20190305135633494"</f>
        <v>20190305135633494</v>
      </c>
      <c r="B2430" t="str">
        <f>"1551765393484319"</f>
        <v>1551765393484319</v>
      </c>
      <c r="C2430" t="s">
        <v>40</v>
      </c>
      <c r="D2430">
        <v>4.5061809999999998</v>
      </c>
      <c r="E2430">
        <v>0.57653750000000004</v>
      </c>
      <c r="F2430" t="s">
        <v>70</v>
      </c>
      <c r="G2430">
        <v>-168.4152</v>
      </c>
      <c r="H2430">
        <v>3.2222749999999998</v>
      </c>
      <c r="I2430">
        <v>195.43</v>
      </c>
      <c r="J2430">
        <v>-292.24450000000002</v>
      </c>
      <c r="K2430">
        <v>1.1079650000000001</v>
      </c>
      <c r="L2430">
        <v>215.12219999999999</v>
      </c>
      <c r="M2430">
        <v>0.99958139999999995</v>
      </c>
      <c r="N2430">
        <v>-1.4490869999999999E-2</v>
      </c>
      <c r="O2430">
        <v>-2.5043820000000001E-2</v>
      </c>
      <c r="P2430">
        <v>0.99532600000000004</v>
      </c>
      <c r="Q2430">
        <v>-8.9463340000000002E-2</v>
      </c>
      <c r="R2430">
        <v>3.6370479999999997E-2</v>
      </c>
      <c r="S2430">
        <v>3.0363769999999999</v>
      </c>
      <c r="T2430">
        <v>5.1663279999999999E-2</v>
      </c>
      <c r="U2430">
        <v>-0.48144530000000002</v>
      </c>
      <c r="V2430">
        <v>-6.1433590000000003E-2</v>
      </c>
      <c r="W2430">
        <v>-7.4929960000000004E-2</v>
      </c>
      <c r="X2430">
        <v>0.99529460000000003</v>
      </c>
      <c r="Y2430">
        <v>0.13182579999999999</v>
      </c>
      <c r="Z2430">
        <v>-6.3070209999999995E-4</v>
      </c>
      <c r="AA2430">
        <v>0.99127270000000001</v>
      </c>
      <c r="AB2430">
        <v>45</v>
      </c>
      <c r="AC2430">
        <v>123.8293</v>
      </c>
      <c r="AD2430">
        <v>2.1143100000000001</v>
      </c>
      <c r="AE2430">
        <v>-19.6921999999999</v>
      </c>
      <c r="AF2430">
        <v>16.579823846519101</v>
      </c>
      <c r="AG2430">
        <v>2.1143100000000001</v>
      </c>
      <c r="AH2430">
        <v>124.248343726846</v>
      </c>
      <c r="AI2430">
        <v>89.033666809647102</v>
      </c>
      <c r="AJ2430">
        <v>82.399295347140907</v>
      </c>
      <c r="AK2430">
        <v>125.367506892425</v>
      </c>
      <c r="AL2430">
        <v>94.297198144502403</v>
      </c>
      <c r="AM2430">
        <v>93.532045218558494</v>
      </c>
      <c r="AN2430">
        <v>0.99999996283752401</v>
      </c>
    </row>
    <row r="2431" spans="1:40" x14ac:dyDescent="0.25">
      <c r="A2431" t="str">
        <f>"20190305135633516"</f>
        <v>20190305135633516</v>
      </c>
      <c r="B2431" t="str">
        <f>"1551765393504815"</f>
        <v>1551765393504815</v>
      </c>
      <c r="C2431" t="s">
        <v>40</v>
      </c>
      <c r="D2431">
        <v>4.6006450000000001</v>
      </c>
      <c r="E2431">
        <v>0.5662007</v>
      </c>
      <c r="F2431" t="s">
        <v>70</v>
      </c>
      <c r="G2431">
        <v>-168.4152</v>
      </c>
      <c r="H2431">
        <v>3.1212610000000001</v>
      </c>
      <c r="I2431">
        <v>195.42500000000001</v>
      </c>
      <c r="J2431">
        <v>-291.81760000000003</v>
      </c>
      <c r="K2431">
        <v>1.10797099999999</v>
      </c>
      <c r="L2431">
        <v>215.11109999999999</v>
      </c>
      <c r="M2431">
        <v>0.99956599999999995</v>
      </c>
      <c r="N2431">
        <v>-1.4499369999999999E-2</v>
      </c>
      <c r="O2431">
        <v>-2.5645950000000001E-2</v>
      </c>
      <c r="P2431">
        <v>0.99532509999999996</v>
      </c>
      <c r="Q2431">
        <v>-8.9717190000000002E-2</v>
      </c>
      <c r="R2431">
        <v>3.576095E-2</v>
      </c>
      <c r="S2431">
        <v>3.0361630000000002</v>
      </c>
      <c r="T2431">
        <v>4.9364690000000003E-2</v>
      </c>
      <c r="U2431">
        <v>-0.48295589999999999</v>
      </c>
      <c r="V2431">
        <v>-6.1421999999999997E-2</v>
      </c>
      <c r="W2431">
        <v>-7.5176809999999997E-2</v>
      </c>
      <c r="X2431">
        <v>0.99527670000000001</v>
      </c>
      <c r="Y2431">
        <v>0.13172120000000001</v>
      </c>
      <c r="Z2431">
        <v>-6.8071620000000001E-4</v>
      </c>
      <c r="AA2431">
        <v>0.99128660000000002</v>
      </c>
      <c r="AB2431">
        <v>45</v>
      </c>
      <c r="AC2431">
        <v>123.4024</v>
      </c>
      <c r="AD2431">
        <v>2.01329</v>
      </c>
      <c r="AE2431">
        <v>-19.6860999999999</v>
      </c>
      <c r="AF2431">
        <v>16.5102338376219</v>
      </c>
      <c r="AG2431">
        <v>2.01329</v>
      </c>
      <c r="AH2431">
        <v>123.83458127521401</v>
      </c>
      <c r="AI2431">
        <v>89.076741245129597</v>
      </c>
      <c r="AJ2431">
        <v>82.405831080517004</v>
      </c>
      <c r="AK2431">
        <v>124.946567290201</v>
      </c>
      <c r="AL2431">
        <v>94.311381615203899</v>
      </c>
      <c r="AM2431">
        <v>93.531443903815301</v>
      </c>
      <c r="AN2431">
        <v>0.99999996220433196</v>
      </c>
    </row>
    <row r="2432" spans="1:40" x14ac:dyDescent="0.25">
      <c r="A2432" t="str">
        <f>"20190305135633538"</f>
        <v>20190305135633538</v>
      </c>
      <c r="B2432" t="str">
        <f>"1551765393535071"</f>
        <v>1551765393535071</v>
      </c>
      <c r="C2432" t="s">
        <v>40</v>
      </c>
      <c r="D2432">
        <v>4.8685400000000003</v>
      </c>
      <c r="E2432">
        <v>0.5489233</v>
      </c>
      <c r="F2432" t="s">
        <v>55</v>
      </c>
      <c r="G2432">
        <v>-263.70940000000002</v>
      </c>
      <c r="H2432" s="1">
        <v>5.8340299999999997E-7</v>
      </c>
      <c r="I2432">
        <v>211.27080000000001</v>
      </c>
      <c r="J2432">
        <v>-291.37430000000001</v>
      </c>
      <c r="K2432">
        <v>1.1079909999999999</v>
      </c>
      <c r="L2432">
        <v>215.09909999999999</v>
      </c>
      <c r="M2432">
        <v>0.9995503</v>
      </c>
      <c r="N2432">
        <v>-1.4506740000000001E-2</v>
      </c>
      <c r="O2432">
        <v>-2.6243220000000001E-2</v>
      </c>
      <c r="P2432">
        <v>0.99541710000000005</v>
      </c>
      <c r="Q2432">
        <v>-8.9003319999999997E-2</v>
      </c>
      <c r="R2432">
        <v>3.4972379999999997E-2</v>
      </c>
      <c r="S2432">
        <v>3.0181580000000001</v>
      </c>
      <c r="T2432">
        <v>-0.1189699</v>
      </c>
      <c r="U2432">
        <v>-0.41235349999999998</v>
      </c>
      <c r="V2432">
        <v>-6.1225500000000002E-2</v>
      </c>
      <c r="W2432">
        <v>-7.445765E-2</v>
      </c>
      <c r="X2432">
        <v>0.99534290000000003</v>
      </c>
      <c r="Y2432">
        <v>0.1092093</v>
      </c>
      <c r="Z2432">
        <v>-2.288235E-3</v>
      </c>
      <c r="AA2432">
        <v>0.99401620000000002</v>
      </c>
      <c r="AB2432">
        <v>45</v>
      </c>
      <c r="AC2432">
        <v>27.6648999999999</v>
      </c>
      <c r="AD2432">
        <v>-1.107990416597</v>
      </c>
      <c r="AE2432">
        <v>-3.8282999999999801</v>
      </c>
      <c r="AF2432">
        <v>3.0960159221258001</v>
      </c>
      <c r="AG2432">
        <v>-1.107990416597</v>
      </c>
      <c r="AH2432">
        <v>27.7122311838725</v>
      </c>
      <c r="AI2432">
        <v>92.275439062948394</v>
      </c>
      <c r="AJ2432">
        <v>83.625338108104799</v>
      </c>
      <c r="AK2432">
        <v>27.906642838967901</v>
      </c>
      <c r="AL2432">
        <v>94.270060824311003</v>
      </c>
      <c r="AM2432">
        <v>93.519941098157304</v>
      </c>
      <c r="AN2432">
        <v>0.999999996037091</v>
      </c>
    </row>
    <row r="2433" spans="1:40" x14ac:dyDescent="0.25">
      <c r="A2433" t="str">
        <f>"20190305135633562"</f>
        <v>20190305135633562</v>
      </c>
      <c r="B2433" t="str">
        <f>"1551765393554591"</f>
        <v>1551765393554591</v>
      </c>
      <c r="C2433" t="s">
        <v>40</v>
      </c>
      <c r="D2433">
        <v>4.5195999999999996</v>
      </c>
      <c r="E2433">
        <v>0.54853299999999905</v>
      </c>
      <c r="F2433" t="s">
        <v>41</v>
      </c>
      <c r="G2433">
        <v>-290.48309999999998</v>
      </c>
      <c r="H2433">
        <v>0.91163950000000005</v>
      </c>
      <c r="I2433">
        <v>215.00640000000001</v>
      </c>
      <c r="J2433">
        <v>-290.89830000000001</v>
      </c>
      <c r="K2433">
        <v>1.108028</v>
      </c>
      <c r="L2433">
        <v>215.08609999999999</v>
      </c>
      <c r="M2433">
        <v>0.99953449999999999</v>
      </c>
      <c r="N2433">
        <v>-1.451302E-2</v>
      </c>
      <c r="O2433">
        <v>-2.6836100000000002E-2</v>
      </c>
      <c r="P2433">
        <v>0.99548780000000003</v>
      </c>
      <c r="Q2433">
        <v>-8.8838349999999996E-2</v>
      </c>
      <c r="R2433">
        <v>3.3347210000000002E-2</v>
      </c>
      <c r="S2433">
        <v>2.9661870000000001</v>
      </c>
      <c r="T2433">
        <v>-0.65353939999999999</v>
      </c>
      <c r="U2433">
        <v>-0.30763239999999997</v>
      </c>
      <c r="V2433">
        <v>-6.0185860000000001E-2</v>
      </c>
      <c r="W2433">
        <v>-7.4292200000000003E-2</v>
      </c>
      <c r="X2433">
        <v>0.99541869999999999</v>
      </c>
      <c r="Y2433">
        <v>7.5080220000000003E-2</v>
      </c>
      <c r="Z2433">
        <v>-3.264463E-3</v>
      </c>
      <c r="AA2433">
        <v>0.99717219999999995</v>
      </c>
      <c r="AB2433">
        <v>45</v>
      </c>
      <c r="AC2433">
        <v>0.41520000000002699</v>
      </c>
      <c r="AD2433">
        <v>-0.19638849999999999</v>
      </c>
      <c r="AE2433">
        <v>-7.9699999999974097E-2</v>
      </c>
      <c r="AF2433">
        <v>5.6365464085096899E-2</v>
      </c>
      <c r="AG2433">
        <v>-0.19638849999999999</v>
      </c>
      <c r="AH2433">
        <v>0.34314673261985701</v>
      </c>
      <c r="AI2433">
        <v>119.455511915689</v>
      </c>
      <c r="AJ2433">
        <v>80.671865408186505</v>
      </c>
      <c r="AK2433">
        <v>0.399368487216332</v>
      </c>
      <c r="AL2433">
        <v>94.260554770843598</v>
      </c>
      <c r="AM2433">
        <v>93.460054338618406</v>
      </c>
      <c r="AN2433">
        <v>1.0000000285172299</v>
      </c>
    </row>
    <row r="2434" spans="1:40" x14ac:dyDescent="0.25">
      <c r="A2434" t="str">
        <f>"20190305135633583"</f>
        <v>20190305135633583</v>
      </c>
      <c r="B2434" t="str">
        <f>"1551765393574110"</f>
        <v>1551765393574110</v>
      </c>
      <c r="C2434" t="s">
        <v>40</v>
      </c>
      <c r="D2434">
        <v>4.5499519999999896</v>
      </c>
      <c r="E2434">
        <v>0.54919549999999995</v>
      </c>
      <c r="F2434" t="s">
        <v>41</v>
      </c>
      <c r="G2434">
        <v>-290.08179999999999</v>
      </c>
      <c r="H2434">
        <v>0.91925000000000001</v>
      </c>
      <c r="I2434">
        <v>215.00020000000001</v>
      </c>
      <c r="J2434">
        <v>-290.46269999999998</v>
      </c>
      <c r="K2434">
        <v>1.1080680000000001</v>
      </c>
      <c r="L2434">
        <v>215.07400000000001</v>
      </c>
      <c r="M2434">
        <v>0.9995214</v>
      </c>
      <c r="N2434">
        <v>-1.4517499999999999E-2</v>
      </c>
      <c r="O2434">
        <v>-2.7316190000000001E-2</v>
      </c>
      <c r="P2434">
        <v>0.99553119999999995</v>
      </c>
      <c r="Q2434">
        <v>-8.8859270000000004E-2</v>
      </c>
      <c r="R2434">
        <v>3.1967570000000001E-2</v>
      </c>
      <c r="S2434">
        <v>2.9629210000000001</v>
      </c>
      <c r="T2434">
        <v>-0.68499589999999999</v>
      </c>
      <c r="U2434">
        <v>-0.31092829999999999</v>
      </c>
      <c r="V2434">
        <v>-5.9277719999999999E-2</v>
      </c>
      <c r="W2434">
        <v>-7.4316240000000006E-2</v>
      </c>
      <c r="X2434">
        <v>0.99547140000000001</v>
      </c>
      <c r="Y2434">
        <v>7.568155E-2</v>
      </c>
      <c r="Z2434">
        <v>-3.3472649999999999E-3</v>
      </c>
      <c r="AA2434">
        <v>0.99712639999999997</v>
      </c>
      <c r="AB2434">
        <v>44</v>
      </c>
      <c r="AC2434">
        <v>0.38089999999999602</v>
      </c>
      <c r="AD2434">
        <v>-0.18881800000000001</v>
      </c>
      <c r="AE2434">
        <v>-7.3800000000005597E-2</v>
      </c>
      <c r="AF2434">
        <v>5.1232560475014899E-2</v>
      </c>
      <c r="AG2434">
        <v>-0.18881800000000001</v>
      </c>
      <c r="AH2434">
        <v>0.30947667197183998</v>
      </c>
      <c r="AI2434">
        <v>121.044912955405</v>
      </c>
      <c r="AJ2434">
        <v>80.600174854079498</v>
      </c>
      <c r="AK2434">
        <v>0.36613224778977299</v>
      </c>
      <c r="AL2434">
        <v>94.261935973551601</v>
      </c>
      <c r="AM2434">
        <v>93.407789833238994</v>
      </c>
      <c r="AN2434">
        <v>1.00000002991704</v>
      </c>
    </row>
    <row r="2435" spans="1:40" x14ac:dyDescent="0.25">
      <c r="A2435" t="str">
        <f>"20190305135633605"</f>
        <v>20190305135633605</v>
      </c>
      <c r="B2435" t="str">
        <f>"1551765393594607"</f>
        <v>1551765393594607</v>
      </c>
      <c r="C2435" t="s">
        <v>40</v>
      </c>
      <c r="D2435">
        <v>4.5072330000000003</v>
      </c>
      <c r="E2435">
        <v>0.54880580000000001</v>
      </c>
      <c r="F2435" t="s">
        <v>41</v>
      </c>
      <c r="G2435">
        <v>-289.68360000000001</v>
      </c>
      <c r="H2435">
        <v>0.92098440000000004</v>
      </c>
      <c r="I2435">
        <v>214.98910000000001</v>
      </c>
      <c r="J2435">
        <v>-290.03890000000001</v>
      </c>
      <c r="K2435">
        <v>1.1081299999999901</v>
      </c>
      <c r="L2435">
        <v>215.06209999999999</v>
      </c>
      <c r="M2435">
        <v>0.99951060000000003</v>
      </c>
      <c r="N2435">
        <v>-1.4520730000000001E-2</v>
      </c>
      <c r="O2435">
        <v>-2.7709959999999999E-2</v>
      </c>
      <c r="P2435">
        <v>0.99551880000000004</v>
      </c>
      <c r="Q2435">
        <v>-8.9270669999999996E-2</v>
      </c>
      <c r="R2435">
        <v>3.1197510000000001E-2</v>
      </c>
      <c r="S2435">
        <v>2.960388</v>
      </c>
      <c r="T2435">
        <v>-0.71089269999999904</v>
      </c>
      <c r="U2435">
        <v>-0.32180789999999998</v>
      </c>
      <c r="V2435">
        <v>-5.8888540000000003E-2</v>
      </c>
      <c r="W2435">
        <v>-7.4733850000000004E-2</v>
      </c>
      <c r="X2435">
        <v>0.99546319999999999</v>
      </c>
      <c r="Y2435">
        <v>7.881051E-2</v>
      </c>
      <c r="Z2435">
        <v>-3.742839E-3</v>
      </c>
      <c r="AA2435">
        <v>0.99688259999999995</v>
      </c>
      <c r="AB2435">
        <v>44</v>
      </c>
      <c r="AC2435">
        <v>0.35529999999999901</v>
      </c>
      <c r="AD2435">
        <v>-0.187145599999999</v>
      </c>
      <c r="AE2435">
        <v>-7.2999999999978998E-2</v>
      </c>
      <c r="AF2435">
        <v>4.9854253985800102E-2</v>
      </c>
      <c r="AG2435">
        <v>-0.187145599999999</v>
      </c>
      <c r="AH2435">
        <v>0.28209279744014798</v>
      </c>
      <c r="AI2435">
        <v>123.15637160754</v>
      </c>
      <c r="AJ2435">
        <v>79.977607730652196</v>
      </c>
      <c r="AK2435">
        <v>0.34217724735500599</v>
      </c>
      <c r="AL2435">
        <v>94.285930135144596</v>
      </c>
      <c r="AM2435">
        <v>93.385496474455095</v>
      </c>
      <c r="AN2435">
        <v>0.99999999551669605</v>
      </c>
    </row>
    <row r="2436" spans="1:40" x14ac:dyDescent="0.25">
      <c r="A2436" t="str">
        <f>"20190305135633628"</f>
        <v>20190305135633628</v>
      </c>
      <c r="B2436" t="str">
        <f>"1551765393624863"</f>
        <v>1551765393624863</v>
      </c>
      <c r="C2436" t="s">
        <v>40</v>
      </c>
      <c r="D2436">
        <v>4.5169169999999896</v>
      </c>
      <c r="E2436">
        <v>0.54840789999999995</v>
      </c>
      <c r="F2436" t="s">
        <v>41</v>
      </c>
      <c r="G2436">
        <v>-289.28320000000002</v>
      </c>
      <c r="H2436">
        <v>0.92804500000000001</v>
      </c>
      <c r="I2436">
        <v>214.98</v>
      </c>
      <c r="J2436">
        <v>-289.58370000000002</v>
      </c>
      <c r="K2436">
        <v>1.1082069999999999</v>
      </c>
      <c r="L2436">
        <v>215.04910000000001</v>
      </c>
      <c r="M2436">
        <v>0.99950130000000004</v>
      </c>
      <c r="N2436">
        <v>-1.452316E-2</v>
      </c>
      <c r="O2436">
        <v>-2.8040789999999999E-2</v>
      </c>
      <c r="P2436">
        <v>0.99547609999999997</v>
      </c>
      <c r="Q2436">
        <v>-8.9860079999999995E-2</v>
      </c>
      <c r="R2436">
        <v>3.08656E-2</v>
      </c>
      <c r="S2436">
        <v>2.9602970000000002</v>
      </c>
      <c r="T2436">
        <v>-0.70545290000000005</v>
      </c>
      <c r="U2436">
        <v>-0.32087710000000003</v>
      </c>
      <c r="V2436">
        <v>-5.8871159999999999E-2</v>
      </c>
      <c r="W2436">
        <v>-7.5332830000000003E-2</v>
      </c>
      <c r="X2436">
        <v>0.9954191</v>
      </c>
      <c r="Y2436">
        <v>7.8222630000000001E-2</v>
      </c>
      <c r="Z2436">
        <v>-3.5765520000000002E-3</v>
      </c>
      <c r="AA2436">
        <v>0.99692950000000002</v>
      </c>
      <c r="AB2436">
        <v>44</v>
      </c>
      <c r="AC2436">
        <v>0.30049999999999899</v>
      </c>
      <c r="AD2436">
        <v>-0.18016199999999899</v>
      </c>
      <c r="AE2436">
        <v>-6.9100000000020104E-2</v>
      </c>
      <c r="AF2436">
        <v>4.5210831665263303E-2</v>
      </c>
      <c r="AG2436">
        <v>-0.18016199999999899</v>
      </c>
      <c r="AH2436">
        <v>0.22537669392887399</v>
      </c>
      <c r="AI2436">
        <v>128.08819431792199</v>
      </c>
      <c r="AJ2436">
        <v>78.656950867722898</v>
      </c>
      <c r="AK2436">
        <v>0.29205653512663199</v>
      </c>
      <c r="AL2436">
        <v>94.320346088090503</v>
      </c>
      <c r="AM2436">
        <v>93.3846492176895</v>
      </c>
      <c r="AN2436">
        <v>1.0000000167001799</v>
      </c>
    </row>
    <row r="2437" spans="1:40" x14ac:dyDescent="0.25">
      <c r="A2437" t="str">
        <f>"20190305135633653"</f>
        <v>20190305135633653</v>
      </c>
      <c r="B2437" t="str">
        <f>"1551765393644371"</f>
        <v>1551765393644371</v>
      </c>
      <c r="C2437" t="s">
        <v>40</v>
      </c>
      <c r="D2437">
        <v>4.4759390000000003</v>
      </c>
      <c r="E2437">
        <v>0.54854499999999995</v>
      </c>
      <c r="F2437" t="s">
        <v>41</v>
      </c>
      <c r="G2437">
        <v>-288.88</v>
      </c>
      <c r="H2437">
        <v>0.94103689999999995</v>
      </c>
      <c r="I2437">
        <v>214.97309999999999</v>
      </c>
      <c r="J2437">
        <v>-289.11130000000003</v>
      </c>
      <c r="K2437">
        <v>1.108293</v>
      </c>
      <c r="L2437">
        <v>215.03569999999999</v>
      </c>
      <c r="M2437">
        <v>0.99949469999999996</v>
      </c>
      <c r="N2437">
        <v>-1.4525150000000001E-2</v>
      </c>
      <c r="O2437">
        <v>-2.8276900000000001E-2</v>
      </c>
      <c r="P2437">
        <v>0.9954442</v>
      </c>
      <c r="Q2437">
        <v>-9.0266180000000001E-2</v>
      </c>
      <c r="R2437">
        <v>3.0712469999999999E-2</v>
      </c>
      <c r="S2437">
        <v>2.959991</v>
      </c>
      <c r="T2437">
        <v>-0.70334609999999997</v>
      </c>
      <c r="U2437">
        <v>-0.31842039999999999</v>
      </c>
      <c r="V2437">
        <v>-5.8936219999999997E-2</v>
      </c>
      <c r="W2437">
        <v>-7.5750159999999997E-2</v>
      </c>
      <c r="X2437">
        <v>0.99538360000000004</v>
      </c>
      <c r="Y2437">
        <v>7.7223559999999997E-2</v>
      </c>
      <c r="Z2437">
        <v>-3.3935940000000002E-3</v>
      </c>
      <c r="AA2437">
        <v>0.99700800000000001</v>
      </c>
      <c r="AB2437">
        <v>44</v>
      </c>
      <c r="AC2437">
        <v>0.23130000000003201</v>
      </c>
      <c r="AD2437">
        <v>-0.16725609999999899</v>
      </c>
      <c r="AE2437">
        <v>-6.2600000000003306E-2</v>
      </c>
      <c r="AF2437">
        <v>3.7677250663977403E-2</v>
      </c>
      <c r="AG2437">
        <v>-0.16725609999999899</v>
      </c>
      <c r="AH2437">
        <v>0.15665471965981401</v>
      </c>
      <c r="AI2437">
        <v>136.07017258293399</v>
      </c>
      <c r="AJ2437">
        <v>76.4765630637866</v>
      </c>
      <c r="AK2437">
        <v>0.23223884127445399</v>
      </c>
      <c r="AL2437">
        <v>94.344325761366804</v>
      </c>
      <c r="AM2437">
        <v>93.388501532263305</v>
      </c>
      <c r="AN2437">
        <v>1.00000003795843</v>
      </c>
    </row>
    <row r="2438" spans="1:40" x14ac:dyDescent="0.25">
      <c r="A2438" t="str">
        <f>"20190305135633674"</f>
        <v>20190305135633674</v>
      </c>
      <c r="B2438" t="str">
        <f>"1551765393664867"</f>
        <v>1551765393664867</v>
      </c>
      <c r="C2438" t="s">
        <v>40</v>
      </c>
      <c r="D2438">
        <v>4.4907279999999998</v>
      </c>
      <c r="E2438">
        <v>0.54886610000000002</v>
      </c>
      <c r="F2438" t="s">
        <v>41</v>
      </c>
      <c r="G2438">
        <v>-288.11970000000002</v>
      </c>
      <c r="H2438">
        <v>0.87159310000000001</v>
      </c>
      <c r="I2438">
        <v>214.9281</v>
      </c>
      <c r="J2438">
        <v>-288.67270000000002</v>
      </c>
      <c r="K2438">
        <v>1.1083730000000001</v>
      </c>
      <c r="L2438">
        <v>215.0232</v>
      </c>
      <c r="M2438">
        <v>0.99949069999999995</v>
      </c>
      <c r="N2438">
        <v>-1.4526300000000001E-2</v>
      </c>
      <c r="O2438">
        <v>-2.8418479999999999E-2</v>
      </c>
      <c r="P2438">
        <v>0.99539789999999995</v>
      </c>
      <c r="Q2438">
        <v>-9.0904150000000003E-2</v>
      </c>
      <c r="R2438">
        <v>3.033332E-2</v>
      </c>
      <c r="S2438">
        <v>2.9595340000000001</v>
      </c>
      <c r="T2438">
        <v>-0.70648940000000005</v>
      </c>
      <c r="U2438">
        <v>-0.31996149999999901</v>
      </c>
      <c r="V2438">
        <v>-5.8682699999999997E-2</v>
      </c>
      <c r="W2438">
        <v>-7.6398949999999993E-2</v>
      </c>
      <c r="X2438">
        <v>0.99534889999999998</v>
      </c>
      <c r="Y2438">
        <v>7.7591309999999997E-2</v>
      </c>
      <c r="Z2438">
        <v>-3.4192340000000002E-3</v>
      </c>
      <c r="AA2438">
        <v>0.99697939999999996</v>
      </c>
      <c r="AB2438">
        <v>44</v>
      </c>
      <c r="AC2438">
        <v>0.55299999999999705</v>
      </c>
      <c r="AD2438">
        <v>-0.23677989999999999</v>
      </c>
      <c r="AE2438">
        <v>-9.51000000000021E-2</v>
      </c>
      <c r="AF2438">
        <v>6.7351476296739696E-2</v>
      </c>
      <c r="AG2438">
        <v>-0.23677989999999999</v>
      </c>
      <c r="AH2438">
        <v>0.471518003832119</v>
      </c>
      <c r="AI2438">
        <v>116.432859031234</v>
      </c>
      <c r="AJ2438">
        <v>81.870878719369699</v>
      </c>
      <c r="AK2438">
        <v>0.53191180692026996</v>
      </c>
      <c r="AL2438">
        <v>94.381607129360901</v>
      </c>
      <c r="AM2438">
        <v>93.374076653616498</v>
      </c>
      <c r="AN2438">
        <v>0.99999994578579898</v>
      </c>
    </row>
    <row r="2439" spans="1:40" x14ac:dyDescent="0.25">
      <c r="A2439" t="str">
        <f>"20190305135633695"</f>
        <v>20190305135633695</v>
      </c>
      <c r="B2439" t="str">
        <f>"1551765393684388"</f>
        <v>1551765393684388</v>
      </c>
      <c r="C2439" t="s">
        <v>40</v>
      </c>
      <c r="D2439">
        <v>4.4797799999999999</v>
      </c>
      <c r="E2439">
        <v>0.54839399999999905</v>
      </c>
      <c r="F2439" t="s">
        <v>41</v>
      </c>
      <c r="G2439">
        <v>-287.7208</v>
      </c>
      <c r="H2439">
        <v>0.8794689</v>
      </c>
      <c r="I2439">
        <v>214.9187</v>
      </c>
      <c r="J2439">
        <v>-288.26240000000001</v>
      </c>
      <c r="K2439">
        <v>1.1084449999999999</v>
      </c>
      <c r="L2439">
        <v>215.01140000000001</v>
      </c>
      <c r="M2439">
        <v>0.9994883</v>
      </c>
      <c r="N2439">
        <v>-1.452697E-2</v>
      </c>
      <c r="O2439">
        <v>-2.8498329999999999E-2</v>
      </c>
      <c r="P2439">
        <v>0.99541849999999998</v>
      </c>
      <c r="Q2439">
        <v>-9.0710009999999994E-2</v>
      </c>
      <c r="R2439">
        <v>3.0231919999999999E-2</v>
      </c>
      <c r="S2439">
        <v>2.958771</v>
      </c>
      <c r="T2439">
        <v>-0.71154479999999998</v>
      </c>
      <c r="U2439">
        <v>-0.32377620000000001</v>
      </c>
      <c r="V2439">
        <v>-5.8649359999999998E-2</v>
      </c>
      <c r="W2439">
        <v>-7.6213139999999999E-2</v>
      </c>
      <c r="X2439">
        <v>0.9953651</v>
      </c>
      <c r="Y2439">
        <v>7.8755080000000005E-2</v>
      </c>
      <c r="Z2439">
        <v>-3.5652430000000001E-3</v>
      </c>
      <c r="AA2439">
        <v>0.99688759999999998</v>
      </c>
      <c r="AB2439">
        <v>44</v>
      </c>
      <c r="AC2439">
        <v>0.54160000000001596</v>
      </c>
      <c r="AD2439">
        <v>-0.22897609999999999</v>
      </c>
      <c r="AE2439">
        <v>-9.2700000000007707E-2</v>
      </c>
      <c r="AF2439">
        <v>6.5799688078232194E-2</v>
      </c>
      <c r="AG2439">
        <v>-0.22897609999999999</v>
      </c>
      <c r="AH2439">
        <v>0.463528777829122</v>
      </c>
      <c r="AI2439">
        <v>116.06240207251101</v>
      </c>
      <c r="AJ2439">
        <v>81.920624608538603</v>
      </c>
      <c r="AK2439">
        <v>0.52117039555040201</v>
      </c>
      <c r="AL2439">
        <v>94.370929911723593</v>
      </c>
      <c r="AM2439">
        <v>93.372109373299295</v>
      </c>
      <c r="AN2439">
        <v>0.99999993621753702</v>
      </c>
    </row>
    <row r="2440" spans="1:40" x14ac:dyDescent="0.25">
      <c r="A2440" t="str">
        <f>"20190305135633718"</f>
        <v>20190305135633718</v>
      </c>
      <c r="B2440" t="str">
        <f>"1551765393714644"</f>
        <v>1551765393714644</v>
      </c>
      <c r="C2440" t="s">
        <v>40</v>
      </c>
      <c r="D2440">
        <v>4.6723629999999998</v>
      </c>
      <c r="E2440">
        <v>0.55023149999999998</v>
      </c>
      <c r="F2440" t="s">
        <v>41</v>
      </c>
      <c r="G2440">
        <v>-287.32409999999999</v>
      </c>
      <c r="H2440">
        <v>0.882691</v>
      </c>
      <c r="I2440">
        <v>214.90979999999999</v>
      </c>
      <c r="J2440">
        <v>-287.81560000000002</v>
      </c>
      <c r="K2440">
        <v>1.108517</v>
      </c>
      <c r="L2440">
        <v>214.99860000000001</v>
      </c>
      <c r="M2440">
        <v>0.99948740000000003</v>
      </c>
      <c r="N2440">
        <v>-1.452722E-2</v>
      </c>
      <c r="O2440">
        <v>-2.8528359999999999E-2</v>
      </c>
      <c r="P2440">
        <v>0.99545450000000002</v>
      </c>
      <c r="Q2440">
        <v>-9.0235579999999996E-2</v>
      </c>
      <c r="R2440">
        <v>3.046335E-2</v>
      </c>
      <c r="S2440">
        <v>2.9586790000000001</v>
      </c>
      <c r="T2440">
        <v>-0.71189150000000001</v>
      </c>
      <c r="U2440">
        <v>-0.32043460000000001</v>
      </c>
      <c r="V2440">
        <v>-5.8899689999999998E-2</v>
      </c>
      <c r="W2440">
        <v>-7.5747179999999997E-2</v>
      </c>
      <c r="X2440">
        <v>0.99538590000000005</v>
      </c>
      <c r="Y2440">
        <v>7.7647770000000005E-2</v>
      </c>
      <c r="Z2440">
        <v>-3.420846E-3</v>
      </c>
      <c r="AA2440">
        <v>0.99697499999999994</v>
      </c>
      <c r="AB2440">
        <v>44</v>
      </c>
      <c r="AC2440">
        <v>0.49150000000003002</v>
      </c>
      <c r="AD2440">
        <v>-0.225826</v>
      </c>
      <c r="AE2440">
        <v>-8.8800000000020404E-2</v>
      </c>
      <c r="AF2440">
        <v>6.2054660379411597E-2</v>
      </c>
      <c r="AG2440">
        <v>-0.225826</v>
      </c>
      <c r="AH2440">
        <v>0.410013257400272</v>
      </c>
      <c r="AI2440">
        <v>118.571630669993</v>
      </c>
      <c r="AJ2440">
        <v>81.393717764281405</v>
      </c>
      <c r="AK2440">
        <v>0.47218538138615201</v>
      </c>
      <c r="AL2440">
        <v>94.344154913701104</v>
      </c>
      <c r="AM2440">
        <v>93.386398345176602</v>
      </c>
      <c r="AN2440">
        <v>0.99999994933942804</v>
      </c>
    </row>
    <row r="2441" spans="1:40" x14ac:dyDescent="0.25">
      <c r="A2441" t="str">
        <f>"20190305135633740"</f>
        <v>20190305135633740</v>
      </c>
      <c r="B2441" t="str">
        <f>"1551765393734164"</f>
        <v>1551765393734164</v>
      </c>
      <c r="C2441" t="s">
        <v>40</v>
      </c>
      <c r="D2441">
        <v>4.6600650000000003</v>
      </c>
      <c r="E2441">
        <v>0.58687279999999997</v>
      </c>
      <c r="F2441" t="s">
        <v>41</v>
      </c>
      <c r="G2441">
        <v>-286.92399999999998</v>
      </c>
      <c r="H2441">
        <v>0.89552659999999995</v>
      </c>
      <c r="I2441">
        <v>214.89789999999999</v>
      </c>
      <c r="J2441">
        <v>-287.38260000000002</v>
      </c>
      <c r="K2441">
        <v>1.108582</v>
      </c>
      <c r="L2441">
        <v>214.9862</v>
      </c>
      <c r="M2441">
        <v>0.99948809999999999</v>
      </c>
      <c r="N2441">
        <v>-1.452702E-2</v>
      </c>
      <c r="O2441">
        <v>-2.850397E-2</v>
      </c>
      <c r="P2441">
        <v>0.99544929999999998</v>
      </c>
      <c r="Q2441">
        <v>-9.0115570000000006E-2</v>
      </c>
      <c r="R2441">
        <v>3.0979030000000001E-2</v>
      </c>
      <c r="S2441">
        <v>2.9598390000000001</v>
      </c>
      <c r="T2441">
        <v>-0.70702100000000001</v>
      </c>
      <c r="U2441">
        <v>-0.33439639999999998</v>
      </c>
      <c r="V2441">
        <v>-5.9378609999999998E-2</v>
      </c>
      <c r="W2441">
        <v>-7.5636389999999998E-2</v>
      </c>
      <c r="X2441">
        <v>0.99536590000000003</v>
      </c>
      <c r="Y2441">
        <v>8.2163840000000002E-2</v>
      </c>
      <c r="Z2441">
        <v>-3.9722400000000001E-3</v>
      </c>
      <c r="AA2441">
        <v>0.99661089999999997</v>
      </c>
      <c r="AB2441">
        <v>44</v>
      </c>
      <c r="AC2441">
        <v>0.45859999999998902</v>
      </c>
      <c r="AD2441">
        <v>-0.21305540000000001</v>
      </c>
      <c r="AE2441">
        <v>-8.8300000000003806E-2</v>
      </c>
      <c r="AF2441">
        <v>6.2238016724657799E-2</v>
      </c>
      <c r="AG2441">
        <v>-0.21305540000000001</v>
      </c>
      <c r="AH2441">
        <v>0.38152822924551499</v>
      </c>
      <c r="AI2441">
        <v>118.86097405649301</v>
      </c>
      <c r="AJ2441">
        <v>80.735049529901303</v>
      </c>
      <c r="AK2441">
        <v>0.44139547336396301</v>
      </c>
      <c r="AL2441">
        <v>94.337788723140307</v>
      </c>
      <c r="AM2441">
        <v>93.413937102071799</v>
      </c>
      <c r="AN2441">
        <v>0.99999997885028602</v>
      </c>
    </row>
    <row r="2442" spans="1:40" x14ac:dyDescent="0.25">
      <c r="A2442" t="str">
        <f>"20190305135633762"</f>
        <v>20190305135633762</v>
      </c>
      <c r="B2442" t="str">
        <f>"1551765393754663"</f>
        <v>1551765393754663</v>
      </c>
      <c r="C2442" t="s">
        <v>40</v>
      </c>
      <c r="D2442">
        <v>4.6395549999999997</v>
      </c>
      <c r="E2442">
        <v>0.58298149999999904</v>
      </c>
      <c r="F2442" t="s">
        <v>41</v>
      </c>
      <c r="G2442">
        <v>-286.53809999999999</v>
      </c>
      <c r="H2442">
        <v>0.87146789999999996</v>
      </c>
      <c r="I2442">
        <v>214.80539999999999</v>
      </c>
      <c r="J2442">
        <v>-286.9248</v>
      </c>
      <c r="K2442">
        <v>1.108657</v>
      </c>
      <c r="L2442">
        <v>214.97319999999999</v>
      </c>
      <c r="M2442">
        <v>0.9994904</v>
      </c>
      <c r="N2442">
        <v>-1.452644E-2</v>
      </c>
      <c r="O2442">
        <v>-2.842621E-2</v>
      </c>
      <c r="P2442">
        <v>0.99550870000000002</v>
      </c>
      <c r="Q2442">
        <v>-8.9298589999999997E-2</v>
      </c>
      <c r="R2442">
        <v>3.1440699999999898E-2</v>
      </c>
      <c r="S2442">
        <v>2.958221</v>
      </c>
      <c r="T2442">
        <v>-0.8306962</v>
      </c>
      <c r="U2442">
        <v>-0.63250729999999999</v>
      </c>
      <c r="V2442">
        <v>-5.9752E-2</v>
      </c>
      <c r="W2442">
        <v>-7.482896E-2</v>
      </c>
      <c r="X2442">
        <v>0.99540459999999997</v>
      </c>
      <c r="Y2442">
        <v>0.17530660000000001</v>
      </c>
      <c r="Z2442">
        <v>-1.786362E-2</v>
      </c>
      <c r="AA2442">
        <v>0.9843518</v>
      </c>
      <c r="AB2442">
        <v>44</v>
      </c>
      <c r="AC2442">
        <v>0.38670000000001797</v>
      </c>
      <c r="AD2442">
        <v>-0.23718910000000001</v>
      </c>
      <c r="AE2442">
        <v>-0.16779999999999901</v>
      </c>
      <c r="AF2442">
        <v>0.11904757940822699</v>
      </c>
      <c r="AG2442">
        <v>-0.23718910000000001</v>
      </c>
      <c r="AH2442">
        <v>0.29721458667446798</v>
      </c>
      <c r="AI2442">
        <v>126.531874380874</v>
      </c>
      <c r="AJ2442">
        <v>68.171715842224302</v>
      </c>
      <c r="AK2442">
        <v>0.398456403956372</v>
      </c>
      <c r="AL2442">
        <v>94.291394835132806</v>
      </c>
      <c r="AM2442">
        <v>93.435220437061901</v>
      </c>
      <c r="AN2442">
        <v>0.99999999622991997</v>
      </c>
    </row>
    <row r="2443" spans="1:40" x14ac:dyDescent="0.25">
      <c r="A2443" t="str">
        <f>"20190305135633784"</f>
        <v>20190305135633784</v>
      </c>
      <c r="B2443" t="str">
        <f>"1551765393774180"</f>
        <v>1551765393774180</v>
      </c>
      <c r="C2443" t="s">
        <v>40</v>
      </c>
      <c r="D2443">
        <v>4.6436099999999998</v>
      </c>
      <c r="E2443">
        <v>0.58152780000000004</v>
      </c>
      <c r="F2443" t="s">
        <v>41</v>
      </c>
      <c r="G2443">
        <v>-286.13420000000002</v>
      </c>
      <c r="H2443">
        <v>0.89467350000000001</v>
      </c>
      <c r="I2443">
        <v>214.8135</v>
      </c>
      <c r="J2443">
        <v>-286.49250000000001</v>
      </c>
      <c r="K2443">
        <v>1.1087260000000001</v>
      </c>
      <c r="L2443">
        <v>214.96090000000001</v>
      </c>
      <c r="M2443">
        <v>0.99949370000000004</v>
      </c>
      <c r="N2443">
        <v>-1.452561E-2</v>
      </c>
      <c r="O2443">
        <v>-2.831038E-2</v>
      </c>
      <c r="P2443">
        <v>0.99551310000000004</v>
      </c>
      <c r="Q2443">
        <v>-8.9007020000000006E-2</v>
      </c>
      <c r="R2443">
        <v>3.2117359999999998E-2</v>
      </c>
      <c r="S2443">
        <v>2.9605410000000001</v>
      </c>
      <c r="T2443">
        <v>-0.80124430000000002</v>
      </c>
      <c r="U2443">
        <v>-0.59815980000000002</v>
      </c>
      <c r="V2443">
        <v>-6.0301479999999998E-2</v>
      </c>
      <c r="W2443">
        <v>-7.4547649999999993E-2</v>
      </c>
      <c r="X2443">
        <v>0.99539259999999996</v>
      </c>
      <c r="Y2443">
        <v>0.1650577</v>
      </c>
      <c r="Z2443">
        <v>-1.591677E-2</v>
      </c>
      <c r="AA2443">
        <v>0.98615549999999996</v>
      </c>
      <c r="AB2443">
        <v>44</v>
      </c>
      <c r="AC2443">
        <v>0.35829999999998502</v>
      </c>
      <c r="AD2443">
        <v>-0.21405250000000001</v>
      </c>
      <c r="AE2443">
        <v>-0.147400000000004</v>
      </c>
      <c r="AF2443">
        <v>0.10511175802148701</v>
      </c>
      <c r="AG2443">
        <v>-0.21405250000000001</v>
      </c>
      <c r="AH2443">
        <v>0.27759594536398202</v>
      </c>
      <c r="AI2443">
        <v>125.796447416452</v>
      </c>
      <c r="AJ2443">
        <v>69.260819038328293</v>
      </c>
      <c r="AK2443">
        <v>0.365959647110362</v>
      </c>
      <c r="AL2443">
        <v>94.275231694260896</v>
      </c>
      <c r="AM2443">
        <v>93.466775755944994</v>
      </c>
      <c r="AN2443">
        <v>1.0000000243727301</v>
      </c>
    </row>
    <row r="2444" spans="1:40" x14ac:dyDescent="0.25">
      <c r="A2444" t="str">
        <f>"20190305135633806"</f>
        <v>20190305135633806</v>
      </c>
      <c r="B2444" t="str">
        <f>"1551765393794676"</f>
        <v>1551765393794676</v>
      </c>
      <c r="C2444" t="s">
        <v>40</v>
      </c>
      <c r="D2444">
        <v>4.5365279999999997</v>
      </c>
      <c r="E2444">
        <v>0.58140150000000002</v>
      </c>
      <c r="F2444" t="s">
        <v>41</v>
      </c>
      <c r="G2444">
        <v>-285.73610000000002</v>
      </c>
      <c r="H2444">
        <v>0.90436119999999998</v>
      </c>
      <c r="I2444">
        <v>214.8116</v>
      </c>
      <c r="J2444">
        <v>-286.0729</v>
      </c>
      <c r="K2444">
        <v>1.1087929999999999</v>
      </c>
      <c r="L2444">
        <v>214.94909999999999</v>
      </c>
      <c r="M2444">
        <v>0.99949779999999999</v>
      </c>
      <c r="N2444">
        <v>-1.4524570000000001E-2</v>
      </c>
      <c r="O2444">
        <v>-2.8164970000000001E-2</v>
      </c>
      <c r="P2444">
        <v>0.99551679999999998</v>
      </c>
      <c r="Q2444">
        <v>-8.8710360000000002E-2</v>
      </c>
      <c r="R2444">
        <v>3.2814610000000001E-2</v>
      </c>
      <c r="S2444">
        <v>2.9608150000000002</v>
      </c>
      <c r="T2444">
        <v>-0.79991610000000002</v>
      </c>
      <c r="U2444">
        <v>-0.58389279999999999</v>
      </c>
      <c r="V2444">
        <v>-6.0842920000000002E-2</v>
      </c>
      <c r="W2444">
        <v>-7.4260859999999998E-2</v>
      </c>
      <c r="X2444">
        <v>0.99538110000000002</v>
      </c>
      <c r="Y2444">
        <v>0.1607749</v>
      </c>
      <c r="Z2444">
        <v>-1.533929E-2</v>
      </c>
      <c r="AA2444">
        <v>0.98687190000000002</v>
      </c>
      <c r="AB2444">
        <v>44</v>
      </c>
      <c r="AC2444">
        <v>0.336799999999982</v>
      </c>
      <c r="AD2444">
        <v>-0.2044318</v>
      </c>
      <c r="AE2444">
        <v>-0.13749999999998799</v>
      </c>
      <c r="AF2444">
        <v>9.7248093329802096E-2</v>
      </c>
      <c r="AG2444">
        <v>-0.2044318</v>
      </c>
      <c r="AH2444">
        <v>0.258809050746167</v>
      </c>
      <c r="AI2444">
        <v>126.47989043483901</v>
      </c>
      <c r="AJ2444">
        <v>69.406175192749899</v>
      </c>
      <c r="AK2444">
        <v>0.34384833467046699</v>
      </c>
      <c r="AL2444">
        <v>94.258754118590701</v>
      </c>
      <c r="AM2444">
        <v>93.497866904425806</v>
      </c>
      <c r="AN2444">
        <v>1.0000000352396301</v>
      </c>
    </row>
    <row r="2445" spans="1:40" x14ac:dyDescent="0.25">
      <c r="A2445" t="str">
        <f>"20190305135633829"</f>
        <v>20190305135633829</v>
      </c>
      <c r="B2445" t="str">
        <f>"1551765393824933"</f>
        <v>1551765393824933</v>
      </c>
      <c r="C2445" t="s">
        <v>40</v>
      </c>
      <c r="D2445">
        <v>4.5018510000000003</v>
      </c>
      <c r="E2445">
        <v>0.58109919999999904</v>
      </c>
      <c r="F2445" t="s">
        <v>41</v>
      </c>
      <c r="G2445">
        <v>-285.33949999999999</v>
      </c>
      <c r="H2445">
        <v>0.91119119999999998</v>
      </c>
      <c r="I2445">
        <v>214.80529999999999</v>
      </c>
      <c r="J2445">
        <v>-285.61410000000001</v>
      </c>
      <c r="K2445">
        <v>1.1088530000000001</v>
      </c>
      <c r="L2445">
        <v>214.93629999999999</v>
      </c>
      <c r="M2445">
        <v>0.99950309999999998</v>
      </c>
      <c r="N2445">
        <v>-1.45232E-2</v>
      </c>
      <c r="O2445">
        <v>-2.7977519999999999E-2</v>
      </c>
      <c r="P2445">
        <v>0.99552529999999995</v>
      </c>
      <c r="Q2445">
        <v>-8.8472049999999997E-2</v>
      </c>
      <c r="R2445">
        <v>3.3201439999999999E-2</v>
      </c>
      <c r="S2445">
        <v>2.9615480000000001</v>
      </c>
      <c r="T2445">
        <v>-0.79790740000000004</v>
      </c>
      <c r="U2445">
        <v>-0.58050539999999995</v>
      </c>
      <c r="V2445">
        <v>-6.1033320000000002E-2</v>
      </c>
      <c r="W2445">
        <v>-7.4032269999999997E-2</v>
      </c>
      <c r="X2445">
        <v>0.9953864</v>
      </c>
      <c r="Y2445">
        <v>0.15987799999999999</v>
      </c>
      <c r="Z2445">
        <v>-1.522592E-2</v>
      </c>
      <c r="AA2445">
        <v>0.98701939999999999</v>
      </c>
      <c r="AB2445">
        <v>44</v>
      </c>
      <c r="AC2445">
        <v>0.27460000000001999</v>
      </c>
      <c r="AD2445">
        <v>-0.1976618</v>
      </c>
      <c r="AE2445">
        <v>-0.13100000000000001</v>
      </c>
      <c r="AF2445">
        <v>8.6679653423369099E-2</v>
      </c>
      <c r="AG2445">
        <v>-0.1976618</v>
      </c>
      <c r="AH2445">
        <v>0.195599557124782</v>
      </c>
      <c r="AI2445">
        <v>132.73452856491801</v>
      </c>
      <c r="AJ2445">
        <v>66.099544453205496</v>
      </c>
      <c r="AK2445">
        <v>0.29127776476114098</v>
      </c>
      <c r="AL2445">
        <v>94.245621027256504</v>
      </c>
      <c r="AM2445">
        <v>93.508767082971403</v>
      </c>
      <c r="AN2445">
        <v>0.99999996422826698</v>
      </c>
    </row>
    <row r="2446" spans="1:40" x14ac:dyDescent="0.25">
      <c r="A2446" t="str">
        <f>"20190305135633858"</f>
        <v>20190305135633858</v>
      </c>
      <c r="B2446" t="str">
        <f>"1551765393854212"</f>
        <v>1551765393854212</v>
      </c>
      <c r="C2446" t="s">
        <v>40</v>
      </c>
      <c r="D2446">
        <v>4.404814</v>
      </c>
      <c r="E2446">
        <v>0.58072489999999999</v>
      </c>
      <c r="F2446" t="s">
        <v>41</v>
      </c>
      <c r="G2446">
        <v>-284.93889999999999</v>
      </c>
      <c r="H2446">
        <v>0.92707550000000005</v>
      </c>
      <c r="I2446">
        <v>214.80449999999999</v>
      </c>
      <c r="J2446">
        <v>-285.07369999999997</v>
      </c>
      <c r="K2446">
        <v>1.108905</v>
      </c>
      <c r="L2446">
        <v>214.92140000000001</v>
      </c>
      <c r="M2446">
        <v>0.99951020000000002</v>
      </c>
      <c r="N2446">
        <v>-1.4521340000000001E-2</v>
      </c>
      <c r="O2446">
        <v>-2.7722589999999998E-2</v>
      </c>
      <c r="P2446">
        <v>0.9955041</v>
      </c>
      <c r="Q2446">
        <v>-8.8406789999999999E-2</v>
      </c>
      <c r="R2446">
        <v>3.399829E-2</v>
      </c>
      <c r="S2446">
        <v>2.961884</v>
      </c>
      <c r="T2446">
        <v>-0.79751709999999998</v>
      </c>
      <c r="U2446">
        <v>-0.57673649999999999</v>
      </c>
      <c r="V2446">
        <v>-6.1566120000000002E-2</v>
      </c>
      <c r="W2446">
        <v>-7.3977080000000001E-2</v>
      </c>
      <c r="X2446">
        <v>0.99535779999999996</v>
      </c>
      <c r="Y2446">
        <v>0.1589294</v>
      </c>
      <c r="Z2446">
        <v>-1.515092E-2</v>
      </c>
      <c r="AA2446">
        <v>0.98717370000000004</v>
      </c>
      <c r="AB2446">
        <v>44</v>
      </c>
      <c r="AC2446">
        <v>0.13479999999998399</v>
      </c>
      <c r="AD2446">
        <v>-0.18182950000000001</v>
      </c>
      <c r="AE2446">
        <v>-0.11690000000001501</v>
      </c>
      <c r="AF2446">
        <v>5.5490972853099799E-2</v>
      </c>
      <c r="AG2446">
        <v>-0.18182950000000001</v>
      </c>
      <c r="AH2446">
        <v>6.7691993846277998E-2</v>
      </c>
      <c r="AI2446">
        <v>154.29460084756801</v>
      </c>
      <c r="AJ2446">
        <v>50.656580005892401</v>
      </c>
      <c r="AK2446">
        <v>0.20180044888284501</v>
      </c>
      <c r="AL2446">
        <v>94.242449716989</v>
      </c>
      <c r="AM2446">
        <v>93.539421331080405</v>
      </c>
      <c r="AN2446">
        <v>1.0000000727589999</v>
      </c>
    </row>
    <row r="2447" spans="1:40" x14ac:dyDescent="0.25">
      <c r="A2447" t="str">
        <f>"20190305135633878"</f>
        <v>20190305135633878</v>
      </c>
      <c r="B2447" t="str">
        <f>"1551765393874708"</f>
        <v>1551765393874708</v>
      </c>
      <c r="C2447" t="s">
        <v>40</v>
      </c>
      <c r="D2447">
        <v>4.3939589999999997</v>
      </c>
      <c r="E2447">
        <v>0.58076510000000003</v>
      </c>
      <c r="F2447" t="s">
        <v>41</v>
      </c>
      <c r="G2447">
        <v>-284.17849999999999</v>
      </c>
      <c r="H2447">
        <v>0.8670388</v>
      </c>
      <c r="I2447">
        <v>214.7484</v>
      </c>
      <c r="J2447">
        <v>-284.65809999999999</v>
      </c>
      <c r="K2447">
        <v>1.1089389999999999</v>
      </c>
      <c r="L2447">
        <v>214.91</v>
      </c>
      <c r="M2447">
        <v>0.99951619999999997</v>
      </c>
      <c r="N2447">
        <v>-1.451964E-2</v>
      </c>
      <c r="O2447">
        <v>-2.751176E-2</v>
      </c>
      <c r="P2447">
        <v>0.99555490000000002</v>
      </c>
      <c r="Q2447">
        <v>-8.767577E-2</v>
      </c>
      <c r="R2447">
        <v>3.4407390000000003E-2</v>
      </c>
      <c r="S2447">
        <v>2.9619749999999998</v>
      </c>
      <c r="T2447">
        <v>-0.80024269999999997</v>
      </c>
      <c r="U2447">
        <v>-0.57128909999999999</v>
      </c>
      <c r="V2447">
        <v>-6.1761669999999998E-2</v>
      </c>
      <c r="W2447">
        <v>-7.3251789999999997E-2</v>
      </c>
      <c r="X2447">
        <v>0.99539920000000004</v>
      </c>
      <c r="Y2447">
        <v>0.1573977</v>
      </c>
      <c r="Z2447">
        <v>-1.503678E-2</v>
      </c>
      <c r="AA2447">
        <v>0.98742079999999999</v>
      </c>
      <c r="AB2447">
        <v>44</v>
      </c>
      <c r="AC2447">
        <v>0.47960000000000402</v>
      </c>
      <c r="AD2447">
        <v>-0.24190019999999901</v>
      </c>
      <c r="AE2447">
        <v>-0.161599999999992</v>
      </c>
      <c r="AF2447">
        <v>0.120755051482379</v>
      </c>
      <c r="AG2447">
        <v>-0.24190019999999901</v>
      </c>
      <c r="AH2447">
        <v>0.393879055943053</v>
      </c>
      <c r="AI2447">
        <v>120.420331334799</v>
      </c>
      <c r="AJ2447">
        <v>72.9555597140982</v>
      </c>
      <c r="AK2447">
        <v>0.47774281776824501</v>
      </c>
      <c r="AL2447">
        <v>94.200781130639101</v>
      </c>
      <c r="AM2447">
        <v>93.550487440549205</v>
      </c>
      <c r="AN2447">
        <v>0.99999994799001501</v>
      </c>
    </row>
    <row r="2448" spans="1:40" x14ac:dyDescent="0.25">
      <c r="A2448" t="str">
        <f>"20190305135633897"</f>
        <v>20190305135633897</v>
      </c>
      <c r="B2448" t="str">
        <f>"1551765393884468"</f>
        <v>1551765393884468</v>
      </c>
      <c r="C2448" t="s">
        <v>40</v>
      </c>
      <c r="D2448">
        <v>4.3839810000000003</v>
      </c>
      <c r="E2448">
        <v>0.58070169999999999</v>
      </c>
      <c r="F2448" t="s">
        <v>41</v>
      </c>
      <c r="G2448">
        <v>-283.7835</v>
      </c>
      <c r="H2448">
        <v>0.87268279999999998</v>
      </c>
      <c r="I2448">
        <v>214.7415</v>
      </c>
      <c r="J2448">
        <v>-284.28719999999998</v>
      </c>
      <c r="K2448">
        <v>1.10897</v>
      </c>
      <c r="L2448">
        <v>214.8999</v>
      </c>
      <c r="M2448">
        <v>0.99952149999999995</v>
      </c>
      <c r="N2448">
        <v>-1.4518039999999999E-2</v>
      </c>
      <c r="O2448">
        <v>-2.7315280000000001E-2</v>
      </c>
      <c r="P2448">
        <v>0.99559529999999996</v>
      </c>
      <c r="Q2448">
        <v>-8.72251E-2</v>
      </c>
      <c r="R2448">
        <v>3.4380649999999999E-2</v>
      </c>
      <c r="S2448">
        <v>2.9626160000000001</v>
      </c>
      <c r="T2448">
        <v>-0.80026049999999904</v>
      </c>
      <c r="U2448">
        <v>-0.57032780000000005</v>
      </c>
      <c r="V2448">
        <v>-6.1536800000000003E-2</v>
      </c>
      <c r="W2448">
        <v>-7.2805289999999995E-2</v>
      </c>
      <c r="X2448">
        <v>0.99544589999999999</v>
      </c>
      <c r="Y2448">
        <v>0.15724399999999999</v>
      </c>
      <c r="Z2448">
        <v>-1.5061949999999999E-2</v>
      </c>
      <c r="AA2448">
        <v>0.98744489999999996</v>
      </c>
      <c r="AB2448">
        <v>44</v>
      </c>
      <c r="AC2448">
        <v>0.50369999999998005</v>
      </c>
      <c r="AD2448">
        <v>-0.236287199999999</v>
      </c>
      <c r="AE2448">
        <v>-0.15840000000000001</v>
      </c>
      <c r="AF2448">
        <v>0.120458451754032</v>
      </c>
      <c r="AG2448">
        <v>-0.236287199999999</v>
      </c>
      <c r="AH2448">
        <v>0.42310981553849297</v>
      </c>
      <c r="AI2448">
        <v>118.24071166843299</v>
      </c>
      <c r="AJ2448">
        <v>74.108461119904305</v>
      </c>
      <c r="AK2448">
        <v>0.49936339021581899</v>
      </c>
      <c r="AL2448">
        <v>94.175130004776705</v>
      </c>
      <c r="AM2448">
        <v>93.537427707622797</v>
      </c>
      <c r="AN2448">
        <v>0.99999996391651602</v>
      </c>
    </row>
    <row r="2449" spans="1:40" x14ac:dyDescent="0.25">
      <c r="A2449" t="str">
        <f>"20190305135633921"</f>
        <v>20190305135633921</v>
      </c>
      <c r="B2449" t="str">
        <f>"1551765393914724"</f>
        <v>1551765393914724</v>
      </c>
      <c r="C2449" t="s">
        <v>40</v>
      </c>
      <c r="D2449">
        <v>4.3033049999999999</v>
      </c>
      <c r="E2449">
        <v>0.58027709999999999</v>
      </c>
      <c r="F2449" t="s">
        <v>41</v>
      </c>
      <c r="G2449">
        <v>-283.39339999999999</v>
      </c>
      <c r="H2449">
        <v>0.86745810000000001</v>
      </c>
      <c r="I2449">
        <v>214.72790000000001</v>
      </c>
      <c r="J2449">
        <v>-283.82310000000001</v>
      </c>
      <c r="K2449">
        <v>1.1089990000000001</v>
      </c>
      <c r="L2449">
        <v>214.88749999999999</v>
      </c>
      <c r="M2449">
        <v>0.99952850000000004</v>
      </c>
      <c r="N2449">
        <v>-1.451592E-2</v>
      </c>
      <c r="O2449">
        <v>-2.7060109999999998E-2</v>
      </c>
      <c r="P2449">
        <v>0.99559379999999997</v>
      </c>
      <c r="Q2449">
        <v>-8.7103059999999996E-2</v>
      </c>
      <c r="R2449">
        <v>3.4730240000000002E-2</v>
      </c>
      <c r="S2449">
        <v>2.9628299999999999</v>
      </c>
      <c r="T2449">
        <v>-0.80055549999999998</v>
      </c>
      <c r="U2449">
        <v>-0.56980900000000001</v>
      </c>
      <c r="V2449">
        <v>-6.1628450000000001E-2</v>
      </c>
      <c r="W2449">
        <v>-7.2688970000000006E-2</v>
      </c>
      <c r="X2449">
        <v>0.99544880000000002</v>
      </c>
      <c r="Y2449">
        <v>0.1573029</v>
      </c>
      <c r="Z2449">
        <v>-1.513742E-2</v>
      </c>
      <c r="AA2449">
        <v>0.98743440000000005</v>
      </c>
      <c r="AB2449">
        <v>44</v>
      </c>
      <c r="AC2449">
        <v>0.42970000000002501</v>
      </c>
      <c r="AD2449">
        <v>-0.2415409</v>
      </c>
      <c r="AE2449">
        <v>-0.15959999999998301</v>
      </c>
      <c r="AF2449">
        <v>0.115767623896462</v>
      </c>
      <c r="AG2449">
        <v>-0.2415409</v>
      </c>
      <c r="AH2449">
        <v>0.339573236508178</v>
      </c>
      <c r="AI2449">
        <v>123.95069154911</v>
      </c>
      <c r="AJ2449">
        <v>71.174682234887399</v>
      </c>
      <c r="AK2449">
        <v>0.43249755151686298</v>
      </c>
      <c r="AL2449">
        <v>94.168447366309294</v>
      </c>
      <c r="AM2449">
        <v>93.542672482851799</v>
      </c>
      <c r="AN2449">
        <v>1.0000000328152501</v>
      </c>
    </row>
    <row r="2450" spans="1:40" x14ac:dyDescent="0.25">
      <c r="A2450" t="str">
        <f>"20190305135633942"</f>
        <v>20190305135633942</v>
      </c>
      <c r="B2450" t="str">
        <f>"1551765393934245"</f>
        <v>1551765393934245</v>
      </c>
      <c r="C2450" t="s">
        <v>40</v>
      </c>
      <c r="D2450">
        <v>4.27494</v>
      </c>
      <c r="E2450">
        <v>0.58027740000000005</v>
      </c>
      <c r="F2450" t="s">
        <v>41</v>
      </c>
      <c r="G2450">
        <v>-282.99369999999999</v>
      </c>
      <c r="H2450">
        <v>0.88607479999999905</v>
      </c>
      <c r="I2450">
        <v>214.72909999999999</v>
      </c>
      <c r="J2450">
        <v>-283.42020000000002</v>
      </c>
      <c r="K2450">
        <v>1.1090230000000001</v>
      </c>
      <c r="L2450">
        <v>214.8767</v>
      </c>
      <c r="M2450">
        <v>0.9995347</v>
      </c>
      <c r="N2450">
        <v>-1.451388E-2</v>
      </c>
      <c r="O2450">
        <v>-2.6831609999999999E-2</v>
      </c>
      <c r="P2450">
        <v>0.9955832</v>
      </c>
      <c r="Q2450">
        <v>-8.7163660000000004E-2</v>
      </c>
      <c r="R2450">
        <v>3.4882490000000002E-2</v>
      </c>
      <c r="S2450">
        <v>2.963257</v>
      </c>
      <c r="T2450">
        <v>-0.79638619999999904</v>
      </c>
      <c r="U2450">
        <v>-0.56520079999999995</v>
      </c>
      <c r="V2450">
        <v>-6.1548890000000002E-2</v>
      </c>
      <c r="W2450">
        <v>-7.27545E-2</v>
      </c>
      <c r="X2450">
        <v>0.99544889999999997</v>
      </c>
      <c r="Y2450">
        <v>0.15610489999999999</v>
      </c>
      <c r="Z2450">
        <v>-1.495931E-2</v>
      </c>
      <c r="AA2450">
        <v>0.98762720000000004</v>
      </c>
      <c r="AB2450">
        <v>44</v>
      </c>
      <c r="AC2450">
        <v>0.42650000000003202</v>
      </c>
      <c r="AD2450">
        <v>-0.22294819999999901</v>
      </c>
      <c r="AE2450">
        <v>-0.147600000000011</v>
      </c>
      <c r="AF2450">
        <v>0.10940412029917999</v>
      </c>
      <c r="AG2450">
        <v>-0.22294819999999901</v>
      </c>
      <c r="AH2450">
        <v>0.34589786494980701</v>
      </c>
      <c r="AI2450">
        <v>121.57249388197999</v>
      </c>
      <c r="AJ2450">
        <v>72.448345120053801</v>
      </c>
      <c r="AK2450">
        <v>0.42581744257194598</v>
      </c>
      <c r="AL2450">
        <v>94.172212072420606</v>
      </c>
      <c r="AM2450">
        <v>93.538110297192304</v>
      </c>
      <c r="AN2450">
        <v>0.99999999782084603</v>
      </c>
    </row>
    <row r="2451" spans="1:40" x14ac:dyDescent="0.25">
      <c r="A2451" t="str">
        <f>"20190305135633963"</f>
        <v>20190305135633963</v>
      </c>
      <c r="B2451" t="str">
        <f>"1551765393954740"</f>
        <v>1551765393954740</v>
      </c>
      <c r="C2451" t="s">
        <v>40</v>
      </c>
      <c r="D2451">
        <v>4.2473089999999996</v>
      </c>
      <c r="E2451">
        <v>0.58004290000000003</v>
      </c>
      <c r="F2451" t="s">
        <v>41</v>
      </c>
      <c r="G2451">
        <v>-282.60050000000001</v>
      </c>
      <c r="H2451">
        <v>0.88942549999999898</v>
      </c>
      <c r="I2451">
        <v>214.72049999999999</v>
      </c>
      <c r="J2451">
        <v>-282.97280000000001</v>
      </c>
      <c r="K2451">
        <v>1.109057</v>
      </c>
      <c r="L2451">
        <v>214.86490000000001</v>
      </c>
      <c r="M2451">
        <v>0.99954160000000003</v>
      </c>
      <c r="N2451">
        <v>-1.4511629999999999E-2</v>
      </c>
      <c r="O2451">
        <v>-2.6568979999999999E-2</v>
      </c>
      <c r="P2451">
        <v>0.99562269999999997</v>
      </c>
      <c r="Q2451">
        <v>-8.6590189999999997E-2</v>
      </c>
      <c r="R2451">
        <v>3.5181400000000002E-2</v>
      </c>
      <c r="S2451">
        <v>2.9636230000000001</v>
      </c>
      <c r="T2451">
        <v>-0.79398630000000003</v>
      </c>
      <c r="U2451">
        <v>-0.56420899999999996</v>
      </c>
      <c r="V2451">
        <v>-6.1584659999999999E-2</v>
      </c>
      <c r="W2451">
        <v>-7.2185890000000003E-2</v>
      </c>
      <c r="X2451">
        <v>0.99548809999999999</v>
      </c>
      <c r="Y2451">
        <v>0.1560452</v>
      </c>
      <c r="Z2451">
        <v>-1.4975189999999999E-2</v>
      </c>
      <c r="AA2451">
        <v>0.98763639999999997</v>
      </c>
      <c r="AB2451">
        <v>44</v>
      </c>
      <c r="AC2451">
        <v>0.37229999999999502</v>
      </c>
      <c r="AD2451">
        <v>-0.21963150000000001</v>
      </c>
      <c r="AE2451">
        <v>-0.14440000000001799</v>
      </c>
      <c r="AF2451">
        <v>0.103228563926289</v>
      </c>
      <c r="AG2451">
        <v>-0.21963150000000001</v>
      </c>
      <c r="AH2451">
        <v>0.288677415025136</v>
      </c>
      <c r="AI2451">
        <v>125.61758740660601</v>
      </c>
      <c r="AJ2451">
        <v>70.323386247015407</v>
      </c>
      <c r="AK2451">
        <v>0.37713231384771101</v>
      </c>
      <c r="AL2451">
        <v>94.139547157202202</v>
      </c>
      <c r="AM2451">
        <v>93.540022242945895</v>
      </c>
      <c r="AN2451">
        <v>1.0000000151520001</v>
      </c>
    </row>
    <row r="2452" spans="1:40" x14ac:dyDescent="0.25">
      <c r="A2452" t="str">
        <f>"20190305135633984"</f>
        <v>20190305135633984</v>
      </c>
      <c r="B2452" t="str">
        <f>"1551765393974260"</f>
        <v>1551765393974260</v>
      </c>
      <c r="C2452" t="s">
        <v>40</v>
      </c>
      <c r="D2452">
        <v>4.2480250000000002</v>
      </c>
      <c r="E2452">
        <v>0.57994250000000003</v>
      </c>
      <c r="F2452" t="s">
        <v>41</v>
      </c>
      <c r="G2452">
        <v>-282.20299999999997</v>
      </c>
      <c r="H2452">
        <v>0.904115</v>
      </c>
      <c r="I2452">
        <v>214.7191</v>
      </c>
      <c r="J2452">
        <v>-282.56259999999997</v>
      </c>
      <c r="K2452">
        <v>1.109089</v>
      </c>
      <c r="L2452">
        <v>214.85419999999999</v>
      </c>
      <c r="M2452">
        <v>0.9995484</v>
      </c>
      <c r="N2452">
        <v>-1.45097E-2</v>
      </c>
      <c r="O2452">
        <v>-2.6315910000000001E-2</v>
      </c>
      <c r="P2452">
        <v>0.99568579999999995</v>
      </c>
      <c r="Q2452">
        <v>-8.5700139999999994E-2</v>
      </c>
      <c r="R2452">
        <v>3.5570560000000001E-2</v>
      </c>
      <c r="S2452">
        <v>2.9644170000000001</v>
      </c>
      <c r="T2452">
        <v>-0.78921580000000002</v>
      </c>
      <c r="U2452">
        <v>-0.56098939999999997</v>
      </c>
      <c r="V2452">
        <v>-6.1720570000000002E-2</v>
      </c>
      <c r="W2452">
        <v>-7.1300009999999997E-2</v>
      </c>
      <c r="X2452">
        <v>0.99554350000000003</v>
      </c>
      <c r="Y2452">
        <v>0.15528610000000001</v>
      </c>
      <c r="Z2452">
        <v>-1.485237E-2</v>
      </c>
      <c r="AA2452">
        <v>0.98775789999999997</v>
      </c>
      <c r="AB2452">
        <v>44</v>
      </c>
      <c r="AC2452">
        <v>0.35959999999999998</v>
      </c>
      <c r="AD2452">
        <v>-0.20497399999999999</v>
      </c>
      <c r="AE2452">
        <v>-0.135099999999994</v>
      </c>
      <c r="AF2452">
        <v>9.7756001762106998E-2</v>
      </c>
      <c r="AG2452">
        <v>-0.20497399999999999</v>
      </c>
      <c r="AH2452">
        <v>0.28257623298972501</v>
      </c>
      <c r="AI2452">
        <v>124.431193991996</v>
      </c>
      <c r="AJ2452">
        <v>70.917164101211796</v>
      </c>
      <c r="AK2452">
        <v>0.36251883262415002</v>
      </c>
      <c r="AL2452">
        <v>94.088658941620494</v>
      </c>
      <c r="AM2452">
        <v>93.547617792852407</v>
      </c>
      <c r="AN2452">
        <v>0.999999990289687</v>
      </c>
    </row>
    <row r="2453" spans="1:40" x14ac:dyDescent="0.25">
      <c r="A2453" t="str">
        <f>"20190305135634007"</f>
        <v>20190305135634007</v>
      </c>
      <c r="B2453" t="str">
        <f>"1551765393994756"</f>
        <v>1551765393994756</v>
      </c>
      <c r="C2453" t="s">
        <v>40</v>
      </c>
      <c r="D2453">
        <v>4.2172409999999996</v>
      </c>
      <c r="E2453">
        <v>0.57979729999999996</v>
      </c>
      <c r="F2453" t="s">
        <v>41</v>
      </c>
      <c r="G2453">
        <v>-281.80919999999998</v>
      </c>
      <c r="H2453">
        <v>0.91028810000000004</v>
      </c>
      <c r="I2453">
        <v>214.71180000000001</v>
      </c>
      <c r="J2453">
        <v>-282.1302</v>
      </c>
      <c r="K2453">
        <v>1.1091279999999999</v>
      </c>
      <c r="L2453">
        <v>214.84299999999999</v>
      </c>
      <c r="M2453">
        <v>0.99955590000000005</v>
      </c>
      <c r="N2453">
        <v>-1.450771E-2</v>
      </c>
      <c r="O2453">
        <v>-2.6030600000000001E-2</v>
      </c>
      <c r="P2453">
        <v>0.99580780000000002</v>
      </c>
      <c r="Q2453">
        <v>-8.4103910000000004E-2</v>
      </c>
      <c r="R2453">
        <v>3.596191E-2</v>
      </c>
      <c r="S2453">
        <v>2.965668</v>
      </c>
      <c r="T2453">
        <v>-0.7825609</v>
      </c>
      <c r="U2453">
        <v>-0.55943299999999996</v>
      </c>
      <c r="V2453">
        <v>-6.1827699999999902E-2</v>
      </c>
      <c r="W2453">
        <v>-6.9707710000000006E-2</v>
      </c>
      <c r="X2453">
        <v>0.99564960000000002</v>
      </c>
      <c r="Y2453">
        <v>0.1550685</v>
      </c>
      <c r="Z2453">
        <v>-1.477814E-2</v>
      </c>
      <c r="AA2453">
        <v>0.98779309999999998</v>
      </c>
      <c r="AB2453">
        <v>44</v>
      </c>
      <c r="AC2453">
        <v>0.32100000000002599</v>
      </c>
      <c r="AD2453">
        <v>-0.19883990000000001</v>
      </c>
      <c r="AE2453">
        <v>-0.131199999999978</v>
      </c>
      <c r="AF2453">
        <v>9.2414690181403206E-2</v>
      </c>
      <c r="AG2453">
        <v>-0.19883990000000001</v>
      </c>
      <c r="AH2453">
        <v>0.24406348350116899</v>
      </c>
      <c r="AI2453">
        <v>127.304298673389</v>
      </c>
      <c r="AJ2453">
        <v>69.260817953453497</v>
      </c>
      <c r="AK2453">
        <v>0.32809261614986102</v>
      </c>
      <c r="AL2453">
        <v>93.997199314977294</v>
      </c>
      <c r="AM2453">
        <v>93.553381987373896</v>
      </c>
      <c r="AN2453">
        <v>0.99999997765044601</v>
      </c>
    </row>
    <row r="2454" spans="1:40" x14ac:dyDescent="0.25">
      <c r="A2454" t="str">
        <f>"20190305135634031"</f>
        <v>20190305135634031</v>
      </c>
      <c r="B2454" t="str">
        <f>"1551765394025012"</f>
        <v>1551765394025012</v>
      </c>
      <c r="C2454" t="s">
        <v>40</v>
      </c>
      <c r="D2454">
        <v>4.2771619999999997</v>
      </c>
      <c r="E2454">
        <v>0.57971890000000004</v>
      </c>
      <c r="F2454" t="s">
        <v>41</v>
      </c>
      <c r="G2454">
        <v>-281.41329999999999</v>
      </c>
      <c r="H2454">
        <v>0.92223500000000003</v>
      </c>
      <c r="I2454">
        <v>214.70820000000001</v>
      </c>
      <c r="J2454">
        <v>-281.6721</v>
      </c>
      <c r="K2454">
        <v>1.109164</v>
      </c>
      <c r="L2454">
        <v>214.8314</v>
      </c>
      <c r="M2454">
        <v>0.99956460000000003</v>
      </c>
      <c r="N2454">
        <v>-1.4505560000000001E-2</v>
      </c>
      <c r="O2454">
        <v>-2.569919E-2</v>
      </c>
      <c r="P2454">
        <v>0.9959266</v>
      </c>
      <c r="Q2454">
        <v>-8.2459329999999997E-2</v>
      </c>
      <c r="R2454">
        <v>3.6483740000000001E-2</v>
      </c>
      <c r="S2454">
        <v>2.9674070000000001</v>
      </c>
      <c r="T2454">
        <v>-0.77366499999999905</v>
      </c>
      <c r="U2454">
        <v>-0.55700680000000002</v>
      </c>
      <c r="V2454">
        <v>-6.2019440000000002E-2</v>
      </c>
      <c r="W2454">
        <v>-6.8068110000000001E-2</v>
      </c>
      <c r="X2454">
        <v>0.9957511</v>
      </c>
      <c r="Y2454">
        <v>0.1546196</v>
      </c>
      <c r="Z2454">
        <v>-1.4644310000000001E-2</v>
      </c>
      <c r="AA2454">
        <v>0.98786549999999995</v>
      </c>
      <c r="AB2454">
        <v>44</v>
      </c>
      <c r="AC2454">
        <v>0.25880000000000702</v>
      </c>
      <c r="AD2454">
        <v>-0.18692899999999901</v>
      </c>
      <c r="AE2454">
        <v>-0.12319999999999701</v>
      </c>
      <c r="AF2454">
        <v>8.1741401578566603E-2</v>
      </c>
      <c r="AG2454">
        <v>-0.18692899999999901</v>
      </c>
      <c r="AH2454">
        <v>0.183734870111051</v>
      </c>
      <c r="AI2454">
        <v>132.908832135669</v>
      </c>
      <c r="AJ2454">
        <v>66.016302348949395</v>
      </c>
      <c r="AK2454">
        <v>0.274558937694174</v>
      </c>
      <c r="AL2454">
        <v>93.903033488343098</v>
      </c>
      <c r="AM2454">
        <v>93.564010974986402</v>
      </c>
      <c r="AN2454">
        <v>0.99999996584404705</v>
      </c>
    </row>
    <row r="2455" spans="1:40" x14ac:dyDescent="0.25">
      <c r="A2455" t="str">
        <f>"20190305135634055"</f>
        <v>20190305135634055</v>
      </c>
      <c r="B2455" t="str">
        <f>"1551765394044532"</f>
        <v>1551765394044532</v>
      </c>
      <c r="C2455" t="s">
        <v>40</v>
      </c>
      <c r="D2455">
        <v>4.2883269999999998</v>
      </c>
      <c r="E2455">
        <v>0.57971980000000001</v>
      </c>
      <c r="F2455" t="s">
        <v>41</v>
      </c>
      <c r="G2455">
        <v>-280.66329999999999</v>
      </c>
      <c r="H2455">
        <v>0.84873129999999997</v>
      </c>
      <c r="I2455">
        <v>214.6431</v>
      </c>
      <c r="J2455">
        <v>-281.19009999999997</v>
      </c>
      <c r="K2455">
        <v>1.1092139999999999</v>
      </c>
      <c r="L2455">
        <v>214.8193</v>
      </c>
      <c r="M2455">
        <v>0.99957470000000004</v>
      </c>
      <c r="N2455">
        <v>-1.450326E-2</v>
      </c>
      <c r="O2455">
        <v>-2.5305680000000001E-2</v>
      </c>
      <c r="P2455">
        <v>0.99597060000000004</v>
      </c>
      <c r="Q2455">
        <v>-8.1496170000000007E-2</v>
      </c>
      <c r="R2455">
        <v>3.7430570000000003E-2</v>
      </c>
      <c r="S2455">
        <v>2.9691160000000001</v>
      </c>
      <c r="T2455">
        <v>-0.76648640000000001</v>
      </c>
      <c r="U2455">
        <v>-0.55416869999999996</v>
      </c>
      <c r="V2455">
        <v>-6.2569509999999995E-2</v>
      </c>
      <c r="W2455">
        <v>-6.711259E-2</v>
      </c>
      <c r="X2455">
        <v>0.99578160000000004</v>
      </c>
      <c r="Y2455">
        <v>0.15408289999999999</v>
      </c>
      <c r="Z2455">
        <v>-1.4541460000000001E-2</v>
      </c>
      <c r="AA2455">
        <v>0.98795089999999997</v>
      </c>
      <c r="AB2455">
        <v>44</v>
      </c>
      <c r="AC2455">
        <v>0.52679999999997995</v>
      </c>
      <c r="AD2455">
        <v>-0.26048270000000001</v>
      </c>
      <c r="AE2455">
        <v>-0.176199999999994</v>
      </c>
      <c r="AF2455">
        <v>0.133463442345022</v>
      </c>
      <c r="AG2455">
        <v>-0.26048270000000001</v>
      </c>
      <c r="AH2455">
        <v>0.43535831230849698</v>
      </c>
      <c r="AI2455">
        <v>119.771348518689</v>
      </c>
      <c r="AJ2455">
        <v>72.956555619464197</v>
      </c>
      <c r="AK2455">
        <v>0.52459564193574504</v>
      </c>
      <c r="AL2455">
        <v>93.848160530480399</v>
      </c>
      <c r="AM2455">
        <v>93.595428913599605</v>
      </c>
      <c r="AN2455">
        <v>1.00000001910835</v>
      </c>
    </row>
    <row r="2456" spans="1:40" x14ac:dyDescent="0.25">
      <c r="A2456" t="str">
        <f>"20190305135634078"</f>
        <v>20190305135634078</v>
      </c>
      <c r="B2456" t="str">
        <f>"1551765394074788"</f>
        <v>1551765394074788</v>
      </c>
      <c r="C2456" t="s">
        <v>40</v>
      </c>
      <c r="D2456">
        <v>4.1240639999999997</v>
      </c>
      <c r="E2456">
        <v>0.53371169999999901</v>
      </c>
      <c r="F2456" t="s">
        <v>41</v>
      </c>
      <c r="G2456">
        <v>-280.26420000000002</v>
      </c>
      <c r="H2456">
        <v>0.87070409999999998</v>
      </c>
      <c r="I2456">
        <v>214.64699999999999</v>
      </c>
      <c r="J2456">
        <v>-280.74829999999997</v>
      </c>
      <c r="K2456">
        <v>1.109256</v>
      </c>
      <c r="L2456">
        <v>214.80850000000001</v>
      </c>
      <c r="M2456">
        <v>0.99958460000000005</v>
      </c>
      <c r="N2456">
        <v>-1.450108E-2</v>
      </c>
      <c r="O2456">
        <v>-2.4909580000000001E-2</v>
      </c>
      <c r="P2456">
        <v>0.99592630000000004</v>
      </c>
      <c r="Q2456">
        <v>-8.1332139999999997E-2</v>
      </c>
      <c r="R2456">
        <v>3.8940250000000003E-2</v>
      </c>
      <c r="S2456">
        <v>2.9702760000000001</v>
      </c>
      <c r="T2456">
        <v>-0.765123</v>
      </c>
      <c r="U2456">
        <v>-0.55172730000000003</v>
      </c>
      <c r="V2456">
        <v>-6.3678849999999995E-2</v>
      </c>
      <c r="W2456">
        <v>-6.6957849999999999E-2</v>
      </c>
      <c r="X2456">
        <v>0.99572169999999904</v>
      </c>
      <c r="Y2456">
        <v>0.15364069999999999</v>
      </c>
      <c r="Z2456">
        <v>-1.4549670000000001E-2</v>
      </c>
      <c r="AA2456">
        <v>0.9880196</v>
      </c>
      <c r="AB2456">
        <v>44</v>
      </c>
      <c r="AC2456">
        <v>0.48409999999995501</v>
      </c>
      <c r="AD2456">
        <v>-0.23855190000000001</v>
      </c>
      <c r="AE2456">
        <v>-0.16149999999998901</v>
      </c>
      <c r="AF2456">
        <v>0.122600710097023</v>
      </c>
      <c r="AG2456">
        <v>-0.23855190000000001</v>
      </c>
      <c r="AH2456">
        <v>0.40046785401233698</v>
      </c>
      <c r="AI2456">
        <v>119.66534968340299</v>
      </c>
      <c r="AJ2456">
        <v>72.978361187113407</v>
      </c>
      <c r="AK2456">
        <v>0.48198801355132398</v>
      </c>
      <c r="AL2456">
        <v>93.839274564465697</v>
      </c>
      <c r="AM2456">
        <v>93.659222711760407</v>
      </c>
      <c r="AN2456">
        <v>1.0000000267324101</v>
      </c>
    </row>
    <row r="2457" spans="1:40" x14ac:dyDescent="0.25">
      <c r="A2457" t="str">
        <f>"20190305135634097"</f>
        <v>20190305135634097</v>
      </c>
      <c r="B2457" t="str">
        <f>"1551765394084549"</f>
        <v>1551765394084549</v>
      </c>
      <c r="C2457" t="s">
        <v>40</v>
      </c>
      <c r="D2457">
        <v>4.2189779999999999</v>
      </c>
      <c r="E2457">
        <v>0.52133149999999995</v>
      </c>
      <c r="F2457" t="s">
        <v>41</v>
      </c>
      <c r="G2457">
        <v>-279.84199999999998</v>
      </c>
      <c r="H2457">
        <v>0.94130040000000004</v>
      </c>
      <c r="I2457">
        <v>214.7569</v>
      </c>
      <c r="J2457">
        <v>-280.38740000000001</v>
      </c>
      <c r="K2457">
        <v>1.1092930000000001</v>
      </c>
      <c r="L2457">
        <v>214.7998</v>
      </c>
      <c r="M2457">
        <v>0.99959330000000002</v>
      </c>
      <c r="N2457">
        <v>-1.4499420000000001E-2</v>
      </c>
      <c r="O2457">
        <v>-2.4556709999999999E-2</v>
      </c>
      <c r="P2457">
        <v>0.99583920000000004</v>
      </c>
      <c r="Q2457">
        <v>-8.1274390000000002E-2</v>
      </c>
      <c r="R2457">
        <v>4.1215990000000001E-2</v>
      </c>
      <c r="S2457">
        <v>2.973846</v>
      </c>
      <c r="T2457">
        <v>-0.55114790000000002</v>
      </c>
      <c r="U2457">
        <v>-0.1687622</v>
      </c>
      <c r="V2457">
        <v>-6.5595689999999998E-2</v>
      </c>
      <c r="W2457">
        <v>-6.6910070000000002E-2</v>
      </c>
      <c r="X2457">
        <v>0.9956005</v>
      </c>
      <c r="Y2457">
        <v>3.1890309999999998E-2</v>
      </c>
      <c r="Z2457">
        <v>9.9354700000000001E-4</v>
      </c>
      <c r="AA2457">
        <v>0.99949089999999996</v>
      </c>
      <c r="AB2457">
        <v>44</v>
      </c>
      <c r="AC2457">
        <v>0.54540000000002897</v>
      </c>
      <c r="AD2457">
        <v>-0.16799259999999999</v>
      </c>
      <c r="AE2457">
        <v>-4.2900000000002998E-2</v>
      </c>
      <c r="AF2457">
        <v>2.6951164314489601E-2</v>
      </c>
      <c r="AG2457">
        <v>-0.16799259999999999</v>
      </c>
      <c r="AH2457">
        <v>0.499217275632104</v>
      </c>
      <c r="AI2457">
        <v>108.57351543934</v>
      </c>
      <c r="AJ2457">
        <v>86.909781687862306</v>
      </c>
      <c r="AK2457">
        <v>0.52741422734147603</v>
      </c>
      <c r="AL2457">
        <v>93.836530715063603</v>
      </c>
      <c r="AM2457">
        <v>93.769516073690099</v>
      </c>
      <c r="AN2457">
        <v>1.0000000538071101</v>
      </c>
    </row>
    <row r="2458" spans="1:40" x14ac:dyDescent="0.25">
      <c r="A2458" t="str">
        <f>"20190305135634118"</f>
        <v>20190305135634118</v>
      </c>
      <c r="B2458" t="str">
        <f>"1551765394114804"</f>
        <v>1551765394114804</v>
      </c>
      <c r="C2458" t="s">
        <v>40</v>
      </c>
      <c r="D2458">
        <v>4.2123629999999999</v>
      </c>
      <c r="E2458">
        <v>0.50528620000000002</v>
      </c>
      <c r="F2458" t="s">
        <v>41</v>
      </c>
      <c r="G2458">
        <v>-279.44189999999998</v>
      </c>
      <c r="H2458">
        <v>0.9599839</v>
      </c>
      <c r="I2458">
        <v>214.7807</v>
      </c>
      <c r="J2458">
        <v>-279.95830000000001</v>
      </c>
      <c r="K2458">
        <v>1.1093329999999999</v>
      </c>
      <c r="L2458">
        <v>214.78960000000001</v>
      </c>
      <c r="M2458">
        <v>0.99960470000000001</v>
      </c>
      <c r="N2458">
        <v>-1.449754E-2</v>
      </c>
      <c r="O2458">
        <v>-2.4093529999999998E-2</v>
      </c>
      <c r="P2458">
        <v>0.99575009999999997</v>
      </c>
      <c r="Q2458">
        <v>-8.1565520000000002E-2</v>
      </c>
      <c r="R2458">
        <v>4.2768229999999997E-2</v>
      </c>
      <c r="S2458">
        <v>2.9766240000000002</v>
      </c>
      <c r="T2458">
        <v>-0.4702673</v>
      </c>
      <c r="U2458">
        <v>-5.8883669999999999E-2</v>
      </c>
      <c r="V2458">
        <v>-6.667671E-2</v>
      </c>
      <c r="W2458">
        <v>-6.7212019999999997E-2</v>
      </c>
      <c r="X2458">
        <v>0.99550830000000001</v>
      </c>
      <c r="Y2458">
        <v>-4.0181699999999997E-3</v>
      </c>
      <c r="Z2458">
        <v>3.7795139999999999E-3</v>
      </c>
      <c r="AA2458">
        <v>0.99998480000000001</v>
      </c>
      <c r="AB2458">
        <v>44</v>
      </c>
      <c r="AC2458">
        <v>0.51640000000003194</v>
      </c>
      <c r="AD2458">
        <v>-0.14934909999999901</v>
      </c>
      <c r="AE2458">
        <v>-8.9000000000112305E-3</v>
      </c>
      <c r="AF2458">
        <v>-3.2721741202175999E-3</v>
      </c>
      <c r="AG2458">
        <v>-0.14934909999999901</v>
      </c>
      <c r="AH2458">
        <v>0.47661090017989699</v>
      </c>
      <c r="AI2458">
        <v>107.398333700557</v>
      </c>
      <c r="AJ2458">
        <v>90.393358232622603</v>
      </c>
      <c r="AK2458">
        <v>0.49947353379791298</v>
      </c>
      <c r="AL2458">
        <v>93.853870387588998</v>
      </c>
      <c r="AM2458">
        <v>93.831808130648994</v>
      </c>
      <c r="AN2458">
        <v>1.0000000073288899</v>
      </c>
    </row>
    <row r="2459" spans="1:40" x14ac:dyDescent="0.25">
      <c r="A2459" t="str">
        <f>"20190305135634142"</f>
        <v>20190305135634142</v>
      </c>
      <c r="B2459" t="str">
        <f>"1551765394134324"</f>
        <v>1551765394134324</v>
      </c>
      <c r="C2459" t="s">
        <v>40</v>
      </c>
      <c r="D2459">
        <v>4.1514300000000004</v>
      </c>
      <c r="E2459">
        <v>0.5052565</v>
      </c>
      <c r="F2459" t="s">
        <v>55</v>
      </c>
      <c r="G2459">
        <v>-265.8827</v>
      </c>
      <c r="H2459" s="1">
        <v>1.568298E-6</v>
      </c>
      <c r="I2459">
        <v>215.19669999999999</v>
      </c>
      <c r="J2459">
        <v>-279.50630000000001</v>
      </c>
      <c r="K2459">
        <v>1.109381</v>
      </c>
      <c r="L2459">
        <v>214.7792</v>
      </c>
      <c r="M2459">
        <v>0.99961739999999999</v>
      </c>
      <c r="N2459">
        <v>-1.4495610000000001E-2</v>
      </c>
      <c r="O2459">
        <v>-2.355167E-2</v>
      </c>
      <c r="P2459">
        <v>0.99563460000000004</v>
      </c>
      <c r="Q2459">
        <v>-8.2101569999999999E-2</v>
      </c>
      <c r="R2459">
        <v>4.4395770000000001E-2</v>
      </c>
      <c r="S2459">
        <v>2.9897770000000001</v>
      </c>
      <c r="T2459">
        <v>-0.23563149999999999</v>
      </c>
      <c r="U2459">
        <v>8.6471560000000003E-2</v>
      </c>
      <c r="V2459">
        <v>-6.7754079999999994E-2</v>
      </c>
      <c r="W2459">
        <v>-6.7760769999999998E-2</v>
      </c>
      <c r="X2459">
        <v>0.99539829999999996</v>
      </c>
      <c r="Y2459">
        <v>-5.2206370000000002E-2</v>
      </c>
      <c r="Z2459">
        <v>3.9448440000000003E-3</v>
      </c>
      <c r="AA2459">
        <v>0.99862850000000003</v>
      </c>
      <c r="AB2459">
        <v>44</v>
      </c>
      <c r="AC2459">
        <v>13.6236</v>
      </c>
      <c r="AD2459">
        <v>-1.109379431702</v>
      </c>
      <c r="AE2459">
        <v>0.41749999999998899</v>
      </c>
      <c r="AF2459">
        <v>-0.73341775521789099</v>
      </c>
      <c r="AG2459">
        <v>-1.109379431702</v>
      </c>
      <c r="AH2459">
        <v>13.5204172100396</v>
      </c>
      <c r="AI2459">
        <v>94.683878916454901</v>
      </c>
      <c r="AJ2459">
        <v>93.104977978620994</v>
      </c>
      <c r="AK2459">
        <v>13.585665455202699</v>
      </c>
      <c r="AL2459">
        <v>93.885383487945106</v>
      </c>
      <c r="AM2459">
        <v>93.893962947772707</v>
      </c>
      <c r="AN2459">
        <v>0.99999995647526296</v>
      </c>
    </row>
    <row r="2460" spans="1:40" x14ac:dyDescent="0.25">
      <c r="A2460" t="str">
        <f>"20190305135634164"</f>
        <v>20190305135634164</v>
      </c>
      <c r="B2460" t="str">
        <f>"1551765394154820"</f>
        <v>1551765394154820</v>
      </c>
      <c r="C2460" t="s">
        <v>40</v>
      </c>
      <c r="D2460">
        <v>4.2064649999999997</v>
      </c>
      <c r="E2460">
        <v>0.50453990000000004</v>
      </c>
      <c r="F2460" t="s">
        <v>55</v>
      </c>
      <c r="G2460">
        <v>-262.55779999999999</v>
      </c>
      <c r="H2460" s="1">
        <v>-2.0607439999999999E-7</v>
      </c>
      <c r="I2460">
        <v>215.31190000000001</v>
      </c>
      <c r="J2460">
        <v>-279.06139999999999</v>
      </c>
      <c r="K2460">
        <v>1.1094329999999999</v>
      </c>
      <c r="L2460">
        <v>214.76920000000001</v>
      </c>
      <c r="M2460">
        <v>0.9996313</v>
      </c>
      <c r="N2460">
        <v>-1.4493839999999999E-2</v>
      </c>
      <c r="O2460">
        <v>-2.2961820000000001E-2</v>
      </c>
      <c r="P2460">
        <v>0.99554319999999996</v>
      </c>
      <c r="Q2460">
        <v>-8.2446359999999996E-2</v>
      </c>
      <c r="R2460">
        <v>4.578637E-2</v>
      </c>
      <c r="S2460">
        <v>2.9927980000000001</v>
      </c>
      <c r="T2460">
        <v>-0.19589690000000001</v>
      </c>
      <c r="U2460">
        <v>9.4070429999999997E-2</v>
      </c>
      <c r="V2460">
        <v>-6.8545999999999996E-2</v>
      </c>
      <c r="W2460">
        <v>-6.8118330000000005E-2</v>
      </c>
      <c r="X2460">
        <v>0.99531970000000003</v>
      </c>
      <c r="Y2460">
        <v>-5.4190019999999998E-2</v>
      </c>
      <c r="Z2460">
        <v>3.3331400000000001E-3</v>
      </c>
      <c r="AA2460">
        <v>0.99852510000000005</v>
      </c>
      <c r="AB2460">
        <v>44</v>
      </c>
      <c r="AC2460">
        <v>16.503599999999999</v>
      </c>
      <c r="AD2460">
        <v>-1.1094332060744001</v>
      </c>
      <c r="AE2460">
        <v>0.54269999999999596</v>
      </c>
      <c r="AF2460">
        <v>-0.91740806183117296</v>
      </c>
      <c r="AG2460">
        <v>-1.1094332060744001</v>
      </c>
      <c r="AH2460">
        <v>16.412695801077898</v>
      </c>
      <c r="AI2460">
        <v>93.861076201130601</v>
      </c>
      <c r="AJ2460">
        <v>93.199289744336795</v>
      </c>
      <c r="AK2460">
        <v>16.475711306325199</v>
      </c>
      <c r="AL2460">
        <v>93.905917509047697</v>
      </c>
      <c r="AM2460">
        <v>93.939643814438497</v>
      </c>
      <c r="AN2460">
        <v>0.99999998310303895</v>
      </c>
    </row>
    <row r="2461" spans="1:40" x14ac:dyDescent="0.25">
      <c r="A2461" t="str">
        <f>"20190305135634186"</f>
        <v>20190305135634186</v>
      </c>
      <c r="B2461" t="str">
        <f>"1551765394174340"</f>
        <v>1551765394174340</v>
      </c>
      <c r="C2461" t="s">
        <v>40</v>
      </c>
      <c r="D2461">
        <v>4.1674949999999997</v>
      </c>
      <c r="E2461">
        <v>0.50465740000000003</v>
      </c>
      <c r="F2461" t="s">
        <v>55</v>
      </c>
      <c r="G2461">
        <v>-258.1524</v>
      </c>
      <c r="H2461" s="1">
        <v>2.7624699999999998E-6</v>
      </c>
      <c r="I2461">
        <v>215.51009999999999</v>
      </c>
      <c r="J2461">
        <v>-278.6533</v>
      </c>
      <c r="K2461">
        <v>1.10948</v>
      </c>
      <c r="L2461">
        <v>214.7603</v>
      </c>
      <c r="M2461">
        <v>0.99964489999999995</v>
      </c>
      <c r="N2461">
        <v>-1.449226E-2</v>
      </c>
      <c r="O2461">
        <v>-2.236542E-2</v>
      </c>
      <c r="P2461">
        <v>0.99551750000000006</v>
      </c>
      <c r="Q2461">
        <v>-8.2372459999999995E-2</v>
      </c>
      <c r="R2461">
        <v>4.6474880000000003E-2</v>
      </c>
      <c r="S2461">
        <v>2.995422</v>
      </c>
      <c r="T2461">
        <v>-0.15893699999999999</v>
      </c>
      <c r="U2461">
        <v>0.1061401</v>
      </c>
      <c r="V2461">
        <v>-6.8632200000000004E-2</v>
      </c>
      <c r="W2461">
        <v>-6.8055119999999997E-2</v>
      </c>
      <c r="X2461">
        <v>0.99531809999999998</v>
      </c>
      <c r="Y2461">
        <v>-5.7637010000000002E-2</v>
      </c>
      <c r="Z2461">
        <v>2.8074100000000002E-3</v>
      </c>
      <c r="AA2461">
        <v>0.99833360000000004</v>
      </c>
      <c r="AB2461">
        <v>44</v>
      </c>
      <c r="AC2461">
        <v>20.500900000000001</v>
      </c>
      <c r="AD2461">
        <v>-1.1094772375299999</v>
      </c>
      <c r="AE2461">
        <v>0.74979999999999303</v>
      </c>
      <c r="AF2461">
        <v>-1.20464829549353</v>
      </c>
      <c r="AG2461">
        <v>-1.1094772375299999</v>
      </c>
      <c r="AH2461">
        <v>20.419275280841799</v>
      </c>
      <c r="AI2461">
        <v>93.104708841992405</v>
      </c>
      <c r="AJ2461">
        <v>93.376287999517899</v>
      </c>
      <c r="AK2461">
        <v>20.4848461124616</v>
      </c>
      <c r="AL2461">
        <v>93.902287355841693</v>
      </c>
      <c r="AM2461">
        <v>93.9445888030383</v>
      </c>
      <c r="AN2461">
        <v>0.99999999921133198</v>
      </c>
    </row>
    <row r="2462" spans="1:40" x14ac:dyDescent="0.25">
      <c r="A2462" t="str">
        <f>"20190305135634208"</f>
        <v>20190305135634208</v>
      </c>
      <c r="B2462" t="str">
        <f>"1551765394204596"</f>
        <v>1551765394204596</v>
      </c>
      <c r="C2462" t="s">
        <v>40</v>
      </c>
      <c r="D2462">
        <v>4.2044769999999998</v>
      </c>
      <c r="E2462">
        <v>0.50524859999999905</v>
      </c>
      <c r="F2462" t="s">
        <v>55</v>
      </c>
      <c r="G2462">
        <v>-253.6533</v>
      </c>
      <c r="H2462" s="1">
        <v>3.61431E-7</v>
      </c>
      <c r="I2462">
        <v>215.66579999999999</v>
      </c>
      <c r="J2462">
        <v>-278.22370000000001</v>
      </c>
      <c r="K2462">
        <v>1.109537</v>
      </c>
      <c r="L2462">
        <v>214.75129999999999</v>
      </c>
      <c r="M2462">
        <v>0.99965999999999999</v>
      </c>
      <c r="N2462">
        <v>-1.449044E-2</v>
      </c>
      <c r="O2462">
        <v>-2.1680250000000002E-2</v>
      </c>
      <c r="P2462">
        <v>0.99549529999999997</v>
      </c>
      <c r="Q2462">
        <v>-8.235845E-2</v>
      </c>
      <c r="R2462">
        <v>4.697432E-2</v>
      </c>
      <c r="S2462">
        <v>2.9974370000000001</v>
      </c>
      <c r="T2462">
        <v>-0.1330239</v>
      </c>
      <c r="U2462">
        <v>0.1085663</v>
      </c>
      <c r="V2462">
        <v>-6.8439509999999995E-2</v>
      </c>
      <c r="W2462">
        <v>-6.8052390000000004E-2</v>
      </c>
      <c r="X2462">
        <v>0.99533159999999998</v>
      </c>
      <c r="Y2462">
        <v>-5.7770740000000001E-2</v>
      </c>
      <c r="Z2462">
        <v>2.3473019999999999E-3</v>
      </c>
      <c r="AA2462">
        <v>0.99832710000000002</v>
      </c>
      <c r="AB2462">
        <v>43</v>
      </c>
      <c r="AC2462">
        <v>24.570399999999999</v>
      </c>
      <c r="AD2462">
        <v>-1.109536638569</v>
      </c>
      <c r="AE2462">
        <v>0.91450000000000398</v>
      </c>
      <c r="AF2462">
        <v>-1.4440926101348599</v>
      </c>
      <c r="AG2462">
        <v>-1.109536638569</v>
      </c>
      <c r="AH2462">
        <v>24.494914170869201</v>
      </c>
      <c r="AI2462">
        <v>92.589042620734602</v>
      </c>
      <c r="AJ2462">
        <v>93.373955557814497</v>
      </c>
      <c r="AK2462">
        <v>24.562518096832498</v>
      </c>
      <c r="AL2462">
        <v>93.902130399317201</v>
      </c>
      <c r="AM2462">
        <v>93.933495707254593</v>
      </c>
      <c r="AN2462">
        <v>1.0000000441361501</v>
      </c>
    </row>
    <row r="2463" spans="1:40" x14ac:dyDescent="0.25">
      <c r="A2463" t="str">
        <f>"20190305135634232"</f>
        <v>20190305135634232</v>
      </c>
      <c r="B2463" t="str">
        <f>"1551765394225093"</f>
        <v>1551765394225093</v>
      </c>
      <c r="C2463" t="s">
        <v>40</v>
      </c>
      <c r="D2463">
        <v>4.2129310000000002</v>
      </c>
      <c r="E2463">
        <v>0.50574339999999995</v>
      </c>
      <c r="F2463" t="s">
        <v>55</v>
      </c>
      <c r="G2463">
        <v>-249.2878</v>
      </c>
      <c r="H2463" s="1">
        <v>3.3549869999999999E-6</v>
      </c>
      <c r="I2463">
        <v>215.7774</v>
      </c>
      <c r="J2463">
        <v>-277.7638</v>
      </c>
      <c r="K2463">
        <v>1.1096010000000001</v>
      </c>
      <c r="L2463">
        <v>214.74199999999999</v>
      </c>
      <c r="M2463">
        <v>0.99967709999999999</v>
      </c>
      <c r="N2463">
        <v>-1.44884E-2</v>
      </c>
      <c r="O2463">
        <v>-2.0882009999999999E-2</v>
      </c>
      <c r="P2463">
        <v>0.99540600000000001</v>
      </c>
      <c r="Q2463">
        <v>-8.2962839999999996E-2</v>
      </c>
      <c r="R2463">
        <v>4.7796449999999997E-2</v>
      </c>
      <c r="S2463">
        <v>2.9990540000000001</v>
      </c>
      <c r="T2463">
        <v>-0.1149975</v>
      </c>
      <c r="U2463">
        <v>0.1063538</v>
      </c>
      <c r="V2463">
        <v>-6.8453699999999895E-2</v>
      </c>
      <c r="W2463">
        <v>-6.8670179999999997E-2</v>
      </c>
      <c r="X2463">
        <v>0.99528810000000001</v>
      </c>
      <c r="Y2463">
        <v>-5.6240659999999998E-2</v>
      </c>
      <c r="Z2463">
        <v>1.983112E-3</v>
      </c>
      <c r="AA2463">
        <v>0.99841530000000001</v>
      </c>
      <c r="AB2463">
        <v>43</v>
      </c>
      <c r="AC2463">
        <v>28.475999999999999</v>
      </c>
      <c r="AD2463">
        <v>-1.1095976450130001</v>
      </c>
      <c r="AE2463">
        <v>1.0353999999999799</v>
      </c>
      <c r="AF2463">
        <v>-1.62740492166581</v>
      </c>
      <c r="AG2463">
        <v>-1.1095976450130001</v>
      </c>
      <c r="AH2463">
        <v>28.405093874704299</v>
      </c>
      <c r="AI2463">
        <v>92.233367982145793</v>
      </c>
      <c r="AJ2463">
        <v>93.279046074650395</v>
      </c>
      <c r="AK2463">
        <v>28.473303491931599</v>
      </c>
      <c r="AL2463">
        <v>93.937610520247603</v>
      </c>
      <c r="AM2463">
        <v>93.934480115665906</v>
      </c>
      <c r="AN2463">
        <v>0.999999952333265</v>
      </c>
    </row>
    <row r="2464" spans="1:40" x14ac:dyDescent="0.25">
      <c r="A2464" t="str">
        <f>"20190305135634256"</f>
        <v>20190305135634256</v>
      </c>
      <c r="B2464" t="str">
        <f>"1551765394244612"</f>
        <v>1551765394244612</v>
      </c>
      <c r="C2464" t="s">
        <v>40</v>
      </c>
      <c r="D2464">
        <v>4.2286619999999999</v>
      </c>
      <c r="E2464">
        <v>0.50614599999999998</v>
      </c>
      <c r="F2464" t="s">
        <v>55</v>
      </c>
      <c r="G2464">
        <v>-246.28960000000001</v>
      </c>
      <c r="H2464" s="1">
        <v>1.7562410000000001E-6</v>
      </c>
      <c r="I2464">
        <v>215.85140000000001</v>
      </c>
      <c r="J2464">
        <v>-277.30329999999998</v>
      </c>
      <c r="K2464">
        <v>1.109661</v>
      </c>
      <c r="L2464">
        <v>214.73320000000001</v>
      </c>
      <c r="M2464">
        <v>0.99969459999999999</v>
      </c>
      <c r="N2464">
        <v>-1.4486250000000001E-2</v>
      </c>
      <c r="O2464">
        <v>-2.0028810000000001E-2</v>
      </c>
      <c r="P2464">
        <v>0.99531619999999998</v>
      </c>
      <c r="Q2464">
        <v>-8.3495249999999993E-2</v>
      </c>
      <c r="R2464">
        <v>4.8729479999999999E-2</v>
      </c>
      <c r="S2464">
        <v>2.9999690000000001</v>
      </c>
      <c r="T2464">
        <v>-0.1057618</v>
      </c>
      <c r="U2464">
        <v>0.1057434</v>
      </c>
      <c r="V2464">
        <v>-6.8526089999999998E-2</v>
      </c>
      <c r="W2464">
        <v>-6.9215159999999998E-2</v>
      </c>
      <c r="X2464">
        <v>0.99524539999999995</v>
      </c>
      <c r="Y2464">
        <v>-5.5185049999999999E-2</v>
      </c>
      <c r="Z2464">
        <v>1.78787E-3</v>
      </c>
      <c r="AA2464">
        <v>0.99847450000000004</v>
      </c>
      <c r="AB2464">
        <v>43</v>
      </c>
      <c r="AC2464">
        <v>31.013699999999901</v>
      </c>
      <c r="AD2464">
        <v>-1.109659243759</v>
      </c>
      <c r="AE2464">
        <v>1.1182000000000001</v>
      </c>
      <c r="AF2464">
        <v>-1.7369874693896501</v>
      </c>
      <c r="AG2464">
        <v>-1.109659243759</v>
      </c>
      <c r="AH2464">
        <v>30.945514392960799</v>
      </c>
      <c r="AI2464">
        <v>92.050435111545696</v>
      </c>
      <c r="AJ2464">
        <v>93.212670106285103</v>
      </c>
      <c r="AK2464">
        <v>31.0140827713963</v>
      </c>
      <c r="AL2464">
        <v>93.968909920347599</v>
      </c>
      <c r="AM2464">
        <v>93.938796203248103</v>
      </c>
      <c r="AN2464">
        <v>0.99999998480283603</v>
      </c>
    </row>
    <row r="2465" spans="1:40" x14ac:dyDescent="0.25">
      <c r="A2465" t="str">
        <f>"20190305135634279"</f>
        <v>20190305135634279</v>
      </c>
      <c r="B2465" t="str">
        <f>"1551765394274868"</f>
        <v>1551765394274868</v>
      </c>
      <c r="C2465" t="s">
        <v>40</v>
      </c>
      <c r="D2465">
        <v>4.2110900000000004</v>
      </c>
      <c r="E2465">
        <v>0.50659319999999997</v>
      </c>
      <c r="F2465" t="s">
        <v>55</v>
      </c>
      <c r="G2465">
        <v>-243.72210000000001</v>
      </c>
      <c r="H2465" s="1">
        <v>3.8703549999999999E-7</v>
      </c>
      <c r="I2465">
        <v>215.91829999999999</v>
      </c>
      <c r="J2465">
        <v>-276.8399</v>
      </c>
      <c r="K2465">
        <v>1.1097129999999999</v>
      </c>
      <c r="L2465">
        <v>214.72460000000001</v>
      </c>
      <c r="M2465">
        <v>0.99971220000000005</v>
      </c>
      <c r="N2465">
        <v>-1.448412E-2</v>
      </c>
      <c r="O2465">
        <v>-1.9132719999999999E-2</v>
      </c>
      <c r="P2465">
        <v>0.99523720000000004</v>
      </c>
      <c r="Q2465">
        <v>-8.3241209999999996E-2</v>
      </c>
      <c r="R2465">
        <v>5.073329E-2</v>
      </c>
      <c r="S2465">
        <v>3.00061</v>
      </c>
      <c r="T2465">
        <v>-9.9152569999999995E-2</v>
      </c>
      <c r="U2465">
        <v>0.105896</v>
      </c>
      <c r="V2465">
        <v>-6.9628699999999905E-2</v>
      </c>
      <c r="W2465">
        <v>-6.8974430000000003E-2</v>
      </c>
      <c r="X2465">
        <v>0.9951856</v>
      </c>
      <c r="Y2465">
        <v>-5.4339980000000003E-2</v>
      </c>
      <c r="Z2465">
        <v>1.645999E-3</v>
      </c>
      <c r="AA2465">
        <v>0.99852110000000005</v>
      </c>
      <c r="AB2465">
        <v>43</v>
      </c>
      <c r="AC2465">
        <v>33.117799999999903</v>
      </c>
      <c r="AD2465">
        <v>-1.1097126129645001</v>
      </c>
      <c r="AE2465">
        <v>1.19369999999997</v>
      </c>
      <c r="AF2465">
        <v>-1.82513483266212</v>
      </c>
      <c r="AG2465">
        <v>-1.1097126129645001</v>
      </c>
      <c r="AH2465">
        <v>33.051833408367401</v>
      </c>
      <c r="AI2465">
        <v>91.920055788060907</v>
      </c>
      <c r="AJ2465">
        <v>93.1606847656887</v>
      </c>
      <c r="AK2465">
        <v>33.120783065852201</v>
      </c>
      <c r="AL2465">
        <v>93.955083991982605</v>
      </c>
      <c r="AM2465">
        <v>94.002208270951101</v>
      </c>
      <c r="AN2465">
        <v>1.0000000031524301</v>
      </c>
    </row>
    <row r="2466" spans="1:40" x14ac:dyDescent="0.25">
      <c r="A2466" t="str">
        <f>"20190305135634298"</f>
        <v>20190305135634298</v>
      </c>
      <c r="B2466" t="str">
        <f>"1551765394294388"</f>
        <v>1551765394294388</v>
      </c>
      <c r="C2466" t="s">
        <v>40</v>
      </c>
      <c r="D2466">
        <v>4.2420039999999997</v>
      </c>
      <c r="E2466">
        <v>0.50684359999999995</v>
      </c>
      <c r="F2466" t="s">
        <v>55</v>
      </c>
      <c r="G2466">
        <v>-239.6884</v>
      </c>
      <c r="H2466" s="1">
        <v>3.554992E-6</v>
      </c>
      <c r="I2466">
        <v>216.07820000000001</v>
      </c>
      <c r="J2466">
        <v>-276.48649999999998</v>
      </c>
      <c r="K2466">
        <v>1.1097459999999999</v>
      </c>
      <c r="L2466">
        <v>214.71850000000001</v>
      </c>
      <c r="M2466">
        <v>0.99972519999999998</v>
      </c>
      <c r="N2466">
        <v>-1.448228E-2</v>
      </c>
      <c r="O2466">
        <v>-1.843086E-2</v>
      </c>
      <c r="P2466">
        <v>0.99518430000000002</v>
      </c>
      <c r="Q2466">
        <v>-8.2797229999999999E-2</v>
      </c>
      <c r="R2466">
        <v>5.2469149999999999E-2</v>
      </c>
      <c r="S2466">
        <v>3.0012819999999998</v>
      </c>
      <c r="T2466">
        <v>-8.9647889999999994E-2</v>
      </c>
      <c r="U2466">
        <v>0.1093445</v>
      </c>
      <c r="V2466">
        <v>-7.0661489999999993E-2</v>
      </c>
      <c r="W2466">
        <v>-6.8540149999999994E-2</v>
      </c>
      <c r="X2466">
        <v>0.99514279999999999</v>
      </c>
      <c r="Y2466">
        <v>-5.4784399999999997E-2</v>
      </c>
      <c r="Z2466">
        <v>1.49817299999999E-3</v>
      </c>
      <c r="AA2466">
        <v>0.99849710000000003</v>
      </c>
      <c r="AB2466">
        <v>43</v>
      </c>
      <c r="AC2466">
        <v>36.798099999999899</v>
      </c>
      <c r="AD2466">
        <v>-1.10974244500799</v>
      </c>
      <c r="AE2466">
        <v>1.3596999999999999</v>
      </c>
      <c r="AF2466">
        <v>-2.0359116862745901</v>
      </c>
      <c r="AG2466">
        <v>-1.10974244500799</v>
      </c>
      <c r="AH2466">
        <v>36.733422196023803</v>
      </c>
      <c r="AI2466">
        <v>91.727769315825199</v>
      </c>
      <c r="AJ2466">
        <v>93.1723133385252</v>
      </c>
      <c r="AK2466">
        <v>36.806531633935499</v>
      </c>
      <c r="AL2466">
        <v>93.930142585426196</v>
      </c>
      <c r="AM2466">
        <v>94.061549188465705</v>
      </c>
      <c r="AN2466">
        <v>0.99999999536144102</v>
      </c>
    </row>
    <row r="2467" spans="1:40" x14ac:dyDescent="0.25">
      <c r="A2467" t="str">
        <f>"20190305135634320"</f>
        <v>20190305135634320</v>
      </c>
      <c r="B2467" t="str">
        <f>"1551765394314885"</f>
        <v>1551765394314885</v>
      </c>
      <c r="C2467" t="s">
        <v>40</v>
      </c>
      <c r="D2467">
        <v>4.2216120000000004</v>
      </c>
      <c r="E2467">
        <v>0.5071291</v>
      </c>
      <c r="F2467" t="s">
        <v>55</v>
      </c>
      <c r="G2467">
        <v>-236.23670000000001</v>
      </c>
      <c r="H2467" s="1">
        <v>1.7113419999999999E-6</v>
      </c>
      <c r="I2467">
        <v>216.23500000000001</v>
      </c>
      <c r="J2467">
        <v>-276.04899999999998</v>
      </c>
      <c r="K2467">
        <v>1.10978</v>
      </c>
      <c r="L2467">
        <v>214.71109999999999</v>
      </c>
      <c r="M2467">
        <v>0.9997412</v>
      </c>
      <c r="N2467">
        <v>-1.4479799999999999E-2</v>
      </c>
      <c r="O2467">
        <v>-1.7547940000000001E-2</v>
      </c>
      <c r="P2467">
        <v>0.99510480000000001</v>
      </c>
      <c r="Q2467">
        <v>-8.2653980000000002E-2</v>
      </c>
      <c r="R2467">
        <v>5.4175199999999903E-2</v>
      </c>
      <c r="S2467">
        <v>3.001709</v>
      </c>
      <c r="T2467">
        <v>-8.276153E-2</v>
      </c>
      <c r="U2467">
        <v>0.11309809999999999</v>
      </c>
      <c r="V2467">
        <v>-7.1483500000000005E-2</v>
      </c>
      <c r="W2467">
        <v>-6.8406990000000001E-2</v>
      </c>
      <c r="X2467">
        <v>0.99509329999999996</v>
      </c>
      <c r="Y2467">
        <v>-5.5149299999999998E-2</v>
      </c>
      <c r="Z2467">
        <v>1.389014E-3</v>
      </c>
      <c r="AA2467">
        <v>0.99847719999999995</v>
      </c>
      <c r="AB2467">
        <v>43</v>
      </c>
      <c r="AC2467">
        <v>39.8123</v>
      </c>
      <c r="AD2467">
        <v>-1.1097782886580001</v>
      </c>
      <c r="AE2467">
        <v>1.52390000000002</v>
      </c>
      <c r="AF2467">
        <v>-2.22063940572896</v>
      </c>
      <c r="AG2467">
        <v>-1.1097782886580001</v>
      </c>
      <c r="AH2467">
        <v>39.748583764157097</v>
      </c>
      <c r="AI2467">
        <v>91.596790896034193</v>
      </c>
      <c r="AJ2467">
        <v>93.197626940935194</v>
      </c>
      <c r="AK2467">
        <v>39.826031166518</v>
      </c>
      <c r="AL2467">
        <v>93.922494949491806</v>
      </c>
      <c r="AM2467">
        <v>94.108840269360897</v>
      </c>
      <c r="AN2467">
        <v>1.00000004137899</v>
      </c>
    </row>
    <row r="2468" spans="1:40" x14ac:dyDescent="0.25">
      <c r="A2468" t="str">
        <f>"20190305135634343"</f>
        <v>20190305135634343</v>
      </c>
      <c r="B2468" t="str">
        <f>"1551765394334404"</f>
        <v>1551765394334404</v>
      </c>
      <c r="C2468" t="s">
        <v>40</v>
      </c>
      <c r="D2468">
        <v>4.2440509999999998</v>
      </c>
      <c r="E2468">
        <v>0.50740829999999904</v>
      </c>
      <c r="F2468" t="s">
        <v>55</v>
      </c>
      <c r="G2468">
        <v>-233.63030000000001</v>
      </c>
      <c r="H2468" s="1">
        <v>3.190931E-7</v>
      </c>
      <c r="I2468">
        <v>216.35480000000001</v>
      </c>
      <c r="J2468">
        <v>-275.60969999999998</v>
      </c>
      <c r="K2468">
        <v>1.1098059999999901</v>
      </c>
      <c r="L2468">
        <v>214.70419999999999</v>
      </c>
      <c r="M2468">
        <v>0.99975650000000005</v>
      </c>
      <c r="N2468">
        <v>-1.4477220000000001E-2</v>
      </c>
      <c r="O2468">
        <v>-1.6657979999999999E-2</v>
      </c>
      <c r="P2468">
        <v>0.99498180000000003</v>
      </c>
      <c r="Q2468">
        <v>-8.2707810000000007E-2</v>
      </c>
      <c r="R2468">
        <v>5.631013E-2</v>
      </c>
      <c r="S2468">
        <v>3.001862</v>
      </c>
      <c r="T2468">
        <v>-7.8536270000000005E-2</v>
      </c>
      <c r="U2468">
        <v>0.1163177</v>
      </c>
      <c r="V2468">
        <v>-7.2726780000000005E-2</v>
      </c>
      <c r="W2468">
        <v>-6.8471279999999995E-2</v>
      </c>
      <c r="X2468">
        <v>0.99499879999999996</v>
      </c>
      <c r="Y2468">
        <v>-5.5330820000000003E-2</v>
      </c>
      <c r="Z2468">
        <v>1.318741E-3</v>
      </c>
      <c r="AA2468">
        <v>0.9984672</v>
      </c>
      <c r="AB2468">
        <v>43</v>
      </c>
      <c r="AC2468">
        <v>41.979399999999899</v>
      </c>
      <c r="AD2468">
        <v>-1.1098056809068999</v>
      </c>
      <c r="AE2468">
        <v>1.6506000000000201</v>
      </c>
      <c r="AF2468">
        <v>-2.3480976000318301</v>
      </c>
      <c r="AG2468">
        <v>-1.1098056809068999</v>
      </c>
      <c r="AH2468">
        <v>41.9168245597902</v>
      </c>
      <c r="AI2468">
        <v>91.514257467244605</v>
      </c>
      <c r="AJ2468">
        <v>93.206245286006407</v>
      </c>
      <c r="AK2468">
        <v>41.997207194822899</v>
      </c>
      <c r="AL2468">
        <v>93.926187093234006</v>
      </c>
      <c r="AM2468">
        <v>94.180447898439596</v>
      </c>
      <c r="AN2468">
        <v>1.00000005635772</v>
      </c>
    </row>
    <row r="2469" spans="1:40" x14ac:dyDescent="0.25">
      <c r="A2469" t="str">
        <f>"20190305135634365"</f>
        <v>20190305135634365</v>
      </c>
      <c r="B2469" t="str">
        <f>"1551765394354901"</f>
        <v>1551765394354901</v>
      </c>
      <c r="C2469" t="s">
        <v>40</v>
      </c>
      <c r="D2469">
        <v>4.2607089999999896</v>
      </c>
      <c r="E2469">
        <v>0.50763579999999997</v>
      </c>
      <c r="F2469" t="s">
        <v>55</v>
      </c>
      <c r="G2469">
        <v>-231.69479999999999</v>
      </c>
      <c r="H2469" s="1">
        <v>-7.158263E-7</v>
      </c>
      <c r="I2469">
        <v>216.4675</v>
      </c>
      <c r="J2469">
        <v>-275.18090000000001</v>
      </c>
      <c r="K2469">
        <v>1.1098209999999999</v>
      </c>
      <c r="L2469">
        <v>214.6977</v>
      </c>
      <c r="M2469">
        <v>0.99977050000000001</v>
      </c>
      <c r="N2469">
        <v>-1.4474799999999999E-2</v>
      </c>
      <c r="O2469">
        <v>-1.5796660000000001E-2</v>
      </c>
      <c r="P2469">
        <v>0.99489669999999997</v>
      </c>
      <c r="Q2469">
        <v>-8.2696480000000003E-2</v>
      </c>
      <c r="R2469">
        <v>5.7810170000000001E-2</v>
      </c>
      <c r="S2469">
        <v>3.002014</v>
      </c>
      <c r="T2469">
        <v>-7.5866100000000006E-2</v>
      </c>
      <c r="U2469">
        <v>0.1205444</v>
      </c>
      <c r="V2469">
        <v>-7.3367290000000002E-2</v>
      </c>
      <c r="W2469">
        <v>-6.8466780000000005E-2</v>
      </c>
      <c r="X2469">
        <v>0.99495199999999995</v>
      </c>
      <c r="Y2469">
        <v>-5.5873810000000003E-2</v>
      </c>
      <c r="Z2469">
        <v>1.280741E-3</v>
      </c>
      <c r="AA2469">
        <v>0.99843700000000002</v>
      </c>
      <c r="AB2469">
        <v>43</v>
      </c>
      <c r="AC2469">
        <v>43.4861</v>
      </c>
      <c r="AD2469">
        <v>-1.1098217158263</v>
      </c>
      <c r="AE2469">
        <v>1.7698</v>
      </c>
      <c r="AF2469">
        <v>-2.4549898204587701</v>
      </c>
      <c r="AG2469">
        <v>-1.1098217158263</v>
      </c>
      <c r="AH2469">
        <v>43.424475845432902</v>
      </c>
      <c r="AI2469">
        <v>91.461686049095107</v>
      </c>
      <c r="AJ2469">
        <v>93.235755434781098</v>
      </c>
      <c r="AK2469">
        <v>43.507973771598003</v>
      </c>
      <c r="AL2469">
        <v>93.925928992348702</v>
      </c>
      <c r="AM2469">
        <v>94.217330803106293</v>
      </c>
      <c r="AN2469">
        <v>0.999999970754755</v>
      </c>
    </row>
    <row r="2470" spans="1:40" x14ac:dyDescent="0.25">
      <c r="A2470" t="str">
        <f>"20190305135634386"</f>
        <v>20190305135634386</v>
      </c>
      <c r="B2470" t="str">
        <f>"1551765394374421"</f>
        <v>1551765394374421</v>
      </c>
      <c r="C2470" t="s">
        <v>40</v>
      </c>
      <c r="D2470">
        <v>4.2650040000000002</v>
      </c>
      <c r="E2470">
        <v>0.50780839999999905</v>
      </c>
      <c r="F2470" t="s">
        <v>55</v>
      </c>
      <c r="G2470">
        <v>-229.56219999999999</v>
      </c>
      <c r="H2470" s="1">
        <v>3.466062E-6</v>
      </c>
      <c r="I2470">
        <v>216.57669999999999</v>
      </c>
      <c r="J2470">
        <v>-274.77929999999998</v>
      </c>
      <c r="K2470">
        <v>1.1098319999999999</v>
      </c>
      <c r="L2470">
        <v>214.69200000000001</v>
      </c>
      <c r="M2470">
        <v>0.99978279999999997</v>
      </c>
      <c r="N2470">
        <v>-1.447238E-2</v>
      </c>
      <c r="O2470">
        <v>-1.5005299999999999E-2</v>
      </c>
      <c r="P2470">
        <v>0.99485820000000003</v>
      </c>
      <c r="Q2470">
        <v>-8.2084950000000004E-2</v>
      </c>
      <c r="R2470">
        <v>5.9325360000000001E-2</v>
      </c>
      <c r="S2470">
        <v>3.0021360000000001</v>
      </c>
      <c r="T2470">
        <v>-7.3036429999999999E-2</v>
      </c>
      <c r="U2470">
        <v>0.12365719999999999</v>
      </c>
      <c r="V2470">
        <v>-7.4095759999999997E-2</v>
      </c>
      <c r="W2470">
        <v>-6.7860219999999999E-2</v>
      </c>
      <c r="X2470">
        <v>0.99493960000000004</v>
      </c>
      <c r="Y2470">
        <v>-5.6117189999999997E-2</v>
      </c>
      <c r="Z2470">
        <v>1.23639E-3</v>
      </c>
      <c r="AA2470">
        <v>0.99842339999999996</v>
      </c>
      <c r="AB2470">
        <v>43</v>
      </c>
      <c r="AC2470">
        <v>45.217099999999903</v>
      </c>
      <c r="AD2470">
        <v>-1.1098285339380001</v>
      </c>
      <c r="AE2470">
        <v>1.8846999999999801</v>
      </c>
      <c r="AF2470">
        <v>-2.5615144393333602</v>
      </c>
      <c r="AG2470">
        <v>-1.1098285339380001</v>
      </c>
      <c r="AH2470">
        <v>45.156568203964603</v>
      </c>
      <c r="AI2470">
        <v>91.4056359158307</v>
      </c>
      <c r="AJ2470">
        <v>93.246634082193694</v>
      </c>
      <c r="AK2470">
        <v>45.2427754183689</v>
      </c>
      <c r="AL2470">
        <v>93.891094532228806</v>
      </c>
      <c r="AM2470">
        <v>94.259104590779202</v>
      </c>
      <c r="AN2470">
        <v>0.99999999937829298</v>
      </c>
    </row>
    <row r="2471" spans="1:40" x14ac:dyDescent="0.25">
      <c r="A2471" t="str">
        <f>"20190305135634410"</f>
        <v>20190305135634410</v>
      </c>
      <c r="B2471" t="str">
        <f>"1551765394404676"</f>
        <v>1551765394404676</v>
      </c>
      <c r="C2471" t="s">
        <v>40</v>
      </c>
      <c r="D2471">
        <v>4.3561629999999996</v>
      </c>
      <c r="E2471">
        <v>0.50724440000000004</v>
      </c>
      <c r="F2471" t="s">
        <v>55</v>
      </c>
      <c r="G2471">
        <v>-225.74420000000001</v>
      </c>
      <c r="H2471" s="1">
        <v>1.426001E-6</v>
      </c>
      <c r="I2471">
        <v>216.76669999999999</v>
      </c>
      <c r="J2471">
        <v>-274.3227</v>
      </c>
      <c r="K2471">
        <v>1.109834</v>
      </c>
      <c r="L2471">
        <v>214.6859</v>
      </c>
      <c r="M2471">
        <v>0.99979560000000001</v>
      </c>
      <c r="N2471">
        <v>-1.446948E-2</v>
      </c>
      <c r="O2471">
        <v>-1.412619E-2</v>
      </c>
      <c r="P2471">
        <v>0.99475599999999997</v>
      </c>
      <c r="Q2471">
        <v>-8.2363720000000001E-2</v>
      </c>
      <c r="R2471">
        <v>6.0638949999999997E-2</v>
      </c>
      <c r="S2471">
        <v>3.0023499999999999</v>
      </c>
      <c r="T2471">
        <v>-6.7953349999999996E-2</v>
      </c>
      <c r="U2471">
        <v>0.12702939999999999</v>
      </c>
      <c r="V2471">
        <v>-7.4533630000000003E-2</v>
      </c>
      <c r="W2471">
        <v>-6.8143209999999996E-2</v>
      </c>
      <c r="X2471">
        <v>0.99488750000000004</v>
      </c>
      <c r="Y2471">
        <v>-5.6358890000000002E-2</v>
      </c>
      <c r="Z2471">
        <v>1.160718E-3</v>
      </c>
      <c r="AA2471">
        <v>0.99840989999999996</v>
      </c>
      <c r="AB2471">
        <v>43</v>
      </c>
      <c r="AC2471">
        <v>48.578499999999899</v>
      </c>
      <c r="AD2471">
        <v>-1.109832573999</v>
      </c>
      <c r="AE2471">
        <v>2.08079999999998</v>
      </c>
      <c r="AF2471">
        <v>-2.76545247271501</v>
      </c>
      <c r="AG2471">
        <v>-1.109832573999</v>
      </c>
      <c r="AH2471">
        <v>48.518977015700997</v>
      </c>
      <c r="AI2471">
        <v>91.3082437824755</v>
      </c>
      <c r="AJ2471">
        <v>93.262177287724299</v>
      </c>
      <c r="AK2471">
        <v>48.610395867255399</v>
      </c>
      <c r="AL2471">
        <v>93.907346484068896</v>
      </c>
      <c r="AM2471">
        <v>94.284403914546402</v>
      </c>
      <c r="AN2471">
        <v>0.99999994836316397</v>
      </c>
    </row>
    <row r="2472" spans="1:40" x14ac:dyDescent="0.25">
      <c r="A2472" t="str">
        <f>"20190305135634432"</f>
        <v>20190305135634432</v>
      </c>
      <c r="B2472" t="str">
        <f>"1551765394424196"</f>
        <v>1551765394424196</v>
      </c>
      <c r="C2472" t="s">
        <v>40</v>
      </c>
      <c r="D2472">
        <v>4.3430900000000001</v>
      </c>
      <c r="E2472">
        <v>0.50705109999999998</v>
      </c>
      <c r="F2472" t="s">
        <v>55</v>
      </c>
      <c r="G2472">
        <v>-227.1086</v>
      </c>
      <c r="H2472" s="1">
        <v>2.1499809999999999E-6</v>
      </c>
      <c r="I2472">
        <v>216.81460000000001</v>
      </c>
      <c r="J2472">
        <v>-273.899</v>
      </c>
      <c r="K2472">
        <v>1.1098269999999999</v>
      </c>
      <c r="L2472">
        <v>214.6806</v>
      </c>
      <c r="M2472">
        <v>0.99980650000000004</v>
      </c>
      <c r="N2472">
        <v>-1.446659E-2</v>
      </c>
      <c r="O2472">
        <v>-1.3334779999999999E-2</v>
      </c>
      <c r="P2472">
        <v>0.99462320000000004</v>
      </c>
      <c r="Q2472">
        <v>-8.2986459999999998E-2</v>
      </c>
      <c r="R2472">
        <v>6.1952279999999998E-2</v>
      </c>
      <c r="S2472">
        <v>3.0016780000000001</v>
      </c>
      <c r="T2472">
        <v>-7.0558549999999998E-2</v>
      </c>
      <c r="U2472">
        <v>0.13533020000000001</v>
      </c>
      <c r="V2472">
        <v>-7.505792E-2</v>
      </c>
      <c r="W2472">
        <v>-6.8769830000000004E-2</v>
      </c>
      <c r="X2472">
        <v>0.99480500000000005</v>
      </c>
      <c r="Y2472">
        <v>-5.8331189999999998E-2</v>
      </c>
      <c r="Z2472">
        <v>1.227857E-3</v>
      </c>
      <c r="AA2472">
        <v>0.99829659999999998</v>
      </c>
      <c r="AB2472">
        <v>43</v>
      </c>
      <c r="AC2472">
        <v>46.790399999999998</v>
      </c>
      <c r="AD2472">
        <v>-1.109824850019</v>
      </c>
      <c r="AE2472">
        <v>2.1340000000000101</v>
      </c>
      <c r="AF2472">
        <v>-2.7562677275645799</v>
      </c>
      <c r="AG2472">
        <v>-1.109824850019</v>
      </c>
      <c r="AH2472">
        <v>46.731543169178998</v>
      </c>
      <c r="AI2472">
        <v>91.358099281653097</v>
      </c>
      <c r="AJ2472">
        <v>93.3754452463983</v>
      </c>
      <c r="AK2472">
        <v>46.825910028066403</v>
      </c>
      <c r="AL2472">
        <v>93.943333447487504</v>
      </c>
      <c r="AM2472">
        <v>94.314784633946999</v>
      </c>
      <c r="AN2472">
        <v>0.99999998444897698</v>
      </c>
    </row>
    <row r="2473" spans="1:40" x14ac:dyDescent="0.25">
      <c r="A2473" t="str">
        <f>"20190305135634454"</f>
        <v>20190305135634454</v>
      </c>
      <c r="B2473" t="str">
        <f>"1551765394444692"</f>
        <v>1551765394444692</v>
      </c>
      <c r="C2473" t="s">
        <v>40</v>
      </c>
      <c r="D2473">
        <v>4.3569579999999997</v>
      </c>
      <c r="E2473">
        <v>0.50686209999999998</v>
      </c>
      <c r="F2473" t="s">
        <v>55</v>
      </c>
      <c r="G2473">
        <v>-227.1414</v>
      </c>
      <c r="H2473" s="1">
        <v>2.1646110000000001E-6</v>
      </c>
      <c r="I2473">
        <v>216.87889999999999</v>
      </c>
      <c r="J2473">
        <v>-273.46460000000002</v>
      </c>
      <c r="K2473">
        <v>1.109818</v>
      </c>
      <c r="L2473">
        <v>214.6755</v>
      </c>
      <c r="M2473">
        <v>0.99981679999999995</v>
      </c>
      <c r="N2473">
        <v>-1.446382E-2</v>
      </c>
      <c r="O2473">
        <v>-1.2542930000000001E-2</v>
      </c>
      <c r="P2473">
        <v>0.99455729999999998</v>
      </c>
      <c r="Q2473">
        <v>-8.2801420000000001E-2</v>
      </c>
      <c r="R2473">
        <v>6.3246590000000005E-2</v>
      </c>
      <c r="S2473">
        <v>3.0014949999999998</v>
      </c>
      <c r="T2473">
        <v>-7.1242689999999997E-2</v>
      </c>
      <c r="U2473">
        <v>0.141113299999999</v>
      </c>
      <c r="V2473">
        <v>-7.5566419999999995E-2</v>
      </c>
      <c r="W2473">
        <v>-6.8587140000000005E-2</v>
      </c>
      <c r="X2473">
        <v>0.99477910000000003</v>
      </c>
      <c r="Y2473">
        <v>-5.9461710000000001E-2</v>
      </c>
      <c r="Z2473">
        <v>1.2517909999999999E-3</v>
      </c>
      <c r="AA2473">
        <v>0.99822979999999994</v>
      </c>
      <c r="AB2473">
        <v>43</v>
      </c>
      <c r="AC2473">
        <v>46.3232</v>
      </c>
      <c r="AD2473">
        <v>-1.109815835389</v>
      </c>
      <c r="AE2473">
        <v>2.2033999999999798</v>
      </c>
      <c r="AF2473">
        <v>-2.7827223752349401</v>
      </c>
      <c r="AG2473">
        <v>-1.109815835389</v>
      </c>
      <c r="AH2473">
        <v>46.265419247426301</v>
      </c>
      <c r="AI2473">
        <v>91.371670888853799</v>
      </c>
      <c r="AJ2473">
        <v>93.442017871689202</v>
      </c>
      <c r="AK2473">
        <v>46.3623150106446</v>
      </c>
      <c r="AL2473">
        <v>93.932841369817297</v>
      </c>
      <c r="AM2473">
        <v>94.344017451317001</v>
      </c>
      <c r="AN2473">
        <v>0.99999996870090202</v>
      </c>
    </row>
    <row r="2474" spans="1:40" x14ac:dyDescent="0.25">
      <c r="A2474" t="str">
        <f>"20190305135634479"</f>
        <v>20190305135634479</v>
      </c>
      <c r="B2474" t="str">
        <f>"1551765394474948"</f>
        <v>1551765394474948</v>
      </c>
      <c r="C2474" t="s">
        <v>40</v>
      </c>
      <c r="D2474">
        <v>4.3259559999999997</v>
      </c>
      <c r="E2474">
        <v>0.50649239999999995</v>
      </c>
      <c r="F2474" t="s">
        <v>55</v>
      </c>
      <c r="G2474">
        <v>-226.0573</v>
      </c>
      <c r="H2474" s="1">
        <v>1.582835E-6</v>
      </c>
      <c r="I2474">
        <v>216.99080000000001</v>
      </c>
      <c r="J2474">
        <v>-272.9984</v>
      </c>
      <c r="K2474">
        <v>1.1098110000000001</v>
      </c>
      <c r="L2474">
        <v>214.6703</v>
      </c>
      <c r="M2474">
        <v>0.99982689999999996</v>
      </c>
      <c r="N2474">
        <v>-1.446093E-2</v>
      </c>
      <c r="O2474">
        <v>-1.1713680000000001E-2</v>
      </c>
      <c r="P2474">
        <v>0.99451000000000001</v>
      </c>
      <c r="Q2474">
        <v>-8.2673010000000005E-2</v>
      </c>
      <c r="R2474">
        <v>6.4150799999999994E-2</v>
      </c>
      <c r="S2474">
        <v>3.0012509999999999</v>
      </c>
      <c r="T2474">
        <v>-7.0260050000000004E-2</v>
      </c>
      <c r="U2474">
        <v>0.14657590000000001</v>
      </c>
      <c r="V2474">
        <v>-7.5648209999999994E-2</v>
      </c>
      <c r="W2474">
        <v>-6.8459549999999994E-2</v>
      </c>
      <c r="X2474">
        <v>0.99478169999999999</v>
      </c>
      <c r="Y2474">
        <v>-6.0450520000000001E-2</v>
      </c>
      <c r="Z2474">
        <v>1.249282E-3</v>
      </c>
      <c r="AA2474">
        <v>0.99817040000000001</v>
      </c>
      <c r="AB2474">
        <v>43</v>
      </c>
      <c r="AC2474">
        <v>46.941099999999999</v>
      </c>
      <c r="AD2474">
        <v>-1.1098094171649999</v>
      </c>
      <c r="AE2474">
        <v>2.3205</v>
      </c>
      <c r="AF2474">
        <v>-2.8686516570171001</v>
      </c>
      <c r="AG2474">
        <v>-1.1098094171649999</v>
      </c>
      <c r="AH2474">
        <v>46.884551102680497</v>
      </c>
      <c r="AI2474">
        <v>91.353471377804297</v>
      </c>
      <c r="AJ2474">
        <v>93.501302324638303</v>
      </c>
      <c r="AK2474">
        <v>46.985337833962603</v>
      </c>
      <c r="AL2474">
        <v>93.925513669710995</v>
      </c>
      <c r="AM2474">
        <v>94.348689889153107</v>
      </c>
      <c r="AN2474">
        <v>0.99999999615864799</v>
      </c>
    </row>
    <row r="2475" spans="1:40" x14ac:dyDescent="0.25">
      <c r="A2475" t="str">
        <f>"20190305135634499"</f>
        <v>20190305135634499</v>
      </c>
      <c r="B2475" t="str">
        <f>"1551765394494468"</f>
        <v>1551765394494468</v>
      </c>
      <c r="C2475" t="s">
        <v>40</v>
      </c>
      <c r="D2475">
        <v>4.339321</v>
      </c>
      <c r="E2475">
        <v>0.50635299999999905</v>
      </c>
      <c r="F2475" t="s">
        <v>55</v>
      </c>
      <c r="G2475">
        <v>-225.9914</v>
      </c>
      <c r="H2475" s="1">
        <v>1.5450259999999999E-6</v>
      </c>
      <c r="I2475">
        <v>217.05289999999999</v>
      </c>
      <c r="J2475">
        <v>-272.6071</v>
      </c>
      <c r="K2475">
        <v>1.1098079999999999</v>
      </c>
      <c r="L2475">
        <v>214.66630000000001</v>
      </c>
      <c r="M2475">
        <v>0.99983480000000002</v>
      </c>
      <c r="N2475">
        <v>-1.445857E-2</v>
      </c>
      <c r="O2475">
        <v>-1.1031859999999999E-2</v>
      </c>
      <c r="P2475">
        <v>0.99453309999999995</v>
      </c>
      <c r="Q2475">
        <v>-8.1996310000000003E-2</v>
      </c>
      <c r="R2475">
        <v>6.4661700000000003E-2</v>
      </c>
      <c r="S2475">
        <v>3.0008539999999999</v>
      </c>
      <c r="T2475">
        <v>-7.0848460000000002E-2</v>
      </c>
      <c r="U2475">
        <v>0.1520996</v>
      </c>
      <c r="V2475">
        <v>-7.5484750000000003E-2</v>
      </c>
      <c r="W2475">
        <v>-6.7782010000000004E-2</v>
      </c>
      <c r="X2475">
        <v>0.99484050000000002</v>
      </c>
      <c r="Y2475">
        <v>-6.1608139999999999E-2</v>
      </c>
      <c r="Z2475">
        <v>1.2733639999999999E-3</v>
      </c>
      <c r="AA2475">
        <v>0.99809959999999998</v>
      </c>
      <c r="AB2475">
        <v>43</v>
      </c>
      <c r="AC2475">
        <v>46.615699999999997</v>
      </c>
      <c r="AD2475">
        <v>-1.1098064549740001</v>
      </c>
      <c r="AE2475">
        <v>2.3865999999999801</v>
      </c>
      <c r="AF2475">
        <v>-2.8991273479009898</v>
      </c>
      <c r="AG2475">
        <v>-1.1098064549740001</v>
      </c>
      <c r="AH2475">
        <v>46.560209978268098</v>
      </c>
      <c r="AI2475">
        <v>91.362802020030003</v>
      </c>
      <c r="AJ2475">
        <v>93.562990552971499</v>
      </c>
      <c r="AK2475">
        <v>46.663580691662197</v>
      </c>
      <c r="AL2475">
        <v>93.8866031460459</v>
      </c>
      <c r="AM2475">
        <v>94.339073710524005</v>
      </c>
      <c r="AN2475">
        <v>0.99999998440122595</v>
      </c>
    </row>
    <row r="2476" spans="1:40" x14ac:dyDescent="0.25">
      <c r="A2476" t="str">
        <f>"20190305135634521"</f>
        <v>20190305135634521</v>
      </c>
      <c r="B2476" t="str">
        <f>"1551765394514965"</f>
        <v>1551765394514965</v>
      </c>
      <c r="C2476" t="s">
        <v>40</v>
      </c>
      <c r="D2476">
        <v>4.3473730000000002</v>
      </c>
      <c r="E2476">
        <v>0.50624579999999997</v>
      </c>
      <c r="F2476" t="s">
        <v>55</v>
      </c>
      <c r="G2476">
        <v>-224.73750000000001</v>
      </c>
      <c r="H2476" s="1">
        <v>8.7424259999999998E-7</v>
      </c>
      <c r="I2476">
        <v>217.13339999999999</v>
      </c>
      <c r="J2476">
        <v>-272.18259999999998</v>
      </c>
      <c r="K2476">
        <v>1.109804</v>
      </c>
      <c r="L2476">
        <v>214.66229999999999</v>
      </c>
      <c r="M2476">
        <v>0.99984249999999997</v>
      </c>
      <c r="N2476">
        <v>-1.445598E-2</v>
      </c>
      <c r="O2476">
        <v>-1.03038E-2</v>
      </c>
      <c r="P2476">
        <v>0.994556</v>
      </c>
      <c r="Q2476">
        <v>-8.1627599999999995E-2</v>
      </c>
      <c r="R2476">
        <v>6.4771819999999994E-2</v>
      </c>
      <c r="S2476">
        <v>3.000702</v>
      </c>
      <c r="T2476">
        <v>-6.9568160000000004E-2</v>
      </c>
      <c r="U2476">
        <v>0.154647799999999</v>
      </c>
      <c r="V2476">
        <v>-7.4874189999999993E-2</v>
      </c>
      <c r="W2476">
        <v>-6.7411410000000005E-2</v>
      </c>
      <c r="X2476">
        <v>0.99491180000000001</v>
      </c>
      <c r="Y2476">
        <v>-6.1730119999999999E-2</v>
      </c>
      <c r="Z2476">
        <v>1.251465E-3</v>
      </c>
      <c r="AA2476">
        <v>0.99809210000000004</v>
      </c>
      <c r="AB2476">
        <v>43</v>
      </c>
      <c r="AC2476">
        <v>47.445099999999897</v>
      </c>
      <c r="AD2476">
        <v>-1.1098031257573999</v>
      </c>
      <c r="AE2476">
        <v>2.4710999999999999</v>
      </c>
      <c r="AF2476">
        <v>-2.95827041245709</v>
      </c>
      <c r="AG2476">
        <v>-1.1098031257573999</v>
      </c>
      <c r="AH2476">
        <v>47.391256305583298</v>
      </c>
      <c r="AI2476">
        <v>91.338895905977196</v>
      </c>
      <c r="AJ2476">
        <v>93.571898823284798</v>
      </c>
      <c r="AK2476">
        <v>47.496465142499297</v>
      </c>
      <c r="AL2476">
        <v>93.865320721459696</v>
      </c>
      <c r="AM2476">
        <v>94.303802150113299</v>
      </c>
      <c r="AN2476">
        <v>0.99999996615279096</v>
      </c>
    </row>
    <row r="2477" spans="1:40" x14ac:dyDescent="0.25">
      <c r="A2477" t="str">
        <f>"20190305135634554"</f>
        <v>20190305135634554</v>
      </c>
      <c r="B2477" t="str">
        <f>"1551765394544244"</f>
        <v>1551765394544244</v>
      </c>
      <c r="C2477" t="s">
        <v>40</v>
      </c>
      <c r="D2477">
        <v>4.3148059999999999</v>
      </c>
      <c r="E2477">
        <v>0.50624919999999995</v>
      </c>
      <c r="F2477" t="s">
        <v>55</v>
      </c>
      <c r="G2477">
        <v>-224.13290000000001</v>
      </c>
      <c r="H2477" s="1">
        <v>5.5155770000000002E-7</v>
      </c>
      <c r="I2477">
        <v>217.1558</v>
      </c>
      <c r="J2477">
        <v>-271.55990000000003</v>
      </c>
      <c r="K2477">
        <v>1.1097889999999999</v>
      </c>
      <c r="L2477">
        <v>214.6568</v>
      </c>
      <c r="M2477">
        <v>0.99985279999999999</v>
      </c>
      <c r="N2477">
        <v>-1.4452019999999999E-2</v>
      </c>
      <c r="O2477">
        <v>-9.2520510000000007E-3</v>
      </c>
      <c r="P2477">
        <v>0.99444929999999998</v>
      </c>
      <c r="Q2477">
        <v>-8.2557779999999997E-2</v>
      </c>
      <c r="R2477">
        <v>6.5229040000000002E-2</v>
      </c>
      <c r="S2477">
        <v>3.0005489999999999</v>
      </c>
      <c r="T2477">
        <v>-6.9303749999999997E-2</v>
      </c>
      <c r="U2477">
        <v>0.15571589999999999</v>
      </c>
      <c r="V2477">
        <v>-7.4285470000000006E-2</v>
      </c>
      <c r="W2477">
        <v>-6.8341680000000002E-2</v>
      </c>
      <c r="X2477">
        <v>0.99489249999999996</v>
      </c>
      <c r="Y2477">
        <v>-6.1037670000000002E-2</v>
      </c>
      <c r="Z2477">
        <v>1.2257189999999999E-3</v>
      </c>
      <c r="AA2477">
        <v>0.99813470000000004</v>
      </c>
      <c r="AB2477">
        <v>43</v>
      </c>
      <c r="AC2477">
        <v>47.427</v>
      </c>
      <c r="AD2477">
        <v>-1.1097884484423</v>
      </c>
      <c r="AE2477">
        <v>2.4989999999999899</v>
      </c>
      <c r="AF2477">
        <v>-2.9361326053130798</v>
      </c>
      <c r="AG2477">
        <v>-1.1097884484423</v>
      </c>
      <c r="AH2477">
        <v>47.375977146823999</v>
      </c>
      <c r="AI2477">
        <v>91.3393469400946</v>
      </c>
      <c r="AJ2477">
        <v>93.546377894532995</v>
      </c>
      <c r="AK2477">
        <v>47.479845362981898</v>
      </c>
      <c r="AL2477">
        <v>93.918744341353602</v>
      </c>
      <c r="AM2477">
        <v>94.270170447071493</v>
      </c>
      <c r="AN2477">
        <v>1.0000000014172901</v>
      </c>
    </row>
    <row r="2478" spans="1:40" x14ac:dyDescent="0.25">
      <c r="A2478" t="str">
        <f>"20190305135634575"</f>
        <v>20190305135634575</v>
      </c>
      <c r="B2478" t="str">
        <f>"1551765394564741"</f>
        <v>1551765394564741</v>
      </c>
      <c r="C2478" t="s">
        <v>40</v>
      </c>
      <c r="D2478">
        <v>4.3418109999999999</v>
      </c>
      <c r="E2478">
        <v>0.50622849999999997</v>
      </c>
      <c r="F2478" t="s">
        <v>55</v>
      </c>
      <c r="G2478">
        <v>-226.17089999999999</v>
      </c>
      <c r="H2478" s="1">
        <v>1.6414380000000001E-6</v>
      </c>
      <c r="I2478">
        <v>217.03299999999999</v>
      </c>
      <c r="J2478">
        <v>-271.14359999999999</v>
      </c>
      <c r="K2478">
        <v>1.109782</v>
      </c>
      <c r="L2478">
        <v>214.65360000000001</v>
      </c>
      <c r="M2478">
        <v>0.9998591</v>
      </c>
      <c r="N2478">
        <v>-1.444937E-2</v>
      </c>
      <c r="O2478">
        <v>-8.5559250000000007E-3</v>
      </c>
      <c r="P2478">
        <v>0.99441780000000002</v>
      </c>
      <c r="Q2478">
        <v>-8.2855780000000004E-2</v>
      </c>
      <c r="R2478">
        <v>6.5333840000000004E-2</v>
      </c>
      <c r="S2478">
        <v>3.000397</v>
      </c>
      <c r="T2478">
        <v>-7.3361399999999993E-2</v>
      </c>
      <c r="U2478">
        <v>0.15707399999999999</v>
      </c>
      <c r="V2478">
        <v>-7.3699470000000003E-2</v>
      </c>
      <c r="W2478">
        <v>-6.8638909999999997E-2</v>
      </c>
      <c r="X2478">
        <v>0.99491560000000001</v>
      </c>
      <c r="Y2478">
        <v>-6.0793390000000003E-2</v>
      </c>
      <c r="Z2478">
        <v>1.267734E-3</v>
      </c>
      <c r="AA2478">
        <v>0.99814959999999997</v>
      </c>
      <c r="AB2478">
        <v>43</v>
      </c>
      <c r="AC2478">
        <v>44.972700000000003</v>
      </c>
      <c r="AD2478">
        <v>-1.1097803585619901</v>
      </c>
      <c r="AE2478">
        <v>2.3793999999999702</v>
      </c>
      <c r="AF2478">
        <v>-2.7624585901984799</v>
      </c>
      <c r="AG2478">
        <v>-1.1097803585619901</v>
      </c>
      <c r="AH2478">
        <v>44.923414041521397</v>
      </c>
      <c r="AI2478">
        <v>91.412470421807399</v>
      </c>
      <c r="AJ2478">
        <v>93.518836957101698</v>
      </c>
      <c r="AK2478">
        <v>45.021949303120699</v>
      </c>
      <c r="AL2478">
        <v>93.935814528841306</v>
      </c>
      <c r="AM2478">
        <v>94.236510387105398</v>
      </c>
      <c r="AN2478">
        <v>0.99999998148381397</v>
      </c>
    </row>
    <row r="2479" spans="1:40" x14ac:dyDescent="0.25">
      <c r="A2479" t="str">
        <f>"20190305135634598"</f>
        <v>20190305135634598</v>
      </c>
      <c r="B2479" t="str">
        <f>"1551765394594996"</f>
        <v>1551765394594996</v>
      </c>
      <c r="C2479" t="s">
        <v>40</v>
      </c>
      <c r="D2479">
        <v>4.3224650000000002</v>
      </c>
      <c r="E2479">
        <v>0.50553289999999995</v>
      </c>
      <c r="F2479" t="s">
        <v>55</v>
      </c>
      <c r="G2479">
        <v>-224.57220000000001</v>
      </c>
      <c r="H2479" s="1">
        <v>7.8787470000000003E-7</v>
      </c>
      <c r="I2479">
        <v>217.09700000000001</v>
      </c>
      <c r="J2479">
        <v>-270.70859999999999</v>
      </c>
      <c r="K2479">
        <v>1.1097779999999999</v>
      </c>
      <c r="L2479">
        <v>214.65049999999999</v>
      </c>
      <c r="M2479">
        <v>0.99986509999999995</v>
      </c>
      <c r="N2479">
        <v>-1.4446870000000001E-2</v>
      </c>
      <c r="O2479">
        <v>-7.8327350000000004E-3</v>
      </c>
      <c r="P2479">
        <v>0.99438839999999995</v>
      </c>
      <c r="Q2479">
        <v>-8.2807800000000001E-2</v>
      </c>
      <c r="R2479">
        <v>6.5838729999999998E-2</v>
      </c>
      <c r="S2479">
        <v>3.0005489999999999</v>
      </c>
      <c r="T2479">
        <v>-7.1502209999999997E-2</v>
      </c>
      <c r="U2479">
        <v>0.15742490000000001</v>
      </c>
      <c r="V2479">
        <v>-7.3486709999999997E-2</v>
      </c>
      <c r="W2479">
        <v>-6.8590949999999998E-2</v>
      </c>
      <c r="X2479">
        <v>0.99493469999999995</v>
      </c>
      <c r="Y2479">
        <v>-6.0186749999999997E-2</v>
      </c>
      <c r="Z2479">
        <v>1.2251269999999999E-3</v>
      </c>
      <c r="AA2479">
        <v>0.99818640000000003</v>
      </c>
      <c r="AB2479">
        <v>43</v>
      </c>
      <c r="AC2479">
        <v>46.136399999999902</v>
      </c>
      <c r="AD2479">
        <v>-1.1097772121253</v>
      </c>
      <c r="AE2479">
        <v>2.4465000000000101</v>
      </c>
      <c r="AF2479">
        <v>-2.8062176500649501</v>
      </c>
      <c r="AG2479">
        <v>-1.1097772121253</v>
      </c>
      <c r="AH2479">
        <v>46.0892268215146</v>
      </c>
      <c r="AI2479">
        <v>91.376803287283806</v>
      </c>
      <c r="AJ2479">
        <v>93.4842455363288</v>
      </c>
      <c r="AK2479">
        <v>46.1879128340425</v>
      </c>
      <c r="AL2479">
        <v>93.933059916481199</v>
      </c>
      <c r="AM2479">
        <v>94.2242437127003</v>
      </c>
      <c r="AN2479">
        <v>1.0000000361163</v>
      </c>
    </row>
    <row r="2480" spans="1:40" x14ac:dyDescent="0.25">
      <c r="A2480" t="str">
        <f>"20190305135634621"</f>
        <v>20190305135634621</v>
      </c>
      <c r="B2480" t="str">
        <f>"1551765394614520"</f>
        <v>1551765394614520</v>
      </c>
      <c r="C2480" t="s">
        <v>40</v>
      </c>
      <c r="D2480">
        <v>4.3080319999999999</v>
      </c>
      <c r="E2480">
        <v>0.50512460000000003</v>
      </c>
      <c r="F2480" t="s">
        <v>55</v>
      </c>
      <c r="G2480">
        <v>-222.79429999999999</v>
      </c>
      <c r="H2480" s="1">
        <v>-1.662658E-7</v>
      </c>
      <c r="I2480">
        <v>217.2808</v>
      </c>
      <c r="J2480">
        <v>-270.26589999999999</v>
      </c>
      <c r="K2480">
        <v>1.1097709999999901</v>
      </c>
      <c r="L2480">
        <v>214.64769999999999</v>
      </c>
      <c r="M2480">
        <v>0.9998705</v>
      </c>
      <c r="N2480">
        <v>-1.444404E-2</v>
      </c>
      <c r="O2480">
        <v>-7.101553E-3</v>
      </c>
      <c r="P2480">
        <v>0.99438879999999996</v>
      </c>
      <c r="Q2480">
        <v>-8.2794199999999998E-2</v>
      </c>
      <c r="R2480">
        <v>6.5851389999999996E-2</v>
      </c>
      <c r="S2480">
        <v>3.0002439999999999</v>
      </c>
      <c r="T2480">
        <v>-6.9490910000000003E-2</v>
      </c>
      <c r="U2480">
        <v>0.1647034</v>
      </c>
      <c r="V2480">
        <v>-7.2774649999999996E-2</v>
      </c>
      <c r="W2480">
        <v>-6.8576189999999995E-2</v>
      </c>
      <c r="X2480">
        <v>0.99498799999999998</v>
      </c>
      <c r="Y2480">
        <v>-6.1877199999999903E-2</v>
      </c>
      <c r="Z2480">
        <v>1.2251439999999901E-3</v>
      </c>
      <c r="AA2480">
        <v>0.99808300000000005</v>
      </c>
      <c r="AB2480">
        <v>43</v>
      </c>
      <c r="AC2480">
        <v>47.471600000000002</v>
      </c>
      <c r="AD2480">
        <v>-1.1097711662658001</v>
      </c>
      <c r="AE2480">
        <v>2.63310000000001</v>
      </c>
      <c r="AF2480">
        <v>-2.9685734485899098</v>
      </c>
      <c r="AG2480">
        <v>-1.1097711662658001</v>
      </c>
      <c r="AH2480">
        <v>47.4258623680116</v>
      </c>
      <c r="AI2480">
        <v>91.337866473324993</v>
      </c>
      <c r="AJ2480">
        <v>93.581698010527901</v>
      </c>
      <c r="AK2480">
        <v>47.531636219582502</v>
      </c>
      <c r="AL2480">
        <v>93.932212448631702</v>
      </c>
      <c r="AM2480">
        <v>94.183235020132997</v>
      </c>
      <c r="AN2480">
        <v>0.99999998183076899</v>
      </c>
    </row>
    <row r="2481" spans="1:40" x14ac:dyDescent="0.25">
      <c r="A2481" t="str">
        <f>"20190305135634643"</f>
        <v>20190305135634643</v>
      </c>
      <c r="B2481" t="str">
        <f>"1551765394635013"</f>
        <v>1551765394635013</v>
      </c>
      <c r="C2481" t="s">
        <v>40</v>
      </c>
      <c r="D2481">
        <v>4.4025990000000004</v>
      </c>
      <c r="E2481">
        <v>0.50485249999999904</v>
      </c>
      <c r="F2481" t="s">
        <v>55</v>
      </c>
      <c r="G2481">
        <v>-220.72720000000001</v>
      </c>
      <c r="H2481" s="1">
        <v>-1.2725230000000001E-6</v>
      </c>
      <c r="I2481">
        <v>217.42420000000001</v>
      </c>
      <c r="J2481">
        <v>-269.84840000000003</v>
      </c>
      <c r="K2481">
        <v>1.1097619999999999</v>
      </c>
      <c r="L2481">
        <v>214.64529999999999</v>
      </c>
      <c r="M2481">
        <v>0.99987519999999996</v>
      </c>
      <c r="N2481">
        <v>-1.4441249999999999E-2</v>
      </c>
      <c r="O2481">
        <v>-6.4169739999999998E-3</v>
      </c>
      <c r="P2481">
        <v>0.99448449999999999</v>
      </c>
      <c r="Q2481">
        <v>-8.1605849999999994E-2</v>
      </c>
      <c r="R2481">
        <v>6.5888169999999996E-2</v>
      </c>
      <c r="S2481">
        <v>3.0002140000000002</v>
      </c>
      <c r="T2481">
        <v>-6.7211149999999997E-2</v>
      </c>
      <c r="U2481">
        <v>0.16815189999999999</v>
      </c>
      <c r="V2481">
        <v>-7.2134790000000004E-2</v>
      </c>
      <c r="W2481">
        <v>-6.7385730000000005E-2</v>
      </c>
      <c r="X2481">
        <v>0.99511590000000005</v>
      </c>
      <c r="Y2481">
        <v>-6.2339369999999998E-2</v>
      </c>
      <c r="Z2481">
        <v>1.199266E-3</v>
      </c>
      <c r="AA2481">
        <v>0.99805429999999995</v>
      </c>
      <c r="AB2481">
        <v>43</v>
      </c>
      <c r="AC2481">
        <v>49.121200000000002</v>
      </c>
      <c r="AD2481">
        <v>-1.109763272523</v>
      </c>
      <c r="AE2481">
        <v>2.7789000000000201</v>
      </c>
      <c r="AF2481">
        <v>-3.0925116613498398</v>
      </c>
      <c r="AG2481">
        <v>-1.109763272523</v>
      </c>
      <c r="AH2481">
        <v>49.077384565409403</v>
      </c>
      <c r="AI2481">
        <v>91.292817886253303</v>
      </c>
      <c r="AJ2481">
        <v>93.605609975366207</v>
      </c>
      <c r="AK2481">
        <v>49.187243048149398</v>
      </c>
      <c r="AL2481">
        <v>93.863846038301702</v>
      </c>
      <c r="AM2481">
        <v>94.146052332310404</v>
      </c>
      <c r="AN2481">
        <v>0.99999995948439202</v>
      </c>
    </row>
    <row r="2482" spans="1:40" x14ac:dyDescent="0.25">
      <c r="A2482" t="str">
        <f>"20190305135634671"</f>
        <v>20190305135634671</v>
      </c>
      <c r="B2482" t="str">
        <f>"1551765394664292"</f>
        <v>1551765394664292</v>
      </c>
      <c r="C2482" t="s">
        <v>40</v>
      </c>
      <c r="D2482">
        <v>4.3477379999999997</v>
      </c>
      <c r="E2482">
        <v>0.5042645</v>
      </c>
      <c r="F2482" t="s">
        <v>55</v>
      </c>
      <c r="G2482">
        <v>-214.9864</v>
      </c>
      <c r="H2482" s="1">
        <v>9.7898039999999991E-7</v>
      </c>
      <c r="I2482">
        <v>217.768</v>
      </c>
      <c r="J2482">
        <v>-269.3365</v>
      </c>
      <c r="K2482">
        <v>1.10975</v>
      </c>
      <c r="L2482">
        <v>214.64279999999999</v>
      </c>
      <c r="M2482">
        <v>0.99988030000000006</v>
      </c>
      <c r="N2482">
        <v>-1.4437810000000001E-2</v>
      </c>
      <c r="O2482">
        <v>-5.5838939999999998E-3</v>
      </c>
      <c r="P2482">
        <v>0.99448630000000005</v>
      </c>
      <c r="Q2482">
        <v>-8.1692329999999994E-2</v>
      </c>
      <c r="R2482">
        <v>6.5753790000000006E-2</v>
      </c>
      <c r="S2482">
        <v>3.0003359999999999</v>
      </c>
      <c r="T2482">
        <v>-6.0691479999999999E-2</v>
      </c>
      <c r="U2482">
        <v>0.17077639999999999</v>
      </c>
      <c r="V2482">
        <v>-7.1174409999999994E-2</v>
      </c>
      <c r="W2482">
        <v>-6.7470840000000004E-2</v>
      </c>
      <c r="X2482">
        <v>0.99517929999999999</v>
      </c>
      <c r="Y2482">
        <v>-6.2379759999999999E-2</v>
      </c>
      <c r="Z2482">
        <v>1.113422E-3</v>
      </c>
      <c r="AA2482">
        <v>0.99805189999999999</v>
      </c>
      <c r="AB2482">
        <v>43</v>
      </c>
      <c r="AC2482">
        <v>54.350099999999998</v>
      </c>
      <c r="AD2482">
        <v>-1.1097490210195999</v>
      </c>
      <c r="AE2482">
        <v>3.1252</v>
      </c>
      <c r="AF2482">
        <v>-3.4272438988211902</v>
      </c>
      <c r="AG2482">
        <v>-1.1097490210195999</v>
      </c>
      <c r="AH2482">
        <v>54.309232115295799</v>
      </c>
      <c r="AI2482">
        <v>91.168289571691204</v>
      </c>
      <c r="AJ2482">
        <v>93.610924982503704</v>
      </c>
      <c r="AK2482">
        <v>54.428579226218503</v>
      </c>
      <c r="AL2482">
        <v>93.868733545606602</v>
      </c>
      <c r="AM2482">
        <v>94.090782026530107</v>
      </c>
      <c r="AN2482">
        <v>0.99999997501882099</v>
      </c>
    </row>
    <row r="2483" spans="1:40" x14ac:dyDescent="0.25">
      <c r="A2483" t="str">
        <f>"20190305135634690"</f>
        <v>20190305135634690</v>
      </c>
      <c r="B2483" t="str">
        <f>"1551765394684788"</f>
        <v>1551765394684788</v>
      </c>
      <c r="C2483" t="s">
        <v>40</v>
      </c>
      <c r="D2483">
        <v>4.4384730000000001</v>
      </c>
      <c r="E2483">
        <v>0.50399830000000001</v>
      </c>
      <c r="F2483" t="s">
        <v>55</v>
      </c>
      <c r="G2483">
        <v>-211.84950000000001</v>
      </c>
      <c r="H2483" s="1">
        <v>-7.0051019999999995E-7</v>
      </c>
      <c r="I2483">
        <v>218.00030000000001</v>
      </c>
      <c r="J2483">
        <v>-268.95780000000002</v>
      </c>
      <c r="K2483">
        <v>1.1097379999999999</v>
      </c>
      <c r="L2483">
        <v>214.6412</v>
      </c>
      <c r="M2483">
        <v>0.99988350000000004</v>
      </c>
      <c r="N2483">
        <v>-1.443526E-2</v>
      </c>
      <c r="O2483">
        <v>-4.9721280000000001E-3</v>
      </c>
      <c r="P2483">
        <v>0.99453190000000002</v>
      </c>
      <c r="Q2483">
        <v>-8.1441600000000003E-2</v>
      </c>
      <c r="R2483">
        <v>6.5374370000000001E-2</v>
      </c>
      <c r="S2483">
        <v>3.0003359999999999</v>
      </c>
      <c r="T2483">
        <v>-5.7919619999999998E-2</v>
      </c>
      <c r="U2483">
        <v>0.1752319</v>
      </c>
      <c r="V2483">
        <v>-7.0189009999999996E-2</v>
      </c>
      <c r="W2483">
        <v>-6.7218079999999999E-2</v>
      </c>
      <c r="X2483">
        <v>0.9952664</v>
      </c>
      <c r="Y2483">
        <v>-6.3247620000000004E-2</v>
      </c>
      <c r="Z2483">
        <v>1.09107E-3</v>
      </c>
      <c r="AA2483">
        <v>0.99799729999999998</v>
      </c>
      <c r="AB2483">
        <v>43</v>
      </c>
      <c r="AC2483">
        <v>57.1083</v>
      </c>
      <c r="AD2483">
        <v>-1.1097387005102</v>
      </c>
      <c r="AE2483">
        <v>3.35910000000001</v>
      </c>
      <c r="AF2483">
        <v>-3.6416674322890099</v>
      </c>
      <c r="AG2483">
        <v>-1.1097387005102</v>
      </c>
      <c r="AH2483">
        <v>57.0694146600407</v>
      </c>
      <c r="AI2483">
        <v>91.111739504176498</v>
      </c>
      <c r="AJ2483">
        <v>93.651161729905297</v>
      </c>
      <c r="AK2483">
        <v>57.196252948164997</v>
      </c>
      <c r="AL2483">
        <v>93.854218464758205</v>
      </c>
      <c r="AM2483">
        <v>94.033982129792804</v>
      </c>
      <c r="AN2483">
        <v>0.999999987186313</v>
      </c>
    </row>
    <row r="2484" spans="1:40" x14ac:dyDescent="0.25">
      <c r="A2484" t="str">
        <f>"20190305135634711"</f>
        <v>20190305135634711</v>
      </c>
      <c r="B2484" t="str">
        <f>"1551765394704308"</f>
        <v>1551765394704308</v>
      </c>
      <c r="C2484" t="s">
        <v>40</v>
      </c>
      <c r="D2484">
        <v>4.3631690000000001</v>
      </c>
      <c r="E2484">
        <v>0.50370020000000004</v>
      </c>
      <c r="F2484" t="s">
        <v>54</v>
      </c>
      <c r="G2484">
        <v>-208.9057</v>
      </c>
      <c r="H2484" s="1">
        <v>5.8559429999999901E-6</v>
      </c>
      <c r="I2484">
        <v>218.1662</v>
      </c>
      <c r="J2484">
        <v>-268.56490000000002</v>
      </c>
      <c r="K2484">
        <v>1.1097250000000001</v>
      </c>
      <c r="L2484">
        <v>214.63980000000001</v>
      </c>
      <c r="M2484">
        <v>0.99988650000000001</v>
      </c>
      <c r="N2484">
        <v>-1.443266E-2</v>
      </c>
      <c r="O2484">
        <v>-4.3404430000000003E-3</v>
      </c>
      <c r="P2484">
        <v>0.99448539999999996</v>
      </c>
      <c r="Q2484">
        <v>-8.2377640000000002E-2</v>
      </c>
      <c r="R2484">
        <v>6.4908469999999996E-2</v>
      </c>
      <c r="S2484">
        <v>3.0003660000000001</v>
      </c>
      <c r="T2484">
        <v>-5.5445189999999998E-2</v>
      </c>
      <c r="U2484">
        <v>0.17611689999999999</v>
      </c>
      <c r="V2484">
        <v>-6.9093989999999994E-2</v>
      </c>
      <c r="W2484">
        <v>-6.8153290000000005E-2</v>
      </c>
      <c r="X2484">
        <v>0.99527940000000004</v>
      </c>
      <c r="Y2484">
        <v>-6.2911380000000003E-2</v>
      </c>
      <c r="Z2484">
        <v>1.052753E-3</v>
      </c>
      <c r="AA2484">
        <v>0.99801859999999998</v>
      </c>
      <c r="AB2484">
        <v>43</v>
      </c>
      <c r="AC2484">
        <v>59.659199999999998</v>
      </c>
      <c r="AD2484">
        <v>-1.109719144057</v>
      </c>
      <c r="AE2484">
        <v>3.52639999999999</v>
      </c>
      <c r="AF2484">
        <v>-3.7840363824387202</v>
      </c>
      <c r="AG2484">
        <v>-1.109719144057</v>
      </c>
      <c r="AH2484">
        <v>59.622772749359001</v>
      </c>
      <c r="AI2484">
        <v>91.064144721669507</v>
      </c>
      <c r="AJ2484">
        <v>93.631480141952196</v>
      </c>
      <c r="AK2484">
        <v>59.753037062931</v>
      </c>
      <c r="AL2484">
        <v>93.907925297512705</v>
      </c>
      <c r="AM2484">
        <v>93.971199151404306</v>
      </c>
      <c r="AN2484">
        <v>0.99999996722815099</v>
      </c>
    </row>
    <row r="2485" spans="1:40" x14ac:dyDescent="0.25">
      <c r="A2485" t="str">
        <f>"20190305135634733"</f>
        <v>20190305135634733</v>
      </c>
      <c r="B2485" t="str">
        <f>"1551765394724805"</f>
        <v>1551765394724805</v>
      </c>
      <c r="C2485" t="s">
        <v>40</v>
      </c>
      <c r="D2485">
        <v>4.425853</v>
      </c>
      <c r="E2485">
        <v>0.50315779999999999</v>
      </c>
      <c r="F2485" t="s">
        <v>54</v>
      </c>
      <c r="G2485">
        <v>-209.6567</v>
      </c>
      <c r="H2485" s="1">
        <v>6.1929880000000003E-6</v>
      </c>
      <c r="I2485">
        <v>218.1207</v>
      </c>
      <c r="J2485">
        <v>-268.13810000000001</v>
      </c>
      <c r="K2485">
        <v>1.1097140000000001</v>
      </c>
      <c r="L2485">
        <v>214.63849999999999</v>
      </c>
      <c r="M2485">
        <v>0.99988920000000003</v>
      </c>
      <c r="N2485">
        <v>-1.443004E-2</v>
      </c>
      <c r="O2485">
        <v>-3.6572520000000002E-3</v>
      </c>
      <c r="P2485">
        <v>0.99443060000000005</v>
      </c>
      <c r="Q2485">
        <v>-8.2943020000000006E-2</v>
      </c>
      <c r="R2485">
        <v>6.5025739999999999E-2</v>
      </c>
      <c r="S2485">
        <v>3.000397</v>
      </c>
      <c r="T2485">
        <v>-5.6521769999999999E-2</v>
      </c>
      <c r="U2485">
        <v>0.177291899999999</v>
      </c>
      <c r="V2485">
        <v>-6.8531300000000003E-2</v>
      </c>
      <c r="W2485">
        <v>-6.8719199999999994E-2</v>
      </c>
      <c r="X2485">
        <v>0.99527940000000004</v>
      </c>
      <c r="Y2485">
        <v>-6.2617850000000003E-2</v>
      </c>
      <c r="Z2485">
        <v>1.0576139999999999E-3</v>
      </c>
      <c r="AA2485">
        <v>0.99803699999999995</v>
      </c>
      <c r="AB2485">
        <v>43</v>
      </c>
      <c r="AC2485">
        <v>58.481400000000001</v>
      </c>
      <c r="AD2485">
        <v>-1.1097078070119999</v>
      </c>
      <c r="AE2485">
        <v>3.4822000000000002</v>
      </c>
      <c r="AF2485">
        <v>-3.6947545395758299</v>
      </c>
      <c r="AG2485">
        <v>-1.1097078070119999</v>
      </c>
      <c r="AH2485">
        <v>58.447301680533599</v>
      </c>
      <c r="AI2485">
        <v>91.085547454352707</v>
      </c>
      <c r="AJ2485">
        <v>93.617147797828494</v>
      </c>
      <c r="AK2485">
        <v>58.574480247459</v>
      </c>
      <c r="AL2485">
        <v>93.940425717368996</v>
      </c>
      <c r="AM2485">
        <v>93.938960584153506</v>
      </c>
      <c r="AN2485">
        <v>0.99999997579634403</v>
      </c>
    </row>
    <row r="2486" spans="1:40" x14ac:dyDescent="0.25">
      <c r="A2486" t="str">
        <f>"20190305135634755"</f>
        <v>20190305135634755</v>
      </c>
      <c r="B2486" t="str">
        <f>"1551765394744325"</f>
        <v>1551765394744325</v>
      </c>
      <c r="C2486" t="s">
        <v>40</v>
      </c>
      <c r="D2486">
        <v>4.4004640000000004</v>
      </c>
      <c r="E2486">
        <v>0.50292300000000001</v>
      </c>
      <c r="F2486" t="s">
        <v>55</v>
      </c>
      <c r="G2486">
        <v>-212.1446</v>
      </c>
      <c r="H2486" s="1">
        <v>-5.449489E-7</v>
      </c>
      <c r="I2486">
        <v>218.0343</v>
      </c>
      <c r="J2486">
        <v>-267.73140000000001</v>
      </c>
      <c r="K2486">
        <v>1.1097170000000001</v>
      </c>
      <c r="L2486">
        <v>214.63759999999999</v>
      </c>
      <c r="M2486">
        <v>0.99989139999999999</v>
      </c>
      <c r="N2486">
        <v>-1.4427540000000001E-2</v>
      </c>
      <c r="O2486">
        <v>-3.0082529999999998E-3</v>
      </c>
      <c r="P2486">
        <v>0.99430739999999995</v>
      </c>
      <c r="Q2486">
        <v>-8.4019650000000001E-2</v>
      </c>
      <c r="R2486">
        <v>6.5524849999999996E-2</v>
      </c>
      <c r="S2486">
        <v>2.9999389999999999</v>
      </c>
      <c r="T2486">
        <v>-5.9454680000000003E-2</v>
      </c>
      <c r="U2486">
        <v>0.18193049999999999</v>
      </c>
      <c r="V2486">
        <v>-6.838379E-2</v>
      </c>
      <c r="W2486">
        <v>-6.9798199999999894E-2</v>
      </c>
      <c r="X2486">
        <v>0.9952145</v>
      </c>
      <c r="Y2486">
        <v>-6.3514749999999995E-2</v>
      </c>
      <c r="Z2486">
        <v>1.1036500000000001E-3</v>
      </c>
      <c r="AA2486">
        <v>0.99798030000000004</v>
      </c>
      <c r="AB2486">
        <v>43</v>
      </c>
      <c r="AC2486">
        <v>55.586799999999997</v>
      </c>
      <c r="AD2486">
        <v>-1.1097175449488901</v>
      </c>
      <c r="AE2486">
        <v>3.3967000000000001</v>
      </c>
      <c r="AF2486">
        <v>-3.5625066393381899</v>
      </c>
      <c r="AG2486">
        <v>-1.1097175449488901</v>
      </c>
      <c r="AH2486">
        <v>55.554270507930298</v>
      </c>
      <c r="AI2486">
        <v>91.142007594886906</v>
      </c>
      <c r="AJ2486">
        <v>93.669159733562495</v>
      </c>
      <c r="AK2486">
        <v>55.679438738668999</v>
      </c>
      <c r="AL2486">
        <v>94.002396514720203</v>
      </c>
      <c r="AM2486">
        <v>93.930764295995104</v>
      </c>
      <c r="AN2486">
        <v>1.00000001623412</v>
      </c>
    </row>
    <row r="2487" spans="1:40" x14ac:dyDescent="0.25">
      <c r="A2487" t="str">
        <f>"20190305135634777"</f>
        <v>20190305135634777</v>
      </c>
      <c r="B2487" t="str">
        <f>"1551765394774581"</f>
        <v>1551765394774581</v>
      </c>
      <c r="C2487" t="s">
        <v>40</v>
      </c>
      <c r="D2487">
        <v>4.3745909999999997</v>
      </c>
      <c r="E2487">
        <v>0.50256599999999996</v>
      </c>
      <c r="F2487" t="s">
        <v>55</v>
      </c>
      <c r="G2487">
        <v>-213.20089999999999</v>
      </c>
      <c r="H2487" s="1">
        <v>1.8473629999999998E-8</v>
      </c>
      <c r="I2487">
        <v>218.00380000000001</v>
      </c>
      <c r="J2487">
        <v>-267.30779999999999</v>
      </c>
      <c r="K2487">
        <v>1.1097129999999999</v>
      </c>
      <c r="L2487">
        <v>214.6369</v>
      </c>
      <c r="M2487">
        <v>0.99989329999999998</v>
      </c>
      <c r="N2487">
        <v>-1.4424869999999999E-2</v>
      </c>
      <c r="O2487">
        <v>-2.3333770000000002E-3</v>
      </c>
      <c r="P2487">
        <v>0.99434089999999997</v>
      </c>
      <c r="Q2487">
        <v>-8.3708580000000005E-2</v>
      </c>
      <c r="R2487">
        <v>6.5414810000000004E-2</v>
      </c>
      <c r="S2487">
        <v>2.9998170000000002</v>
      </c>
      <c r="T2487">
        <v>-6.1047320000000002E-2</v>
      </c>
      <c r="U2487">
        <v>0.1851807</v>
      </c>
      <c r="V2487">
        <v>-6.7604120000000004E-2</v>
      </c>
      <c r="W2487">
        <v>-6.9486480000000003E-2</v>
      </c>
      <c r="X2487">
        <v>0.9952896</v>
      </c>
      <c r="Y2487">
        <v>-6.3919790000000004E-2</v>
      </c>
      <c r="Z2487">
        <v>1.1250800000000001E-3</v>
      </c>
      <c r="AA2487">
        <v>0.99795440000000002</v>
      </c>
      <c r="AB2487">
        <v>43</v>
      </c>
      <c r="AC2487">
        <v>54.106900000000003</v>
      </c>
      <c r="AD2487">
        <v>-1.10971298152637</v>
      </c>
      <c r="AE2487">
        <v>3.36690000000001</v>
      </c>
      <c r="AF2487">
        <v>-3.4916926582982</v>
      </c>
      <c r="AG2487">
        <v>-1.10971298152637</v>
      </c>
      <c r="AH2487">
        <v>54.076236434923601</v>
      </c>
      <c r="AI2487">
        <v>91.173174675528699</v>
      </c>
      <c r="AJ2487">
        <v>93.694449285057999</v>
      </c>
      <c r="AK2487">
        <v>54.200209662760003</v>
      </c>
      <c r="AL2487">
        <v>93.984492718291904</v>
      </c>
      <c r="AM2487">
        <v>93.885793910853295</v>
      </c>
      <c r="AN2487">
        <v>1.0000000379059599</v>
      </c>
    </row>
    <row r="2488" spans="1:40" x14ac:dyDescent="0.25">
      <c r="A2488" t="str">
        <f>"20190305135634799"</f>
        <v>20190305135634799</v>
      </c>
      <c r="B2488" t="str">
        <f>"1551765394795077"</f>
        <v>1551765394795077</v>
      </c>
      <c r="C2488" t="s">
        <v>40</v>
      </c>
      <c r="D2488">
        <v>4.7493270000000001</v>
      </c>
      <c r="E2488">
        <v>0.50250929999999905</v>
      </c>
      <c r="F2488" t="s">
        <v>54</v>
      </c>
      <c r="G2488">
        <v>-209.67769999999999</v>
      </c>
      <c r="H2488" s="1">
        <v>6.1914149999999999E-6</v>
      </c>
      <c r="I2488">
        <v>218.2449</v>
      </c>
      <c r="J2488">
        <v>-266.86970000000002</v>
      </c>
      <c r="K2488">
        <v>1.1097159999999999</v>
      </c>
      <c r="L2488">
        <v>214.63650000000001</v>
      </c>
      <c r="M2488">
        <v>0.99989470000000003</v>
      </c>
      <c r="N2488">
        <v>-1.442208E-2</v>
      </c>
      <c r="O2488">
        <v>-1.6366810000000001E-3</v>
      </c>
      <c r="P2488">
        <v>0.99439140000000004</v>
      </c>
      <c r="Q2488">
        <v>-8.2690849999999996E-2</v>
      </c>
      <c r="R2488">
        <v>6.5939250000000005E-2</v>
      </c>
      <c r="S2488">
        <v>2.9998469999999999</v>
      </c>
      <c r="T2488">
        <v>-5.7764049999999997E-2</v>
      </c>
      <c r="U2488">
        <v>0.18780520000000001</v>
      </c>
      <c r="V2488">
        <v>-6.7438960000000006E-2</v>
      </c>
      <c r="W2488">
        <v>-6.8469189999999999E-2</v>
      </c>
      <c r="X2488">
        <v>0.99537129999999996</v>
      </c>
      <c r="Y2488">
        <v>-6.4095410000000005E-2</v>
      </c>
      <c r="Z2488">
        <v>1.087085E-3</v>
      </c>
      <c r="AA2488">
        <v>0.99794320000000003</v>
      </c>
      <c r="AB2488">
        <v>42</v>
      </c>
      <c r="AC2488">
        <v>57.192</v>
      </c>
      <c r="AD2488">
        <v>-1.1097098085849999</v>
      </c>
      <c r="AE2488">
        <v>3.6083999999999801</v>
      </c>
      <c r="AF2488">
        <v>-3.7006222513593698</v>
      </c>
      <c r="AG2488">
        <v>-1.1097098085849999</v>
      </c>
      <c r="AH2488">
        <v>57.164580663756098</v>
      </c>
      <c r="AI2488">
        <v>91.109794584903099</v>
      </c>
      <c r="AJ2488">
        <v>93.703947196550104</v>
      </c>
      <c r="AK2488">
        <v>57.294985324804799</v>
      </c>
      <c r="AL2488">
        <v>93.926067150954296</v>
      </c>
      <c r="AM2488">
        <v>93.876012513779401</v>
      </c>
      <c r="AN2488">
        <v>1.00000003408441</v>
      </c>
    </row>
    <row r="2489" spans="1:40" x14ac:dyDescent="0.25">
      <c r="A2489" t="str">
        <f>"20190305135634823"</f>
        <v>20190305135634823</v>
      </c>
      <c r="B2489" t="str">
        <f>"1551765394814597"</f>
        <v>1551765394814597</v>
      </c>
      <c r="C2489" t="s">
        <v>40</v>
      </c>
      <c r="D2489">
        <v>4.3877499999999996</v>
      </c>
      <c r="E2489">
        <v>0.50236780000000003</v>
      </c>
      <c r="F2489" t="s">
        <v>54</v>
      </c>
      <c r="G2489">
        <v>-204.5985</v>
      </c>
      <c r="H2489" s="1">
        <v>3.9100860000000001E-6</v>
      </c>
      <c r="I2489">
        <v>218.57579999999999</v>
      </c>
      <c r="J2489">
        <v>-266.4282</v>
      </c>
      <c r="K2489">
        <v>1.1097220000000001</v>
      </c>
      <c r="L2489">
        <v>214.63640000000001</v>
      </c>
      <c r="M2489">
        <v>0.9998956</v>
      </c>
      <c r="N2489">
        <v>-1.441925E-2</v>
      </c>
      <c r="O2489">
        <v>-9.3689459999999995E-4</v>
      </c>
      <c r="P2489">
        <v>0.99445550000000005</v>
      </c>
      <c r="Q2489">
        <v>-8.2121379999999994E-2</v>
      </c>
      <c r="R2489">
        <v>6.568483E-2</v>
      </c>
      <c r="S2489">
        <v>2.999908</v>
      </c>
      <c r="T2489">
        <v>-5.3460239999999999E-2</v>
      </c>
      <c r="U2489">
        <v>0.18977359999999999</v>
      </c>
      <c r="V2489">
        <v>-6.6490380000000002E-2</v>
      </c>
      <c r="W2489">
        <v>-6.7898429999999996E-2</v>
      </c>
      <c r="X2489">
        <v>0.99547419999999998</v>
      </c>
      <c r="Y2489">
        <v>-6.4050330000000003E-2</v>
      </c>
      <c r="Z2489">
        <v>1.0356059999999999E-3</v>
      </c>
      <c r="AA2489">
        <v>0.99794609999999995</v>
      </c>
      <c r="AB2489">
        <v>42</v>
      </c>
      <c r="AC2489">
        <v>61.829700000000003</v>
      </c>
      <c r="AD2489">
        <v>-1.10971808991399</v>
      </c>
      <c r="AE2489">
        <v>3.9393999999999698</v>
      </c>
      <c r="AF2489">
        <v>-3.9960501627064802</v>
      </c>
      <c r="AG2489">
        <v>-1.10971808991399</v>
      </c>
      <c r="AH2489">
        <v>61.806152556478203</v>
      </c>
      <c r="AI2489">
        <v>91.026481888224396</v>
      </c>
      <c r="AJ2489">
        <v>93.699285070179698</v>
      </c>
      <c r="AK2489">
        <v>61.945140123956499</v>
      </c>
      <c r="AL2489">
        <v>93.893288764628295</v>
      </c>
      <c r="AM2489">
        <v>93.821262304073798</v>
      </c>
      <c r="AN2489">
        <v>1.00000002514732</v>
      </c>
    </row>
    <row r="2490" spans="1:40" x14ac:dyDescent="0.25">
      <c r="A2490" t="str">
        <f>"20190305135634845"</f>
        <v>20190305135634845</v>
      </c>
      <c r="B2490" t="str">
        <f>"1551765394835093"</f>
        <v>1551765394835093</v>
      </c>
      <c r="C2490" t="s">
        <v>40</v>
      </c>
      <c r="D2490">
        <v>4.4008019999999997</v>
      </c>
      <c r="E2490">
        <v>0.50214349999999996</v>
      </c>
      <c r="F2490" t="s">
        <v>54</v>
      </c>
      <c r="G2490">
        <v>-199.37780000000001</v>
      </c>
      <c r="H2490" s="1">
        <v>1.9278699999999998E-6</v>
      </c>
      <c r="I2490">
        <v>218.886</v>
      </c>
      <c r="J2490">
        <v>-266.01620000000003</v>
      </c>
      <c r="K2490">
        <v>1.109728</v>
      </c>
      <c r="L2490">
        <v>214.63659999999999</v>
      </c>
      <c r="M2490">
        <v>0.99989620000000001</v>
      </c>
      <c r="N2490">
        <v>-1.441663E-2</v>
      </c>
      <c r="O2490">
        <v>-2.9113300000000001E-4</v>
      </c>
      <c r="P2490">
        <v>0.99449549999999998</v>
      </c>
      <c r="Q2490">
        <v>-8.2078830000000005E-2</v>
      </c>
      <c r="R2490">
        <v>6.5130460000000001E-2</v>
      </c>
      <c r="S2490">
        <v>3.000092</v>
      </c>
      <c r="T2490">
        <v>-4.9653170000000003E-2</v>
      </c>
      <c r="U2490">
        <v>0.1901398</v>
      </c>
      <c r="V2490">
        <v>-6.5294809999999995E-2</v>
      </c>
      <c r="W2490">
        <v>-6.7854049999999999E-2</v>
      </c>
      <c r="X2490">
        <v>0.99555640000000001</v>
      </c>
      <c r="Y2490">
        <v>-6.3525429999999994E-2</v>
      </c>
      <c r="Z2490">
        <v>9.8420030000000006E-4</v>
      </c>
      <c r="AA2490">
        <v>0.99797979999999997</v>
      </c>
      <c r="AB2490">
        <v>42</v>
      </c>
      <c r="AC2490">
        <v>66.638400000000004</v>
      </c>
      <c r="AD2490">
        <v>-1.10972607213</v>
      </c>
      <c r="AE2490">
        <v>4.2493999999999996</v>
      </c>
      <c r="AF2490">
        <v>-4.2676237625392801</v>
      </c>
      <c r="AG2490">
        <v>-1.10972607213</v>
      </c>
      <c r="AH2490">
        <v>66.618759958896902</v>
      </c>
      <c r="AI2490">
        <v>90.952385085161893</v>
      </c>
      <c r="AJ2490">
        <v>93.665381555289699</v>
      </c>
      <c r="AK2490">
        <v>66.764536117574295</v>
      </c>
      <c r="AL2490">
        <v>93.890739945045397</v>
      </c>
      <c r="AM2490">
        <v>93.752440977879601</v>
      </c>
      <c r="AN2490">
        <v>1.0000000649476399</v>
      </c>
    </row>
    <row r="2491" spans="1:40" x14ac:dyDescent="0.25">
      <c r="A2491" t="str">
        <f>"20190305135634872"</f>
        <v>20190305135634872</v>
      </c>
      <c r="B2491" t="str">
        <f>"1551765394864373"</f>
        <v>1551765394864373</v>
      </c>
      <c r="C2491" t="s">
        <v>40</v>
      </c>
      <c r="D2491">
        <v>4.5503309999999999</v>
      </c>
      <c r="E2491">
        <v>0.50190420000000002</v>
      </c>
      <c r="F2491" t="s">
        <v>54</v>
      </c>
      <c r="G2491">
        <v>-196.53729999999999</v>
      </c>
      <c r="H2491" s="1">
        <v>2.4185630000000001E-6</v>
      </c>
      <c r="I2491">
        <v>219.0367</v>
      </c>
      <c r="J2491">
        <v>-265.52179999999998</v>
      </c>
      <c r="K2491">
        <v>1.109718</v>
      </c>
      <c r="L2491">
        <v>214.6371</v>
      </c>
      <c r="M2491">
        <v>0.99989609999999995</v>
      </c>
      <c r="N2491">
        <v>-1.4413499999999999E-2</v>
      </c>
      <c r="O2491">
        <v>4.7077350000000002E-4</v>
      </c>
      <c r="P2491">
        <v>0.99456520000000004</v>
      </c>
      <c r="Q2491">
        <v>-8.2048449999999995E-2</v>
      </c>
      <c r="R2491">
        <v>6.4095340000000001E-2</v>
      </c>
      <c r="S2491">
        <v>3.0002439999999999</v>
      </c>
      <c r="T2491">
        <v>-4.7920230000000001E-2</v>
      </c>
      <c r="U2491">
        <v>0.19000239999999999</v>
      </c>
      <c r="V2491">
        <v>-6.3503749999999998E-2</v>
      </c>
      <c r="W2491">
        <v>-6.7819950000000004E-2</v>
      </c>
      <c r="X2491">
        <v>0.99567450000000002</v>
      </c>
      <c r="Y2491">
        <v>-6.2717319999999993E-2</v>
      </c>
      <c r="Z2491">
        <v>9.5211730000000004E-4</v>
      </c>
      <c r="AA2491">
        <v>0.99803090000000005</v>
      </c>
      <c r="AB2491">
        <v>42</v>
      </c>
      <c r="AC2491">
        <v>68.984499999999997</v>
      </c>
      <c r="AD2491">
        <v>-1.1097155814370001</v>
      </c>
      <c r="AE2491">
        <v>4.3995999999999897</v>
      </c>
      <c r="AF2491">
        <v>-4.3659948385236298</v>
      </c>
      <c r="AG2491">
        <v>-1.1097155814370001</v>
      </c>
      <c r="AH2491">
        <v>68.968788766747707</v>
      </c>
      <c r="AI2491">
        <v>90.919974815896396</v>
      </c>
      <c r="AJ2491">
        <v>93.622214191170102</v>
      </c>
      <c r="AK2491">
        <v>69.115752209998803</v>
      </c>
      <c r="AL2491">
        <v>93.888781936327604</v>
      </c>
      <c r="AM2491">
        <v>93.649360565025205</v>
      </c>
      <c r="AN2491">
        <v>0.99999999091615699</v>
      </c>
    </row>
    <row r="2492" spans="1:40" x14ac:dyDescent="0.25">
      <c r="A2492" t="str">
        <f>"20190305135634898"</f>
        <v>20190305135634898</v>
      </c>
      <c r="B2492" t="str">
        <f>"1551765394894630"</f>
        <v>1551765394894630</v>
      </c>
      <c r="C2492" t="s">
        <v>40</v>
      </c>
      <c r="D2492">
        <v>4.3739210000000002</v>
      </c>
      <c r="E2492">
        <v>0.50160300000000002</v>
      </c>
      <c r="F2492" t="s">
        <v>54</v>
      </c>
      <c r="G2492">
        <v>-191.75829999999999</v>
      </c>
      <c r="H2492" s="1">
        <v>3.2446740000000002E-6</v>
      </c>
      <c r="I2492">
        <v>219.28380000000001</v>
      </c>
      <c r="J2492">
        <v>-265.0138</v>
      </c>
      <c r="K2492">
        <v>1.109701</v>
      </c>
      <c r="L2492">
        <v>214.63810000000001</v>
      </c>
      <c r="M2492">
        <v>0.99989550000000005</v>
      </c>
      <c r="N2492">
        <v>-1.4410249999999999E-2</v>
      </c>
      <c r="O2492">
        <v>1.232187E-3</v>
      </c>
      <c r="P2492">
        <v>0.99460329999999997</v>
      </c>
      <c r="Q2492">
        <v>-8.2189659999999998E-2</v>
      </c>
      <c r="R2492">
        <v>6.3321539999999996E-2</v>
      </c>
      <c r="S2492">
        <v>3.0004879999999998</v>
      </c>
      <c r="T2492">
        <v>-4.5140029999999998E-2</v>
      </c>
      <c r="U2492">
        <v>0.1890106</v>
      </c>
      <c r="V2492">
        <v>-6.1975259999999997E-2</v>
      </c>
      <c r="W2492">
        <v>-6.7957870000000004E-2</v>
      </c>
      <c r="X2492">
        <v>0.99576140000000002</v>
      </c>
      <c r="Y2492">
        <v>-6.1625119999999999E-2</v>
      </c>
      <c r="Z2492">
        <v>9.0681650000000002E-4</v>
      </c>
      <c r="AA2492">
        <v>0.99809899999999996</v>
      </c>
      <c r="AB2492">
        <v>42</v>
      </c>
      <c r="AC2492">
        <v>73.255499999999998</v>
      </c>
      <c r="AD2492">
        <v>-1.1096977553259999</v>
      </c>
      <c r="AE2492">
        <v>4.6456999999999997</v>
      </c>
      <c r="AF2492">
        <v>-4.55438171777321</v>
      </c>
      <c r="AG2492">
        <v>-1.1096977553259999</v>
      </c>
      <c r="AH2492">
        <v>73.244429151802905</v>
      </c>
      <c r="AI2492">
        <v>90.866326658105194</v>
      </c>
      <c r="AJ2492">
        <v>93.558104298899295</v>
      </c>
      <c r="AK2492">
        <v>73.394279230147404</v>
      </c>
      <c r="AL2492">
        <v>93.896702465594004</v>
      </c>
      <c r="AM2492">
        <v>93.561441918256406</v>
      </c>
      <c r="AN2492">
        <v>0.999999985338482</v>
      </c>
    </row>
    <row r="2493" spans="1:40" x14ac:dyDescent="0.25">
      <c r="A2493" t="str">
        <f>"20190305135634921"</f>
        <v>20190305135634921</v>
      </c>
      <c r="B2493" t="str">
        <f>"1551765394915126"</f>
        <v>1551765394915126</v>
      </c>
      <c r="C2493" t="s">
        <v>40</v>
      </c>
      <c r="D2493">
        <v>4.4000979999999998</v>
      </c>
      <c r="E2493">
        <v>0.50126269999999995</v>
      </c>
      <c r="F2493" t="s">
        <v>54</v>
      </c>
      <c r="G2493">
        <v>-187.2491</v>
      </c>
      <c r="H2493" s="1">
        <v>3.0611199999999999E-6</v>
      </c>
      <c r="I2493">
        <v>219.54079999999999</v>
      </c>
      <c r="J2493">
        <v>-264.57940000000002</v>
      </c>
      <c r="K2493">
        <v>1.1096809999999999</v>
      </c>
      <c r="L2493">
        <v>214.63919999999999</v>
      </c>
      <c r="M2493">
        <v>0.99989450000000002</v>
      </c>
      <c r="N2493">
        <v>-1.440748E-2</v>
      </c>
      <c r="O2493">
        <v>1.8686969999999999E-3</v>
      </c>
      <c r="P2493">
        <v>0.99467930000000004</v>
      </c>
      <c r="Q2493">
        <v>-8.2252950000000005E-2</v>
      </c>
      <c r="R2493">
        <v>6.2029149999999998E-2</v>
      </c>
      <c r="S2493">
        <v>3.000702</v>
      </c>
      <c r="T2493">
        <v>-4.2819860000000001E-2</v>
      </c>
      <c r="U2493">
        <v>0.1891785</v>
      </c>
      <c r="V2493">
        <v>-6.0051430000000003E-2</v>
      </c>
      <c r="W2493">
        <v>-6.8016660000000007E-2</v>
      </c>
      <c r="X2493">
        <v>0.99587530000000002</v>
      </c>
      <c r="Y2493">
        <v>-6.1042060000000002E-2</v>
      </c>
      <c r="Z2493">
        <v>8.7557490000000004E-4</v>
      </c>
      <c r="AA2493">
        <v>0.99813479999999999</v>
      </c>
      <c r="AB2493">
        <v>42</v>
      </c>
      <c r="AC2493">
        <v>77.330299999999994</v>
      </c>
      <c r="AD2493">
        <v>-1.10967793888</v>
      </c>
      <c r="AE2493">
        <v>4.9016000000000002</v>
      </c>
      <c r="AF2493">
        <v>-4.7560940988381697</v>
      </c>
      <c r="AG2493">
        <v>-1.10967793888</v>
      </c>
      <c r="AH2493">
        <v>77.323466921493093</v>
      </c>
      <c r="AI2493">
        <v>90.820651125336099</v>
      </c>
      <c r="AJ2493">
        <v>93.519775390746005</v>
      </c>
      <c r="AK2493">
        <v>77.477547411906798</v>
      </c>
      <c r="AL2493">
        <v>93.900078534855098</v>
      </c>
      <c r="AM2493">
        <v>93.450765696019005</v>
      </c>
      <c r="AN2493">
        <v>1.00000002671634</v>
      </c>
    </row>
    <row r="2494" spans="1:40" x14ac:dyDescent="0.25">
      <c r="A2494" t="str">
        <f>"20190305135634941"</f>
        <v>20190305135634941</v>
      </c>
      <c r="B2494" t="str">
        <f>"1551765394934645"</f>
        <v>1551765394934645</v>
      </c>
      <c r="C2494" t="s">
        <v>40</v>
      </c>
      <c r="D2494">
        <v>4.5680880000000004</v>
      </c>
      <c r="E2494">
        <v>0.50109389999999998</v>
      </c>
      <c r="F2494" t="s">
        <v>54</v>
      </c>
      <c r="G2494">
        <v>-186.9675</v>
      </c>
      <c r="H2494" s="1">
        <v>3.0144380000000001E-6</v>
      </c>
      <c r="I2494">
        <v>219.5033</v>
      </c>
      <c r="J2494">
        <v>-264.2115</v>
      </c>
      <c r="K2494">
        <v>1.109666</v>
      </c>
      <c r="L2494">
        <v>214.6403</v>
      </c>
      <c r="M2494">
        <v>0.99989329999999998</v>
      </c>
      <c r="N2494">
        <v>-1.440514E-2</v>
      </c>
      <c r="O2494">
        <v>2.396413E-3</v>
      </c>
      <c r="P2494">
        <v>0.99468710000000005</v>
      </c>
      <c r="Q2494">
        <v>-8.3123440000000007E-2</v>
      </c>
      <c r="R2494">
        <v>6.0730119999999999E-2</v>
      </c>
      <c r="S2494">
        <v>3.0007630000000001</v>
      </c>
      <c r="T2494">
        <v>-4.290426E-2</v>
      </c>
      <c r="U2494">
        <v>0.1880646</v>
      </c>
      <c r="V2494">
        <v>-5.8228149999999999E-2</v>
      </c>
      <c r="W2494">
        <v>-6.8883940000000005E-2</v>
      </c>
      <c r="X2494">
        <v>0.99592389999999997</v>
      </c>
      <c r="Y2494">
        <v>-6.0145070000000002E-2</v>
      </c>
      <c r="Z2494">
        <v>8.6347979999999995E-4</v>
      </c>
      <c r="AA2494">
        <v>0.99818929999999995</v>
      </c>
      <c r="AB2494">
        <v>42</v>
      </c>
      <c r="AC2494">
        <v>77.244</v>
      </c>
      <c r="AD2494">
        <v>-1.1096629855619999</v>
      </c>
      <c r="AE2494">
        <v>4.8630000000000004</v>
      </c>
      <c r="AF2494">
        <v>-4.6768969117829897</v>
      </c>
      <c r="AG2494">
        <v>-1.1096629855619999</v>
      </c>
      <c r="AH2494">
        <v>77.239555899350094</v>
      </c>
      <c r="AI2494">
        <v>90.821579342763897</v>
      </c>
      <c r="AJ2494">
        <v>93.465059862123795</v>
      </c>
      <c r="AK2494">
        <v>77.388976683981298</v>
      </c>
      <c r="AL2494">
        <v>93.949887088451504</v>
      </c>
      <c r="AM2494">
        <v>93.346072508594105</v>
      </c>
      <c r="AN2494">
        <v>0.99999996461677698</v>
      </c>
    </row>
    <row r="2495" spans="1:40" x14ac:dyDescent="0.25">
      <c r="A2495" t="str">
        <f>"20190305135634959"</f>
        <v>20190305135634959</v>
      </c>
      <c r="B2495" t="str">
        <f>"1551765394954165"</f>
        <v>1551765394954165</v>
      </c>
      <c r="C2495" t="s">
        <v>40</v>
      </c>
      <c r="D2495">
        <v>4.5269300000000001</v>
      </c>
      <c r="E2495">
        <v>0.50112860000000004</v>
      </c>
      <c r="F2495" t="s">
        <v>54</v>
      </c>
      <c r="G2495">
        <v>-189.0624</v>
      </c>
      <c r="H2495" s="1">
        <v>3.4052430000000002E-6</v>
      </c>
      <c r="I2495">
        <v>219.28370000000001</v>
      </c>
      <c r="J2495">
        <v>-263.86509999999998</v>
      </c>
      <c r="K2495">
        <v>1.109639</v>
      </c>
      <c r="L2495">
        <v>214.64160000000001</v>
      </c>
      <c r="M2495">
        <v>0.99989220000000001</v>
      </c>
      <c r="N2495">
        <v>-1.4402949999999999E-2</v>
      </c>
      <c r="O2495">
        <v>2.8848160000000001E-3</v>
      </c>
      <c r="P2495">
        <v>0.99468900000000005</v>
      </c>
      <c r="Q2495">
        <v>-8.4109649999999994E-2</v>
      </c>
      <c r="R2495">
        <v>5.9328600000000002E-2</v>
      </c>
      <c r="S2495">
        <v>3.0009459999999999</v>
      </c>
      <c r="T2495">
        <v>-4.4312480000000001E-2</v>
      </c>
      <c r="U2495">
        <v>0.1854248</v>
      </c>
      <c r="V2495">
        <v>-5.6341229999999999E-2</v>
      </c>
      <c r="W2495">
        <v>-6.986713E-2</v>
      </c>
      <c r="X2495">
        <v>0.99596399999999996</v>
      </c>
      <c r="Y2495">
        <v>-5.8778650000000002E-2</v>
      </c>
      <c r="Z2495">
        <v>8.5625410000000001E-4</v>
      </c>
      <c r="AA2495">
        <v>0.99827069999999996</v>
      </c>
      <c r="AB2495">
        <v>42</v>
      </c>
      <c r="AC2495">
        <v>74.802699999999902</v>
      </c>
      <c r="AD2495">
        <v>-1.109635594757</v>
      </c>
      <c r="AE2495">
        <v>4.6420999999999903</v>
      </c>
      <c r="AF2495">
        <v>-4.4252962259231303</v>
      </c>
      <c r="AG2495">
        <v>-1.109635594757</v>
      </c>
      <c r="AH2495">
        <v>74.799385025529503</v>
      </c>
      <c r="AI2495">
        <v>90.848427068248299</v>
      </c>
      <c r="AJ2495">
        <v>93.385797799966397</v>
      </c>
      <c r="AK2495">
        <v>74.938391616298603</v>
      </c>
      <c r="AL2495">
        <v>94.006355564117499</v>
      </c>
      <c r="AM2495">
        <v>93.237745384173493</v>
      </c>
      <c r="AN2495">
        <v>1.0000000196741701</v>
      </c>
    </row>
    <row r="2496" spans="1:40" x14ac:dyDescent="0.25">
      <c r="A2496" t="str">
        <f>"20190305135634981"</f>
        <v>20190305135634981</v>
      </c>
      <c r="B2496" t="str">
        <f>"1551765394974661"</f>
        <v>1551765394974661</v>
      </c>
      <c r="C2496" t="s">
        <v>40</v>
      </c>
      <c r="D2496">
        <v>4.9107529999999997</v>
      </c>
      <c r="E2496">
        <v>0.57955080000000003</v>
      </c>
      <c r="F2496" t="s">
        <v>54</v>
      </c>
      <c r="G2496">
        <v>-191.98679999999999</v>
      </c>
      <c r="H2496" s="1">
        <v>3.2312430000000002E-6</v>
      </c>
      <c r="I2496">
        <v>218.97380000000001</v>
      </c>
      <c r="J2496">
        <v>-263.46129999999999</v>
      </c>
      <c r="K2496">
        <v>1.1096220000000001</v>
      </c>
      <c r="L2496">
        <v>214.64320000000001</v>
      </c>
      <c r="M2496">
        <v>0.99989050000000002</v>
      </c>
      <c r="N2496">
        <v>-1.4400339999999999E-2</v>
      </c>
      <c r="O2496">
        <v>3.4464719999999999E-3</v>
      </c>
      <c r="P2496">
        <v>0.99471770000000004</v>
      </c>
      <c r="Q2496">
        <v>-8.4918060000000004E-2</v>
      </c>
      <c r="R2496">
        <v>5.7674799999999998E-2</v>
      </c>
      <c r="S2496">
        <v>3.001312</v>
      </c>
      <c r="T2496">
        <v>-4.6333310000000003E-2</v>
      </c>
      <c r="U2496">
        <v>0.1808929</v>
      </c>
      <c r="V2496">
        <v>-5.4128719999999998E-2</v>
      </c>
      <c r="W2496">
        <v>-7.0672150000000003E-2</v>
      </c>
      <c r="X2496">
        <v>0.99602990000000002</v>
      </c>
      <c r="Y2496">
        <v>-5.6708130000000002E-2</v>
      </c>
      <c r="Z2496">
        <v>8.4248119999999905E-4</v>
      </c>
      <c r="AA2496">
        <v>0.99839040000000001</v>
      </c>
      <c r="AB2496">
        <v>42</v>
      </c>
      <c r="AC2496">
        <v>71.474500000000006</v>
      </c>
      <c r="AD2496">
        <v>-1.1096187687569901</v>
      </c>
      <c r="AE2496">
        <v>4.3305999999999996</v>
      </c>
      <c r="AF2496">
        <v>-4.0832333749077296</v>
      </c>
      <c r="AG2496">
        <v>-1.1096187687569901</v>
      </c>
      <c r="AH2496">
        <v>71.471839425793604</v>
      </c>
      <c r="AI2496">
        <v>90.888012533639795</v>
      </c>
      <c r="AJ2496">
        <v>93.269791366069299</v>
      </c>
      <c r="AK2496">
        <v>71.596982335237897</v>
      </c>
      <c r="AL2496">
        <v>94.052594126315498</v>
      </c>
      <c r="AM2496">
        <v>93.110649101065206</v>
      </c>
      <c r="AN2496">
        <v>1.00000001640423</v>
      </c>
    </row>
    <row r="2497" spans="1:40" x14ac:dyDescent="0.25">
      <c r="A2497" t="str">
        <f>"20190305135635001"</f>
        <v>20190305135635001</v>
      </c>
      <c r="B2497" t="str">
        <f>"1551765394995157"</f>
        <v>1551765394995157</v>
      </c>
      <c r="C2497" t="s">
        <v>40</v>
      </c>
      <c r="D2497">
        <v>4.6166720000000003</v>
      </c>
      <c r="E2497">
        <v>0.59857759999999904</v>
      </c>
      <c r="F2497" t="s">
        <v>70</v>
      </c>
      <c r="G2497">
        <v>-168.4143</v>
      </c>
      <c r="H2497">
        <v>6.0000330000000002</v>
      </c>
      <c r="I2497">
        <v>201.01820000000001</v>
      </c>
      <c r="J2497">
        <v>-263.0564</v>
      </c>
      <c r="K2497">
        <v>1.109607</v>
      </c>
      <c r="L2497">
        <v>214.64510000000001</v>
      </c>
      <c r="M2497">
        <v>0.99988840000000001</v>
      </c>
      <c r="N2497">
        <v>-1.4397770000000001E-2</v>
      </c>
      <c r="O2497">
        <v>4.003805E-3</v>
      </c>
      <c r="P2497">
        <v>0.99473650000000002</v>
      </c>
      <c r="Q2497">
        <v>-8.5761690000000002E-2</v>
      </c>
      <c r="R2497">
        <v>5.6075369999999999E-2</v>
      </c>
      <c r="S2497">
        <v>3.0547490000000002</v>
      </c>
      <c r="T2497">
        <v>0.1571755</v>
      </c>
      <c r="U2497">
        <v>-0.43789670000000003</v>
      </c>
      <c r="V2497">
        <v>-5.1974930000000003E-2</v>
      </c>
      <c r="W2497">
        <v>-7.151296E-2</v>
      </c>
      <c r="X2497">
        <v>0.99608459999999999</v>
      </c>
      <c r="Y2497">
        <v>0.14571779999999901</v>
      </c>
      <c r="Z2497">
        <v>2.934571E-3</v>
      </c>
      <c r="AA2497">
        <v>0.98932180000000003</v>
      </c>
      <c r="AB2497">
        <v>42</v>
      </c>
      <c r="AC2497">
        <v>94.642099999999999</v>
      </c>
      <c r="AD2497">
        <v>4.8904259999999997</v>
      </c>
      <c r="AE2497">
        <v>-13.626899999999999</v>
      </c>
      <c r="AF2497">
        <v>13.9692171120622</v>
      </c>
      <c r="AG2497">
        <v>4.8904259999999997</v>
      </c>
      <c r="AH2497">
        <v>94.339996651320803</v>
      </c>
      <c r="AI2497">
        <v>87.064489864937798</v>
      </c>
      <c r="AJ2497">
        <v>81.577237814054001</v>
      </c>
      <c r="AK2497">
        <v>95.493927876889799</v>
      </c>
      <c r="AL2497">
        <v>94.100891207914003</v>
      </c>
      <c r="AM2497">
        <v>92.986940949237294</v>
      </c>
      <c r="AN2497">
        <v>1.0000000135768099</v>
      </c>
    </row>
    <row r="2498" spans="1:40" x14ac:dyDescent="0.25">
      <c r="A2498" t="str">
        <f>"20190305135635023"</f>
        <v>20190305135635023</v>
      </c>
      <c r="B2498" t="str">
        <f>"1551765395014677"</f>
        <v>1551765395014677</v>
      </c>
      <c r="C2498" t="s">
        <v>40</v>
      </c>
      <c r="D2498">
        <v>4.1577310000000001</v>
      </c>
      <c r="E2498">
        <v>0.60503099999999999</v>
      </c>
      <c r="F2498" t="s">
        <v>70</v>
      </c>
      <c r="G2498">
        <v>-168.416</v>
      </c>
      <c r="H2498">
        <v>6.4490429999999996</v>
      </c>
      <c r="I2498">
        <v>196.31360000000001</v>
      </c>
      <c r="J2498">
        <v>-262.64839999999998</v>
      </c>
      <c r="K2498">
        <v>1.109594</v>
      </c>
      <c r="L2498">
        <v>214.6472</v>
      </c>
      <c r="M2498">
        <v>0.9998861</v>
      </c>
      <c r="N2498">
        <v>-1.439524E-2</v>
      </c>
      <c r="O2498">
        <v>4.5613370000000004E-3</v>
      </c>
      <c r="P2498">
        <v>0.99483029999999995</v>
      </c>
      <c r="Q2498">
        <v>-8.5815639999999999E-2</v>
      </c>
      <c r="R2498">
        <v>5.4300899999999999E-2</v>
      </c>
      <c r="S2498">
        <v>3.06427</v>
      </c>
      <c r="T2498">
        <v>0.17288149999999999</v>
      </c>
      <c r="U2498">
        <v>-0.59353639999999996</v>
      </c>
      <c r="V2498">
        <v>-4.9645830000000002E-2</v>
      </c>
      <c r="W2498">
        <v>-7.1563039999999994E-2</v>
      </c>
      <c r="X2498">
        <v>0.99619979999999997</v>
      </c>
      <c r="Y2498">
        <v>0.1944071</v>
      </c>
      <c r="Z2498">
        <v>4.3361620000000002E-3</v>
      </c>
      <c r="AA2498">
        <v>0.98091139999999999</v>
      </c>
      <c r="AB2498">
        <v>42</v>
      </c>
      <c r="AC2498">
        <v>94.232399999999899</v>
      </c>
      <c r="AD2498">
        <v>5.3394490000000001</v>
      </c>
      <c r="AE2498">
        <v>-18.333599999999901</v>
      </c>
      <c r="AF2498">
        <v>18.7054133826373</v>
      </c>
      <c r="AG2498">
        <v>5.3394490000000001</v>
      </c>
      <c r="AH2498">
        <v>93.857432731502499</v>
      </c>
      <c r="AI2498">
        <v>86.806680092809202</v>
      </c>
      <c r="AJ2498">
        <v>78.728856157372405</v>
      </c>
      <c r="AK2498">
        <v>95.852072926919405</v>
      </c>
      <c r="AL2498">
        <v>94.103767968566004</v>
      </c>
      <c r="AM2498">
        <v>92.852987138854303</v>
      </c>
      <c r="AN2498">
        <v>1.0000000093252299</v>
      </c>
    </row>
    <row r="2499" spans="1:40" x14ac:dyDescent="0.25">
      <c r="A2499" t="str">
        <f>"20190305135635045"</f>
        <v>20190305135635045</v>
      </c>
      <c r="B2499" t="str">
        <f>"1551765395035173"</f>
        <v>1551765395035173</v>
      </c>
      <c r="C2499" t="s">
        <v>40</v>
      </c>
      <c r="D2499">
        <v>4.2960909999999997</v>
      </c>
      <c r="E2499">
        <v>0.60646979999999995</v>
      </c>
      <c r="F2499" t="s">
        <v>70</v>
      </c>
      <c r="G2499">
        <v>-168.417</v>
      </c>
      <c r="H2499">
        <v>8.023517</v>
      </c>
      <c r="I2499">
        <v>194.77719999999999</v>
      </c>
      <c r="J2499">
        <v>-262.24349999999998</v>
      </c>
      <c r="K2499">
        <v>1.10958</v>
      </c>
      <c r="L2499">
        <v>214.64949999999999</v>
      </c>
      <c r="M2499">
        <v>0.99988339999999998</v>
      </c>
      <c r="N2499">
        <v>-1.4392739999999999E-2</v>
      </c>
      <c r="O2499">
        <v>5.1126890000000001E-3</v>
      </c>
      <c r="P2499">
        <v>0.99489839999999996</v>
      </c>
      <c r="Q2499">
        <v>-8.6158739999999998E-2</v>
      </c>
      <c r="R2499">
        <v>5.2477900000000001E-2</v>
      </c>
      <c r="S2499">
        <v>3.0703740000000002</v>
      </c>
      <c r="T2499">
        <v>0.2252798</v>
      </c>
      <c r="U2499">
        <v>-0.64743039999999996</v>
      </c>
      <c r="V2499">
        <v>-4.727464E-2</v>
      </c>
      <c r="W2499">
        <v>-7.1902800000000003E-2</v>
      </c>
      <c r="X2499">
        <v>0.99629069999999997</v>
      </c>
      <c r="Y2499">
        <v>0.21087539999999999</v>
      </c>
      <c r="Z2499">
        <v>6.5497230000000004E-3</v>
      </c>
      <c r="AA2499">
        <v>0.977491</v>
      </c>
      <c r="AB2499">
        <v>42</v>
      </c>
      <c r="AC2499">
        <v>93.826499999999896</v>
      </c>
      <c r="AD2499">
        <v>6.9139369999999998</v>
      </c>
      <c r="AE2499">
        <v>-19.872299999999999</v>
      </c>
      <c r="AF2499">
        <v>20.246576664856899</v>
      </c>
      <c r="AG2499">
        <v>6.9139369999999998</v>
      </c>
      <c r="AH2499">
        <v>93.239110000772499</v>
      </c>
      <c r="AI2499">
        <v>85.855363253754007</v>
      </c>
      <c r="AJ2499">
        <v>77.748602494108397</v>
      </c>
      <c r="AK2499">
        <v>95.6622079257114</v>
      </c>
      <c r="AL2499">
        <v>94.123284969095707</v>
      </c>
      <c r="AM2499">
        <v>92.716684198427203</v>
      </c>
      <c r="AN2499">
        <v>1.00000003157072</v>
      </c>
    </row>
    <row r="2500" spans="1:40" x14ac:dyDescent="0.25">
      <c r="A2500" t="str">
        <f>"20190305135635073"</f>
        <v>20190305135635073</v>
      </c>
      <c r="B2500" t="str">
        <f>"1551765395064286"</f>
        <v>1551765395064286</v>
      </c>
      <c r="C2500" t="s">
        <v>40</v>
      </c>
      <c r="D2500">
        <v>4.312379</v>
      </c>
      <c r="E2500">
        <v>0.60730759999999995</v>
      </c>
      <c r="F2500" t="s">
        <v>70</v>
      </c>
      <c r="G2500">
        <v>-169.71539999999999</v>
      </c>
      <c r="H2500">
        <v>7.5457710000000002</v>
      </c>
      <c r="I2500">
        <v>194.6009</v>
      </c>
      <c r="J2500">
        <v>-261.75900000000001</v>
      </c>
      <c r="K2500">
        <v>1.109569</v>
      </c>
      <c r="L2500">
        <v>214.65260000000001</v>
      </c>
      <c r="M2500">
        <v>0.99987999999999999</v>
      </c>
      <c r="N2500">
        <v>-1.438979E-2</v>
      </c>
      <c r="O2500">
        <v>5.7717990000000002E-3</v>
      </c>
      <c r="P2500">
        <v>0.99492760000000002</v>
      </c>
      <c r="Q2500">
        <v>-8.6829379999999998E-2</v>
      </c>
      <c r="R2500">
        <v>5.0793699999999997E-2</v>
      </c>
      <c r="S2500">
        <v>3.069</v>
      </c>
      <c r="T2500">
        <v>0.21347859999999999</v>
      </c>
      <c r="U2500">
        <v>-0.66497799999999996</v>
      </c>
      <c r="V2500">
        <v>-4.4934519999999999E-2</v>
      </c>
      <c r="W2500">
        <v>-7.2571099999999999E-2</v>
      </c>
      <c r="X2500">
        <v>0.99635050000000003</v>
      </c>
      <c r="Y2500">
        <v>0.2169866</v>
      </c>
      <c r="Z2500">
        <v>6.3493639999999997E-3</v>
      </c>
      <c r="AA2500">
        <v>0.97615390000000002</v>
      </c>
      <c r="AB2500">
        <v>42</v>
      </c>
      <c r="AC2500">
        <v>92.043599999999998</v>
      </c>
      <c r="AD2500">
        <v>6.4362019999999998</v>
      </c>
      <c r="AE2500">
        <v>-20.0517</v>
      </c>
      <c r="AF2500">
        <v>20.4870435046384</v>
      </c>
      <c r="AG2500">
        <v>6.4362019999999998</v>
      </c>
      <c r="AH2500">
        <v>91.499197578572307</v>
      </c>
      <c r="AI2500">
        <v>86.073259984706198</v>
      </c>
      <c r="AJ2500">
        <v>77.379396546240301</v>
      </c>
      <c r="AK2500">
        <v>93.985354206218602</v>
      </c>
      <c r="AL2500">
        <v>94.161676177854005</v>
      </c>
      <c r="AM2500">
        <v>92.582238868039198</v>
      </c>
      <c r="AN2500">
        <v>0.99999999724654498</v>
      </c>
    </row>
    <row r="2501" spans="1:40" x14ac:dyDescent="0.25">
      <c r="A2501" t="str">
        <f>"20190305135635097"</f>
        <v>20190305135635097</v>
      </c>
      <c r="B2501" t="str">
        <f>"1551765395094540"</f>
        <v>1551765395094540</v>
      </c>
      <c r="C2501" t="s">
        <v>40</v>
      </c>
      <c r="D2501">
        <v>4.2335120000000002</v>
      </c>
      <c r="E2501">
        <v>0.6071143</v>
      </c>
      <c r="F2501" t="s">
        <v>70</v>
      </c>
      <c r="G2501">
        <v>-169.71530000000001</v>
      </c>
      <c r="H2501">
        <v>6.8868259999999903</v>
      </c>
      <c r="I2501">
        <v>194.30930000000001</v>
      </c>
      <c r="J2501">
        <v>-261.26909999999998</v>
      </c>
      <c r="K2501">
        <v>1.1095680000000001</v>
      </c>
      <c r="L2501">
        <v>214.65610000000001</v>
      </c>
      <c r="M2501">
        <v>0.99987590000000004</v>
      </c>
      <c r="N2501">
        <v>-1.438684E-2</v>
      </c>
      <c r="O2501">
        <v>6.438732E-3</v>
      </c>
      <c r="P2501">
        <v>0.99497950000000002</v>
      </c>
      <c r="Q2501">
        <v>-8.7312089999999995E-2</v>
      </c>
      <c r="R2501">
        <v>4.8915729999999998E-2</v>
      </c>
      <c r="S2501">
        <v>3.0667110000000002</v>
      </c>
      <c r="T2501">
        <v>0.19248770000000001</v>
      </c>
      <c r="U2501">
        <v>-0.67779540000000005</v>
      </c>
      <c r="V2501">
        <v>-4.2392539999999999E-2</v>
      </c>
      <c r="W2501">
        <v>-7.3051069999999996E-2</v>
      </c>
      <c r="X2501">
        <v>0.99642679999999995</v>
      </c>
      <c r="Y2501">
        <v>0.22175629999999999</v>
      </c>
      <c r="Z2501">
        <v>5.7449669999999897E-3</v>
      </c>
      <c r="AA2501">
        <v>0.97508519999999999</v>
      </c>
      <c r="AB2501">
        <v>42</v>
      </c>
      <c r="AC2501">
        <v>91.553799999999896</v>
      </c>
      <c r="AD2501">
        <v>5.77725799999999</v>
      </c>
      <c r="AE2501">
        <v>-20.346800000000002</v>
      </c>
      <c r="AF2501">
        <v>20.856788518067699</v>
      </c>
      <c r="AG2501">
        <v>5.77725799999999</v>
      </c>
      <c r="AH2501">
        <v>91.075296032242406</v>
      </c>
      <c r="AI2501">
        <v>86.461723345326405</v>
      </c>
      <c r="AJ2501">
        <v>77.101338262901706</v>
      </c>
      <c r="AK2501">
        <v>93.611387579965694</v>
      </c>
      <c r="AL2501">
        <v>94.189249705188303</v>
      </c>
      <c r="AM2501">
        <v>92.436154605344001</v>
      </c>
      <c r="AN2501">
        <v>0.99999997701701704</v>
      </c>
    </row>
    <row r="2502" spans="1:40" x14ac:dyDescent="0.25">
      <c r="A2502" t="str">
        <f>"20190305135635135"</f>
        <v>20190305135635135</v>
      </c>
      <c r="B2502" t="str">
        <f>"1551765395124796"</f>
        <v>1551765395124796</v>
      </c>
      <c r="C2502" t="s">
        <v>40</v>
      </c>
      <c r="D2502">
        <v>4.1616980000000003</v>
      </c>
      <c r="E2502">
        <v>0.60727889999999995</v>
      </c>
      <c r="F2502" t="s">
        <v>70</v>
      </c>
      <c r="G2502">
        <v>-168.41679999999999</v>
      </c>
      <c r="H2502">
        <v>6.5261149999999999</v>
      </c>
      <c r="I2502">
        <v>193.9725</v>
      </c>
      <c r="J2502">
        <v>-260.56709999999998</v>
      </c>
      <c r="K2502">
        <v>1.109569</v>
      </c>
      <c r="L2502">
        <v>214.66149999999999</v>
      </c>
      <c r="M2502">
        <v>0.99986929999999996</v>
      </c>
      <c r="N2502">
        <v>-1.4382860000000001E-2</v>
      </c>
      <c r="O2502">
        <v>7.3953780000000002E-3</v>
      </c>
      <c r="P2502">
        <v>0.99502210000000002</v>
      </c>
      <c r="Q2502">
        <v>-8.8345099999999996E-2</v>
      </c>
      <c r="R2502">
        <v>4.6111949999999999E-2</v>
      </c>
      <c r="S2502">
        <v>3.0643919999999998</v>
      </c>
      <c r="T2502">
        <v>0.17876259999999999</v>
      </c>
      <c r="U2502">
        <v>-0.68261719999999904</v>
      </c>
      <c r="V2502">
        <v>-3.8636219999999999E-2</v>
      </c>
      <c r="W2502">
        <v>-7.4080510000000002E-2</v>
      </c>
      <c r="X2502">
        <v>0.99650349999999999</v>
      </c>
      <c r="Y2502">
        <v>0.22435240000000001</v>
      </c>
      <c r="Z2502">
        <v>5.3562059999999996E-3</v>
      </c>
      <c r="AA2502">
        <v>0.97449330000000001</v>
      </c>
      <c r="AB2502">
        <v>42</v>
      </c>
      <c r="AC2502">
        <v>92.150300000000001</v>
      </c>
      <c r="AD2502">
        <v>5.4165460000000003</v>
      </c>
      <c r="AE2502">
        <v>-20.689</v>
      </c>
      <c r="AF2502">
        <v>21.2999305250828</v>
      </c>
      <c r="AG2502">
        <v>5.4165460000000003</v>
      </c>
      <c r="AH2502">
        <v>91.693160992598905</v>
      </c>
      <c r="AI2502">
        <v>86.706807078109193</v>
      </c>
      <c r="AJ2502">
        <v>76.9223708525181</v>
      </c>
      <c r="AK2502">
        <v>94.290305884317405</v>
      </c>
      <c r="AL2502">
        <v>94.248392636289097</v>
      </c>
      <c r="AM2502">
        <v>92.220347541592403</v>
      </c>
      <c r="AN2502">
        <v>0.99999995248499796</v>
      </c>
    </row>
    <row r="2503" spans="1:40" x14ac:dyDescent="0.25">
      <c r="A2503" t="str">
        <f>"20190305135635156"</f>
        <v>20190305135635156</v>
      </c>
      <c r="B2503" t="str">
        <f>"1551765395145205"</f>
        <v>1551765395145205</v>
      </c>
      <c r="C2503" t="s">
        <v>40</v>
      </c>
      <c r="D2503">
        <v>4.0833250000000003</v>
      </c>
      <c r="E2503">
        <v>0.60721069999999999</v>
      </c>
      <c r="F2503" t="s">
        <v>70</v>
      </c>
      <c r="G2503">
        <v>-168.41679999999999</v>
      </c>
      <c r="H2503">
        <v>6.2954559999999997</v>
      </c>
      <c r="I2503">
        <v>193.82259999999999</v>
      </c>
      <c r="J2503">
        <v>-260.1542</v>
      </c>
      <c r="K2503">
        <v>1.1095680000000001</v>
      </c>
      <c r="L2503">
        <v>214.6651</v>
      </c>
      <c r="M2503">
        <v>0.99986509999999995</v>
      </c>
      <c r="N2503">
        <v>-1.438029E-2</v>
      </c>
      <c r="O2503">
        <v>7.9584029999999993E-3</v>
      </c>
      <c r="P2503">
        <v>0.99499170000000003</v>
      </c>
      <c r="Q2503">
        <v>-8.8930819999999994E-2</v>
      </c>
      <c r="R2503">
        <v>4.5641019999999997E-2</v>
      </c>
      <c r="S2503">
        <v>3.062408</v>
      </c>
      <c r="T2503">
        <v>0.172342299999999</v>
      </c>
      <c r="U2503">
        <v>-0.69253540000000002</v>
      </c>
      <c r="V2503">
        <v>-3.7604390000000001E-2</v>
      </c>
      <c r="W2503">
        <v>-7.4667029999999995E-2</v>
      </c>
      <c r="X2503">
        <v>0.99649920000000003</v>
      </c>
      <c r="Y2503">
        <v>0.22805590000000001</v>
      </c>
      <c r="Z2503">
        <v>5.2260320000000002E-3</v>
      </c>
      <c r="AA2503">
        <v>0.973634</v>
      </c>
      <c r="AB2503">
        <v>42</v>
      </c>
      <c r="AC2503">
        <v>91.737399999999994</v>
      </c>
      <c r="AD2503">
        <v>5.1858879999999896</v>
      </c>
      <c r="AE2503">
        <v>-20.842500000000001</v>
      </c>
      <c r="AF2503">
        <v>21.506645042583798</v>
      </c>
      <c r="AG2503">
        <v>5.1858879999999896</v>
      </c>
      <c r="AH2503">
        <v>91.291192856187905</v>
      </c>
      <c r="AI2503">
        <v>86.835202619292204</v>
      </c>
      <c r="AJ2503">
        <v>76.743802426751401</v>
      </c>
      <c r="AK2503">
        <v>93.933546235846705</v>
      </c>
      <c r="AL2503">
        <v>94.282091075825804</v>
      </c>
      <c r="AM2503">
        <v>92.161116613179104</v>
      </c>
      <c r="AN2503">
        <v>0.99999995555846499</v>
      </c>
    </row>
    <row r="2504" spans="1:40" x14ac:dyDescent="0.25">
      <c r="A2504" t="str">
        <f>"20190305135635180"</f>
        <v>20190305135635180</v>
      </c>
      <c r="B2504" t="str">
        <f>"1551765395174486"</f>
        <v>1551765395174486</v>
      </c>
      <c r="C2504" t="s">
        <v>40</v>
      </c>
      <c r="D2504">
        <v>4.2854289999999997</v>
      </c>
      <c r="E2504">
        <v>0.60451009999999905</v>
      </c>
      <c r="F2504" t="s">
        <v>70</v>
      </c>
      <c r="G2504">
        <v>-168.41669999999999</v>
      </c>
      <c r="H2504">
        <v>6.150531</v>
      </c>
      <c r="I2504">
        <v>193.88730000000001</v>
      </c>
      <c r="J2504">
        <v>-259.7278</v>
      </c>
      <c r="K2504">
        <v>1.1095660000000001</v>
      </c>
      <c r="L2504">
        <v>214.66900000000001</v>
      </c>
      <c r="M2504">
        <v>0.99986030000000004</v>
      </c>
      <c r="N2504">
        <v>-1.43775E-2</v>
      </c>
      <c r="O2504">
        <v>8.5400919999999905E-3</v>
      </c>
      <c r="P2504">
        <v>0.99506030000000001</v>
      </c>
      <c r="Q2504">
        <v>-8.8387610000000005E-2</v>
      </c>
      <c r="R2504">
        <v>4.5200499999999998E-2</v>
      </c>
      <c r="S2504">
        <v>3.0619809999999998</v>
      </c>
      <c r="T2504">
        <v>0.168256399999999</v>
      </c>
      <c r="U2504">
        <v>-0.69351200000000002</v>
      </c>
      <c r="V2504">
        <v>-3.6585670000000001E-2</v>
      </c>
      <c r="W2504">
        <v>-7.4123579999999994E-2</v>
      </c>
      <c r="X2504">
        <v>0.99657770000000001</v>
      </c>
      <c r="Y2504">
        <v>0.2289591</v>
      </c>
      <c r="Z2504">
        <v>5.1243319999999997E-3</v>
      </c>
      <c r="AA2504">
        <v>0.97342260000000003</v>
      </c>
      <c r="AB2504">
        <v>42</v>
      </c>
      <c r="AC2504">
        <v>91.311099999999996</v>
      </c>
      <c r="AD2504">
        <v>5.0409649999999999</v>
      </c>
      <c r="AE2504">
        <v>-20.781700000000001</v>
      </c>
      <c r="AF2504">
        <v>21.498532206447798</v>
      </c>
      <c r="AG2504">
        <v>5.0409649999999999</v>
      </c>
      <c r="AH2504">
        <v>90.866971693636799</v>
      </c>
      <c r="AI2504">
        <v>86.909834375726703</v>
      </c>
      <c r="AJ2504">
        <v>76.688958542843494</v>
      </c>
      <c r="AK2504">
        <v>93.511522070465105</v>
      </c>
      <c r="AL2504">
        <v>94.2508671188519</v>
      </c>
      <c r="AM2504">
        <v>92.1024587881749</v>
      </c>
      <c r="AN2504">
        <v>0.99999996424932702</v>
      </c>
    </row>
    <row r="2505" spans="1:40" x14ac:dyDescent="0.25">
      <c r="A2505" t="str">
        <f>"20190305135635202"</f>
        <v>20190305135635202</v>
      </c>
      <c r="B2505" t="str">
        <f>"1551765395194981"</f>
        <v>1551765395194981</v>
      </c>
      <c r="C2505" t="s">
        <v>40</v>
      </c>
      <c r="D2505">
        <v>4.2934469999999996</v>
      </c>
      <c r="E2505">
        <v>0.60191539999999999</v>
      </c>
      <c r="F2505" t="s">
        <v>70</v>
      </c>
      <c r="G2505">
        <v>-168.41630000000001</v>
      </c>
      <c r="H2505">
        <v>5.4218250000000001</v>
      </c>
      <c r="I2505">
        <v>194.51300000000001</v>
      </c>
      <c r="J2505">
        <v>-259.30610000000001</v>
      </c>
      <c r="K2505">
        <v>1.1095660000000001</v>
      </c>
      <c r="L2505">
        <v>214.67310000000001</v>
      </c>
      <c r="M2505">
        <v>0.99985520000000006</v>
      </c>
      <c r="N2505">
        <v>-1.437476E-2</v>
      </c>
      <c r="O2505">
        <v>9.1154110000000003E-3</v>
      </c>
      <c r="P2505">
        <v>0.99507699999999999</v>
      </c>
      <c r="Q2505">
        <v>-8.810482E-2</v>
      </c>
      <c r="R2505">
        <v>4.538379E-2</v>
      </c>
      <c r="S2505">
        <v>3.058411</v>
      </c>
      <c r="T2505">
        <v>0.14443699999999901</v>
      </c>
      <c r="U2505">
        <v>-0.67510990000000004</v>
      </c>
      <c r="V2505">
        <v>-3.6197229999999997E-2</v>
      </c>
      <c r="W2505">
        <v>-7.3842199999999997E-2</v>
      </c>
      <c r="X2505">
        <v>0.99661279999999997</v>
      </c>
      <c r="Y2505">
        <v>0.22426299999999999</v>
      </c>
      <c r="Z2505">
        <v>4.1526380000000002E-3</v>
      </c>
      <c r="AA2505">
        <v>0.97451980000000005</v>
      </c>
      <c r="AB2505">
        <v>42</v>
      </c>
      <c r="AC2505">
        <v>90.889799999999994</v>
      </c>
      <c r="AD2505">
        <v>4.3122590000000001</v>
      </c>
      <c r="AE2505">
        <v>-20.1601</v>
      </c>
      <c r="AF2505">
        <v>20.94291338307</v>
      </c>
      <c r="AG2505">
        <v>4.3122590000000001</v>
      </c>
      <c r="AH2505">
        <v>90.508054596071403</v>
      </c>
      <c r="AI2505">
        <v>87.342320841108702</v>
      </c>
      <c r="AJ2505">
        <v>76.971465701287997</v>
      </c>
      <c r="AK2505">
        <v>92.999511533229594</v>
      </c>
      <c r="AL2505">
        <v>94.234700812721499</v>
      </c>
      <c r="AM2505">
        <v>92.080082929871196</v>
      </c>
      <c r="AN2505">
        <v>0.999999991542176</v>
      </c>
    </row>
    <row r="2506" spans="1:40" x14ac:dyDescent="0.25">
      <c r="A2506" t="str">
        <f>"20190305135635226"</f>
        <v>20190305135635226</v>
      </c>
      <c r="B2506" t="str">
        <f>"1551765395214501"</f>
        <v>1551765395214501</v>
      </c>
      <c r="C2506" t="s">
        <v>40</v>
      </c>
      <c r="D2506">
        <v>4.2795519999999998</v>
      </c>
      <c r="E2506">
        <v>0.60002759999999999</v>
      </c>
      <c r="F2506" t="s">
        <v>70</v>
      </c>
      <c r="G2506">
        <v>-168.41579999999999</v>
      </c>
      <c r="H2506">
        <v>4.7219189999999998</v>
      </c>
      <c r="I2506">
        <v>195.17500000000001</v>
      </c>
      <c r="J2506">
        <v>-258.85129999999998</v>
      </c>
      <c r="K2506">
        <v>1.109553</v>
      </c>
      <c r="L2506">
        <v>214.67779999999999</v>
      </c>
      <c r="M2506">
        <v>0.99984930000000005</v>
      </c>
      <c r="N2506">
        <v>-1.4371760000000001E-2</v>
      </c>
      <c r="O2506">
        <v>9.7354980000000004E-3</v>
      </c>
      <c r="P2506">
        <v>0.9950175</v>
      </c>
      <c r="Q2506">
        <v>-8.8632429999999998E-2</v>
      </c>
      <c r="R2506">
        <v>4.5658129999999998E-2</v>
      </c>
      <c r="S2506">
        <v>3.0554809999999999</v>
      </c>
      <c r="T2506">
        <v>0.1214384</v>
      </c>
      <c r="U2506">
        <v>-0.65547180000000005</v>
      </c>
      <c r="V2506">
        <v>-3.5854129999999998E-2</v>
      </c>
      <c r="W2506">
        <v>-7.4372560000000004E-2</v>
      </c>
      <c r="X2506">
        <v>0.99658579999999997</v>
      </c>
      <c r="Y2506">
        <v>0.2191437</v>
      </c>
      <c r="Z2506">
        <v>3.232113E-3</v>
      </c>
      <c r="AA2506">
        <v>0.97568730000000004</v>
      </c>
      <c r="AB2506">
        <v>42</v>
      </c>
      <c r="AC2506">
        <v>90.435500000000005</v>
      </c>
      <c r="AD2506">
        <v>3.6123660000000002</v>
      </c>
      <c r="AE2506">
        <v>-19.502799999999901</v>
      </c>
      <c r="AF2506">
        <v>20.3513728915817</v>
      </c>
      <c r="AG2506">
        <v>3.6123660000000002</v>
      </c>
      <c r="AH2506">
        <v>90.103949289752194</v>
      </c>
      <c r="AI2506">
        <v>87.760532265408798</v>
      </c>
      <c r="AJ2506">
        <v>77.272425672012005</v>
      </c>
      <c r="AK2506">
        <v>92.444303471335701</v>
      </c>
      <c r="AL2506">
        <v>94.265171841001901</v>
      </c>
      <c r="AM2506">
        <v>92.060439449194305</v>
      </c>
      <c r="AN2506">
        <v>1.0000000265403199</v>
      </c>
    </row>
    <row r="2507" spans="1:40" x14ac:dyDescent="0.25">
      <c r="A2507" t="str">
        <f>"20190305135635246"</f>
        <v>20190305135635246</v>
      </c>
      <c r="B2507" t="str">
        <f>"1551765395234997"</f>
        <v>1551765395234997</v>
      </c>
      <c r="C2507" t="s">
        <v>40</v>
      </c>
      <c r="D2507">
        <v>4.2660799999999997</v>
      </c>
      <c r="E2507">
        <v>0.5982864</v>
      </c>
      <c r="F2507" t="s">
        <v>70</v>
      </c>
      <c r="G2507">
        <v>-168.41540000000001</v>
      </c>
      <c r="H2507">
        <v>4.1013409999999997</v>
      </c>
      <c r="I2507">
        <v>195.70689999999999</v>
      </c>
      <c r="J2507">
        <v>-258.48270000000002</v>
      </c>
      <c r="K2507">
        <v>1.109548</v>
      </c>
      <c r="L2507">
        <v>214.68190000000001</v>
      </c>
      <c r="M2507">
        <v>0.99984439999999997</v>
      </c>
      <c r="N2507">
        <v>-1.436948E-2</v>
      </c>
      <c r="O2507">
        <v>1.0238529999999999E-2</v>
      </c>
      <c r="P2507">
        <v>0.99494919999999998</v>
      </c>
      <c r="Q2507">
        <v>-8.9449699999999993E-2</v>
      </c>
      <c r="R2507">
        <v>4.5550130000000001E-2</v>
      </c>
      <c r="S2507">
        <v>3.0534059999999998</v>
      </c>
      <c r="T2507">
        <v>0.1010134</v>
      </c>
      <c r="U2507">
        <v>-0.64051819999999904</v>
      </c>
      <c r="V2507">
        <v>-3.5245110000000003E-2</v>
      </c>
      <c r="W2507">
        <v>-7.5191709999999995E-2</v>
      </c>
      <c r="X2507">
        <v>0.99654600000000004</v>
      </c>
      <c r="Y2507">
        <v>0.2152405</v>
      </c>
      <c r="Z2507">
        <v>2.4381730000000001E-3</v>
      </c>
      <c r="AA2507">
        <v>0.97655800000000004</v>
      </c>
      <c r="AB2507">
        <v>42</v>
      </c>
      <c r="AC2507">
        <v>90.067300000000003</v>
      </c>
      <c r="AD2507">
        <v>2.9917929999999999</v>
      </c>
      <c r="AE2507">
        <v>-18.975000000000001</v>
      </c>
      <c r="AF2507">
        <v>19.875258967318</v>
      </c>
      <c r="AG2507">
        <v>2.9917929999999999</v>
      </c>
      <c r="AH2507">
        <v>89.773436573549702</v>
      </c>
      <c r="AI2507">
        <v>88.136358996869305</v>
      </c>
      <c r="AJ2507">
        <v>77.516445835839704</v>
      </c>
      <c r="AK2507">
        <v>91.995905662143201</v>
      </c>
      <c r="AL2507">
        <v>94.312237709333004</v>
      </c>
      <c r="AM2507">
        <v>92.025550952882497</v>
      </c>
      <c r="AN2507">
        <v>0.99999997057381695</v>
      </c>
    </row>
    <row r="2508" spans="1:40" x14ac:dyDescent="0.25">
      <c r="A2508" t="str">
        <f>"20190305135635273"</f>
        <v>20190305135635273</v>
      </c>
      <c r="B2508" t="str">
        <f>"1551765395264277"</f>
        <v>1551765395264277</v>
      </c>
      <c r="C2508" t="s">
        <v>40</v>
      </c>
      <c r="D2508">
        <v>4.1762639999999998</v>
      </c>
      <c r="E2508">
        <v>0.59638649999999904</v>
      </c>
      <c r="F2508" t="s">
        <v>70</v>
      </c>
      <c r="G2508">
        <v>-168.4151</v>
      </c>
      <c r="H2508">
        <v>3.5123790000000001</v>
      </c>
      <c r="I2508">
        <v>196.14500000000001</v>
      </c>
      <c r="J2508">
        <v>-258.00049999999999</v>
      </c>
      <c r="K2508">
        <v>1.1095429999999999</v>
      </c>
      <c r="L2508">
        <v>214.6874</v>
      </c>
      <c r="M2508">
        <v>0.99983750000000005</v>
      </c>
      <c r="N2508">
        <v>-1.4366530000000001E-2</v>
      </c>
      <c r="O2508">
        <v>1.0896350000000001E-2</v>
      </c>
      <c r="P2508">
        <v>0.9949268</v>
      </c>
      <c r="Q2508">
        <v>-8.9832170000000003E-2</v>
      </c>
      <c r="R2508">
        <v>4.5288780000000001E-2</v>
      </c>
      <c r="S2508">
        <v>3.0512999999999999</v>
      </c>
      <c r="T2508">
        <v>8.1403970000000006E-2</v>
      </c>
      <c r="U2508">
        <v>-0.62799069999999901</v>
      </c>
      <c r="V2508">
        <v>-3.4328400000000002E-2</v>
      </c>
      <c r="W2508">
        <v>-7.5575580000000003E-2</v>
      </c>
      <c r="X2508">
        <v>0.99654900000000002</v>
      </c>
      <c r="Y2508">
        <v>0.21220629999999999</v>
      </c>
      <c r="Z2508">
        <v>1.70304299999999E-3</v>
      </c>
      <c r="AA2508">
        <v>0.97722339999999996</v>
      </c>
      <c r="AB2508">
        <v>42</v>
      </c>
      <c r="AC2508">
        <v>89.585399999999893</v>
      </c>
      <c r="AD2508">
        <v>2.4028360000000002</v>
      </c>
      <c r="AE2508">
        <v>-18.542399999999901</v>
      </c>
      <c r="AF2508">
        <v>19.504098581162001</v>
      </c>
      <c r="AG2508">
        <v>2.4028360000000002</v>
      </c>
      <c r="AH2508">
        <v>89.316400093246898</v>
      </c>
      <c r="AI2508">
        <v>88.494433153453798</v>
      </c>
      <c r="AJ2508">
        <v>77.681645785750305</v>
      </c>
      <c r="AK2508">
        <v>91.4527353769341</v>
      </c>
      <c r="AL2508">
        <v>94.3342944374442</v>
      </c>
      <c r="AM2508">
        <v>91.972903507464494</v>
      </c>
      <c r="AN2508">
        <v>1.0000000083699401</v>
      </c>
    </row>
    <row r="2509" spans="1:40" x14ac:dyDescent="0.25">
      <c r="A2509" t="str">
        <f>"20190305135635310"</f>
        <v>20190305135635310</v>
      </c>
      <c r="B2509" t="str">
        <f>"1551765395304293"</f>
        <v>1551765395304293</v>
      </c>
      <c r="C2509" t="s">
        <v>40</v>
      </c>
      <c r="D2509">
        <v>4.1726960000000002</v>
      </c>
      <c r="E2509">
        <v>0.59445380000000003</v>
      </c>
      <c r="F2509" t="s">
        <v>70</v>
      </c>
      <c r="G2509">
        <v>-168.41470000000001</v>
      </c>
      <c r="H2509">
        <v>2.8751000000000002</v>
      </c>
      <c r="I2509">
        <v>196.62049999999999</v>
      </c>
      <c r="J2509">
        <v>-257.31209999999999</v>
      </c>
      <c r="K2509">
        <v>1.10954</v>
      </c>
      <c r="L2509">
        <v>214.69579999999999</v>
      </c>
      <c r="M2509">
        <v>0.99982680000000002</v>
      </c>
      <c r="N2509">
        <v>-1.436221E-2</v>
      </c>
      <c r="O2509">
        <v>1.183494E-2</v>
      </c>
      <c r="P2509">
        <v>0.99492259999999999</v>
      </c>
      <c r="Q2509">
        <v>-9.0286959999999999E-2</v>
      </c>
      <c r="R2509">
        <v>4.4468479999999998E-2</v>
      </c>
      <c r="S2509">
        <v>3.0487060000000001</v>
      </c>
      <c r="T2509">
        <v>6.0085060000000003E-2</v>
      </c>
      <c r="U2509">
        <v>-0.61483759999999998</v>
      </c>
      <c r="V2509">
        <v>-3.2573770000000002E-2</v>
      </c>
      <c r="W2509">
        <v>-7.6031479999999999E-2</v>
      </c>
      <c r="X2509">
        <v>0.99657320000000005</v>
      </c>
      <c r="Y2509">
        <v>0.2092637</v>
      </c>
      <c r="Z2509">
        <v>9.2272649999999997E-4</v>
      </c>
      <c r="AA2509">
        <v>0.97785880000000003</v>
      </c>
      <c r="AB2509">
        <v>42</v>
      </c>
      <c r="AC2509">
        <v>88.897399999999905</v>
      </c>
      <c r="AD2509">
        <v>1.76556</v>
      </c>
      <c r="AE2509">
        <v>-18.075299999999999</v>
      </c>
      <c r="AF2509">
        <v>19.118995767215399</v>
      </c>
      <c r="AG2509">
        <v>1.76556</v>
      </c>
      <c r="AH2509">
        <v>88.643653658573697</v>
      </c>
      <c r="AI2509">
        <v>88.884604368234605</v>
      </c>
      <c r="AJ2509">
        <v>77.828679923654704</v>
      </c>
      <c r="AK2509">
        <v>90.699231172053302</v>
      </c>
      <c r="AL2509">
        <v>94.360491038227806</v>
      </c>
      <c r="AM2509">
        <v>91.872090608773604</v>
      </c>
      <c r="AN2509">
        <v>0.99999998970062098</v>
      </c>
    </row>
    <row r="2510" spans="1:40" x14ac:dyDescent="0.25">
      <c r="A2510" t="str">
        <f>"20190305135635336"</f>
        <v>20190305135635336</v>
      </c>
      <c r="B2510" t="str">
        <f>"1551765395324789"</f>
        <v>1551765395324789</v>
      </c>
      <c r="C2510" t="s">
        <v>40</v>
      </c>
      <c r="D2510">
        <v>4.1094790000000003</v>
      </c>
      <c r="E2510">
        <v>0.59369159999999999</v>
      </c>
      <c r="F2510" t="s">
        <v>70</v>
      </c>
      <c r="G2510">
        <v>-168.4143</v>
      </c>
      <c r="H2510">
        <v>2.1713749999999998</v>
      </c>
      <c r="I2510">
        <v>197.08529999999999</v>
      </c>
      <c r="J2510">
        <v>-256.81889999999999</v>
      </c>
      <c r="K2510">
        <v>1.109545</v>
      </c>
      <c r="L2510">
        <v>214.70230000000001</v>
      </c>
      <c r="M2510">
        <v>0.99981869999999995</v>
      </c>
      <c r="N2510">
        <v>-1.435906E-2</v>
      </c>
      <c r="O2510">
        <v>1.250244E-2</v>
      </c>
      <c r="P2510">
        <v>0.99505480000000002</v>
      </c>
      <c r="Q2510">
        <v>-9.0355279999999996E-2</v>
      </c>
      <c r="R2510">
        <v>4.1254480000000003E-2</v>
      </c>
      <c r="S2510">
        <v>3.0456089999999998</v>
      </c>
      <c r="T2510">
        <v>3.6379219999999997E-2</v>
      </c>
      <c r="U2510">
        <v>-0.60333249999999905</v>
      </c>
      <c r="V2510">
        <v>-2.8694299999999999E-2</v>
      </c>
      <c r="W2510">
        <v>-7.6095140000000006E-2</v>
      </c>
      <c r="X2510">
        <v>0.99668760000000001</v>
      </c>
      <c r="Y2510">
        <v>0.20657210000000001</v>
      </c>
      <c r="Z2510" s="1">
        <v>5.0069530000000001E-5</v>
      </c>
      <c r="AA2510">
        <v>0.97843139999999995</v>
      </c>
      <c r="AB2510">
        <v>42</v>
      </c>
      <c r="AC2510">
        <v>88.404599999999903</v>
      </c>
      <c r="AD2510">
        <v>1.0618299999999901</v>
      </c>
      <c r="AE2510">
        <v>-17.617000000000001</v>
      </c>
      <c r="AF2510">
        <v>18.7184127397068</v>
      </c>
      <c r="AG2510">
        <v>1.0618299999999901</v>
      </c>
      <c r="AH2510">
        <v>88.165177468271494</v>
      </c>
      <c r="AI2510">
        <v>89.325026780689498</v>
      </c>
      <c r="AJ2510">
        <v>78.013477208811807</v>
      </c>
      <c r="AK2510">
        <v>90.136590663585196</v>
      </c>
      <c r="AL2510">
        <v>94.364149028632198</v>
      </c>
      <c r="AM2510">
        <v>91.649070669424802</v>
      </c>
      <c r="AN2510">
        <v>1.00000000258893</v>
      </c>
    </row>
    <row r="2511" spans="1:40" x14ac:dyDescent="0.25">
      <c r="A2511" t="str">
        <f>"20190305135635358"</f>
        <v>20190305135635358</v>
      </c>
      <c r="B2511" t="str">
        <f>"1551765395355045"</f>
        <v>1551765395355045</v>
      </c>
      <c r="C2511" t="s">
        <v>40</v>
      </c>
      <c r="D2511">
        <v>4.034694</v>
      </c>
      <c r="E2511">
        <v>0.59350709999999995</v>
      </c>
      <c r="F2511" t="s">
        <v>70</v>
      </c>
      <c r="G2511">
        <v>-168.41419999999999</v>
      </c>
      <c r="H2511">
        <v>1.8809910000000001</v>
      </c>
      <c r="I2511">
        <v>197.0549</v>
      </c>
      <c r="J2511">
        <v>-256.41050000000001</v>
      </c>
      <c r="K2511">
        <v>1.109545</v>
      </c>
      <c r="L2511">
        <v>214.7079</v>
      </c>
      <c r="M2511">
        <v>0.99981200000000003</v>
      </c>
      <c r="N2511">
        <v>-1.435645E-2</v>
      </c>
      <c r="O2511">
        <v>1.304671E-2</v>
      </c>
      <c r="P2511">
        <v>0.99508319999999995</v>
      </c>
      <c r="Q2511">
        <v>-9.0691330000000001E-2</v>
      </c>
      <c r="R2511">
        <v>3.9810150000000002E-2</v>
      </c>
      <c r="S2511">
        <v>3.0424959999999999</v>
      </c>
      <c r="T2511">
        <v>2.6550890000000001E-2</v>
      </c>
      <c r="U2511">
        <v>-0.60734560000000004</v>
      </c>
      <c r="V2511">
        <v>-2.6708409999999998E-2</v>
      </c>
      <c r="W2511">
        <v>-7.6429999999999998E-2</v>
      </c>
      <c r="X2511">
        <v>0.99671719999999997</v>
      </c>
      <c r="Y2511">
        <v>0.20853930000000001</v>
      </c>
      <c r="Z2511">
        <v>-3.124089E-4</v>
      </c>
      <c r="AA2511">
        <v>0.97801389999999999</v>
      </c>
      <c r="AB2511">
        <v>42</v>
      </c>
      <c r="AC2511">
        <v>87.996300000000005</v>
      </c>
      <c r="AD2511">
        <v>0.77144599999999997</v>
      </c>
      <c r="AE2511">
        <v>-17.652999999999899</v>
      </c>
      <c r="AF2511">
        <v>18.798288659746699</v>
      </c>
      <c r="AG2511">
        <v>0.77144599999999997</v>
      </c>
      <c r="AH2511">
        <v>87.751988240668396</v>
      </c>
      <c r="AI2511">
        <v>89.507487344396296</v>
      </c>
      <c r="AJ2511">
        <v>77.908806778148403</v>
      </c>
      <c r="AK2511">
        <v>89.746210090769196</v>
      </c>
      <c r="AL2511">
        <v>94.383391008601194</v>
      </c>
      <c r="AM2511">
        <v>91.534951998452399</v>
      </c>
      <c r="AN2511">
        <v>1.0000000304202801</v>
      </c>
    </row>
    <row r="2512" spans="1:40" x14ac:dyDescent="0.25">
      <c r="A2512" t="str">
        <f>"20190305135635383"</f>
        <v>20190305135635383</v>
      </c>
      <c r="B2512" t="str">
        <f>"1551765395374565"</f>
        <v>1551765395374565</v>
      </c>
      <c r="C2512" t="s">
        <v>40</v>
      </c>
      <c r="D2512">
        <v>3.9613550000000002</v>
      </c>
      <c r="E2512">
        <v>0.5693473</v>
      </c>
      <c r="F2512" t="s">
        <v>70</v>
      </c>
      <c r="G2512">
        <v>-168.41419999999999</v>
      </c>
      <c r="H2512">
        <v>1.9442140000000001</v>
      </c>
      <c r="I2512">
        <v>197.05889999999999</v>
      </c>
      <c r="J2512">
        <v>-255.94290000000001</v>
      </c>
      <c r="K2512">
        <v>1.109529</v>
      </c>
      <c r="L2512">
        <v>214.71459999999999</v>
      </c>
      <c r="M2512">
        <v>0.99980380000000002</v>
      </c>
      <c r="N2512">
        <v>-1.435349E-2</v>
      </c>
      <c r="O2512">
        <v>1.36594E-2</v>
      </c>
      <c r="P2512">
        <v>0.99512619999999896</v>
      </c>
      <c r="Q2512">
        <v>-9.0963059999999998E-2</v>
      </c>
      <c r="R2512">
        <v>3.8073240000000001E-2</v>
      </c>
      <c r="S2512">
        <v>3.041855</v>
      </c>
      <c r="T2512">
        <v>2.8854009999999999E-2</v>
      </c>
      <c r="U2512">
        <v>-0.61009219999999997</v>
      </c>
      <c r="V2512">
        <v>-2.4362370000000001E-2</v>
      </c>
      <c r="W2512">
        <v>-7.670006E-2</v>
      </c>
      <c r="X2512">
        <v>0.99675659999999999</v>
      </c>
      <c r="Y2512">
        <v>0.2100264</v>
      </c>
      <c r="Z2512">
        <v>-2.1355739999999999E-4</v>
      </c>
      <c r="AA2512">
        <v>0.97769569999999995</v>
      </c>
      <c r="AB2512">
        <v>42</v>
      </c>
      <c r="AC2512">
        <v>87.528700000000001</v>
      </c>
      <c r="AD2512">
        <v>0.83468499999999901</v>
      </c>
      <c r="AE2512">
        <v>-17.6556999999999</v>
      </c>
      <c r="AF2512">
        <v>18.848118057759599</v>
      </c>
      <c r="AG2512">
        <v>0.83468499999999901</v>
      </c>
      <c r="AH2512">
        <v>87.271715328499099</v>
      </c>
      <c r="AI2512">
        <v>89.464376361198205</v>
      </c>
      <c r="AJ2512">
        <v>77.812980395806406</v>
      </c>
      <c r="AK2512">
        <v>89.287740198456405</v>
      </c>
      <c r="AL2512">
        <v>94.398909677499503</v>
      </c>
      <c r="AM2512">
        <v>91.4001242829831</v>
      </c>
      <c r="AN2512">
        <v>1.0000000719597799</v>
      </c>
    </row>
    <row r="2513" spans="1:40" x14ac:dyDescent="0.25">
      <c r="A2513" t="str">
        <f>"20190305135635402"</f>
        <v>20190305135635402</v>
      </c>
      <c r="B2513" t="str">
        <f>"1551765395395061"</f>
        <v>1551765395395061</v>
      </c>
      <c r="C2513" t="s">
        <v>40</v>
      </c>
      <c r="D2513">
        <v>4.0027350000000004</v>
      </c>
      <c r="E2513">
        <v>0.56708890000000001</v>
      </c>
      <c r="F2513" t="s">
        <v>70</v>
      </c>
      <c r="G2513">
        <v>-168.41309999999999</v>
      </c>
      <c r="H2513">
        <v>4.0879709999999996</v>
      </c>
      <c r="I2513">
        <v>202.66849999999999</v>
      </c>
      <c r="J2513">
        <v>-255.566</v>
      </c>
      <c r="K2513">
        <v>1.109518</v>
      </c>
      <c r="L2513">
        <v>214.7201</v>
      </c>
      <c r="M2513">
        <v>0.99979709999999999</v>
      </c>
      <c r="N2513">
        <v>-1.43511E-2</v>
      </c>
      <c r="O2513">
        <v>1.414138E-2</v>
      </c>
      <c r="P2513">
        <v>0.99513620000000003</v>
      </c>
      <c r="Q2513">
        <v>-9.1702480000000003E-2</v>
      </c>
      <c r="R2513">
        <v>3.5984389999999998E-2</v>
      </c>
      <c r="S2513">
        <v>3.0401760000000002</v>
      </c>
      <c r="T2513">
        <v>0.1034515</v>
      </c>
      <c r="U2513">
        <v>-0.41839599999999999</v>
      </c>
      <c r="V2513">
        <v>-2.179447E-2</v>
      </c>
      <c r="W2513">
        <v>-7.7437590000000001E-2</v>
      </c>
      <c r="X2513">
        <v>0.9967589</v>
      </c>
      <c r="Y2513">
        <v>0.15026919999999999</v>
      </c>
      <c r="Z2513">
        <v>2.1412100000000002E-3</v>
      </c>
      <c r="AA2513">
        <v>0.98864280000000004</v>
      </c>
      <c r="AB2513">
        <v>42</v>
      </c>
      <c r="AC2513">
        <v>87.152899999999903</v>
      </c>
      <c r="AD2513">
        <v>2.978453</v>
      </c>
      <c r="AE2513">
        <v>-12.051600000000001</v>
      </c>
      <c r="AF2513">
        <v>13.2677786400603</v>
      </c>
      <c r="AG2513">
        <v>2.978453</v>
      </c>
      <c r="AH2513">
        <v>86.874180165755902</v>
      </c>
      <c r="AI2513">
        <v>88.058891786002604</v>
      </c>
      <c r="AJ2513">
        <v>81.316652312131794</v>
      </c>
      <c r="AK2513">
        <v>87.931952734981806</v>
      </c>
      <c r="AL2513">
        <v>94.441293667840299</v>
      </c>
      <c r="AM2513">
        <v>91.252591977443601</v>
      </c>
      <c r="AN2513">
        <v>0.99999994199839704</v>
      </c>
    </row>
    <row r="2514" spans="1:40" x14ac:dyDescent="0.25">
      <c r="A2514" t="str">
        <f>"20190305135635426"</f>
        <v>20190305135635426</v>
      </c>
      <c r="B2514" t="str">
        <f>"1551765395414582"</f>
        <v>1551765395414582</v>
      </c>
      <c r="C2514" t="s">
        <v>40</v>
      </c>
      <c r="D2514">
        <v>3.9569839999999998</v>
      </c>
      <c r="E2514">
        <v>0.56934869999999904</v>
      </c>
      <c r="F2514" t="s">
        <v>70</v>
      </c>
      <c r="G2514">
        <v>-168.4127</v>
      </c>
      <c r="H2514">
        <v>3.2428759999999999</v>
      </c>
      <c r="I2514">
        <v>203.00739999999999</v>
      </c>
      <c r="J2514">
        <v>-255.15020000000001</v>
      </c>
      <c r="K2514">
        <v>1.109497</v>
      </c>
      <c r="L2514">
        <v>214.72649999999999</v>
      </c>
      <c r="M2514">
        <v>0.9997895</v>
      </c>
      <c r="N2514">
        <v>-1.434847E-2</v>
      </c>
      <c r="O2514">
        <v>1.46578E-2</v>
      </c>
      <c r="P2514">
        <v>0.99508479999999999</v>
      </c>
      <c r="Q2514">
        <v>-9.3069609999999997E-2</v>
      </c>
      <c r="R2514">
        <v>3.3827749999999997E-2</v>
      </c>
      <c r="S2514">
        <v>3.03627</v>
      </c>
      <c r="T2514">
        <v>7.4323650000000005E-2</v>
      </c>
      <c r="U2514">
        <v>-0.40805049999999998</v>
      </c>
      <c r="V2514">
        <v>-1.9125E-2</v>
      </c>
      <c r="W2514">
        <v>-7.8803699999999893E-2</v>
      </c>
      <c r="X2514">
        <v>0.99670669999999995</v>
      </c>
      <c r="Y2514">
        <v>0.14768039999999999</v>
      </c>
      <c r="Z2514">
        <v>1.301312E-3</v>
      </c>
      <c r="AA2514">
        <v>0.98903430000000003</v>
      </c>
      <c r="AB2514">
        <v>42</v>
      </c>
      <c r="AC2514">
        <v>86.737499999999997</v>
      </c>
      <c r="AD2514">
        <v>2.1333790000000001</v>
      </c>
      <c r="AE2514">
        <v>-11.7190999999999</v>
      </c>
      <c r="AF2514">
        <v>12.981640205012599</v>
      </c>
      <c r="AG2514">
        <v>2.1333790000000001</v>
      </c>
      <c r="AH2514">
        <v>86.504992469918804</v>
      </c>
      <c r="AI2514">
        <v>88.602900326252495</v>
      </c>
      <c r="AJ2514">
        <v>81.465418222036305</v>
      </c>
      <c r="AK2514">
        <v>87.499645774087199</v>
      </c>
      <c r="AL2514">
        <v>94.519805615393906</v>
      </c>
      <c r="AM2514">
        <v>91.099267546596195</v>
      </c>
      <c r="AN2514">
        <v>1.00000001729178</v>
      </c>
    </row>
    <row r="2515" spans="1:40" x14ac:dyDescent="0.25">
      <c r="A2515" t="str">
        <f>"20190305135635446"</f>
        <v>20190305135635446</v>
      </c>
      <c r="B2515" t="str">
        <f>"1551765395444837"</f>
        <v>1551765395444837</v>
      </c>
      <c r="C2515" t="s">
        <v>40</v>
      </c>
      <c r="D2515">
        <v>3.9866060000000001</v>
      </c>
      <c r="E2515">
        <v>0.56699709999999903</v>
      </c>
      <c r="F2515" t="s">
        <v>70</v>
      </c>
      <c r="G2515">
        <v>-168.41299999999899</v>
      </c>
      <c r="H2515">
        <v>3.4182679999999999</v>
      </c>
      <c r="I2515">
        <v>202.38419999999999</v>
      </c>
      <c r="J2515">
        <v>-254.75579999999999</v>
      </c>
      <c r="K2515">
        <v>1.10948</v>
      </c>
      <c r="L2515">
        <v>214.73259999999999</v>
      </c>
      <c r="M2515">
        <v>0.99978259999999997</v>
      </c>
      <c r="N2515">
        <v>-1.4346050000000001E-2</v>
      </c>
      <c r="O2515">
        <v>1.5130279999999999E-2</v>
      </c>
      <c r="P2515">
        <v>0.99500089999999997</v>
      </c>
      <c r="Q2515">
        <v>-9.4438170000000002E-2</v>
      </c>
      <c r="R2515">
        <v>3.2475440000000001E-2</v>
      </c>
      <c r="S2515">
        <v>3.0370789999999999</v>
      </c>
      <c r="T2515">
        <v>8.0842020000000001E-2</v>
      </c>
      <c r="U2515">
        <v>-0.43215940000000003</v>
      </c>
      <c r="V2515">
        <v>-1.730518E-2</v>
      </c>
      <c r="W2515">
        <v>-8.0172670000000001E-2</v>
      </c>
      <c r="X2515">
        <v>0.99663080000000004</v>
      </c>
      <c r="Y2515">
        <v>0.1558032</v>
      </c>
      <c r="Z2515">
        <v>1.5561570000000001E-3</v>
      </c>
      <c r="AA2515">
        <v>0.98778690000000002</v>
      </c>
      <c r="AB2515">
        <v>41</v>
      </c>
      <c r="AC2515">
        <v>86.342799999999997</v>
      </c>
      <c r="AD2515">
        <v>2.3087879999999998</v>
      </c>
      <c r="AE2515">
        <v>-12.3483999999999</v>
      </c>
      <c r="AF2515">
        <v>13.6439512959483</v>
      </c>
      <c r="AG2515">
        <v>2.3087879999999998</v>
      </c>
      <c r="AH2515">
        <v>86.0857414321313</v>
      </c>
      <c r="AI2515">
        <v>88.482647141787893</v>
      </c>
      <c r="AJ2515">
        <v>80.993955756799906</v>
      </c>
      <c r="AK2515">
        <v>87.190841187104795</v>
      </c>
      <c r="AL2515">
        <v>94.5984906990751</v>
      </c>
      <c r="AM2515">
        <v>90.994765714090605</v>
      </c>
      <c r="AN2515">
        <v>1.0000000388891901</v>
      </c>
    </row>
    <row r="2516" spans="1:40" x14ac:dyDescent="0.25">
      <c r="A2516" t="str">
        <f>"20190305135635472"</f>
        <v>20190305135635472</v>
      </c>
      <c r="B2516" t="str">
        <f>"1551765395464357"</f>
        <v>1551765395464357</v>
      </c>
      <c r="C2516" t="s">
        <v>40</v>
      </c>
      <c r="D2516">
        <v>4.1314630000000001</v>
      </c>
      <c r="E2516">
        <v>0.56409339999999997</v>
      </c>
      <c r="F2516" t="s">
        <v>70</v>
      </c>
      <c r="G2516">
        <v>-168.4126</v>
      </c>
      <c r="H2516">
        <v>2.6216750000000002</v>
      </c>
      <c r="I2516">
        <v>202.82220000000001</v>
      </c>
      <c r="J2516">
        <v>-254.3133</v>
      </c>
      <c r="K2516">
        <v>1.109467</v>
      </c>
      <c r="L2516">
        <v>214.7398</v>
      </c>
      <c r="M2516">
        <v>0.99977490000000002</v>
      </c>
      <c r="N2516">
        <v>-1.43432E-2</v>
      </c>
      <c r="O2516">
        <v>1.5639360000000001E-2</v>
      </c>
      <c r="P2516">
        <v>0.99506839999999996</v>
      </c>
      <c r="Q2516">
        <v>-9.4194219999999995E-2</v>
      </c>
      <c r="R2516">
        <v>3.1092069999999999E-2</v>
      </c>
      <c r="S2516">
        <v>3.0337679999999998</v>
      </c>
      <c r="T2516">
        <v>5.3133850000000003E-2</v>
      </c>
      <c r="U2516">
        <v>-0.41848750000000001</v>
      </c>
      <c r="V2516">
        <v>-1.5418319999999999E-2</v>
      </c>
      <c r="W2516">
        <v>-7.9927490000000004E-2</v>
      </c>
      <c r="X2516">
        <v>0.9966815</v>
      </c>
      <c r="Y2516">
        <v>0.152115</v>
      </c>
      <c r="Z2516">
        <v>7.2543779999999995E-4</v>
      </c>
      <c r="AA2516">
        <v>0.98836259999999998</v>
      </c>
      <c r="AB2516">
        <v>41</v>
      </c>
      <c r="AC2516">
        <v>85.900700000000001</v>
      </c>
      <c r="AD2516">
        <v>1.512208</v>
      </c>
      <c r="AE2516">
        <v>-11.917599999999901</v>
      </c>
      <c r="AF2516">
        <v>13.255681786727701</v>
      </c>
      <c r="AG2516">
        <v>1.512208</v>
      </c>
      <c r="AH2516">
        <v>85.677738588307093</v>
      </c>
      <c r="AI2516">
        <v>89.000723828318002</v>
      </c>
      <c r="AJ2516">
        <v>81.205180935237195</v>
      </c>
      <c r="AK2516">
        <v>86.710292135781302</v>
      </c>
      <c r="AL2516">
        <v>94.584397549182995</v>
      </c>
      <c r="AM2516">
        <v>90.8862753086444</v>
      </c>
      <c r="AN2516">
        <v>1.0000000703457801</v>
      </c>
    </row>
    <row r="2517" spans="1:40" x14ac:dyDescent="0.25">
      <c r="A2517" t="str">
        <f>"20190305135635496"</f>
        <v>20190305135635496</v>
      </c>
      <c r="B2517" t="str">
        <f>"1551765395484853"</f>
        <v>1551765395484853</v>
      </c>
      <c r="C2517" t="s">
        <v>40</v>
      </c>
      <c r="D2517">
        <v>4.1288919999999996</v>
      </c>
      <c r="E2517">
        <v>0.56153219999999904</v>
      </c>
      <c r="F2517" t="s">
        <v>70</v>
      </c>
      <c r="G2517">
        <v>-168.41220000000001</v>
      </c>
      <c r="H2517">
        <v>2.0128729999999999</v>
      </c>
      <c r="I2517">
        <v>203.38399999999999</v>
      </c>
      <c r="J2517">
        <v>-253.8546</v>
      </c>
      <c r="K2517">
        <v>1.1094569999999999</v>
      </c>
      <c r="L2517">
        <v>214.7475</v>
      </c>
      <c r="M2517">
        <v>0.99976690000000001</v>
      </c>
      <c r="N2517">
        <v>-1.434031E-2</v>
      </c>
      <c r="O2517">
        <v>1.614107E-2</v>
      </c>
      <c r="P2517">
        <v>0.99525410000000003</v>
      </c>
      <c r="Q2517">
        <v>-9.2757430000000002E-2</v>
      </c>
      <c r="R2517">
        <v>2.9417809999999999E-2</v>
      </c>
      <c r="S2517">
        <v>3.0303800000000001</v>
      </c>
      <c r="T2517">
        <v>3.1871080000000003E-2</v>
      </c>
      <c r="U2517">
        <v>-0.40060420000000002</v>
      </c>
      <c r="V2517">
        <v>-1.3247409999999999E-2</v>
      </c>
      <c r="W2517">
        <v>-7.8487790000000002E-2</v>
      </c>
      <c r="X2517">
        <v>0.99682709999999997</v>
      </c>
      <c r="Y2517">
        <v>0.14704039999999999</v>
      </c>
      <c r="Z2517">
        <v>1.104102E-4</v>
      </c>
      <c r="AA2517">
        <v>0.98913050000000002</v>
      </c>
      <c r="AB2517">
        <v>41</v>
      </c>
      <c r="AC2517">
        <v>85.442399999999907</v>
      </c>
      <c r="AD2517">
        <v>0.903416</v>
      </c>
      <c r="AE2517">
        <v>-11.363499999999901</v>
      </c>
      <c r="AF2517">
        <v>12.7398933508188</v>
      </c>
      <c r="AG2517">
        <v>0.903416</v>
      </c>
      <c r="AH2517">
        <v>85.238464999180906</v>
      </c>
      <c r="AI2517">
        <v>89.399433010677399</v>
      </c>
      <c r="AJ2517">
        <v>81.499395496434104</v>
      </c>
      <c r="AK2517">
        <v>86.190004980136095</v>
      </c>
      <c r="AL2517">
        <v>94.501648933528202</v>
      </c>
      <c r="AM2517">
        <v>90.761391823062297</v>
      </c>
      <c r="AN2517">
        <v>1.0000000471725901</v>
      </c>
    </row>
    <row r="2518" spans="1:40" x14ac:dyDescent="0.25">
      <c r="A2518" t="str">
        <f>"20190305135635522"</f>
        <v>20190305135635522</v>
      </c>
      <c r="B2518" t="str">
        <f>"1551765395515109"</f>
        <v>1551765395515109</v>
      </c>
      <c r="C2518" t="s">
        <v>40</v>
      </c>
      <c r="D2518">
        <v>4.0251659999999996</v>
      </c>
      <c r="E2518">
        <v>0.55993040000000005</v>
      </c>
      <c r="F2518" t="s">
        <v>70</v>
      </c>
      <c r="G2518">
        <v>-168.4119</v>
      </c>
      <c r="H2518">
        <v>1.534157</v>
      </c>
      <c r="I2518">
        <v>203.833</v>
      </c>
      <c r="J2518">
        <v>-253.3683</v>
      </c>
      <c r="K2518">
        <v>1.109434</v>
      </c>
      <c r="L2518">
        <v>214.75579999999999</v>
      </c>
      <c r="M2518">
        <v>0.9997587</v>
      </c>
      <c r="N2518">
        <v>-1.4337310000000001E-2</v>
      </c>
      <c r="O2518">
        <v>1.6650640000000001E-2</v>
      </c>
      <c r="P2518">
        <v>0.99532469999999995</v>
      </c>
      <c r="Q2518">
        <v>-9.2271549999999994E-2</v>
      </c>
      <c r="R2518">
        <v>2.854489E-2</v>
      </c>
      <c r="S2518">
        <v>3.027161</v>
      </c>
      <c r="T2518">
        <v>1.5047909999999999E-2</v>
      </c>
      <c r="U2518">
        <v>-0.38668819999999998</v>
      </c>
      <c r="V2518">
        <v>-1.187037E-2</v>
      </c>
      <c r="W2518">
        <v>-7.800166E-2</v>
      </c>
      <c r="X2518">
        <v>0.99688259999999995</v>
      </c>
      <c r="Y2518">
        <v>0.1432108</v>
      </c>
      <c r="Z2518">
        <v>-3.5615439999999999E-4</v>
      </c>
      <c r="AA2518">
        <v>0.98969220000000002</v>
      </c>
      <c r="AB2518">
        <v>41</v>
      </c>
      <c r="AC2518">
        <v>84.956400000000002</v>
      </c>
      <c r="AD2518">
        <v>0.42472300000000002</v>
      </c>
      <c r="AE2518">
        <v>-10.922799999999899</v>
      </c>
      <c r="AF2518">
        <v>12.3357058107096</v>
      </c>
      <c r="AG2518">
        <v>0.42472300000000002</v>
      </c>
      <c r="AH2518">
        <v>84.760645685384205</v>
      </c>
      <c r="AI2518">
        <v>89.715894719415999</v>
      </c>
      <c r="AJ2518">
        <v>81.719549839516205</v>
      </c>
      <c r="AK2518">
        <v>85.654638429441505</v>
      </c>
      <c r="AL2518">
        <v>94.473710107648401</v>
      </c>
      <c r="AM2518">
        <v>90.682216702884006</v>
      </c>
      <c r="AN2518">
        <v>1.0000000414147201</v>
      </c>
    </row>
    <row r="2519" spans="1:40" x14ac:dyDescent="0.25">
      <c r="A2519" t="str">
        <f>"20190305135635543"</f>
        <v>20190305135635543</v>
      </c>
      <c r="B2519" t="str">
        <f>"1551765395534629"</f>
        <v>1551765395534629</v>
      </c>
      <c r="C2519" t="s">
        <v>40</v>
      </c>
      <c r="D2519">
        <v>4.0287879999999996</v>
      </c>
      <c r="E2519">
        <v>0.55929589999999996</v>
      </c>
      <c r="F2519" t="s">
        <v>70</v>
      </c>
      <c r="G2519">
        <v>-168.4117</v>
      </c>
      <c r="H2519">
        <v>1.3204100000000001</v>
      </c>
      <c r="I2519">
        <v>204.1704</v>
      </c>
      <c r="J2519">
        <v>-252.9803</v>
      </c>
      <c r="K2519">
        <v>1.10941</v>
      </c>
      <c r="L2519">
        <v>214.76259999999999</v>
      </c>
      <c r="M2519">
        <v>0.99975210000000003</v>
      </c>
      <c r="N2519">
        <v>-1.4334919999999999E-2</v>
      </c>
      <c r="O2519">
        <v>1.7041690000000002E-2</v>
      </c>
      <c r="P2519">
        <v>0.99528309999999998</v>
      </c>
      <c r="Q2519">
        <v>-9.3107220000000004E-2</v>
      </c>
      <c r="R2519">
        <v>2.7255450000000001E-2</v>
      </c>
      <c r="S2519">
        <v>3.02562</v>
      </c>
      <c r="T2519">
        <v>7.5148339999999998E-3</v>
      </c>
      <c r="U2519">
        <v>-0.37698359999999997</v>
      </c>
      <c r="V2519">
        <v>-1.019454E-2</v>
      </c>
      <c r="W2519">
        <v>-7.883801E-2</v>
      </c>
      <c r="X2519">
        <v>0.99683529999999998</v>
      </c>
      <c r="Y2519">
        <v>0.14053550000000001</v>
      </c>
      <c r="Z2519">
        <v>-5.5187420000000001E-4</v>
      </c>
      <c r="AA2519">
        <v>0.9900755</v>
      </c>
      <c r="AB2519">
        <v>41</v>
      </c>
      <c r="AC2519">
        <v>84.568600000000004</v>
      </c>
      <c r="AD2519">
        <v>0.21099999999999999</v>
      </c>
      <c r="AE2519">
        <v>-10.592199999999901</v>
      </c>
      <c r="AF2519">
        <v>12.0319275801369</v>
      </c>
      <c r="AG2519">
        <v>0.21099999999999999</v>
      </c>
      <c r="AH2519">
        <v>84.375271758524903</v>
      </c>
      <c r="AI2519">
        <v>89.858153813364794</v>
      </c>
      <c r="AJ2519">
        <v>81.884327499312207</v>
      </c>
      <c r="AK2519">
        <v>85.229092959027696</v>
      </c>
      <c r="AL2519">
        <v>94.521777701899097</v>
      </c>
      <c r="AM2519">
        <v>90.585938071834804</v>
      </c>
      <c r="AN2519">
        <v>0.99999998789633004</v>
      </c>
    </row>
    <row r="2520" spans="1:40" x14ac:dyDescent="0.25">
      <c r="A2520" t="str">
        <f>"20190305135635562"</f>
        <v>20190305135635562</v>
      </c>
      <c r="B2520" t="str">
        <f>"1551765395555125"</f>
        <v>1551765395555125</v>
      </c>
      <c r="C2520" t="s">
        <v>40</v>
      </c>
      <c r="D2520">
        <v>4.0421519999999997</v>
      </c>
      <c r="E2520">
        <v>0.55880869999999905</v>
      </c>
      <c r="F2520" t="s">
        <v>70</v>
      </c>
      <c r="G2520">
        <v>-168.41159999999999</v>
      </c>
      <c r="H2520">
        <v>1.2039660000000001</v>
      </c>
      <c r="I2520">
        <v>204.25229999999999</v>
      </c>
      <c r="J2520">
        <v>-252.61170000000001</v>
      </c>
      <c r="K2520">
        <v>1.10938</v>
      </c>
      <c r="L2520">
        <v>214.76920000000001</v>
      </c>
      <c r="M2520">
        <v>0.99974600000000002</v>
      </c>
      <c r="N2520">
        <v>-1.4332599999999999E-2</v>
      </c>
      <c r="O2520">
        <v>1.74007999999999E-2</v>
      </c>
      <c r="P2520">
        <v>0.99523300000000003</v>
      </c>
      <c r="Q2520">
        <v>-9.3988000000000002E-2</v>
      </c>
      <c r="R2520">
        <v>2.6033029999999999E-2</v>
      </c>
      <c r="S2520">
        <v>3.0248409999999999</v>
      </c>
      <c r="T2520">
        <v>3.3832789999999999E-3</v>
      </c>
      <c r="U2520">
        <v>-0.37593080000000001</v>
      </c>
      <c r="V2520">
        <v>-8.6177359999999904E-3</v>
      </c>
      <c r="W2520">
        <v>-7.9719760000000001E-2</v>
      </c>
      <c r="X2520">
        <v>0.99678</v>
      </c>
      <c r="Y2520">
        <v>0.14058229999999999</v>
      </c>
      <c r="Z2520">
        <v>-6.6525549999999997E-4</v>
      </c>
      <c r="AA2520">
        <v>0.99006879999999997</v>
      </c>
      <c r="AB2520">
        <v>41</v>
      </c>
      <c r="AC2520">
        <v>84.200100000000006</v>
      </c>
      <c r="AD2520">
        <v>9.4586000000000003E-2</v>
      </c>
      <c r="AE2520">
        <v>-10.5169</v>
      </c>
      <c r="AF2520">
        <v>11.980591880940301</v>
      </c>
      <c r="AG2520">
        <v>9.4586000000000003E-2</v>
      </c>
      <c r="AH2520">
        <v>84.004223410569693</v>
      </c>
      <c r="AI2520">
        <v>89.936133119910394</v>
      </c>
      <c r="AJ2520">
        <v>81.883274097143698</v>
      </c>
      <c r="AK2520">
        <v>84.854305012426707</v>
      </c>
      <c r="AL2520">
        <v>94.572458007963206</v>
      </c>
      <c r="AM2520">
        <v>90.495342603305801</v>
      </c>
      <c r="AN2520">
        <v>0.99999993695410905</v>
      </c>
    </row>
    <row r="2521" spans="1:40" x14ac:dyDescent="0.25">
      <c r="A2521" t="str">
        <f>"20190305135635582"</f>
        <v>20190305135635582</v>
      </c>
      <c r="B2521" t="str">
        <f>"1551765395574645"</f>
        <v>1551765395574645</v>
      </c>
      <c r="C2521" t="s">
        <v>40</v>
      </c>
      <c r="D2521">
        <v>4.036035</v>
      </c>
      <c r="E2521">
        <v>0.55842559999999997</v>
      </c>
      <c r="F2521" t="s">
        <v>70</v>
      </c>
      <c r="G2521">
        <v>-168.41159999999999</v>
      </c>
      <c r="H2521">
        <v>1.0757410000000001</v>
      </c>
      <c r="I2521">
        <v>204.2927</v>
      </c>
      <c r="J2521">
        <v>-252.25710000000001</v>
      </c>
      <c r="K2521">
        <v>1.10937</v>
      </c>
      <c r="L2521">
        <v>214.7757</v>
      </c>
      <c r="M2521">
        <v>0.99974019999999997</v>
      </c>
      <c r="N2521">
        <v>-1.433038E-2</v>
      </c>
      <c r="O2521">
        <v>1.7734759999999999E-2</v>
      </c>
      <c r="P2521">
        <v>0.99522330000000003</v>
      </c>
      <c r="Q2521">
        <v>-9.4612299999999996E-2</v>
      </c>
      <c r="R2521">
        <v>2.4071530000000001E-2</v>
      </c>
      <c r="S2521">
        <v>3.0240939999999998</v>
      </c>
      <c r="T2521">
        <v>-1.2069940000000001E-3</v>
      </c>
      <c r="U2521">
        <v>-0.3762665</v>
      </c>
      <c r="V2521">
        <v>-6.3259689999999999E-3</v>
      </c>
      <c r="W2521">
        <v>-8.0343910000000004E-2</v>
      </c>
      <c r="X2521">
        <v>0.9967471</v>
      </c>
      <c r="Y2521">
        <v>0.14105009999999901</v>
      </c>
      <c r="Z2521">
        <v>-7.9655609999999995E-4</v>
      </c>
      <c r="AA2521">
        <v>0.99000220000000005</v>
      </c>
      <c r="AB2521">
        <v>41</v>
      </c>
      <c r="AC2521">
        <v>83.845500000000001</v>
      </c>
      <c r="AD2521">
        <v>-3.3628999999999902E-2</v>
      </c>
      <c r="AE2521">
        <v>-10.483000000000001</v>
      </c>
      <c r="AF2521">
        <v>11.968481337469999</v>
      </c>
      <c r="AG2521">
        <v>-3.3628999999999902E-2</v>
      </c>
      <c r="AH2521">
        <v>83.646364845735405</v>
      </c>
      <c r="AI2521">
        <v>90.022802827760898</v>
      </c>
      <c r="AJ2521">
        <v>81.857143359385006</v>
      </c>
      <c r="AK2521">
        <v>84.498284173945805</v>
      </c>
      <c r="AL2521">
        <v>94.608334091737007</v>
      </c>
      <c r="AM2521">
        <v>90.363629308471999</v>
      </c>
      <c r="AN2521">
        <v>0.99999997155814302</v>
      </c>
    </row>
    <row r="2522" spans="1:40" x14ac:dyDescent="0.25">
      <c r="A2522" t="str">
        <f>"20190305135635603"</f>
        <v>20190305135635603</v>
      </c>
      <c r="B2522" t="str">
        <f>"1551765395595141"</f>
        <v>1551765395595141</v>
      </c>
      <c r="C2522" t="s">
        <v>40</v>
      </c>
      <c r="D2522">
        <v>4.0552149999999996</v>
      </c>
      <c r="E2522">
        <v>0.5580041</v>
      </c>
      <c r="F2522" t="s">
        <v>70</v>
      </c>
      <c r="G2522">
        <v>-168.41159999999999</v>
      </c>
      <c r="H2522">
        <v>1.004969</v>
      </c>
      <c r="I2522">
        <v>204.25980000000001</v>
      </c>
      <c r="J2522">
        <v>-251.863</v>
      </c>
      <c r="K2522">
        <v>1.109356</v>
      </c>
      <c r="L2522">
        <v>214.78299999999999</v>
      </c>
      <c r="M2522">
        <v>0.99973369999999995</v>
      </c>
      <c r="N2522">
        <v>-1.4327919999999999E-2</v>
      </c>
      <c r="O2522">
        <v>1.809301E-2</v>
      </c>
      <c r="P2522">
        <v>0.99522929999999998</v>
      </c>
      <c r="Q2522">
        <v>-9.5004420000000006E-2</v>
      </c>
      <c r="R2522">
        <v>2.2205860000000001E-2</v>
      </c>
      <c r="S2522">
        <v>3.023193</v>
      </c>
      <c r="T2522">
        <v>-3.7631990000000001E-3</v>
      </c>
      <c r="U2522">
        <v>-0.37916559999999999</v>
      </c>
      <c r="V2522">
        <v>-4.106714E-3</v>
      </c>
      <c r="W2522">
        <v>-8.0736180000000005E-2</v>
      </c>
      <c r="X2522">
        <v>0.99672700000000003</v>
      </c>
      <c r="Y2522">
        <v>0.1423749</v>
      </c>
      <c r="Z2522">
        <v>-8.7653639999999897E-4</v>
      </c>
      <c r="AA2522">
        <v>0.98981240000000004</v>
      </c>
      <c r="AB2522">
        <v>41</v>
      </c>
      <c r="AC2522">
        <v>83.451400000000007</v>
      </c>
      <c r="AD2522">
        <v>-0.10438699999999999</v>
      </c>
      <c r="AE2522">
        <v>-10.5231999999999</v>
      </c>
      <c r="AF2522">
        <v>12.031500484931801</v>
      </c>
      <c r="AG2522">
        <v>-0.10438699999999999</v>
      </c>
      <c r="AH2522">
        <v>83.247192763719596</v>
      </c>
      <c r="AI2522">
        <v>90.071106637645102</v>
      </c>
      <c r="AJ2522">
        <v>81.776134837192998</v>
      </c>
      <c r="AK2522">
        <v>84.112204843319702</v>
      </c>
      <c r="AL2522">
        <v>94.630882840735694</v>
      </c>
      <c r="AM2522">
        <v>90.2360687012672</v>
      </c>
      <c r="AN2522">
        <v>0.99999995419493404</v>
      </c>
    </row>
    <row r="2523" spans="1:40" x14ac:dyDescent="0.25">
      <c r="A2523" t="str">
        <f>"20190305135635626"</f>
        <v>20190305135635626</v>
      </c>
      <c r="B2523" t="str">
        <f>"1551765395614661"</f>
        <v>1551765395614661</v>
      </c>
      <c r="C2523" t="s">
        <v>40</v>
      </c>
      <c r="D2523">
        <v>4.0545269999999896</v>
      </c>
      <c r="E2523">
        <v>0.55756850000000002</v>
      </c>
      <c r="F2523" t="s">
        <v>70</v>
      </c>
      <c r="G2523">
        <v>-168.41149999999999</v>
      </c>
      <c r="H2523">
        <v>0.94952389999999998</v>
      </c>
      <c r="I2523">
        <v>204.24459999999999</v>
      </c>
      <c r="J2523">
        <v>-251.45699999999999</v>
      </c>
      <c r="K2523">
        <v>1.109345</v>
      </c>
      <c r="L2523">
        <v>214.79060000000001</v>
      </c>
      <c r="M2523">
        <v>0.99972729999999999</v>
      </c>
      <c r="N2523">
        <v>-1.432539E-2</v>
      </c>
      <c r="O2523">
        <v>1.8447000000000002E-2</v>
      </c>
      <c r="P2523">
        <v>0.99529210000000001</v>
      </c>
      <c r="Q2523">
        <v>-9.4749420000000001E-2</v>
      </c>
      <c r="R2523">
        <v>2.0414809999999999E-2</v>
      </c>
      <c r="S2523">
        <v>3.022354</v>
      </c>
      <c r="T2523">
        <v>-5.7873730000000002E-3</v>
      </c>
      <c r="U2523">
        <v>-0.38166810000000001</v>
      </c>
      <c r="V2523">
        <v>-1.966101E-3</v>
      </c>
      <c r="W2523">
        <v>-8.0480869999999996E-2</v>
      </c>
      <c r="X2523">
        <v>0.99675420000000003</v>
      </c>
      <c r="Y2523">
        <v>0.1435652</v>
      </c>
      <c r="Z2523">
        <v>-9.4137949999999995E-4</v>
      </c>
      <c r="AA2523">
        <v>0.98964039999999998</v>
      </c>
      <c r="AB2523">
        <v>41</v>
      </c>
      <c r="AC2523">
        <v>83.045500000000004</v>
      </c>
      <c r="AD2523">
        <v>-0.15982109999999999</v>
      </c>
      <c r="AE2523">
        <v>-10.545999999999999</v>
      </c>
      <c r="AF2523">
        <v>12.076258516004399</v>
      </c>
      <c r="AG2523">
        <v>-0.15982109999999999</v>
      </c>
      <c r="AH2523">
        <v>82.836502106353507</v>
      </c>
      <c r="AI2523">
        <v>90.1093875221204</v>
      </c>
      <c r="AJ2523">
        <v>81.705607951525394</v>
      </c>
      <c r="AK2523">
        <v>83.712290876222497</v>
      </c>
      <c r="AL2523">
        <v>94.616206751351996</v>
      </c>
      <c r="AM2523">
        <v>90.113015970536495</v>
      </c>
      <c r="AN2523">
        <v>0.999999985603369</v>
      </c>
    </row>
    <row r="2524" spans="1:40" x14ac:dyDescent="0.25">
      <c r="A2524" t="str">
        <f>"20190305135635648"</f>
        <v>20190305135635648</v>
      </c>
      <c r="B2524" t="str">
        <f>"1551765395644919"</f>
        <v>1551765395644919</v>
      </c>
      <c r="C2524" t="s">
        <v>40</v>
      </c>
      <c r="D2524">
        <v>4.08284</v>
      </c>
      <c r="E2524">
        <v>0.5570541</v>
      </c>
      <c r="F2524" t="s">
        <v>70</v>
      </c>
      <c r="G2524">
        <v>-168.41149999999999</v>
      </c>
      <c r="H2524">
        <v>0.93689540000000004</v>
      </c>
      <c r="I2524">
        <v>204.24709999999999</v>
      </c>
      <c r="J2524">
        <v>-251.05</v>
      </c>
      <c r="K2524">
        <v>1.109329</v>
      </c>
      <c r="L2524">
        <v>214.79849999999999</v>
      </c>
      <c r="M2524">
        <v>0.99972099999999997</v>
      </c>
      <c r="N2524">
        <v>-1.432277E-2</v>
      </c>
      <c r="O2524">
        <v>1.8783979999999999E-2</v>
      </c>
      <c r="P2524">
        <v>0.99528499999999998</v>
      </c>
      <c r="Q2524">
        <v>-9.5212770000000002E-2</v>
      </c>
      <c r="R2524">
        <v>1.8493550000000001E-2</v>
      </c>
      <c r="S2524">
        <v>3.021439</v>
      </c>
      <c r="T2524">
        <v>-6.2730310000000001E-3</v>
      </c>
      <c r="U2524">
        <v>-0.383606</v>
      </c>
      <c r="V2524">
        <v>2.8706979999999999E-4</v>
      </c>
      <c r="W2524">
        <v>-8.0945080000000003E-2</v>
      </c>
      <c r="X2524">
        <v>0.99671849999999995</v>
      </c>
      <c r="Y2524">
        <v>0.14456050000000001</v>
      </c>
      <c r="Z2524">
        <v>-9.5986309999999996E-4</v>
      </c>
      <c r="AA2524">
        <v>0.98949549999999997</v>
      </c>
      <c r="AB2524">
        <v>41</v>
      </c>
      <c r="AC2524">
        <v>82.638499999999993</v>
      </c>
      <c r="AD2524">
        <v>-0.17243359999999999</v>
      </c>
      <c r="AE2524">
        <v>-10.551399999999999</v>
      </c>
      <c r="AF2524">
        <v>12.101925271318899</v>
      </c>
      <c r="AG2524">
        <v>-0.17243359999999999</v>
      </c>
      <c r="AH2524">
        <v>82.425345996402896</v>
      </c>
      <c r="AI2524">
        <v>90.118591028793205</v>
      </c>
      <c r="AJ2524">
        <v>81.647347687159794</v>
      </c>
      <c r="AK2524">
        <v>83.309207121696502</v>
      </c>
      <c r="AL2524">
        <v>94.642891120407995</v>
      </c>
      <c r="AM2524">
        <v>89.9834979610483</v>
      </c>
      <c r="AN2524">
        <v>0.99999997831376297</v>
      </c>
    </row>
    <row r="2525" spans="1:40" x14ac:dyDescent="0.25">
      <c r="A2525" t="str">
        <f>"20190305135635672"</f>
        <v>20190305135635672</v>
      </c>
      <c r="B2525" t="str">
        <f>"1551765395664437"</f>
        <v>1551765395664437</v>
      </c>
      <c r="C2525" t="s">
        <v>40</v>
      </c>
      <c r="D2525">
        <v>4.0778420000000004</v>
      </c>
      <c r="E2525">
        <v>0.55681369999999997</v>
      </c>
      <c r="F2525" t="s">
        <v>70</v>
      </c>
      <c r="G2525">
        <v>-168.41149999999999</v>
      </c>
      <c r="H2525">
        <v>0.86875919999999895</v>
      </c>
      <c r="I2525">
        <v>204.25129999999999</v>
      </c>
      <c r="J2525">
        <v>-250.62209999999999</v>
      </c>
      <c r="K2525">
        <v>1.109308</v>
      </c>
      <c r="L2525">
        <v>214.80680000000001</v>
      </c>
      <c r="M2525">
        <v>0.99971480000000001</v>
      </c>
      <c r="N2525">
        <v>-1.4320370000000001E-2</v>
      </c>
      <c r="O2525">
        <v>1.9114229999999999E-2</v>
      </c>
      <c r="P2525">
        <v>0.99531789999999998</v>
      </c>
      <c r="Q2525">
        <v>-9.5336879999999999E-2</v>
      </c>
      <c r="R2525">
        <v>1.5916360000000001E-2</v>
      </c>
      <c r="S2525">
        <v>3.0205380000000002</v>
      </c>
      <c r="T2525">
        <v>-8.7919239999999996E-3</v>
      </c>
      <c r="U2525">
        <v>-0.3855133</v>
      </c>
      <c r="V2525">
        <v>3.1885659999999999E-3</v>
      </c>
      <c r="W2525">
        <v>-8.106911E-2</v>
      </c>
      <c r="X2525">
        <v>0.99670340000000002</v>
      </c>
      <c r="Y2525">
        <v>0.145538</v>
      </c>
      <c r="Z2525">
        <v>-1.040172E-3</v>
      </c>
      <c r="AA2525">
        <v>0.98935209999999996</v>
      </c>
      <c r="AB2525">
        <v>41</v>
      </c>
      <c r="AC2525">
        <v>82.210599999999999</v>
      </c>
      <c r="AD2525">
        <v>-0.24054880000000001</v>
      </c>
      <c r="AE2525">
        <v>-10.5555</v>
      </c>
      <c r="AF2525">
        <v>12.125022439210801</v>
      </c>
      <c r="AG2525">
        <v>-0.24054880000000001</v>
      </c>
      <c r="AH2525">
        <v>81.9931060362415</v>
      </c>
      <c r="AI2525">
        <v>90.166283767226403</v>
      </c>
      <c r="AJ2525">
        <v>81.588146107922597</v>
      </c>
      <c r="AK2525">
        <v>82.885122129046096</v>
      </c>
      <c r="AL2525">
        <v>94.650020765202896</v>
      </c>
      <c r="AM2525">
        <v>89.816704998435696</v>
      </c>
      <c r="AN2525">
        <v>1.00000001756044</v>
      </c>
    </row>
    <row r="2526" spans="1:40" x14ac:dyDescent="0.25">
      <c r="A2526" t="str">
        <f>"20190305135635701"</f>
        <v>20190305135635701</v>
      </c>
      <c r="B2526" t="str">
        <f>"1551765395694695"</f>
        <v>1551765395694695</v>
      </c>
      <c r="C2526" t="s">
        <v>40</v>
      </c>
      <c r="D2526">
        <v>4.2172700000000001</v>
      </c>
      <c r="E2526">
        <v>0.55592169999999996</v>
      </c>
      <c r="F2526" t="s">
        <v>70</v>
      </c>
      <c r="G2526">
        <v>-168.41149999999999</v>
      </c>
      <c r="H2526">
        <v>0.85469629999999996</v>
      </c>
      <c r="I2526">
        <v>204.1514</v>
      </c>
      <c r="J2526">
        <v>-250.09110000000001</v>
      </c>
      <c r="K2526">
        <v>1.1092740000000001</v>
      </c>
      <c r="L2526">
        <v>214.81739999999999</v>
      </c>
      <c r="M2526">
        <v>0.99970760000000003</v>
      </c>
      <c r="N2526">
        <v>-1.431692E-2</v>
      </c>
      <c r="O2526">
        <v>1.948654E-2</v>
      </c>
      <c r="P2526">
        <v>0.99533499999999997</v>
      </c>
      <c r="Q2526">
        <v>-9.5506610000000006E-2</v>
      </c>
      <c r="R2526">
        <v>1.3659940000000001E-2</v>
      </c>
      <c r="S2526">
        <v>3.0194700000000001</v>
      </c>
      <c r="T2526">
        <v>-9.3503000000000006E-3</v>
      </c>
      <c r="U2526">
        <v>-0.39135740000000002</v>
      </c>
      <c r="V2526">
        <v>5.8095219999999897E-3</v>
      </c>
      <c r="W2526">
        <v>-8.1240670000000001E-2</v>
      </c>
      <c r="X2526">
        <v>0.99667760000000005</v>
      </c>
      <c r="Y2526">
        <v>0.147833399999999</v>
      </c>
      <c r="Z2526">
        <v>-1.073018E-3</v>
      </c>
      <c r="AA2526">
        <v>0.98901170000000005</v>
      </c>
      <c r="AB2526">
        <v>41</v>
      </c>
      <c r="AC2526">
        <v>81.679599999999994</v>
      </c>
      <c r="AD2526">
        <v>-0.25457769999999902</v>
      </c>
      <c r="AE2526">
        <v>-10.665999999999899</v>
      </c>
      <c r="AF2526">
        <v>12.255673211531301</v>
      </c>
      <c r="AG2526">
        <v>-0.25457769999999902</v>
      </c>
      <c r="AH2526">
        <v>81.455444683204206</v>
      </c>
      <c r="AI2526">
        <v>90.177076353345498</v>
      </c>
      <c r="AJ2526">
        <v>81.443537756282694</v>
      </c>
      <c r="AK2526">
        <v>82.372664180611096</v>
      </c>
      <c r="AL2526">
        <v>94.659882958869701</v>
      </c>
      <c r="AM2526">
        <v>89.666033106483198</v>
      </c>
      <c r="AN2526">
        <v>1.00000001767483</v>
      </c>
    </row>
    <row r="2527" spans="1:40" x14ac:dyDescent="0.25">
      <c r="A2527" t="str">
        <f>"20190305135635722"</f>
        <v>20190305135635722</v>
      </c>
      <c r="B2527" t="str">
        <f>"1551765395715189"</f>
        <v>1551765395715189</v>
      </c>
      <c r="C2527" t="s">
        <v>40</v>
      </c>
      <c r="D2527">
        <v>4.160342</v>
      </c>
      <c r="E2527">
        <v>0.55574820000000003</v>
      </c>
      <c r="F2527" t="s">
        <v>70</v>
      </c>
      <c r="G2527">
        <v>-168.41149999999999</v>
      </c>
      <c r="H2527">
        <v>0.70178030000000002</v>
      </c>
      <c r="I2527">
        <v>204.2296</v>
      </c>
      <c r="J2527">
        <v>-249.7021</v>
      </c>
      <c r="K2527">
        <v>1.109253</v>
      </c>
      <c r="L2527">
        <v>214.8252</v>
      </c>
      <c r="M2527">
        <v>0.9997028</v>
      </c>
      <c r="N2527">
        <v>-1.4314250000000001E-2</v>
      </c>
      <c r="O2527">
        <v>1.9735539999999999E-2</v>
      </c>
      <c r="P2527">
        <v>0.99538459999999995</v>
      </c>
      <c r="Q2527">
        <v>-9.528528E-2</v>
      </c>
      <c r="R2527">
        <v>1.141584E-2</v>
      </c>
      <c r="S2527">
        <v>3.0179749999999999</v>
      </c>
      <c r="T2527">
        <v>-1.5055300000000001E-2</v>
      </c>
      <c r="U2527">
        <v>-0.39120480000000002</v>
      </c>
      <c r="V2527">
        <v>8.2971809999999903E-3</v>
      </c>
      <c r="W2527">
        <v>-8.1020320000000007E-2</v>
      </c>
      <c r="X2527">
        <v>0.99667790000000001</v>
      </c>
      <c r="Y2527">
        <v>0.14809029999999901</v>
      </c>
      <c r="Z2527">
        <v>-1.249036E-3</v>
      </c>
      <c r="AA2527">
        <v>0.98897310000000005</v>
      </c>
      <c r="AB2527">
        <v>41</v>
      </c>
      <c r="AC2527">
        <v>81.290599999999998</v>
      </c>
      <c r="AD2527">
        <v>-0.40747269999999902</v>
      </c>
      <c r="AE2527">
        <v>-10.5955999999999</v>
      </c>
      <c r="AF2527">
        <v>12.1977127839614</v>
      </c>
      <c r="AG2527">
        <v>-0.40747269999999902</v>
      </c>
      <c r="AH2527">
        <v>81.063630160899706</v>
      </c>
      <c r="AI2527">
        <v>90.284793336384197</v>
      </c>
      <c r="AJ2527">
        <v>81.442852518588694</v>
      </c>
      <c r="AK2527">
        <v>81.977206380947095</v>
      </c>
      <c r="AL2527">
        <v>94.647216225481699</v>
      </c>
      <c r="AM2527">
        <v>89.523032996354303</v>
      </c>
      <c r="AN2527">
        <v>0.99999998590692896</v>
      </c>
    </row>
    <row r="2528" spans="1:40" x14ac:dyDescent="0.25">
      <c r="A2528" t="str">
        <f>"20190305135635742"</f>
        <v>20190305135635742</v>
      </c>
      <c r="B2528" t="str">
        <f>"1551765395734709"</f>
        <v>1551765395734709</v>
      </c>
      <c r="C2528" t="s">
        <v>40</v>
      </c>
      <c r="D2528">
        <v>4.2600559999999996</v>
      </c>
      <c r="E2528">
        <v>0.55626039999999999</v>
      </c>
      <c r="F2528" t="s">
        <v>70</v>
      </c>
      <c r="G2528">
        <v>-168.41149999999999</v>
      </c>
      <c r="H2528">
        <v>0.74260709999999996</v>
      </c>
      <c r="I2528">
        <v>204.14349999999999</v>
      </c>
      <c r="J2528">
        <v>-249.34469999999999</v>
      </c>
      <c r="K2528">
        <v>1.109227</v>
      </c>
      <c r="L2528">
        <v>214.83240000000001</v>
      </c>
      <c r="M2528">
        <v>0.9996988</v>
      </c>
      <c r="N2528">
        <v>-1.43118E-2</v>
      </c>
      <c r="O2528">
        <v>1.9940429999999999E-2</v>
      </c>
      <c r="P2528">
        <v>0.99538219999999999</v>
      </c>
      <c r="Q2528">
        <v>-9.5616439999999997E-2</v>
      </c>
      <c r="R2528">
        <v>8.4811859999999999E-3</v>
      </c>
      <c r="S2528">
        <v>3.0171359999999998</v>
      </c>
      <c r="T2528">
        <v>-1.3607030000000001E-2</v>
      </c>
      <c r="U2528">
        <v>-0.39645390000000003</v>
      </c>
      <c r="V2528">
        <v>1.143076E-2</v>
      </c>
      <c r="W2528">
        <v>-8.1352960000000002E-2</v>
      </c>
      <c r="X2528">
        <v>0.99661979999999994</v>
      </c>
      <c r="Y2528">
        <v>0.15002009999999999</v>
      </c>
      <c r="Z2528">
        <v>-1.220509E-3</v>
      </c>
      <c r="AA2528">
        <v>0.98868219999999996</v>
      </c>
      <c r="AB2528">
        <v>41</v>
      </c>
      <c r="AC2528">
        <v>80.933199999999999</v>
      </c>
      <c r="AD2528">
        <v>-0.3666199</v>
      </c>
      <c r="AE2528">
        <v>-10.6889</v>
      </c>
      <c r="AF2528">
        <v>12.3005342110187</v>
      </c>
      <c r="AG2528">
        <v>-0.3666199</v>
      </c>
      <c r="AH2528">
        <v>80.702314039955795</v>
      </c>
      <c r="AI2528">
        <v>90.2573136488529</v>
      </c>
      <c r="AJ2528">
        <v>81.333756140214703</v>
      </c>
      <c r="AK2528">
        <v>81.635170382814593</v>
      </c>
      <c r="AL2528">
        <v>94.666338169738296</v>
      </c>
      <c r="AM2528">
        <v>89.342873191961502</v>
      </c>
      <c r="AN2528">
        <v>0.99999999606348899</v>
      </c>
    </row>
    <row r="2529" spans="1:40" x14ac:dyDescent="0.25">
      <c r="A2529" t="str">
        <f>"20190305135635762"</f>
        <v>20190305135635762</v>
      </c>
      <c r="B2529" t="str">
        <f>"1551765395754229"</f>
        <v>1551765395754229</v>
      </c>
      <c r="C2529" t="s">
        <v>40</v>
      </c>
      <c r="D2529">
        <v>3.7204549999999998</v>
      </c>
      <c r="E2529">
        <v>0.59422059999999999</v>
      </c>
      <c r="F2529" t="s">
        <v>70</v>
      </c>
      <c r="G2529">
        <v>-168.41159999999999</v>
      </c>
      <c r="H2529">
        <v>0.78833009999999903</v>
      </c>
      <c r="I2529">
        <v>203.8511</v>
      </c>
      <c r="J2529">
        <v>-248.9598</v>
      </c>
      <c r="K2529">
        <v>1.109197</v>
      </c>
      <c r="L2529">
        <v>214.84030000000001</v>
      </c>
      <c r="M2529">
        <v>0.99969509999999995</v>
      </c>
      <c r="N2529">
        <v>-1.4309189999999999E-2</v>
      </c>
      <c r="O2529">
        <v>2.013003E-2</v>
      </c>
      <c r="P2529">
        <v>0.99537039999999999</v>
      </c>
      <c r="Q2529">
        <v>-9.5956710000000001E-2</v>
      </c>
      <c r="R2529">
        <v>5.4948549999999999E-3</v>
      </c>
      <c r="S2529">
        <v>3.016251</v>
      </c>
      <c r="T2529">
        <v>-1.1958119999999999E-2</v>
      </c>
      <c r="U2529">
        <v>-0.40925600000000001</v>
      </c>
      <c r="V2529">
        <v>1.459966E-2</v>
      </c>
      <c r="W2529">
        <v>-8.1695539999999997E-2</v>
      </c>
      <c r="X2529">
        <v>0.99655039999999995</v>
      </c>
      <c r="Y2529">
        <v>0.15436710000000001</v>
      </c>
      <c r="Z2529">
        <v>-1.2069509999999999E-3</v>
      </c>
      <c r="AA2529">
        <v>0.98801289999999997</v>
      </c>
      <c r="AB2529">
        <v>41</v>
      </c>
      <c r="AC2529">
        <v>80.548199999999994</v>
      </c>
      <c r="AD2529">
        <v>-0.32086690000000001</v>
      </c>
      <c r="AE2529">
        <v>-10.9892</v>
      </c>
      <c r="AF2529">
        <v>12.6083798772975</v>
      </c>
      <c r="AG2529">
        <v>-0.32086690000000001</v>
      </c>
      <c r="AH2529">
        <v>80.309388557169001</v>
      </c>
      <c r="AI2529">
        <v>90.226147388387403</v>
      </c>
      <c r="AJ2529">
        <v>81.0775331000265</v>
      </c>
      <c r="AK2529">
        <v>81.293739544469901</v>
      </c>
      <c r="AL2529">
        <v>94.686032067657393</v>
      </c>
      <c r="AM2529">
        <v>89.160665569356993</v>
      </c>
      <c r="AN2529">
        <v>1.0000000055340801</v>
      </c>
    </row>
    <row r="2530" spans="1:40" x14ac:dyDescent="0.25">
      <c r="A2530" t="str">
        <f>"20190305135635784"</f>
        <v>20190305135635784</v>
      </c>
      <c r="B2530" t="str">
        <f>"1551765395774726"</f>
        <v>1551765395774726</v>
      </c>
      <c r="C2530" t="s">
        <v>40</v>
      </c>
      <c r="D2530">
        <v>4.2982490000000002</v>
      </c>
      <c r="E2530">
        <v>0.64131759999999904</v>
      </c>
      <c r="F2530" t="s">
        <v>55</v>
      </c>
      <c r="G2530">
        <v>-221.02430000000001</v>
      </c>
      <c r="H2530">
        <v>8.0001439999999993E-2</v>
      </c>
      <c r="I2530">
        <v>208.09</v>
      </c>
      <c r="J2530">
        <v>-248.5643</v>
      </c>
      <c r="K2530">
        <v>1.1091599999999999</v>
      </c>
      <c r="L2530">
        <v>214.8484</v>
      </c>
      <c r="M2530">
        <v>0.99969200000000003</v>
      </c>
      <c r="N2530">
        <v>-1.4306559999999999E-2</v>
      </c>
      <c r="O2530">
        <v>2.0287280000000001E-2</v>
      </c>
      <c r="P2530">
        <v>0.99534719999999999</v>
      </c>
      <c r="Q2530">
        <v>-9.6338229999999997E-2</v>
      </c>
      <c r="R2530">
        <v>1.755918E-3</v>
      </c>
      <c r="S2530">
        <v>3.007263</v>
      </c>
      <c r="T2530">
        <v>-0.1107934</v>
      </c>
      <c r="U2530">
        <v>-0.72666929999999996</v>
      </c>
      <c r="V2530">
        <v>1.8487E-2</v>
      </c>
      <c r="W2530">
        <v>-8.2080109999999998E-2</v>
      </c>
      <c r="X2530">
        <v>0.99645419999999996</v>
      </c>
      <c r="Y2530">
        <v>0.25431710000000002</v>
      </c>
      <c r="Z2530">
        <v>-6.9138009999999998E-3</v>
      </c>
      <c r="AA2530">
        <v>0.96709619999999996</v>
      </c>
      <c r="AB2530">
        <v>41</v>
      </c>
      <c r="AC2530">
        <v>27.5399999999999</v>
      </c>
      <c r="AD2530">
        <v>-1.0291585599999999</v>
      </c>
      <c r="AE2530">
        <v>-6.7583999999999902</v>
      </c>
      <c r="AF2530">
        <v>7.3061541654560402</v>
      </c>
      <c r="AG2530">
        <v>-1.0291585599999999</v>
      </c>
      <c r="AH2530">
        <v>27.3611681976166</v>
      </c>
      <c r="AI2530">
        <v>92.081244172364407</v>
      </c>
      <c r="AJ2530">
        <v>75.049341875365499</v>
      </c>
      <c r="AK2530">
        <v>28.338535268593201</v>
      </c>
      <c r="AL2530">
        <v>94.708140850117502</v>
      </c>
      <c r="AM2530">
        <v>88.937125690025496</v>
      </c>
      <c r="AN2530">
        <v>0.99999994316212404</v>
      </c>
    </row>
    <row r="2531" spans="1:40" x14ac:dyDescent="0.25">
      <c r="A2531" t="str">
        <f>"20190305135635804"</f>
        <v>20190305135635804</v>
      </c>
      <c r="B2531" t="str">
        <f>"1551765395794245"</f>
        <v>1551765395794245</v>
      </c>
      <c r="C2531" t="s">
        <v>40</v>
      </c>
      <c r="D2531">
        <v>4.269012</v>
      </c>
      <c r="E2531">
        <v>0.63897599999999999</v>
      </c>
      <c r="F2531" t="s">
        <v>70</v>
      </c>
      <c r="G2531">
        <v>-169.40010000000001</v>
      </c>
      <c r="H2531">
        <v>0.10657469999999999</v>
      </c>
      <c r="I2531">
        <v>185.67660000000001</v>
      </c>
      <c r="J2531">
        <v>-248.17959999999999</v>
      </c>
      <c r="K2531">
        <v>1.109121</v>
      </c>
      <c r="L2531">
        <v>214.8563</v>
      </c>
      <c r="M2531">
        <v>0.99968959999999996</v>
      </c>
      <c r="N2531">
        <v>-1.43041E-2</v>
      </c>
      <c r="O2531">
        <v>2.0401800000000001E-2</v>
      </c>
      <c r="P2531">
        <v>0.99532489999999996</v>
      </c>
      <c r="Q2531">
        <v>-9.6565280000000003E-2</v>
      </c>
      <c r="R2531">
        <v>-1.9558779999999999E-3</v>
      </c>
      <c r="S2531">
        <v>3.012283</v>
      </c>
      <c r="T2531">
        <v>-3.814816E-2</v>
      </c>
      <c r="U2531">
        <v>-1.1100159999999999</v>
      </c>
      <c r="V2531">
        <v>2.2303719999999999E-2</v>
      </c>
      <c r="W2531">
        <v>-8.2310919999999996E-2</v>
      </c>
      <c r="X2531">
        <v>0.9963571</v>
      </c>
      <c r="Y2531">
        <v>0.3647822</v>
      </c>
      <c r="Z2531">
        <v>-4.8966219999999998E-3</v>
      </c>
      <c r="AA2531">
        <v>0.93108000000000002</v>
      </c>
      <c r="AB2531">
        <v>41</v>
      </c>
      <c r="AC2531">
        <v>78.779499999999899</v>
      </c>
      <c r="AD2531">
        <v>-1.0025462999999999</v>
      </c>
      <c r="AE2531">
        <v>-29.1797</v>
      </c>
      <c r="AF2531">
        <v>30.776650309992899</v>
      </c>
      <c r="AG2531">
        <v>-1.0025462999999999</v>
      </c>
      <c r="AH2531">
        <v>78.156589864216599</v>
      </c>
      <c r="AI2531">
        <v>90.683813687283305</v>
      </c>
      <c r="AJ2531">
        <v>68.506377674075793</v>
      </c>
      <c r="AK2531">
        <v>84.003927542648896</v>
      </c>
      <c r="AL2531">
        <v>94.721409887696495</v>
      </c>
      <c r="AM2531">
        <v>88.717632830528302</v>
      </c>
      <c r="AN2531">
        <v>1.00000000709874</v>
      </c>
    </row>
    <row r="2532" spans="1:40" x14ac:dyDescent="0.25">
      <c r="A2532" t="str">
        <f>"20190305135635828"</f>
        <v>20190305135635828</v>
      </c>
      <c r="B2532" t="str">
        <f>"1551765395824502"</f>
        <v>1551765395824502</v>
      </c>
      <c r="C2532" t="s">
        <v>40</v>
      </c>
      <c r="D2532">
        <v>4.278213</v>
      </c>
      <c r="E2532">
        <v>0.63590349999999995</v>
      </c>
      <c r="F2532" t="s">
        <v>70</v>
      </c>
      <c r="G2532">
        <v>-169.4</v>
      </c>
      <c r="H2532">
        <v>0.1628406</v>
      </c>
      <c r="I2532">
        <v>185.98570000000001</v>
      </c>
      <c r="J2532">
        <v>-247.7629</v>
      </c>
      <c r="K2532">
        <v>1.109076</v>
      </c>
      <c r="L2532">
        <v>214.86490000000001</v>
      </c>
      <c r="M2532">
        <v>0.99968800000000002</v>
      </c>
      <c r="N2532">
        <v>-1.430146E-2</v>
      </c>
      <c r="O2532">
        <v>2.0487160000000001E-2</v>
      </c>
      <c r="P2532">
        <v>0.99530629999999998</v>
      </c>
      <c r="Q2532">
        <v>-9.6625130000000004E-2</v>
      </c>
      <c r="R2532">
        <v>-5.4350639999999999E-3</v>
      </c>
      <c r="S2532">
        <v>3.0084379999999999</v>
      </c>
      <c r="T2532">
        <v>-3.6135319999999999E-2</v>
      </c>
      <c r="U2532">
        <v>-1.102509</v>
      </c>
      <c r="V2532">
        <v>2.5858269999999999E-2</v>
      </c>
      <c r="W2532">
        <v>-8.2375680000000007E-2</v>
      </c>
      <c r="X2532">
        <v>0.99626579999999998</v>
      </c>
      <c r="Y2532">
        <v>0.363205</v>
      </c>
      <c r="Z2532">
        <v>-4.7468270000000003E-3</v>
      </c>
      <c r="AA2532">
        <v>0.9316972</v>
      </c>
      <c r="AB2532">
        <v>41</v>
      </c>
      <c r="AC2532">
        <v>78.362899999999996</v>
      </c>
      <c r="AD2532">
        <v>-0.94623539999999995</v>
      </c>
      <c r="AE2532">
        <v>-28.879200000000001</v>
      </c>
      <c r="AF2532">
        <v>30.474822569037201</v>
      </c>
      <c r="AG2532">
        <v>-0.94623539999999995</v>
      </c>
      <c r="AH2532">
        <v>77.744756095377298</v>
      </c>
      <c r="AI2532">
        <v>90.6492240358304</v>
      </c>
      <c r="AJ2532">
        <v>68.595537204245701</v>
      </c>
      <c r="AK2532">
        <v>83.509623830886795</v>
      </c>
      <c r="AL2532">
        <v>94.725133165014199</v>
      </c>
      <c r="AM2532">
        <v>88.513210858407007</v>
      </c>
      <c r="AN2532">
        <v>0.99999997351624703</v>
      </c>
    </row>
    <row r="2533" spans="1:40" x14ac:dyDescent="0.25">
      <c r="A2533" t="str">
        <f>"20190305135635853"</f>
        <v>20190305135635853</v>
      </c>
      <c r="B2533" t="str">
        <f>"1551765395844997"</f>
        <v>1551765395844997</v>
      </c>
      <c r="C2533" t="s">
        <v>40</v>
      </c>
      <c r="D2533">
        <v>4.2750000000000004</v>
      </c>
      <c r="E2533">
        <v>0.63457759999999996</v>
      </c>
      <c r="F2533" t="s">
        <v>42</v>
      </c>
      <c r="G2533">
        <v>-179.95779999999999</v>
      </c>
      <c r="H2533">
        <v>2.29099E-2</v>
      </c>
      <c r="I2533">
        <v>190.28129999999999</v>
      </c>
      <c r="J2533">
        <v>-247.2928</v>
      </c>
      <c r="K2533">
        <v>1.1090370000000001</v>
      </c>
      <c r="L2533">
        <v>214.87459999999999</v>
      </c>
      <c r="M2533">
        <v>0.99968679999999999</v>
      </c>
      <c r="N2533">
        <v>-1.4298490000000001E-2</v>
      </c>
      <c r="O2533">
        <v>2.0542060000000001E-2</v>
      </c>
      <c r="P2533">
        <v>0.99528470000000002</v>
      </c>
      <c r="Q2533">
        <v>-9.6524139999999994E-2</v>
      </c>
      <c r="R2533">
        <v>-9.5847439999999992E-3</v>
      </c>
      <c r="S2533">
        <v>3.0035099999999999</v>
      </c>
      <c r="T2533">
        <v>-4.8112990000000001E-2</v>
      </c>
      <c r="U2533">
        <v>-1.088959</v>
      </c>
      <c r="V2533">
        <v>3.0052570000000001E-2</v>
      </c>
      <c r="W2533">
        <v>-8.2280729999999996E-2</v>
      </c>
      <c r="X2533">
        <v>0.99615600000000004</v>
      </c>
      <c r="Y2533">
        <v>0.36001100000000003</v>
      </c>
      <c r="Z2533">
        <v>-5.4827599999999997E-3</v>
      </c>
      <c r="AA2533">
        <v>0.93293199999999998</v>
      </c>
      <c r="AB2533">
        <v>41</v>
      </c>
      <c r="AC2533">
        <v>67.334999999999994</v>
      </c>
      <c r="AD2533">
        <v>-1.0861270999999999</v>
      </c>
      <c r="AE2533">
        <v>-24.593299999999999</v>
      </c>
      <c r="AF2533">
        <v>25.9654897949633</v>
      </c>
      <c r="AG2533">
        <v>-1.0861270999999999</v>
      </c>
      <c r="AH2533">
        <v>66.800205371032007</v>
      </c>
      <c r="AI2533">
        <v>90.868235395707799</v>
      </c>
      <c r="AJ2533">
        <v>68.758709641788201</v>
      </c>
      <c r="AK2533">
        <v>71.677428594933303</v>
      </c>
      <c r="AL2533">
        <v>94.719674151710805</v>
      </c>
      <c r="AM2533">
        <v>88.271994222175394</v>
      </c>
      <c r="AN2533">
        <v>1.0000000259144599</v>
      </c>
    </row>
    <row r="2534" spans="1:40" x14ac:dyDescent="0.25">
      <c r="A2534" t="str">
        <f>"20190305135635876"</f>
        <v>20190305135635876</v>
      </c>
      <c r="B2534" t="str">
        <f>"1551765395864517"</f>
        <v>1551765395864517</v>
      </c>
      <c r="C2534" t="s">
        <v>40</v>
      </c>
      <c r="D2534">
        <v>4.2943059999999997</v>
      </c>
      <c r="E2534">
        <v>0.63380639999999999</v>
      </c>
      <c r="F2534" t="s">
        <v>42</v>
      </c>
      <c r="G2534">
        <v>-182.7937</v>
      </c>
      <c r="H2534" s="1">
        <v>-2.517346E-6</v>
      </c>
      <c r="I2534">
        <v>191.411</v>
      </c>
      <c r="J2534">
        <v>-246.8895</v>
      </c>
      <c r="K2534">
        <v>1.1090070000000001</v>
      </c>
      <c r="L2534">
        <v>214.88290000000001</v>
      </c>
      <c r="M2534">
        <v>0.99968670000000004</v>
      </c>
      <c r="N2534">
        <v>-1.429589E-2</v>
      </c>
      <c r="O2534">
        <v>2.0554679999999999E-2</v>
      </c>
      <c r="P2534">
        <v>0.99520940000000002</v>
      </c>
      <c r="Q2534">
        <v>-9.6822080000000005E-2</v>
      </c>
      <c r="R2534">
        <v>-1.3560890000000001E-2</v>
      </c>
      <c r="S2534">
        <v>2.998688</v>
      </c>
      <c r="T2534">
        <v>-5.1561360000000001E-2</v>
      </c>
      <c r="U2534">
        <v>-1.0908659999999999</v>
      </c>
      <c r="V2534">
        <v>3.4032399999999997E-2</v>
      </c>
      <c r="W2534">
        <v>-8.2585160000000005E-2</v>
      </c>
      <c r="X2534">
        <v>0.99600270000000002</v>
      </c>
      <c r="Y2534">
        <v>0.3610179</v>
      </c>
      <c r="Z2534">
        <v>-5.7265819999999896E-3</v>
      </c>
      <c r="AA2534">
        <v>0.93254130000000002</v>
      </c>
      <c r="AB2534">
        <v>41</v>
      </c>
      <c r="AC2534">
        <v>64.095799999999997</v>
      </c>
      <c r="AD2534">
        <v>-1.109009517346</v>
      </c>
      <c r="AE2534">
        <v>-23.471900000000002</v>
      </c>
      <c r="AF2534">
        <v>24.7780024342883</v>
      </c>
      <c r="AG2534">
        <v>-1.109009517346</v>
      </c>
      <c r="AH2534">
        <v>63.582964951599799</v>
      </c>
      <c r="AI2534">
        <v>90.931061885050696</v>
      </c>
      <c r="AJ2534">
        <v>68.709355648994602</v>
      </c>
      <c r="AK2534">
        <v>68.2493424054733</v>
      </c>
      <c r="AL2534">
        <v>94.737176653039697</v>
      </c>
      <c r="AM2534">
        <v>88.043022810975799</v>
      </c>
      <c r="AN2534">
        <v>0.99999994565463601</v>
      </c>
    </row>
    <row r="2535" spans="1:40" x14ac:dyDescent="0.25">
      <c r="A2535" t="str">
        <f>"20190305135635904"</f>
        <v>20190305135635904</v>
      </c>
      <c r="B2535" t="str">
        <f>"1551765395894774"</f>
        <v>1551765395894774</v>
      </c>
      <c r="C2535" t="s">
        <v>40</v>
      </c>
      <c r="D2535">
        <v>4.3079299999999998</v>
      </c>
      <c r="E2535">
        <v>0.63261239999999996</v>
      </c>
      <c r="F2535" t="s">
        <v>42</v>
      </c>
      <c r="G2535">
        <v>-179.95779999999999</v>
      </c>
      <c r="H2535">
        <v>9.0911840000000004E-3</v>
      </c>
      <c r="I2535">
        <v>190.3717</v>
      </c>
      <c r="J2535">
        <v>-246.37450000000001</v>
      </c>
      <c r="K2535">
        <v>1.1089709999999999</v>
      </c>
      <c r="L2535">
        <v>214.89349999999999</v>
      </c>
      <c r="M2535">
        <v>0.99968729999999995</v>
      </c>
      <c r="N2535">
        <v>-1.4292610000000001E-2</v>
      </c>
      <c r="O2535">
        <v>2.0522260000000001E-2</v>
      </c>
      <c r="P2535">
        <v>0.99517909999999998</v>
      </c>
      <c r="Q2535">
        <v>-9.64333E-2</v>
      </c>
      <c r="R2535">
        <v>-1.78722999999999E-2</v>
      </c>
      <c r="S2535">
        <v>2.9947050000000002</v>
      </c>
      <c r="T2535">
        <v>-4.9213170000000001E-2</v>
      </c>
      <c r="U2535">
        <v>-1.096695</v>
      </c>
      <c r="V2535">
        <v>3.8301490000000001E-2</v>
      </c>
      <c r="W2535">
        <v>-8.2204529999999998E-2</v>
      </c>
      <c r="X2535">
        <v>0.99587919999999996</v>
      </c>
      <c r="Y2535">
        <v>0.36299219999999999</v>
      </c>
      <c r="Z2535">
        <v>-5.607758E-3</v>
      </c>
      <c r="AA2535">
        <v>0.93177529999999997</v>
      </c>
      <c r="AB2535">
        <v>41</v>
      </c>
      <c r="AC2535">
        <v>66.416700000000006</v>
      </c>
      <c r="AD2535">
        <v>-1.0998798159999901</v>
      </c>
      <c r="AE2535">
        <v>-24.521799999999899</v>
      </c>
      <c r="AF2535">
        <v>25.873550068191001</v>
      </c>
      <c r="AG2535">
        <v>-1.0998798159999901</v>
      </c>
      <c r="AH2535">
        <v>65.883514822637906</v>
      </c>
      <c r="AI2535">
        <v>90.890247298888994</v>
      </c>
      <c r="AJ2535">
        <v>68.559239786121793</v>
      </c>
      <c r="AK2535">
        <v>70.790450303170005</v>
      </c>
      <c r="AL2535">
        <v>94.715293566461895</v>
      </c>
      <c r="AM2535">
        <v>87.797491235977105</v>
      </c>
      <c r="AN2535">
        <v>0.99999998494068998</v>
      </c>
    </row>
    <row r="2536" spans="1:40" x14ac:dyDescent="0.25">
      <c r="A2536" t="str">
        <f>"20190305135635927"</f>
        <v>20190305135635927</v>
      </c>
      <c r="B2536" t="str">
        <f>"1551765395925031"</f>
        <v>1551765395925031</v>
      </c>
      <c r="C2536" t="s">
        <v>40</v>
      </c>
      <c r="D2536">
        <v>4.3451069999999996</v>
      </c>
      <c r="E2536">
        <v>0.63166089999999997</v>
      </c>
      <c r="F2536" t="s">
        <v>42</v>
      </c>
      <c r="G2536">
        <v>-188.16489999999999</v>
      </c>
      <c r="H2536" s="1">
        <v>-1.9697520000000001E-6</v>
      </c>
      <c r="I2536">
        <v>193.46549999999999</v>
      </c>
      <c r="J2536">
        <v>-245.9528</v>
      </c>
      <c r="K2536">
        <v>1.1089230000000001</v>
      </c>
      <c r="L2536">
        <v>214.90209999999999</v>
      </c>
      <c r="M2536">
        <v>0.99968919999999994</v>
      </c>
      <c r="N2536">
        <v>-1.4289960000000001E-2</v>
      </c>
      <c r="O2536">
        <v>2.043739E-2</v>
      </c>
      <c r="P2536">
        <v>0.99512849999999997</v>
      </c>
      <c r="Q2536">
        <v>-9.6083550000000004E-2</v>
      </c>
      <c r="R2536">
        <v>-2.208334E-2</v>
      </c>
      <c r="S2536">
        <v>2.9892729999999998</v>
      </c>
      <c r="T2536">
        <v>-5.6949850000000003E-2</v>
      </c>
      <c r="U2536">
        <v>-1.100403</v>
      </c>
      <c r="V2536">
        <v>4.2416860000000001E-2</v>
      </c>
      <c r="W2536">
        <v>-8.1863720000000001E-2</v>
      </c>
      <c r="X2536">
        <v>0.99574050000000003</v>
      </c>
      <c r="Y2536">
        <v>0.36445549999999999</v>
      </c>
      <c r="Z2536">
        <v>-6.1431769999999997E-3</v>
      </c>
      <c r="AA2536">
        <v>0.93120060000000004</v>
      </c>
      <c r="AB2536">
        <v>41</v>
      </c>
      <c r="AC2536">
        <v>57.7879</v>
      </c>
      <c r="AD2536">
        <v>-1.1089249697519901</v>
      </c>
      <c r="AE2536">
        <v>-21.436599999999999</v>
      </c>
      <c r="AF2536">
        <v>22.605958472161799</v>
      </c>
      <c r="AG2536">
        <v>-1.1089249697519901</v>
      </c>
      <c r="AH2536">
        <v>57.319120823657599</v>
      </c>
      <c r="AI2536">
        <v>91.031063900781803</v>
      </c>
      <c r="AJ2536">
        <v>68.476331758137903</v>
      </c>
      <c r="AK2536">
        <v>61.625811840743303</v>
      </c>
      <c r="AL2536">
        <v>94.695700478026495</v>
      </c>
      <c r="AM2536">
        <v>87.560771473979599</v>
      </c>
      <c r="AN2536">
        <v>1.00000000100237</v>
      </c>
    </row>
    <row r="2537" spans="1:40" x14ac:dyDescent="0.25">
      <c r="A2537" t="str">
        <f>"20190305135635963"</f>
        <v>20190305135635963</v>
      </c>
      <c r="B2537" t="str">
        <f>"1551765395954309"</f>
        <v>1551765395954309</v>
      </c>
      <c r="C2537" t="s">
        <v>40</v>
      </c>
      <c r="D2537">
        <v>4.3328899999999999</v>
      </c>
      <c r="E2537">
        <v>0.63080309999999995</v>
      </c>
      <c r="F2537" t="s">
        <v>42</v>
      </c>
      <c r="G2537">
        <v>-189.09039999999999</v>
      </c>
      <c r="H2537" s="1">
        <v>-1.9663250000000002E-6</v>
      </c>
      <c r="I2537">
        <v>193.84020000000001</v>
      </c>
      <c r="J2537">
        <v>-245.30629999999999</v>
      </c>
      <c r="K2537">
        <v>1.108822</v>
      </c>
      <c r="L2537">
        <v>214.91499999999999</v>
      </c>
      <c r="M2537">
        <v>0.99969479999999999</v>
      </c>
      <c r="N2537">
        <v>-1.4286129999999999E-2</v>
      </c>
      <c r="O2537">
        <v>2.0156650000000002E-2</v>
      </c>
      <c r="P2537">
        <v>0.99476039999999999</v>
      </c>
      <c r="Q2537">
        <v>-9.7341570000000002E-2</v>
      </c>
      <c r="R2537">
        <v>-3.1245479999999999E-2</v>
      </c>
      <c r="S2537">
        <v>2.9845280000000001</v>
      </c>
      <c r="T2537">
        <v>-5.8203940000000003E-2</v>
      </c>
      <c r="U2537">
        <v>-1.105469</v>
      </c>
      <c r="V2537">
        <v>5.1269990000000001E-2</v>
      </c>
      <c r="W2537">
        <v>-8.3145919999999998E-2</v>
      </c>
      <c r="X2537">
        <v>0.99521760000000004</v>
      </c>
      <c r="Y2537">
        <v>0.36605969999999999</v>
      </c>
      <c r="Z2537">
        <v>-6.2560790000000003E-3</v>
      </c>
      <c r="AA2537">
        <v>0.93057040000000002</v>
      </c>
      <c r="AB2537">
        <v>41</v>
      </c>
      <c r="AC2537">
        <v>56.215899999999998</v>
      </c>
      <c r="AD2537">
        <v>-1.1088239663249999</v>
      </c>
      <c r="AE2537">
        <v>-21.0747999999999</v>
      </c>
      <c r="AF2537">
        <v>22.196185916117201</v>
      </c>
      <c r="AG2537">
        <v>-1.1088239663249999</v>
      </c>
      <c r="AH2537">
        <v>55.760615267907497</v>
      </c>
      <c r="AI2537">
        <v>91.058446682278898</v>
      </c>
      <c r="AJ2537">
        <v>68.294374460290399</v>
      </c>
      <c r="AK2537">
        <v>60.026214064079802</v>
      </c>
      <c r="AL2537">
        <v>94.769416632743301</v>
      </c>
      <c r="AM2537">
        <v>87.050936920845302</v>
      </c>
      <c r="AN2537">
        <v>0.99999996361850196</v>
      </c>
    </row>
    <row r="2538" spans="1:40" x14ac:dyDescent="0.25">
      <c r="A2538" t="str">
        <f>"20190305135635983"</f>
        <v>20190305135635983</v>
      </c>
      <c r="B2538" t="str">
        <f>"1551765395974806"</f>
        <v>1551765395974806</v>
      </c>
      <c r="C2538" t="s">
        <v>40</v>
      </c>
      <c r="D2538">
        <v>4.3158450000000004</v>
      </c>
      <c r="E2538">
        <v>0.63048369999999998</v>
      </c>
      <c r="F2538" t="s">
        <v>42</v>
      </c>
      <c r="G2538">
        <v>-200.7407</v>
      </c>
      <c r="H2538">
        <v>7.9985849999999997E-2</v>
      </c>
      <c r="I2538">
        <v>198.03469999999999</v>
      </c>
      <c r="J2538">
        <v>-244.9229</v>
      </c>
      <c r="K2538">
        <v>1.1087469999999999</v>
      </c>
      <c r="L2538">
        <v>214.92250000000001</v>
      </c>
      <c r="M2538">
        <v>0.99969969999999997</v>
      </c>
      <c r="N2538">
        <v>-1.428403E-2</v>
      </c>
      <c r="O2538">
        <v>1.9907609999999999E-2</v>
      </c>
      <c r="P2538">
        <v>0.99447450000000004</v>
      </c>
      <c r="Q2538">
        <v>-9.8479479999999994E-2</v>
      </c>
      <c r="R2538">
        <v>-3.6358189999999999E-2</v>
      </c>
      <c r="S2538">
        <v>2.9736940000000001</v>
      </c>
      <c r="T2538">
        <v>-6.8650249999999996E-2</v>
      </c>
      <c r="U2538">
        <v>-1.126358</v>
      </c>
      <c r="V2538">
        <v>5.6114190000000001E-2</v>
      </c>
      <c r="W2538">
        <v>-8.4301899999999902E-2</v>
      </c>
      <c r="X2538">
        <v>0.99485900000000005</v>
      </c>
      <c r="Y2538">
        <v>0.372616</v>
      </c>
      <c r="Z2538">
        <v>-7.0774710000000001E-3</v>
      </c>
      <c r="AA2538">
        <v>0.92795870000000003</v>
      </c>
      <c r="AB2538">
        <v>41</v>
      </c>
      <c r="AC2538">
        <v>44.182200000000002</v>
      </c>
      <c r="AD2538">
        <v>-1.02876115</v>
      </c>
      <c r="AE2538">
        <v>-16.887799999999999</v>
      </c>
      <c r="AF2538">
        <v>17.755704952751099</v>
      </c>
      <c r="AG2538">
        <v>-1.02876115</v>
      </c>
      <c r="AH2538">
        <v>43.816484675628203</v>
      </c>
      <c r="AI2538">
        <v>91.246566288188802</v>
      </c>
      <c r="AJ2538">
        <v>67.940787539615997</v>
      </c>
      <c r="AK2538">
        <v>47.2885582060022</v>
      </c>
      <c r="AL2538">
        <v>94.835882498003201</v>
      </c>
      <c r="AM2538">
        <v>86.771700103694897</v>
      </c>
      <c r="AN2538">
        <v>1.00000002127198</v>
      </c>
    </row>
    <row r="2539" spans="1:40" x14ac:dyDescent="0.25">
      <c r="A2539" t="str">
        <f>"20190305135636008"</f>
        <v>20190305135636008</v>
      </c>
      <c r="B2539" t="str">
        <f>"1551765396005062"</f>
        <v>1551765396005062</v>
      </c>
      <c r="C2539" t="s">
        <v>40</v>
      </c>
      <c r="D2539">
        <v>4.309183</v>
      </c>
      <c r="E2539">
        <v>0.62983959999999894</v>
      </c>
      <c r="F2539" t="s">
        <v>43</v>
      </c>
      <c r="G2539">
        <v>-200.51570000000001</v>
      </c>
      <c r="H2539">
        <v>-0.05</v>
      </c>
      <c r="I2539">
        <v>197.87100000000001</v>
      </c>
      <c r="J2539">
        <v>-244.48410000000001</v>
      </c>
      <c r="K2539">
        <v>1.1086609999999999</v>
      </c>
      <c r="L2539">
        <v>214.93090000000001</v>
      </c>
      <c r="M2539">
        <v>0.99970700000000001</v>
      </c>
      <c r="N2539">
        <v>-1.42816E-2</v>
      </c>
      <c r="O2539">
        <v>1.9545710000000001E-2</v>
      </c>
      <c r="P2539">
        <v>0.99423300000000003</v>
      </c>
      <c r="Q2539">
        <v>-9.8882209999999998E-2</v>
      </c>
      <c r="R2539">
        <v>-4.151179E-2</v>
      </c>
      <c r="S2539">
        <v>2.967346</v>
      </c>
      <c r="T2539">
        <v>-7.7428940000000002E-2</v>
      </c>
      <c r="U2539">
        <v>-1.1394040000000001</v>
      </c>
      <c r="V2539">
        <v>6.088549E-2</v>
      </c>
      <c r="W2539">
        <v>-8.472557E-2</v>
      </c>
      <c r="X2539">
        <v>0.99454240000000005</v>
      </c>
      <c r="Y2539">
        <v>0.37646109999999999</v>
      </c>
      <c r="Z2539">
        <v>-7.7470459999999996E-3</v>
      </c>
      <c r="AA2539">
        <v>0.9264</v>
      </c>
      <c r="AB2539">
        <v>41</v>
      </c>
      <c r="AC2539">
        <v>43.968400000000003</v>
      </c>
      <c r="AD2539">
        <v>-1.1586609999999999</v>
      </c>
      <c r="AE2539">
        <v>-17.059899999999999</v>
      </c>
      <c r="AF2539">
        <v>17.905314403450301</v>
      </c>
      <c r="AG2539">
        <v>-1.1586609999999999</v>
      </c>
      <c r="AH2539">
        <v>43.600201157447401</v>
      </c>
      <c r="AI2539">
        <v>91.408188513127698</v>
      </c>
      <c r="AJ2539">
        <v>67.673492540446006</v>
      </c>
      <c r="AK2539">
        <v>47.147855944562401</v>
      </c>
      <c r="AL2539">
        <v>94.860244139554396</v>
      </c>
      <c r="AM2539">
        <v>86.496747353813404</v>
      </c>
      <c r="AN2539">
        <v>1.0000000252510599</v>
      </c>
    </row>
    <row r="2540" spans="1:40" x14ac:dyDescent="0.25">
      <c r="A2540" t="str">
        <f>"20190305135636028"</f>
        <v>20190305135636028</v>
      </c>
      <c r="B2540" t="str">
        <f>"1551765396024581"</f>
        <v>1551765396024581</v>
      </c>
      <c r="C2540" t="s">
        <v>40</v>
      </c>
      <c r="D2540">
        <v>4.2840400000000001</v>
      </c>
      <c r="E2540">
        <v>0.62926459999999995</v>
      </c>
      <c r="F2540" t="s">
        <v>43</v>
      </c>
      <c r="G2540">
        <v>-204.07310000000001</v>
      </c>
      <c r="H2540">
        <v>-0.05</v>
      </c>
      <c r="I2540">
        <v>199.23740000000001</v>
      </c>
      <c r="J2540">
        <v>-244.11529999999999</v>
      </c>
      <c r="K2540">
        <v>1.108595</v>
      </c>
      <c r="L2540">
        <v>214.93780000000001</v>
      </c>
      <c r="M2540">
        <v>0.99971429999999994</v>
      </c>
      <c r="N2540">
        <v>-1.427966E-2</v>
      </c>
      <c r="O2540">
        <v>1.9169100000000001E-2</v>
      </c>
      <c r="P2540">
        <v>0.9940158</v>
      </c>
      <c r="Q2540">
        <v>-9.8808960000000001E-2</v>
      </c>
      <c r="R2540">
        <v>-4.6579420000000003E-2</v>
      </c>
      <c r="S2540">
        <v>2.9609679999999998</v>
      </c>
      <c r="T2540">
        <v>-8.4896680000000002E-2</v>
      </c>
      <c r="U2540">
        <v>-1.1498870000000001</v>
      </c>
      <c r="V2540">
        <v>6.5560300000000002E-2</v>
      </c>
      <c r="W2540">
        <v>-8.4671910000000003E-2</v>
      </c>
      <c r="X2540">
        <v>0.99424970000000001</v>
      </c>
      <c r="Y2540">
        <v>0.37959900000000002</v>
      </c>
      <c r="Z2540">
        <v>-8.3230479999999996E-3</v>
      </c>
      <c r="AA2540">
        <v>0.92511370000000004</v>
      </c>
      <c r="AB2540">
        <v>41</v>
      </c>
      <c r="AC2540">
        <v>40.042199999999902</v>
      </c>
      <c r="AD2540">
        <v>-1.158595</v>
      </c>
      <c r="AE2540">
        <v>-15.7004</v>
      </c>
      <c r="AF2540">
        <v>16.453226667665099</v>
      </c>
      <c r="AG2540">
        <v>-1.158595</v>
      </c>
      <c r="AH2540">
        <v>39.705036302857401</v>
      </c>
      <c r="AI2540">
        <v>91.544160090286297</v>
      </c>
      <c r="AJ2540">
        <v>67.491548368746393</v>
      </c>
      <c r="AK2540">
        <v>42.9946615053871</v>
      </c>
      <c r="AL2540">
        <v>94.857158802071694</v>
      </c>
      <c r="AM2540">
        <v>86.227408001276004</v>
      </c>
      <c r="AN2540">
        <v>0.99999997561461296</v>
      </c>
    </row>
    <row r="2541" spans="1:40" x14ac:dyDescent="0.25">
      <c r="A2541" t="str">
        <f>"20190305135636052"</f>
        <v>20190305135636052</v>
      </c>
      <c r="B2541" t="str">
        <f>"1551765396045077"</f>
        <v>1551765396045077</v>
      </c>
      <c r="C2541" t="s">
        <v>40</v>
      </c>
      <c r="D2541">
        <v>4.3004259999999999</v>
      </c>
      <c r="E2541">
        <v>0.62877399999999894</v>
      </c>
      <c r="F2541" t="s">
        <v>43</v>
      </c>
      <c r="G2541">
        <v>-201.8878</v>
      </c>
      <c r="H2541">
        <v>-0.05</v>
      </c>
      <c r="I2541">
        <v>198.363</v>
      </c>
      <c r="J2541">
        <v>-243.67769999999999</v>
      </c>
      <c r="K2541">
        <v>1.1085259999999999</v>
      </c>
      <c r="L2541">
        <v>214.94569999999999</v>
      </c>
      <c r="M2541">
        <v>0.99972439999999996</v>
      </c>
      <c r="N2541">
        <v>-1.427747E-2</v>
      </c>
      <c r="O2541">
        <v>1.8640250000000001E-2</v>
      </c>
      <c r="P2541">
        <v>0.99382139999999997</v>
      </c>
      <c r="Q2541">
        <v>-9.8417820000000003E-2</v>
      </c>
      <c r="R2541">
        <v>-5.131894E-2</v>
      </c>
      <c r="S2541">
        <v>2.9556429999999998</v>
      </c>
      <c r="T2541">
        <v>-8.1093789999999999E-2</v>
      </c>
      <c r="U2541">
        <v>-1.160126</v>
      </c>
      <c r="V2541">
        <v>6.9754700000000003E-2</v>
      </c>
      <c r="W2541">
        <v>-8.4302650000000007E-2</v>
      </c>
      <c r="X2541">
        <v>0.99399570000000004</v>
      </c>
      <c r="Y2541">
        <v>0.38246400000000003</v>
      </c>
      <c r="Z2541">
        <v>-8.1241059999999903E-3</v>
      </c>
      <c r="AA2541">
        <v>0.9239347</v>
      </c>
      <c r="AB2541">
        <v>41</v>
      </c>
      <c r="AC2541">
        <v>41.789899999999903</v>
      </c>
      <c r="AD2541">
        <v>-1.1585259999999999</v>
      </c>
      <c r="AE2541">
        <v>-16.5826999999999</v>
      </c>
      <c r="AF2541">
        <v>17.347353265438102</v>
      </c>
      <c r="AG2541">
        <v>-1.1585259999999999</v>
      </c>
      <c r="AH2541">
        <v>41.445980772946598</v>
      </c>
      <c r="AI2541">
        <v>91.477053766043099</v>
      </c>
      <c r="AJ2541">
        <v>67.288089746999006</v>
      </c>
      <c r="AK2541">
        <v>44.9448792415781</v>
      </c>
      <c r="AL2541">
        <v>94.835925468129503</v>
      </c>
      <c r="AM2541">
        <v>85.985788983271405</v>
      </c>
      <c r="AN2541">
        <v>1.00000005329379</v>
      </c>
    </row>
    <row r="2542" spans="1:40" x14ac:dyDescent="0.25">
      <c r="A2542" t="str">
        <f>"20190305135636075"</f>
        <v>20190305135636075</v>
      </c>
      <c r="B2542" t="str">
        <f>"1551765396064598"</f>
        <v>1551765396064598</v>
      </c>
      <c r="C2542" t="s">
        <v>40</v>
      </c>
      <c r="D2542">
        <v>4.2870549999999996</v>
      </c>
      <c r="E2542">
        <v>0.62841150000000001</v>
      </c>
      <c r="F2542" t="s">
        <v>43</v>
      </c>
      <c r="G2542">
        <v>-201.2568</v>
      </c>
      <c r="H2542">
        <v>-0.05</v>
      </c>
      <c r="I2542">
        <v>198.11869999999999</v>
      </c>
      <c r="J2542">
        <v>-243.27440000000001</v>
      </c>
      <c r="K2542">
        <v>1.10846</v>
      </c>
      <c r="L2542">
        <v>214.9528</v>
      </c>
      <c r="M2542">
        <v>0.99973460000000003</v>
      </c>
      <c r="N2542">
        <v>-1.427549E-2</v>
      </c>
      <c r="O2542">
        <v>1.8089049999999999E-2</v>
      </c>
      <c r="P2542">
        <v>0.99361750000000004</v>
      </c>
      <c r="Q2542">
        <v>-9.8271609999999995E-2</v>
      </c>
      <c r="R2542">
        <v>-5.5380970000000002E-2</v>
      </c>
      <c r="S2542">
        <v>2.950256</v>
      </c>
      <c r="T2542">
        <v>-8.0572130000000006E-2</v>
      </c>
      <c r="U2542">
        <v>-1.1702729999999999</v>
      </c>
      <c r="V2542">
        <v>7.3252280000000003E-2</v>
      </c>
      <c r="W2542">
        <v>-8.4176810000000005E-2</v>
      </c>
      <c r="X2542">
        <v>0.99375469999999999</v>
      </c>
      <c r="Y2542">
        <v>0.3852757</v>
      </c>
      <c r="Z2542">
        <v>-8.1470169999999995E-3</v>
      </c>
      <c r="AA2542">
        <v>0.92276559999999996</v>
      </c>
      <c r="AB2542">
        <v>40</v>
      </c>
      <c r="AC2542">
        <v>42.017600000000002</v>
      </c>
      <c r="AD2542">
        <v>-1.15846</v>
      </c>
      <c r="AE2542">
        <v>-16.834099999999999</v>
      </c>
      <c r="AF2542">
        <v>17.579965789310702</v>
      </c>
      <c r="AG2542">
        <v>-1.15846</v>
      </c>
      <c r="AH2542">
        <v>41.678879676698301</v>
      </c>
      <c r="AI2542">
        <v>91.467021203937193</v>
      </c>
      <c r="AJ2542">
        <v>67.130199512038203</v>
      </c>
      <c r="AK2542">
        <v>45.249599311260503</v>
      </c>
      <c r="AL2542">
        <v>94.828689819717397</v>
      </c>
      <c r="AM2542">
        <v>85.784201528317098</v>
      </c>
      <c r="AN2542">
        <v>1.0000000178195301</v>
      </c>
    </row>
    <row r="2543" spans="1:40" x14ac:dyDescent="0.25">
      <c r="A2543" t="str">
        <f>"20190305135636098"</f>
        <v>20190305135636098</v>
      </c>
      <c r="B2543" t="str">
        <f>"1551765396094854"</f>
        <v>1551765396094854</v>
      </c>
      <c r="C2543" t="s">
        <v>40</v>
      </c>
      <c r="D2543">
        <v>4.3182309999999999</v>
      </c>
      <c r="E2543">
        <v>0.62793209999999999</v>
      </c>
      <c r="F2543" t="s">
        <v>43</v>
      </c>
      <c r="G2543">
        <v>-201.71369999999999</v>
      </c>
      <c r="H2543">
        <v>-0.05</v>
      </c>
      <c r="I2543">
        <v>198.3133</v>
      </c>
      <c r="J2543">
        <v>-242.85890000000001</v>
      </c>
      <c r="K2543">
        <v>1.108403</v>
      </c>
      <c r="L2543">
        <v>214.9597</v>
      </c>
      <c r="M2543">
        <v>0.99974549999999995</v>
      </c>
      <c r="N2543">
        <v>-1.4273370000000001E-2</v>
      </c>
      <c r="O2543">
        <v>1.7472629999999999E-2</v>
      </c>
      <c r="P2543">
        <v>0.9933109</v>
      </c>
      <c r="Q2543">
        <v>-9.9138270000000001E-2</v>
      </c>
      <c r="R2543">
        <v>-5.9204489999999999E-2</v>
      </c>
      <c r="S2543">
        <v>2.9454349999999998</v>
      </c>
      <c r="T2543">
        <v>-8.210075E-2</v>
      </c>
      <c r="U2543">
        <v>-1.1792450000000001</v>
      </c>
      <c r="V2543">
        <v>7.6444579999999998E-2</v>
      </c>
      <c r="W2543">
        <v>-8.5064780000000006E-2</v>
      </c>
      <c r="X2543">
        <v>0.99343859999999995</v>
      </c>
      <c r="Y2543">
        <v>0.3876404</v>
      </c>
      <c r="Z2543">
        <v>-8.300366E-3</v>
      </c>
      <c r="AA2543">
        <v>0.92177330000000002</v>
      </c>
      <c r="AB2543">
        <v>40</v>
      </c>
      <c r="AC2543">
        <v>41.145200000000003</v>
      </c>
      <c r="AD2543">
        <v>-1.1584030000000001</v>
      </c>
      <c r="AE2543">
        <v>-16.6464</v>
      </c>
      <c r="AF2543">
        <v>17.351027589504898</v>
      </c>
      <c r="AG2543">
        <v>-1.1584030000000001</v>
      </c>
      <c r="AH2543">
        <v>40.820226630961798</v>
      </c>
      <c r="AI2543">
        <v>91.4960388863513</v>
      </c>
      <c r="AJ2543">
        <v>66.971617582041304</v>
      </c>
      <c r="AK2543">
        <v>44.369933041703497</v>
      </c>
      <c r="AL2543">
        <v>94.879749877731996</v>
      </c>
      <c r="AM2543">
        <v>85.599790973004204</v>
      </c>
      <c r="AN2543">
        <v>1.00000002128889</v>
      </c>
    </row>
    <row r="2544" spans="1:40" x14ac:dyDescent="0.25">
      <c r="A2544" t="str">
        <f>"20190305135636126"</f>
        <v>20190305135636126</v>
      </c>
      <c r="B2544" t="str">
        <f>"1551765396115350"</f>
        <v>1551765396115350</v>
      </c>
      <c r="C2544" t="s">
        <v>40</v>
      </c>
      <c r="D2544">
        <v>4.3419610000000004</v>
      </c>
      <c r="E2544">
        <v>0.62754390000000004</v>
      </c>
      <c r="F2544" t="s">
        <v>54</v>
      </c>
      <c r="G2544">
        <v>-204.9487</v>
      </c>
      <c r="H2544">
        <v>8.0002610000000002E-2</v>
      </c>
      <c r="I2544">
        <v>199.67240000000001</v>
      </c>
      <c r="J2544">
        <v>-242.363</v>
      </c>
      <c r="K2544">
        <v>1.1083400000000001</v>
      </c>
      <c r="L2544">
        <v>214.96770000000001</v>
      </c>
      <c r="M2544">
        <v>0.99975899999999995</v>
      </c>
      <c r="N2544">
        <v>-1.4270740000000001E-2</v>
      </c>
      <c r="O2544">
        <v>1.6687380000000002E-2</v>
      </c>
      <c r="P2544">
        <v>0.99299000000000004</v>
      </c>
      <c r="Q2544">
        <v>-9.9952120000000005E-2</v>
      </c>
      <c r="R2544">
        <v>-6.3089999999999993E-2</v>
      </c>
      <c r="S2544">
        <v>2.9415279999999999</v>
      </c>
      <c r="T2544">
        <v>-7.9795720000000001E-2</v>
      </c>
      <c r="U2544">
        <v>-1.186172</v>
      </c>
      <c r="V2544">
        <v>7.9531240000000003E-2</v>
      </c>
      <c r="W2544">
        <v>-8.5901569999999997E-2</v>
      </c>
      <c r="X2544">
        <v>0.99312420000000001</v>
      </c>
      <c r="Y2544">
        <v>0.38921539999999999</v>
      </c>
      <c r="Z2544">
        <v>-8.1691309999999996E-3</v>
      </c>
      <c r="AA2544">
        <v>0.9211106</v>
      </c>
      <c r="AB2544">
        <v>40</v>
      </c>
      <c r="AC2544">
        <v>37.414299999999997</v>
      </c>
      <c r="AD2544">
        <v>-1.0283373899999999</v>
      </c>
      <c r="AE2544">
        <v>-15.2952999999999</v>
      </c>
      <c r="AF2544">
        <v>15.9072838100409</v>
      </c>
      <c r="AG2544">
        <v>-1.0283373899999999</v>
      </c>
      <c r="AH2544">
        <v>37.129792140676301</v>
      </c>
      <c r="AI2544">
        <v>91.458307845047003</v>
      </c>
      <c r="AJ2544">
        <v>66.8085595299288</v>
      </c>
      <c r="AK2544">
        <v>40.406937775717303</v>
      </c>
      <c r="AL2544">
        <v>94.9278707219013</v>
      </c>
      <c r="AM2544">
        <v>85.421417971675695</v>
      </c>
      <c r="AN2544">
        <v>0.99999998724502104</v>
      </c>
    </row>
    <row r="2545" spans="1:40" x14ac:dyDescent="0.25">
      <c r="A2545" t="str">
        <f>"20190305135636164"</f>
        <v>20190305135636164</v>
      </c>
      <c r="B2545" t="str">
        <f>"1551765396154389"</f>
        <v>1551765396154389</v>
      </c>
      <c r="C2545" t="s">
        <v>40</v>
      </c>
      <c r="D2545">
        <v>4.3287360000000001</v>
      </c>
      <c r="E2545">
        <v>0.62694910000000004</v>
      </c>
      <c r="F2545" t="s">
        <v>42</v>
      </c>
      <c r="G2545">
        <v>-204.60900000000001</v>
      </c>
      <c r="H2545">
        <v>7.9985550000000002E-2</v>
      </c>
      <c r="I2545">
        <v>199.61019999999999</v>
      </c>
      <c r="J2545">
        <v>-241.6696</v>
      </c>
      <c r="K2545">
        <v>1.1082650000000001</v>
      </c>
      <c r="L2545">
        <v>214.97800000000001</v>
      </c>
      <c r="M2545">
        <v>0.9997779</v>
      </c>
      <c r="N2545">
        <v>-1.426703E-2</v>
      </c>
      <c r="O2545">
        <v>1.5522640000000001E-2</v>
      </c>
      <c r="P2545">
        <v>0.99243000000000003</v>
      </c>
      <c r="Q2545">
        <v>-0.1020908</v>
      </c>
      <c r="R2545">
        <v>-6.8268480000000006E-2</v>
      </c>
      <c r="S2545">
        <v>2.9372099999999999</v>
      </c>
      <c r="T2545">
        <v>-8.0004450000000005E-2</v>
      </c>
      <c r="U2545">
        <v>-1.1947939999999999</v>
      </c>
      <c r="V2545">
        <v>8.3527160000000003E-2</v>
      </c>
      <c r="W2545">
        <v>-8.8070819999999994E-2</v>
      </c>
      <c r="X2545">
        <v>0.99260599999999999</v>
      </c>
      <c r="Y2545">
        <v>0.39093149999999999</v>
      </c>
      <c r="Z2545">
        <v>-8.2099140000000004E-3</v>
      </c>
      <c r="AA2545">
        <v>0.92038319999999996</v>
      </c>
      <c r="AB2545">
        <v>40</v>
      </c>
      <c r="AC2545">
        <v>37.060600000000001</v>
      </c>
      <c r="AD2545">
        <v>-1.0282794500000001</v>
      </c>
      <c r="AE2545">
        <v>-15.3677999999999</v>
      </c>
      <c r="AF2545">
        <v>15.930820161518501</v>
      </c>
      <c r="AG2545">
        <v>-1.0282794500000001</v>
      </c>
      <c r="AH2545">
        <v>36.793391835900302</v>
      </c>
      <c r="AI2545">
        <v>91.469119308216506</v>
      </c>
      <c r="AJ2545">
        <v>66.588330637187198</v>
      </c>
      <c r="AK2545">
        <v>40.107381769894097</v>
      </c>
      <c r="AL2545">
        <v>95.052632646026495</v>
      </c>
      <c r="AM2545">
        <v>85.189928997379795</v>
      </c>
      <c r="AN2545">
        <v>0.99999996351456799</v>
      </c>
    </row>
    <row r="2546" spans="1:40" x14ac:dyDescent="0.25">
      <c r="A2546" t="str">
        <f>"20190305135636187"</f>
        <v>20190305135636187</v>
      </c>
      <c r="B2546" t="str">
        <f>"1551765396184646"</f>
        <v>1551765396184646</v>
      </c>
      <c r="C2546" t="s">
        <v>40</v>
      </c>
      <c r="D2546">
        <v>4.3417529999999998</v>
      </c>
      <c r="E2546">
        <v>0.62656990000000001</v>
      </c>
      <c r="F2546" t="s">
        <v>43</v>
      </c>
      <c r="G2546">
        <v>-203.191</v>
      </c>
      <c r="H2546">
        <v>-0.05</v>
      </c>
      <c r="I2546">
        <v>199.1542</v>
      </c>
      <c r="J2546">
        <v>-241.2482</v>
      </c>
      <c r="K2546">
        <v>1.1082350000000001</v>
      </c>
      <c r="L2546">
        <v>214.98390000000001</v>
      </c>
      <c r="M2546">
        <v>0.99978889999999998</v>
      </c>
      <c r="N2546">
        <v>-1.426472E-2</v>
      </c>
      <c r="O2546">
        <v>1.4793010000000001E-2</v>
      </c>
      <c r="P2546">
        <v>0.99220819999999998</v>
      </c>
      <c r="Q2546">
        <v>-0.10272870000000001</v>
      </c>
      <c r="R2546">
        <v>-7.0499359999999997E-2</v>
      </c>
      <c r="S2546">
        <v>2.9308930000000002</v>
      </c>
      <c r="T2546">
        <v>-8.8224410000000003E-2</v>
      </c>
      <c r="U2546">
        <v>-1.205292</v>
      </c>
      <c r="V2546">
        <v>8.5023310000000005E-2</v>
      </c>
      <c r="W2546">
        <v>-8.8722540000000003E-2</v>
      </c>
      <c r="X2546">
        <v>0.992421</v>
      </c>
      <c r="Y2546">
        <v>0.39373639999999999</v>
      </c>
      <c r="Z2546">
        <v>-8.8379419999999997E-3</v>
      </c>
      <c r="AA2546">
        <v>0.91918089999999997</v>
      </c>
      <c r="AB2546">
        <v>40</v>
      </c>
      <c r="AC2546">
        <v>38.057200000000002</v>
      </c>
      <c r="AD2546">
        <v>-1.1582349999999999</v>
      </c>
      <c r="AE2546">
        <v>-15.829700000000001</v>
      </c>
      <c r="AF2546">
        <v>16.3780728563742</v>
      </c>
      <c r="AG2546">
        <v>-1.1582349999999999</v>
      </c>
      <c r="AH2546">
        <v>37.789003179657598</v>
      </c>
      <c r="AI2546">
        <v>91.610867917103903</v>
      </c>
      <c r="AJ2546">
        <v>66.567684388335195</v>
      </c>
      <c r="AK2546">
        <v>41.2018390380345</v>
      </c>
      <c r="AL2546">
        <v>95.090119779106203</v>
      </c>
      <c r="AM2546">
        <v>85.103277253258</v>
      </c>
      <c r="AN2546">
        <v>1.0000000467942001</v>
      </c>
    </row>
    <row r="2547" spans="1:40" x14ac:dyDescent="0.25">
      <c r="A2547" t="str">
        <f>"20190305135636207"</f>
        <v>20190305135636207</v>
      </c>
      <c r="B2547" t="str">
        <f>"1551765396205142"</f>
        <v>1551765396205142</v>
      </c>
      <c r="C2547" t="s">
        <v>40</v>
      </c>
      <c r="D2547">
        <v>3.3236300000000001</v>
      </c>
      <c r="E2547">
        <v>0.62651380000000001</v>
      </c>
      <c r="F2547" t="s">
        <v>43</v>
      </c>
      <c r="G2547">
        <v>-202.42599999999999</v>
      </c>
      <c r="H2547">
        <v>-0.05</v>
      </c>
      <c r="I2547">
        <v>198.9616</v>
      </c>
      <c r="J2547">
        <v>-240.9</v>
      </c>
      <c r="K2547">
        <v>1.108212</v>
      </c>
      <c r="L2547">
        <v>214.98859999999999</v>
      </c>
      <c r="M2547">
        <v>0.99979770000000001</v>
      </c>
      <c r="N2547">
        <v>-1.4263100000000001E-2</v>
      </c>
      <c r="O2547">
        <v>1.418314E-2</v>
      </c>
      <c r="P2547">
        <v>0.99201229999999996</v>
      </c>
      <c r="Q2547">
        <v>-0.10329389999999899</v>
      </c>
      <c r="R2547">
        <v>-7.2403839999999997E-2</v>
      </c>
      <c r="S2547">
        <v>2.9286349999999999</v>
      </c>
      <c r="T2547">
        <v>-8.7373969999999995E-2</v>
      </c>
      <c r="U2547">
        <v>-1.2086790000000001</v>
      </c>
      <c r="V2547">
        <v>8.6314799999999997E-2</v>
      </c>
      <c r="W2547">
        <v>-8.9298340000000004E-2</v>
      </c>
      <c r="X2547">
        <v>0.99225779999999997</v>
      </c>
      <c r="Y2547">
        <v>0.3943371</v>
      </c>
      <c r="Z2547">
        <v>-8.78636E-3</v>
      </c>
      <c r="AA2547">
        <v>0.91892390000000002</v>
      </c>
      <c r="AB2547">
        <v>40</v>
      </c>
      <c r="AC2547">
        <v>38.473999999999997</v>
      </c>
      <c r="AD2547">
        <v>-1.158212</v>
      </c>
      <c r="AE2547">
        <v>-16.026999999999902</v>
      </c>
      <c r="AF2547">
        <v>16.558338332348999</v>
      </c>
      <c r="AG2547">
        <v>-1.158212</v>
      </c>
      <c r="AH2547">
        <v>38.213283438425101</v>
      </c>
      <c r="AI2547">
        <v>91.593015224277707</v>
      </c>
      <c r="AJ2547">
        <v>66.572255407259604</v>
      </c>
      <c r="AK2547">
        <v>41.662633792295203</v>
      </c>
      <c r="AL2547">
        <v>95.123242452802202</v>
      </c>
      <c r="AM2547">
        <v>85.0284532802645</v>
      </c>
      <c r="AN2547">
        <v>0.99999998994331696</v>
      </c>
    </row>
    <row r="2548" spans="1:40" x14ac:dyDescent="0.25">
      <c r="A2548" t="str">
        <f>"20190305135636235"</f>
        <v>20190305135636235</v>
      </c>
      <c r="B2548" t="str">
        <f>"1551765396224662"</f>
        <v>1551765396224662</v>
      </c>
      <c r="C2548" t="s">
        <v>40</v>
      </c>
      <c r="D2548">
        <v>4.3267410000000002</v>
      </c>
      <c r="E2548">
        <v>0.5685093</v>
      </c>
      <c r="F2548" t="s">
        <v>43</v>
      </c>
      <c r="G2548">
        <v>-202.048</v>
      </c>
      <c r="H2548">
        <v>-0.05</v>
      </c>
      <c r="I2548">
        <v>198.8766</v>
      </c>
      <c r="J2548">
        <v>-240.39689999999999</v>
      </c>
      <c r="K2548">
        <v>1.1081829999999999</v>
      </c>
      <c r="L2548">
        <v>214.9948</v>
      </c>
      <c r="M2548">
        <v>0.99980990000000003</v>
      </c>
      <c r="N2548">
        <v>-1.426036E-2</v>
      </c>
      <c r="O2548">
        <v>1.329577E-2</v>
      </c>
      <c r="P2548">
        <v>0.99187080000000005</v>
      </c>
      <c r="Q2548">
        <v>-0.1039124</v>
      </c>
      <c r="R2548">
        <v>-7.3447739999999997E-2</v>
      </c>
      <c r="S2548">
        <v>2.926498</v>
      </c>
      <c r="T2548">
        <v>-8.7241529999999998E-2</v>
      </c>
      <c r="U2548">
        <v>-1.2136229999999999</v>
      </c>
      <c r="V2548">
        <v>8.6471320000000004E-2</v>
      </c>
      <c r="W2548">
        <v>-8.9925729999999995E-2</v>
      </c>
      <c r="X2548">
        <v>0.9921875</v>
      </c>
      <c r="Y2548">
        <v>0.39508349999999998</v>
      </c>
      <c r="Z2548">
        <v>-8.7828379999999994E-3</v>
      </c>
      <c r="AA2548">
        <v>0.91860319999999995</v>
      </c>
      <c r="AB2548">
        <v>40</v>
      </c>
      <c r="AC2548">
        <v>38.348899999999901</v>
      </c>
      <c r="AD2548">
        <v>-1.158183</v>
      </c>
      <c r="AE2548">
        <v>-16.118200000000002</v>
      </c>
      <c r="AF2548">
        <v>16.613826386325801</v>
      </c>
      <c r="AG2548">
        <v>-1.158183</v>
      </c>
      <c r="AH2548">
        <v>38.101648464837702</v>
      </c>
      <c r="AI2548">
        <v>91.596049677393495</v>
      </c>
      <c r="AJ2548">
        <v>66.440893322692801</v>
      </c>
      <c r="AK2548">
        <v>41.582402898275902</v>
      </c>
      <c r="AL2548">
        <v>95.159334508307595</v>
      </c>
      <c r="AM2548">
        <v>85.019132257587799</v>
      </c>
      <c r="AN2548">
        <v>0.99999998062741202</v>
      </c>
    </row>
    <row r="2549" spans="1:40" x14ac:dyDescent="0.25">
      <c r="A2549" t="str">
        <f>"20190305135636253"</f>
        <v>20190305135636253</v>
      </c>
      <c r="B2549" t="str">
        <f>"1551765396245158"</f>
        <v>1551765396245158</v>
      </c>
      <c r="C2549" t="s">
        <v>40</v>
      </c>
      <c r="D2549">
        <v>4.4873070000000004</v>
      </c>
      <c r="E2549">
        <v>0.5521393</v>
      </c>
      <c r="F2549" t="s">
        <v>55</v>
      </c>
      <c r="G2549">
        <v>-219.32</v>
      </c>
      <c r="H2549">
        <v>7.6755149999999994E-2</v>
      </c>
      <c r="I2549">
        <v>209.58959999999999</v>
      </c>
      <c r="J2549">
        <v>-240.05160000000001</v>
      </c>
      <c r="K2549">
        <v>1.1081730000000001</v>
      </c>
      <c r="L2549">
        <v>214.99889999999999</v>
      </c>
      <c r="M2549">
        <v>0.99981799999999998</v>
      </c>
      <c r="N2549">
        <v>-1.4258140000000001E-2</v>
      </c>
      <c r="O2549">
        <v>1.2685109999999999E-2</v>
      </c>
      <c r="P2549">
        <v>0.99182930000000002</v>
      </c>
      <c r="Q2549">
        <v>-0.1041463</v>
      </c>
      <c r="R2549">
        <v>-7.367949E-2</v>
      </c>
      <c r="S2549">
        <v>2.953354</v>
      </c>
      <c r="T2549">
        <v>-0.14452609999999999</v>
      </c>
      <c r="U2549">
        <v>-0.75740050000000003</v>
      </c>
      <c r="V2549">
        <v>8.6094039999999997E-2</v>
      </c>
      <c r="W2549">
        <v>-9.0163649999999998E-2</v>
      </c>
      <c r="X2549">
        <v>0.99219880000000005</v>
      </c>
      <c r="Y2549">
        <v>0.26029469999999999</v>
      </c>
      <c r="Z2549">
        <v>-8.5835180000000001E-3</v>
      </c>
      <c r="AA2549">
        <v>0.96549110000000005</v>
      </c>
      <c r="AB2549">
        <v>40</v>
      </c>
      <c r="AC2549">
        <v>20.7316</v>
      </c>
      <c r="AD2549">
        <v>-1.03141785</v>
      </c>
      <c r="AE2549">
        <v>-5.4093</v>
      </c>
      <c r="AF2549">
        <v>5.6587604310575399</v>
      </c>
      <c r="AG2549">
        <v>-1.03141785</v>
      </c>
      <c r="AH2549">
        <v>20.613537371777401</v>
      </c>
      <c r="AI2549">
        <v>92.762429693399099</v>
      </c>
      <c r="AJ2549">
        <v>74.649495623805194</v>
      </c>
      <c r="AK2549">
        <v>21.401012017544002</v>
      </c>
      <c r="AL2549">
        <v>95.173021494633701</v>
      </c>
      <c r="AM2549">
        <v>85.040811692903006</v>
      </c>
      <c r="AN2549">
        <v>1.00000006311314</v>
      </c>
    </row>
    <row r="2550" spans="1:40" x14ac:dyDescent="0.25">
      <c r="A2550" t="str">
        <f>"20190305135636278"</f>
        <v>20190305135636278</v>
      </c>
      <c r="B2550" t="str">
        <f>"1551765396275415"</f>
        <v>1551765396275415</v>
      </c>
      <c r="C2550" t="s">
        <v>40</v>
      </c>
      <c r="D2550">
        <v>4.3346169999999997</v>
      </c>
      <c r="E2550">
        <v>0.54401309999999903</v>
      </c>
      <c r="F2550" t="s">
        <v>55</v>
      </c>
      <c r="G2550">
        <v>-219.6756</v>
      </c>
      <c r="H2550" s="1">
        <v>3.784449E-6</v>
      </c>
      <c r="I2550">
        <v>210.673</v>
      </c>
      <c r="J2550">
        <v>-239.62119999999999</v>
      </c>
      <c r="K2550">
        <v>1.1081639999999999</v>
      </c>
      <c r="L2550">
        <v>215.00370000000001</v>
      </c>
      <c r="M2550">
        <v>0.99982740000000003</v>
      </c>
      <c r="N2550">
        <v>-1.425542E-2</v>
      </c>
      <c r="O2550">
        <v>1.19226E-2</v>
      </c>
      <c r="P2550">
        <v>0.99182769999999998</v>
      </c>
      <c r="Q2550">
        <v>-0.1038559</v>
      </c>
      <c r="R2550">
        <v>-7.4108640000000003E-2</v>
      </c>
      <c r="S2550">
        <v>2.9611049999999999</v>
      </c>
      <c r="T2550">
        <v>-0.16104260000000001</v>
      </c>
      <c r="U2550">
        <v>-0.62864690000000001</v>
      </c>
      <c r="V2550">
        <v>8.5765629999999995E-2</v>
      </c>
      <c r="W2550">
        <v>-8.9876910000000004E-2</v>
      </c>
      <c r="X2550">
        <v>0.99225319999999995</v>
      </c>
      <c r="Y2550">
        <v>0.2189188</v>
      </c>
      <c r="Z2550">
        <v>-7.9353640000000003E-3</v>
      </c>
      <c r="AA2550">
        <v>0.97571079999999999</v>
      </c>
      <c r="AB2550">
        <v>40</v>
      </c>
      <c r="AC2550">
        <v>19.945599999999899</v>
      </c>
      <c r="AD2550">
        <v>-1.108160215551</v>
      </c>
      <c r="AE2550">
        <v>-4.3307000000000002</v>
      </c>
      <c r="AF2550">
        <v>4.5547928546709304</v>
      </c>
      <c r="AG2550">
        <v>-1.108160215551</v>
      </c>
      <c r="AH2550">
        <v>19.8340758110098</v>
      </c>
      <c r="AI2550">
        <v>93.116912520000696</v>
      </c>
      <c r="AJ2550">
        <v>77.066564622460007</v>
      </c>
      <c r="AK2550">
        <v>20.380498528965798</v>
      </c>
      <c r="AL2550">
        <v>95.156525816227798</v>
      </c>
      <c r="AM2550">
        <v>85.059904474843705</v>
      </c>
      <c r="AN2550">
        <v>1.0000000075753399</v>
      </c>
    </row>
    <row r="2551" spans="1:40" x14ac:dyDescent="0.25">
      <c r="A2551" t="str">
        <f>"20190305135636300"</f>
        <v>20190305135636300</v>
      </c>
      <c r="B2551" t="str">
        <f>"1551765396294934"</f>
        <v>1551765396294934</v>
      </c>
      <c r="C2551" t="s">
        <v>40</v>
      </c>
      <c r="D2551">
        <v>4.3372890000000002</v>
      </c>
      <c r="E2551">
        <v>0.54258729999999999</v>
      </c>
      <c r="F2551" t="s">
        <v>55</v>
      </c>
      <c r="G2551">
        <v>-220.46690000000001</v>
      </c>
      <c r="H2551" s="1">
        <v>-1.145513E-6</v>
      </c>
      <c r="I2551">
        <v>211.34889999999999</v>
      </c>
      <c r="J2551">
        <v>-239.2183</v>
      </c>
      <c r="K2551">
        <v>1.1081620000000001</v>
      </c>
      <c r="L2551">
        <v>215.0078</v>
      </c>
      <c r="M2551">
        <v>0.99983569999999999</v>
      </c>
      <c r="N2551">
        <v>-1.425294E-2</v>
      </c>
      <c r="O2551">
        <v>1.1209200000000001E-2</v>
      </c>
      <c r="P2551">
        <v>0.99187590000000003</v>
      </c>
      <c r="Q2551">
        <v>-0.10354240000000001</v>
      </c>
      <c r="R2551">
        <v>-7.3902199999999904E-2</v>
      </c>
      <c r="S2551">
        <v>2.9645079999999999</v>
      </c>
      <c r="T2551">
        <v>-0.17151079999999999</v>
      </c>
      <c r="U2551">
        <v>-0.56564329999999996</v>
      </c>
      <c r="V2551">
        <v>8.4851380000000004E-2</v>
      </c>
      <c r="W2551">
        <v>-8.9564340000000006E-2</v>
      </c>
      <c r="X2551">
        <v>0.99236009999999997</v>
      </c>
      <c r="Y2551">
        <v>0.19801270000000001</v>
      </c>
      <c r="Z2551">
        <v>-7.5815489999999999E-3</v>
      </c>
      <c r="AA2551">
        <v>0.98017010000000004</v>
      </c>
      <c r="AB2551">
        <v>40</v>
      </c>
      <c r="AC2551">
        <v>18.751399999999901</v>
      </c>
      <c r="AD2551">
        <v>-1.1081631455130001</v>
      </c>
      <c r="AE2551">
        <v>-3.6589000000000098</v>
      </c>
      <c r="AF2551">
        <v>3.85590667693184</v>
      </c>
      <c r="AG2551">
        <v>-1.1081631455130001</v>
      </c>
      <c r="AH2551">
        <v>18.646469456812898</v>
      </c>
      <c r="AI2551">
        <v>93.330791672855696</v>
      </c>
      <c r="AJ2551">
        <v>78.3164757092093</v>
      </c>
      <c r="AK2551">
        <v>19.0731975573614</v>
      </c>
      <c r="AL2551">
        <v>95.138544147087302</v>
      </c>
      <c r="AM2551">
        <v>85.112832717861806</v>
      </c>
      <c r="AN2551">
        <v>1.0000000478797699</v>
      </c>
    </row>
    <row r="2552" spans="1:40" x14ac:dyDescent="0.25">
      <c r="A2552" t="str">
        <f>"20190305135636326"</f>
        <v>20190305135636326</v>
      </c>
      <c r="B2552" t="str">
        <f>"1551765396314454"</f>
        <v>1551765396314454</v>
      </c>
      <c r="C2552" t="s">
        <v>40</v>
      </c>
      <c r="D2552">
        <v>4.3406120000000001</v>
      </c>
      <c r="E2552">
        <v>0.5417208</v>
      </c>
      <c r="F2552" t="s">
        <v>55</v>
      </c>
      <c r="G2552">
        <v>-220.3339</v>
      </c>
      <c r="H2552" s="1">
        <v>-1.22202E-6</v>
      </c>
      <c r="I2552">
        <v>211.4803</v>
      </c>
      <c r="J2552">
        <v>-238.762</v>
      </c>
      <c r="K2552">
        <v>1.1081490000000001</v>
      </c>
      <c r="L2552">
        <v>215.01220000000001</v>
      </c>
      <c r="M2552">
        <v>0.99984439999999997</v>
      </c>
      <c r="N2552">
        <v>-1.425014E-2</v>
      </c>
      <c r="O2552">
        <v>1.0400950000000001E-2</v>
      </c>
      <c r="P2552">
        <v>0.99193969999999998</v>
      </c>
      <c r="Q2552">
        <v>-0.1029577</v>
      </c>
      <c r="R2552">
        <v>-7.3862709999999998E-2</v>
      </c>
      <c r="S2552">
        <v>2.9651339999999999</v>
      </c>
      <c r="T2552">
        <v>-0.17399819999999999</v>
      </c>
      <c r="U2552">
        <v>-0.5538788</v>
      </c>
      <c r="V2552">
        <v>8.4010940000000006E-2</v>
      </c>
      <c r="W2552">
        <v>-8.8980509999999999E-2</v>
      </c>
      <c r="X2552">
        <v>0.99248409999999998</v>
      </c>
      <c r="Y2552">
        <v>0.19342429999999999</v>
      </c>
      <c r="Z2552">
        <v>-7.4712310000000001E-3</v>
      </c>
      <c r="AA2552">
        <v>0.98108669999999998</v>
      </c>
      <c r="AB2552">
        <v>40</v>
      </c>
      <c r="AC2552">
        <v>18.428100000000001</v>
      </c>
      <c r="AD2552">
        <v>-1.1081502220199999</v>
      </c>
      <c r="AE2552">
        <v>-3.5318999999999998</v>
      </c>
      <c r="AF2552">
        <v>3.71045626340891</v>
      </c>
      <c r="AG2552">
        <v>-1.1081502220199999</v>
      </c>
      <c r="AH2552">
        <v>18.3264425832139</v>
      </c>
      <c r="AI2552">
        <v>93.391655490770802</v>
      </c>
      <c r="AJ2552">
        <v>78.554350934341002</v>
      </c>
      <c r="AK2552">
        <v>18.731096613734898</v>
      </c>
      <c r="AL2552">
        <v>95.104959153011606</v>
      </c>
      <c r="AM2552">
        <v>85.161610075917295</v>
      </c>
      <c r="AN2552">
        <v>1.0000000289761699</v>
      </c>
    </row>
    <row r="2553" spans="1:40" x14ac:dyDescent="0.25">
      <c r="A2553" t="str">
        <f>"20190305135636347"</f>
        <v>20190305135636347</v>
      </c>
      <c r="B2553" t="str">
        <f>"1551765396344710"</f>
        <v>1551765396344710</v>
      </c>
      <c r="C2553" t="s">
        <v>40</v>
      </c>
      <c r="D2553">
        <v>4.3655400000000002</v>
      </c>
      <c r="E2553">
        <v>0.54094209999999998</v>
      </c>
      <c r="F2553" t="s">
        <v>55</v>
      </c>
      <c r="G2553">
        <v>-220.0847</v>
      </c>
      <c r="H2553" s="1">
        <v>-1.35837E-6</v>
      </c>
      <c r="I2553">
        <v>211.56549999999999</v>
      </c>
      <c r="J2553">
        <v>-238.38310000000001</v>
      </c>
      <c r="K2553">
        <v>1.1081510000000001</v>
      </c>
      <c r="L2553">
        <v>215.0155</v>
      </c>
      <c r="M2553">
        <v>0.9998513</v>
      </c>
      <c r="N2553">
        <v>-1.424806E-2</v>
      </c>
      <c r="O2553">
        <v>9.7294770000000003E-3</v>
      </c>
      <c r="P2553">
        <v>0.99199099999999996</v>
      </c>
      <c r="Q2553">
        <v>-0.1027738</v>
      </c>
      <c r="R2553">
        <v>-7.3427499999999896E-2</v>
      </c>
      <c r="S2553">
        <v>2.965363</v>
      </c>
      <c r="T2553">
        <v>-0.1759386</v>
      </c>
      <c r="U2553">
        <v>-0.54722599999999999</v>
      </c>
      <c r="V2553">
        <v>8.2910349999999994E-2</v>
      </c>
      <c r="W2553">
        <v>-8.8795830000000006E-2</v>
      </c>
      <c r="X2553">
        <v>0.99259319999999895</v>
      </c>
      <c r="Y2553">
        <v>0.1906214</v>
      </c>
      <c r="Z2553">
        <v>-7.4083329999999996E-3</v>
      </c>
      <c r="AA2553">
        <v>0.9816357</v>
      </c>
      <c r="AB2553">
        <v>40</v>
      </c>
      <c r="AC2553">
        <v>18.298400000000001</v>
      </c>
      <c r="AD2553">
        <v>-1.1081523583699999</v>
      </c>
      <c r="AE2553">
        <v>-3.4500000000000099</v>
      </c>
      <c r="AF2553">
        <v>3.6150853025846201</v>
      </c>
      <c r="AG2553">
        <v>-1.1081523583699999</v>
      </c>
      <c r="AH2553">
        <v>18.199507782922002</v>
      </c>
      <c r="AI2553">
        <v>93.417777410877505</v>
      </c>
      <c r="AJ2553">
        <v>78.765208967943806</v>
      </c>
      <c r="AK2553">
        <v>18.588139415631801</v>
      </c>
      <c r="AL2553">
        <v>95.094335644799202</v>
      </c>
      <c r="AM2553">
        <v>85.225223063298699</v>
      </c>
      <c r="AN2553">
        <v>1.0000000431243701</v>
      </c>
    </row>
    <row r="2554" spans="1:40" x14ac:dyDescent="0.25">
      <c r="A2554" t="str">
        <f>"20190305135636366"</f>
        <v>20190305135636366</v>
      </c>
      <c r="B2554" t="str">
        <f>"1551765396354470"</f>
        <v>1551765396354470</v>
      </c>
      <c r="C2554" t="s">
        <v>40</v>
      </c>
      <c r="D2554">
        <v>4.3541650000000001</v>
      </c>
      <c r="E2554">
        <v>0.540628</v>
      </c>
      <c r="F2554" t="s">
        <v>55</v>
      </c>
      <c r="G2554">
        <v>-220.08250000000001</v>
      </c>
      <c r="H2554" s="1">
        <v>-1.3646710000000001E-6</v>
      </c>
      <c r="I2554">
        <v>211.68299999999999</v>
      </c>
      <c r="J2554">
        <v>-238.04239999999999</v>
      </c>
      <c r="K2554">
        <v>1.1081559999999999</v>
      </c>
      <c r="L2554">
        <v>215.01830000000001</v>
      </c>
      <c r="M2554">
        <v>0.99985690000000005</v>
      </c>
      <c r="N2554">
        <v>-1.424622E-2</v>
      </c>
      <c r="O2554">
        <v>9.1256159999999996E-3</v>
      </c>
      <c r="P2554">
        <v>0.99209979999999998</v>
      </c>
      <c r="Q2554">
        <v>-0.1023046</v>
      </c>
      <c r="R2554">
        <v>-7.2607859999999996E-2</v>
      </c>
      <c r="S2554">
        <v>2.9656370000000001</v>
      </c>
      <c r="T2554">
        <v>-0.17957699999999999</v>
      </c>
      <c r="U2554">
        <v>-0.54003909999999999</v>
      </c>
      <c r="V2554">
        <v>8.1493350000000006E-2</v>
      </c>
      <c r="W2554">
        <v>-8.8324029999999998E-2</v>
      </c>
      <c r="X2554">
        <v>0.99275259999999999</v>
      </c>
      <c r="Y2554">
        <v>0.18770120000000001</v>
      </c>
      <c r="Z2554">
        <v>-7.3998309999999999E-3</v>
      </c>
      <c r="AA2554">
        <v>0.98219829999999997</v>
      </c>
      <c r="AB2554">
        <v>40</v>
      </c>
      <c r="AC2554">
        <v>17.959899999999902</v>
      </c>
      <c r="AD2554">
        <v>-1.1081573646709999</v>
      </c>
      <c r="AE2554">
        <v>-3.3353000000000099</v>
      </c>
      <c r="AF2554">
        <v>3.4862428502240199</v>
      </c>
      <c r="AG2554">
        <v>-1.1081573646709999</v>
      </c>
      <c r="AH2554">
        <v>17.862973188220899</v>
      </c>
      <c r="AI2554">
        <v>93.484312092182194</v>
      </c>
      <c r="AJ2554">
        <v>78.956635314827494</v>
      </c>
      <c r="AK2554">
        <v>18.2336971862185</v>
      </c>
      <c r="AL2554">
        <v>95.067197019748406</v>
      </c>
      <c r="AM2554">
        <v>85.307210095297194</v>
      </c>
      <c r="AN2554">
        <v>1.00000001258821</v>
      </c>
    </row>
    <row r="2555" spans="1:40" x14ac:dyDescent="0.25">
      <c r="A2555" t="str">
        <f>"20190305135636391"</f>
        <v>20190305135636391</v>
      </c>
      <c r="B2555" t="str">
        <f>"1551765396384726"</f>
        <v>1551765396384726</v>
      </c>
      <c r="C2555" t="s">
        <v>40</v>
      </c>
      <c r="D2555">
        <v>4.3543760000000002</v>
      </c>
      <c r="E2555">
        <v>0.54003109999999999</v>
      </c>
      <c r="F2555" t="s">
        <v>55</v>
      </c>
      <c r="G2555">
        <v>-219.72540000000001</v>
      </c>
      <c r="H2555" s="1">
        <v>3.7655000000000002E-6</v>
      </c>
      <c r="I2555">
        <v>211.71279999999999</v>
      </c>
      <c r="J2555">
        <v>-237.59989999999999</v>
      </c>
      <c r="K2555">
        <v>1.1081620000000001</v>
      </c>
      <c r="L2555">
        <v>215.02160000000001</v>
      </c>
      <c r="M2555">
        <v>0.99986390000000003</v>
      </c>
      <c r="N2555">
        <v>-1.424368E-2</v>
      </c>
      <c r="O2555">
        <v>8.3406399999999999E-3</v>
      </c>
      <c r="P2555">
        <v>0.99218720000000005</v>
      </c>
      <c r="Q2555">
        <v>-0.1017116</v>
      </c>
      <c r="R2555">
        <v>-7.2247179999999994E-2</v>
      </c>
      <c r="S2555">
        <v>2.9662320000000002</v>
      </c>
      <c r="T2555">
        <v>-0.17945269999999999</v>
      </c>
      <c r="U2555">
        <v>-0.53527829999999998</v>
      </c>
      <c r="V2555">
        <v>8.035544E-2</v>
      </c>
      <c r="W2555">
        <v>-8.7729699999999994E-2</v>
      </c>
      <c r="X2555">
        <v>0.99289799999999995</v>
      </c>
      <c r="Y2555">
        <v>0.18537519999999999</v>
      </c>
      <c r="Z2555">
        <v>-7.2723299999999996E-3</v>
      </c>
      <c r="AA2555">
        <v>0.98264090000000004</v>
      </c>
      <c r="AB2555">
        <v>40</v>
      </c>
      <c r="AC2555">
        <v>17.874499999999902</v>
      </c>
      <c r="AD2555">
        <v>-1.1081582345000001</v>
      </c>
      <c r="AE2555">
        <v>-3.3088000000000202</v>
      </c>
      <c r="AF2555">
        <v>3.4449823952118601</v>
      </c>
      <c r="AG2555">
        <v>-1.1081582345000001</v>
      </c>
      <c r="AH2555">
        <v>17.780202414233401</v>
      </c>
      <c r="AI2555">
        <v>93.501418818556203</v>
      </c>
      <c r="AJ2555">
        <v>79.034591565581195</v>
      </c>
      <c r="AK2555">
        <v>18.144737977361999</v>
      </c>
      <c r="AL2555">
        <v>95.033011941620302</v>
      </c>
      <c r="AM2555">
        <v>85.373124705234304</v>
      </c>
      <c r="AN2555">
        <v>0.99999996770184096</v>
      </c>
    </row>
    <row r="2556" spans="1:40" x14ac:dyDescent="0.25">
      <c r="A2556" t="str">
        <f>"20190305135636410"</f>
        <v>20190305135636410</v>
      </c>
      <c r="B2556" t="str">
        <f>"1551765396404245"</f>
        <v>1551765396404245</v>
      </c>
      <c r="C2556" t="s">
        <v>40</v>
      </c>
      <c r="D2556">
        <v>4.3278410000000003</v>
      </c>
      <c r="E2556">
        <v>0.53996659999999996</v>
      </c>
      <c r="F2556" t="s">
        <v>55</v>
      </c>
      <c r="G2556">
        <v>-219.67910000000001</v>
      </c>
      <c r="H2556" s="1">
        <v>3.7361410000000002E-6</v>
      </c>
      <c r="I2556">
        <v>211.82130000000001</v>
      </c>
      <c r="J2556">
        <v>-237.25239999999999</v>
      </c>
      <c r="K2556">
        <v>1.108163</v>
      </c>
      <c r="L2556">
        <v>215.024</v>
      </c>
      <c r="M2556">
        <v>0.9998688</v>
      </c>
      <c r="N2556">
        <v>-1.42416E-2</v>
      </c>
      <c r="O2556">
        <v>7.724117E-3</v>
      </c>
      <c r="P2556">
        <v>0.99213989999999996</v>
      </c>
      <c r="Q2556">
        <v>-0.1023158</v>
      </c>
      <c r="R2556">
        <v>-7.2041910000000001E-2</v>
      </c>
      <c r="S2556">
        <v>2.9662320000000002</v>
      </c>
      <c r="T2556">
        <v>-0.183422</v>
      </c>
      <c r="U2556">
        <v>-0.52970890000000004</v>
      </c>
      <c r="V2556">
        <v>7.9537170000000004E-2</v>
      </c>
      <c r="W2556">
        <v>-8.8334549999999998E-2</v>
      </c>
      <c r="X2556">
        <v>0.99291030000000002</v>
      </c>
      <c r="Y2556">
        <v>0.18297040000000001</v>
      </c>
      <c r="Z2556">
        <v>-7.2866650000000003E-3</v>
      </c>
      <c r="AA2556">
        <v>0.98309139999999995</v>
      </c>
      <c r="AB2556">
        <v>40</v>
      </c>
      <c r="AC2556">
        <v>17.5732999999999</v>
      </c>
      <c r="AD2556">
        <v>-1.1081592638590001</v>
      </c>
      <c r="AE2556">
        <v>-3.2026999999999899</v>
      </c>
      <c r="AF2556">
        <v>3.3255575516890401</v>
      </c>
      <c r="AG2556">
        <v>-1.1081592638590001</v>
      </c>
      <c r="AH2556">
        <v>17.480757976080199</v>
      </c>
      <c r="AI2556">
        <v>93.563559429762407</v>
      </c>
      <c r="AJ2556">
        <v>79.228704198269398</v>
      </c>
      <c r="AK2556">
        <v>17.828747836064199</v>
      </c>
      <c r="AL2556">
        <v>95.067802154822601</v>
      </c>
      <c r="AM2556">
        <v>85.420095806756194</v>
      </c>
      <c r="AN2556">
        <v>1.0000000089907</v>
      </c>
    </row>
    <row r="2557" spans="1:40" x14ac:dyDescent="0.25">
      <c r="A2557" t="str">
        <f>"20190305135636432"</f>
        <v>20190305135636432</v>
      </c>
      <c r="B2557" t="str">
        <f>"1551765396424742"</f>
        <v>1551765396424742</v>
      </c>
      <c r="C2557" t="s">
        <v>40</v>
      </c>
      <c r="D2557">
        <v>4.3855120000000003</v>
      </c>
      <c r="E2557">
        <v>0.54007890000000003</v>
      </c>
      <c r="F2557" t="s">
        <v>55</v>
      </c>
      <c r="G2557">
        <v>-219.6977</v>
      </c>
      <c r="H2557" s="1">
        <v>3.7428410000000001E-6</v>
      </c>
      <c r="I2557">
        <v>211.89400000000001</v>
      </c>
      <c r="J2557">
        <v>-236.8466</v>
      </c>
      <c r="K2557">
        <v>1.108166</v>
      </c>
      <c r="L2557">
        <v>215.0264</v>
      </c>
      <c r="M2557">
        <v>0.99987409999999999</v>
      </c>
      <c r="N2557">
        <v>-1.4239099999999999E-2</v>
      </c>
      <c r="O2557">
        <v>7.0041369999999997E-3</v>
      </c>
      <c r="P2557">
        <v>0.99222239999999995</v>
      </c>
      <c r="Q2557">
        <v>-0.1021079</v>
      </c>
      <c r="R2557">
        <v>-7.1194339999999995E-2</v>
      </c>
      <c r="S2557">
        <v>2.9660639999999998</v>
      </c>
      <c r="T2557">
        <v>-0.18723619999999999</v>
      </c>
      <c r="U2557">
        <v>-0.52883910000000001</v>
      </c>
      <c r="V2557">
        <v>7.7976580000000004E-2</v>
      </c>
      <c r="W2557">
        <v>-8.8124179999999996E-2</v>
      </c>
      <c r="X2557">
        <v>0.99305279999999996</v>
      </c>
      <c r="Y2557">
        <v>0.18197949999999999</v>
      </c>
      <c r="Z2557">
        <v>-7.34017099999999E-3</v>
      </c>
      <c r="AA2557">
        <v>0.98327489999999995</v>
      </c>
      <c r="AB2557">
        <v>40</v>
      </c>
      <c r="AC2557">
        <v>17.148899999999902</v>
      </c>
      <c r="AD2557">
        <v>-1.108162257159</v>
      </c>
      <c r="AE2557">
        <v>-3.1323999999999899</v>
      </c>
      <c r="AF2557">
        <v>3.2393585678273502</v>
      </c>
      <c r="AG2557">
        <v>-1.108162257159</v>
      </c>
      <c r="AH2557">
        <v>17.057608774599601</v>
      </c>
      <c r="AI2557">
        <v>93.651957597792702</v>
      </c>
      <c r="AJ2557">
        <v>79.247178254609906</v>
      </c>
      <c r="AK2557">
        <v>17.397801143433199</v>
      </c>
      <c r="AL2557">
        <v>95.055701490520505</v>
      </c>
      <c r="AM2557">
        <v>85.510228154793694</v>
      </c>
      <c r="AN2557">
        <v>1.0000000408584999</v>
      </c>
    </row>
    <row r="2558" spans="1:40" x14ac:dyDescent="0.25">
      <c r="A2558" t="str">
        <f>"20190305135636453"</f>
        <v>20190305135636453</v>
      </c>
      <c r="B2558" t="str">
        <f>"1551765396444262"</f>
        <v>1551765396444262</v>
      </c>
      <c r="C2558" t="s">
        <v>40</v>
      </c>
      <c r="D2558">
        <v>4.2795100000000001</v>
      </c>
      <c r="E2558">
        <v>0.54026819999999998</v>
      </c>
      <c r="F2558" t="s">
        <v>55</v>
      </c>
      <c r="G2558">
        <v>-219.33340000000001</v>
      </c>
      <c r="H2558" s="1">
        <v>3.5480780000000002E-6</v>
      </c>
      <c r="I2558">
        <v>211.91489999999999</v>
      </c>
      <c r="J2558">
        <v>-236.48240000000001</v>
      </c>
      <c r="K2558">
        <v>1.108177</v>
      </c>
      <c r="L2558">
        <v>215.0284</v>
      </c>
      <c r="M2558">
        <v>0.99987859999999995</v>
      </c>
      <c r="N2558">
        <v>-1.423698E-2</v>
      </c>
      <c r="O2558">
        <v>6.3571160000000003E-3</v>
      </c>
      <c r="P2558">
        <v>0.99235189999999995</v>
      </c>
      <c r="Q2558">
        <v>-0.1012363</v>
      </c>
      <c r="R2558">
        <v>-7.0637469999999994E-2</v>
      </c>
      <c r="S2558">
        <v>2.9664000000000001</v>
      </c>
      <c r="T2558">
        <v>-0.18770120000000001</v>
      </c>
      <c r="U2558">
        <v>-0.52702329999999997</v>
      </c>
      <c r="V2558">
        <v>7.6780260000000003E-2</v>
      </c>
      <c r="W2558">
        <v>-8.7249930000000003E-2</v>
      </c>
      <c r="X2558">
        <v>0.99322310000000003</v>
      </c>
      <c r="Y2558">
        <v>0.18074229999999999</v>
      </c>
      <c r="Z2558">
        <v>-7.27561099999999E-3</v>
      </c>
      <c r="AA2558">
        <v>0.98350360000000003</v>
      </c>
      <c r="AB2558">
        <v>40</v>
      </c>
      <c r="AC2558">
        <v>17.149000000000001</v>
      </c>
      <c r="AD2558">
        <v>-1.1081734519219999</v>
      </c>
      <c r="AE2558">
        <v>-3.1135000000000099</v>
      </c>
      <c r="AF2558">
        <v>3.2094918196689002</v>
      </c>
      <c r="AG2558">
        <v>-1.1081734519219999</v>
      </c>
      <c r="AH2558">
        <v>17.0598933791753</v>
      </c>
      <c r="AI2558">
        <v>93.6526872417178</v>
      </c>
      <c r="AJ2558">
        <v>79.345432613605396</v>
      </c>
      <c r="AK2558">
        <v>17.394506266315702</v>
      </c>
      <c r="AL2558">
        <v>95.005417456917201</v>
      </c>
      <c r="AM2558">
        <v>85.579590264545203</v>
      </c>
      <c r="AN2558">
        <v>0.99999994249213897</v>
      </c>
    </row>
    <row r="2559" spans="1:40" x14ac:dyDescent="0.25">
      <c r="A2559" t="str">
        <f>"20190305135636477"</f>
        <v>20190305135636477</v>
      </c>
      <c r="B2559" t="str">
        <f>"1551765396464487"</f>
        <v>1551765396464487</v>
      </c>
      <c r="C2559" t="s">
        <v>40</v>
      </c>
      <c r="D2559">
        <v>4.3577309999999896</v>
      </c>
      <c r="E2559">
        <v>0.54035349999999904</v>
      </c>
      <c r="F2559" t="s">
        <v>55</v>
      </c>
      <c r="G2559">
        <v>-218.8058</v>
      </c>
      <c r="H2559" s="1">
        <v>3.2683870000000002E-6</v>
      </c>
      <c r="I2559">
        <v>211.8896</v>
      </c>
      <c r="J2559">
        <v>-236.0745</v>
      </c>
      <c r="K2559">
        <v>1.1081799999999999</v>
      </c>
      <c r="L2559">
        <v>215.03030000000001</v>
      </c>
      <c r="M2559">
        <v>0.99988290000000002</v>
      </c>
      <c r="N2559">
        <v>-1.4234689999999999E-2</v>
      </c>
      <c r="O2559">
        <v>5.6320780000000004E-3</v>
      </c>
      <c r="P2559">
        <v>0.99243930000000002</v>
      </c>
      <c r="Q2559">
        <v>-0.100149</v>
      </c>
      <c r="R2559">
        <v>-7.0954489999999995E-2</v>
      </c>
      <c r="S2559">
        <v>2.966675</v>
      </c>
      <c r="T2559">
        <v>-0.1859846</v>
      </c>
      <c r="U2559">
        <v>-0.526779199999999</v>
      </c>
      <c r="V2559">
        <v>7.6380660000000003E-2</v>
      </c>
      <c r="W2559">
        <v>-8.6162290000000002E-2</v>
      </c>
      <c r="X2559">
        <v>0.99334889999999998</v>
      </c>
      <c r="Y2559">
        <v>0.17994499999999999</v>
      </c>
      <c r="Z2559">
        <v>-7.1541570000000004E-3</v>
      </c>
      <c r="AA2559">
        <v>0.98365069999999999</v>
      </c>
      <c r="AB2559">
        <v>40</v>
      </c>
      <c r="AC2559">
        <v>17.2686999999999</v>
      </c>
      <c r="AD2559">
        <v>-1.108176731613</v>
      </c>
      <c r="AE2559">
        <v>-3.1406999999999998</v>
      </c>
      <c r="AF2559">
        <v>3.2250627453529499</v>
      </c>
      <c r="AG2559">
        <v>-1.108176731613</v>
      </c>
      <c r="AH2559">
        <v>17.182242680066299</v>
      </c>
      <c r="AI2559">
        <v>93.627042531331796</v>
      </c>
      <c r="AJ2559">
        <v>79.369417539391705</v>
      </c>
      <c r="AK2559">
        <v>17.517378482428398</v>
      </c>
      <c r="AL2559">
        <v>94.9428644488614</v>
      </c>
      <c r="AM2559">
        <v>85.603060372035401</v>
      </c>
      <c r="AN2559">
        <v>0.99999999128564399</v>
      </c>
    </row>
    <row r="2560" spans="1:40" x14ac:dyDescent="0.25">
      <c r="A2560" t="str">
        <f>"20190305135636501"</f>
        <v>20190305135636501</v>
      </c>
      <c r="B2560" t="str">
        <f>"1551765396494742"</f>
        <v>1551765396494742</v>
      </c>
      <c r="C2560" t="s">
        <v>40</v>
      </c>
      <c r="D2560">
        <v>4.3612890000000002</v>
      </c>
      <c r="E2560">
        <v>0.5407265</v>
      </c>
      <c r="F2560" t="s">
        <v>55</v>
      </c>
      <c r="G2560">
        <v>-218.3143</v>
      </c>
      <c r="H2560" s="1">
        <v>3.0079160000000001E-6</v>
      </c>
      <c r="I2560">
        <v>211.86529999999999</v>
      </c>
      <c r="J2560">
        <v>-235.63300000000001</v>
      </c>
      <c r="K2560">
        <v>1.108176</v>
      </c>
      <c r="L2560">
        <v>215.03200000000001</v>
      </c>
      <c r="M2560">
        <v>0.99988699999999997</v>
      </c>
      <c r="N2560">
        <v>-1.423219E-2</v>
      </c>
      <c r="O2560">
        <v>4.8439019999999998E-3</v>
      </c>
      <c r="P2560">
        <v>0.99233159999999998</v>
      </c>
      <c r="Q2560">
        <v>-0.1003821</v>
      </c>
      <c r="R2560">
        <v>-7.2121840000000006E-2</v>
      </c>
      <c r="S2560">
        <v>2.96637</v>
      </c>
      <c r="T2560">
        <v>-0.18509149999999999</v>
      </c>
      <c r="U2560">
        <v>-0.52862549999999997</v>
      </c>
      <c r="V2560">
        <v>7.6764669999999993E-2</v>
      </c>
      <c r="W2560">
        <v>-8.6399589999999998E-2</v>
      </c>
      <c r="X2560">
        <v>0.99329869999999998</v>
      </c>
      <c r="Y2560">
        <v>0.17978559999999999</v>
      </c>
      <c r="Z2560">
        <v>-7.0820939999999997E-3</v>
      </c>
      <c r="AA2560">
        <v>0.98368029999999995</v>
      </c>
      <c r="AB2560">
        <v>40</v>
      </c>
      <c r="AC2560">
        <v>17.3186999999999</v>
      </c>
      <c r="AD2560">
        <v>-1.108172992084</v>
      </c>
      <c r="AE2560">
        <v>-3.1667000000000201</v>
      </c>
      <c r="AF2560">
        <v>3.2377338910159699</v>
      </c>
      <c r="AG2560">
        <v>-1.108172992084</v>
      </c>
      <c r="AH2560">
        <v>17.234873440110398</v>
      </c>
      <c r="AI2560">
        <v>93.615877776558804</v>
      </c>
      <c r="AJ2560">
        <v>79.360450356845206</v>
      </c>
      <c r="AK2560">
        <v>17.571335482143599</v>
      </c>
      <c r="AL2560">
        <v>94.956511558963498</v>
      </c>
      <c r="AM2560">
        <v>85.580819296107805</v>
      </c>
      <c r="AN2560">
        <v>1.0000000055670299</v>
      </c>
    </row>
    <row r="2561" spans="1:40" x14ac:dyDescent="0.25">
      <c r="A2561" t="str">
        <f>"20190305135636527"</f>
        <v>20190305135636527</v>
      </c>
      <c r="B2561" t="str">
        <f>"1551765396524998"</f>
        <v>1551765396524998</v>
      </c>
      <c r="C2561" t="s">
        <v>40</v>
      </c>
      <c r="D2561">
        <v>4.3452469999999996</v>
      </c>
      <c r="E2561">
        <v>0.54099079999999999</v>
      </c>
      <c r="F2561" t="s">
        <v>55</v>
      </c>
      <c r="G2561">
        <v>-218.1242</v>
      </c>
      <c r="H2561" s="1">
        <v>2.9064600000000002E-6</v>
      </c>
      <c r="I2561">
        <v>211.87180000000001</v>
      </c>
      <c r="J2561">
        <v>-235.17160000000001</v>
      </c>
      <c r="K2561">
        <v>1.10816</v>
      </c>
      <c r="L2561">
        <v>215.0334</v>
      </c>
      <c r="M2561">
        <v>0.99989070000000002</v>
      </c>
      <c r="N2561">
        <v>-1.422956E-2</v>
      </c>
      <c r="O2561">
        <v>4.0125869999999998E-3</v>
      </c>
      <c r="P2561">
        <v>0.9920987</v>
      </c>
      <c r="Q2561">
        <v>-0.1014258</v>
      </c>
      <c r="R2561">
        <v>-7.3844839999999995E-2</v>
      </c>
      <c r="S2561">
        <v>2.9652859999999999</v>
      </c>
      <c r="T2561">
        <v>-0.1876796</v>
      </c>
      <c r="U2561">
        <v>-0.53521730000000001</v>
      </c>
      <c r="V2561">
        <v>7.7659220000000001E-2</v>
      </c>
      <c r="W2561">
        <v>-8.7450620000000007E-2</v>
      </c>
      <c r="X2561">
        <v>0.99313720000000005</v>
      </c>
      <c r="Y2561">
        <v>0.18113499999999999</v>
      </c>
      <c r="Z2561">
        <v>-7.1765129999999998E-3</v>
      </c>
      <c r="AA2561">
        <v>0.98343210000000003</v>
      </c>
      <c r="AB2561">
        <v>40</v>
      </c>
      <c r="AC2561">
        <v>17.0474</v>
      </c>
      <c r="AD2561">
        <v>-1.10815709354</v>
      </c>
      <c r="AE2561">
        <v>-3.1615999999999902</v>
      </c>
      <c r="AF2561">
        <v>3.2168445981457001</v>
      </c>
      <c r="AG2561">
        <v>-1.10815709354</v>
      </c>
      <c r="AH2561">
        <v>16.9652708751752</v>
      </c>
      <c r="AI2561">
        <v>93.671959852920395</v>
      </c>
      <c r="AJ2561">
        <v>79.263406988705697</v>
      </c>
      <c r="AK2561">
        <v>17.303078257369499</v>
      </c>
      <c r="AL2561">
        <v>95.016959819414893</v>
      </c>
      <c r="AM2561">
        <v>85.528805465595696</v>
      </c>
      <c r="AN2561">
        <v>1.00000003170661</v>
      </c>
    </row>
    <row r="2562" spans="1:40" x14ac:dyDescent="0.25">
      <c r="A2562" t="str">
        <f>"20190305135636564"</f>
        <v>20190305135636564</v>
      </c>
      <c r="B2562" t="str">
        <f>"1551765396554411"</f>
        <v>1551765396554411</v>
      </c>
      <c r="C2562" t="s">
        <v>40</v>
      </c>
      <c r="D2562">
        <v>4.4271750000000001</v>
      </c>
      <c r="E2562">
        <v>0.5411878</v>
      </c>
      <c r="F2562" t="s">
        <v>55</v>
      </c>
      <c r="G2562">
        <v>-218.20419999999999</v>
      </c>
      <c r="H2562" s="1">
        <v>2.9465589999999998E-6</v>
      </c>
      <c r="I2562">
        <v>211.92840000000001</v>
      </c>
      <c r="J2562">
        <v>-234.5128</v>
      </c>
      <c r="K2562">
        <v>1.108125</v>
      </c>
      <c r="L2562">
        <v>215.03479999999999</v>
      </c>
      <c r="M2562">
        <v>0.99989499999999998</v>
      </c>
      <c r="N2562">
        <v>-1.422586E-2</v>
      </c>
      <c r="O2562">
        <v>2.7976849999999998E-3</v>
      </c>
      <c r="P2562">
        <v>0.99160720000000002</v>
      </c>
      <c r="Q2562">
        <v>-0.1029466</v>
      </c>
      <c r="R2562">
        <v>-7.8215409999999999E-2</v>
      </c>
      <c r="S2562">
        <v>2.96373</v>
      </c>
      <c r="T2562">
        <v>-0.19356329999999999</v>
      </c>
      <c r="U2562">
        <v>-0.54235840000000002</v>
      </c>
      <c r="V2562">
        <v>8.0817620000000007E-2</v>
      </c>
      <c r="W2562">
        <v>-8.8989319999999997E-2</v>
      </c>
      <c r="X2562">
        <v>0.99274839999999998</v>
      </c>
      <c r="Y2562">
        <v>0.1822973</v>
      </c>
      <c r="Z2562">
        <v>-7.3484789999999998E-3</v>
      </c>
      <c r="AA2562">
        <v>0.98321599999999998</v>
      </c>
      <c r="AB2562">
        <v>40</v>
      </c>
      <c r="AC2562">
        <v>16.308599999999998</v>
      </c>
      <c r="AD2562">
        <v>-1.1081220534409999</v>
      </c>
      <c r="AE2562">
        <v>-3.1063999999999701</v>
      </c>
      <c r="AF2562">
        <v>3.13803828659234</v>
      </c>
      <c r="AG2562">
        <v>-1.1081220534409999</v>
      </c>
      <c r="AH2562">
        <v>16.227548079699801</v>
      </c>
      <c r="AI2562">
        <v>93.8356224783237</v>
      </c>
      <c r="AJ2562">
        <v>79.055390175073995</v>
      </c>
      <c r="AK2562">
        <v>16.5652810254584</v>
      </c>
      <c r="AL2562">
        <v>95.105466158018402</v>
      </c>
      <c r="AM2562">
        <v>85.345930719508004</v>
      </c>
      <c r="AN2562">
        <v>0.999999986239543</v>
      </c>
    </row>
    <row r="2563" spans="1:40" x14ac:dyDescent="0.25">
      <c r="A2563" t="str">
        <f>"20190305135636589"</f>
        <v>20190305135636589</v>
      </c>
      <c r="B2563" t="str">
        <f>"1551765396584667"</f>
        <v>1551765396584667</v>
      </c>
      <c r="C2563" t="s">
        <v>40</v>
      </c>
      <c r="D2563">
        <v>4.3074050000000002</v>
      </c>
      <c r="E2563">
        <v>0.52514919999999998</v>
      </c>
      <c r="F2563" t="s">
        <v>55</v>
      </c>
      <c r="G2563">
        <v>-218.11609999999999</v>
      </c>
      <c r="H2563" s="1">
        <v>2.898775E-6</v>
      </c>
      <c r="I2563">
        <v>211.94880000000001</v>
      </c>
      <c r="J2563">
        <v>-234.06809999999999</v>
      </c>
      <c r="K2563">
        <v>1.1081110000000001</v>
      </c>
      <c r="L2563">
        <v>215.0352</v>
      </c>
      <c r="M2563">
        <v>0.99989709999999998</v>
      </c>
      <c r="N2563">
        <v>-1.4223400000000001E-2</v>
      </c>
      <c r="O2563">
        <v>1.9544369999999998E-3</v>
      </c>
      <c r="P2563">
        <v>0.99139219999999895</v>
      </c>
      <c r="Q2563">
        <v>-0.1031851</v>
      </c>
      <c r="R2563">
        <v>-8.0590999999999996E-2</v>
      </c>
      <c r="S2563">
        <v>2.9606319999999999</v>
      </c>
      <c r="T2563">
        <v>-0.20008519999999999</v>
      </c>
      <c r="U2563">
        <v>-0.55722050000000001</v>
      </c>
      <c r="V2563">
        <v>8.2353259999999998E-2</v>
      </c>
      <c r="W2563">
        <v>-8.9237990000000003E-2</v>
      </c>
      <c r="X2563">
        <v>0.99259989999999998</v>
      </c>
      <c r="Y2563">
        <v>0.18638070000000001</v>
      </c>
      <c r="Z2563">
        <v>-7.6783700000000003E-3</v>
      </c>
      <c r="AA2563">
        <v>0.98244759999999998</v>
      </c>
      <c r="AB2563">
        <v>40</v>
      </c>
      <c r="AC2563">
        <v>15.9519999999999</v>
      </c>
      <c r="AD2563">
        <v>-1.108108101225</v>
      </c>
      <c r="AE2563">
        <v>-3.08639999999999</v>
      </c>
      <c r="AF2563">
        <v>3.1031408307768999</v>
      </c>
      <c r="AG2563">
        <v>-1.108108101225</v>
      </c>
      <c r="AH2563">
        <v>15.8721109865467</v>
      </c>
      <c r="AI2563">
        <v>93.919641461294404</v>
      </c>
      <c r="AJ2563">
        <v>78.937697467425593</v>
      </c>
      <c r="AK2563">
        <v>16.210530335213999</v>
      </c>
      <c r="AL2563">
        <v>95.119770638603597</v>
      </c>
      <c r="AM2563">
        <v>85.257190692968393</v>
      </c>
      <c r="AN2563">
        <v>1.00000001988593</v>
      </c>
    </row>
    <row r="2564" spans="1:40" x14ac:dyDescent="0.25">
      <c r="A2564" t="str">
        <f>"20190305135636611"</f>
        <v>20190305135636611</v>
      </c>
      <c r="B2564" t="str">
        <f>"1551765396605164"</f>
        <v>1551765396605164</v>
      </c>
      <c r="C2564" t="s">
        <v>40</v>
      </c>
      <c r="D2564">
        <v>4.2781640000000003</v>
      </c>
      <c r="E2564">
        <v>0.5242677</v>
      </c>
      <c r="F2564" t="s">
        <v>55</v>
      </c>
      <c r="G2564">
        <v>-211.11019999999999</v>
      </c>
      <c r="H2564" s="1">
        <v>-8.1801009999999899E-7</v>
      </c>
      <c r="I2564">
        <v>211.68889999999999</v>
      </c>
      <c r="J2564">
        <v>-233.69640000000001</v>
      </c>
      <c r="K2564">
        <v>1.108101</v>
      </c>
      <c r="L2564">
        <v>215.03530000000001</v>
      </c>
      <c r="M2564">
        <v>0.99989830000000002</v>
      </c>
      <c r="N2564">
        <v>-1.4221370000000001E-2</v>
      </c>
      <c r="O2564">
        <v>1.228998E-3</v>
      </c>
      <c r="P2564">
        <v>0.99127379999999998</v>
      </c>
      <c r="Q2564">
        <v>-0.102451399999999</v>
      </c>
      <c r="R2564">
        <v>-8.2948359999999999E-2</v>
      </c>
      <c r="S2564">
        <v>2.9758610000000001</v>
      </c>
      <c r="T2564">
        <v>-0.14363619999999999</v>
      </c>
      <c r="U2564">
        <v>-0.43376160000000002</v>
      </c>
      <c r="V2564">
        <v>8.3989649999999999E-2</v>
      </c>
      <c r="W2564">
        <v>-8.851349E-2</v>
      </c>
      <c r="X2564">
        <v>0.99252759999999995</v>
      </c>
      <c r="Y2564">
        <v>0.14523610000000001</v>
      </c>
      <c r="Z2564">
        <v>-4.5652160000000004E-3</v>
      </c>
      <c r="AA2564">
        <v>0.98938649999999995</v>
      </c>
      <c r="AB2564">
        <v>40</v>
      </c>
      <c r="AC2564">
        <v>22.586200000000002</v>
      </c>
      <c r="AD2564">
        <v>-1.1081018180101001</v>
      </c>
      <c r="AE2564">
        <v>-3.3464000000000098</v>
      </c>
      <c r="AF2564">
        <v>3.3662302534006199</v>
      </c>
      <c r="AG2564">
        <v>-1.1081018180101001</v>
      </c>
      <c r="AH2564">
        <v>22.5290076769849</v>
      </c>
      <c r="AI2564">
        <v>92.784988432834496</v>
      </c>
      <c r="AJ2564">
        <v>81.501871964589498</v>
      </c>
      <c r="AK2564">
        <v>22.806042678808399</v>
      </c>
      <c r="AL2564">
        <v>95.078095188049502</v>
      </c>
      <c r="AM2564">
        <v>85.163041394198601</v>
      </c>
      <c r="AN2564">
        <v>0.99999996799043001</v>
      </c>
    </row>
    <row r="2565" spans="1:40" x14ac:dyDescent="0.25">
      <c r="A2565" t="str">
        <f>"20190305135636633"</f>
        <v>20190305135636633</v>
      </c>
      <c r="B2565" t="str">
        <f>"1551765396624683"</f>
        <v>1551765396624683</v>
      </c>
      <c r="C2565" t="s">
        <v>40</v>
      </c>
      <c r="D2565">
        <v>4.2428980000000003</v>
      </c>
      <c r="E2565">
        <v>0.52470779999999995</v>
      </c>
      <c r="F2565" t="s">
        <v>54</v>
      </c>
      <c r="G2565">
        <v>-209.03890000000001</v>
      </c>
      <c r="H2565" s="1">
        <v>6.5025540000000002E-6</v>
      </c>
      <c r="I2565">
        <v>211.44569999999999</v>
      </c>
      <c r="J2565">
        <v>-233.2902</v>
      </c>
      <c r="K2565">
        <v>1.1080950000000001</v>
      </c>
      <c r="L2565">
        <v>215.035</v>
      </c>
      <c r="M2565">
        <v>0.99989899999999998</v>
      </c>
      <c r="N2565">
        <v>-1.421919E-2</v>
      </c>
      <c r="O2565">
        <v>4.1044550000000001E-4</v>
      </c>
      <c r="P2565">
        <v>0.99114519999999995</v>
      </c>
      <c r="Q2565">
        <v>-0.10176499999999999</v>
      </c>
      <c r="R2565">
        <v>-8.5298379999999993E-2</v>
      </c>
      <c r="S2565">
        <v>2.976334</v>
      </c>
      <c r="T2565">
        <v>-0.13375509999999999</v>
      </c>
      <c r="U2565">
        <v>-0.43328860000000002</v>
      </c>
      <c r="V2565">
        <v>8.5525690000000001E-2</v>
      </c>
      <c r="W2565">
        <v>-8.7836990000000004E-2</v>
      </c>
      <c r="X2565">
        <v>0.99245660000000002</v>
      </c>
      <c r="Y2565">
        <v>0.14427690000000001</v>
      </c>
      <c r="Z2565">
        <v>-4.267659E-3</v>
      </c>
      <c r="AA2565">
        <v>0.98952819999999997</v>
      </c>
      <c r="AB2565">
        <v>40</v>
      </c>
      <c r="AC2565">
        <v>24.251299999999901</v>
      </c>
      <c r="AD2565">
        <v>-1.1080884974459999</v>
      </c>
      <c r="AE2565">
        <v>-3.5893000000000002</v>
      </c>
      <c r="AF2565">
        <v>3.5919162572620902</v>
      </c>
      <c r="AG2565">
        <v>-1.1080884974459999</v>
      </c>
      <c r="AH2565">
        <v>24.200383233508202</v>
      </c>
      <c r="AI2565">
        <v>92.593261927591499</v>
      </c>
      <c r="AJ2565">
        <v>81.557569188086504</v>
      </c>
      <c r="AK2565">
        <v>24.4905751497596</v>
      </c>
      <c r="AL2565">
        <v>95.039182655211903</v>
      </c>
      <c r="AM2565">
        <v>85.074661564501994</v>
      </c>
      <c r="AN2565">
        <v>1.00000004167289</v>
      </c>
    </row>
    <row r="2566" spans="1:40" x14ac:dyDescent="0.25">
      <c r="A2566" t="str">
        <f>"20190305135636654"</f>
        <v>20190305135636654</v>
      </c>
      <c r="B2566" t="str">
        <f>"1551765396645179"</f>
        <v>1551765396645179</v>
      </c>
      <c r="C2566" t="s">
        <v>40</v>
      </c>
      <c r="D2566">
        <v>4.263636</v>
      </c>
      <c r="E2566">
        <v>0.52512919999999996</v>
      </c>
      <c r="F2566" t="s">
        <v>54</v>
      </c>
      <c r="G2566">
        <v>-207.51390000000001</v>
      </c>
      <c r="H2566" s="1">
        <v>5.8485559999999998E-6</v>
      </c>
      <c r="I2566">
        <v>211.19069999999999</v>
      </c>
      <c r="J2566">
        <v>-232.8998</v>
      </c>
      <c r="K2566">
        <v>1.1080909999999999</v>
      </c>
      <c r="L2566">
        <v>215.03440000000001</v>
      </c>
      <c r="M2566">
        <v>0.99989899999999998</v>
      </c>
      <c r="N2566">
        <v>-1.421711E-2</v>
      </c>
      <c r="O2566">
        <v>-3.9653909999999999E-4</v>
      </c>
      <c r="P2566">
        <v>0.99112979999999995</v>
      </c>
      <c r="Q2566">
        <v>-0.1005572</v>
      </c>
      <c r="R2566">
        <v>-8.6892579999999997E-2</v>
      </c>
      <c r="S2566">
        <v>2.975479</v>
      </c>
      <c r="T2566">
        <v>-0.1279119</v>
      </c>
      <c r="U2566">
        <v>-0.44377139999999998</v>
      </c>
      <c r="V2566">
        <v>8.6318729999999996E-2</v>
      </c>
      <c r="W2566">
        <v>-8.6635950000000003E-2</v>
      </c>
      <c r="X2566">
        <v>0.99249350000000003</v>
      </c>
      <c r="Y2566">
        <v>0.14694170000000001</v>
      </c>
      <c r="Z2566">
        <v>-4.1792499999999998E-3</v>
      </c>
      <c r="AA2566">
        <v>0.98913629999999997</v>
      </c>
      <c r="AB2566">
        <v>40</v>
      </c>
      <c r="AC2566">
        <v>25.3858999999999</v>
      </c>
      <c r="AD2566">
        <v>-1.108085151444</v>
      </c>
      <c r="AE2566">
        <v>-3.8437000000000099</v>
      </c>
      <c r="AF2566">
        <v>3.8265049702063401</v>
      </c>
      <c r="AG2566">
        <v>-1.108085151444</v>
      </c>
      <c r="AH2566">
        <v>25.340223889424902</v>
      </c>
      <c r="AI2566">
        <v>92.475819574387501</v>
      </c>
      <c r="AJ2566">
        <v>81.412917679054203</v>
      </c>
      <c r="AK2566">
        <v>25.6514510263269</v>
      </c>
      <c r="AL2566">
        <v>94.970104842377907</v>
      </c>
      <c r="AM2566">
        <v>85.029402849004896</v>
      </c>
      <c r="AN2566">
        <v>1.0000000292617299</v>
      </c>
    </row>
    <row r="2567" spans="1:40" x14ac:dyDescent="0.25">
      <c r="A2567" t="str">
        <f>"20190305135636677"</f>
        <v>20190305135636677</v>
      </c>
      <c r="B2567" t="str">
        <f>"1551765396664700"</f>
        <v>1551765396664700</v>
      </c>
      <c r="C2567" t="s">
        <v>40</v>
      </c>
      <c r="D2567">
        <v>4.286378</v>
      </c>
      <c r="E2567">
        <v>0.52539069999999899</v>
      </c>
      <c r="F2567" t="s">
        <v>54</v>
      </c>
      <c r="G2567">
        <v>-206.39599999999999</v>
      </c>
      <c r="H2567" s="1">
        <v>5.3689439999999999E-6</v>
      </c>
      <c r="I2567">
        <v>211.00659999999999</v>
      </c>
      <c r="J2567">
        <v>-232.51519999999999</v>
      </c>
      <c r="K2567">
        <v>1.1080890000000001</v>
      </c>
      <c r="L2567">
        <v>215.0335</v>
      </c>
      <c r="M2567">
        <v>0.99989839999999997</v>
      </c>
      <c r="N2567">
        <v>-1.421506E-2</v>
      </c>
      <c r="O2567">
        <v>-1.209578E-3</v>
      </c>
      <c r="P2567">
        <v>0.99110120000000002</v>
      </c>
      <c r="Q2567">
        <v>-9.9245369999999999E-2</v>
      </c>
      <c r="R2567">
        <v>-8.8707010000000003E-2</v>
      </c>
      <c r="S2567">
        <v>2.9745789999999999</v>
      </c>
      <c r="T2567">
        <v>-0.124362899999999</v>
      </c>
      <c r="U2567">
        <v>-0.45205689999999998</v>
      </c>
      <c r="V2567">
        <v>8.7326790000000001E-2</v>
      </c>
      <c r="W2567">
        <v>-8.5331320000000002E-2</v>
      </c>
      <c r="X2567">
        <v>0.99251829999999996</v>
      </c>
      <c r="Y2567">
        <v>0.1488814</v>
      </c>
      <c r="Z2567">
        <v>-4.1248830000000002E-3</v>
      </c>
      <c r="AA2567">
        <v>0.98884649999999996</v>
      </c>
      <c r="AB2567">
        <v>40</v>
      </c>
      <c r="AC2567">
        <v>26.119199999999999</v>
      </c>
      <c r="AD2567">
        <v>-1.1080836310559901</v>
      </c>
      <c r="AE2567">
        <v>-4.0269000000000101</v>
      </c>
      <c r="AF2567">
        <v>3.9882891760471799</v>
      </c>
      <c r="AG2567">
        <v>-1.1080836310559901</v>
      </c>
      <c r="AH2567">
        <v>26.078206296176301</v>
      </c>
      <c r="AI2567">
        <v>92.405148037890797</v>
      </c>
      <c r="AJ2567">
        <v>81.3048027820182</v>
      </c>
      <c r="AK2567">
        <v>26.404680333439401</v>
      </c>
      <c r="AL2567">
        <v>94.895077382007599</v>
      </c>
      <c r="AM2567">
        <v>84.971775392194601</v>
      </c>
      <c r="AN2567">
        <v>0.99999998912976795</v>
      </c>
    </row>
    <row r="2568" spans="1:40" x14ac:dyDescent="0.25">
      <c r="A2568" t="str">
        <f>"20190305135636703"</f>
        <v>20190305135636703</v>
      </c>
      <c r="B2568" t="str">
        <f>"1551765396694955"</f>
        <v>1551765396694955</v>
      </c>
      <c r="C2568" t="s">
        <v>40</v>
      </c>
      <c r="D2568">
        <v>4.2641159999999996</v>
      </c>
      <c r="E2568">
        <v>0.52544360000000001</v>
      </c>
      <c r="F2568" t="s">
        <v>54</v>
      </c>
      <c r="G2568">
        <v>-205.50620000000001</v>
      </c>
      <c r="H2568" s="1">
        <v>4.9872539999999997E-6</v>
      </c>
      <c r="I2568">
        <v>210.85890000000001</v>
      </c>
      <c r="J2568">
        <v>-232.05529999999999</v>
      </c>
      <c r="K2568">
        <v>1.108082</v>
      </c>
      <c r="L2568">
        <v>215.03200000000001</v>
      </c>
      <c r="M2568">
        <v>0.99989640000000002</v>
      </c>
      <c r="N2568">
        <v>-1.422085E-2</v>
      </c>
      <c r="O2568">
        <v>-2.1983900000000002E-3</v>
      </c>
      <c r="P2568">
        <v>0.99106749999999999</v>
      </c>
      <c r="Q2568">
        <v>-9.7739679999999995E-2</v>
      </c>
      <c r="R2568">
        <v>-9.0730939999999996E-2</v>
      </c>
      <c r="S2568">
        <v>2.9735719999999999</v>
      </c>
      <c r="T2568">
        <v>-0.1219954</v>
      </c>
      <c r="U2568">
        <v>-0.45961000000000002</v>
      </c>
      <c r="V2568">
        <v>8.837014E-2</v>
      </c>
      <c r="W2568">
        <v>-8.3825040000000003E-2</v>
      </c>
      <c r="X2568">
        <v>0.9925543</v>
      </c>
      <c r="Y2568">
        <v>0.1504114</v>
      </c>
      <c r="Z2568">
        <v>-4.0838589999999996E-3</v>
      </c>
      <c r="AA2568">
        <v>0.98861500000000002</v>
      </c>
      <c r="AB2568">
        <v>40</v>
      </c>
      <c r="AC2568">
        <v>26.5490999999999</v>
      </c>
      <c r="AD2568">
        <v>-1.108077012746</v>
      </c>
      <c r="AE2568">
        <v>-4.1730999999999998</v>
      </c>
      <c r="AF2568">
        <v>4.1077357142801496</v>
      </c>
      <c r="AG2568">
        <v>-1.108077012746</v>
      </c>
      <c r="AH2568">
        <v>26.513139385282098</v>
      </c>
      <c r="AI2568">
        <v>92.365014766690294</v>
      </c>
      <c r="AJ2568">
        <v>81.193067530973707</v>
      </c>
      <c r="AK2568">
        <v>26.852334859895301</v>
      </c>
      <c r="AL2568">
        <v>94.808463585384999</v>
      </c>
      <c r="AM2568">
        <v>84.912196978580894</v>
      </c>
      <c r="AN2568">
        <v>0.99999997871155499</v>
      </c>
    </row>
    <row r="2569" spans="1:40" x14ac:dyDescent="0.25">
      <c r="A2569" t="str">
        <f>"20190305135636727"</f>
        <v>20190305135636727</v>
      </c>
      <c r="B2569" t="str">
        <f>"1551765396724236"</f>
        <v>1551765396724236</v>
      </c>
      <c r="C2569" t="s">
        <v>40</v>
      </c>
      <c r="D2569">
        <v>4.2797999999999998</v>
      </c>
      <c r="E2569">
        <v>0.52535220000000005</v>
      </c>
      <c r="F2569" t="s">
        <v>54</v>
      </c>
      <c r="G2569">
        <v>-204.64080000000001</v>
      </c>
      <c r="H2569" s="1">
        <v>4.6145280000000004E-6</v>
      </c>
      <c r="I2569">
        <v>210.73240000000001</v>
      </c>
      <c r="J2569">
        <v>-231.6319</v>
      </c>
      <c r="K2569">
        <v>1.108093</v>
      </c>
      <c r="L2569">
        <v>215.03020000000001</v>
      </c>
      <c r="M2569">
        <v>0.9998937</v>
      </c>
      <c r="N2569">
        <v>-1.424891E-2</v>
      </c>
      <c r="O2569">
        <v>-3.1180370000000002E-3</v>
      </c>
      <c r="P2569">
        <v>0.99104729999999996</v>
      </c>
      <c r="Q2569">
        <v>-9.6598610000000001E-2</v>
      </c>
      <c r="R2569">
        <v>-9.2162789999999994E-2</v>
      </c>
      <c r="S2569">
        <v>2.9725190000000001</v>
      </c>
      <c r="T2569">
        <v>-0.1201473</v>
      </c>
      <c r="U2569">
        <v>-0.4662018</v>
      </c>
      <c r="V2569">
        <v>8.8890549999999999E-2</v>
      </c>
      <c r="W2569">
        <v>-8.2659010000000005E-2</v>
      </c>
      <c r="X2569">
        <v>0.99260559999999998</v>
      </c>
      <c r="Y2569">
        <v>0.15169839999999901</v>
      </c>
      <c r="Z2569">
        <v>-4.0528539999999998E-3</v>
      </c>
      <c r="AA2569">
        <v>0.98841849999999998</v>
      </c>
      <c r="AB2569">
        <v>39</v>
      </c>
      <c r="AC2569">
        <v>26.9910999999999</v>
      </c>
      <c r="AD2569">
        <v>-1.1080883854719901</v>
      </c>
      <c r="AE2569">
        <v>-4.2977999999999899</v>
      </c>
      <c r="AF2569">
        <v>4.2066965929842901</v>
      </c>
      <c r="AG2569">
        <v>-1.1080883854719901</v>
      </c>
      <c r="AH2569">
        <v>26.960055446838901</v>
      </c>
      <c r="AI2569">
        <v>92.325488471345906</v>
      </c>
      <c r="AJ2569">
        <v>81.131398743818494</v>
      </c>
      <c r="AK2569">
        <v>27.308766830306901</v>
      </c>
      <c r="AL2569">
        <v>94.741422397510604</v>
      </c>
      <c r="AM2569">
        <v>84.882656732010901</v>
      </c>
      <c r="AN2569">
        <v>0.99999995948242004</v>
      </c>
    </row>
    <row r="2570" spans="1:40" x14ac:dyDescent="0.25">
      <c r="A2570" t="str">
        <f>"20190305135636754"</f>
        <v>20190305135636754</v>
      </c>
      <c r="B2570" t="str">
        <f>"1551765396744733"</f>
        <v>1551765396744733</v>
      </c>
      <c r="C2570" t="s">
        <v>40</v>
      </c>
      <c r="D2570">
        <v>4.3047009999999997</v>
      </c>
      <c r="E2570">
        <v>0.52531289999999997</v>
      </c>
      <c r="F2570" t="s">
        <v>54</v>
      </c>
      <c r="G2570">
        <v>-203.5788</v>
      </c>
      <c r="H2570" s="1">
        <v>4.1554899999999996E-6</v>
      </c>
      <c r="I2570">
        <v>210.5959</v>
      </c>
      <c r="J2570">
        <v>-231.16849999999999</v>
      </c>
      <c r="K2570">
        <v>1.1080909999999999</v>
      </c>
      <c r="L2570">
        <v>215.02780000000001</v>
      </c>
      <c r="M2570">
        <v>0.99988920000000003</v>
      </c>
      <c r="N2570">
        <v>-1.429795E-2</v>
      </c>
      <c r="O2570">
        <v>-4.1311350000000002E-3</v>
      </c>
      <c r="P2570">
        <v>0.99100750000000004</v>
      </c>
      <c r="Q2570">
        <v>-9.5667550000000004E-2</v>
      </c>
      <c r="R2570">
        <v>-9.3553250000000004E-2</v>
      </c>
      <c r="S2570">
        <v>2.9719850000000001</v>
      </c>
      <c r="T2570">
        <v>-0.1173922</v>
      </c>
      <c r="U2570">
        <v>-0.46977229999999998</v>
      </c>
      <c r="V2570">
        <v>8.9276670000000002E-2</v>
      </c>
      <c r="W2570">
        <v>-8.1681370000000003E-2</v>
      </c>
      <c r="X2570">
        <v>0.99265190000000003</v>
      </c>
      <c r="Y2570">
        <v>0.1518892</v>
      </c>
      <c r="Z2570">
        <v>-3.9699069999999999E-3</v>
      </c>
      <c r="AA2570">
        <v>0.98838959999999998</v>
      </c>
      <c r="AB2570">
        <v>39</v>
      </c>
      <c r="AC2570">
        <v>27.589700000000001</v>
      </c>
      <c r="AD2570">
        <v>-1.1080868445099901</v>
      </c>
      <c r="AE2570">
        <v>-4.4319000000000104</v>
      </c>
      <c r="AF2570">
        <v>4.3110945668778502</v>
      </c>
      <c r="AG2570">
        <v>-1.1080868445099901</v>
      </c>
      <c r="AH2570">
        <v>27.564430244413401</v>
      </c>
      <c r="AI2570">
        <v>92.274424158240606</v>
      </c>
      <c r="AJ2570">
        <v>81.110915631800694</v>
      </c>
      <c r="AK2570">
        <v>27.921518717982899</v>
      </c>
      <c r="AL2570">
        <v>94.685217573125499</v>
      </c>
      <c r="AM2570">
        <v>84.860785399624902</v>
      </c>
      <c r="AN2570">
        <v>0.99999998229248699</v>
      </c>
    </row>
    <row r="2571" spans="1:40" x14ac:dyDescent="0.25">
      <c r="A2571" t="str">
        <f>"20190305135636772"</f>
        <v>20190305135636772</v>
      </c>
      <c r="B2571" t="str">
        <f>"1551765396764762"</f>
        <v>1551765396764762</v>
      </c>
      <c r="C2571" t="s">
        <v>40</v>
      </c>
      <c r="D2571">
        <v>4.291868</v>
      </c>
      <c r="E2571">
        <v>0.52523059999999999</v>
      </c>
      <c r="F2571" t="s">
        <v>54</v>
      </c>
      <c r="G2571">
        <v>-202.7191</v>
      </c>
      <c r="H2571" s="1">
        <v>3.783221E-6</v>
      </c>
      <c r="I2571">
        <v>210.49340000000001</v>
      </c>
      <c r="J2571">
        <v>-230.8381</v>
      </c>
      <c r="K2571">
        <v>1.1080859999999999</v>
      </c>
      <c r="L2571">
        <v>215.0258</v>
      </c>
      <c r="M2571">
        <v>0.99988529999999998</v>
      </c>
      <c r="N2571">
        <v>-1.4345149999999999E-2</v>
      </c>
      <c r="O2571">
        <v>-4.8545919999999996E-3</v>
      </c>
      <c r="P2571">
        <v>0.99084559999999999</v>
      </c>
      <c r="Q2571">
        <v>-9.6470710000000001E-2</v>
      </c>
      <c r="R2571">
        <v>-9.4437259999999995E-2</v>
      </c>
      <c r="S2571">
        <v>2.9713289999999999</v>
      </c>
      <c r="T2571">
        <v>-0.1157315</v>
      </c>
      <c r="U2571">
        <v>-0.47358699999999998</v>
      </c>
      <c r="V2571">
        <v>8.9441729999999997E-2</v>
      </c>
      <c r="W2571">
        <v>-8.2440369999999999E-2</v>
      </c>
      <c r="X2571">
        <v>0.99257430000000002</v>
      </c>
      <c r="Y2571">
        <v>0.1524488</v>
      </c>
      <c r="Z2571">
        <v>-3.931487E-3</v>
      </c>
      <c r="AA2571">
        <v>0.9883035</v>
      </c>
      <c r="AB2571">
        <v>39</v>
      </c>
      <c r="AC2571">
        <v>28.119</v>
      </c>
      <c r="AD2571">
        <v>-1.1080822167790001</v>
      </c>
      <c r="AE2571">
        <v>-4.5323999999999902</v>
      </c>
      <c r="AF2571">
        <v>4.38918288666639</v>
      </c>
      <c r="AG2571">
        <v>-1.1080822167790001</v>
      </c>
      <c r="AH2571">
        <v>28.098145064092499</v>
      </c>
      <c r="AI2571">
        <v>92.231322194583697</v>
      </c>
      <c r="AJ2571">
        <v>81.121634514752799</v>
      </c>
      <c r="AK2571">
        <v>28.460473092598601</v>
      </c>
      <c r="AL2571">
        <v>94.728852203982697</v>
      </c>
      <c r="AM2571">
        <v>84.8509343748931</v>
      </c>
      <c r="AN2571">
        <v>0.99999998934580903</v>
      </c>
    </row>
    <row r="2572" spans="1:40" x14ac:dyDescent="0.25">
      <c r="A2572" t="str">
        <f>"20190305135636793"</f>
        <v>20190305135636793</v>
      </c>
      <c r="B2572" t="str">
        <f>"1551765396784281"</f>
        <v>1551765396784281</v>
      </c>
      <c r="C2572" t="s">
        <v>40</v>
      </c>
      <c r="D2572">
        <v>4.2648989999999998</v>
      </c>
      <c r="E2572">
        <v>0.52524630000000005</v>
      </c>
      <c r="F2572" t="s">
        <v>54</v>
      </c>
      <c r="G2572">
        <v>-203.48150000000001</v>
      </c>
      <c r="H2572" s="1">
        <v>4.1081340000000002E-6</v>
      </c>
      <c r="I2572">
        <v>210.64449999999999</v>
      </c>
      <c r="J2572">
        <v>-230.4752</v>
      </c>
      <c r="K2572">
        <v>1.1080939999999999</v>
      </c>
      <c r="L2572">
        <v>215.02330000000001</v>
      </c>
      <c r="M2572">
        <v>0.99988030000000006</v>
      </c>
      <c r="N2572">
        <v>-1.442046E-2</v>
      </c>
      <c r="O2572">
        <v>-5.6472850000000002E-3</v>
      </c>
      <c r="P2572">
        <v>0.9906488</v>
      </c>
      <c r="Q2572">
        <v>-9.7608039999999993E-2</v>
      </c>
      <c r="R2572">
        <v>-9.5331579999999999E-2</v>
      </c>
      <c r="S2572">
        <v>2.970688</v>
      </c>
      <c r="T2572">
        <v>-0.12032809999999999</v>
      </c>
      <c r="U2572">
        <v>-0.475769</v>
      </c>
      <c r="V2572">
        <v>8.9547849999999998E-2</v>
      </c>
      <c r="W2572">
        <v>-8.3505700000000002E-2</v>
      </c>
      <c r="X2572">
        <v>0.99247569999999996</v>
      </c>
      <c r="Y2572">
        <v>0.15239559999999999</v>
      </c>
      <c r="Z2572">
        <v>-4.0257849999999996E-3</v>
      </c>
      <c r="AA2572">
        <v>0.98831139999999995</v>
      </c>
      <c r="AB2572">
        <v>39</v>
      </c>
      <c r="AC2572">
        <v>26.993699999999901</v>
      </c>
      <c r="AD2572">
        <v>-1.108089891866</v>
      </c>
      <c r="AE2572">
        <v>-4.3788000000000098</v>
      </c>
      <c r="AF2572">
        <v>4.21934551088889</v>
      </c>
      <c r="AG2572">
        <v>-1.108089891866</v>
      </c>
      <c r="AH2572">
        <v>26.973712407097501</v>
      </c>
      <c r="AI2572">
        <v>92.324177443991999</v>
      </c>
      <c r="AJ2572">
        <v>81.109589495204602</v>
      </c>
      <c r="AK2572">
        <v>27.3241999108761</v>
      </c>
      <c r="AL2572">
        <v>94.790102189618096</v>
      </c>
      <c r="AM2572">
        <v>84.844348666507599</v>
      </c>
      <c r="AN2572">
        <v>1.0000000172312999</v>
      </c>
    </row>
    <row r="2573" spans="1:40" x14ac:dyDescent="0.25">
      <c r="A2573" t="str">
        <f>"20190305135636814"</f>
        <v>20190305135636814</v>
      </c>
      <c r="B2573" t="str">
        <f>"1551765396804777"</f>
        <v>1551765396804777</v>
      </c>
      <c r="C2573" t="s">
        <v>40</v>
      </c>
      <c r="D2573">
        <v>4.3155380000000001</v>
      </c>
      <c r="E2573">
        <v>0.52527990000000002</v>
      </c>
      <c r="F2573" t="s">
        <v>54</v>
      </c>
      <c r="G2573">
        <v>-204.45439999999999</v>
      </c>
      <c r="H2573" s="1">
        <v>4.5235719999999901E-6</v>
      </c>
      <c r="I2573">
        <v>210.82730000000001</v>
      </c>
      <c r="J2573">
        <v>-230.09880000000001</v>
      </c>
      <c r="K2573">
        <v>1.108101</v>
      </c>
      <c r="L2573">
        <v>215.02029999999999</v>
      </c>
      <c r="M2573">
        <v>0.99987369999999998</v>
      </c>
      <c r="N2573">
        <v>-1.452283E-2</v>
      </c>
      <c r="O2573">
        <v>-6.4671140000000004E-3</v>
      </c>
      <c r="P2573">
        <v>0.9904577</v>
      </c>
      <c r="Q2573">
        <v>-9.8709420000000006E-2</v>
      </c>
      <c r="R2573">
        <v>-9.6179819999999999E-2</v>
      </c>
      <c r="S2573">
        <v>2.9697719999999999</v>
      </c>
      <c r="T2573">
        <v>-0.1264671</v>
      </c>
      <c r="U2573">
        <v>-0.47888180000000002</v>
      </c>
      <c r="V2573">
        <v>8.9581729999999998E-2</v>
      </c>
      <c r="W2573">
        <v>-8.450763E-2</v>
      </c>
      <c r="X2573">
        <v>0.99238780000000004</v>
      </c>
      <c r="Y2573">
        <v>0.1526276</v>
      </c>
      <c r="Z2573">
        <v>-4.1634749999999998E-3</v>
      </c>
      <c r="AA2573">
        <v>0.98827500000000001</v>
      </c>
      <c r="AB2573">
        <v>39</v>
      </c>
      <c r="AC2573">
        <v>25.644400000000001</v>
      </c>
      <c r="AD2573">
        <v>-1.1080964764279999</v>
      </c>
      <c r="AE2573">
        <v>-4.1929999999999801</v>
      </c>
      <c r="AF2573">
        <v>4.0197396833154597</v>
      </c>
      <c r="AG2573">
        <v>-1.1080964764279999</v>
      </c>
      <c r="AH2573">
        <v>25.6243852628672</v>
      </c>
      <c r="AI2573">
        <v>92.446266254357297</v>
      </c>
      <c r="AJ2573">
        <v>81.084574893381898</v>
      </c>
      <c r="AK2573">
        <v>25.961419549449499</v>
      </c>
      <c r="AL2573">
        <v>94.847712344773996</v>
      </c>
      <c r="AM2573">
        <v>84.841954203159105</v>
      </c>
      <c r="AN2573">
        <v>0.99999998573342397</v>
      </c>
    </row>
    <row r="2574" spans="1:40" x14ac:dyDescent="0.25">
      <c r="A2574" t="str">
        <f>"20190305135636834"</f>
        <v>20190305135636834</v>
      </c>
      <c r="B2574" t="str">
        <f>"1551765396824297"</f>
        <v>1551765396824297</v>
      </c>
      <c r="C2574" t="s">
        <v>40</v>
      </c>
      <c r="D2574">
        <v>4.3068770000000001</v>
      </c>
      <c r="E2574">
        <v>0.52524209999999905</v>
      </c>
      <c r="F2574" t="s">
        <v>54</v>
      </c>
      <c r="G2574">
        <v>-205.17959999999999</v>
      </c>
      <c r="H2574" s="1">
        <v>4.8320569999999997E-6</v>
      </c>
      <c r="I2574">
        <v>210.97739999999999</v>
      </c>
      <c r="J2574">
        <v>-229.7473</v>
      </c>
      <c r="K2574">
        <v>1.1081299999999901</v>
      </c>
      <c r="L2574">
        <v>215.01730000000001</v>
      </c>
      <c r="M2574">
        <v>0.99986629999999999</v>
      </c>
      <c r="N2574">
        <v>-1.46769E-2</v>
      </c>
      <c r="O2574">
        <v>-7.2283299999999998E-3</v>
      </c>
      <c r="P2574">
        <v>0.99029959999999995</v>
      </c>
      <c r="Q2574">
        <v>-9.9340090000000006E-2</v>
      </c>
      <c r="R2574">
        <v>-9.7152100000000005E-2</v>
      </c>
      <c r="S2574">
        <v>2.9689480000000001</v>
      </c>
      <c r="T2574">
        <v>-0.132022</v>
      </c>
      <c r="U2574">
        <v>-0.48168949999999999</v>
      </c>
      <c r="V2574">
        <v>8.9799699999999996E-2</v>
      </c>
      <c r="W2574">
        <v>-8.4987090000000001E-2</v>
      </c>
      <c r="X2574">
        <v>0.99232719999999996</v>
      </c>
      <c r="Y2574">
        <v>0.1528147</v>
      </c>
      <c r="Z2574">
        <v>-4.2896920000000003E-3</v>
      </c>
      <c r="AA2574">
        <v>0.9882455</v>
      </c>
      <c r="AB2574">
        <v>39</v>
      </c>
      <c r="AC2574">
        <v>24.567699999999999</v>
      </c>
      <c r="AD2574">
        <v>-1.10812516794299</v>
      </c>
      <c r="AE2574">
        <v>-4.03990000000001</v>
      </c>
      <c r="AF2574">
        <v>3.85455642208772</v>
      </c>
      <c r="AG2574">
        <v>-1.10812516794299</v>
      </c>
      <c r="AH2574">
        <v>24.547636655101101</v>
      </c>
      <c r="AI2574">
        <v>92.553436051813406</v>
      </c>
      <c r="AJ2574">
        <v>81.076082517168999</v>
      </c>
      <c r="AK2574">
        <v>24.873118259473401</v>
      </c>
      <c r="AL2574">
        <v>94.875282339783197</v>
      </c>
      <c r="AM2574">
        <v>84.829157562576597</v>
      </c>
      <c r="AN2574">
        <v>1.00000003172329</v>
      </c>
    </row>
    <row r="2575" spans="1:40" x14ac:dyDescent="0.25">
      <c r="A2575" t="str">
        <f>"20190305135636859"</f>
        <v>20190305135636859</v>
      </c>
      <c r="B2575" t="str">
        <f>"1551765396854554"</f>
        <v>1551765396854554</v>
      </c>
      <c r="C2575" t="s">
        <v>40</v>
      </c>
      <c r="D2575">
        <v>4.2842209999999996</v>
      </c>
      <c r="E2575">
        <v>0.52534040000000004</v>
      </c>
      <c r="F2575" t="s">
        <v>54</v>
      </c>
      <c r="G2575">
        <v>-205.56229999999999</v>
      </c>
      <c r="H2575" s="1">
        <v>4.9936339999999996E-6</v>
      </c>
      <c r="I2575">
        <v>211.0703</v>
      </c>
      <c r="J2575">
        <v>-229.31899999999999</v>
      </c>
      <c r="K2575">
        <v>1.1081859999999999</v>
      </c>
      <c r="L2575">
        <v>215.01329999999999</v>
      </c>
      <c r="M2575">
        <v>0.99985520000000006</v>
      </c>
      <c r="N2575">
        <v>-1.493981E-2</v>
      </c>
      <c r="O2575">
        <v>-8.1556279999999998E-3</v>
      </c>
      <c r="P2575">
        <v>0.99013819999999997</v>
      </c>
      <c r="Q2575">
        <v>-9.9566169999999996E-2</v>
      </c>
      <c r="R2575">
        <v>-9.8555980000000001E-2</v>
      </c>
      <c r="S2575">
        <v>2.968216</v>
      </c>
      <c r="T2575">
        <v>-0.13599939999999999</v>
      </c>
      <c r="U2575">
        <v>-0.48442079999999998</v>
      </c>
      <c r="V2575">
        <v>9.0286350000000001E-2</v>
      </c>
      <c r="W2575">
        <v>-8.495366E-2</v>
      </c>
      <c r="X2575">
        <v>0.9922858</v>
      </c>
      <c r="Y2575">
        <v>0.1528119</v>
      </c>
      <c r="Z2575">
        <v>-4.3759139999999998E-3</v>
      </c>
      <c r="AA2575">
        <v>0.98824559999999995</v>
      </c>
      <c r="AB2575">
        <v>39</v>
      </c>
      <c r="AC2575">
        <v>23.756699999999999</v>
      </c>
      <c r="AD2575">
        <v>-1.108181006366</v>
      </c>
      <c r="AE2575">
        <v>-3.9429999999999801</v>
      </c>
      <c r="AF2575">
        <v>3.7411740433184399</v>
      </c>
      <c r="AG2575">
        <v>-1.108181006366</v>
      </c>
      <c r="AH2575">
        <v>23.7378033972117</v>
      </c>
      <c r="AI2575">
        <v>92.640325094279504</v>
      </c>
      <c r="AJ2575">
        <v>81.043623905318199</v>
      </c>
      <c r="AK2575">
        <v>24.056345493236101</v>
      </c>
      <c r="AL2575">
        <v>94.873360490981995</v>
      </c>
      <c r="AM2575">
        <v>84.801072729410507</v>
      </c>
      <c r="AN2575">
        <v>0.99999992911267599</v>
      </c>
    </row>
    <row r="2576" spans="1:40" x14ac:dyDescent="0.25">
      <c r="A2576" t="str">
        <f>"20190305135636882"</f>
        <v>20190305135636882</v>
      </c>
      <c r="B2576" t="str">
        <f>"1551765396875050"</f>
        <v>1551765396875050</v>
      </c>
      <c r="C2576" t="s">
        <v>40</v>
      </c>
      <c r="D2576">
        <v>4.3057840000000001</v>
      </c>
      <c r="E2576">
        <v>0.52537129999999999</v>
      </c>
      <c r="F2576" t="s">
        <v>54</v>
      </c>
      <c r="G2576">
        <v>-205.65029999999999</v>
      </c>
      <c r="H2576" s="1">
        <v>5.0292829999999996E-6</v>
      </c>
      <c r="I2576">
        <v>211.10900000000001</v>
      </c>
      <c r="J2576">
        <v>-228.8963</v>
      </c>
      <c r="K2576">
        <v>1.1082559999999999</v>
      </c>
      <c r="L2576">
        <v>215.00890000000001</v>
      </c>
      <c r="M2576">
        <v>0.99984300000000004</v>
      </c>
      <c r="N2576">
        <v>-1.52286E-2</v>
      </c>
      <c r="O2576">
        <v>-9.0721010000000008E-3</v>
      </c>
      <c r="P2576">
        <v>0.99002500000000004</v>
      </c>
      <c r="Q2576">
        <v>-9.9455299999999996E-2</v>
      </c>
      <c r="R2576">
        <v>-9.9795060000000005E-2</v>
      </c>
      <c r="S2576">
        <v>2.967209</v>
      </c>
      <c r="T2576">
        <v>-0.13892639999999901</v>
      </c>
      <c r="U2576">
        <v>-0.48945620000000001</v>
      </c>
      <c r="V2576">
        <v>9.0619669999999999E-2</v>
      </c>
      <c r="W2576">
        <v>-8.4556679999999995E-2</v>
      </c>
      <c r="X2576">
        <v>0.99228939999999999</v>
      </c>
      <c r="Y2576">
        <v>0.15358289999999999</v>
      </c>
      <c r="Z2576">
        <v>-4.4631609999999898E-3</v>
      </c>
      <c r="AA2576">
        <v>0.9881257</v>
      </c>
      <c r="AB2576">
        <v>39</v>
      </c>
      <c r="AC2576">
        <v>23.245999999999999</v>
      </c>
      <c r="AD2576">
        <v>-1.1082509707170001</v>
      </c>
      <c r="AE2576">
        <v>-3.8999000000000001</v>
      </c>
      <c r="AF2576">
        <v>3.6806881698815301</v>
      </c>
      <c r="AG2576">
        <v>-1.1082509707170001</v>
      </c>
      <c r="AH2576">
        <v>23.2290755697748</v>
      </c>
      <c r="AI2576">
        <v>92.697882917107506</v>
      </c>
      <c r="AJ2576">
        <v>80.996236664590398</v>
      </c>
      <c r="AK2576">
        <v>23.544970533944301</v>
      </c>
      <c r="AL2576">
        <v>94.850532704039793</v>
      </c>
      <c r="AM2576">
        <v>84.782003865166402</v>
      </c>
      <c r="AN2576">
        <v>1.0000000050379401</v>
      </c>
    </row>
    <row r="2577" spans="1:40" x14ac:dyDescent="0.25">
      <c r="A2577" t="str">
        <f>"20190305135636908"</f>
        <v>20190305135636908</v>
      </c>
      <c r="B2577" t="str">
        <f>"1551765396904330"</f>
        <v>1551765396904330</v>
      </c>
      <c r="C2577" t="s">
        <v>40</v>
      </c>
      <c r="D2577">
        <v>4.3424180000000003</v>
      </c>
      <c r="E2577">
        <v>0.52522729999999995</v>
      </c>
      <c r="F2577" t="s">
        <v>54</v>
      </c>
      <c r="G2577">
        <v>-205.3905</v>
      </c>
      <c r="H2577" s="1">
        <v>4.9151639999999998E-6</v>
      </c>
      <c r="I2577">
        <v>211.09639999999999</v>
      </c>
      <c r="J2577">
        <v>-228.4718</v>
      </c>
      <c r="K2577">
        <v>1.108309</v>
      </c>
      <c r="L2577">
        <v>215.0042</v>
      </c>
      <c r="M2577">
        <v>0.99982979999999999</v>
      </c>
      <c r="N2577">
        <v>-1.5515879999999999E-2</v>
      </c>
      <c r="O2577">
        <v>-9.9908919999999995E-3</v>
      </c>
      <c r="P2577">
        <v>0.98995100000000003</v>
      </c>
      <c r="Q2577">
        <v>-9.9078650000000004E-2</v>
      </c>
      <c r="R2577">
        <v>-0.1009014</v>
      </c>
      <c r="S2577">
        <v>2.9664000000000001</v>
      </c>
      <c r="T2577">
        <v>-0.13985980000000001</v>
      </c>
      <c r="U2577">
        <v>-0.49375920000000001</v>
      </c>
      <c r="V2577">
        <v>9.0817410000000001E-2</v>
      </c>
      <c r="W2577">
        <v>-8.3894830000000004E-2</v>
      </c>
      <c r="X2577">
        <v>0.99232750000000003</v>
      </c>
      <c r="Y2577">
        <v>0.1541091</v>
      </c>
      <c r="Z2577">
        <v>-4.4973290000000004E-3</v>
      </c>
      <c r="AA2577">
        <v>0.98804360000000002</v>
      </c>
      <c r="AB2577">
        <v>39</v>
      </c>
      <c r="AC2577">
        <v>23.081299999999999</v>
      </c>
      <c r="AD2577">
        <v>-1.108304084836</v>
      </c>
      <c r="AE2577">
        <v>-3.9077999999999999</v>
      </c>
      <c r="AF2577">
        <v>3.6687511784755702</v>
      </c>
      <c r="AG2577">
        <v>-1.108304084836</v>
      </c>
      <c r="AH2577">
        <v>23.067490858050899</v>
      </c>
      <c r="AI2577">
        <v>92.716634163349397</v>
      </c>
      <c r="AJ2577">
        <v>80.963126056273296</v>
      </c>
      <c r="AK2577">
        <v>23.38369533757</v>
      </c>
      <c r="AL2577">
        <v>94.812476261880093</v>
      </c>
      <c r="AM2577">
        <v>84.770880465876303</v>
      </c>
      <c r="AN2577">
        <v>1.0000000058580401</v>
      </c>
    </row>
    <row r="2578" spans="1:40" x14ac:dyDescent="0.25">
      <c r="A2578" t="str">
        <f>"20190305135636932"</f>
        <v>20190305135636932</v>
      </c>
      <c r="B2578" t="str">
        <f>"1551765396924825"</f>
        <v>1551765396924825</v>
      </c>
      <c r="C2578" t="s">
        <v>40</v>
      </c>
      <c r="D2578">
        <v>4.3130790000000001</v>
      </c>
      <c r="E2578">
        <v>0.52518560000000003</v>
      </c>
      <c r="F2578" t="s">
        <v>54</v>
      </c>
      <c r="G2578">
        <v>-205.2534</v>
      </c>
      <c r="H2578" s="1">
        <v>4.8521519999999901E-6</v>
      </c>
      <c r="I2578">
        <v>211.12180000000001</v>
      </c>
      <c r="J2578">
        <v>-228.05410000000001</v>
      </c>
      <c r="K2578">
        <v>1.1083590000000001</v>
      </c>
      <c r="L2578">
        <v>214.999</v>
      </c>
      <c r="M2578">
        <v>0.99981609999999999</v>
      </c>
      <c r="N2578">
        <v>-1.5782600000000001E-2</v>
      </c>
      <c r="O2578">
        <v>-1.0894030000000001E-2</v>
      </c>
      <c r="P2578">
        <v>0.98987449999999999</v>
      </c>
      <c r="Q2578">
        <v>-9.8781450000000007E-2</v>
      </c>
      <c r="R2578">
        <v>-0.101936</v>
      </c>
      <c r="S2578">
        <v>2.9657290000000001</v>
      </c>
      <c r="T2578">
        <v>-0.14156560000000001</v>
      </c>
      <c r="U2578">
        <v>-0.49589539999999999</v>
      </c>
      <c r="V2578">
        <v>9.0959380000000006E-2</v>
      </c>
      <c r="W2578">
        <v>-8.3332669999999998E-2</v>
      </c>
      <c r="X2578">
        <v>0.99236179999999996</v>
      </c>
      <c r="Y2578">
        <v>0.153940299999999</v>
      </c>
      <c r="Z2578">
        <v>-4.5255800000000004E-3</v>
      </c>
      <c r="AA2578">
        <v>0.9880698</v>
      </c>
      <c r="AB2578">
        <v>39</v>
      </c>
      <c r="AC2578">
        <v>22.800699999999999</v>
      </c>
      <c r="AD2578">
        <v>-1.1083541478479999</v>
      </c>
      <c r="AE2578">
        <v>-3.87720000000001</v>
      </c>
      <c r="AF2578">
        <v>3.62023327212271</v>
      </c>
      <c r="AG2578">
        <v>-1.1083541478479999</v>
      </c>
      <c r="AH2578">
        <v>22.789252980006498</v>
      </c>
      <c r="AI2578">
        <v>92.749955111167196</v>
      </c>
      <c r="AJ2578">
        <v>80.973586609031202</v>
      </c>
      <c r="AK2578">
        <v>23.1016144294802</v>
      </c>
      <c r="AL2578">
        <v>94.780153984323405</v>
      </c>
      <c r="AM2578">
        <v>84.762931498453597</v>
      </c>
      <c r="AN2578">
        <v>0.99999994239927403</v>
      </c>
    </row>
    <row r="2579" spans="1:40" x14ac:dyDescent="0.25">
      <c r="A2579" t="str">
        <f>"20190305135636955"</f>
        <v>20190305135636955</v>
      </c>
      <c r="B2579" t="str">
        <f>"1551765396944345"</f>
        <v>1551765396944345</v>
      </c>
      <c r="C2579" t="s">
        <v>40</v>
      </c>
      <c r="D2579">
        <v>4.2979880000000001</v>
      </c>
      <c r="E2579">
        <v>0.52509729999999999</v>
      </c>
      <c r="F2579" t="s">
        <v>54</v>
      </c>
      <c r="G2579">
        <v>-204.9496</v>
      </c>
      <c r="H2579" s="1">
        <v>4.718154E-6</v>
      </c>
      <c r="I2579">
        <v>211.11340000000001</v>
      </c>
      <c r="J2579">
        <v>-227.6574</v>
      </c>
      <c r="K2579">
        <v>1.108382</v>
      </c>
      <c r="L2579">
        <v>214.99379999999999</v>
      </c>
      <c r="M2579">
        <v>0.99980309999999994</v>
      </c>
      <c r="N2579">
        <v>-1.599244E-2</v>
      </c>
      <c r="O2579">
        <v>-1.1753649999999999E-2</v>
      </c>
      <c r="P2579">
        <v>0.9896739</v>
      </c>
      <c r="Q2579">
        <v>-9.9859600000000007E-2</v>
      </c>
      <c r="R2579">
        <v>-0.1028285</v>
      </c>
      <c r="S2579">
        <v>2.9651179999999999</v>
      </c>
      <c r="T2579">
        <v>-0.14224059999999999</v>
      </c>
      <c r="U2579">
        <v>-0.49865720000000002</v>
      </c>
      <c r="V2579">
        <v>9.1000570000000003E-2</v>
      </c>
      <c r="W2579">
        <v>-8.4203890000000003E-2</v>
      </c>
      <c r="X2579">
        <v>0.99228450000000001</v>
      </c>
      <c r="Y2579">
        <v>0.1540166</v>
      </c>
      <c r="Z2579">
        <v>-4.5347139999999996E-3</v>
      </c>
      <c r="AA2579">
        <v>0.98805790000000004</v>
      </c>
      <c r="AB2579">
        <v>39</v>
      </c>
      <c r="AC2579">
        <v>22.707799999999899</v>
      </c>
      <c r="AD2579">
        <v>-1.108377281846</v>
      </c>
      <c r="AE2579">
        <v>-3.8803999999999799</v>
      </c>
      <c r="AF2579">
        <v>3.6048535035633602</v>
      </c>
      <c r="AG2579">
        <v>-1.108377281846</v>
      </c>
      <c r="AH2579">
        <v>22.699300010849001</v>
      </c>
      <c r="AI2579">
        <v>92.760913873705107</v>
      </c>
      <c r="AJ2579">
        <v>80.976270460788996</v>
      </c>
      <c r="AK2579">
        <v>23.0104691382769</v>
      </c>
      <c r="AL2579">
        <v>94.830247178710593</v>
      </c>
      <c r="AM2579">
        <v>84.760167257938093</v>
      </c>
      <c r="AN2579">
        <v>0.99999996388585199</v>
      </c>
    </row>
    <row r="2580" spans="1:40" x14ac:dyDescent="0.25">
      <c r="A2580" t="str">
        <f>"20190305135636988"</f>
        <v>20190305135636988</v>
      </c>
      <c r="B2580" t="str">
        <f>"1551765396984362"</f>
        <v>1551765396984362</v>
      </c>
      <c r="C2580" t="s">
        <v>40</v>
      </c>
      <c r="D2580">
        <v>4.3295089999999998</v>
      </c>
      <c r="E2580">
        <v>0.52498290000000003</v>
      </c>
      <c r="F2580" t="s">
        <v>54</v>
      </c>
      <c r="G2580">
        <v>-205.43809999999999</v>
      </c>
      <c r="H2580" s="1">
        <v>4.9237510000000003E-6</v>
      </c>
      <c r="I2580">
        <v>211.2398</v>
      </c>
      <c r="J2580">
        <v>-227.0737</v>
      </c>
      <c r="K2580">
        <v>1.108406</v>
      </c>
      <c r="L2580">
        <v>214.9855</v>
      </c>
      <c r="M2580">
        <v>0.99978350000000005</v>
      </c>
      <c r="N2580">
        <v>-1.6227060000000001E-2</v>
      </c>
      <c r="O2580">
        <v>-1.3021939999999999E-2</v>
      </c>
      <c r="P2580">
        <v>0.98945930000000004</v>
      </c>
      <c r="Q2580">
        <v>-0.1000761</v>
      </c>
      <c r="R2580">
        <v>-0.1046668</v>
      </c>
      <c r="S2580">
        <v>2.9643709999999999</v>
      </c>
      <c r="T2580">
        <v>-0.14787330000000001</v>
      </c>
      <c r="U2580">
        <v>-0.50083919999999904</v>
      </c>
      <c r="V2580">
        <v>9.1585639999999996E-2</v>
      </c>
      <c r="W2580">
        <v>-8.4188830000000006E-2</v>
      </c>
      <c r="X2580">
        <v>0.992232</v>
      </c>
      <c r="Y2580">
        <v>0.15349599999999999</v>
      </c>
      <c r="Z2580">
        <v>-4.6198410000000004E-3</v>
      </c>
      <c r="AA2580">
        <v>0.98813839999999997</v>
      </c>
      <c r="AB2580">
        <v>39</v>
      </c>
      <c r="AC2580">
        <v>21.6356</v>
      </c>
      <c r="AD2580">
        <v>-1.108401076249</v>
      </c>
      <c r="AE2580">
        <v>-3.7456999999999998</v>
      </c>
      <c r="AF2580">
        <v>3.4548042619079999</v>
      </c>
      <c r="AG2580">
        <v>-1.108401076249</v>
      </c>
      <c r="AH2580">
        <v>21.627437143290599</v>
      </c>
      <c r="AI2580">
        <v>92.897161018675305</v>
      </c>
      <c r="AJ2580">
        <v>80.924151977801202</v>
      </c>
      <c r="AK2580">
        <v>21.929666272447299</v>
      </c>
      <c r="AL2580">
        <v>94.829380981068098</v>
      </c>
      <c r="AM2580">
        <v>84.726390677486705</v>
      </c>
      <c r="AN2580">
        <v>1.0000000151874799</v>
      </c>
    </row>
    <row r="2581" spans="1:40" x14ac:dyDescent="0.25">
      <c r="A2581" t="str">
        <f>"20190305135637012"</f>
        <v>20190305135637012</v>
      </c>
      <c r="B2581" t="str">
        <f>"1551765397004858"</f>
        <v>1551765397004858</v>
      </c>
      <c r="C2581" t="s">
        <v>40</v>
      </c>
      <c r="D2581">
        <v>4.2906519999999997</v>
      </c>
      <c r="E2581">
        <v>0.52489759999999996</v>
      </c>
      <c r="F2581" t="s">
        <v>54</v>
      </c>
      <c r="G2581">
        <v>-205.39330000000001</v>
      </c>
      <c r="H2581" s="1">
        <v>4.8998680000000003E-6</v>
      </c>
      <c r="I2581">
        <v>211.28579999999999</v>
      </c>
      <c r="J2581">
        <v>-226.66900000000001</v>
      </c>
      <c r="K2581">
        <v>1.108409</v>
      </c>
      <c r="L2581">
        <v>214.9794</v>
      </c>
      <c r="M2581">
        <v>0.99976980000000004</v>
      </c>
      <c r="N2581">
        <v>-1.6344000000000001E-2</v>
      </c>
      <c r="O2581">
        <v>-1.390568E-2</v>
      </c>
      <c r="P2581">
        <v>0.98935879999999998</v>
      </c>
      <c r="Q2581">
        <v>-9.996033E-2</v>
      </c>
      <c r="R2581">
        <v>-0.10572239999999999</v>
      </c>
      <c r="S2581">
        <v>2.9631500000000002</v>
      </c>
      <c r="T2581">
        <v>-0.15149009999999999</v>
      </c>
      <c r="U2581">
        <v>-0.50566099999999903</v>
      </c>
      <c r="V2581">
        <v>9.1768409999999995E-2</v>
      </c>
      <c r="W2581">
        <v>-8.3956279999999994E-2</v>
      </c>
      <c r="X2581">
        <v>0.99223479999999997</v>
      </c>
      <c r="Y2581">
        <v>0.15424079999999901</v>
      </c>
      <c r="Z2581">
        <v>-4.7030960000000004E-3</v>
      </c>
      <c r="AA2581">
        <v>0.98802210000000001</v>
      </c>
      <c r="AB2581">
        <v>39</v>
      </c>
      <c r="AC2581">
        <v>21.275700000000001</v>
      </c>
      <c r="AD2581">
        <v>-1.108404100132</v>
      </c>
      <c r="AE2581">
        <v>-3.6936</v>
      </c>
      <c r="AF2581">
        <v>3.3884226914552702</v>
      </c>
      <c r="AG2581">
        <v>-1.108404100132</v>
      </c>
      <c r="AH2581">
        <v>21.268973658947399</v>
      </c>
      <c r="AI2581">
        <v>92.946108150270504</v>
      </c>
      <c r="AJ2581">
        <v>80.948110307146194</v>
      </c>
      <c r="AK2581">
        <v>21.565695177530301</v>
      </c>
      <c r="AL2581">
        <v>94.816009589938602</v>
      </c>
      <c r="AM2581">
        <v>84.715940905807699</v>
      </c>
      <c r="AN2581">
        <v>0.99999999817820295</v>
      </c>
    </row>
    <row r="2582" spans="1:40" x14ac:dyDescent="0.25">
      <c r="A2582" t="str">
        <f>"20190305135637035"</f>
        <v>20190305135637035</v>
      </c>
      <c r="B2582" t="str">
        <f>"1551765397024378"</f>
        <v>1551765397024378</v>
      </c>
      <c r="C2582" t="s">
        <v>40</v>
      </c>
      <c r="D2582">
        <v>4.9398809999999997</v>
      </c>
      <c r="E2582">
        <v>0.52530679999999996</v>
      </c>
      <c r="F2582" t="s">
        <v>55</v>
      </c>
      <c r="G2582">
        <v>-210.19579999999999</v>
      </c>
      <c r="H2582" s="1">
        <v>-1.3241960000000001E-6</v>
      </c>
      <c r="I2582">
        <v>212.13589999999999</v>
      </c>
      <c r="J2582">
        <v>-226.26730000000001</v>
      </c>
      <c r="K2582">
        <v>1.1084069999999999</v>
      </c>
      <c r="L2582">
        <v>214.97290000000001</v>
      </c>
      <c r="M2582">
        <v>0.99975590000000003</v>
      </c>
      <c r="N2582">
        <v>-1.6423190000000001E-2</v>
      </c>
      <c r="O2582">
        <v>-1.4785029999999999E-2</v>
      </c>
      <c r="P2582">
        <v>0.98918669999999997</v>
      </c>
      <c r="Q2582">
        <v>-9.9895700000000004E-2</v>
      </c>
      <c r="R2582">
        <v>-0.1073808</v>
      </c>
      <c r="S2582">
        <v>2.9575960000000001</v>
      </c>
      <c r="T2582">
        <v>-0.1990027</v>
      </c>
      <c r="U2582">
        <v>-0.51051329999999995</v>
      </c>
      <c r="V2582">
        <v>9.2559210000000003E-2</v>
      </c>
      <c r="W2582">
        <v>-8.3814650000000004E-2</v>
      </c>
      <c r="X2582">
        <v>0.99217330000000004</v>
      </c>
      <c r="Y2582">
        <v>0.15509829999999999</v>
      </c>
      <c r="Z2582">
        <v>-5.713536E-3</v>
      </c>
      <c r="AA2582">
        <v>0.98788260000000006</v>
      </c>
      <c r="AB2582">
        <v>38</v>
      </c>
      <c r="AC2582">
        <v>16.0715</v>
      </c>
      <c r="AD2582">
        <v>-1.1084083241960001</v>
      </c>
      <c r="AE2582">
        <v>-2.83700000000001</v>
      </c>
      <c r="AF2582">
        <v>2.5871064899160001</v>
      </c>
      <c r="AG2582">
        <v>-1.1084083241960001</v>
      </c>
      <c r="AH2582">
        <v>16.037715564705501</v>
      </c>
      <c r="AI2582">
        <v>93.903273175270499</v>
      </c>
      <c r="AJ2582">
        <v>80.836336167250906</v>
      </c>
      <c r="AK2582">
        <v>16.282813317658299</v>
      </c>
      <c r="AL2582">
        <v>94.807866173353702</v>
      </c>
      <c r="AM2582">
        <v>84.670338980930296</v>
      </c>
      <c r="AN2582">
        <v>0.99999998007166802</v>
      </c>
    </row>
    <row r="2583" spans="1:40" x14ac:dyDescent="0.25">
      <c r="A2583" t="str">
        <f>"20190305135637058"</f>
        <v>20190305135637058</v>
      </c>
      <c r="B2583" t="str">
        <f>"1551765397054634"</f>
        <v>1551765397054634</v>
      </c>
      <c r="C2583" t="s">
        <v>40</v>
      </c>
      <c r="D2583">
        <v>4.319337</v>
      </c>
      <c r="E2583">
        <v>0.52571669999999904</v>
      </c>
      <c r="F2583" t="s">
        <v>54</v>
      </c>
      <c r="G2583">
        <v>-209.73929999999999</v>
      </c>
      <c r="H2583" s="1">
        <v>6.7582970000000003E-6</v>
      </c>
      <c r="I2583">
        <v>212.07320000000001</v>
      </c>
      <c r="J2583">
        <v>-225.87639999999999</v>
      </c>
      <c r="K2583">
        <v>1.1083780000000001</v>
      </c>
      <c r="L2583">
        <v>214.96619999999999</v>
      </c>
      <c r="M2583">
        <v>0.99974240000000003</v>
      </c>
      <c r="N2583">
        <v>-1.6449499999999999E-2</v>
      </c>
      <c r="O2583">
        <v>-1.564082E-2</v>
      </c>
      <c r="P2583">
        <v>0.98909340000000001</v>
      </c>
      <c r="Q2583">
        <v>-9.96861E-2</v>
      </c>
      <c r="R2583">
        <v>-0.1084309</v>
      </c>
      <c r="S2583">
        <v>2.956467</v>
      </c>
      <c r="T2583">
        <v>-0.1982671</v>
      </c>
      <c r="U2583">
        <v>-0.51867680000000005</v>
      </c>
      <c r="V2583">
        <v>9.2763769999999995E-2</v>
      </c>
      <c r="W2583">
        <v>-8.35785E-2</v>
      </c>
      <c r="X2583">
        <v>0.99217409999999995</v>
      </c>
      <c r="Y2583">
        <v>0.15696160000000001</v>
      </c>
      <c r="Z2583">
        <v>-5.7358879999999998E-3</v>
      </c>
      <c r="AA2583">
        <v>0.98758800000000002</v>
      </c>
      <c r="AB2583">
        <v>38</v>
      </c>
      <c r="AC2583">
        <v>16.1371</v>
      </c>
      <c r="AD2583">
        <v>-1.1083712417030001</v>
      </c>
      <c r="AE2583">
        <v>-2.89299999999997</v>
      </c>
      <c r="AF2583">
        <v>2.6282017262283599</v>
      </c>
      <c r="AG2583">
        <v>-1.1083712417030001</v>
      </c>
      <c r="AH2583">
        <v>16.106761638101101</v>
      </c>
      <c r="AI2583">
        <v>93.885323452861002</v>
      </c>
      <c r="AJ2583">
        <v>80.732504311046696</v>
      </c>
      <c r="AK2583">
        <v>16.357374532295498</v>
      </c>
      <c r="AL2583">
        <v>94.79428821194</v>
      </c>
      <c r="AM2583">
        <v>84.658632525129093</v>
      </c>
      <c r="AN2583">
        <v>0.99999996369883504</v>
      </c>
    </row>
    <row r="2584" spans="1:40" x14ac:dyDescent="0.25">
      <c r="A2584" t="str">
        <f>"20190305135637082"</f>
        <v>20190305135637082</v>
      </c>
      <c r="B2584" t="str">
        <f>"1551765397075132"</f>
        <v>1551765397075132</v>
      </c>
      <c r="C2584" t="s">
        <v>40</v>
      </c>
      <c r="D2584">
        <v>4.2932370000000004</v>
      </c>
      <c r="E2584">
        <v>0.52603440000000001</v>
      </c>
      <c r="F2584" t="s">
        <v>54</v>
      </c>
      <c r="G2584">
        <v>-208.87350000000001</v>
      </c>
      <c r="H2584" s="1">
        <v>6.3852570000000004E-6</v>
      </c>
      <c r="I2584">
        <v>211.94829999999999</v>
      </c>
      <c r="J2584">
        <v>-225.4477</v>
      </c>
      <c r="K2584">
        <v>1.1083430000000001</v>
      </c>
      <c r="L2584">
        <v>214.95849999999999</v>
      </c>
      <c r="M2584">
        <v>0.99972729999999999</v>
      </c>
      <c r="N2584">
        <v>-1.6445330000000001E-2</v>
      </c>
      <c r="O2584">
        <v>-1.6578200000000001E-2</v>
      </c>
      <c r="P2584">
        <v>0.98886130000000005</v>
      </c>
      <c r="Q2584">
        <v>-0.1000332</v>
      </c>
      <c r="R2584">
        <v>-0.1102118</v>
      </c>
      <c r="S2584">
        <v>2.9561310000000001</v>
      </c>
      <c r="T2584">
        <v>-0.19270109999999999</v>
      </c>
      <c r="U2584">
        <v>-0.52468870000000001</v>
      </c>
      <c r="V2584">
        <v>9.3619569999999999E-2</v>
      </c>
      <c r="W2584">
        <v>-8.393254E-2</v>
      </c>
      <c r="X2584">
        <v>0.9920639</v>
      </c>
      <c r="Y2584">
        <v>0.15802079999999999</v>
      </c>
      <c r="Z2584">
        <v>-5.6160890000000003E-3</v>
      </c>
      <c r="AA2584">
        <v>0.98741979999999996</v>
      </c>
      <c r="AB2584">
        <v>38</v>
      </c>
      <c r="AC2584">
        <v>16.574199999999902</v>
      </c>
      <c r="AD2584">
        <v>-1.108336614743</v>
      </c>
      <c r="AE2584">
        <v>-3.01019999999999</v>
      </c>
      <c r="AF2584">
        <v>2.7231900419235102</v>
      </c>
      <c r="AG2584">
        <v>-1.108336614743</v>
      </c>
      <c r="AH2584">
        <v>16.5501869238099</v>
      </c>
      <c r="AI2584">
        <v>93.780590569669499</v>
      </c>
      <c r="AJ2584">
        <v>80.656199212661804</v>
      </c>
      <c r="AK2584">
        <v>16.809308768330101</v>
      </c>
      <c r="AL2584">
        <v>94.814644376000302</v>
      </c>
      <c r="AM2584">
        <v>84.609048984588895</v>
      </c>
      <c r="AN2584">
        <v>1.0000000384205201</v>
      </c>
    </row>
    <row r="2585" spans="1:40" x14ac:dyDescent="0.25">
      <c r="A2585" t="str">
        <f>"20190305135637103"</f>
        <v>20190305135637103</v>
      </c>
      <c r="B2585" t="str">
        <f>"1551765397094650"</f>
        <v>1551765397094650</v>
      </c>
      <c r="C2585" t="s">
        <v>40</v>
      </c>
      <c r="D2585">
        <v>4.3306069999999997</v>
      </c>
      <c r="E2585">
        <v>0.52616180000000001</v>
      </c>
      <c r="F2585" t="s">
        <v>54</v>
      </c>
      <c r="G2585">
        <v>-208.43170000000001</v>
      </c>
      <c r="H2585" s="1">
        <v>6.1943680000000003E-6</v>
      </c>
      <c r="I2585">
        <v>211.89089999999999</v>
      </c>
      <c r="J2585">
        <v>-225.09960000000001</v>
      </c>
      <c r="K2585">
        <v>1.108322</v>
      </c>
      <c r="L2585">
        <v>214.95189999999999</v>
      </c>
      <c r="M2585">
        <v>0.9997144</v>
      </c>
      <c r="N2585">
        <v>-1.644369E-2</v>
      </c>
      <c r="O2585">
        <v>-1.7339779999999999E-2</v>
      </c>
      <c r="P2585">
        <v>0.98847030000000002</v>
      </c>
      <c r="Q2585">
        <v>-0.1018854</v>
      </c>
      <c r="R2585">
        <v>-0.1120094</v>
      </c>
      <c r="S2585">
        <v>2.954971</v>
      </c>
      <c r="T2585">
        <v>-0.1924719</v>
      </c>
      <c r="U2585">
        <v>-0.53269960000000005</v>
      </c>
      <c r="V2585">
        <v>9.4665899999999997E-2</v>
      </c>
      <c r="W2585">
        <v>-8.5792060000000003E-2</v>
      </c>
      <c r="X2585">
        <v>0.99180550000000001</v>
      </c>
      <c r="Y2585">
        <v>0.1599255</v>
      </c>
      <c r="Z2585">
        <v>-5.6525869999999997E-3</v>
      </c>
      <c r="AA2585">
        <v>0.98711289999999996</v>
      </c>
      <c r="AB2585">
        <v>38</v>
      </c>
      <c r="AC2585">
        <v>16.667899999999999</v>
      </c>
      <c r="AD2585">
        <v>-1.1083158056319999</v>
      </c>
      <c r="AE2585">
        <v>-3.0609999999999999</v>
      </c>
      <c r="AF2585">
        <v>2.7596791517712602</v>
      </c>
      <c r="AG2585">
        <v>-1.1083158056319999</v>
      </c>
      <c r="AH2585">
        <v>16.647273861299599</v>
      </c>
      <c r="AI2585">
        <v>93.757792750043706</v>
      </c>
      <c r="AJ2585">
        <v>80.587468874418704</v>
      </c>
      <c r="AK2585">
        <v>16.910822568959901</v>
      </c>
      <c r="AL2585">
        <v>94.921572801079293</v>
      </c>
      <c r="AM2585">
        <v>84.547746868812297</v>
      </c>
      <c r="AN2585">
        <v>1.0000000300060501</v>
      </c>
    </row>
    <row r="2586" spans="1:40" x14ac:dyDescent="0.25">
      <c r="A2586" t="str">
        <f>"20190305135637126"</f>
        <v>20190305135637126</v>
      </c>
      <c r="B2586" t="str">
        <f>"1551765397115146"</f>
        <v>1551765397115146</v>
      </c>
      <c r="C2586" t="s">
        <v>40</v>
      </c>
      <c r="D2586">
        <v>4.2982379999999996</v>
      </c>
      <c r="E2586">
        <v>0.53232959999999996</v>
      </c>
      <c r="F2586" t="s">
        <v>54</v>
      </c>
      <c r="G2586">
        <v>-208.54939999999999</v>
      </c>
      <c r="H2586" s="1">
        <v>6.2431009999999998E-6</v>
      </c>
      <c r="I2586">
        <v>211.93039999999999</v>
      </c>
      <c r="J2586">
        <v>-224.71440000000001</v>
      </c>
      <c r="K2586">
        <v>1.108317</v>
      </c>
      <c r="L2586">
        <v>214.9444</v>
      </c>
      <c r="M2586">
        <v>0.999699</v>
      </c>
      <c r="N2586">
        <v>-1.6475219999999999E-2</v>
      </c>
      <c r="O2586">
        <v>-1.8184800000000001E-2</v>
      </c>
      <c r="P2586">
        <v>0.9882997</v>
      </c>
      <c r="Q2586">
        <v>-0.10251449999999999</v>
      </c>
      <c r="R2586">
        <v>-0.1129363</v>
      </c>
      <c r="S2586">
        <v>2.9534760000000002</v>
      </c>
      <c r="T2586">
        <v>-0.19778490000000001</v>
      </c>
      <c r="U2586">
        <v>-0.53921509999999995</v>
      </c>
      <c r="V2586">
        <v>9.4759070000000001E-2</v>
      </c>
      <c r="W2586">
        <v>-8.6389530000000006E-2</v>
      </c>
      <c r="X2586">
        <v>0.99174470000000003</v>
      </c>
      <c r="Y2586">
        <v>0.161264299999999</v>
      </c>
      <c r="Z2586">
        <v>-5.781914E-3</v>
      </c>
      <c r="AA2586">
        <v>0.9868943</v>
      </c>
      <c r="AB2586">
        <v>38</v>
      </c>
      <c r="AC2586">
        <v>16.164999999999999</v>
      </c>
      <c r="AD2586">
        <v>-1.108310756899</v>
      </c>
      <c r="AE2586">
        <v>-3.0139999999999998</v>
      </c>
      <c r="AF2586">
        <v>2.70720583356609</v>
      </c>
      <c r="AG2586">
        <v>-1.108310756899</v>
      </c>
      <c r="AH2586">
        <v>16.143803517576099</v>
      </c>
      <c r="AI2586">
        <v>93.873413660611305</v>
      </c>
      <c r="AJ2586">
        <v>80.4804617536238</v>
      </c>
      <c r="AK2586">
        <v>16.406697052522599</v>
      </c>
      <c r="AL2586">
        <v>94.955933072023399</v>
      </c>
      <c r="AM2586">
        <v>84.542080592027801</v>
      </c>
      <c r="AN2586">
        <v>0.99999999110948701</v>
      </c>
    </row>
    <row r="2587" spans="1:40" x14ac:dyDescent="0.25">
      <c r="A2587" t="str">
        <f>"20190305135637153"</f>
        <v>20190305135637153</v>
      </c>
      <c r="B2587" t="str">
        <f>"1551765397144426"</f>
        <v>1551765397144426</v>
      </c>
      <c r="C2587" t="s">
        <v>40</v>
      </c>
      <c r="D2587">
        <v>4.2649150000000002</v>
      </c>
      <c r="E2587">
        <v>0.53453890000000004</v>
      </c>
      <c r="F2587" t="s">
        <v>55</v>
      </c>
      <c r="G2587">
        <v>-210.13130000000001</v>
      </c>
      <c r="H2587" s="1">
        <v>-1.353154E-6</v>
      </c>
      <c r="I2587">
        <v>212.01320000000001</v>
      </c>
      <c r="J2587">
        <v>-224.2704</v>
      </c>
      <c r="K2587">
        <v>1.108357</v>
      </c>
      <c r="L2587">
        <v>214.93530000000001</v>
      </c>
      <c r="M2587">
        <v>0.99967870000000003</v>
      </c>
      <c r="N2587">
        <v>-1.6593940000000001E-2</v>
      </c>
      <c r="O2587">
        <v>-1.916122E-2</v>
      </c>
      <c r="P2587">
        <v>0.98806240000000001</v>
      </c>
      <c r="Q2587">
        <v>-0.1034559</v>
      </c>
      <c r="R2587">
        <v>-0.1141476</v>
      </c>
      <c r="S2587">
        <v>2.9446720000000002</v>
      </c>
      <c r="T2587">
        <v>-0.22379569999999999</v>
      </c>
      <c r="U2587">
        <v>-0.59187319999999999</v>
      </c>
      <c r="V2587">
        <v>9.500749E-2</v>
      </c>
      <c r="W2587">
        <v>-8.7213349999999995E-2</v>
      </c>
      <c r="X2587">
        <v>0.99164890000000006</v>
      </c>
      <c r="Y2587">
        <v>0.1776616</v>
      </c>
      <c r="Z2587">
        <v>-7.0418149999999999E-3</v>
      </c>
      <c r="AA2587">
        <v>0.98406640000000001</v>
      </c>
      <c r="AB2587">
        <v>38</v>
      </c>
      <c r="AC2587">
        <v>14.1390999999999</v>
      </c>
      <c r="AD2587">
        <v>-1.108358353154</v>
      </c>
      <c r="AE2587">
        <v>-2.9220999999999999</v>
      </c>
      <c r="AF2587">
        <v>2.63507458978982</v>
      </c>
      <c r="AG2587">
        <v>-1.108358353154</v>
      </c>
      <c r="AH2587">
        <v>14.1093526414806</v>
      </c>
      <c r="AI2587">
        <v>94.415601109522399</v>
      </c>
      <c r="AJ2587">
        <v>79.421262464779602</v>
      </c>
      <c r="AK2587">
        <v>14.396037937377701</v>
      </c>
      <c r="AL2587">
        <v>95.003312936589694</v>
      </c>
      <c r="AM2587">
        <v>84.527333435009993</v>
      </c>
      <c r="AN2587">
        <v>1.0000000662227599</v>
      </c>
    </row>
    <row r="2588" spans="1:40" x14ac:dyDescent="0.25">
      <c r="A2588" t="str">
        <f>"20190305135637189"</f>
        <v>20190305135637189</v>
      </c>
      <c r="B2588" t="str">
        <f>"1551765397184441"</f>
        <v>1551765397184441</v>
      </c>
      <c r="C2588" t="s">
        <v>40</v>
      </c>
      <c r="D2588">
        <v>4.2825170000000004</v>
      </c>
      <c r="E2588">
        <v>0.5347248</v>
      </c>
      <c r="F2588" t="s">
        <v>55</v>
      </c>
      <c r="G2588">
        <v>-210.8561</v>
      </c>
      <c r="H2588" s="1">
        <v>-9.7274849999999998E-7</v>
      </c>
      <c r="I2588">
        <v>212.13499999999999</v>
      </c>
      <c r="J2588">
        <v>-223.65170000000001</v>
      </c>
      <c r="K2588">
        <v>1.1084830000000001</v>
      </c>
      <c r="L2588">
        <v>214.92189999999999</v>
      </c>
      <c r="M2588">
        <v>0.9996469</v>
      </c>
      <c r="N2588">
        <v>-1.6890860000000001E-2</v>
      </c>
      <c r="O2588">
        <v>-2.0520879999999998E-2</v>
      </c>
      <c r="P2588">
        <v>0.98783270000000001</v>
      </c>
      <c r="Q2588">
        <v>-0.10273210000000001</v>
      </c>
      <c r="R2588">
        <v>-0.11676110000000001</v>
      </c>
      <c r="S2588">
        <v>2.9399259999999998</v>
      </c>
      <c r="T2588">
        <v>-0.24291109999999999</v>
      </c>
      <c r="U2588">
        <v>-0.61372380000000004</v>
      </c>
      <c r="V2588">
        <v>9.6282339999999994E-2</v>
      </c>
      <c r="W2588">
        <v>-8.619665E-2</v>
      </c>
      <c r="X2588">
        <v>0.99161480000000002</v>
      </c>
      <c r="Y2588">
        <v>0.18353230000000001</v>
      </c>
      <c r="Z2588">
        <v>-7.7276580000000001E-3</v>
      </c>
      <c r="AA2588">
        <v>0.9829833</v>
      </c>
      <c r="AB2588">
        <v>38</v>
      </c>
      <c r="AC2588">
        <v>12.7956</v>
      </c>
      <c r="AD2588">
        <v>-1.1084839727485001</v>
      </c>
      <c r="AE2588">
        <v>-2.7869000000000002</v>
      </c>
      <c r="AF2588">
        <v>2.50574520237131</v>
      </c>
      <c r="AG2588">
        <v>-1.1084839727485001</v>
      </c>
      <c r="AH2588">
        <v>12.758688009651101</v>
      </c>
      <c r="AI2588">
        <v>94.872805530644897</v>
      </c>
      <c r="AJ2588">
        <v>78.8887999694293</v>
      </c>
      <c r="AK2588">
        <v>13.049582961331</v>
      </c>
      <c r="AL2588">
        <v>94.944840283981705</v>
      </c>
      <c r="AM2588">
        <v>84.454164179497994</v>
      </c>
      <c r="AN2588">
        <v>1.0000000315230599</v>
      </c>
    </row>
    <row r="2589" spans="1:40" x14ac:dyDescent="0.25">
      <c r="A2589" t="str">
        <f>"20190305135637214"</f>
        <v>20190305135637214</v>
      </c>
      <c r="B2589" t="str">
        <f>"1551765397204938"</f>
        <v>1551765397204938</v>
      </c>
      <c r="C2589" t="s">
        <v>40</v>
      </c>
      <c r="D2589">
        <v>4.3115569999999996</v>
      </c>
      <c r="E2589">
        <v>0.53530310000000003</v>
      </c>
      <c r="F2589" t="s">
        <v>55</v>
      </c>
      <c r="G2589">
        <v>-210.5436</v>
      </c>
      <c r="H2589" s="1">
        <v>-1.139292E-6</v>
      </c>
      <c r="I2589">
        <v>212.14019999999999</v>
      </c>
      <c r="J2589">
        <v>-223.23390000000001</v>
      </c>
      <c r="K2589">
        <v>1.108571</v>
      </c>
      <c r="L2589">
        <v>214.91229999999999</v>
      </c>
      <c r="M2589">
        <v>0.99962340000000005</v>
      </c>
      <c r="N2589">
        <v>-1.714212E-2</v>
      </c>
      <c r="O2589">
        <v>-2.14326E-2</v>
      </c>
      <c r="P2589">
        <v>0.98797009999999996</v>
      </c>
      <c r="Q2589">
        <v>-9.9534590000000006E-2</v>
      </c>
      <c r="R2589">
        <v>-0.11835660000000001</v>
      </c>
      <c r="S2589">
        <v>2.9374539999999998</v>
      </c>
      <c r="T2589">
        <v>-0.2484046</v>
      </c>
      <c r="U2589">
        <v>-0.62336729999999996</v>
      </c>
      <c r="V2589">
        <v>9.6978700000000001E-2</v>
      </c>
      <c r="W2589">
        <v>-8.2747360000000006E-2</v>
      </c>
      <c r="X2589">
        <v>0.99184070000000002</v>
      </c>
      <c r="Y2589">
        <v>0.18585260000000001</v>
      </c>
      <c r="Z2589">
        <v>-7.9470830000000006E-3</v>
      </c>
      <c r="AA2589">
        <v>0.98254549999999996</v>
      </c>
      <c r="AB2589">
        <v>38</v>
      </c>
      <c r="AC2589">
        <v>12.690300000000001</v>
      </c>
      <c r="AD2589">
        <v>-1.1085721392919901</v>
      </c>
      <c r="AE2589">
        <v>-2.7720999999999898</v>
      </c>
      <c r="AF2589">
        <v>2.4813639610847198</v>
      </c>
      <c r="AG2589">
        <v>-1.1085721392919901</v>
      </c>
      <c r="AH2589">
        <v>12.6546361218267</v>
      </c>
      <c r="AI2589">
        <v>94.913353464447695</v>
      </c>
      <c r="AJ2589">
        <v>78.906003350513402</v>
      </c>
      <c r="AK2589">
        <v>12.943180237917799</v>
      </c>
      <c r="AL2589">
        <v>94.746501764332905</v>
      </c>
      <c r="AM2589">
        <v>84.415570939276407</v>
      </c>
      <c r="AN2589">
        <v>0.99999998400857404</v>
      </c>
    </row>
    <row r="2590" spans="1:40" x14ac:dyDescent="0.25">
      <c r="A2590" t="str">
        <f>"20190305135637234"</f>
        <v>20190305135637234</v>
      </c>
      <c r="B2590" t="str">
        <f>"1551765397224458"</f>
        <v>1551765397224458</v>
      </c>
      <c r="C2590" t="s">
        <v>40</v>
      </c>
      <c r="D2590">
        <v>4.2652289999999997</v>
      </c>
      <c r="E2590">
        <v>0.53544480000000005</v>
      </c>
      <c r="F2590" t="s">
        <v>54</v>
      </c>
      <c r="G2590">
        <v>-209.54519999999999</v>
      </c>
      <c r="H2590" s="1">
        <v>6.6817940000000004E-6</v>
      </c>
      <c r="I2590">
        <v>211.96360000000001</v>
      </c>
      <c r="J2590">
        <v>-222.9008</v>
      </c>
      <c r="K2590">
        <v>1.108625</v>
      </c>
      <c r="L2590">
        <v>214.90450000000001</v>
      </c>
      <c r="M2590">
        <v>0.9996041</v>
      </c>
      <c r="N2590">
        <v>-1.7341800000000001E-2</v>
      </c>
      <c r="O2590">
        <v>-2.2156990000000001E-2</v>
      </c>
      <c r="P2590">
        <v>0.98827509999999996</v>
      </c>
      <c r="Q2590">
        <v>-9.4552269999999994E-2</v>
      </c>
      <c r="R2590">
        <v>-0.1198858</v>
      </c>
      <c r="S2590">
        <v>2.9367830000000001</v>
      </c>
      <c r="T2590">
        <v>-0.23783199999999999</v>
      </c>
      <c r="U2590">
        <v>-0.63262940000000001</v>
      </c>
      <c r="V2590">
        <v>9.7793809999999995E-2</v>
      </c>
      <c r="W2590">
        <v>-7.7562469999999994E-2</v>
      </c>
      <c r="X2590">
        <v>0.99217960000000005</v>
      </c>
      <c r="Y2590">
        <v>0.18819340000000001</v>
      </c>
      <c r="Z2590">
        <v>-7.7851989999999996E-3</v>
      </c>
      <c r="AA2590">
        <v>0.98210109999999995</v>
      </c>
      <c r="AB2590">
        <v>38</v>
      </c>
      <c r="AC2590">
        <v>13.355600000000001</v>
      </c>
      <c r="AD2590">
        <v>-1.1086183182060001</v>
      </c>
      <c r="AE2590">
        <v>-2.9408999999999899</v>
      </c>
      <c r="AF2590">
        <v>2.6269500305219902</v>
      </c>
      <c r="AG2590">
        <v>-1.1086183182060001</v>
      </c>
      <c r="AH2590">
        <v>13.3298922838619</v>
      </c>
      <c r="AI2590">
        <v>94.664908537969694</v>
      </c>
      <c r="AJ2590">
        <v>78.851461436545605</v>
      </c>
      <c r="AK2590">
        <v>13.631431668672301</v>
      </c>
      <c r="AL2590">
        <v>94.448470259481098</v>
      </c>
      <c r="AM2590">
        <v>84.370845056069896</v>
      </c>
      <c r="AN2590">
        <v>0.99999996234148703</v>
      </c>
    </row>
    <row r="2591" spans="1:40" x14ac:dyDescent="0.25">
      <c r="A2591" t="str">
        <f>"20190305135637257"</f>
        <v>20190305135637257</v>
      </c>
      <c r="B2591" t="str">
        <f>"1551765397254716"</f>
        <v>1551765397254716</v>
      </c>
      <c r="C2591" t="s">
        <v>40</v>
      </c>
      <c r="D2591">
        <v>4.3027170000000003</v>
      </c>
      <c r="E2591">
        <v>0.53548709999999999</v>
      </c>
      <c r="F2591" t="s">
        <v>54</v>
      </c>
      <c r="G2591">
        <v>-208.5094</v>
      </c>
      <c r="H2591" s="1">
        <v>6.23885599999999E-6</v>
      </c>
      <c r="I2591">
        <v>211.77590000000001</v>
      </c>
      <c r="J2591">
        <v>-222.50880000000001</v>
      </c>
      <c r="K2591">
        <v>1.108663</v>
      </c>
      <c r="L2591">
        <v>214.8948</v>
      </c>
      <c r="M2591">
        <v>0.99958100000000005</v>
      </c>
      <c r="N2591">
        <v>-1.756721E-2</v>
      </c>
      <c r="O2591">
        <v>-2.3008919999999999E-2</v>
      </c>
      <c r="P2591">
        <v>0.98834100000000003</v>
      </c>
      <c r="Q2591">
        <v>-9.1577660000000005E-2</v>
      </c>
      <c r="R2591">
        <v>-0.1216383</v>
      </c>
      <c r="S2591">
        <v>2.936493</v>
      </c>
      <c r="T2591">
        <v>-0.22620789999999999</v>
      </c>
      <c r="U2591">
        <v>-0.63836669999999995</v>
      </c>
      <c r="V2591">
        <v>9.8706630000000004E-2</v>
      </c>
      <c r="W2591">
        <v>-7.4363170000000006E-2</v>
      </c>
      <c r="X2591">
        <v>0.99233419999999894</v>
      </c>
      <c r="Y2591">
        <v>0.1892625</v>
      </c>
      <c r="Z2591">
        <v>-7.5310659999999899E-3</v>
      </c>
      <c r="AA2591">
        <v>0.98189769999999998</v>
      </c>
      <c r="AB2591">
        <v>37</v>
      </c>
      <c r="AC2591">
        <v>13.9994</v>
      </c>
      <c r="AD2591">
        <v>-1.1086567611439999</v>
      </c>
      <c r="AE2591">
        <v>-3.1188999999999898</v>
      </c>
      <c r="AF2591">
        <v>2.7793069548006502</v>
      </c>
      <c r="AG2591">
        <v>-1.1086567611439999</v>
      </c>
      <c r="AH2591">
        <v>13.983912489474999</v>
      </c>
      <c r="AI2591">
        <v>94.446367909539006</v>
      </c>
      <c r="AJ2591">
        <v>78.758932034471698</v>
      </c>
      <c r="AK2591">
        <v>14.300471162739001</v>
      </c>
      <c r="AL2591">
        <v>94.264632358355996</v>
      </c>
      <c r="AM2591">
        <v>84.319523300789797</v>
      </c>
      <c r="AN2591">
        <v>1.00000002217402</v>
      </c>
    </row>
    <row r="2592" spans="1:40" x14ac:dyDescent="0.25">
      <c r="A2592" t="str">
        <f>"20190305135637280"</f>
        <v>20190305135637280</v>
      </c>
      <c r="B2592" t="str">
        <f>"1551765397275211"</f>
        <v>1551765397275211</v>
      </c>
      <c r="C2592" t="s">
        <v>40</v>
      </c>
      <c r="D2592">
        <v>4.3278379999999999</v>
      </c>
      <c r="E2592">
        <v>0.53588760000000002</v>
      </c>
      <c r="F2592" t="s">
        <v>54</v>
      </c>
      <c r="G2592">
        <v>-207.80080000000001</v>
      </c>
      <c r="H2592" s="1">
        <v>5.9342340000000004E-6</v>
      </c>
      <c r="I2592">
        <v>211.66640000000001</v>
      </c>
      <c r="J2592">
        <v>-222.1369</v>
      </c>
      <c r="K2592">
        <v>1.1086849999999999</v>
      </c>
      <c r="L2592">
        <v>214.8854</v>
      </c>
      <c r="M2592">
        <v>0.99955830000000001</v>
      </c>
      <c r="N2592">
        <v>-1.7768340000000001E-2</v>
      </c>
      <c r="O2592">
        <v>-2.3819690000000001E-2</v>
      </c>
      <c r="P2592">
        <v>0.98807389999999995</v>
      </c>
      <c r="Q2592">
        <v>-9.1876970000000002E-2</v>
      </c>
      <c r="R2592">
        <v>-0.1235652</v>
      </c>
      <c r="S2592">
        <v>2.9355769999999999</v>
      </c>
      <c r="T2592">
        <v>-0.22127839999999999</v>
      </c>
      <c r="U2592">
        <v>-0.64437869999999997</v>
      </c>
      <c r="V2592">
        <v>9.9835770000000004E-2</v>
      </c>
      <c r="W2592">
        <v>-7.446701E-2</v>
      </c>
      <c r="X2592">
        <v>0.99221340000000002</v>
      </c>
      <c r="Y2592">
        <v>0.1904679</v>
      </c>
      <c r="Z2592">
        <v>-7.4469499999999999E-3</v>
      </c>
      <c r="AA2592">
        <v>0.98166520000000002</v>
      </c>
      <c r="AB2592">
        <v>37</v>
      </c>
      <c r="AC2592">
        <v>14.336099999999901</v>
      </c>
      <c r="AD2592">
        <v>-1.1086790657659999</v>
      </c>
      <c r="AE2592">
        <v>-3.2189999999999901</v>
      </c>
      <c r="AF2592">
        <v>2.8602657526706499</v>
      </c>
      <c r="AG2592">
        <v>-1.1086790657659999</v>
      </c>
      <c r="AH2592">
        <v>14.327145649711699</v>
      </c>
      <c r="AI2592">
        <v>94.339609328841405</v>
      </c>
      <c r="AJ2592">
        <v>78.709923608029897</v>
      </c>
      <c r="AK2592">
        <v>14.651873324419</v>
      </c>
      <c r="AL2592">
        <v>94.270598700734396</v>
      </c>
      <c r="AM2592">
        <v>84.254279794465404</v>
      </c>
      <c r="AN2592">
        <v>0.99999997384469597</v>
      </c>
    </row>
    <row r="2593" spans="1:40" x14ac:dyDescent="0.25">
      <c r="A2593" t="str">
        <f>"20190305135637302"</f>
        <v>20190305135637302</v>
      </c>
      <c r="B2593" t="str">
        <f>"1551765397294730"</f>
        <v>1551765397294730</v>
      </c>
      <c r="C2593" t="s">
        <v>40</v>
      </c>
      <c r="D2593">
        <v>4.3238940000000001</v>
      </c>
      <c r="E2593">
        <v>0.53615089999999999</v>
      </c>
      <c r="F2593" t="s">
        <v>54</v>
      </c>
      <c r="G2593">
        <v>-207.72800000000001</v>
      </c>
      <c r="H2593" s="1">
        <v>5.9009749999999999E-6</v>
      </c>
      <c r="I2593">
        <v>211.67699999999999</v>
      </c>
      <c r="J2593">
        <v>-221.75899999999999</v>
      </c>
      <c r="K2593">
        <v>1.1086959999999999</v>
      </c>
      <c r="L2593">
        <v>214.87549999999999</v>
      </c>
      <c r="M2593">
        <v>0.9995347</v>
      </c>
      <c r="N2593">
        <v>-1.79692999999999E-2</v>
      </c>
      <c r="O2593">
        <v>-2.4647570000000001E-2</v>
      </c>
      <c r="P2593">
        <v>0.98753749999999996</v>
      </c>
      <c r="Q2593">
        <v>-9.4423930000000003E-2</v>
      </c>
      <c r="R2593">
        <v>-0.1259122</v>
      </c>
      <c r="S2593">
        <v>2.9335170000000002</v>
      </c>
      <c r="T2593">
        <v>-0.22571640000000001</v>
      </c>
      <c r="U2593">
        <v>-0.65319819999999995</v>
      </c>
      <c r="V2593">
        <v>0.10137060000000001</v>
      </c>
      <c r="W2593">
        <v>-7.6823100000000005E-2</v>
      </c>
      <c r="X2593">
        <v>0.99187809999999998</v>
      </c>
      <c r="Y2593">
        <v>0.192583</v>
      </c>
      <c r="Z2593">
        <v>-7.6313730000000003E-3</v>
      </c>
      <c r="AA2593">
        <v>0.98125099999999998</v>
      </c>
      <c r="AB2593">
        <v>37</v>
      </c>
      <c r="AC2593">
        <v>14.031000000000001</v>
      </c>
      <c r="AD2593">
        <v>-1.1086900990249999</v>
      </c>
      <c r="AE2593">
        <v>-3.1984999999999602</v>
      </c>
      <c r="AF2593">
        <v>2.8348166460708399</v>
      </c>
      <c r="AG2593">
        <v>-1.1086900990249999</v>
      </c>
      <c r="AH2593">
        <v>14.0223573366537</v>
      </c>
      <c r="AI2593">
        <v>94.431454210076794</v>
      </c>
      <c r="AJ2593">
        <v>78.570894865172704</v>
      </c>
      <c r="AK2593">
        <v>14.3489332157246</v>
      </c>
      <c r="AL2593">
        <v>94.4059806340113</v>
      </c>
      <c r="AM2593">
        <v>84.164593923806393</v>
      </c>
      <c r="AN2593">
        <v>0.999999976248789</v>
      </c>
    </row>
    <row r="2594" spans="1:40" x14ac:dyDescent="0.25">
      <c r="A2594" t="str">
        <f>"20190305135637324"</f>
        <v>20190305135637324</v>
      </c>
      <c r="B2594" t="str">
        <f>"1551765397315226"</f>
        <v>1551765397315226</v>
      </c>
      <c r="C2594" t="s">
        <v>40</v>
      </c>
      <c r="D2594">
        <v>4.3307949999999904</v>
      </c>
      <c r="E2594">
        <v>0.53637299999999999</v>
      </c>
      <c r="F2594" t="s">
        <v>54</v>
      </c>
      <c r="G2594">
        <v>-208.02289999999999</v>
      </c>
      <c r="H2594" s="1">
        <v>6.0235309999999998E-6</v>
      </c>
      <c r="I2594">
        <v>211.77119999999999</v>
      </c>
      <c r="J2594">
        <v>-221.41220000000001</v>
      </c>
      <c r="K2594">
        <v>1.108706</v>
      </c>
      <c r="L2594">
        <v>214.86619999999999</v>
      </c>
      <c r="M2594">
        <v>0.99951159999999994</v>
      </c>
      <c r="N2594">
        <v>-1.8195739999999998E-2</v>
      </c>
      <c r="O2594">
        <v>-2.5408449999999999E-2</v>
      </c>
      <c r="P2594">
        <v>0.98675259999999998</v>
      </c>
      <c r="Q2594">
        <v>-9.9154900000000004E-2</v>
      </c>
      <c r="R2594">
        <v>-0.12840460000000001</v>
      </c>
      <c r="S2594">
        <v>2.9308169999999998</v>
      </c>
      <c r="T2594">
        <v>-0.23655580000000001</v>
      </c>
      <c r="U2594">
        <v>-0.66235350000000004</v>
      </c>
      <c r="V2594">
        <v>0.1031203</v>
      </c>
      <c r="W2594">
        <v>-8.1342209999999998E-2</v>
      </c>
      <c r="X2594">
        <v>0.99133729999999998</v>
      </c>
      <c r="Y2594">
        <v>0.1948812</v>
      </c>
      <c r="Z2594">
        <v>-7.9892130000000002E-3</v>
      </c>
      <c r="AA2594">
        <v>0.98079430000000001</v>
      </c>
      <c r="AB2594">
        <v>37</v>
      </c>
      <c r="AC2594">
        <v>13.3893</v>
      </c>
      <c r="AD2594">
        <v>-1.108699976469</v>
      </c>
      <c r="AE2594">
        <v>-3.09499999999999</v>
      </c>
      <c r="AF2594">
        <v>2.7359349406021098</v>
      </c>
      <c r="AG2594">
        <v>-1.108699976469</v>
      </c>
      <c r="AH2594">
        <v>13.3765617408711</v>
      </c>
      <c r="AI2594">
        <v>94.642385508331301</v>
      </c>
      <c r="AJ2594">
        <v>78.440609078457001</v>
      </c>
      <c r="AK2594">
        <v>13.6984290940373</v>
      </c>
      <c r="AL2594">
        <v>94.6657201881562</v>
      </c>
      <c r="AM2594">
        <v>84.061370539961104</v>
      </c>
      <c r="AN2594">
        <v>0.99999999688553198</v>
      </c>
    </row>
    <row r="2595" spans="1:40" x14ac:dyDescent="0.25">
      <c r="A2595" t="str">
        <f>"20190305135637352"</f>
        <v>20190305135637352</v>
      </c>
      <c r="B2595" t="str">
        <f>"1551765397344506"</f>
        <v>1551765397344506</v>
      </c>
      <c r="C2595" t="s">
        <v>40</v>
      </c>
      <c r="D2595">
        <v>4.3342510000000001</v>
      </c>
      <c r="E2595">
        <v>0.53682390000000002</v>
      </c>
      <c r="F2595" t="s">
        <v>54</v>
      </c>
      <c r="G2595">
        <v>-208.6532</v>
      </c>
      <c r="H2595" s="1">
        <v>6.2884849999999998E-6</v>
      </c>
      <c r="I2595">
        <v>211.93799999999999</v>
      </c>
      <c r="J2595">
        <v>-220.95769999999999</v>
      </c>
      <c r="K2595">
        <v>1.1087629999999999</v>
      </c>
      <c r="L2595">
        <v>214.8535</v>
      </c>
      <c r="M2595">
        <v>0.99947859999999999</v>
      </c>
      <c r="N2595">
        <v>-1.8581159999999999E-2</v>
      </c>
      <c r="O2595">
        <v>-2.6404830000000001E-2</v>
      </c>
      <c r="P2595">
        <v>0.98596050000000002</v>
      </c>
      <c r="Q2595">
        <v>-0.10258249999999999</v>
      </c>
      <c r="R2595">
        <v>-0.131752799999999</v>
      </c>
      <c r="S2595">
        <v>2.9273069999999999</v>
      </c>
      <c r="T2595">
        <v>-0.25437029999999999</v>
      </c>
      <c r="U2595">
        <v>-0.67181400000000002</v>
      </c>
      <c r="V2595">
        <v>0.1054972</v>
      </c>
      <c r="W2595">
        <v>-8.4400219999999998E-2</v>
      </c>
      <c r="X2595">
        <v>0.99083140000000003</v>
      </c>
      <c r="Y2595">
        <v>0.1970616</v>
      </c>
      <c r="Z2595">
        <v>-8.5202899999999998E-3</v>
      </c>
      <c r="AA2595">
        <v>0.98035410000000001</v>
      </c>
      <c r="AB2595">
        <v>37</v>
      </c>
      <c r="AC2595">
        <v>12.3044999999999</v>
      </c>
      <c r="AD2595">
        <v>-1.1087567115150001</v>
      </c>
      <c r="AE2595">
        <v>-2.9155000000000002</v>
      </c>
      <c r="AF2595">
        <v>2.5697719785384701</v>
      </c>
      <c r="AG2595">
        <v>-1.1087567115150001</v>
      </c>
      <c r="AH2595">
        <v>12.282773130595899</v>
      </c>
      <c r="AI2595">
        <v>95.049324670882299</v>
      </c>
      <c r="AJ2595">
        <v>78.1831639289083</v>
      </c>
      <c r="AK2595">
        <v>12.597602360953401</v>
      </c>
      <c r="AL2595">
        <v>94.841536265735996</v>
      </c>
      <c r="AM2595">
        <v>83.9224201732479</v>
      </c>
      <c r="AN2595">
        <v>0.99999995978492295</v>
      </c>
    </row>
    <row r="2596" spans="1:40" x14ac:dyDescent="0.25">
      <c r="A2596" t="str">
        <f>"20190305135637377"</f>
        <v>20190305135637377</v>
      </c>
      <c r="B2596" t="str">
        <f>"1551765397374761"</f>
        <v>1551765397374761</v>
      </c>
      <c r="C2596" t="s">
        <v>40</v>
      </c>
      <c r="D2596">
        <v>4.3365790000000004</v>
      </c>
      <c r="E2596">
        <v>0.53717389999999998</v>
      </c>
      <c r="F2596" t="s">
        <v>54</v>
      </c>
      <c r="G2596">
        <v>-208.86199999999999</v>
      </c>
      <c r="H2596" s="1">
        <v>6.3740850000000003E-6</v>
      </c>
      <c r="I2596">
        <v>212.01779999999999</v>
      </c>
      <c r="J2596">
        <v>-220.53370000000001</v>
      </c>
      <c r="K2596">
        <v>1.108843</v>
      </c>
      <c r="L2596">
        <v>214.84129999999999</v>
      </c>
      <c r="M2596">
        <v>0.9994459</v>
      </c>
      <c r="N2596">
        <v>-1.8995680000000001E-2</v>
      </c>
      <c r="O2596">
        <v>-2.733327E-2</v>
      </c>
      <c r="P2596">
        <v>0.98542980000000002</v>
      </c>
      <c r="Q2596">
        <v>-0.1033169</v>
      </c>
      <c r="R2596">
        <v>-0.13510539999999999</v>
      </c>
      <c r="S2596">
        <v>2.9232939999999998</v>
      </c>
      <c r="T2596">
        <v>-0.2679646</v>
      </c>
      <c r="U2596">
        <v>-0.68533330000000003</v>
      </c>
      <c r="V2596">
        <v>0.10794479999999999</v>
      </c>
      <c r="W2596">
        <v>-8.4733459999999997E-2</v>
      </c>
      <c r="X2596">
        <v>0.99053930000000001</v>
      </c>
      <c r="Y2596">
        <v>0.20064689999999999</v>
      </c>
      <c r="Z2596">
        <v>-9.0380400000000007E-3</v>
      </c>
      <c r="AA2596">
        <v>0.97962190000000005</v>
      </c>
      <c r="AB2596">
        <v>37</v>
      </c>
      <c r="AC2596">
        <v>11.6717</v>
      </c>
      <c r="AD2596">
        <v>-1.108836625915</v>
      </c>
      <c r="AE2596">
        <v>-2.8234999999999899</v>
      </c>
      <c r="AF2596">
        <v>2.48219709938527</v>
      </c>
      <c r="AG2596">
        <v>-1.108836625915</v>
      </c>
      <c r="AH2596">
        <v>11.645234641109701</v>
      </c>
      <c r="AI2596">
        <v>95.320383951283603</v>
      </c>
      <c r="AJ2596">
        <v>77.967400036182397</v>
      </c>
      <c r="AK2596">
        <v>11.9583573683708</v>
      </c>
      <c r="AL2596">
        <v>94.860698094354305</v>
      </c>
      <c r="AM2596">
        <v>83.780689438582499</v>
      </c>
      <c r="AN2596">
        <v>0.99999997196754997</v>
      </c>
    </row>
    <row r="2597" spans="1:40" x14ac:dyDescent="0.25">
      <c r="A2597" t="str">
        <f>"20190305135637400"</f>
        <v>20190305135637400</v>
      </c>
      <c r="B2597" t="str">
        <f>"1551765397395258"</f>
        <v>1551765397395258</v>
      </c>
      <c r="C2597" t="s">
        <v>40</v>
      </c>
      <c r="D2597">
        <v>4.3334539999999997</v>
      </c>
      <c r="E2597">
        <v>0.53737209999999902</v>
      </c>
      <c r="F2597" t="s">
        <v>54</v>
      </c>
      <c r="G2597">
        <v>-208.6302</v>
      </c>
      <c r="H2597" s="1">
        <v>6.273188E-6</v>
      </c>
      <c r="I2597">
        <v>211.99600000000001</v>
      </c>
      <c r="J2597">
        <v>-220.17959999999999</v>
      </c>
      <c r="K2597">
        <v>1.108908</v>
      </c>
      <c r="L2597">
        <v>214.83070000000001</v>
      </c>
      <c r="M2597">
        <v>0.99941780000000002</v>
      </c>
      <c r="N2597">
        <v>-1.933812E-2</v>
      </c>
      <c r="O2597">
        <v>-2.810787E-2</v>
      </c>
      <c r="P2597">
        <v>0.98512169999999999</v>
      </c>
      <c r="Q2597">
        <v>-0.102609199999999</v>
      </c>
      <c r="R2597">
        <v>-0.137864299999999</v>
      </c>
      <c r="S2597">
        <v>2.9201199999999998</v>
      </c>
      <c r="T2597">
        <v>-0.27201579999999997</v>
      </c>
      <c r="U2597">
        <v>-0.69799800000000001</v>
      </c>
      <c r="V2597">
        <v>0.109947</v>
      </c>
      <c r="W2597">
        <v>-8.3693299999999998E-2</v>
      </c>
      <c r="X2597">
        <v>0.9904075</v>
      </c>
      <c r="Y2597">
        <v>0.2041019</v>
      </c>
      <c r="Z2597">
        <v>-9.3222849999999996E-3</v>
      </c>
      <c r="AA2597">
        <v>0.97890529999999998</v>
      </c>
      <c r="AB2597">
        <v>36</v>
      </c>
      <c r="AC2597">
        <v>11.549399999999901</v>
      </c>
      <c r="AD2597">
        <v>-1.1089017268120001</v>
      </c>
      <c r="AE2597">
        <v>-2.8347000000000202</v>
      </c>
      <c r="AF2597">
        <v>2.48726341860755</v>
      </c>
      <c r="AG2597">
        <v>-1.1089017268120001</v>
      </c>
      <c r="AH2597">
        <v>11.5243249885099</v>
      </c>
      <c r="AI2597">
        <v>95.373260279033204</v>
      </c>
      <c r="AJ2597">
        <v>77.8208235430629</v>
      </c>
      <c r="AK2597">
        <v>11.841714774223499</v>
      </c>
      <c r="AL2597">
        <v>94.800888894113299</v>
      </c>
      <c r="AM2597">
        <v>83.665424420075098</v>
      </c>
      <c r="AN2597">
        <v>0.99999996366506905</v>
      </c>
    </row>
    <row r="2598" spans="1:40" x14ac:dyDescent="0.25">
      <c r="A2598" t="str">
        <f>"20190305135637423"</f>
        <v>20190305135637423</v>
      </c>
      <c r="B2598" t="str">
        <f>"1551765397414781"</f>
        <v>1551765397414781</v>
      </c>
      <c r="C2598" t="s">
        <v>40</v>
      </c>
      <c r="D2598">
        <v>4.3635489999999999</v>
      </c>
      <c r="E2598">
        <v>0.53751249999999995</v>
      </c>
      <c r="F2598" t="s">
        <v>54</v>
      </c>
      <c r="G2598">
        <v>-208.2501</v>
      </c>
      <c r="H2598" s="1">
        <v>6.1098130000000001E-6</v>
      </c>
      <c r="I2598">
        <v>211.93700000000001</v>
      </c>
      <c r="J2598">
        <v>-219.78579999999999</v>
      </c>
      <c r="K2598">
        <v>1.108978</v>
      </c>
      <c r="L2598">
        <v>214.81870000000001</v>
      </c>
      <c r="M2598">
        <v>0.99938590000000005</v>
      </c>
      <c r="N2598">
        <v>-1.9699729999999999E-2</v>
      </c>
      <c r="O2598">
        <v>-2.8978799999999999E-2</v>
      </c>
      <c r="P2598">
        <v>0.98483350000000003</v>
      </c>
      <c r="Q2598">
        <v>-9.8217879999999994E-2</v>
      </c>
      <c r="R2598">
        <v>-0.1430254</v>
      </c>
      <c r="S2598">
        <v>2.917999</v>
      </c>
      <c r="T2598">
        <v>-0.27124320000000002</v>
      </c>
      <c r="U2598">
        <v>-0.70782469999999997</v>
      </c>
      <c r="V2598">
        <v>0.1142615</v>
      </c>
      <c r="W2598">
        <v>-7.8955070000000002E-2</v>
      </c>
      <c r="X2598">
        <v>0.99030819999999997</v>
      </c>
      <c r="Y2598">
        <v>0.20651510000000001</v>
      </c>
      <c r="Z2598">
        <v>-9.4253630000000008E-3</v>
      </c>
      <c r="AA2598">
        <v>0.97839799999999999</v>
      </c>
      <c r="AB2598">
        <v>36</v>
      </c>
      <c r="AC2598">
        <v>11.535699999999901</v>
      </c>
      <c r="AD2598">
        <v>-1.108971890187</v>
      </c>
      <c r="AE2598">
        <v>-2.8816999999999902</v>
      </c>
      <c r="AF2598">
        <v>2.5241761485397798</v>
      </c>
      <c r="AG2598">
        <v>-1.108971890187</v>
      </c>
      <c r="AH2598">
        <v>11.5142169843449</v>
      </c>
      <c r="AI2598">
        <v>95.374518757381395</v>
      </c>
      <c r="AJ2598">
        <v>77.635075909037894</v>
      </c>
      <c r="AK2598">
        <v>11.839699178807701</v>
      </c>
      <c r="AL2598">
        <v>94.528505834943005</v>
      </c>
      <c r="AM2598">
        <v>83.418331164288603</v>
      </c>
      <c r="AN2598">
        <v>0.99999996222409604</v>
      </c>
    </row>
    <row r="2599" spans="1:40" x14ac:dyDescent="0.25">
      <c r="A2599" t="str">
        <f>"20190305135637450"</f>
        <v>20190305135637450</v>
      </c>
      <c r="B2599" t="str">
        <f>"1551765397445034"</f>
        <v>1551765397445034</v>
      </c>
      <c r="C2599" t="s">
        <v>40</v>
      </c>
      <c r="D2599">
        <v>4.3128089999999997</v>
      </c>
      <c r="E2599">
        <v>0.53774789999999995</v>
      </c>
      <c r="F2599" t="s">
        <v>54</v>
      </c>
      <c r="G2599">
        <v>-207.34010000000001</v>
      </c>
      <c r="H2599" s="1">
        <v>5.7246680000000004E-6</v>
      </c>
      <c r="I2599">
        <v>211.72630000000001</v>
      </c>
      <c r="J2599">
        <v>-219.37139999999999</v>
      </c>
      <c r="K2599">
        <v>1.109024</v>
      </c>
      <c r="L2599">
        <v>214.8056</v>
      </c>
      <c r="M2599">
        <v>0.99935099999999999</v>
      </c>
      <c r="N2599">
        <v>-2.0053109999999999E-2</v>
      </c>
      <c r="O2599">
        <v>-2.992978E-2</v>
      </c>
      <c r="P2599">
        <v>0.98438669999999995</v>
      </c>
      <c r="Q2599">
        <v>-9.6566390000000002E-2</v>
      </c>
      <c r="R2599">
        <v>-0.14716599999999999</v>
      </c>
      <c r="S2599">
        <v>2.9151150000000001</v>
      </c>
      <c r="T2599">
        <v>-0.2597507</v>
      </c>
      <c r="U2599">
        <v>-0.72431950000000001</v>
      </c>
      <c r="V2599">
        <v>0.1174746</v>
      </c>
      <c r="W2599">
        <v>-7.6967930000000004E-2</v>
      </c>
      <c r="X2599">
        <v>0.99008870000000004</v>
      </c>
      <c r="Y2599">
        <v>0.21107139999999999</v>
      </c>
      <c r="Z2599">
        <v>-9.3702430000000003E-3</v>
      </c>
      <c r="AA2599">
        <v>0.97742580000000001</v>
      </c>
      <c r="AB2599">
        <v>36</v>
      </c>
      <c r="AC2599">
        <v>12.0312999999999</v>
      </c>
      <c r="AD2599">
        <v>-1.1090182753319999</v>
      </c>
      <c r="AE2599">
        <v>-3.0792999999999799</v>
      </c>
      <c r="AF2599">
        <v>2.6962524839695998</v>
      </c>
      <c r="AG2599">
        <v>-1.1090182753319999</v>
      </c>
      <c r="AH2599">
        <v>12.0222194894995</v>
      </c>
      <c r="AI2599">
        <v>95.143415287017405</v>
      </c>
      <c r="AJ2599">
        <v>77.359300200438597</v>
      </c>
      <c r="AK2599">
        <v>12.3706693612768</v>
      </c>
      <c r="AL2599">
        <v>94.414303368571595</v>
      </c>
      <c r="AM2599">
        <v>83.233457150037196</v>
      </c>
      <c r="AN2599">
        <v>0.99999998888066699</v>
      </c>
    </row>
    <row r="2600" spans="1:40" x14ac:dyDescent="0.25">
      <c r="A2600" t="str">
        <f>"20190305135637471"</f>
        <v>20190305135637471</v>
      </c>
      <c r="B2600" t="str">
        <f>"1551765397464554"</f>
        <v>1551765397464554</v>
      </c>
      <c r="C2600" t="s">
        <v>40</v>
      </c>
      <c r="D2600">
        <v>4.3522660000000002</v>
      </c>
      <c r="E2600">
        <v>0.53801069999999995</v>
      </c>
      <c r="F2600" t="s">
        <v>54</v>
      </c>
      <c r="G2600">
        <v>-206.845</v>
      </c>
      <c r="H2600" s="1">
        <v>5.51362899999999E-6</v>
      </c>
      <c r="I2600">
        <v>211.62899999999999</v>
      </c>
      <c r="J2600">
        <v>-219.03319999999999</v>
      </c>
      <c r="K2600">
        <v>1.10904</v>
      </c>
      <c r="L2600">
        <v>214.7946</v>
      </c>
      <c r="M2600">
        <v>0.9993204</v>
      </c>
      <c r="N2600">
        <v>-2.0314209999999999E-2</v>
      </c>
      <c r="O2600">
        <v>-3.076042E-2</v>
      </c>
      <c r="P2600">
        <v>0.98366730000000002</v>
      </c>
      <c r="Q2600">
        <v>-9.8965880000000006E-2</v>
      </c>
      <c r="R2600">
        <v>-0.15034929999999999</v>
      </c>
      <c r="S2600">
        <v>2.911896</v>
      </c>
      <c r="T2600">
        <v>-0.25780310000000001</v>
      </c>
      <c r="U2600">
        <v>-0.73844909999999997</v>
      </c>
      <c r="V2600">
        <v>0.1198478</v>
      </c>
      <c r="W2600">
        <v>-7.9130179999999994E-2</v>
      </c>
      <c r="X2600">
        <v>0.98963369999999995</v>
      </c>
      <c r="Y2600">
        <v>0.21496390000000001</v>
      </c>
      <c r="Z2600">
        <v>-9.5147440000000003E-3</v>
      </c>
      <c r="AA2600">
        <v>0.97657570000000005</v>
      </c>
      <c r="AB2600">
        <v>36</v>
      </c>
      <c r="AC2600">
        <v>12.188199999999901</v>
      </c>
      <c r="AD2600">
        <v>-1.109034486371</v>
      </c>
      <c r="AE2600">
        <v>-3.16559999999998</v>
      </c>
      <c r="AF2600">
        <v>2.7676429234002198</v>
      </c>
      <c r="AG2600">
        <v>-1.109034486371</v>
      </c>
      <c r="AH2600">
        <v>12.185311126477901</v>
      </c>
      <c r="AI2600">
        <v>95.071913389107607</v>
      </c>
      <c r="AJ2600">
        <v>77.203540564036999</v>
      </c>
      <c r="AK2600">
        <v>12.5447842585065</v>
      </c>
      <c r="AL2600">
        <v>94.538570351871101</v>
      </c>
      <c r="AM2600">
        <v>83.094923773925501</v>
      </c>
      <c r="AN2600">
        <v>0.99999997036368005</v>
      </c>
    </row>
    <row r="2601" spans="1:40" x14ac:dyDescent="0.25">
      <c r="A2601" t="str">
        <f>"20190305135637491"</f>
        <v>20190305135637491</v>
      </c>
      <c r="B2601" t="str">
        <f>"1551765397485050"</f>
        <v>1551765397485050</v>
      </c>
      <c r="C2601" t="s">
        <v>40</v>
      </c>
      <c r="D2601">
        <v>4.3337329999999996</v>
      </c>
      <c r="E2601">
        <v>0.53824659999999902</v>
      </c>
      <c r="F2601" t="s">
        <v>54</v>
      </c>
      <c r="G2601">
        <v>-206.874</v>
      </c>
      <c r="H2601" s="1">
        <v>5.5238369999999999E-6</v>
      </c>
      <c r="I2601">
        <v>211.6592</v>
      </c>
      <c r="J2601">
        <v>-218.69720000000001</v>
      </c>
      <c r="K2601">
        <v>1.1090530000000001</v>
      </c>
      <c r="L2601">
        <v>214.7833</v>
      </c>
      <c r="M2601">
        <v>0.99928839999999997</v>
      </c>
      <c r="N2601">
        <v>-2.054924E-2</v>
      </c>
      <c r="O2601">
        <v>-3.1632739999999999E-2</v>
      </c>
      <c r="P2601">
        <v>0.98322560000000003</v>
      </c>
      <c r="Q2601">
        <v>-0.10075679999999999</v>
      </c>
      <c r="R2601">
        <v>-0.1520398</v>
      </c>
      <c r="S2601">
        <v>2.9085079999999999</v>
      </c>
      <c r="T2601">
        <v>-0.26528390000000002</v>
      </c>
      <c r="U2601">
        <v>-0.74998469999999995</v>
      </c>
      <c r="V2601">
        <v>0.12068</v>
      </c>
      <c r="W2601">
        <v>-8.070418E-2</v>
      </c>
      <c r="X2601">
        <v>0.98940550000000005</v>
      </c>
      <c r="Y2601">
        <v>0.2179538</v>
      </c>
      <c r="Z2601">
        <v>-9.8509789999999993E-3</v>
      </c>
      <c r="AA2601">
        <v>0.97590940000000004</v>
      </c>
      <c r="AB2601">
        <v>36</v>
      </c>
      <c r="AC2601">
        <v>11.8231999999999</v>
      </c>
      <c r="AD2601">
        <v>-1.109047476163</v>
      </c>
      <c r="AE2601">
        <v>-3.1240999999999901</v>
      </c>
      <c r="AF2601">
        <v>2.7260359531357201</v>
      </c>
      <c r="AG2601">
        <v>-1.109047476163</v>
      </c>
      <c r="AH2601">
        <v>11.818918468479</v>
      </c>
      <c r="AI2601">
        <v>95.224367978244999</v>
      </c>
      <c r="AJ2601">
        <v>77.011858302886907</v>
      </c>
      <c r="AK2601">
        <v>12.1798231549857</v>
      </c>
      <c r="AL2601">
        <v>94.629042997134505</v>
      </c>
      <c r="AM2601">
        <v>83.045856090042804</v>
      </c>
      <c r="AN2601">
        <v>1.0000000352498599</v>
      </c>
    </row>
    <row r="2602" spans="1:40" x14ac:dyDescent="0.25">
      <c r="A2602" t="str">
        <f>"20190305135637516"</f>
        <v>20190305135637516</v>
      </c>
      <c r="B2602" t="str">
        <f>"1551765397504570"</f>
        <v>1551765397504570</v>
      </c>
      <c r="C2602" t="s">
        <v>40</v>
      </c>
      <c r="D2602">
        <v>4.3768659999999997</v>
      </c>
      <c r="E2602">
        <v>0.53849409999999998</v>
      </c>
      <c r="F2602" t="s">
        <v>54</v>
      </c>
      <c r="G2602">
        <v>-206.79929999999999</v>
      </c>
      <c r="H2602" s="1">
        <v>5.4884769999999996E-6</v>
      </c>
      <c r="I2602">
        <v>211.6849</v>
      </c>
      <c r="J2602">
        <v>-218.32470000000001</v>
      </c>
      <c r="K2602">
        <v>1.1090469999999999</v>
      </c>
      <c r="L2602">
        <v>214.7704</v>
      </c>
      <c r="M2602">
        <v>0.99924959999999996</v>
      </c>
      <c r="N2602">
        <v>-2.0778370000000001E-2</v>
      </c>
      <c r="O2602">
        <v>-3.2689410000000002E-2</v>
      </c>
      <c r="P2602">
        <v>0.98313859999999997</v>
      </c>
      <c r="Q2602">
        <v>-9.7991729999999999E-2</v>
      </c>
      <c r="R2602">
        <v>-0.1543899</v>
      </c>
      <c r="S2602">
        <v>2.9063720000000002</v>
      </c>
      <c r="T2602">
        <v>-0.27091459999999901</v>
      </c>
      <c r="U2602">
        <v>-0.75688169999999899</v>
      </c>
      <c r="V2602">
        <v>0.1219845</v>
      </c>
      <c r="W2602">
        <v>-7.7727999999999894E-2</v>
      </c>
      <c r="X2602">
        <v>0.98948380000000002</v>
      </c>
      <c r="Y2602">
        <v>0.21922150000000001</v>
      </c>
      <c r="Z2602">
        <v>-1.0030310000000001E-2</v>
      </c>
      <c r="AA2602">
        <v>0.97562349999999998</v>
      </c>
      <c r="AB2602">
        <v>35</v>
      </c>
      <c r="AC2602">
        <v>11.525399999999999</v>
      </c>
      <c r="AD2602">
        <v>-1.1090415115229999</v>
      </c>
      <c r="AE2602">
        <v>-3.0854999999999899</v>
      </c>
      <c r="AF2602">
        <v>2.6838217218114799</v>
      </c>
      <c r="AG2602">
        <v>-1.1090415115229999</v>
      </c>
      <c r="AH2602">
        <v>11.5205828154784</v>
      </c>
      <c r="AI2602">
        <v>95.356146120976902</v>
      </c>
      <c r="AJ2602">
        <v>76.886327843766793</v>
      </c>
      <c r="AK2602">
        <v>11.880938536876799</v>
      </c>
      <c r="AL2602">
        <v>94.457982867726898</v>
      </c>
      <c r="AM2602">
        <v>82.971983257744697</v>
      </c>
      <c r="AN2602">
        <v>1.0000000253433401</v>
      </c>
    </row>
    <row r="2603" spans="1:40" x14ac:dyDescent="0.25">
      <c r="A2603" t="str">
        <f>"20190305135637540"</f>
        <v>20190305135637540</v>
      </c>
      <c r="B2603" t="str">
        <f>"1551765397534826"</f>
        <v>1551765397534826</v>
      </c>
      <c r="C2603" t="s">
        <v>40</v>
      </c>
      <c r="D2603">
        <v>4.3668449999999996</v>
      </c>
      <c r="E2603">
        <v>0.53888930000000002</v>
      </c>
      <c r="F2603" t="s">
        <v>54</v>
      </c>
      <c r="G2603">
        <v>-206.0557</v>
      </c>
      <c r="H2603" s="1">
        <v>5.1716480000000002E-6</v>
      </c>
      <c r="I2603">
        <v>211.5369</v>
      </c>
      <c r="J2603">
        <v>-217.94669999999999</v>
      </c>
      <c r="K2603">
        <v>1.109008</v>
      </c>
      <c r="L2603">
        <v>214.7567</v>
      </c>
      <c r="M2603">
        <v>0.99920520000000002</v>
      </c>
      <c r="N2603">
        <v>-2.096077E-2</v>
      </c>
      <c r="O2603">
        <v>-3.3907840000000002E-2</v>
      </c>
      <c r="P2603">
        <v>0.98294250000000005</v>
      </c>
      <c r="Q2603">
        <v>-9.2999449999999997E-2</v>
      </c>
      <c r="R2603">
        <v>-0.15866839999999999</v>
      </c>
      <c r="S2603">
        <v>2.9050449999999999</v>
      </c>
      <c r="T2603">
        <v>-0.2625982</v>
      </c>
      <c r="U2603">
        <v>-0.765625</v>
      </c>
      <c r="V2603">
        <v>0.1250598</v>
      </c>
      <c r="W2603">
        <v>-7.2586600000000001E-2</v>
      </c>
      <c r="X2603">
        <v>0.98949039999999999</v>
      </c>
      <c r="Y2603">
        <v>0.2209343</v>
      </c>
      <c r="Z2603">
        <v>-9.8537369999999996E-3</v>
      </c>
      <c r="AA2603">
        <v>0.97523890000000002</v>
      </c>
      <c r="AB2603">
        <v>35</v>
      </c>
      <c r="AC2603">
        <v>11.890999999999901</v>
      </c>
      <c r="AD2603">
        <v>-1.1090028283519999</v>
      </c>
      <c r="AE2603">
        <v>-3.21979999999999</v>
      </c>
      <c r="AF2603">
        <v>2.7920343366551701</v>
      </c>
      <c r="AG2603">
        <v>-1.1090028283519999</v>
      </c>
      <c r="AH2603">
        <v>11.896946832112199</v>
      </c>
      <c r="AI2603">
        <v>95.185488199092902</v>
      </c>
      <c r="AJ2603">
        <v>76.792556508782098</v>
      </c>
      <c r="AK2603">
        <v>12.2703988091854</v>
      </c>
      <c r="AL2603">
        <v>94.162566558101304</v>
      </c>
      <c r="AM2603">
        <v>82.796689040423999</v>
      </c>
      <c r="AN2603">
        <v>1.0000000098838799</v>
      </c>
    </row>
    <row r="2604" spans="1:40" x14ac:dyDescent="0.25">
      <c r="A2604" t="str">
        <f>"20190305135637566"</f>
        <v>20190305135637566</v>
      </c>
      <c r="B2604" t="str">
        <f>"1551765397555322"</f>
        <v>1551765397555322</v>
      </c>
      <c r="C2604" t="s">
        <v>40</v>
      </c>
      <c r="D2604">
        <v>4.2081429999999997</v>
      </c>
      <c r="E2604">
        <v>0.53918080000000002</v>
      </c>
      <c r="F2604" t="s">
        <v>54</v>
      </c>
      <c r="G2604">
        <v>-205.06229999999999</v>
      </c>
      <c r="H2604" s="1">
        <v>4.7528980000000002E-6</v>
      </c>
      <c r="I2604">
        <v>211.2878</v>
      </c>
      <c r="J2604">
        <v>-217.54320000000001</v>
      </c>
      <c r="K2604">
        <v>1.108886</v>
      </c>
      <c r="L2604">
        <v>214.7414</v>
      </c>
      <c r="M2604">
        <v>0.99914899999999995</v>
      </c>
      <c r="N2604">
        <v>-2.108952E-2</v>
      </c>
      <c r="O2604">
        <v>-3.5448069999999998E-2</v>
      </c>
      <c r="P2604">
        <v>0.98245309999999997</v>
      </c>
      <c r="Q2604">
        <v>-8.9454759999999994E-2</v>
      </c>
      <c r="R2604">
        <v>-0.16365739999999901</v>
      </c>
      <c r="S2604">
        <v>2.902298</v>
      </c>
      <c r="T2604">
        <v>-0.24981</v>
      </c>
      <c r="U2604">
        <v>-0.78140259999999995</v>
      </c>
      <c r="V2604">
        <v>0.128525</v>
      </c>
      <c r="W2604">
        <v>-6.8972160000000005E-2</v>
      </c>
      <c r="X2604">
        <v>0.98930490000000004</v>
      </c>
      <c r="Y2604">
        <v>0.2246726</v>
      </c>
      <c r="Z2604">
        <v>-9.6454439999999995E-3</v>
      </c>
      <c r="AA2604">
        <v>0.97438659999999999</v>
      </c>
      <c r="AB2604">
        <v>35</v>
      </c>
      <c r="AC2604">
        <v>12.4809</v>
      </c>
      <c r="AD2604">
        <v>-1.108881247102</v>
      </c>
      <c r="AE2604">
        <v>-3.45359999999999</v>
      </c>
      <c r="AF2604">
        <v>2.98700486407335</v>
      </c>
      <c r="AG2604">
        <v>-1.108881247102</v>
      </c>
      <c r="AH2604">
        <v>12.503822215207901</v>
      </c>
      <c r="AI2604">
        <v>94.929921166310905</v>
      </c>
      <c r="AJ2604">
        <v>76.564560438640996</v>
      </c>
      <c r="AK2604">
        <v>12.9033865968473</v>
      </c>
      <c r="AL2604">
        <v>93.954953593663802</v>
      </c>
      <c r="AM2604">
        <v>82.597908228852205</v>
      </c>
      <c r="AN2604">
        <v>1.0000000098220301</v>
      </c>
    </row>
    <row r="2605" spans="1:40" x14ac:dyDescent="0.25">
      <c r="A2605" t="str">
        <f>"20190305135637587"</f>
        <v>20190305135637587</v>
      </c>
      <c r="B2605" t="str">
        <f>"1551765397584602"</f>
        <v>1551765397584602</v>
      </c>
      <c r="C2605" t="s">
        <v>40</v>
      </c>
      <c r="D2605">
        <v>4.3905909999999997</v>
      </c>
      <c r="E2605">
        <v>0.54630500000000004</v>
      </c>
      <c r="F2605" t="s">
        <v>54</v>
      </c>
      <c r="G2605">
        <v>-204.166</v>
      </c>
      <c r="H2605" s="1">
        <v>4.3756530000000001E-6</v>
      </c>
      <c r="I2605">
        <v>211.05619999999999</v>
      </c>
      <c r="J2605">
        <v>-217.21449999999999</v>
      </c>
      <c r="K2605">
        <v>1.108692</v>
      </c>
      <c r="L2605">
        <v>214.72819999999999</v>
      </c>
      <c r="M2605">
        <v>0.9990928</v>
      </c>
      <c r="N2605">
        <v>-2.1115109999999999E-2</v>
      </c>
      <c r="O2605">
        <v>-3.6982279999999999E-2</v>
      </c>
      <c r="P2605">
        <v>0.98183469999999995</v>
      </c>
      <c r="Q2605">
        <v>-8.8616539999999994E-2</v>
      </c>
      <c r="R2605">
        <v>-0.16777349999999999</v>
      </c>
      <c r="S2605">
        <v>2.898666</v>
      </c>
      <c r="T2605">
        <v>-0.2402792</v>
      </c>
      <c r="U2605">
        <v>-0.79853819999999998</v>
      </c>
      <c r="V2605">
        <v>0.13111679999999901</v>
      </c>
      <c r="W2605">
        <v>-6.8179660000000003E-2</v>
      </c>
      <c r="X2605">
        <v>0.98901969999999995</v>
      </c>
      <c r="Y2605">
        <v>0.22888639999999999</v>
      </c>
      <c r="Z2605">
        <v>-9.5303509999999994E-3</v>
      </c>
      <c r="AA2605">
        <v>0.97340649999999995</v>
      </c>
      <c r="AB2605">
        <v>35</v>
      </c>
      <c r="AC2605">
        <v>13.048499999999899</v>
      </c>
      <c r="AD2605">
        <v>-1.1086876243470001</v>
      </c>
      <c r="AE2605">
        <v>-3.6719999999999899</v>
      </c>
      <c r="AF2605">
        <v>3.1656392717644701</v>
      </c>
      <c r="AG2605">
        <v>-1.1086876243470001</v>
      </c>
      <c r="AH2605">
        <v>13.087846949771301</v>
      </c>
      <c r="AI2605">
        <v>94.706941548849898</v>
      </c>
      <c r="AJ2605">
        <v>76.402663996155695</v>
      </c>
      <c r="AK2605">
        <v>13.5108178149198</v>
      </c>
      <c r="AL2605">
        <v>93.909439487035002</v>
      </c>
      <c r="AM2605">
        <v>82.448192797306703</v>
      </c>
      <c r="AN2605">
        <v>1.0000000241340199</v>
      </c>
    </row>
    <row r="2606" spans="1:40" x14ac:dyDescent="0.25">
      <c r="A2606" t="str">
        <f>"20190305135637605"</f>
        <v>20190305135637605</v>
      </c>
      <c r="B2606" t="str">
        <f>"1551765397594363"</f>
        <v>1551765397594363</v>
      </c>
      <c r="C2606" t="s">
        <v>40</v>
      </c>
      <c r="D2606">
        <v>4.3550940000000002</v>
      </c>
      <c r="E2606">
        <v>0.54655500000000001</v>
      </c>
      <c r="F2606" t="s">
        <v>54</v>
      </c>
      <c r="G2606">
        <v>-206.56270000000001</v>
      </c>
      <c r="H2606" s="1">
        <v>5.3986810000000002E-6</v>
      </c>
      <c r="I2606">
        <v>211.51179999999999</v>
      </c>
      <c r="J2606">
        <v>-216.92850000000001</v>
      </c>
      <c r="K2606">
        <v>1.108444</v>
      </c>
      <c r="L2606">
        <v>214.71600000000001</v>
      </c>
      <c r="M2606">
        <v>0.9990329</v>
      </c>
      <c r="N2606">
        <v>-2.1058940000000002E-2</v>
      </c>
      <c r="O2606">
        <v>-3.8596289999999998E-2</v>
      </c>
      <c r="P2606">
        <v>0.98087559999999996</v>
      </c>
      <c r="Q2606">
        <v>-8.9618989999999996E-2</v>
      </c>
      <c r="R2606">
        <v>-0.17277670000000001</v>
      </c>
      <c r="S2606">
        <v>2.8798520000000001</v>
      </c>
      <c r="T2606">
        <v>-0.29974869999999998</v>
      </c>
      <c r="U2606">
        <v>-0.86959839999999999</v>
      </c>
      <c r="V2606">
        <v>0.13451869999999999</v>
      </c>
      <c r="W2606">
        <v>-6.9329639999999998E-2</v>
      </c>
      <c r="X2606">
        <v>0.98848270000000005</v>
      </c>
      <c r="Y2606">
        <v>0.2505096</v>
      </c>
      <c r="Z2606">
        <v>-1.230555E-2</v>
      </c>
      <c r="AA2606">
        <v>0.96803589999999995</v>
      </c>
      <c r="AB2606">
        <v>35</v>
      </c>
      <c r="AC2606">
        <v>10.3658</v>
      </c>
      <c r="AD2606">
        <v>-1.108438601319</v>
      </c>
      <c r="AE2606">
        <v>-3.2041999999999802</v>
      </c>
      <c r="AF2606">
        <v>2.77270193309612</v>
      </c>
      <c r="AG2606">
        <v>-1.108438601319</v>
      </c>
      <c r="AH2606">
        <v>10.3734999493979</v>
      </c>
      <c r="AI2606">
        <v>95.893713073989503</v>
      </c>
      <c r="AJ2606">
        <v>75.0354038347987</v>
      </c>
      <c r="AK2606">
        <v>10.7947215500376</v>
      </c>
      <c r="AL2606">
        <v>93.975485019080807</v>
      </c>
      <c r="AM2606">
        <v>82.2504490914244</v>
      </c>
      <c r="AN2606">
        <v>0.99999996391575396</v>
      </c>
    </row>
    <row r="2607" spans="1:40" x14ac:dyDescent="0.25">
      <c r="A2607" t="str">
        <f>"20190305135637629"</f>
        <v>20190305135637629</v>
      </c>
      <c r="B2607" t="str">
        <f>"1551765397624618"</f>
        <v>1551765397624618</v>
      </c>
      <c r="C2607" t="s">
        <v>40</v>
      </c>
      <c r="D2607">
        <v>4.4027770000000004</v>
      </c>
      <c r="E2607">
        <v>0.54785969999999995</v>
      </c>
      <c r="F2607" t="s">
        <v>54</v>
      </c>
      <c r="G2607">
        <v>-206.27350000000001</v>
      </c>
      <c r="H2607" s="1">
        <v>5.2774490000000004E-6</v>
      </c>
      <c r="I2607">
        <v>211.43170000000001</v>
      </c>
      <c r="J2607">
        <v>-216.565</v>
      </c>
      <c r="K2607">
        <v>1.1080719999999999</v>
      </c>
      <c r="L2607">
        <v>214.6996</v>
      </c>
      <c r="M2607">
        <v>0.99893980000000004</v>
      </c>
      <c r="N2607">
        <v>-2.089804E-2</v>
      </c>
      <c r="O2607">
        <v>-4.1024659999999998E-2</v>
      </c>
      <c r="P2607">
        <v>0.97978419999999999</v>
      </c>
      <c r="Q2607">
        <v>-9.0313790000000005E-2</v>
      </c>
      <c r="R2607">
        <v>-0.1785137</v>
      </c>
      <c r="S2607">
        <v>2.875076</v>
      </c>
      <c r="T2607">
        <v>-0.29909619999999998</v>
      </c>
      <c r="U2607">
        <v>-0.88621519999999998</v>
      </c>
      <c r="V2607">
        <v>0.13783809999999999</v>
      </c>
      <c r="W2607">
        <v>-7.0315379999999997E-2</v>
      </c>
      <c r="X2607">
        <v>0.98795569999999999</v>
      </c>
      <c r="Y2607">
        <v>0.25371349999999998</v>
      </c>
      <c r="Z2607">
        <v>-1.2269220000000001E-2</v>
      </c>
      <c r="AA2607">
        <v>0.96720159999999999</v>
      </c>
      <c r="AB2607">
        <v>35</v>
      </c>
      <c r="AC2607">
        <v>10.2914999999999</v>
      </c>
      <c r="AD2607">
        <v>-1.1080667225509999</v>
      </c>
      <c r="AE2607">
        <v>-3.2678999999999898</v>
      </c>
      <c r="AF2607">
        <v>2.8132251693280099</v>
      </c>
      <c r="AG2607">
        <v>-1.1080667225509999</v>
      </c>
      <c r="AH2607">
        <v>10.308372058460501</v>
      </c>
      <c r="AI2607">
        <v>95.920387468811995</v>
      </c>
      <c r="AJ2607">
        <v>74.735305950110202</v>
      </c>
      <c r="AK2607">
        <v>10.742652475558099</v>
      </c>
      <c r="AL2607">
        <v>94.032101676533102</v>
      </c>
      <c r="AM2607">
        <v>82.057448829901702</v>
      </c>
      <c r="AN2607">
        <v>1.0000000298193199</v>
      </c>
    </row>
    <row r="2608" spans="1:40" x14ac:dyDescent="0.25">
      <c r="A2608" t="str">
        <f>"20190305135637649"</f>
        <v>20190305135637649</v>
      </c>
      <c r="B2608" t="str">
        <f>"1551765397645115"</f>
        <v>1551765397645115</v>
      </c>
      <c r="C2608" t="s">
        <v>40</v>
      </c>
      <c r="D2608">
        <v>4.3519170000000003</v>
      </c>
      <c r="E2608">
        <v>0.5480602</v>
      </c>
      <c r="F2608" t="s">
        <v>54</v>
      </c>
      <c r="G2608">
        <v>-206.0489</v>
      </c>
      <c r="H2608" s="1">
        <v>5.1850079999999997E-6</v>
      </c>
      <c r="I2608">
        <v>211.34950000000001</v>
      </c>
      <c r="J2608">
        <v>-216.26580000000001</v>
      </c>
      <c r="K2608">
        <v>1.1077189999999999</v>
      </c>
      <c r="L2608">
        <v>214.6849</v>
      </c>
      <c r="M2608">
        <v>0.99884280000000003</v>
      </c>
      <c r="N2608">
        <v>-2.0692479999999999E-2</v>
      </c>
      <c r="O2608">
        <v>-4.3419720000000002E-2</v>
      </c>
      <c r="P2608">
        <v>0.97880719999999999</v>
      </c>
      <c r="Q2608">
        <v>-9.0103139999999998E-2</v>
      </c>
      <c r="R2608">
        <v>-0.1838969</v>
      </c>
      <c r="S2608">
        <v>2.8676149999999998</v>
      </c>
      <c r="T2608">
        <v>-0.30215629999999999</v>
      </c>
      <c r="U2608">
        <v>-0.91352840000000002</v>
      </c>
      <c r="V2608">
        <v>0.140843</v>
      </c>
      <c r="W2608">
        <v>-7.0432469999999997E-2</v>
      </c>
      <c r="X2608">
        <v>0.98752340000000005</v>
      </c>
      <c r="Y2608">
        <v>0.26042710000000002</v>
      </c>
      <c r="Z2608">
        <v>-1.2554879999999999E-2</v>
      </c>
      <c r="AA2608">
        <v>0.96541189999999999</v>
      </c>
      <c r="AB2608">
        <v>35</v>
      </c>
      <c r="AC2608">
        <v>10.216900000000001</v>
      </c>
      <c r="AD2608">
        <v>-1.1077138149920001</v>
      </c>
      <c r="AE2608">
        <v>-3.3353999999999902</v>
      </c>
      <c r="AF2608">
        <v>2.8581815805942901</v>
      </c>
      <c r="AG2608">
        <v>-1.1077138149920001</v>
      </c>
      <c r="AH2608">
        <v>10.243301891437</v>
      </c>
      <c r="AI2608">
        <v>95.946566504545501</v>
      </c>
      <c r="AJ2608">
        <v>74.409339007219998</v>
      </c>
      <c r="AK2608">
        <v>10.692121654877001</v>
      </c>
      <c r="AL2608">
        <v>94.038827337399297</v>
      </c>
      <c r="AM2608">
        <v>81.883076433882096</v>
      </c>
      <c r="AN2608">
        <v>0.99999997451343003</v>
      </c>
    </row>
    <row r="2609" spans="1:40" x14ac:dyDescent="0.25">
      <c r="A2609" t="str">
        <f>"20190305135637673"</f>
        <v>20190305135637673</v>
      </c>
      <c r="B2609" t="str">
        <f>"1551765397664634"</f>
        <v>1551765397664634</v>
      </c>
      <c r="C2609" t="s">
        <v>40</v>
      </c>
      <c r="D2609">
        <v>4.4040850000000002</v>
      </c>
      <c r="E2609">
        <v>0.54850219999999905</v>
      </c>
      <c r="F2609" t="s">
        <v>54</v>
      </c>
      <c r="G2609">
        <v>-205.87469999999999</v>
      </c>
      <c r="H2609" s="1">
        <v>5.1117340000000002E-6</v>
      </c>
      <c r="I2609">
        <v>211.30410000000001</v>
      </c>
      <c r="J2609">
        <v>-215.88220000000001</v>
      </c>
      <c r="K2609">
        <v>1.107227</v>
      </c>
      <c r="L2609">
        <v>214.6644</v>
      </c>
      <c r="M2609">
        <v>0.99868610000000002</v>
      </c>
      <c r="N2609">
        <v>-2.0319029999999998E-2</v>
      </c>
      <c r="O2609">
        <v>-4.7048260000000001E-2</v>
      </c>
      <c r="P2609">
        <v>0.97725139999999999</v>
      </c>
      <c r="Q2609">
        <v>-9.165123E-2</v>
      </c>
      <c r="R2609">
        <v>-0.1912586</v>
      </c>
      <c r="S2609">
        <v>2.861923</v>
      </c>
      <c r="T2609">
        <v>-0.30508659999999999</v>
      </c>
      <c r="U2609">
        <v>-0.93113710000000005</v>
      </c>
      <c r="V2609">
        <v>0.14460599999999901</v>
      </c>
      <c r="W2609">
        <v>-7.2525519999999996E-2</v>
      </c>
      <c r="X2609">
        <v>0.98682789999999998</v>
      </c>
      <c r="Y2609">
        <v>0.26283379999999901</v>
      </c>
      <c r="Z2609">
        <v>-1.243323E-2</v>
      </c>
      <c r="AA2609">
        <v>0.96476099999999998</v>
      </c>
      <c r="AB2609">
        <v>34</v>
      </c>
      <c r="AC2609">
        <v>10.0075</v>
      </c>
      <c r="AD2609">
        <v>-1.1072218882660001</v>
      </c>
      <c r="AE2609">
        <v>-3.3602999999999899</v>
      </c>
      <c r="AF2609">
        <v>2.8542459128265301</v>
      </c>
      <c r="AG2609">
        <v>-1.1072218882660001</v>
      </c>
      <c r="AH2609">
        <v>10.0440502459154</v>
      </c>
      <c r="AI2609">
        <v>96.052922075678097</v>
      </c>
      <c r="AJ2609">
        <v>74.136292059763406</v>
      </c>
      <c r="AK2609">
        <v>10.5002669196176</v>
      </c>
      <c r="AL2609">
        <v>94.159057411356102</v>
      </c>
      <c r="AM2609">
        <v>81.6634269268407</v>
      </c>
      <c r="AN2609">
        <v>1.00000007525283</v>
      </c>
    </row>
    <row r="2610" spans="1:40" x14ac:dyDescent="0.25">
      <c r="A2610" t="str">
        <f>"20190305135637696"</f>
        <v>20190305135637696</v>
      </c>
      <c r="B2610" t="str">
        <f>"1551765397685131"</f>
        <v>1551765397685131</v>
      </c>
      <c r="C2610" t="s">
        <v>40</v>
      </c>
      <c r="D2610">
        <v>4.353809</v>
      </c>
      <c r="E2610">
        <v>0.54859009999999997</v>
      </c>
      <c r="F2610" t="s">
        <v>54</v>
      </c>
      <c r="G2610">
        <v>-205.809</v>
      </c>
      <c r="H2610" s="1">
        <v>5.0839679999999999E-6</v>
      </c>
      <c r="I2610">
        <v>211.28870000000001</v>
      </c>
      <c r="J2610">
        <v>-215.52500000000001</v>
      </c>
      <c r="K2610">
        <v>1.1067419999999999</v>
      </c>
      <c r="L2610">
        <v>214.6437</v>
      </c>
      <c r="M2610">
        <v>0.99850320000000004</v>
      </c>
      <c r="N2610">
        <v>-1.986013E-2</v>
      </c>
      <c r="O2610">
        <v>-5.0962630000000002E-2</v>
      </c>
      <c r="P2610">
        <v>0.97527699999999995</v>
      </c>
      <c r="Q2610">
        <v>-9.5744419999999997E-2</v>
      </c>
      <c r="R2610">
        <v>-0.19916909999999999</v>
      </c>
      <c r="S2610">
        <v>2.8533019999999998</v>
      </c>
      <c r="T2610">
        <v>-0.31362830000000003</v>
      </c>
      <c r="U2610">
        <v>-0.95620729999999998</v>
      </c>
      <c r="V2610">
        <v>0.1486449</v>
      </c>
      <c r="W2610">
        <v>-7.7252559999999998E-2</v>
      </c>
      <c r="X2610">
        <v>0.98586850000000004</v>
      </c>
      <c r="Y2610">
        <v>0.26746569999999997</v>
      </c>
      <c r="Z2610">
        <v>-1.2565379999999999E-2</v>
      </c>
      <c r="AA2610">
        <v>0.96348549999999999</v>
      </c>
      <c r="AB2610">
        <v>34</v>
      </c>
      <c r="AC2610">
        <v>9.7159999999999798</v>
      </c>
      <c r="AD2610">
        <v>-1.106736916032</v>
      </c>
      <c r="AE2610">
        <v>-3.35499999999998</v>
      </c>
      <c r="AF2610">
        <v>2.8226652758433</v>
      </c>
      <c r="AG2610">
        <v>-1.106736916032</v>
      </c>
      <c r="AH2610">
        <v>9.7612221943109692</v>
      </c>
      <c r="AI2610">
        <v>96.216067204736902</v>
      </c>
      <c r="AJ2610">
        <v>73.8716485117818</v>
      </c>
      <c r="AK2610">
        <v>10.2212408536081</v>
      </c>
      <c r="AL2610">
        <v>94.430660199118194</v>
      </c>
      <c r="AM2610">
        <v>81.425779432978104</v>
      </c>
      <c r="AN2610">
        <v>0.99999998180740601</v>
      </c>
    </row>
    <row r="2611" spans="1:40" x14ac:dyDescent="0.25">
      <c r="A2611" t="str">
        <f>"20190305135637717"</f>
        <v>20190305135637717</v>
      </c>
      <c r="B2611" t="str">
        <f>"1551765397714410"</f>
        <v>1551765397714410</v>
      </c>
      <c r="C2611" t="s">
        <v>40</v>
      </c>
      <c r="D2611">
        <v>4.3963960000000002</v>
      </c>
      <c r="E2611">
        <v>0.54918279999999997</v>
      </c>
      <c r="F2611" t="s">
        <v>54</v>
      </c>
      <c r="G2611">
        <v>-206.0187</v>
      </c>
      <c r="H2611" s="1">
        <v>5.1700919999999996E-6</v>
      </c>
      <c r="I2611">
        <v>211.36689999999999</v>
      </c>
      <c r="J2611">
        <v>-215.20650000000001</v>
      </c>
      <c r="K2611">
        <v>1.106355</v>
      </c>
      <c r="L2611">
        <v>214.62360000000001</v>
      </c>
      <c r="M2611">
        <v>0.99830850000000004</v>
      </c>
      <c r="N2611">
        <v>-1.9418399999999999E-2</v>
      </c>
      <c r="O2611">
        <v>-5.479871E-2</v>
      </c>
      <c r="P2611">
        <v>0.97324900000000003</v>
      </c>
      <c r="Q2611">
        <v>-0.1001817</v>
      </c>
      <c r="R2611">
        <v>-0.2067611</v>
      </c>
      <c r="S2611">
        <v>2.8433839999999999</v>
      </c>
      <c r="T2611">
        <v>-0.33102999999999999</v>
      </c>
      <c r="U2611">
        <v>-0.98008729999999999</v>
      </c>
      <c r="V2611">
        <v>0.15245790000000001</v>
      </c>
      <c r="W2611">
        <v>-8.2287089999999993E-2</v>
      </c>
      <c r="X2611">
        <v>0.98487840000000004</v>
      </c>
      <c r="Y2611">
        <v>0.27186070000000001</v>
      </c>
      <c r="Z2611">
        <v>-1.292632E-2</v>
      </c>
      <c r="AA2611">
        <v>0.96224980000000004</v>
      </c>
      <c r="AB2611">
        <v>34</v>
      </c>
      <c r="AC2611">
        <v>9.18780000000001</v>
      </c>
      <c r="AD2611">
        <v>-1.1063498299079999</v>
      </c>
      <c r="AE2611">
        <v>-3.2567000000000199</v>
      </c>
      <c r="AF2611">
        <v>2.7132793846167802</v>
      </c>
      <c r="AG2611">
        <v>-1.1063498299079999</v>
      </c>
      <c r="AH2611">
        <v>9.2335453676579196</v>
      </c>
      <c r="AI2611">
        <v>96.557826031670999</v>
      </c>
      <c r="AJ2611">
        <v>73.624562920657098</v>
      </c>
      <c r="AK2611">
        <v>9.6873244511434091</v>
      </c>
      <c r="AL2611">
        <v>94.720039822552096</v>
      </c>
      <c r="AM2611">
        <v>81.2005301742998</v>
      </c>
      <c r="AN2611">
        <v>1.00000001961981</v>
      </c>
    </row>
    <row r="2612" spans="1:40" x14ac:dyDescent="0.25">
      <c r="A2612" t="str">
        <f>"20190305135637742"</f>
        <v>20190305135637742</v>
      </c>
      <c r="B2612" t="str">
        <f>"1551765397734906"</f>
        <v>1551765397734906</v>
      </c>
      <c r="C2612" t="s">
        <v>40</v>
      </c>
      <c r="D2612">
        <v>4.4466989999999997</v>
      </c>
      <c r="E2612">
        <v>0.54932590000000003</v>
      </c>
      <c r="F2612" t="s">
        <v>54</v>
      </c>
      <c r="G2612">
        <v>-206.13069999999999</v>
      </c>
      <c r="H2612" s="1">
        <v>5.21707E-6</v>
      </c>
      <c r="I2612">
        <v>211.398</v>
      </c>
      <c r="J2612">
        <v>-214.83029999999999</v>
      </c>
      <c r="K2612">
        <v>1.1059490000000001</v>
      </c>
      <c r="L2612">
        <v>214.59809999999999</v>
      </c>
      <c r="M2612">
        <v>0.9980348</v>
      </c>
      <c r="N2612">
        <v>-1.8889329999999999E-2</v>
      </c>
      <c r="O2612">
        <v>-5.9748599999999999E-2</v>
      </c>
      <c r="P2612">
        <v>0.97111049999999999</v>
      </c>
      <c r="Q2612">
        <v>-0.1012451</v>
      </c>
      <c r="R2612">
        <v>-0.2160888</v>
      </c>
      <c r="S2612">
        <v>2.8329930000000001</v>
      </c>
      <c r="T2612">
        <v>-0.34534589999999998</v>
      </c>
      <c r="U2612">
        <v>-1.0068820000000001</v>
      </c>
      <c r="V2612">
        <v>0.156939</v>
      </c>
      <c r="W2612">
        <v>-8.4051120000000007E-2</v>
      </c>
      <c r="X2612">
        <v>0.98402520000000004</v>
      </c>
      <c r="Y2612">
        <v>0.27614420000000001</v>
      </c>
      <c r="Z2612">
        <v>-1.3045259999999999E-2</v>
      </c>
      <c r="AA2612">
        <v>0.96102770000000004</v>
      </c>
      <c r="AB2612">
        <v>34</v>
      </c>
      <c r="AC2612">
        <v>8.6996000000000002</v>
      </c>
      <c r="AD2612">
        <v>-1.1059437829300001</v>
      </c>
      <c r="AE2612">
        <v>-3.2000999999999902</v>
      </c>
      <c r="AF2612">
        <v>2.63696241225463</v>
      </c>
      <c r="AG2612">
        <v>-1.1059437829300001</v>
      </c>
      <c r="AH2612">
        <v>8.75072251636964</v>
      </c>
      <c r="AI2612">
        <v>96.899717694283396</v>
      </c>
      <c r="AJ2612">
        <v>73.230226572275996</v>
      </c>
      <c r="AK2612">
        <v>9.2060755467866908</v>
      </c>
      <c r="AL2612">
        <v>94.821462703624803</v>
      </c>
      <c r="AM2612">
        <v>80.938397327010307</v>
      </c>
      <c r="AN2612">
        <v>1.0000000173646399</v>
      </c>
    </row>
    <row r="2613" spans="1:40" x14ac:dyDescent="0.25">
      <c r="A2613" t="str">
        <f>"20190305135637768"</f>
        <v>20190305135637768</v>
      </c>
      <c r="B2613" t="str">
        <f>"1551765397765162"</f>
        <v>1551765397765162</v>
      </c>
      <c r="C2613" t="s">
        <v>40</v>
      </c>
      <c r="D2613">
        <v>4.3748670000000001</v>
      </c>
      <c r="E2613">
        <v>0.54951439999999996</v>
      </c>
      <c r="F2613" t="s">
        <v>54</v>
      </c>
      <c r="G2613">
        <v>-205.86429999999999</v>
      </c>
      <c r="H2613" s="1">
        <v>5.1066879999999901E-6</v>
      </c>
      <c r="I2613">
        <v>211.30889999999999</v>
      </c>
      <c r="J2613">
        <v>-214.4375</v>
      </c>
      <c r="K2613">
        <v>1.1055680000000001</v>
      </c>
      <c r="L2613">
        <v>214.56909999999999</v>
      </c>
      <c r="M2613">
        <v>0.99769399999999997</v>
      </c>
      <c r="N2613">
        <v>-1.8339899999999999E-2</v>
      </c>
      <c r="O2613">
        <v>-6.5349519999999994E-2</v>
      </c>
      <c r="P2613">
        <v>0.96887690000000004</v>
      </c>
      <c r="Q2613">
        <v>-9.8718700000000006E-2</v>
      </c>
      <c r="R2613">
        <v>-0.22700790000000001</v>
      </c>
      <c r="S2613">
        <v>2.82254</v>
      </c>
      <c r="T2613">
        <v>-0.34815430000000003</v>
      </c>
      <c r="U2613">
        <v>-1.035431</v>
      </c>
      <c r="V2613">
        <v>0.16241639999999999</v>
      </c>
      <c r="W2613">
        <v>-8.2256940000000001E-2</v>
      </c>
      <c r="X2613">
        <v>0.98328769999999999</v>
      </c>
      <c r="Y2613">
        <v>0.28044370000000002</v>
      </c>
      <c r="Z2613">
        <v>-1.276444E-2</v>
      </c>
      <c r="AA2613">
        <v>0.95978560000000002</v>
      </c>
      <c r="AB2613">
        <v>34</v>
      </c>
      <c r="AC2613">
        <v>8.5732000000000106</v>
      </c>
      <c r="AD2613">
        <v>-1.1055628933120001</v>
      </c>
      <c r="AE2613">
        <v>-3.26019999999999</v>
      </c>
      <c r="AF2613">
        <v>2.65431665083534</v>
      </c>
      <c r="AG2613">
        <v>-1.1055628933120001</v>
      </c>
      <c r="AH2613">
        <v>8.6423947314445702</v>
      </c>
      <c r="AI2613">
        <v>96.9718413143747</v>
      </c>
      <c r="AJ2613">
        <v>72.926840669410396</v>
      </c>
      <c r="AK2613">
        <v>9.1081640788948803</v>
      </c>
      <c r="AL2613">
        <v>94.718306590015303</v>
      </c>
      <c r="AM2613">
        <v>80.620748988947994</v>
      </c>
      <c r="AN2613">
        <v>0.99999999606920598</v>
      </c>
    </row>
    <row r="2614" spans="1:40" x14ac:dyDescent="0.25">
      <c r="A2614" t="str">
        <f>"20190305135637788"</f>
        <v>20190305135637788</v>
      </c>
      <c r="B2614" t="str">
        <f>"1551765397784682"</f>
        <v>1551765397784682</v>
      </c>
      <c r="C2614" t="s">
        <v>40</v>
      </c>
      <c r="D2614">
        <v>4.4206909999999997</v>
      </c>
      <c r="E2614">
        <v>0.54980130000000005</v>
      </c>
      <c r="F2614" t="s">
        <v>54</v>
      </c>
      <c r="G2614">
        <v>-205.26259999999999</v>
      </c>
      <c r="H2614" s="1">
        <v>4.8597420000000001E-6</v>
      </c>
      <c r="I2614">
        <v>211.08189999999999</v>
      </c>
      <c r="J2614">
        <v>-214.1283</v>
      </c>
      <c r="K2614">
        <v>1.1052839999999999</v>
      </c>
      <c r="L2614">
        <v>214.5444</v>
      </c>
      <c r="M2614">
        <v>0.99738170000000004</v>
      </c>
      <c r="N2614">
        <v>-1.7923959999999999E-2</v>
      </c>
      <c r="O2614">
        <v>-7.0060510000000006E-2</v>
      </c>
      <c r="P2614">
        <v>0.96674930000000003</v>
      </c>
      <c r="Q2614">
        <v>-9.6491540000000001E-2</v>
      </c>
      <c r="R2614">
        <v>-0.23682310000000001</v>
      </c>
      <c r="S2614">
        <v>2.8114780000000001</v>
      </c>
      <c r="T2614">
        <v>-0.33877970000000002</v>
      </c>
      <c r="U2614">
        <v>-1.0686040000000001</v>
      </c>
      <c r="V2614">
        <v>0.16768710000000001</v>
      </c>
      <c r="W2614">
        <v>-8.0605239999999995E-2</v>
      </c>
      <c r="X2614">
        <v>0.98253950000000001</v>
      </c>
      <c r="Y2614">
        <v>0.28712670000000001</v>
      </c>
      <c r="Z2614">
        <v>-1.2446189999999999E-2</v>
      </c>
      <c r="AA2614">
        <v>0.95781179999999999</v>
      </c>
      <c r="AB2614">
        <v>34</v>
      </c>
      <c r="AC2614">
        <v>8.8657000000000004</v>
      </c>
      <c r="AD2614">
        <v>-1.105279140258</v>
      </c>
      <c r="AE2614">
        <v>-3.4624999999999999</v>
      </c>
      <c r="AF2614">
        <v>2.7950610539053802</v>
      </c>
      <c r="AG2614">
        <v>-1.105279140258</v>
      </c>
      <c r="AH2614">
        <v>8.9656255663229203</v>
      </c>
      <c r="AI2614">
        <v>96.712430502913307</v>
      </c>
      <c r="AJ2614">
        <v>72.684973522197595</v>
      </c>
      <c r="AK2614">
        <v>9.4560271820914004</v>
      </c>
      <c r="AL2614">
        <v>94.623355700981904</v>
      </c>
      <c r="AM2614">
        <v>80.314814160330698</v>
      </c>
      <c r="AN2614">
        <v>1.00000001864105</v>
      </c>
    </row>
    <row r="2615" spans="1:40" x14ac:dyDescent="0.25">
      <c r="A2615" t="str">
        <f>"20190305135637812"</f>
        <v>20190305135637812</v>
      </c>
      <c r="B2615" t="str">
        <f>"1551765397805179"</f>
        <v>1551765397805179</v>
      </c>
      <c r="C2615" t="s">
        <v>40</v>
      </c>
      <c r="D2615">
        <v>4.4472500000000004</v>
      </c>
      <c r="E2615">
        <v>0.54989699999999997</v>
      </c>
      <c r="F2615" t="s">
        <v>54</v>
      </c>
      <c r="G2615">
        <v>-204.74860000000001</v>
      </c>
      <c r="H2615" s="1">
        <v>4.6509309999999996E-6</v>
      </c>
      <c r="I2615">
        <v>210.8629</v>
      </c>
      <c r="J2615">
        <v>-213.7627</v>
      </c>
      <c r="K2615">
        <v>1.104965</v>
      </c>
      <c r="L2615">
        <v>214.51310000000001</v>
      </c>
      <c r="M2615">
        <v>0.99696030000000002</v>
      </c>
      <c r="N2615">
        <v>-1.746346E-2</v>
      </c>
      <c r="O2615">
        <v>-7.5928889999999999E-2</v>
      </c>
      <c r="P2615">
        <v>0.9645416</v>
      </c>
      <c r="Q2615">
        <v>-9.4296519999999995E-2</v>
      </c>
      <c r="R2615">
        <v>-0.2465118</v>
      </c>
      <c r="S2615">
        <v>2.8009189999999999</v>
      </c>
      <c r="T2615">
        <v>-0.33005139999999999</v>
      </c>
      <c r="U2615">
        <v>-1.0993649999999999</v>
      </c>
      <c r="V2615">
        <v>0.17170099999999999</v>
      </c>
      <c r="W2615">
        <v>-7.9035159999999993E-2</v>
      </c>
      <c r="X2615">
        <v>0.9819736</v>
      </c>
      <c r="Y2615">
        <v>0.29191709999999998</v>
      </c>
      <c r="Z2615">
        <v>-1.189926E-2</v>
      </c>
      <c r="AA2615">
        <v>0.95636960000000004</v>
      </c>
      <c r="AB2615">
        <v>34</v>
      </c>
      <c r="AC2615">
        <v>9.0140999999999796</v>
      </c>
      <c r="AD2615">
        <v>-1.1049603490690001</v>
      </c>
      <c r="AE2615">
        <v>-3.6502000000000101</v>
      </c>
      <c r="AF2615">
        <v>2.9174620585794799</v>
      </c>
      <c r="AG2615">
        <v>-1.1049603490690001</v>
      </c>
      <c r="AH2615">
        <v>9.1471844147091694</v>
      </c>
      <c r="AI2615">
        <v>96.565056447298602</v>
      </c>
      <c r="AJ2615">
        <v>72.310101622039895</v>
      </c>
      <c r="AK2615">
        <v>9.6645488747775499</v>
      </c>
      <c r="AL2615">
        <v>94.533109001472297</v>
      </c>
      <c r="AM2615">
        <v>80.081928594816603</v>
      </c>
      <c r="AN2615">
        <v>0.999999970507092</v>
      </c>
    </row>
    <row r="2616" spans="1:40" x14ac:dyDescent="0.25">
      <c r="A2616" t="str">
        <f>"20190305135637831"</f>
        <v>20190305135637831</v>
      </c>
      <c r="B2616" t="str">
        <f>"1551765397824699"</f>
        <v>1551765397824699</v>
      </c>
      <c r="C2616" t="s">
        <v>40</v>
      </c>
      <c r="D2616">
        <v>4.4564459999999997</v>
      </c>
      <c r="E2616">
        <v>0.55000930000000003</v>
      </c>
      <c r="F2616" t="s">
        <v>54</v>
      </c>
      <c r="G2616">
        <v>-204.23159999999999</v>
      </c>
      <c r="H2616" s="1">
        <v>4.4395090000000001E-6</v>
      </c>
      <c r="I2616">
        <v>210.65860000000001</v>
      </c>
      <c r="J2616">
        <v>-213.47</v>
      </c>
      <c r="K2616">
        <v>1.1047180000000001</v>
      </c>
      <c r="L2616">
        <v>214.4862</v>
      </c>
      <c r="M2616">
        <v>0.99658100000000005</v>
      </c>
      <c r="N2616">
        <v>-1.7121520000000001E-2</v>
      </c>
      <c r="O2616">
        <v>-8.0829680000000001E-2</v>
      </c>
      <c r="P2616">
        <v>0.96257040000000005</v>
      </c>
      <c r="Q2616">
        <v>-9.1840649999999996E-2</v>
      </c>
      <c r="R2616">
        <v>-0.25499699999999997</v>
      </c>
      <c r="S2616">
        <v>2.7902529999999999</v>
      </c>
      <c r="T2616">
        <v>-0.32347890000000001</v>
      </c>
      <c r="U2616">
        <v>-1.128403</v>
      </c>
      <c r="V2616">
        <v>0.17547679999999999</v>
      </c>
      <c r="W2616">
        <v>-7.7059939999999993E-2</v>
      </c>
      <c r="X2616">
        <v>0.98146299999999997</v>
      </c>
      <c r="Y2616">
        <v>0.29709020000000003</v>
      </c>
      <c r="Z2616">
        <v>-1.1556479999999999E-2</v>
      </c>
      <c r="AA2616">
        <v>0.9547795</v>
      </c>
      <c r="AB2616">
        <v>34</v>
      </c>
      <c r="AC2616">
        <v>9.2384000000000093</v>
      </c>
      <c r="AD2616">
        <v>-1.1047135604909999</v>
      </c>
      <c r="AE2616">
        <v>-3.8275999999999799</v>
      </c>
      <c r="AF2616">
        <v>3.0312324001417399</v>
      </c>
      <c r="AG2616">
        <v>-1.1047135604909999</v>
      </c>
      <c r="AH2616">
        <v>9.4028382722048693</v>
      </c>
      <c r="AI2616">
        <v>96.380330368041001</v>
      </c>
      <c r="AJ2616">
        <v>72.132018010290906</v>
      </c>
      <c r="AK2616">
        <v>9.9409320230872993</v>
      </c>
      <c r="AL2616">
        <v>94.419590891824598</v>
      </c>
      <c r="AM2616">
        <v>79.863134300631302</v>
      </c>
      <c r="AN2616">
        <v>0.99999998103002097</v>
      </c>
    </row>
    <row r="2617" spans="1:40" x14ac:dyDescent="0.25">
      <c r="A2617" t="str">
        <f>"20190305135637855"</f>
        <v>20190305135637855</v>
      </c>
      <c r="B2617" t="str">
        <f>"1551765397845195"</f>
        <v>1551765397845195</v>
      </c>
      <c r="C2617" t="s">
        <v>40</v>
      </c>
      <c r="D2617">
        <v>4.4393229999999999</v>
      </c>
      <c r="E2617">
        <v>0.55007510000000004</v>
      </c>
      <c r="F2617" t="s">
        <v>54</v>
      </c>
      <c r="G2617">
        <v>-203.7278</v>
      </c>
      <c r="H2617" s="1">
        <v>4.2349870000000004E-6</v>
      </c>
      <c r="I2617">
        <v>210.4427</v>
      </c>
      <c r="J2617">
        <v>-213.09520000000001</v>
      </c>
      <c r="K2617">
        <v>1.1044369999999999</v>
      </c>
      <c r="L2617">
        <v>214.4494</v>
      </c>
      <c r="M2617">
        <v>0.99603869999999906</v>
      </c>
      <c r="N2617">
        <v>-1.6725139999999999E-2</v>
      </c>
      <c r="O2617">
        <v>-8.7334540000000002E-2</v>
      </c>
      <c r="P2617">
        <v>0.95983359999999995</v>
      </c>
      <c r="Q2617">
        <v>-9.101033E-2</v>
      </c>
      <c r="R2617">
        <v>-0.26539970000000002</v>
      </c>
      <c r="S2617">
        <v>2.7807770000000001</v>
      </c>
      <c r="T2617">
        <v>-0.31532529999999998</v>
      </c>
      <c r="U2617">
        <v>-1.154175</v>
      </c>
      <c r="V2617">
        <v>0.1796343</v>
      </c>
      <c r="W2617">
        <v>-7.6788960000000003E-2</v>
      </c>
      <c r="X2617">
        <v>0.98073180000000004</v>
      </c>
      <c r="Y2617">
        <v>0.29965039999999998</v>
      </c>
      <c r="Z2617">
        <v>-1.085626E-2</v>
      </c>
      <c r="AA2617">
        <v>0.95398729999999998</v>
      </c>
      <c r="AB2617">
        <v>34</v>
      </c>
      <c r="AC2617">
        <v>9.3673999999999999</v>
      </c>
      <c r="AD2617">
        <v>-1.1044327650129999</v>
      </c>
      <c r="AE2617">
        <v>-4.0066999999999897</v>
      </c>
      <c r="AF2617">
        <v>3.1363195245725102</v>
      </c>
      <c r="AG2617">
        <v>-1.1044327650129999</v>
      </c>
      <c r="AH2617">
        <v>9.5691232901308396</v>
      </c>
      <c r="AI2617">
        <v>96.258938891042206</v>
      </c>
      <c r="AJ2617">
        <v>71.853230250175699</v>
      </c>
      <c r="AK2617">
        <v>10.130369807384801</v>
      </c>
      <c r="AL2617">
        <v>94.404018899458094</v>
      </c>
      <c r="AM2617">
        <v>79.620555026428406</v>
      </c>
      <c r="AN2617">
        <v>0.99999994482280397</v>
      </c>
    </row>
    <row r="2618" spans="1:40" x14ac:dyDescent="0.25">
      <c r="A2618" t="str">
        <f>"20190305135637878"</f>
        <v>20190305135637878</v>
      </c>
      <c r="B2618" t="str">
        <f>"1551765397874939"</f>
        <v>1551765397874939</v>
      </c>
      <c r="C2618" t="s">
        <v>40</v>
      </c>
      <c r="D2618">
        <v>4.431419</v>
      </c>
      <c r="E2618">
        <v>0.55382339999999997</v>
      </c>
      <c r="F2618" t="s">
        <v>54</v>
      </c>
      <c r="G2618">
        <v>-203.35169999999999</v>
      </c>
      <c r="H2618" s="1">
        <v>4.0825320000000003E-6</v>
      </c>
      <c r="I2618">
        <v>210.27869999999999</v>
      </c>
      <c r="J2618">
        <v>-212.75139999999999</v>
      </c>
      <c r="K2618">
        <v>1.1042069999999999</v>
      </c>
      <c r="L2618">
        <v>214.41329999999999</v>
      </c>
      <c r="M2618">
        <v>0.9954847</v>
      </c>
      <c r="N2618">
        <v>-1.6398610000000001E-2</v>
      </c>
      <c r="O2618">
        <v>-9.3494770000000005E-2</v>
      </c>
      <c r="P2618">
        <v>0.95692580000000005</v>
      </c>
      <c r="Q2618">
        <v>-9.1230580000000006E-2</v>
      </c>
      <c r="R2618">
        <v>-0.27562619999999999</v>
      </c>
      <c r="S2618">
        <v>2.768173</v>
      </c>
      <c r="T2618">
        <v>-0.3137741</v>
      </c>
      <c r="U2618">
        <v>-1.1848909999999999</v>
      </c>
      <c r="V2618">
        <v>0.18398030000000001</v>
      </c>
      <c r="W2618">
        <v>-7.7488879999999996E-2</v>
      </c>
      <c r="X2618">
        <v>0.97987069999999998</v>
      </c>
      <c r="Y2618">
        <v>0.30427979999999999</v>
      </c>
      <c r="Z2618">
        <v>-1.049166E-2</v>
      </c>
      <c r="AA2618">
        <v>0.95252490000000001</v>
      </c>
      <c r="AB2618">
        <v>34</v>
      </c>
      <c r="AC2618">
        <v>9.3996999999999904</v>
      </c>
      <c r="AD2618">
        <v>-1.1042029174679999</v>
      </c>
      <c r="AE2618">
        <v>-4.1345999999999998</v>
      </c>
      <c r="AF2618">
        <v>3.2005372145167299</v>
      </c>
      <c r="AG2618">
        <v>-1.1042029174679999</v>
      </c>
      <c r="AH2618">
        <v>9.6337407765071301</v>
      </c>
      <c r="AI2618">
        <v>96.207809790929602</v>
      </c>
      <c r="AJ2618">
        <v>71.622395793987593</v>
      </c>
      <c r="AK2618">
        <v>10.211349758645399</v>
      </c>
      <c r="AL2618">
        <v>94.444241265341105</v>
      </c>
      <c r="AM2618">
        <v>79.3659670063319</v>
      </c>
      <c r="AN2618">
        <v>0.99999993301511403</v>
      </c>
    </row>
    <row r="2619" spans="1:40" x14ac:dyDescent="0.25">
      <c r="A2619" t="str">
        <f>"20190305135637901"</f>
        <v>20190305135637901</v>
      </c>
      <c r="B2619" t="str">
        <f>"1551765397894459"</f>
        <v>1551765397894459</v>
      </c>
      <c r="C2619" t="s">
        <v>40</v>
      </c>
      <c r="D2619">
        <v>4.434971</v>
      </c>
      <c r="E2619">
        <v>0.55338679999999996</v>
      </c>
      <c r="F2619" t="s">
        <v>54</v>
      </c>
      <c r="G2619">
        <v>-201.10069999999999</v>
      </c>
      <c r="H2619" s="1">
        <v>3.2216569999999999E-6</v>
      </c>
      <c r="I2619">
        <v>209.1652</v>
      </c>
      <c r="J2619">
        <v>-212.41370000000001</v>
      </c>
      <c r="K2619">
        <v>1.1039890000000001</v>
      </c>
      <c r="L2619">
        <v>214.37559999999999</v>
      </c>
      <c r="M2619">
        <v>0.99488480000000001</v>
      </c>
      <c r="N2619">
        <v>-1.6115770000000001E-2</v>
      </c>
      <c r="O2619">
        <v>-9.97228E-2</v>
      </c>
      <c r="P2619">
        <v>0.95412859999999999</v>
      </c>
      <c r="Q2619">
        <v>-9.2442040000000003E-2</v>
      </c>
      <c r="R2619">
        <v>-0.28476829999999997</v>
      </c>
      <c r="S2619">
        <v>2.7529910000000002</v>
      </c>
      <c r="T2619">
        <v>-0.26091720000000002</v>
      </c>
      <c r="U2619">
        <v>-1.2400819999999999</v>
      </c>
      <c r="V2619">
        <v>0.1871739</v>
      </c>
      <c r="W2619">
        <v>-7.9115499999999894E-2</v>
      </c>
      <c r="X2619">
        <v>0.97913570000000005</v>
      </c>
      <c r="Y2619">
        <v>0.316573299999999</v>
      </c>
      <c r="Z2619">
        <v>-9.5589530000000002E-3</v>
      </c>
      <c r="AA2619">
        <v>0.94851989999999997</v>
      </c>
      <c r="AB2619">
        <v>34</v>
      </c>
      <c r="AC2619">
        <v>11.313000000000001</v>
      </c>
      <c r="AD2619">
        <v>-1.1039857783429901</v>
      </c>
      <c r="AE2619">
        <v>-5.2103999999999902</v>
      </c>
      <c r="AF2619">
        <v>4.02449212285965</v>
      </c>
      <c r="AG2619">
        <v>-1.1039857783429901</v>
      </c>
      <c r="AH2619">
        <v>11.6844580104438</v>
      </c>
      <c r="AI2619">
        <v>95.1048437374142</v>
      </c>
      <c r="AJ2619">
        <v>70.9946931708796</v>
      </c>
      <c r="AK2619">
        <v>12.407331721347999</v>
      </c>
      <c r="AL2619">
        <v>94.537726355658407</v>
      </c>
      <c r="AM2619">
        <v>79.177768247910606</v>
      </c>
      <c r="AN2619">
        <v>1.0000000250979699</v>
      </c>
    </row>
    <row r="2620" spans="1:40" x14ac:dyDescent="0.25">
      <c r="A2620" t="str">
        <f>"20190305135637939"</f>
        <v>20190305135637939</v>
      </c>
      <c r="B2620" t="str">
        <f>"1551765397934474"</f>
        <v>1551765397934474</v>
      </c>
      <c r="C2620" t="s">
        <v>40</v>
      </c>
      <c r="D2620">
        <v>4.4358449999999996</v>
      </c>
      <c r="E2620">
        <v>0.55346390000000001</v>
      </c>
      <c r="F2620" t="s">
        <v>54</v>
      </c>
      <c r="G2620">
        <v>-201.1551</v>
      </c>
      <c r="H2620" s="1">
        <v>3.2418870000000001E-6</v>
      </c>
      <c r="I2620">
        <v>209.18729999999999</v>
      </c>
      <c r="J2620">
        <v>-211.84450000000001</v>
      </c>
      <c r="K2620">
        <v>1.103677</v>
      </c>
      <c r="L2620">
        <v>214.30680000000001</v>
      </c>
      <c r="M2620">
        <v>0.99374070000000003</v>
      </c>
      <c r="N2620">
        <v>-1.575211E-2</v>
      </c>
      <c r="O2620">
        <v>-0.11059570000000001</v>
      </c>
      <c r="P2620">
        <v>0.95087710000000003</v>
      </c>
      <c r="Q2620">
        <v>-9.2269030000000002E-2</v>
      </c>
      <c r="R2620">
        <v>-0.2954986</v>
      </c>
      <c r="S2620">
        <v>2.7411799999999999</v>
      </c>
      <c r="T2620">
        <v>-0.26879130000000001</v>
      </c>
      <c r="U2620">
        <v>-1.2632139999999901</v>
      </c>
      <c r="V2620">
        <v>0.18743499999999999</v>
      </c>
      <c r="W2620">
        <v>-7.9440559999999993E-2</v>
      </c>
      <c r="X2620">
        <v>0.97905940000000002</v>
      </c>
      <c r="Y2620">
        <v>0.31434299999999998</v>
      </c>
      <c r="Z2620">
        <v>-8.6860380000000001E-3</v>
      </c>
      <c r="AA2620">
        <v>0.94926980000000005</v>
      </c>
      <c r="AB2620">
        <v>34</v>
      </c>
      <c r="AC2620">
        <v>10.689399999999999</v>
      </c>
      <c r="AD2620">
        <v>-1.1036737581129901</v>
      </c>
      <c r="AE2620">
        <v>-5.1195000000000102</v>
      </c>
      <c r="AF2620">
        <v>3.8721610888996798</v>
      </c>
      <c r="AG2620">
        <v>-1.1036737581129901</v>
      </c>
      <c r="AH2620">
        <v>11.0938746604924</v>
      </c>
      <c r="AI2620">
        <v>95.365929971824798</v>
      </c>
      <c r="AJ2620">
        <v>70.7591765443226</v>
      </c>
      <c r="AK2620">
        <v>11.801939766218601</v>
      </c>
      <c r="AL2620">
        <v>94.556409862679601</v>
      </c>
      <c r="AM2620">
        <v>79.162204366784906</v>
      </c>
      <c r="AN2620">
        <v>0.99999999526323602</v>
      </c>
    </row>
    <row r="2621" spans="1:40" x14ac:dyDescent="0.25">
      <c r="A2621" t="str">
        <f>"20190305135637968"</f>
        <v>20190305135637968</v>
      </c>
      <c r="B2621" t="str">
        <f>"1551765397964730"</f>
        <v>1551765397964730</v>
      </c>
      <c r="C2621" t="s">
        <v>40</v>
      </c>
      <c r="D2621">
        <v>4.3301480000000003</v>
      </c>
      <c r="E2621">
        <v>0.55397669999999999</v>
      </c>
      <c r="F2621" t="s">
        <v>54</v>
      </c>
      <c r="G2621">
        <v>-201.34190000000001</v>
      </c>
      <c r="H2621" s="1">
        <v>3.3024380000000001E-6</v>
      </c>
      <c r="I2621">
        <v>209.31399999999999</v>
      </c>
      <c r="J2621">
        <v>-211.38820000000001</v>
      </c>
      <c r="K2621">
        <v>1.1034820000000001</v>
      </c>
      <c r="L2621">
        <v>214.24690000000001</v>
      </c>
      <c r="M2621">
        <v>0.99269989999999997</v>
      </c>
      <c r="N2621">
        <v>-1.559404E-2</v>
      </c>
      <c r="O2621">
        <v>-0.11959980000000001</v>
      </c>
      <c r="P2621">
        <v>0.94896349999999996</v>
      </c>
      <c r="Q2621">
        <v>-8.9233950000000006E-2</v>
      </c>
      <c r="R2621">
        <v>-0.30249880000000001</v>
      </c>
      <c r="S2621">
        <v>2.7246700000000001</v>
      </c>
      <c r="T2621">
        <v>-0.2863251</v>
      </c>
      <c r="U2621">
        <v>-1.295288</v>
      </c>
      <c r="V2621">
        <v>0.18574180000000001</v>
      </c>
      <c r="W2621">
        <v>-7.6628009999999996E-2</v>
      </c>
      <c r="X2621">
        <v>0.97960610000000004</v>
      </c>
      <c r="Y2621">
        <v>0.31696299999999999</v>
      </c>
      <c r="Z2621">
        <v>-8.3564709999999903E-3</v>
      </c>
      <c r="AA2621">
        <v>0.9484011</v>
      </c>
      <c r="AB2621">
        <v>34</v>
      </c>
      <c r="AC2621">
        <v>10.0463</v>
      </c>
      <c r="AD2621">
        <v>-1.1034786975619999</v>
      </c>
      <c r="AE2621">
        <v>-4.9328999999999796</v>
      </c>
      <c r="AF2621">
        <v>3.66022163667638</v>
      </c>
      <c r="AG2621">
        <v>-1.1034786975619999</v>
      </c>
      <c r="AH2621">
        <v>10.462511607612401</v>
      </c>
      <c r="AI2621">
        <v>95.685259376366503</v>
      </c>
      <c r="AJ2621">
        <v>70.718040193906504</v>
      </c>
      <c r="AK2621">
        <v>11.1390770176433</v>
      </c>
      <c r="AL2621">
        <v>94.3947696941256</v>
      </c>
      <c r="AM2621">
        <v>79.2636753549167</v>
      </c>
      <c r="AN2621">
        <v>0.99999998967050496</v>
      </c>
    </row>
    <row r="2622" spans="1:40" x14ac:dyDescent="0.25">
      <c r="A2622" t="str">
        <f>"20190305135637994"</f>
        <v>20190305135637994</v>
      </c>
      <c r="B2622" t="str">
        <f>"1551765397985226"</f>
        <v>1551765397985226</v>
      </c>
      <c r="C2622" t="s">
        <v>40</v>
      </c>
      <c r="D2622">
        <v>4.4285550000000002</v>
      </c>
      <c r="E2622">
        <v>0.553929</v>
      </c>
      <c r="F2622" t="s">
        <v>54</v>
      </c>
      <c r="G2622">
        <v>-200.97659999999999</v>
      </c>
      <c r="H2622" s="1">
        <v>3.1636449999999998E-6</v>
      </c>
      <c r="I2622">
        <v>209.1823</v>
      </c>
      <c r="J2622">
        <v>-211.0103</v>
      </c>
      <c r="K2622">
        <v>1.103353</v>
      </c>
      <c r="L2622">
        <v>214.19370000000001</v>
      </c>
      <c r="M2622">
        <v>0.99174499999999999</v>
      </c>
      <c r="N2622">
        <v>-1.55262E-2</v>
      </c>
      <c r="O2622">
        <v>-0.12728299999999901</v>
      </c>
      <c r="P2622">
        <v>0.94774179999999997</v>
      </c>
      <c r="Q2622">
        <v>-8.5433040000000002E-2</v>
      </c>
      <c r="R2622">
        <v>-0.30738670000000001</v>
      </c>
      <c r="S2622">
        <v>2.7135470000000002</v>
      </c>
      <c r="T2622">
        <v>-0.28759669999999998</v>
      </c>
      <c r="U2622">
        <v>-1.3199920000000001</v>
      </c>
      <c r="V2622">
        <v>0.18318780000000001</v>
      </c>
      <c r="W2622">
        <v>-7.2921280000000005E-2</v>
      </c>
      <c r="X2622">
        <v>0.98036970000000001</v>
      </c>
      <c r="Y2622">
        <v>0.31814409999999999</v>
      </c>
      <c r="Z2622">
        <v>-7.79532199999999E-3</v>
      </c>
      <c r="AA2622">
        <v>0.94801029999999997</v>
      </c>
      <c r="AB2622">
        <v>34</v>
      </c>
      <c r="AC2622">
        <v>10.0337</v>
      </c>
      <c r="AD2622">
        <v>-1.1033498363550001</v>
      </c>
      <c r="AE2622">
        <v>-5.0114000000000001</v>
      </c>
      <c r="AF2622">
        <v>3.6579548696067898</v>
      </c>
      <c r="AG2622">
        <v>-1.1033498363550001</v>
      </c>
      <c r="AH2622">
        <v>10.4885063128801</v>
      </c>
      <c r="AI2622">
        <v>95.672503061761802</v>
      </c>
      <c r="AJ2622">
        <v>70.773352378154101</v>
      </c>
      <c r="AK2622">
        <v>11.1627406744397</v>
      </c>
      <c r="AL2622">
        <v>94.181793236527298</v>
      </c>
      <c r="AM2622">
        <v>79.416003276601501</v>
      </c>
      <c r="AN2622">
        <v>1.00000001591188</v>
      </c>
    </row>
    <row r="2623" spans="1:40" x14ac:dyDescent="0.25">
      <c r="A2623" t="str">
        <f>"20190305135638013"</f>
        <v>20190305135638013</v>
      </c>
      <c r="B2623" t="str">
        <f>"1551765398004747"</f>
        <v>1551765398004747</v>
      </c>
      <c r="C2623" t="s">
        <v>40</v>
      </c>
      <c r="D2623">
        <v>4.4507219999999998</v>
      </c>
      <c r="E2623">
        <v>0.55424249999999997</v>
      </c>
      <c r="F2623" t="s">
        <v>54</v>
      </c>
      <c r="G2623">
        <v>-200.89689999999999</v>
      </c>
      <c r="H2623" s="1">
        <v>3.1241069999999999E-6</v>
      </c>
      <c r="I2623">
        <v>209.20590000000001</v>
      </c>
      <c r="J2623">
        <v>-210.70249999999999</v>
      </c>
      <c r="K2623">
        <v>1.1032519999999999</v>
      </c>
      <c r="L2623">
        <v>214.148</v>
      </c>
      <c r="M2623">
        <v>0.9909036</v>
      </c>
      <c r="N2623">
        <v>-1.55049E-2</v>
      </c>
      <c r="O2623">
        <v>-0.13367899999999999</v>
      </c>
      <c r="P2623">
        <v>0.9469147</v>
      </c>
      <c r="Q2623">
        <v>-8.2014310000000007E-2</v>
      </c>
      <c r="R2623">
        <v>-0.31084850000000003</v>
      </c>
      <c r="S2623">
        <v>2.705978</v>
      </c>
      <c r="T2623">
        <v>-0.295214799999999</v>
      </c>
      <c r="U2623">
        <v>-1.334549</v>
      </c>
      <c r="V2623">
        <v>0.1804347</v>
      </c>
      <c r="W2623">
        <v>-6.9531289999999996E-2</v>
      </c>
      <c r="X2623">
        <v>0.98112619999999895</v>
      </c>
      <c r="Y2623">
        <v>0.31715270000000001</v>
      </c>
      <c r="Z2623">
        <v>-7.2754899999999999E-3</v>
      </c>
      <c r="AA2623">
        <v>0.94834660000000004</v>
      </c>
      <c r="AB2623">
        <v>34</v>
      </c>
      <c r="AC2623">
        <v>9.8055999999999894</v>
      </c>
      <c r="AD2623">
        <v>-1.1032488758929999</v>
      </c>
      <c r="AE2623">
        <v>-4.9420999999999804</v>
      </c>
      <c r="AF2623">
        <v>3.55092679278955</v>
      </c>
      <c r="AG2623">
        <v>-1.1032488758929999</v>
      </c>
      <c r="AH2623">
        <v>10.2745859800471</v>
      </c>
      <c r="AI2623">
        <v>95.794910376522395</v>
      </c>
      <c r="AJ2623">
        <v>70.934701581915604</v>
      </c>
      <c r="AK2623">
        <v>10.926726693355601</v>
      </c>
      <c r="AL2623">
        <v>93.987066714774201</v>
      </c>
      <c r="AM2623">
        <v>79.579417654235399</v>
      </c>
      <c r="AN2623">
        <v>0.99999995078979498</v>
      </c>
    </row>
    <row r="2624" spans="1:40" x14ac:dyDescent="0.25">
      <c r="A2624" t="str">
        <f>"20190305135638032"</f>
        <v>20190305135638032</v>
      </c>
      <c r="B2624" t="str">
        <f>"1551765398025242"</f>
        <v>1551765398025242</v>
      </c>
      <c r="C2624" t="s">
        <v>40</v>
      </c>
      <c r="D2624">
        <v>4.383832</v>
      </c>
      <c r="E2624">
        <v>0.55456909999999904</v>
      </c>
      <c r="F2624" t="s">
        <v>54</v>
      </c>
      <c r="G2624">
        <v>-200.48679999999999</v>
      </c>
      <c r="H2624" s="1">
        <v>2.9724129999999998E-6</v>
      </c>
      <c r="I2624">
        <v>209.05240000000001</v>
      </c>
      <c r="J2624">
        <v>-210.4299</v>
      </c>
      <c r="K2624">
        <v>1.1031679999999999</v>
      </c>
      <c r="L2624">
        <v>214.10579999999999</v>
      </c>
      <c r="M2624">
        <v>0.99011090000000002</v>
      </c>
      <c r="N2624">
        <v>-1.551109E-2</v>
      </c>
      <c r="O2624">
        <v>-0.13942760000000001</v>
      </c>
      <c r="P2624">
        <v>0.94555219999999995</v>
      </c>
      <c r="Q2624">
        <v>-7.8987290000000002E-2</v>
      </c>
      <c r="R2624">
        <v>-0.3157412</v>
      </c>
      <c r="S2624">
        <v>2.7006839999999999</v>
      </c>
      <c r="T2624">
        <v>-0.29166310000000001</v>
      </c>
      <c r="U2624">
        <v>-1.3471219999999999</v>
      </c>
      <c r="V2624">
        <v>0.17980660000000001</v>
      </c>
      <c r="W2624">
        <v>-6.6532880000000003E-2</v>
      </c>
      <c r="X2624">
        <v>0.98144940000000003</v>
      </c>
      <c r="Y2624">
        <v>0.3159807</v>
      </c>
      <c r="Z2624">
        <v>-6.6940539999999996E-3</v>
      </c>
      <c r="AA2624">
        <v>0.94874199999999997</v>
      </c>
      <c r="AB2624">
        <v>34</v>
      </c>
      <c r="AC2624">
        <v>9.94310000000001</v>
      </c>
      <c r="AD2624">
        <v>-1.103165027587</v>
      </c>
      <c r="AE2624">
        <v>-5.0533999999999804</v>
      </c>
      <c r="AF2624">
        <v>3.5824727962718899</v>
      </c>
      <c r="AG2624">
        <v>-1.103165027587</v>
      </c>
      <c r="AH2624">
        <v>10.448410733551301</v>
      </c>
      <c r="AI2624">
        <v>95.703472365662904</v>
      </c>
      <c r="AJ2624">
        <v>71.0745678144756</v>
      </c>
      <c r="AK2624">
        <v>11.100467164543501</v>
      </c>
      <c r="AL2624">
        <v>93.814871333115406</v>
      </c>
      <c r="AM2624">
        <v>79.618247012017605</v>
      </c>
      <c r="AN2624">
        <v>0.99999998114250699</v>
      </c>
    </row>
    <row r="2625" spans="1:40" x14ac:dyDescent="0.25">
      <c r="A2625" t="str">
        <f>"20190305135638054"</f>
        <v>20190305135638054</v>
      </c>
      <c r="B2625" t="str">
        <f>"1551765398044763"</f>
        <v>1551765398044763</v>
      </c>
      <c r="C2625" t="s">
        <v>40</v>
      </c>
      <c r="D2625">
        <v>4.2555230000000002</v>
      </c>
      <c r="E2625">
        <v>0.55501119999999904</v>
      </c>
      <c r="F2625" t="s">
        <v>54</v>
      </c>
      <c r="G2625">
        <v>-200.04910000000001</v>
      </c>
      <c r="H2625" s="1">
        <v>2.8706070000000001E-6</v>
      </c>
      <c r="I2625">
        <v>208.8503</v>
      </c>
      <c r="J2625">
        <v>-210.09129999999999</v>
      </c>
      <c r="K2625">
        <v>1.1030549999999999</v>
      </c>
      <c r="L2625">
        <v>214.05070000000001</v>
      </c>
      <c r="M2625">
        <v>0.9890582</v>
      </c>
      <c r="N2625">
        <v>-1.5537570000000001E-2</v>
      </c>
      <c r="O2625">
        <v>-0.14670520000000001</v>
      </c>
      <c r="P2625">
        <v>0.94318999999999997</v>
      </c>
      <c r="Q2625">
        <v>-7.7310879999999998E-2</v>
      </c>
      <c r="R2625">
        <v>-0.32313409999999998</v>
      </c>
      <c r="S2625">
        <v>2.693527</v>
      </c>
      <c r="T2625">
        <v>-0.28623929999999997</v>
      </c>
      <c r="U2625">
        <v>-1.363632</v>
      </c>
      <c r="V2625">
        <v>0.18025740000000001</v>
      </c>
      <c r="W2625">
        <v>-6.489354E-2</v>
      </c>
      <c r="X2625">
        <v>0.98147649999999997</v>
      </c>
      <c r="Y2625">
        <v>0.31471850000000001</v>
      </c>
      <c r="Z2625">
        <v>-5.9946039999999997E-3</v>
      </c>
      <c r="AA2625">
        <v>0.94916610000000001</v>
      </c>
      <c r="AB2625">
        <v>34</v>
      </c>
      <c r="AC2625">
        <v>10.0421999999999</v>
      </c>
      <c r="AD2625">
        <v>-1.10305212939299</v>
      </c>
      <c r="AE2625">
        <v>-5.2004000000000001</v>
      </c>
      <c r="AF2625">
        <v>3.6361051858592601</v>
      </c>
      <c r="AG2625">
        <v>-1.10305212939299</v>
      </c>
      <c r="AH2625">
        <v>10.595731398956</v>
      </c>
      <c r="AI2625">
        <v>95.623607671274897</v>
      </c>
      <c r="AJ2625">
        <v>71.0594718407866</v>
      </c>
      <c r="AK2625">
        <v>11.2564429906438</v>
      </c>
      <c r="AL2625">
        <v>93.720740487723205</v>
      </c>
      <c r="AM2625">
        <v>79.593067657202099</v>
      </c>
      <c r="AN2625">
        <v>1.0000000109203699</v>
      </c>
    </row>
    <row r="2626" spans="1:40" x14ac:dyDescent="0.25">
      <c r="A2626" t="str">
        <f>"20190305135638099"</f>
        <v>20190305135638099</v>
      </c>
      <c r="B2626" t="str">
        <f>"1551765398094538"</f>
        <v>1551765398094538</v>
      </c>
      <c r="C2626" t="s">
        <v>40</v>
      </c>
      <c r="D2626">
        <v>4.2634660000000002</v>
      </c>
      <c r="E2626">
        <v>0.55632199999999998</v>
      </c>
      <c r="F2626" t="s">
        <v>54</v>
      </c>
      <c r="G2626">
        <v>-199.73159999999999</v>
      </c>
      <c r="H2626" s="1">
        <v>2.9207240000000001E-6</v>
      </c>
      <c r="I2626">
        <v>208.69030000000001</v>
      </c>
      <c r="J2626">
        <v>-209.43520000000001</v>
      </c>
      <c r="K2626">
        <v>1.1028659999999999</v>
      </c>
      <c r="L2626">
        <v>213.93639999999999</v>
      </c>
      <c r="M2626">
        <v>0.98680230000000002</v>
      </c>
      <c r="N2626">
        <v>-1.5602919999999999E-2</v>
      </c>
      <c r="O2626">
        <v>-0.16117609999999999</v>
      </c>
      <c r="P2626">
        <v>0.93793899999999997</v>
      </c>
      <c r="Q2626">
        <v>-7.5282310000000005E-2</v>
      </c>
      <c r="R2626">
        <v>-0.3385302</v>
      </c>
      <c r="S2626">
        <v>2.6818849999999999</v>
      </c>
      <c r="T2626">
        <v>-0.28555320000000001</v>
      </c>
      <c r="U2626">
        <v>-1.3876949999999999</v>
      </c>
      <c r="V2626">
        <v>0.18191840000000001</v>
      </c>
      <c r="W2626">
        <v>-6.2925690000000006E-2</v>
      </c>
      <c r="X2626">
        <v>0.98129809999999995</v>
      </c>
      <c r="Y2626">
        <v>0.30929179999999901</v>
      </c>
      <c r="Z2626">
        <v>-4.5130869999999998E-3</v>
      </c>
      <c r="AA2626">
        <v>0.95095649999999998</v>
      </c>
      <c r="AB2626">
        <v>33</v>
      </c>
      <c r="AC2626">
        <v>9.7036000000000193</v>
      </c>
      <c r="AD2626">
        <v>-1.1028630792759999</v>
      </c>
      <c r="AE2626">
        <v>-5.2460999999999798</v>
      </c>
      <c r="AF2626">
        <v>3.57755443192909</v>
      </c>
      <c r="AG2626">
        <v>-1.1028630792759999</v>
      </c>
      <c r="AH2626">
        <v>10.3192006665805</v>
      </c>
      <c r="AI2626">
        <v>95.766098328458995</v>
      </c>
      <c r="AJ2626">
        <v>70.879126040523005</v>
      </c>
      <c r="AK2626">
        <v>10.9772995350496</v>
      </c>
      <c r="AL2626">
        <v>93.607760209744598</v>
      </c>
      <c r="AM2626">
        <v>79.497428932673799</v>
      </c>
      <c r="AN2626">
        <v>0.99999995389207197</v>
      </c>
    </row>
    <row r="2627" spans="1:40" x14ac:dyDescent="0.25">
      <c r="A2627" t="str">
        <f>"20190305135638119"</f>
        <v>20190305135638119</v>
      </c>
      <c r="B2627" t="str">
        <f>"1551765398115034"</f>
        <v>1551765398115034</v>
      </c>
      <c r="C2627" t="s">
        <v>40</v>
      </c>
      <c r="D2627">
        <v>4.26797</v>
      </c>
      <c r="E2627">
        <v>0.55679339999999999</v>
      </c>
      <c r="F2627" t="s">
        <v>54</v>
      </c>
      <c r="G2627">
        <v>-199.03290000000001</v>
      </c>
      <c r="H2627" s="1">
        <v>3.1510290000000002E-6</v>
      </c>
      <c r="I2627">
        <v>208.2886</v>
      </c>
      <c r="J2627">
        <v>-209.124</v>
      </c>
      <c r="K2627">
        <v>1.102762</v>
      </c>
      <c r="L2627">
        <v>213.87860000000001</v>
      </c>
      <c r="M2627">
        <v>0.98562780000000005</v>
      </c>
      <c r="N2627">
        <v>-1.561601E-2</v>
      </c>
      <c r="O2627">
        <v>-0.16820779999999999</v>
      </c>
      <c r="P2627">
        <v>0.93512499999999998</v>
      </c>
      <c r="Q2627">
        <v>-7.4069410000000002E-2</v>
      </c>
      <c r="R2627">
        <v>-0.34648970000000001</v>
      </c>
      <c r="S2627">
        <v>2.6555019999999998</v>
      </c>
      <c r="T2627">
        <v>-0.28153850000000002</v>
      </c>
      <c r="U2627">
        <v>-1.4417879999999901</v>
      </c>
      <c r="V2627">
        <v>0.1832502</v>
      </c>
      <c r="W2627">
        <v>-6.176417E-2</v>
      </c>
      <c r="X2627">
        <v>0.98112410000000005</v>
      </c>
      <c r="Y2627">
        <v>0.321405</v>
      </c>
      <c r="Z2627">
        <v>-4.6607159999999996E-3</v>
      </c>
      <c r="AA2627">
        <v>0.9469303</v>
      </c>
      <c r="AB2627">
        <v>33</v>
      </c>
      <c r="AC2627">
        <v>10.091100000000001</v>
      </c>
      <c r="AD2627">
        <v>-1.1027588489710001</v>
      </c>
      <c r="AE2627">
        <v>-5.59</v>
      </c>
      <c r="AF2627">
        <v>3.7781974484399301</v>
      </c>
      <c r="AG2627">
        <v>-1.1027588489710001</v>
      </c>
      <c r="AH2627">
        <v>10.7890873206597</v>
      </c>
      <c r="AI2627">
        <v>95.510084101423004</v>
      </c>
      <c r="AJ2627">
        <v>70.700412478561006</v>
      </c>
      <c r="AK2627">
        <v>11.4845660889388</v>
      </c>
      <c r="AL2627">
        <v>93.541080222650393</v>
      </c>
      <c r="AM2627">
        <v>79.420436545408705</v>
      </c>
      <c r="AN2627">
        <v>0.99999997404831897</v>
      </c>
    </row>
    <row r="2628" spans="1:40" x14ac:dyDescent="0.25">
      <c r="A2628" t="str">
        <f>"20190305135638144"</f>
        <v>20190305135638144</v>
      </c>
      <c r="B2628" t="str">
        <f>"1551765398134556"</f>
        <v>1551765398134556</v>
      </c>
      <c r="C2628" t="s">
        <v>40</v>
      </c>
      <c r="D2628">
        <v>4.1556119999999996</v>
      </c>
      <c r="E2628">
        <v>0.55753339999999996</v>
      </c>
      <c r="F2628" t="s">
        <v>54</v>
      </c>
      <c r="G2628">
        <v>-198.68950000000001</v>
      </c>
      <c r="H2628" s="1">
        <v>3.2667130000000001E-6</v>
      </c>
      <c r="I2628">
        <v>208.08170000000001</v>
      </c>
      <c r="J2628">
        <v>-208.7724</v>
      </c>
      <c r="K2628">
        <v>1.102665</v>
      </c>
      <c r="L2628">
        <v>213.81030000000001</v>
      </c>
      <c r="M2628">
        <v>0.98421760000000003</v>
      </c>
      <c r="N2628">
        <v>-1.561593E-2</v>
      </c>
      <c r="O2628">
        <v>-0.1762727</v>
      </c>
      <c r="P2628">
        <v>0.93121679999999996</v>
      </c>
      <c r="Q2628">
        <v>-7.410812E-2</v>
      </c>
      <c r="R2628">
        <v>-0.35685230000000001</v>
      </c>
      <c r="S2628">
        <v>2.6421510000000001</v>
      </c>
      <c r="T2628">
        <v>-0.27923049999999999</v>
      </c>
      <c r="U2628">
        <v>-1.467819</v>
      </c>
      <c r="V2628">
        <v>0.18609300000000001</v>
      </c>
      <c r="W2628">
        <v>-6.1900740000000003E-2</v>
      </c>
      <c r="X2628">
        <v>0.98058029999999996</v>
      </c>
      <c r="Y2628">
        <v>0.32284629999999997</v>
      </c>
      <c r="Z2628">
        <v>-4.1050100000000001E-3</v>
      </c>
      <c r="AA2628">
        <v>0.94644249999999996</v>
      </c>
      <c r="AB2628">
        <v>33</v>
      </c>
      <c r="AC2628">
        <v>10.082899999999899</v>
      </c>
      <c r="AD2628">
        <v>-1.1026617332869999</v>
      </c>
      <c r="AE2628">
        <v>-5.7286000000000001</v>
      </c>
      <c r="AF2628">
        <v>3.8267215963158798</v>
      </c>
      <c r="AG2628">
        <v>-1.1026617332869999</v>
      </c>
      <c r="AH2628">
        <v>10.836917989652299</v>
      </c>
      <c r="AI2628">
        <v>95.480432419966206</v>
      </c>
      <c r="AJ2628">
        <v>70.550905938477101</v>
      </c>
      <c r="AK2628">
        <v>11.5454949044298</v>
      </c>
      <c r="AL2628">
        <v>93.5489199614385</v>
      </c>
      <c r="AM2628">
        <v>79.254285538588704</v>
      </c>
      <c r="AN2628">
        <v>1.0000000155048101</v>
      </c>
    </row>
    <row r="2629" spans="1:40" x14ac:dyDescent="0.25">
      <c r="A2629" t="str">
        <f>"20190305135638169"</f>
        <v>20190305135638169</v>
      </c>
      <c r="B2629" t="str">
        <f>"1551765398164812"</f>
        <v>1551765398164812</v>
      </c>
      <c r="C2629" t="s">
        <v>40</v>
      </c>
      <c r="D2629">
        <v>4.1248889999999996</v>
      </c>
      <c r="E2629">
        <v>0.558704599999999</v>
      </c>
      <c r="F2629" t="s">
        <v>54</v>
      </c>
      <c r="G2629">
        <v>-198.5249</v>
      </c>
      <c r="H2629" s="1">
        <v>3.333164E-6</v>
      </c>
      <c r="I2629">
        <v>207.941</v>
      </c>
      <c r="J2629">
        <v>-208.3956</v>
      </c>
      <c r="K2629">
        <v>1.102552</v>
      </c>
      <c r="L2629">
        <v>213.73390000000001</v>
      </c>
      <c r="M2629">
        <v>0.98260429999999999</v>
      </c>
      <c r="N2629">
        <v>-1.55928E-2</v>
      </c>
      <c r="O2629">
        <v>-0.1850561</v>
      </c>
      <c r="P2629">
        <v>0.92716679999999996</v>
      </c>
      <c r="Q2629">
        <v>-7.3229219999999998E-2</v>
      </c>
      <c r="R2629">
        <v>-0.36742249999999999</v>
      </c>
      <c r="S2629">
        <v>2.6233219999999999</v>
      </c>
      <c r="T2629">
        <v>-0.28227849999999999</v>
      </c>
      <c r="U2629">
        <v>-1.5025329999999999</v>
      </c>
      <c r="V2629">
        <v>0.18847369999999999</v>
      </c>
      <c r="W2629">
        <v>-6.1133750000000001E-2</v>
      </c>
      <c r="X2629">
        <v>0.98017359999999998</v>
      </c>
      <c r="Y2629">
        <v>0.3267429</v>
      </c>
      <c r="Z2629">
        <v>-3.599919E-3</v>
      </c>
      <c r="AA2629">
        <v>0.94510640000000001</v>
      </c>
      <c r="AB2629">
        <v>33</v>
      </c>
      <c r="AC2629">
        <v>9.8706999999999994</v>
      </c>
      <c r="AD2629">
        <v>-1.1025486668359901</v>
      </c>
      <c r="AE2629">
        <v>-5.7929000000000297</v>
      </c>
      <c r="AF2629">
        <v>3.8304175261378002</v>
      </c>
      <c r="AG2629">
        <v>-1.1025486668359901</v>
      </c>
      <c r="AH2629">
        <v>10.673261601119099</v>
      </c>
      <c r="AI2629">
        <v>95.553321659117998</v>
      </c>
      <c r="AJ2629">
        <v>70.257965109734201</v>
      </c>
      <c r="AK2629">
        <v>11.3932534946436</v>
      </c>
      <c r="AL2629">
        <v>93.504891411345596</v>
      </c>
      <c r="AM2629">
        <v>79.115669295747296</v>
      </c>
      <c r="AN2629">
        <v>0.99999997855885603</v>
      </c>
    </row>
    <row r="2630" spans="1:40" x14ac:dyDescent="0.25">
      <c r="A2630" t="str">
        <f>"20190305135638206"</f>
        <v>20190305135638206</v>
      </c>
      <c r="B2630" t="str">
        <f>"1551765398195066"</f>
        <v>1551765398195066</v>
      </c>
      <c r="C2630" t="s">
        <v>40</v>
      </c>
      <c r="D2630">
        <v>4.0980689999999997</v>
      </c>
      <c r="E2630">
        <v>0.55978689999999998</v>
      </c>
      <c r="F2630" t="s">
        <v>54</v>
      </c>
      <c r="G2630">
        <v>-198.24889999999999</v>
      </c>
      <c r="H2630" s="1">
        <v>3.4393950000000001E-6</v>
      </c>
      <c r="I2630">
        <v>207.72479999999999</v>
      </c>
      <c r="J2630">
        <v>-207.85579999999999</v>
      </c>
      <c r="K2630">
        <v>1.1023829999999999</v>
      </c>
      <c r="L2630">
        <v>213.61750000000001</v>
      </c>
      <c r="M2630">
        <v>0.98008930000000005</v>
      </c>
      <c r="N2630">
        <v>-1.5479379999999999E-2</v>
      </c>
      <c r="O2630">
        <v>-0.19795260000000001</v>
      </c>
      <c r="P2630">
        <v>0.92127590000000004</v>
      </c>
      <c r="Q2630">
        <v>-7.1666809999999997E-2</v>
      </c>
      <c r="R2630">
        <v>-0.38224900000000001</v>
      </c>
      <c r="S2630">
        <v>2.6025390000000002</v>
      </c>
      <c r="T2630">
        <v>-0.28279379999999998</v>
      </c>
      <c r="U2630">
        <v>-1.54129</v>
      </c>
      <c r="V2630">
        <v>0.19129399999999999</v>
      </c>
      <c r="W2630">
        <v>-5.9801140000000003E-2</v>
      </c>
      <c r="X2630">
        <v>0.97970939999999995</v>
      </c>
      <c r="Y2630">
        <v>0.3280941</v>
      </c>
      <c r="Z2630">
        <v>-2.586124E-3</v>
      </c>
      <c r="AA2630">
        <v>0.94464150000000002</v>
      </c>
      <c r="AB2630">
        <v>33</v>
      </c>
      <c r="AC2630">
        <v>9.6068999999999907</v>
      </c>
      <c r="AD2630">
        <v>-1.102379560605</v>
      </c>
      <c r="AE2630">
        <v>-5.8927000000000103</v>
      </c>
      <c r="AF2630">
        <v>3.8374110300536399</v>
      </c>
      <c r="AG2630">
        <v>-1.102379560605</v>
      </c>
      <c r="AH2630">
        <v>10.4830662093173</v>
      </c>
      <c r="AI2630">
        <v>95.639667025239703</v>
      </c>
      <c r="AJ2630">
        <v>69.894439925808996</v>
      </c>
      <c r="AK2630">
        <v>11.2176486510386</v>
      </c>
      <c r="AL2630">
        <v>93.428398296638804</v>
      </c>
      <c r="AM2630">
        <v>78.951669074210699</v>
      </c>
      <c r="AN2630">
        <v>1.0000000396148201</v>
      </c>
    </row>
    <row r="2631" spans="1:40" x14ac:dyDescent="0.25">
      <c r="A2631" t="str">
        <f>"20190305135638236"</f>
        <v>20190305135638236</v>
      </c>
      <c r="B2631" t="str">
        <f>"1551765398224348"</f>
        <v>1551765398224348</v>
      </c>
      <c r="C2631" t="s">
        <v>40</v>
      </c>
      <c r="D2631">
        <v>4.0187520000000001</v>
      </c>
      <c r="E2631">
        <v>0.56071890000000002</v>
      </c>
      <c r="F2631" t="s">
        <v>54</v>
      </c>
      <c r="G2631">
        <v>-197.66970000000001</v>
      </c>
      <c r="H2631" s="1">
        <v>3.648426E-6</v>
      </c>
      <c r="I2631">
        <v>207.32329999999999</v>
      </c>
      <c r="J2631">
        <v>-207.42320000000001</v>
      </c>
      <c r="K2631">
        <v>1.102247</v>
      </c>
      <c r="L2631">
        <v>213.5187</v>
      </c>
      <c r="M2631">
        <v>0.97790180000000004</v>
      </c>
      <c r="N2631">
        <v>-1.535418E-2</v>
      </c>
      <c r="O2631">
        <v>-0.2085002</v>
      </c>
      <c r="P2631">
        <v>0.91640829999999995</v>
      </c>
      <c r="Q2631">
        <v>-7.1353509999999995E-2</v>
      </c>
      <c r="R2631">
        <v>-0.3938335</v>
      </c>
      <c r="S2631">
        <v>2.5745849999999999</v>
      </c>
      <c r="T2631">
        <v>-0.27863359999999998</v>
      </c>
      <c r="U2631">
        <v>-1.590897</v>
      </c>
      <c r="V2631">
        <v>0.19307089999999999</v>
      </c>
      <c r="W2631">
        <v>-5.9696190000000003E-2</v>
      </c>
      <c r="X2631">
        <v>0.97936710000000005</v>
      </c>
      <c r="Y2631">
        <v>0.33569729999999998</v>
      </c>
      <c r="Z2631">
        <v>-2.1749109999999999E-3</v>
      </c>
      <c r="AA2631">
        <v>0.94196740000000001</v>
      </c>
      <c r="AB2631">
        <v>33</v>
      </c>
      <c r="AC2631">
        <v>9.7535000000000007</v>
      </c>
      <c r="AD2631">
        <v>-1.102243351574</v>
      </c>
      <c r="AE2631">
        <v>-6.1954000000000002</v>
      </c>
      <c r="AF2631">
        <v>3.9890611792959798</v>
      </c>
      <c r="AG2631">
        <v>-1.102243351574</v>
      </c>
      <c r="AH2631">
        <v>10.733313679686599</v>
      </c>
      <c r="AI2631">
        <v>95.498385406824596</v>
      </c>
      <c r="AJ2631">
        <v>69.612298792269598</v>
      </c>
      <c r="AK2631">
        <v>11.503546063923199</v>
      </c>
      <c r="AL2631">
        <v>93.422374608525899</v>
      </c>
      <c r="AM2631">
        <v>78.847803395481606</v>
      </c>
      <c r="AN2631">
        <v>0.99999996204486696</v>
      </c>
    </row>
    <row r="2632" spans="1:40" x14ac:dyDescent="0.25">
      <c r="A2632" t="str">
        <f>"20190305135638256"</f>
        <v>20190305135638256</v>
      </c>
      <c r="B2632" t="str">
        <f>"1551765398244843"</f>
        <v>1551765398244843</v>
      </c>
      <c r="C2632" t="s">
        <v>40</v>
      </c>
      <c r="D2632">
        <v>4.0309499999999998</v>
      </c>
      <c r="E2632">
        <v>0.561334</v>
      </c>
      <c r="F2632" t="s">
        <v>54</v>
      </c>
      <c r="G2632">
        <v>-197.33349999999999</v>
      </c>
      <c r="H2632" s="1">
        <v>3.7748109999999999E-6</v>
      </c>
      <c r="I2632">
        <v>207.07130000000001</v>
      </c>
      <c r="J2632">
        <v>-207.1225</v>
      </c>
      <c r="K2632">
        <v>1.1021529999999999</v>
      </c>
      <c r="L2632">
        <v>213.44710000000001</v>
      </c>
      <c r="M2632">
        <v>0.97628579999999998</v>
      </c>
      <c r="N2632">
        <v>-1.526547E-2</v>
      </c>
      <c r="O2632">
        <v>-0.21594650000000001</v>
      </c>
      <c r="P2632">
        <v>0.91261680000000001</v>
      </c>
      <c r="Q2632">
        <v>-7.1573529999999996E-2</v>
      </c>
      <c r="R2632">
        <v>-0.40250190000000002</v>
      </c>
      <c r="S2632">
        <v>2.5512999999999999</v>
      </c>
      <c r="T2632">
        <v>-0.27871449999999998</v>
      </c>
      <c r="U2632">
        <v>-1.6303099999999999</v>
      </c>
      <c r="V2632">
        <v>0.1948763</v>
      </c>
      <c r="W2632">
        <v>-6.0073950000000001E-2</v>
      </c>
      <c r="X2632">
        <v>0.97898640000000003</v>
      </c>
      <c r="Y2632">
        <v>0.34273880000000001</v>
      </c>
      <c r="Z2632">
        <v>-1.9448530000000001E-3</v>
      </c>
      <c r="AA2632">
        <v>0.93942870000000001</v>
      </c>
      <c r="AB2632">
        <v>33</v>
      </c>
      <c r="AC2632">
        <v>9.7890000000000104</v>
      </c>
      <c r="AD2632">
        <v>-1.1021492251889999</v>
      </c>
      <c r="AE2632">
        <v>-6.3757999999999901</v>
      </c>
      <c r="AF2632">
        <v>4.07491222145189</v>
      </c>
      <c r="AG2632">
        <v>-1.1021492251889999</v>
      </c>
      <c r="AH2632">
        <v>10.838497432590099</v>
      </c>
      <c r="AI2632">
        <v>95.437232942029993</v>
      </c>
      <c r="AJ2632">
        <v>69.395419786220998</v>
      </c>
      <c r="AK2632">
        <v>11.6315376938471</v>
      </c>
      <c r="AL2632">
        <v>93.444057407237906</v>
      </c>
      <c r="AM2632">
        <v>78.741904696957704</v>
      </c>
      <c r="AN2632">
        <v>1.00000001157762</v>
      </c>
    </row>
    <row r="2633" spans="1:40" x14ac:dyDescent="0.25">
      <c r="A2633" t="str">
        <f>"20190305135638279"</f>
        <v>20190305135638279</v>
      </c>
      <c r="B2633" t="str">
        <f>"1551765398275098"</f>
        <v>1551765398275098</v>
      </c>
      <c r="C2633" t="s">
        <v>40</v>
      </c>
      <c r="D2633">
        <v>4.0404970000000002</v>
      </c>
      <c r="E2633">
        <v>0.56187119999999902</v>
      </c>
      <c r="F2633" t="s">
        <v>54</v>
      </c>
      <c r="G2633">
        <v>-197.13159999999999</v>
      </c>
      <c r="H2633" s="1">
        <v>3.8547039999999998E-6</v>
      </c>
      <c r="I2633">
        <v>206.90479999999999</v>
      </c>
      <c r="J2633">
        <v>-206.78039999999999</v>
      </c>
      <c r="K2633">
        <v>1.102055</v>
      </c>
      <c r="L2633">
        <v>213.36250000000001</v>
      </c>
      <c r="M2633">
        <v>0.97434920000000003</v>
      </c>
      <c r="N2633">
        <v>-1.516782E-2</v>
      </c>
      <c r="O2633">
        <v>-0.2245297</v>
      </c>
      <c r="P2633">
        <v>0.90824280000000002</v>
      </c>
      <c r="Q2633">
        <v>-7.0292540000000001E-2</v>
      </c>
      <c r="R2633">
        <v>-0.41249740000000001</v>
      </c>
      <c r="S2633">
        <v>2.533585</v>
      </c>
      <c r="T2633">
        <v>-0.27949259999999998</v>
      </c>
      <c r="U2633">
        <v>-1.6590419999999999</v>
      </c>
      <c r="V2633">
        <v>0.19699410000000001</v>
      </c>
      <c r="W2633">
        <v>-5.896796E-2</v>
      </c>
      <c r="X2633">
        <v>0.97862969999999905</v>
      </c>
      <c r="Y2633">
        <v>0.3449546</v>
      </c>
      <c r="Z2633">
        <v>-1.326666E-3</v>
      </c>
      <c r="AA2633">
        <v>0.93861839999999996</v>
      </c>
      <c r="AB2633">
        <v>33</v>
      </c>
      <c r="AC2633">
        <v>9.6487999999999907</v>
      </c>
      <c r="AD2633">
        <v>-1.102051145296</v>
      </c>
      <c r="AE2633">
        <v>-6.4577000000000098</v>
      </c>
      <c r="AF2633">
        <v>4.0892444828188497</v>
      </c>
      <c r="AG2633">
        <v>-1.102051145296</v>
      </c>
      <c r="AH2633">
        <v>10.7555899011173</v>
      </c>
      <c r="AI2633">
        <v>95.470791254370397</v>
      </c>
      <c r="AJ2633">
        <v>69.183339749632793</v>
      </c>
      <c r="AK2633">
        <v>11.5593750388215</v>
      </c>
      <c r="AL2633">
        <v>93.380576360863998</v>
      </c>
      <c r="AM2633">
        <v>78.618694104964703</v>
      </c>
      <c r="AN2633">
        <v>0.99999999273173001</v>
      </c>
    </row>
    <row r="2634" spans="1:40" x14ac:dyDescent="0.25">
      <c r="A2634" t="str">
        <f>"20190305135638299"</f>
        <v>20190305135638299</v>
      </c>
      <c r="B2634" t="str">
        <f>"1551765398294619"</f>
        <v>1551765398294619</v>
      </c>
      <c r="C2634" t="s">
        <v>40</v>
      </c>
      <c r="D2634">
        <v>4.0438739999999997</v>
      </c>
      <c r="E2634">
        <v>0.58951279999999995</v>
      </c>
      <c r="F2634" t="s">
        <v>54</v>
      </c>
      <c r="G2634">
        <v>-196.7191</v>
      </c>
      <c r="H2634" s="1">
        <v>4.0099710000000004E-6</v>
      </c>
      <c r="I2634">
        <v>206.59479999999999</v>
      </c>
      <c r="J2634">
        <v>-206.49799999999999</v>
      </c>
      <c r="K2634">
        <v>1.101974</v>
      </c>
      <c r="L2634">
        <v>213.2903</v>
      </c>
      <c r="M2634">
        <v>0.97266980000000003</v>
      </c>
      <c r="N2634">
        <v>-1.509198E-2</v>
      </c>
      <c r="O2634">
        <v>-0.23170199999999999</v>
      </c>
      <c r="P2634">
        <v>0.90405709999999995</v>
      </c>
      <c r="Q2634">
        <v>-6.8011260000000004E-2</v>
      </c>
      <c r="R2634">
        <v>-0.42196640000000002</v>
      </c>
      <c r="S2634">
        <v>2.5138090000000002</v>
      </c>
      <c r="T2634">
        <v>-0.27534789999999998</v>
      </c>
      <c r="U2634">
        <v>-1.6909179999999999</v>
      </c>
      <c r="V2634">
        <v>0.19999690000000001</v>
      </c>
      <c r="W2634">
        <v>-5.6853269999999997E-2</v>
      </c>
      <c r="X2634">
        <v>0.97814570000000001</v>
      </c>
      <c r="Y2634">
        <v>0.34967710000000002</v>
      </c>
      <c r="Z2634">
        <v>-1.061195E-3</v>
      </c>
      <c r="AA2634">
        <v>0.93686970000000003</v>
      </c>
      <c r="AB2634">
        <v>33</v>
      </c>
      <c r="AC2634">
        <v>9.7788999999999895</v>
      </c>
      <c r="AD2634">
        <v>-1.1019699900290001</v>
      </c>
      <c r="AE2634">
        <v>-6.6955000000000098</v>
      </c>
      <c r="AF2634">
        <v>4.2107983444897004</v>
      </c>
      <c r="AG2634">
        <v>-1.1019699900290001</v>
      </c>
      <c r="AH2634">
        <v>10.9694231413586</v>
      </c>
      <c r="AI2634">
        <v>95.357860973037504</v>
      </c>
      <c r="AJ2634">
        <v>68.999857439116298</v>
      </c>
      <c r="AK2634">
        <v>11.801415364737201</v>
      </c>
      <c r="AL2634">
        <v>93.259209715106607</v>
      </c>
      <c r="AM2634">
        <v>78.444274776319304</v>
      </c>
      <c r="AN2634">
        <v>1.00000003237389</v>
      </c>
    </row>
    <row r="2635" spans="1:40" x14ac:dyDescent="0.25">
      <c r="A2635" t="str">
        <f>"20190305135638322"</f>
        <v>20190305135638322</v>
      </c>
      <c r="B2635" t="str">
        <f>"1551765398315115"</f>
        <v>1551765398315115</v>
      </c>
      <c r="C2635" t="s">
        <v>40</v>
      </c>
      <c r="D2635">
        <v>4.0391240000000002</v>
      </c>
      <c r="E2635">
        <v>0.61405290000000001</v>
      </c>
      <c r="F2635" t="s">
        <v>54</v>
      </c>
      <c r="G2635">
        <v>-196.51329999999999</v>
      </c>
      <c r="H2635" s="1">
        <v>4.4723999999999997E-6</v>
      </c>
      <c r="I2635">
        <v>205.32560000000001</v>
      </c>
      <c r="J2635">
        <v>-206.1678</v>
      </c>
      <c r="K2635">
        <v>1.1018790000000001</v>
      </c>
      <c r="L2635">
        <v>213.2029</v>
      </c>
      <c r="M2635">
        <v>0.97060869999999999</v>
      </c>
      <c r="N2635">
        <v>-1.5010900000000001E-2</v>
      </c>
      <c r="O2635">
        <v>-0.24019450000000001</v>
      </c>
      <c r="P2635">
        <v>0.89853819999999995</v>
      </c>
      <c r="Q2635">
        <v>-6.6553409999999993E-2</v>
      </c>
      <c r="R2635">
        <v>-0.43382009999999999</v>
      </c>
      <c r="S2635">
        <v>2.4035340000000001</v>
      </c>
      <c r="T2635">
        <v>-0.2652678</v>
      </c>
      <c r="U2635">
        <v>-1.9172670000000001</v>
      </c>
      <c r="V2635">
        <v>0.20429340000000001</v>
      </c>
      <c r="W2635">
        <v>-5.5605010000000003E-2</v>
      </c>
      <c r="X2635">
        <v>0.97732909999999995</v>
      </c>
      <c r="Y2635">
        <v>0.41637220000000003</v>
      </c>
      <c r="Z2635">
        <v>-4.3312430000000002E-3</v>
      </c>
      <c r="AA2635">
        <v>0.90918390000000004</v>
      </c>
      <c r="AB2635">
        <v>33</v>
      </c>
      <c r="AC2635">
        <v>9.6545000000000094</v>
      </c>
      <c r="AD2635">
        <v>-1.1018745275999999</v>
      </c>
      <c r="AE2635">
        <v>-7.8772999999999902</v>
      </c>
      <c r="AF2635">
        <v>5.2860817843539296</v>
      </c>
      <c r="AG2635">
        <v>-1.1018745275999999</v>
      </c>
      <c r="AH2635">
        <v>11.1766944544251</v>
      </c>
      <c r="AI2635">
        <v>95.092843355542698</v>
      </c>
      <c r="AJ2635">
        <v>64.687923129905002</v>
      </c>
      <c r="AK2635">
        <v>12.412706676347</v>
      </c>
      <c r="AL2635">
        <v>93.187576645706898</v>
      </c>
      <c r="AM2635">
        <v>78.193331643779999</v>
      </c>
      <c r="AN2635">
        <v>0.99999994006373305</v>
      </c>
    </row>
    <row r="2636" spans="1:40" x14ac:dyDescent="0.25">
      <c r="A2636" t="str">
        <f>"20190305135638344"</f>
        <v>20190305135638344</v>
      </c>
      <c r="B2636" t="str">
        <f>"1551765398334635"</f>
        <v>1551765398334635</v>
      </c>
      <c r="C2636" t="s">
        <v>40</v>
      </c>
      <c r="D2636">
        <v>4.063275</v>
      </c>
      <c r="E2636">
        <v>0.6164693</v>
      </c>
      <c r="F2636" t="s">
        <v>70</v>
      </c>
      <c r="G2636">
        <v>-168.41980000000001</v>
      </c>
      <c r="H2636">
        <v>0.13536210000000001</v>
      </c>
      <c r="I2636">
        <v>178.6337</v>
      </c>
      <c r="J2636">
        <v>-205.8588</v>
      </c>
      <c r="K2636">
        <v>1.101788</v>
      </c>
      <c r="L2636">
        <v>213.1182</v>
      </c>
      <c r="M2636">
        <v>0.968584</v>
      </c>
      <c r="N2636">
        <v>-1.494321E-2</v>
      </c>
      <c r="O2636">
        <v>-0.24823709999999999</v>
      </c>
      <c r="P2636">
        <v>0.89319850000000001</v>
      </c>
      <c r="Q2636">
        <v>-6.4925529999999995E-2</v>
      </c>
      <c r="R2636">
        <v>-0.44495099999999999</v>
      </c>
      <c r="S2636">
        <v>2.3120880000000001</v>
      </c>
      <c r="T2636">
        <v>-5.9197899999999998E-2</v>
      </c>
      <c r="U2636">
        <v>-2.1173860000000002</v>
      </c>
      <c r="V2636">
        <v>0.208312</v>
      </c>
      <c r="W2636">
        <v>-5.4168800000000003E-2</v>
      </c>
      <c r="X2636">
        <v>0.97656120000000002</v>
      </c>
      <c r="Y2636">
        <v>0.4709817</v>
      </c>
      <c r="Z2636">
        <v>-7.2227319999999999E-3</v>
      </c>
      <c r="AA2636">
        <v>0.88211340000000005</v>
      </c>
      <c r="AB2636">
        <v>33</v>
      </c>
      <c r="AC2636">
        <v>37.438999999999901</v>
      </c>
      <c r="AD2636">
        <v>-0.96642589999999995</v>
      </c>
      <c r="AE2636">
        <v>-34.484499999999997</v>
      </c>
      <c r="AF2636">
        <v>24.1013908203645</v>
      </c>
      <c r="AG2636">
        <v>-0.96642589999999995</v>
      </c>
      <c r="AH2636">
        <v>44.812001442903401</v>
      </c>
      <c r="AI2636">
        <v>91.088111949896003</v>
      </c>
      <c r="AJ2636">
        <v>61.7271520821484</v>
      </c>
      <c r="AK2636">
        <v>50.891320397636797</v>
      </c>
      <c r="AL2636">
        <v>93.105163560245998</v>
      </c>
      <c r="AM2636">
        <v>77.9586064620527</v>
      </c>
      <c r="AN2636">
        <v>0.99999996279143899</v>
      </c>
    </row>
    <row r="2637" spans="1:40" x14ac:dyDescent="0.25">
      <c r="A2637" t="str">
        <f>"20190305135638367"</f>
        <v>20190305135638367</v>
      </c>
      <c r="B2637" t="str">
        <f>"1551765398355132"</f>
        <v>1551765398355132</v>
      </c>
      <c r="C2637" t="s">
        <v>40</v>
      </c>
      <c r="D2637">
        <v>4.0401350000000003</v>
      </c>
      <c r="E2637">
        <v>0.616156699999999</v>
      </c>
      <c r="F2637" t="s">
        <v>70</v>
      </c>
      <c r="G2637">
        <v>-168.4203</v>
      </c>
      <c r="H2637">
        <v>0.67872909999999997</v>
      </c>
      <c r="I2637">
        <v>177.61930000000001</v>
      </c>
      <c r="J2637">
        <v>-205.53659999999999</v>
      </c>
      <c r="K2637">
        <v>1.101696</v>
      </c>
      <c r="L2637">
        <v>213.02690000000001</v>
      </c>
      <c r="M2637">
        <v>0.96636929999999999</v>
      </c>
      <c r="N2637">
        <v>-1.488052E-2</v>
      </c>
      <c r="O2637">
        <v>-0.25672739999999999</v>
      </c>
      <c r="P2637">
        <v>0.88754040000000001</v>
      </c>
      <c r="Q2637">
        <v>-6.4395620000000001E-2</v>
      </c>
      <c r="R2637">
        <v>-0.45620759999999999</v>
      </c>
      <c r="S2637">
        <v>2.279922</v>
      </c>
      <c r="T2637">
        <v>-2.5761369999999999E-2</v>
      </c>
      <c r="U2637">
        <v>-2.1618040000000001</v>
      </c>
      <c r="V2637">
        <v>0.21207019999999999</v>
      </c>
      <c r="W2637">
        <v>-5.3826069999999997E-2</v>
      </c>
      <c r="X2637">
        <v>0.97577100000000005</v>
      </c>
      <c r="Y2637">
        <v>0.47862070000000001</v>
      </c>
      <c r="Z2637">
        <v>-7.4008659999999999E-3</v>
      </c>
      <c r="AA2637">
        <v>0.87799059999999995</v>
      </c>
      <c r="AB2637">
        <v>33</v>
      </c>
      <c r="AC2637">
        <v>37.116300000000003</v>
      </c>
      <c r="AD2637">
        <v>-0.42296689999999998</v>
      </c>
      <c r="AE2637">
        <v>-35.407600000000002</v>
      </c>
      <c r="AF2637">
        <v>24.689101483876101</v>
      </c>
      <c r="AG2637">
        <v>-0.42296689999999998</v>
      </c>
      <c r="AH2637">
        <v>44.960075243025699</v>
      </c>
      <c r="AI2637">
        <v>90.472456730734706</v>
      </c>
      <c r="AJ2637">
        <v>61.227319113311502</v>
      </c>
      <c r="AK2637">
        <v>51.294629338149598</v>
      </c>
      <c r="AL2637">
        <v>93.085497678602906</v>
      </c>
      <c r="AM2637">
        <v>77.738250117184293</v>
      </c>
      <c r="AN2637">
        <v>1.00000002999034</v>
      </c>
    </row>
    <row r="2638" spans="1:40" x14ac:dyDescent="0.25">
      <c r="A2638" t="str">
        <f>"20190305135638394"</f>
        <v>20190305135638394</v>
      </c>
      <c r="B2638" t="str">
        <f>"1551765398384966"</f>
        <v>1551765398384966</v>
      </c>
      <c r="C2638" t="s">
        <v>40</v>
      </c>
      <c r="D2638">
        <v>4.030653</v>
      </c>
      <c r="E2638">
        <v>0.61547369999999901</v>
      </c>
      <c r="F2638" t="s">
        <v>70</v>
      </c>
      <c r="G2638">
        <v>-168.4205</v>
      </c>
      <c r="H2638">
        <v>0.74024299999999998</v>
      </c>
      <c r="I2638">
        <v>176.99789999999999</v>
      </c>
      <c r="J2638">
        <v>-205.1421</v>
      </c>
      <c r="K2638">
        <v>1.1015809999999999</v>
      </c>
      <c r="L2638">
        <v>212.91069999999999</v>
      </c>
      <c r="M2638">
        <v>0.96350690000000005</v>
      </c>
      <c r="N2638">
        <v>-1.481524E-2</v>
      </c>
      <c r="O2638">
        <v>-0.26727339999999999</v>
      </c>
      <c r="P2638">
        <v>0.88118050000000003</v>
      </c>
      <c r="Q2638">
        <v>-6.3417000000000001E-2</v>
      </c>
      <c r="R2638">
        <v>-0.46850740000000002</v>
      </c>
      <c r="S2638">
        <v>2.2539220000000002</v>
      </c>
      <c r="T2638">
        <v>-2.1947620000000001E-2</v>
      </c>
      <c r="U2638">
        <v>-2.1879119999999999</v>
      </c>
      <c r="V2638">
        <v>0.2149577</v>
      </c>
      <c r="W2638">
        <v>-5.3030059999999997E-2</v>
      </c>
      <c r="X2638">
        <v>0.97518249999999995</v>
      </c>
      <c r="Y2638">
        <v>0.47933100000000001</v>
      </c>
      <c r="Z2638">
        <v>-7.4563190000000003E-3</v>
      </c>
      <c r="AA2638">
        <v>0.87760249999999995</v>
      </c>
      <c r="AB2638">
        <v>33</v>
      </c>
      <c r="AC2638">
        <v>36.721600000000002</v>
      </c>
      <c r="AD2638">
        <v>-0.36133799999999999</v>
      </c>
      <c r="AE2638">
        <v>-35.912799999999997</v>
      </c>
      <c r="AF2638">
        <v>24.789016332789402</v>
      </c>
      <c r="AG2638">
        <v>-0.36133799999999999</v>
      </c>
      <c r="AH2638">
        <v>44.982759683416397</v>
      </c>
      <c r="AI2638">
        <v>90.403084703844399</v>
      </c>
      <c r="AJ2638">
        <v>61.141800684217799</v>
      </c>
      <c r="AK2638">
        <v>51.362190029568801</v>
      </c>
      <c r="AL2638">
        <v>93.039824660915599</v>
      </c>
      <c r="AM2638">
        <v>77.569183449505601</v>
      </c>
      <c r="AN2638">
        <v>0.99999995417956999</v>
      </c>
    </row>
    <row r="2639" spans="1:40" x14ac:dyDescent="0.25">
      <c r="A2639" t="str">
        <f>"20190305135638415"</f>
        <v>20190305135638415</v>
      </c>
      <c r="B2639" t="str">
        <f>"1551765398404484"</f>
        <v>1551765398404484</v>
      </c>
      <c r="C2639" t="s">
        <v>40</v>
      </c>
      <c r="D2639">
        <v>4.0608930000000001</v>
      </c>
      <c r="E2639">
        <v>0.61488379999999998</v>
      </c>
      <c r="F2639" t="s">
        <v>70</v>
      </c>
      <c r="G2639">
        <v>-168.42070000000001</v>
      </c>
      <c r="H2639">
        <v>0.79964109999999999</v>
      </c>
      <c r="I2639">
        <v>176.39269999999999</v>
      </c>
      <c r="J2639">
        <v>-204.8443</v>
      </c>
      <c r="K2639">
        <v>1.1014930000000001</v>
      </c>
      <c r="L2639">
        <v>212.81970000000001</v>
      </c>
      <c r="M2639">
        <v>0.96123329999999996</v>
      </c>
      <c r="N2639">
        <v>-1.4773690000000001E-2</v>
      </c>
      <c r="O2639">
        <v>-0.2753408</v>
      </c>
      <c r="P2639">
        <v>0.87574110000000005</v>
      </c>
      <c r="Q2639">
        <v>-6.2216920000000002E-2</v>
      </c>
      <c r="R2639">
        <v>-0.4787555</v>
      </c>
      <c r="S2639">
        <v>2.2261660000000001</v>
      </c>
      <c r="T2639">
        <v>-1.8302559999999999E-2</v>
      </c>
      <c r="U2639">
        <v>-2.2138369999999998</v>
      </c>
      <c r="V2639">
        <v>0.21814310000000001</v>
      </c>
      <c r="W2639">
        <v>-5.1982819999999999E-2</v>
      </c>
      <c r="X2639">
        <v>0.97453140000000005</v>
      </c>
      <c r="Y2639">
        <v>0.48258390000000001</v>
      </c>
      <c r="Z2639">
        <v>-7.5589369999999999E-3</v>
      </c>
      <c r="AA2639">
        <v>0.87581710000000002</v>
      </c>
      <c r="AB2639">
        <v>33</v>
      </c>
      <c r="AC2639">
        <v>36.423599999999901</v>
      </c>
      <c r="AD2639">
        <v>-0.30185190000000001</v>
      </c>
      <c r="AE2639">
        <v>-36.427</v>
      </c>
      <c r="AF2639">
        <v>24.9878080196202</v>
      </c>
      <c r="AG2639">
        <v>-0.30185190000000001</v>
      </c>
      <c r="AH2639">
        <v>45.0447799037876</v>
      </c>
      <c r="AI2639">
        <v>90.335744070512106</v>
      </c>
      <c r="AJ2639">
        <v>60.981439499186997</v>
      </c>
      <c r="AK2639">
        <v>51.512269031519097</v>
      </c>
      <c r="AL2639">
        <v>92.979739091833196</v>
      </c>
      <c r="AM2639">
        <v>77.382669269859306</v>
      </c>
      <c r="AN2639">
        <v>1.0000000376193601</v>
      </c>
    </row>
    <row r="2640" spans="1:40" x14ac:dyDescent="0.25">
      <c r="A2640" t="str">
        <f>"20190305135638434"</f>
        <v>20190305135638434</v>
      </c>
      <c r="B2640" t="str">
        <f>"1551765398424981"</f>
        <v>1551765398424981</v>
      </c>
      <c r="C2640" t="s">
        <v>40</v>
      </c>
      <c r="D2640">
        <v>4.0580949999999998</v>
      </c>
      <c r="E2640">
        <v>0.61432529999999996</v>
      </c>
      <c r="F2640" t="s">
        <v>70</v>
      </c>
      <c r="G2640">
        <v>-168.42089999999999</v>
      </c>
      <c r="H2640">
        <v>0.61860470000000001</v>
      </c>
      <c r="I2640">
        <v>175.81829999999999</v>
      </c>
      <c r="J2640">
        <v>-204.56780000000001</v>
      </c>
      <c r="K2640">
        <v>1.101418</v>
      </c>
      <c r="L2640">
        <v>212.7328</v>
      </c>
      <c r="M2640">
        <v>0.95903459999999996</v>
      </c>
      <c r="N2640">
        <v>-1.474021E-2</v>
      </c>
      <c r="O2640">
        <v>-0.28290539999999997</v>
      </c>
      <c r="P2640">
        <v>0.87007769999999995</v>
      </c>
      <c r="Q2640">
        <v>-6.191663E-2</v>
      </c>
      <c r="R2640">
        <v>-0.48901070000000002</v>
      </c>
      <c r="S2640">
        <v>2.2011720000000001</v>
      </c>
      <c r="T2640">
        <v>-2.9180169999999998E-2</v>
      </c>
      <c r="U2640">
        <v>-2.2360989999999998</v>
      </c>
      <c r="V2640">
        <v>0.2218985</v>
      </c>
      <c r="W2640">
        <v>-5.1837080000000001E-2</v>
      </c>
      <c r="X2640">
        <v>0.97369090000000003</v>
      </c>
      <c r="Y2640">
        <v>0.48497800000000002</v>
      </c>
      <c r="Z2640">
        <v>-7.505505E-3</v>
      </c>
      <c r="AA2640">
        <v>0.87449409999999905</v>
      </c>
      <c r="AB2640">
        <v>33</v>
      </c>
      <c r="AC2640">
        <v>36.146900000000002</v>
      </c>
      <c r="AD2640">
        <v>-0.4828133</v>
      </c>
      <c r="AE2640">
        <v>-36.914499999999997</v>
      </c>
      <c r="AF2640">
        <v>25.176665058464199</v>
      </c>
      <c r="AG2640">
        <v>-0.4828133</v>
      </c>
      <c r="AH2640">
        <v>45.1103986913635</v>
      </c>
      <c r="AI2640">
        <v>90.535463878177197</v>
      </c>
      <c r="AJ2640">
        <v>60.8335796371803</v>
      </c>
      <c r="AK2640">
        <v>51.662807146365203</v>
      </c>
      <c r="AL2640">
        <v>92.971377649892403</v>
      </c>
      <c r="AM2640">
        <v>77.1618801158492</v>
      </c>
      <c r="AN2640">
        <v>0.99999999795399297</v>
      </c>
    </row>
    <row r="2641" spans="1:40" x14ac:dyDescent="0.25">
      <c r="A2641" t="str">
        <f>"20190305135638455"</f>
        <v>20190305135638455</v>
      </c>
      <c r="B2641" t="str">
        <f>"1551765398444501"</f>
        <v>1551765398444501</v>
      </c>
      <c r="C2641" t="s">
        <v>40</v>
      </c>
      <c r="D2641">
        <v>4.0290720000000002</v>
      </c>
      <c r="E2641">
        <v>0.61380959999999996</v>
      </c>
      <c r="F2641" t="s">
        <v>70</v>
      </c>
      <c r="G2641">
        <v>-168.4211</v>
      </c>
      <c r="H2641">
        <v>0.67714980000000002</v>
      </c>
      <c r="I2641">
        <v>175.24449999999999</v>
      </c>
      <c r="J2641">
        <v>-204.28210000000001</v>
      </c>
      <c r="K2641">
        <v>1.101348</v>
      </c>
      <c r="L2641">
        <v>212.6403</v>
      </c>
      <c r="M2641">
        <v>0.95666859999999998</v>
      </c>
      <c r="N2641">
        <v>-1.471008E-2</v>
      </c>
      <c r="O2641">
        <v>-0.290807599999999</v>
      </c>
      <c r="P2641">
        <v>0.86429199999999995</v>
      </c>
      <c r="Q2641">
        <v>-6.1450589999999999E-2</v>
      </c>
      <c r="R2641">
        <v>-0.49922309999999998</v>
      </c>
      <c r="S2641">
        <v>2.1771090000000002</v>
      </c>
      <c r="T2641">
        <v>-2.5551560000000001E-2</v>
      </c>
      <c r="U2641">
        <v>-2.2579039999999999</v>
      </c>
      <c r="V2641">
        <v>0.22531760000000001</v>
      </c>
      <c r="W2641">
        <v>-5.1516390000000002E-2</v>
      </c>
      <c r="X2641">
        <v>0.97292239999999997</v>
      </c>
      <c r="Y2641">
        <v>0.48681829999999998</v>
      </c>
      <c r="Z2641">
        <v>-7.5920040000000003E-3</v>
      </c>
      <c r="AA2641">
        <v>0.87347030000000003</v>
      </c>
      <c r="AB2641">
        <v>33</v>
      </c>
      <c r="AC2641">
        <v>35.860999999999997</v>
      </c>
      <c r="AD2641">
        <v>-0.42419820000000003</v>
      </c>
      <c r="AE2641">
        <v>-37.395800000000001</v>
      </c>
      <c r="AF2641">
        <v>25.347776713596001</v>
      </c>
      <c r="AG2641">
        <v>-0.42419820000000003</v>
      </c>
      <c r="AH2641">
        <v>45.183930133119603</v>
      </c>
      <c r="AI2641">
        <v>90.469118563896998</v>
      </c>
      <c r="AJ2641">
        <v>60.707968494604899</v>
      </c>
      <c r="AK2641">
        <v>51.810011298105699</v>
      </c>
      <c r="AL2641">
        <v>92.952978942379602</v>
      </c>
      <c r="AM2641">
        <v>76.960826143799494</v>
      </c>
      <c r="AN2641">
        <v>0.999999977865075</v>
      </c>
    </row>
    <row r="2642" spans="1:40" x14ac:dyDescent="0.25">
      <c r="A2642" t="str">
        <f>"20190305135638479"</f>
        <v>20190305135638479</v>
      </c>
      <c r="B2642" t="str">
        <f>"1551765398474426"</f>
        <v>1551765398474426</v>
      </c>
      <c r="C2642" t="s">
        <v>40</v>
      </c>
      <c r="D2642">
        <v>4.0342010000000004</v>
      </c>
      <c r="E2642">
        <v>0.61296580000000001</v>
      </c>
      <c r="F2642" t="s">
        <v>70</v>
      </c>
      <c r="G2642">
        <v>-168.48490000000001</v>
      </c>
      <c r="H2642">
        <v>0.56033710000000003</v>
      </c>
      <c r="I2642">
        <v>174.71289999999999</v>
      </c>
      <c r="J2642">
        <v>-203.94409999999999</v>
      </c>
      <c r="K2642">
        <v>1.1012630000000001</v>
      </c>
      <c r="L2642">
        <v>212.5273</v>
      </c>
      <c r="M2642">
        <v>0.95374210000000004</v>
      </c>
      <c r="N2642">
        <v>-1.4681140000000001E-2</v>
      </c>
      <c r="O2642">
        <v>-0.30026720000000001</v>
      </c>
      <c r="P2642">
        <v>0.85751039999999901</v>
      </c>
      <c r="Q2642">
        <v>-5.9988449999999999E-2</v>
      </c>
      <c r="R2642">
        <v>-0.51095749999999995</v>
      </c>
      <c r="S2642">
        <v>2.1518250000000001</v>
      </c>
      <c r="T2642">
        <v>-3.2519099999999898E-2</v>
      </c>
      <c r="U2642">
        <v>-2.2798769999999999</v>
      </c>
      <c r="V2642">
        <v>0.22892509999999999</v>
      </c>
      <c r="W2642">
        <v>-5.0211680000000002E-2</v>
      </c>
      <c r="X2642">
        <v>0.97214820000000002</v>
      </c>
      <c r="Y2642">
        <v>0.48746899999999999</v>
      </c>
      <c r="Z2642">
        <v>-7.5137279999999999E-3</v>
      </c>
      <c r="AA2642">
        <v>0.873108</v>
      </c>
      <c r="AB2642">
        <v>33</v>
      </c>
      <c r="AC2642">
        <v>35.459199999999903</v>
      </c>
      <c r="AD2642">
        <v>-0.54092589999999896</v>
      </c>
      <c r="AE2642">
        <v>-37.814399999999999</v>
      </c>
      <c r="AF2642">
        <v>25.4179236683845</v>
      </c>
      <c r="AG2642">
        <v>-0.54092589999999896</v>
      </c>
      <c r="AH2642">
        <v>45.173308073395702</v>
      </c>
      <c r="AI2642">
        <v>90.597909107250402</v>
      </c>
      <c r="AJ2642">
        <v>60.634598903046601</v>
      </c>
      <c r="AK2642">
        <v>51.836195913039603</v>
      </c>
      <c r="AL2642">
        <v>92.878127553407197</v>
      </c>
      <c r="AM2642">
        <v>76.749185567053999</v>
      </c>
      <c r="AN2642">
        <v>1.00000001849083</v>
      </c>
    </row>
    <row r="2643" spans="1:40" x14ac:dyDescent="0.25">
      <c r="A2643" t="str">
        <f>"20190305135638502"</f>
        <v>20190305135638502</v>
      </c>
      <c r="B2643" t="str">
        <f>"1551765398494921"</f>
        <v>1551765398494921</v>
      </c>
      <c r="C2643" t="s">
        <v>40</v>
      </c>
      <c r="D2643">
        <v>4.0328299999999997</v>
      </c>
      <c r="E2643">
        <v>0.61252249999999997</v>
      </c>
      <c r="F2643" t="s">
        <v>70</v>
      </c>
      <c r="G2643">
        <v>-169.0848</v>
      </c>
      <c r="H2643">
        <v>0.53918459999999901</v>
      </c>
      <c r="I2643">
        <v>174.7131</v>
      </c>
      <c r="J2643">
        <v>-203.6183</v>
      </c>
      <c r="K2643">
        <v>1.1011740000000001</v>
      </c>
      <c r="L2643">
        <v>212.41480000000001</v>
      </c>
      <c r="M2643">
        <v>0.95078280000000004</v>
      </c>
      <c r="N2643">
        <v>-1.4659739999999999E-2</v>
      </c>
      <c r="O2643">
        <v>-0.3095117</v>
      </c>
      <c r="P2643">
        <v>0.85111139999999996</v>
      </c>
      <c r="Q2643">
        <v>-5.7815480000000002E-2</v>
      </c>
      <c r="R2643">
        <v>-0.52179240000000005</v>
      </c>
      <c r="S2643">
        <v>2.123535</v>
      </c>
      <c r="T2643">
        <v>-3.4238339999999999E-2</v>
      </c>
      <c r="U2643">
        <v>-2.3035429999999999</v>
      </c>
      <c r="V2643">
        <v>0.23179920000000001</v>
      </c>
      <c r="W2643">
        <v>-4.8174179999999997E-2</v>
      </c>
      <c r="X2643">
        <v>0.97157009999999999</v>
      </c>
      <c r="Y2643">
        <v>0.48924709999999899</v>
      </c>
      <c r="Z2643">
        <v>-7.5143830000000003E-3</v>
      </c>
      <c r="AA2643">
        <v>0.87211289999999997</v>
      </c>
      <c r="AB2643">
        <v>33</v>
      </c>
      <c r="AC2643">
        <v>34.533499999999997</v>
      </c>
      <c r="AD2643">
        <v>-0.56198939999999997</v>
      </c>
      <c r="AE2643">
        <v>-37.701700000000002</v>
      </c>
      <c r="AF2643">
        <v>25.1572655212284</v>
      </c>
      <c r="AG2643">
        <v>-0.56198939999999997</v>
      </c>
      <c r="AH2643">
        <v>44.502373497657402</v>
      </c>
      <c r="AI2643">
        <v>90.629846231461201</v>
      </c>
      <c r="AJ2643">
        <v>60.520451992240503</v>
      </c>
      <c r="AK2643">
        <v>51.124016738870402</v>
      </c>
      <c r="AL2643">
        <v>92.761245815807996</v>
      </c>
      <c r="AM2643">
        <v>76.581108470584496</v>
      </c>
      <c r="AN2643">
        <v>1.00000003997666</v>
      </c>
    </row>
    <row r="2644" spans="1:40" x14ac:dyDescent="0.25">
      <c r="A2644" t="str">
        <f>"20190305135638523"</f>
        <v>20190305135638523</v>
      </c>
      <c r="B2644" t="str">
        <f>"1551765398514442"</f>
        <v>1551765398514442</v>
      </c>
      <c r="C2644" t="s">
        <v>40</v>
      </c>
      <c r="D2644">
        <v>4.0396769999999904</v>
      </c>
      <c r="E2644">
        <v>0.61188209999999998</v>
      </c>
      <c r="F2644" t="s">
        <v>70</v>
      </c>
      <c r="G2644">
        <v>-169.404</v>
      </c>
      <c r="H2644">
        <v>0.70153619999999905</v>
      </c>
      <c r="I2644">
        <v>174.4425</v>
      </c>
      <c r="J2644">
        <v>-203.32499999999999</v>
      </c>
      <c r="K2644">
        <v>1.1010899999999999</v>
      </c>
      <c r="L2644">
        <v>212.31039999999999</v>
      </c>
      <c r="M2644">
        <v>0.94799449999999996</v>
      </c>
      <c r="N2644">
        <v>-1.464567E-2</v>
      </c>
      <c r="O2644">
        <v>-0.3179497</v>
      </c>
      <c r="P2644">
        <v>0.84476969999999996</v>
      </c>
      <c r="Q2644">
        <v>-5.6529530000000001E-2</v>
      </c>
      <c r="R2644">
        <v>-0.53213569999999999</v>
      </c>
      <c r="S2644">
        <v>2.0965880000000001</v>
      </c>
      <c r="T2644">
        <v>-2.4487140000000001E-2</v>
      </c>
      <c r="U2644">
        <v>-2.3268740000000001</v>
      </c>
      <c r="V2644">
        <v>0.23499909999999999</v>
      </c>
      <c r="W2644">
        <v>-4.702605E-2</v>
      </c>
      <c r="X2644">
        <v>0.97085730000000003</v>
      </c>
      <c r="Y2644">
        <v>0.49144110000000002</v>
      </c>
      <c r="Z2644">
        <v>-7.7661029999999999E-3</v>
      </c>
      <c r="AA2644">
        <v>0.87087619999999899</v>
      </c>
      <c r="AB2644">
        <v>33</v>
      </c>
      <c r="AC2644">
        <v>33.9209999999999</v>
      </c>
      <c r="AD2644">
        <v>-0.39955380000000001</v>
      </c>
      <c r="AE2644">
        <v>-37.867899999999899</v>
      </c>
      <c r="AF2644">
        <v>25.114530700726501</v>
      </c>
      <c r="AG2644">
        <v>-0.39955380000000001</v>
      </c>
      <c r="AH2644">
        <v>44.199017887206402</v>
      </c>
      <c r="AI2644">
        <v>90.4503167420213</v>
      </c>
      <c r="AJ2644">
        <v>60.394126031962401</v>
      </c>
      <c r="AK2644">
        <v>50.8375105384835</v>
      </c>
      <c r="AL2644">
        <v>92.695388371193005</v>
      </c>
      <c r="AM2644">
        <v>76.393086873446194</v>
      </c>
      <c r="AN2644">
        <v>0.99999996167134997</v>
      </c>
    </row>
    <row r="2645" spans="1:40" x14ac:dyDescent="0.25">
      <c r="A2645" t="str">
        <f>"20190305135638544"</f>
        <v>20190305135638544</v>
      </c>
      <c r="B2645" t="str">
        <f>"1551765398534937"</f>
        <v>1551765398534937</v>
      </c>
      <c r="C2645" t="s">
        <v>40</v>
      </c>
      <c r="D2645">
        <v>4.0751089999999897</v>
      </c>
      <c r="E2645">
        <v>0.61105379999999998</v>
      </c>
      <c r="F2645" t="s">
        <v>70</v>
      </c>
      <c r="G2645">
        <v>-169.4041</v>
      </c>
      <c r="H2645">
        <v>0.50350479999999997</v>
      </c>
      <c r="I2645">
        <v>173.81209999999999</v>
      </c>
      <c r="J2645">
        <v>-203.02099999999999</v>
      </c>
      <c r="K2645">
        <v>1.100973</v>
      </c>
      <c r="L2645">
        <v>212.19900000000001</v>
      </c>
      <c r="M2645">
        <v>0.94497109999999995</v>
      </c>
      <c r="N2645">
        <v>-1.4636140000000001E-2</v>
      </c>
      <c r="O2645">
        <v>-0.32682650000000002</v>
      </c>
      <c r="P2645">
        <v>0.8380398</v>
      </c>
      <c r="Q2645">
        <v>-5.553164E-2</v>
      </c>
      <c r="R2645">
        <v>-0.54277589999999998</v>
      </c>
      <c r="S2645">
        <v>2.0693820000000001</v>
      </c>
      <c r="T2645">
        <v>-3.6454439999999998E-2</v>
      </c>
      <c r="U2645">
        <v>-2.348633</v>
      </c>
      <c r="V2645">
        <v>0.23815330000000001</v>
      </c>
      <c r="W2645">
        <v>-4.6170599999999999E-2</v>
      </c>
      <c r="X2645">
        <v>0.97012949999999998</v>
      </c>
      <c r="Y2645">
        <v>0.49291420000000002</v>
      </c>
      <c r="Z2645">
        <v>-7.5252119999999999E-3</v>
      </c>
      <c r="AA2645">
        <v>0.87004539999999997</v>
      </c>
      <c r="AB2645">
        <v>33</v>
      </c>
      <c r="AC2645">
        <v>33.616899999999902</v>
      </c>
      <c r="AD2645">
        <v>-0.5974682</v>
      </c>
      <c r="AE2645">
        <v>-38.386899999999997</v>
      </c>
      <c r="AF2645">
        <v>25.286857402998098</v>
      </c>
      <c r="AG2645">
        <v>-0.5974682</v>
      </c>
      <c r="AH2645">
        <v>44.311523447042902</v>
      </c>
      <c r="AI2645">
        <v>90.670943281194994</v>
      </c>
      <c r="AJ2645">
        <v>60.288283623080602</v>
      </c>
      <c r="AK2645">
        <v>51.022477750177998</v>
      </c>
      <c r="AL2645">
        <v>92.646321336497707</v>
      </c>
      <c r="AM2645">
        <v>76.207428323005303</v>
      </c>
      <c r="AN2645">
        <v>0.99999998268774903</v>
      </c>
    </row>
    <row r="2646" spans="1:40" x14ac:dyDescent="0.25">
      <c r="A2646" t="str">
        <f>"20190305135638572"</f>
        <v>20190305135638572</v>
      </c>
      <c r="B2646" t="str">
        <f>"1551765398565193"</f>
        <v>1551765398565193</v>
      </c>
      <c r="C2646" t="s">
        <v>40</v>
      </c>
      <c r="D2646">
        <v>4.065423</v>
      </c>
      <c r="E2646">
        <v>0.6099658</v>
      </c>
      <c r="F2646" t="s">
        <v>70</v>
      </c>
      <c r="G2646">
        <v>-169.40430000000001</v>
      </c>
      <c r="H2646">
        <v>0.3373814</v>
      </c>
      <c r="I2646">
        <v>173.1943</v>
      </c>
      <c r="J2646">
        <v>-202.66380000000001</v>
      </c>
      <c r="K2646">
        <v>1.100822</v>
      </c>
      <c r="L2646">
        <v>212.06379999999999</v>
      </c>
      <c r="M2646">
        <v>0.9412317</v>
      </c>
      <c r="N2646">
        <v>-1.4631720000000001E-2</v>
      </c>
      <c r="O2646">
        <v>-0.33744449999999998</v>
      </c>
      <c r="P2646">
        <v>0.82989889999999999</v>
      </c>
      <c r="Q2646">
        <v>-5.6712060000000002E-2</v>
      </c>
      <c r="R2646">
        <v>-0.55502399999999996</v>
      </c>
      <c r="S2646">
        <v>2.0420989999999999</v>
      </c>
      <c r="T2646">
        <v>-4.638374E-2</v>
      </c>
      <c r="U2646">
        <v>-2.3694000000000002</v>
      </c>
      <c r="V2646">
        <v>0.24146020000000001</v>
      </c>
      <c r="W2646">
        <v>-4.7516200000000001E-2</v>
      </c>
      <c r="X2646">
        <v>0.96924670000000002</v>
      </c>
      <c r="Y2646">
        <v>0.49260150000000003</v>
      </c>
      <c r="Z2646">
        <v>-7.2389409999999996E-3</v>
      </c>
      <c r="AA2646">
        <v>0.87022489999999997</v>
      </c>
      <c r="AB2646">
        <v>33</v>
      </c>
      <c r="AC2646">
        <v>33.259500000000003</v>
      </c>
      <c r="AD2646">
        <v>-0.76344059999999903</v>
      </c>
      <c r="AE2646">
        <v>-38.869499999999903</v>
      </c>
      <c r="AF2646">
        <v>25.3590378705325</v>
      </c>
      <c r="AG2646">
        <v>-0.76344059999999903</v>
      </c>
      <c r="AH2646">
        <v>44.416058751101197</v>
      </c>
      <c r="AI2646">
        <v>90.855180514220606</v>
      </c>
      <c r="AJ2646">
        <v>60.276095951702203</v>
      </c>
      <c r="AK2646">
        <v>51.151245520027203</v>
      </c>
      <c r="AL2646">
        <v>92.723503247547498</v>
      </c>
      <c r="AM2646">
        <v>76.011139356462607</v>
      </c>
      <c r="AN2646">
        <v>0.99999999145368501</v>
      </c>
    </row>
    <row r="2647" spans="1:40" x14ac:dyDescent="0.25">
      <c r="A2647" t="str">
        <f>"20190305135638594"</f>
        <v>20190305135638594</v>
      </c>
      <c r="B2647" t="str">
        <f>"1551765398584713"</f>
        <v>1551765398584713</v>
      </c>
      <c r="C2647" t="s">
        <v>40</v>
      </c>
      <c r="D2647">
        <v>4.0592480000000002</v>
      </c>
      <c r="E2647">
        <v>0.60917600000000005</v>
      </c>
      <c r="F2647" t="s">
        <v>43</v>
      </c>
      <c r="G2647">
        <v>-167.34870000000001</v>
      </c>
      <c r="H2647">
        <v>-0.05</v>
      </c>
      <c r="I2647">
        <v>170.02850000000001</v>
      </c>
      <c r="J2647">
        <v>-202.34100000000001</v>
      </c>
      <c r="K2647">
        <v>1.1006659999999999</v>
      </c>
      <c r="L2647">
        <v>211.93709999999999</v>
      </c>
      <c r="M2647">
        <v>0.93765540000000003</v>
      </c>
      <c r="N2647">
        <v>-1.463448E-2</v>
      </c>
      <c r="O2647">
        <v>-0.34725840000000002</v>
      </c>
      <c r="P2647">
        <v>0.82141690000000001</v>
      </c>
      <c r="Q2647">
        <v>-5.8215410000000002E-2</v>
      </c>
      <c r="R2647">
        <v>-0.5673494</v>
      </c>
      <c r="S2647">
        <v>2.010208</v>
      </c>
      <c r="T2647">
        <v>-6.5507049999999997E-2</v>
      </c>
      <c r="U2647">
        <v>-2.3927309999999999</v>
      </c>
      <c r="V2647">
        <v>0.24578510000000001</v>
      </c>
      <c r="W2647">
        <v>-4.9206149999999997E-2</v>
      </c>
      <c r="X2647">
        <v>0.96807460000000001</v>
      </c>
      <c r="Y2647">
        <v>0.49441639999999998</v>
      </c>
      <c r="Z2647">
        <v>-6.6334480000000001E-3</v>
      </c>
      <c r="AA2647">
        <v>0.86919990000000003</v>
      </c>
      <c r="AB2647">
        <v>33</v>
      </c>
      <c r="AC2647">
        <v>34.992299999999901</v>
      </c>
      <c r="AD2647">
        <v>-1.150666</v>
      </c>
      <c r="AE2647">
        <v>-41.9085999999999</v>
      </c>
      <c r="AF2647">
        <v>27.135306111062199</v>
      </c>
      <c r="AG2647">
        <v>-1.150666</v>
      </c>
      <c r="AH2647">
        <v>47.347868741217397</v>
      </c>
      <c r="AI2647">
        <v>91.207910089231106</v>
      </c>
      <c r="AJ2647">
        <v>60.182757070996203</v>
      </c>
      <c r="AK2647">
        <v>54.584517441488501</v>
      </c>
      <c r="AL2647">
        <v>92.8204436787953</v>
      </c>
      <c r="AM2647">
        <v>75.754143758584604</v>
      </c>
      <c r="AN2647">
        <v>0.99999999587249599</v>
      </c>
    </row>
    <row r="2648" spans="1:40" x14ac:dyDescent="0.25">
      <c r="A2648" t="str">
        <f>"20190305135638619"</f>
        <v>20190305135638619</v>
      </c>
      <c r="B2648" t="str">
        <f>"1551765398614969"</f>
        <v>1551765398614969</v>
      </c>
      <c r="C2648" t="s">
        <v>40</v>
      </c>
      <c r="D2648">
        <v>4.1250179999999999</v>
      </c>
      <c r="E2648">
        <v>0.60813980000000001</v>
      </c>
      <c r="F2648" t="s">
        <v>42</v>
      </c>
      <c r="G2648">
        <v>-176.52770000000001</v>
      </c>
      <c r="H2648">
        <v>7.9985719999999996E-2</v>
      </c>
      <c r="I2648">
        <v>180.3689</v>
      </c>
      <c r="J2648">
        <v>-202.00839999999999</v>
      </c>
      <c r="K2648">
        <v>1.1004989999999999</v>
      </c>
      <c r="L2648">
        <v>211.8022</v>
      </c>
      <c r="M2648">
        <v>0.93377469999999996</v>
      </c>
      <c r="N2648">
        <v>-1.464126E-2</v>
      </c>
      <c r="O2648">
        <v>-0.3575622</v>
      </c>
      <c r="P2648">
        <v>0.81196559999999995</v>
      </c>
      <c r="Q2648">
        <v>-6.0286380000000001E-2</v>
      </c>
      <c r="R2648">
        <v>-0.58058359999999998</v>
      </c>
      <c r="S2648">
        <v>1.9768680000000001</v>
      </c>
      <c r="T2648">
        <v>-7.8166840000000001E-2</v>
      </c>
      <c r="U2648">
        <v>-2.4175870000000002</v>
      </c>
      <c r="V2648">
        <v>0.25079469999999998</v>
      </c>
      <c r="W2648">
        <v>-5.148432E-2</v>
      </c>
      <c r="X2648">
        <v>0.96667029999999998</v>
      </c>
      <c r="Y2648">
        <v>0.49635550000000001</v>
      </c>
      <c r="Z2648">
        <v>-6.130534E-3</v>
      </c>
      <c r="AA2648">
        <v>0.86809769999999897</v>
      </c>
      <c r="AB2648">
        <v>33</v>
      </c>
      <c r="AC2648">
        <v>25.480699999999899</v>
      </c>
      <c r="AD2648">
        <v>-1.0205132800000001</v>
      </c>
      <c r="AE2648">
        <v>-31.433299999999999</v>
      </c>
      <c r="AF2648">
        <v>20.229984402619898</v>
      </c>
      <c r="AG2648">
        <v>-1.0205132800000001</v>
      </c>
      <c r="AH2648">
        <v>35.014072076141602</v>
      </c>
      <c r="AI2648">
        <v>91.445635152830704</v>
      </c>
      <c r="AJ2648">
        <v>59.982084476235897</v>
      </c>
      <c r="AK2648">
        <v>40.450945101915003</v>
      </c>
      <c r="AL2648">
        <v>92.951138833191393</v>
      </c>
      <c r="AM2648">
        <v>75.455744293024793</v>
      </c>
      <c r="AN2648">
        <v>1.00000004282802</v>
      </c>
    </row>
    <row r="2649" spans="1:40" x14ac:dyDescent="0.25">
      <c r="A2649" t="str">
        <f>"20190305135638639"</f>
        <v>20190305135638639</v>
      </c>
      <c r="B2649" t="str">
        <f>"1551765398634489"</f>
        <v>1551765398634489</v>
      </c>
      <c r="C2649" t="s">
        <v>40</v>
      </c>
      <c r="D2649">
        <v>4.1314109999999999</v>
      </c>
      <c r="E2649">
        <v>0.62461140000000004</v>
      </c>
      <c r="F2649" t="s">
        <v>42</v>
      </c>
      <c r="G2649">
        <v>-178.78530000000001</v>
      </c>
      <c r="H2649">
        <v>7.9986280000000007E-2</v>
      </c>
      <c r="I2649">
        <v>182.59139999999999</v>
      </c>
      <c r="J2649">
        <v>-201.7372</v>
      </c>
      <c r="K2649">
        <v>1.1003419999999999</v>
      </c>
      <c r="L2649">
        <v>211.6891</v>
      </c>
      <c r="M2649">
        <v>0.9304443</v>
      </c>
      <c r="N2649">
        <v>-1.464946E-2</v>
      </c>
      <c r="O2649">
        <v>-0.36614029999999997</v>
      </c>
      <c r="P2649">
        <v>0.8034808</v>
      </c>
      <c r="Q2649">
        <v>-6.147627E-2</v>
      </c>
      <c r="R2649">
        <v>-0.59214809999999996</v>
      </c>
      <c r="S2649">
        <v>1.9418789999999999</v>
      </c>
      <c r="T2649">
        <v>-8.5333820000000005E-2</v>
      </c>
      <c r="U2649">
        <v>-2.4425659999999998</v>
      </c>
      <c r="V2649">
        <v>0.2557199</v>
      </c>
      <c r="W2649">
        <v>-5.2872799999999998E-2</v>
      </c>
      <c r="X2649">
        <v>0.96530400000000005</v>
      </c>
      <c r="Y2649">
        <v>0.50026859999999995</v>
      </c>
      <c r="Z2649">
        <v>-5.8304860000000002E-3</v>
      </c>
      <c r="AA2649">
        <v>0.86585069999999997</v>
      </c>
      <c r="AB2649">
        <v>33</v>
      </c>
      <c r="AC2649">
        <v>22.951899999999899</v>
      </c>
      <c r="AD2649">
        <v>-1.02035572</v>
      </c>
      <c r="AE2649">
        <v>-29.0977</v>
      </c>
      <c r="AF2649">
        <v>18.658034669661799</v>
      </c>
      <c r="AG2649">
        <v>-1.02035572</v>
      </c>
      <c r="AH2649">
        <v>31.988493474878499</v>
      </c>
      <c r="AI2649">
        <v>91.578281690324204</v>
      </c>
      <c r="AJ2649">
        <v>59.746128586447</v>
      </c>
      <c r="AK2649">
        <v>37.046283191731703</v>
      </c>
      <c r="AL2649">
        <v>93.030801509556298</v>
      </c>
      <c r="AM2649">
        <v>75.162523789115596</v>
      </c>
      <c r="AN2649">
        <v>1.00000000632592</v>
      </c>
    </row>
    <row r="2650" spans="1:40" x14ac:dyDescent="0.25">
      <c r="A2650" t="str">
        <f>"20190305135638657"</f>
        <v>20190305135638657</v>
      </c>
      <c r="B2650" t="str">
        <f>"1551765398654985"</f>
        <v>1551765398654985</v>
      </c>
      <c r="C2650" t="s">
        <v>40</v>
      </c>
      <c r="D2650">
        <v>4.1211890000000002</v>
      </c>
      <c r="E2650">
        <v>0.62664759999999997</v>
      </c>
      <c r="F2650" t="s">
        <v>42</v>
      </c>
      <c r="G2650">
        <v>-190.36170000000001</v>
      </c>
      <c r="H2650" s="1">
        <v>-2.658461E-6</v>
      </c>
      <c r="I2650">
        <v>195.5617</v>
      </c>
      <c r="J2650">
        <v>-201.4802</v>
      </c>
      <c r="K2650">
        <v>1.1001669999999999</v>
      </c>
      <c r="L2650">
        <v>211.5789</v>
      </c>
      <c r="M2650">
        <v>0.92712819999999996</v>
      </c>
      <c r="N2650">
        <v>-1.466252E-2</v>
      </c>
      <c r="O2650">
        <v>-0.3744577</v>
      </c>
      <c r="P2650">
        <v>0.79501840000000001</v>
      </c>
      <c r="Q2650">
        <v>-6.2330129999999997E-2</v>
      </c>
      <c r="R2650">
        <v>-0.60337479999999999</v>
      </c>
      <c r="S2650">
        <v>1.8193509999999999</v>
      </c>
      <c r="T2650">
        <v>-0.1759849</v>
      </c>
      <c r="U2650">
        <v>-2.5793460000000001</v>
      </c>
      <c r="V2650">
        <v>0.26061240000000002</v>
      </c>
      <c r="W2650">
        <v>-5.3933479999999999E-2</v>
      </c>
      <c r="X2650">
        <v>0.96393589999999996</v>
      </c>
      <c r="Y2650">
        <v>0.54115530000000001</v>
      </c>
      <c r="Z2650">
        <v>-3.8111680000000002E-3</v>
      </c>
      <c r="AA2650">
        <v>0.84091399999999905</v>
      </c>
      <c r="AB2650">
        <v>33</v>
      </c>
      <c r="AC2650">
        <v>11.1184999999999</v>
      </c>
      <c r="AD2650">
        <v>-1.1001696584609999</v>
      </c>
      <c r="AE2650">
        <v>-16.017199999999999</v>
      </c>
      <c r="AF2650">
        <v>10.6538182908855</v>
      </c>
      <c r="AG2650">
        <v>-1.1001696584609999</v>
      </c>
      <c r="AH2650">
        <v>16.2560345432682</v>
      </c>
      <c r="AI2650">
        <v>93.239736431970101</v>
      </c>
      <c r="AJ2650">
        <v>56.760119960867598</v>
      </c>
      <c r="AK2650">
        <v>19.4672257017927</v>
      </c>
      <c r="AL2650">
        <v>93.091660766356398</v>
      </c>
      <c r="AM2650">
        <v>74.871052635344796</v>
      </c>
      <c r="AN2650">
        <v>1.0000000313037301</v>
      </c>
    </row>
    <row r="2651" spans="1:40" x14ac:dyDescent="0.25">
      <c r="A2651" t="str">
        <f>"20190305135638680"</f>
        <v>20190305135638680</v>
      </c>
      <c r="B2651" t="str">
        <f>"1551765398674507"</f>
        <v>1551765398674507</v>
      </c>
      <c r="C2651" t="s">
        <v>40</v>
      </c>
      <c r="D2651">
        <v>4.0567929999999999</v>
      </c>
      <c r="E2651">
        <v>0.62574419999999897</v>
      </c>
      <c r="F2651" t="s">
        <v>42</v>
      </c>
      <c r="G2651">
        <v>-187.46610000000001</v>
      </c>
      <c r="H2651" s="1">
        <v>-1.115495E-6</v>
      </c>
      <c r="I2651">
        <v>190.94479999999999</v>
      </c>
      <c r="J2651">
        <v>-201.1876</v>
      </c>
      <c r="K2651">
        <v>1.099939</v>
      </c>
      <c r="L2651">
        <v>211.44990000000001</v>
      </c>
      <c r="M2651">
        <v>0.92313619999999996</v>
      </c>
      <c r="N2651">
        <v>-1.468647E-2</v>
      </c>
      <c r="O2651">
        <v>-0.3841927</v>
      </c>
      <c r="P2651">
        <v>0.78535129999999997</v>
      </c>
      <c r="Q2651">
        <v>-6.3089590000000001E-2</v>
      </c>
      <c r="R2651">
        <v>-0.61582740000000002</v>
      </c>
      <c r="S2651">
        <v>1.7769170000000001</v>
      </c>
      <c r="T2651">
        <v>-0.1394957</v>
      </c>
      <c r="U2651">
        <v>-2.6163020000000001</v>
      </c>
      <c r="V2651">
        <v>0.26562930000000001</v>
      </c>
      <c r="W2651">
        <v>-5.4933919999999997E-2</v>
      </c>
      <c r="X2651">
        <v>0.9625089</v>
      </c>
      <c r="Y2651">
        <v>0.54735749999999905</v>
      </c>
      <c r="Z2651">
        <v>-4.8745669999999998E-3</v>
      </c>
      <c r="AA2651">
        <v>0.83688469999999904</v>
      </c>
      <c r="AB2651">
        <v>32</v>
      </c>
      <c r="AC2651">
        <v>13.721499999999899</v>
      </c>
      <c r="AD2651">
        <v>-1.0999401154949999</v>
      </c>
      <c r="AE2651">
        <v>-20.505099999999999</v>
      </c>
      <c r="AF2651">
        <v>13.6316789832757</v>
      </c>
      <c r="AG2651">
        <v>-1.0999401154949999</v>
      </c>
      <c r="AH2651">
        <v>20.506181375683799</v>
      </c>
      <c r="AI2651">
        <v>92.557701804777693</v>
      </c>
      <c r="AJ2651">
        <v>56.3856491368145</v>
      </c>
      <c r="AK2651">
        <v>24.648245673337399</v>
      </c>
      <c r="AL2651">
        <v>93.1490668983039</v>
      </c>
      <c r="AM2651">
        <v>74.571775831119993</v>
      </c>
      <c r="AN2651">
        <v>1.0000000215821301</v>
      </c>
    </row>
    <row r="2652" spans="1:40" x14ac:dyDescent="0.25">
      <c r="A2652" t="str">
        <f>"20190305135638704"</f>
        <v>20190305135638704</v>
      </c>
      <c r="B2652" t="str">
        <f>"1551765398695002"</f>
        <v>1551765398695002</v>
      </c>
      <c r="C2652" t="s">
        <v>40</v>
      </c>
      <c r="D2652">
        <v>4.1392139999999999</v>
      </c>
      <c r="E2652">
        <v>0.62382309999999996</v>
      </c>
      <c r="F2652" t="s">
        <v>42</v>
      </c>
      <c r="G2652">
        <v>-185.03739999999999</v>
      </c>
      <c r="H2652" s="1">
        <v>-4.0410050000000003E-6</v>
      </c>
      <c r="I2652">
        <v>187.00049999999999</v>
      </c>
      <c r="J2652">
        <v>-200.85589999999999</v>
      </c>
      <c r="K2652">
        <v>1.0996330000000001</v>
      </c>
      <c r="L2652">
        <v>211.2989</v>
      </c>
      <c r="M2652">
        <v>0.91830179999999995</v>
      </c>
      <c r="N2652">
        <v>-1.4725439999999999E-2</v>
      </c>
      <c r="O2652">
        <v>-0.3956073</v>
      </c>
      <c r="P2652">
        <v>0.77463729999999997</v>
      </c>
      <c r="Q2652">
        <v>-6.4221550000000002E-2</v>
      </c>
      <c r="R2652">
        <v>-0.62913660000000005</v>
      </c>
      <c r="S2652">
        <v>1.7422329999999999</v>
      </c>
      <c r="T2652">
        <v>-0.1186585</v>
      </c>
      <c r="U2652">
        <v>-2.637527</v>
      </c>
      <c r="V2652">
        <v>0.27008399999999999</v>
      </c>
      <c r="W2652">
        <v>-5.6333769999999998E-2</v>
      </c>
      <c r="X2652">
        <v>0.96118740000000003</v>
      </c>
      <c r="Y2652">
        <v>0.54783359999999903</v>
      </c>
      <c r="Z2652">
        <v>-5.2953649999999998E-3</v>
      </c>
      <c r="AA2652">
        <v>0.83657060000000005</v>
      </c>
      <c r="AB2652">
        <v>32</v>
      </c>
      <c r="AC2652">
        <v>15.8185</v>
      </c>
      <c r="AD2652">
        <v>-1.099637041005</v>
      </c>
      <c r="AE2652">
        <v>-24.298400000000001</v>
      </c>
      <c r="AF2652">
        <v>16.0340261094208</v>
      </c>
      <c r="AG2652">
        <v>-1.099637041005</v>
      </c>
      <c r="AH2652">
        <v>24.106720979242599</v>
      </c>
      <c r="AI2652">
        <v>92.175120122278898</v>
      </c>
      <c r="AJ2652">
        <v>56.371056841103403</v>
      </c>
      <c r="AK2652">
        <v>28.9729734627048</v>
      </c>
      <c r="AL2652">
        <v>93.229396754735404</v>
      </c>
      <c r="AM2652">
        <v>74.305170644472298</v>
      </c>
      <c r="AN2652">
        <v>1.0000000393085799</v>
      </c>
    </row>
    <row r="2653" spans="1:40" x14ac:dyDescent="0.25">
      <c r="A2653" t="str">
        <f>"20190305135638725"</f>
        <v>20190305135638725</v>
      </c>
      <c r="B2653" t="str">
        <f>"1551765398715497"</f>
        <v>1551765398715497</v>
      </c>
      <c r="C2653" t="s">
        <v>40</v>
      </c>
      <c r="D2653">
        <v>4.10534</v>
      </c>
      <c r="E2653">
        <v>0.62204079999999995</v>
      </c>
      <c r="F2653" t="s">
        <v>42</v>
      </c>
      <c r="G2653">
        <v>-184.84649999999999</v>
      </c>
      <c r="H2653" s="1">
        <v>-3.8163329999999996E-6</v>
      </c>
      <c r="I2653">
        <v>186.39779999999999</v>
      </c>
      <c r="J2653">
        <v>-200.5821</v>
      </c>
      <c r="K2653">
        <v>1.099353</v>
      </c>
      <c r="L2653">
        <v>211.17</v>
      </c>
      <c r="M2653">
        <v>0.91401860000000001</v>
      </c>
      <c r="N2653">
        <v>-1.476738E-2</v>
      </c>
      <c r="O2653">
        <v>-0.40540340000000002</v>
      </c>
      <c r="P2653">
        <v>0.76466859999999903</v>
      </c>
      <c r="Q2653">
        <v>-6.3719129999999999E-2</v>
      </c>
      <c r="R2653">
        <v>-0.64126569999999905</v>
      </c>
      <c r="S2653">
        <v>1.706879</v>
      </c>
      <c r="T2653">
        <v>-0.11723980000000001</v>
      </c>
      <c r="U2653">
        <v>-2.6548769999999999</v>
      </c>
      <c r="V2653">
        <v>0.2749028</v>
      </c>
      <c r="W2653">
        <v>-5.6106080000000003E-2</v>
      </c>
      <c r="X2653">
        <v>0.95983359999999995</v>
      </c>
      <c r="Y2653">
        <v>0.54924799999999996</v>
      </c>
      <c r="Z2653">
        <v>-5.1294359999999898E-3</v>
      </c>
      <c r="AA2653">
        <v>0.83564359999999904</v>
      </c>
      <c r="AB2653">
        <v>32</v>
      </c>
      <c r="AC2653">
        <v>15.7356</v>
      </c>
      <c r="AD2653">
        <v>-1.0993568163330001</v>
      </c>
      <c r="AE2653">
        <v>-24.772200000000002</v>
      </c>
      <c r="AF2653">
        <v>16.241967774218299</v>
      </c>
      <c r="AG2653">
        <v>-1.0993568163330001</v>
      </c>
      <c r="AH2653">
        <v>24.393798198940001</v>
      </c>
      <c r="AI2653">
        <v>92.148309282357403</v>
      </c>
      <c r="AJ2653">
        <v>56.343384812919503</v>
      </c>
      <c r="AK2653">
        <v>29.326907323462802</v>
      </c>
      <c r="AL2653">
        <v>93.216330570166903</v>
      </c>
      <c r="AM2653">
        <v>74.017931101258199</v>
      </c>
      <c r="AN2653">
        <v>0.99999999067488299</v>
      </c>
    </row>
    <row r="2654" spans="1:40" x14ac:dyDescent="0.25">
      <c r="A2654" t="str">
        <f>"20190305135638746"</f>
        <v>20190305135638746</v>
      </c>
      <c r="B2654" t="str">
        <f>"1551765398735017"</f>
        <v>1551765398735017</v>
      </c>
      <c r="C2654" t="s">
        <v>40</v>
      </c>
      <c r="D2654">
        <v>4.1087959999999999</v>
      </c>
      <c r="E2654">
        <v>0.62028760000000005</v>
      </c>
      <c r="F2654" t="s">
        <v>42</v>
      </c>
      <c r="G2654">
        <v>-183.7895</v>
      </c>
      <c r="H2654" s="1">
        <v>-3.2681659999999998E-6</v>
      </c>
      <c r="I2654">
        <v>184.39590000000001</v>
      </c>
      <c r="J2654">
        <v>-200.297</v>
      </c>
      <c r="K2654">
        <v>1.09902099999999</v>
      </c>
      <c r="L2654">
        <v>211.0317</v>
      </c>
      <c r="M2654">
        <v>0.90924329999999998</v>
      </c>
      <c r="N2654">
        <v>-1.482144E-2</v>
      </c>
      <c r="O2654">
        <v>-0.41600150000000002</v>
      </c>
      <c r="P2654">
        <v>0.75415379999999999</v>
      </c>
      <c r="Q2654">
        <v>-6.3338779999999997E-2</v>
      </c>
      <c r="R2654">
        <v>-0.65363660000000001</v>
      </c>
      <c r="S2654">
        <v>1.6747890000000001</v>
      </c>
      <c r="T2654">
        <v>-0.10964309999999999</v>
      </c>
      <c r="U2654">
        <v>-2.6702880000000002</v>
      </c>
      <c r="V2654">
        <v>0.27932390000000001</v>
      </c>
      <c r="W2654">
        <v>-5.6018779999999997E-2</v>
      </c>
      <c r="X2654">
        <v>0.95856149999999996</v>
      </c>
      <c r="Y2654">
        <v>0.54893269999999905</v>
      </c>
      <c r="Z2654">
        <v>-5.1855909999999998E-3</v>
      </c>
      <c r="AA2654">
        <v>0.83585039999999999</v>
      </c>
      <c r="AB2654">
        <v>32</v>
      </c>
      <c r="AC2654">
        <v>16.507499999999901</v>
      </c>
      <c r="AD2654">
        <v>-1.0990242681660001</v>
      </c>
      <c r="AE2654">
        <v>-26.6357999999999</v>
      </c>
      <c r="AF2654">
        <v>17.331862560814901</v>
      </c>
      <c r="AG2654">
        <v>-1.0990242681660001</v>
      </c>
      <c r="AH2654">
        <v>26.060673038278399</v>
      </c>
      <c r="AI2654">
        <v>92.011118803671494</v>
      </c>
      <c r="AJ2654">
        <v>56.373784436598001</v>
      </c>
      <c r="AK2654">
        <v>31.3170878814913</v>
      </c>
      <c r="AL2654">
        <v>93.211320588240994</v>
      </c>
      <c r="AM2654">
        <v>73.753928059029505</v>
      </c>
      <c r="AN2654">
        <v>1.0000000470530701</v>
      </c>
    </row>
    <row r="2655" spans="1:40" x14ac:dyDescent="0.25">
      <c r="A2655" t="str">
        <f>"20190305135638771"</f>
        <v>20190305135638771</v>
      </c>
      <c r="B2655" t="str">
        <f>"1551765398765273"</f>
        <v>1551765398765273</v>
      </c>
      <c r="C2655" t="s">
        <v>40</v>
      </c>
      <c r="D2655">
        <v>4.1137779999999999</v>
      </c>
      <c r="E2655">
        <v>0.60742010000000002</v>
      </c>
      <c r="F2655" t="s">
        <v>42</v>
      </c>
      <c r="G2655">
        <v>-184.46729999999999</v>
      </c>
      <c r="H2655" s="1">
        <v>-3.3253690000000002E-6</v>
      </c>
      <c r="I2655">
        <v>185.09389999999999</v>
      </c>
      <c r="J2655">
        <v>-199.9864</v>
      </c>
      <c r="K2655">
        <v>1.098644</v>
      </c>
      <c r="L2655">
        <v>210.8758</v>
      </c>
      <c r="M2655">
        <v>0.90363130000000003</v>
      </c>
      <c r="N2655">
        <v>-1.489394E-2</v>
      </c>
      <c r="O2655">
        <v>-0.42805219999999999</v>
      </c>
      <c r="P2655">
        <v>0.74207440000000002</v>
      </c>
      <c r="Q2655">
        <v>-6.2126819999999999E-2</v>
      </c>
      <c r="R2655">
        <v>-0.66743260000000004</v>
      </c>
      <c r="S2655">
        <v>1.6397250000000001</v>
      </c>
      <c r="T2655">
        <v>-0.1138426</v>
      </c>
      <c r="U2655">
        <v>-2.6867679999999998</v>
      </c>
      <c r="V2655">
        <v>0.28418300000000002</v>
      </c>
      <c r="W2655">
        <v>-5.5146859999999999E-2</v>
      </c>
      <c r="X2655">
        <v>0.9571828</v>
      </c>
      <c r="Y2655">
        <v>0.5480199</v>
      </c>
      <c r="Z2655">
        <v>-4.6668660000000004E-3</v>
      </c>
      <c r="AA2655">
        <v>0.83645230000000004</v>
      </c>
      <c r="AB2655">
        <v>32</v>
      </c>
      <c r="AC2655">
        <v>15.5191</v>
      </c>
      <c r="AD2655">
        <v>-1.0986473253689999</v>
      </c>
      <c r="AE2655">
        <v>-25.7819</v>
      </c>
      <c r="AF2655">
        <v>16.634022234755101</v>
      </c>
      <c r="AG2655">
        <v>-1.0986473253689999</v>
      </c>
      <c r="AH2655">
        <v>25.028961282344699</v>
      </c>
      <c r="AI2655">
        <v>92.093679158568605</v>
      </c>
      <c r="AJ2655">
        <v>56.392345678430303</v>
      </c>
      <c r="AK2655">
        <v>30.072356484402398</v>
      </c>
      <c r="AL2655">
        <v>93.161285947349299</v>
      </c>
      <c r="AM2655">
        <v>73.464097352843396</v>
      </c>
      <c r="AN2655">
        <v>1.0000000331363399</v>
      </c>
    </row>
    <row r="2656" spans="1:40" x14ac:dyDescent="0.25">
      <c r="A2656" t="str">
        <f>"20190305135638798"</f>
        <v>20190305135638798</v>
      </c>
      <c r="B2656" t="str">
        <f>"1551765398794553"</f>
        <v>1551765398794553</v>
      </c>
      <c r="C2656" t="s">
        <v>40</v>
      </c>
      <c r="D2656">
        <v>4.0920509999999997</v>
      </c>
      <c r="E2656">
        <v>0.60431919999999995</v>
      </c>
      <c r="F2656" t="s">
        <v>42</v>
      </c>
      <c r="G2656">
        <v>-192.09639999999999</v>
      </c>
      <c r="H2656" s="1">
        <v>-4.1901909999999997E-6</v>
      </c>
      <c r="I2656">
        <v>198.2071</v>
      </c>
      <c r="J2656">
        <v>-199.63140000000001</v>
      </c>
      <c r="K2656">
        <v>1.0981860000000001</v>
      </c>
      <c r="L2656">
        <v>210.68979999999999</v>
      </c>
      <c r="M2656">
        <v>0.89660390000000001</v>
      </c>
      <c r="N2656">
        <v>-1.499608E-2</v>
      </c>
      <c r="O2656">
        <v>-0.44257960000000002</v>
      </c>
      <c r="P2656">
        <v>0.72783140000000002</v>
      </c>
      <c r="Q2656">
        <v>-6.0344200000000001E-2</v>
      </c>
      <c r="R2656">
        <v>-0.68309600000000004</v>
      </c>
      <c r="S2656">
        <v>1.646164</v>
      </c>
      <c r="T2656">
        <v>-0.22922290000000001</v>
      </c>
      <c r="U2656">
        <v>-2.6432039999999999</v>
      </c>
      <c r="V2656">
        <v>0.28904560000000001</v>
      </c>
      <c r="W2656">
        <v>-5.374284E-2</v>
      </c>
      <c r="X2656">
        <v>0.95580560000000003</v>
      </c>
      <c r="Y2656">
        <v>0.52630129999999997</v>
      </c>
      <c r="Z2656">
        <v>3.3258480000000002E-3</v>
      </c>
      <c r="AA2656">
        <v>0.85029159999999904</v>
      </c>
      <c r="AB2656">
        <v>32</v>
      </c>
      <c r="AC2656">
        <v>7.5350000000000197</v>
      </c>
      <c r="AD2656">
        <v>-1.0981901901910001</v>
      </c>
      <c r="AE2656">
        <v>-12.4826999999999</v>
      </c>
      <c r="AF2656">
        <v>7.81375674301965</v>
      </c>
      <c r="AG2656">
        <v>-1.0981901901910001</v>
      </c>
      <c r="AH2656">
        <v>12.2125982976975</v>
      </c>
      <c r="AI2656">
        <v>94.331645297376795</v>
      </c>
      <c r="AJ2656">
        <v>57.388433137118</v>
      </c>
      <c r="AK2656">
        <v>14.5398890406303</v>
      </c>
      <c r="AL2656">
        <v>93.080722136140295</v>
      </c>
      <c r="AM2656">
        <v>73.174134915946894</v>
      </c>
      <c r="AN2656">
        <v>0.99999999836099196</v>
      </c>
    </row>
    <row r="2657" spans="1:40" x14ac:dyDescent="0.25">
      <c r="A2657" t="str">
        <f>"20190305135638818"</f>
        <v>20190305135638818</v>
      </c>
      <c r="B2657" t="str">
        <f>"1551765398815050"</f>
        <v>1551765398815050</v>
      </c>
      <c r="C2657" t="s">
        <v>40</v>
      </c>
      <c r="D2657">
        <v>4.3929169999999997</v>
      </c>
      <c r="E2657">
        <v>0.60512580000000005</v>
      </c>
      <c r="F2657" t="s">
        <v>42</v>
      </c>
      <c r="G2657">
        <v>-191.8656</v>
      </c>
      <c r="H2657" s="1">
        <v>-4.0232699999999997E-6</v>
      </c>
      <c r="I2657">
        <v>197.83690000000001</v>
      </c>
      <c r="J2657">
        <v>-199.36089999999999</v>
      </c>
      <c r="K2657">
        <v>1.0978399999999999</v>
      </c>
      <c r="L2657">
        <v>210.5429</v>
      </c>
      <c r="M2657">
        <v>0.89083429999999997</v>
      </c>
      <c r="N2657">
        <v>-1.5078879999999999E-2</v>
      </c>
      <c r="O2657">
        <v>-0.45407829999999899</v>
      </c>
      <c r="P2657">
        <v>0.71506819999999904</v>
      </c>
      <c r="Q2657">
        <v>-6.0288410000000001E-2</v>
      </c>
      <c r="R2657">
        <v>-0.69645040000000003</v>
      </c>
      <c r="S2657">
        <v>1.6069180000000001</v>
      </c>
      <c r="T2657">
        <v>-0.22724030000000001</v>
      </c>
      <c r="U2657">
        <v>-2.6595460000000002</v>
      </c>
      <c r="V2657">
        <v>0.29438330000000001</v>
      </c>
      <c r="W2657">
        <v>-5.40268E-2</v>
      </c>
      <c r="X2657">
        <v>0.95415910000000004</v>
      </c>
      <c r="Y2657">
        <v>0.52686359999999999</v>
      </c>
      <c r="Z2657">
        <v>3.9611869999999997E-3</v>
      </c>
      <c r="AA2657">
        <v>0.84994059999999905</v>
      </c>
      <c r="AB2657">
        <v>32</v>
      </c>
      <c r="AC2657">
        <v>7.4952999999999799</v>
      </c>
      <c r="AD2657">
        <v>-1.09784402327</v>
      </c>
      <c r="AE2657">
        <v>-12.7059999999999</v>
      </c>
      <c r="AF2657">
        <v>7.87278462501272</v>
      </c>
      <c r="AG2657">
        <v>-1.09784402327</v>
      </c>
      <c r="AH2657">
        <v>12.379441662523901</v>
      </c>
      <c r="AI2657">
        <v>94.279586868876095</v>
      </c>
      <c r="AJ2657">
        <v>57.545420067317302</v>
      </c>
      <c r="AK2657">
        <v>14.711783546772899</v>
      </c>
      <c r="AL2657">
        <v>93.097015496052805</v>
      </c>
      <c r="AM2657">
        <v>72.853622962783106</v>
      </c>
      <c r="AN2657">
        <v>1.00000000527497</v>
      </c>
    </row>
    <row r="2658" spans="1:40" x14ac:dyDescent="0.25">
      <c r="A2658" t="str">
        <f>"20190305135638840"</f>
        <v>20190305135638840</v>
      </c>
      <c r="B2658" t="str">
        <f>"1551765398834570"</f>
        <v>1551765398834570</v>
      </c>
      <c r="C2658" t="s">
        <v>40</v>
      </c>
      <c r="D2658">
        <v>4.1366719999999999</v>
      </c>
      <c r="E2658">
        <v>0.66394540000000002</v>
      </c>
      <c r="F2658" t="s">
        <v>42</v>
      </c>
      <c r="G2658">
        <v>-191.98990000000001</v>
      </c>
      <c r="H2658" s="1">
        <v>-4.0178940000000004E-6</v>
      </c>
      <c r="I2658">
        <v>197.75630000000001</v>
      </c>
      <c r="J2658">
        <v>-199.08760000000001</v>
      </c>
      <c r="K2658">
        <v>1.0974729999999999</v>
      </c>
      <c r="L2658">
        <v>210.3895</v>
      </c>
      <c r="M2658">
        <v>0.88459069999999995</v>
      </c>
      <c r="N2658">
        <v>-1.516371E-2</v>
      </c>
      <c r="O2658">
        <v>-0.46612160000000002</v>
      </c>
      <c r="P2658">
        <v>0.70204500000000003</v>
      </c>
      <c r="Q2658">
        <v>-6.1359110000000001E-2</v>
      </c>
      <c r="R2658">
        <v>-0.70948420000000001</v>
      </c>
      <c r="S2658">
        <v>1.552643</v>
      </c>
      <c r="T2658">
        <v>-0.2312517</v>
      </c>
      <c r="U2658">
        <v>-2.69339</v>
      </c>
      <c r="V2658">
        <v>0.29894720000000002</v>
      </c>
      <c r="W2658">
        <v>-5.5423170000000001E-2</v>
      </c>
      <c r="X2658">
        <v>0.95265880000000003</v>
      </c>
      <c r="Y2658">
        <v>0.53278549999999902</v>
      </c>
      <c r="Z2658">
        <v>4.7236659999999996E-3</v>
      </c>
      <c r="AA2658">
        <v>0.84623709999999996</v>
      </c>
      <c r="AB2658">
        <v>32</v>
      </c>
      <c r="AC2658">
        <v>7.0976999999999997</v>
      </c>
      <c r="AD2658">
        <v>-1.0974770178940001</v>
      </c>
      <c r="AE2658">
        <v>-12.633199999999899</v>
      </c>
      <c r="AF2658">
        <v>7.8228512678904396</v>
      </c>
      <c r="AG2658">
        <v>-1.0974770178940001</v>
      </c>
      <c r="AH2658">
        <v>12.09916292586</v>
      </c>
      <c r="AI2658">
        <v>94.355925161258895</v>
      </c>
      <c r="AJ2658">
        <v>57.114852359227697</v>
      </c>
      <c r="AK2658">
        <v>14.449609035224601</v>
      </c>
      <c r="AL2658">
        <v>93.177141785359893</v>
      </c>
      <c r="AM2658">
        <v>72.577985665322799</v>
      </c>
      <c r="AN2658">
        <v>0.99999997268906404</v>
      </c>
    </row>
    <row r="2659" spans="1:40" x14ac:dyDescent="0.25">
      <c r="A2659" t="str">
        <f>"20190305135638862"</f>
        <v>20190305135638862</v>
      </c>
      <c r="B2659" t="str">
        <f>"1551765398855065"</f>
        <v>1551765398855065</v>
      </c>
      <c r="C2659" t="s">
        <v>40</v>
      </c>
      <c r="D2659">
        <v>4.1211440000000001</v>
      </c>
      <c r="E2659">
        <v>0.67619750000000001</v>
      </c>
      <c r="F2659" t="s">
        <v>42</v>
      </c>
      <c r="G2659">
        <v>-183.41589999999999</v>
      </c>
      <c r="H2659" s="1">
        <v>-1.8772809999999999E-6</v>
      </c>
      <c r="I2659">
        <v>170.01660000000001</v>
      </c>
      <c r="J2659">
        <v>-198.80199999999999</v>
      </c>
      <c r="K2659">
        <v>1.0971029999999999</v>
      </c>
      <c r="L2659">
        <v>210.2235</v>
      </c>
      <c r="M2659">
        <v>0.87758760000000002</v>
      </c>
      <c r="N2659">
        <v>-1.5258860000000001E-2</v>
      </c>
      <c r="O2659">
        <v>-0.47917359999999998</v>
      </c>
      <c r="P2659">
        <v>0.6889383</v>
      </c>
      <c r="Q2659">
        <v>-6.3182340000000003E-2</v>
      </c>
      <c r="R2659">
        <v>-0.72206090000000001</v>
      </c>
      <c r="S2659">
        <v>1.183853</v>
      </c>
      <c r="T2659">
        <v>-8.2904220000000001E-2</v>
      </c>
      <c r="U2659">
        <v>-3.0498050000000001</v>
      </c>
      <c r="V2659">
        <v>0.30203069999999999</v>
      </c>
      <c r="W2659">
        <v>-5.7537419999999999E-2</v>
      </c>
      <c r="X2659">
        <v>0.95156030000000003</v>
      </c>
      <c r="Y2659">
        <v>0.64448969999999906</v>
      </c>
      <c r="Z2659">
        <v>-8.1858999999999994E-3</v>
      </c>
      <c r="AA2659">
        <v>0.76456919999999995</v>
      </c>
      <c r="AB2659">
        <v>32</v>
      </c>
      <c r="AC2659">
        <v>15.386100000000001</v>
      </c>
      <c r="AD2659">
        <v>-1.0971048772809999</v>
      </c>
      <c r="AE2659">
        <v>-40.206899999999898</v>
      </c>
      <c r="AF2659">
        <v>27.897593614860501</v>
      </c>
      <c r="AG2659">
        <v>-1.0971048772809999</v>
      </c>
      <c r="AH2659">
        <v>32.751278084525801</v>
      </c>
      <c r="AI2659">
        <v>91.460772596119</v>
      </c>
      <c r="AJ2659">
        <v>49.575587208002098</v>
      </c>
      <c r="AK2659">
        <v>43.036328662905298</v>
      </c>
      <c r="AL2659">
        <v>93.298472832616199</v>
      </c>
      <c r="AM2659">
        <v>72.390263029164998</v>
      </c>
      <c r="AN2659">
        <v>1.0000000514894101</v>
      </c>
    </row>
    <row r="2660" spans="1:40" x14ac:dyDescent="0.25">
      <c r="A2660" t="str">
        <f>"20190305135638899"</f>
        <v>20190305135638899</v>
      </c>
      <c r="B2660" t="str">
        <f>"1551765398895082"</f>
        <v>1551765398895082</v>
      </c>
      <c r="C2660" t="s">
        <v>40</v>
      </c>
      <c r="D2660">
        <v>4.1491449999999999</v>
      </c>
      <c r="E2660">
        <v>0.6783344</v>
      </c>
      <c r="F2660" t="s">
        <v>73</v>
      </c>
      <c r="G2660">
        <v>-172.38499999999999</v>
      </c>
      <c r="H2660" s="1">
        <v>-1.6878120000000001E-6</v>
      </c>
      <c r="I2660">
        <v>132.1755</v>
      </c>
      <c r="J2660">
        <v>-198.35470000000001</v>
      </c>
      <c r="K2660">
        <v>1.096506</v>
      </c>
      <c r="L2660">
        <v>209.95070000000001</v>
      </c>
      <c r="M2660">
        <v>0.86553719999999901</v>
      </c>
      <c r="N2660">
        <v>-1.5429379999999999E-2</v>
      </c>
      <c r="O2660">
        <v>-0.50060689999999997</v>
      </c>
      <c r="P2660">
        <v>0.66682209999999997</v>
      </c>
      <c r="Q2660">
        <v>-6.2309789999999997E-2</v>
      </c>
      <c r="R2660">
        <v>-0.74260709999999996</v>
      </c>
      <c r="S2660">
        <v>1.0619809999999901</v>
      </c>
      <c r="T2660">
        <v>-4.4104459999999998E-2</v>
      </c>
      <c r="U2660">
        <v>-3.1375890000000002</v>
      </c>
      <c r="V2660">
        <v>0.30736429999999998</v>
      </c>
      <c r="W2660">
        <v>-5.7135089999999999E-2</v>
      </c>
      <c r="X2660">
        <v>0.94987520000000003</v>
      </c>
      <c r="Y2660">
        <v>0.65926370000000001</v>
      </c>
      <c r="Z2660">
        <v>-1.0424040000000001E-2</v>
      </c>
      <c r="AA2660">
        <v>0.75183949999999999</v>
      </c>
      <c r="AB2660">
        <v>32</v>
      </c>
      <c r="AC2660">
        <v>25.9697</v>
      </c>
      <c r="AD2660">
        <v>-1.0965076878119999</v>
      </c>
      <c r="AE2660">
        <v>-77.775199999999998</v>
      </c>
      <c r="AF2660">
        <v>54.313472301286097</v>
      </c>
      <c r="AG2660">
        <v>-1.0965076878119999</v>
      </c>
      <c r="AH2660">
        <v>61.408873677692597</v>
      </c>
      <c r="AI2660">
        <v>90.766286849011905</v>
      </c>
      <c r="AJ2660">
        <v>48.5086417392233</v>
      </c>
      <c r="AK2660">
        <v>81.989056397148502</v>
      </c>
      <c r="AL2660">
        <v>93.275382998826402</v>
      </c>
      <c r="AM2660">
        <v>72.069255338408198</v>
      </c>
      <c r="AN2660">
        <v>1.00000006349941</v>
      </c>
    </row>
    <row r="2661" spans="1:40" x14ac:dyDescent="0.25">
      <c r="A2661" t="str">
        <f>"20190305135638944"</f>
        <v>20190305135638944</v>
      </c>
      <c r="B2661" t="str">
        <f>"1551765398935097"</f>
        <v>1551765398935097</v>
      </c>
      <c r="C2661" t="s">
        <v>40</v>
      </c>
      <c r="D2661">
        <v>4.1759149999999998</v>
      </c>
      <c r="E2661">
        <v>0.676894199999999</v>
      </c>
      <c r="F2661" t="s">
        <v>73</v>
      </c>
      <c r="G2661">
        <v>-177.35249999999999</v>
      </c>
      <c r="H2661" s="1">
        <v>-7.3826859999999997E-6</v>
      </c>
      <c r="I2661">
        <v>139.85040000000001</v>
      </c>
      <c r="J2661">
        <v>-197.7963</v>
      </c>
      <c r="K2661">
        <v>1.095707</v>
      </c>
      <c r="L2661">
        <v>209.58670000000001</v>
      </c>
      <c r="M2661">
        <v>0.84849129999999995</v>
      </c>
      <c r="N2661">
        <v>-1.5668270000000002E-2</v>
      </c>
      <c r="O2661">
        <v>-0.52897749999999999</v>
      </c>
      <c r="P2661">
        <v>0.63735469999999905</v>
      </c>
      <c r="Q2661">
        <v>-6.5249009999999996E-2</v>
      </c>
      <c r="R2661">
        <v>-0.76780340000000002</v>
      </c>
      <c r="S2661">
        <v>0.95274349999999997</v>
      </c>
      <c r="T2661">
        <v>-4.9742340000000003E-2</v>
      </c>
      <c r="U2661">
        <v>-3.1800380000000001</v>
      </c>
      <c r="V2661">
        <v>0.3125599</v>
      </c>
      <c r="W2661">
        <v>-6.0607099999999997E-2</v>
      </c>
      <c r="X2661">
        <v>0.94796259999999999</v>
      </c>
      <c r="Y2661">
        <v>0.66087369999999901</v>
      </c>
      <c r="Z2661">
        <v>-1.018435E-2</v>
      </c>
      <c r="AA2661">
        <v>0.75042799999999998</v>
      </c>
      <c r="AB2661">
        <v>32</v>
      </c>
      <c r="AC2661">
        <v>20.4438</v>
      </c>
      <c r="AD2661">
        <v>-1.0957143826860001</v>
      </c>
      <c r="AE2661">
        <v>-69.7363</v>
      </c>
      <c r="AF2661">
        <v>48.351274030589998</v>
      </c>
      <c r="AG2661">
        <v>-1.0957143826860001</v>
      </c>
      <c r="AH2661">
        <v>54.229645345509297</v>
      </c>
      <c r="AI2661">
        <v>90.864019564756404</v>
      </c>
      <c r="AJ2661">
        <v>48.279731964418097</v>
      </c>
      <c r="AK2661">
        <v>72.662925379379999</v>
      </c>
      <c r="AL2661">
        <v>93.4746604510119</v>
      </c>
      <c r="AM2661">
        <v>71.751705524911003</v>
      </c>
      <c r="AN2661">
        <v>1.0000000013285899</v>
      </c>
    </row>
    <row r="2662" spans="1:40" x14ac:dyDescent="0.25">
      <c r="A2662" t="str">
        <f>"20190305135638969"</f>
        <v>20190305135638969</v>
      </c>
      <c r="B2662" t="str">
        <f>"1551765398964378"</f>
        <v>1551765398964378</v>
      </c>
      <c r="C2662" t="s">
        <v>40</v>
      </c>
      <c r="D2662">
        <v>4.2001679999999997</v>
      </c>
      <c r="E2662">
        <v>0.67587589999999997</v>
      </c>
      <c r="F2662" t="s">
        <v>42</v>
      </c>
      <c r="G2662">
        <v>-187.5472</v>
      </c>
      <c r="H2662" s="1">
        <v>-8.1995099999999895E-7</v>
      </c>
      <c r="I2662">
        <v>170.13980000000001</v>
      </c>
      <c r="J2662">
        <v>-197.50919999999999</v>
      </c>
      <c r="K2662">
        <v>1.0953120000000001</v>
      </c>
      <c r="L2662">
        <v>209.3886</v>
      </c>
      <c r="M2662">
        <v>0.83879049999999999</v>
      </c>
      <c r="N2662">
        <v>-1.5796270000000001E-2</v>
      </c>
      <c r="O2662">
        <v>-0.54422519999999996</v>
      </c>
      <c r="P2662">
        <v>0.62202570000000001</v>
      </c>
      <c r="Q2662">
        <v>-6.6510070000000004E-2</v>
      </c>
      <c r="R2662">
        <v>-0.78016700000000005</v>
      </c>
      <c r="S2662">
        <v>0.83346559999999903</v>
      </c>
      <c r="T2662">
        <v>-8.9103699999999994E-2</v>
      </c>
      <c r="U2662">
        <v>-3.2078549999999999</v>
      </c>
      <c r="V2662">
        <v>0.3140133</v>
      </c>
      <c r="W2662">
        <v>-6.2087589999999998E-2</v>
      </c>
      <c r="X2662">
        <v>0.94738630000000001</v>
      </c>
      <c r="Y2662">
        <v>0.67472829999999995</v>
      </c>
      <c r="Z2662">
        <v>-7.8679100000000005E-3</v>
      </c>
      <c r="AA2662">
        <v>0.73802419999999902</v>
      </c>
      <c r="AB2662">
        <v>32</v>
      </c>
      <c r="AC2662">
        <v>9.9619999999999802</v>
      </c>
      <c r="AD2662">
        <v>-1.095312819951</v>
      </c>
      <c r="AE2662">
        <v>-39.248799999999903</v>
      </c>
      <c r="AF2662">
        <v>27.4832710028764</v>
      </c>
      <c r="AG2662">
        <v>-1.095312819951</v>
      </c>
      <c r="AH2662">
        <v>29.698194740571299</v>
      </c>
      <c r="AI2662">
        <v>91.550561206108497</v>
      </c>
      <c r="AJ2662">
        <v>47.218242707475397</v>
      </c>
      <c r="AK2662">
        <v>40.478545750063603</v>
      </c>
      <c r="AL2662">
        <v>93.559646324258793</v>
      </c>
      <c r="AM2662">
        <v>71.6621073081064</v>
      </c>
      <c r="AN2662">
        <v>1.0000000114182901</v>
      </c>
    </row>
    <row r="2663" spans="1:40" x14ac:dyDescent="0.25">
      <c r="A2663" t="str">
        <f>"20190305135638994"</f>
        <v>20190305135638994</v>
      </c>
      <c r="B2663" t="str">
        <f>"1551765398984873"</f>
        <v>1551765398984873</v>
      </c>
      <c r="C2663" t="s">
        <v>40</v>
      </c>
      <c r="D2663">
        <v>4.2792810000000001</v>
      </c>
      <c r="E2663">
        <v>0.67533759999999998</v>
      </c>
      <c r="F2663" t="s">
        <v>42</v>
      </c>
      <c r="G2663">
        <v>-190.04040000000001</v>
      </c>
      <c r="H2663" s="1">
        <v>-3.753687E-6</v>
      </c>
      <c r="I2663">
        <v>178.31399999999999</v>
      </c>
      <c r="J2663">
        <v>-197.21</v>
      </c>
      <c r="K2663">
        <v>1.0948960000000001</v>
      </c>
      <c r="L2663">
        <v>209.17269999999999</v>
      </c>
      <c r="M2663">
        <v>0.82787199999999905</v>
      </c>
      <c r="N2663">
        <v>-1.5935520000000002E-2</v>
      </c>
      <c r="O2663">
        <v>-0.56069060000000004</v>
      </c>
      <c r="P2663">
        <v>0.60576960000000002</v>
      </c>
      <c r="Q2663">
        <v>-6.7061410000000002E-2</v>
      </c>
      <c r="R2663">
        <v>-0.79280879999999998</v>
      </c>
      <c r="S2663">
        <v>0.77365109999999904</v>
      </c>
      <c r="T2663">
        <v>-0.1134568</v>
      </c>
      <c r="U2663">
        <v>-3.218826</v>
      </c>
      <c r="V2663">
        <v>0.31476130000000002</v>
      </c>
      <c r="W2663">
        <v>-6.2833120000000006E-2</v>
      </c>
      <c r="X2663">
        <v>0.94708890000000001</v>
      </c>
      <c r="Y2663">
        <v>0.67357389999999995</v>
      </c>
      <c r="Z2663">
        <v>-5.8228219999999897E-3</v>
      </c>
      <c r="AA2663">
        <v>0.73909709999999995</v>
      </c>
      <c r="AB2663">
        <v>32</v>
      </c>
      <c r="AC2663">
        <v>7.1696</v>
      </c>
      <c r="AD2663">
        <v>-1.09489975368699</v>
      </c>
      <c r="AE2663">
        <v>-30.858699999999899</v>
      </c>
      <c r="AF2663">
        <v>21.504175605193499</v>
      </c>
      <c r="AG2663">
        <v>-1.09489975368699</v>
      </c>
      <c r="AH2663">
        <v>23.212919663183602</v>
      </c>
      <c r="AI2663">
        <v>91.981747528511505</v>
      </c>
      <c r="AJ2663">
        <v>47.188340084614701</v>
      </c>
      <c r="AK2663">
        <v>31.661775269543</v>
      </c>
      <c r="AL2663">
        <v>93.602445545567093</v>
      </c>
      <c r="AM2663">
        <v>71.615974242151196</v>
      </c>
      <c r="AN2663">
        <v>1.0000000307249099</v>
      </c>
    </row>
    <row r="2664" spans="1:40" x14ac:dyDescent="0.25">
      <c r="A2664" t="str">
        <f>"20190305135639020"</f>
        <v>20190305135639020</v>
      </c>
      <c r="B2664" t="str">
        <f>"1551765399015130"</f>
        <v>1551765399015130</v>
      </c>
      <c r="C2664" t="s">
        <v>40</v>
      </c>
      <c r="D2664">
        <v>4.2595349999999996</v>
      </c>
      <c r="E2664">
        <v>0.67432899999999996</v>
      </c>
      <c r="F2664" t="s">
        <v>42</v>
      </c>
      <c r="G2664">
        <v>-190.77160000000001</v>
      </c>
      <c r="H2664" s="1">
        <v>-3.2211880000000002E-7</v>
      </c>
      <c r="I2664">
        <v>179.8614</v>
      </c>
      <c r="J2664">
        <v>-196.89930000000001</v>
      </c>
      <c r="K2664">
        <v>1.094484</v>
      </c>
      <c r="L2664">
        <v>208.93819999999999</v>
      </c>
      <c r="M2664">
        <v>0.81563289999999999</v>
      </c>
      <c r="N2664">
        <v>-1.6093739999999999E-2</v>
      </c>
      <c r="O2664">
        <v>-0.57834600000000003</v>
      </c>
      <c r="P2664">
        <v>0.58923319999999901</v>
      </c>
      <c r="Q2664">
        <v>-6.9512820000000003E-2</v>
      </c>
      <c r="R2664">
        <v>-0.80496730000000005</v>
      </c>
      <c r="S2664">
        <v>0.70980829999999995</v>
      </c>
      <c r="T2664">
        <v>-0.1207078</v>
      </c>
      <c r="U2664">
        <v>-3.2314449999999999</v>
      </c>
      <c r="V2664">
        <v>0.31370239999999999</v>
      </c>
      <c r="W2664">
        <v>-6.5402970000000005E-2</v>
      </c>
      <c r="X2664">
        <v>0.94726619999999995</v>
      </c>
      <c r="Y2664">
        <v>0.67219530000000005</v>
      </c>
      <c r="Z2664">
        <v>-4.7763889999999998E-3</v>
      </c>
      <c r="AA2664">
        <v>0.74035850000000003</v>
      </c>
      <c r="AB2664">
        <v>32</v>
      </c>
      <c r="AC2664">
        <v>6.1276999999999999</v>
      </c>
      <c r="AD2664">
        <v>-1.0944843221188001</v>
      </c>
      <c r="AE2664">
        <v>-29.076799999999899</v>
      </c>
      <c r="AF2664">
        <v>20.147343447400999</v>
      </c>
      <c r="AG2664">
        <v>-1.0944843221188001</v>
      </c>
      <c r="AH2664">
        <v>21.787671562084199</v>
      </c>
      <c r="AI2664">
        <v>92.112231778470601</v>
      </c>
      <c r="AJ2664">
        <v>47.240037074823697</v>
      </c>
      <c r="AK2664">
        <v>29.695386443286999</v>
      </c>
      <c r="AL2664">
        <v>93.749990861128097</v>
      </c>
      <c r="AM2664">
        <v>71.676882628850905</v>
      </c>
      <c r="AN2664">
        <v>0.99999999895651004</v>
      </c>
    </row>
    <row r="2665" spans="1:40" x14ac:dyDescent="0.25">
      <c r="A2665" t="str">
        <f>"20190305135639056"</f>
        <v>20190305135639056</v>
      </c>
      <c r="B2665" t="str">
        <f>"1551765399044409"</f>
        <v>1551765399044409</v>
      </c>
      <c r="C2665" t="s">
        <v>40</v>
      </c>
      <c r="D2665">
        <v>4.2944610000000001</v>
      </c>
      <c r="E2665">
        <v>0.67261519999999997</v>
      </c>
      <c r="F2665" t="s">
        <v>42</v>
      </c>
      <c r="G2665">
        <v>-191.78579999999999</v>
      </c>
      <c r="H2665" s="1">
        <v>-2.098971E-6</v>
      </c>
      <c r="I2665">
        <v>183.37430000000001</v>
      </c>
      <c r="J2665">
        <v>-196.50630000000001</v>
      </c>
      <c r="K2665">
        <v>1.0940190000000001</v>
      </c>
      <c r="L2665">
        <v>208.6258</v>
      </c>
      <c r="M2665">
        <v>0.79876449999999999</v>
      </c>
      <c r="N2665">
        <v>-1.6307720000000001E-2</v>
      </c>
      <c r="O2665">
        <v>-0.60142299999999904</v>
      </c>
      <c r="P2665">
        <v>0.5712216</v>
      </c>
      <c r="Q2665">
        <v>-6.7543480000000003E-2</v>
      </c>
      <c r="R2665">
        <v>-0.81801250000000003</v>
      </c>
      <c r="S2665">
        <v>0.64817809999999998</v>
      </c>
      <c r="T2665">
        <v>-0.13873489999999999</v>
      </c>
      <c r="U2665">
        <v>-3.2404329999999999</v>
      </c>
      <c r="V2665">
        <v>0.30778689999999997</v>
      </c>
      <c r="W2665">
        <v>-6.3348810000000005E-2</v>
      </c>
      <c r="X2665">
        <v>0.94934399999999997</v>
      </c>
      <c r="Y2665">
        <v>0.66485890000000003</v>
      </c>
      <c r="Z2665">
        <v>-2.2855739999999999E-3</v>
      </c>
      <c r="AA2665">
        <v>0.74696549999999995</v>
      </c>
      <c r="AB2665">
        <v>32</v>
      </c>
      <c r="AC2665">
        <v>4.7205000000000101</v>
      </c>
      <c r="AD2665">
        <v>-1.094021098971</v>
      </c>
      <c r="AE2665">
        <v>-25.2515</v>
      </c>
      <c r="AF2665">
        <v>17.3019069180835</v>
      </c>
      <c r="AG2665">
        <v>-1.094021098971</v>
      </c>
      <c r="AH2665">
        <v>18.925594355719898</v>
      </c>
      <c r="AI2665">
        <v>92.443013610779602</v>
      </c>
      <c r="AJ2665">
        <v>47.566233308365902</v>
      </c>
      <c r="AK2665">
        <v>25.665755139568301</v>
      </c>
      <c r="AL2665">
        <v>93.632051720678803</v>
      </c>
      <c r="AM2665">
        <v>72.036782868927503</v>
      </c>
      <c r="AN2665">
        <v>0.99999993893801098</v>
      </c>
    </row>
    <row r="2666" spans="1:40" x14ac:dyDescent="0.25">
      <c r="A2666" t="str">
        <f>"20190305135639078"</f>
        <v>20190305135639078</v>
      </c>
      <c r="B2666" t="str">
        <f>"1551765399074666"</f>
        <v>1551765399074666</v>
      </c>
      <c r="C2666" t="s">
        <v>40</v>
      </c>
      <c r="D2666">
        <v>4.2947449999999998</v>
      </c>
      <c r="E2666">
        <v>0.67110230000000004</v>
      </c>
      <c r="F2666" t="s">
        <v>42</v>
      </c>
      <c r="G2666">
        <v>-191.7962</v>
      </c>
      <c r="H2666" s="1">
        <v>-1.7492220000000001E-6</v>
      </c>
      <c r="I2666">
        <v>182.55250000000001</v>
      </c>
      <c r="J2666">
        <v>-196.2543</v>
      </c>
      <c r="K2666">
        <v>1.0937380000000001</v>
      </c>
      <c r="L2666">
        <v>208.41489999999999</v>
      </c>
      <c r="M2666">
        <v>0.78703040000000002</v>
      </c>
      <c r="N2666">
        <v>-1.6449289999999998E-2</v>
      </c>
      <c r="O2666">
        <v>-0.61669499999999999</v>
      </c>
      <c r="P2666">
        <v>0.55832680000000001</v>
      </c>
      <c r="Q2666">
        <v>-6.4867809999999998E-2</v>
      </c>
      <c r="R2666">
        <v>-0.82708110000000001</v>
      </c>
      <c r="S2666">
        <v>0.58650210000000003</v>
      </c>
      <c r="T2666">
        <v>-0.13622679999999901</v>
      </c>
      <c r="U2666">
        <v>-3.2466279999999998</v>
      </c>
      <c r="V2666">
        <v>0.30461650000000001</v>
      </c>
      <c r="W2666">
        <v>-6.0621670000000002E-2</v>
      </c>
      <c r="X2666">
        <v>0.9505439</v>
      </c>
      <c r="Y2666">
        <v>0.66445379999999998</v>
      </c>
      <c r="Z2666">
        <v>-1.9678790000000001E-3</v>
      </c>
      <c r="AA2666">
        <v>0.74732670000000001</v>
      </c>
      <c r="AB2666">
        <v>32</v>
      </c>
      <c r="AC2666">
        <v>4.4581</v>
      </c>
      <c r="AD2666">
        <v>-1.09373974922199</v>
      </c>
      <c r="AE2666">
        <v>-25.862399999999901</v>
      </c>
      <c r="AF2666">
        <v>17.577058462691401</v>
      </c>
      <c r="AG2666">
        <v>-1.09373974922199</v>
      </c>
      <c r="AH2666">
        <v>19.426762232994701</v>
      </c>
      <c r="AI2666">
        <v>92.390622636155399</v>
      </c>
      <c r="AJ2666">
        <v>47.861652639092597</v>
      </c>
      <c r="AK2666">
        <v>26.221143028045301</v>
      </c>
      <c r="AL2666">
        <v>93.475496958633997</v>
      </c>
      <c r="AM2666">
        <v>72.231139330661506</v>
      </c>
      <c r="AN2666">
        <v>0.99999995238652295</v>
      </c>
    </row>
    <row r="2667" spans="1:40" x14ac:dyDescent="0.25">
      <c r="A2667" t="str">
        <f>"20190305135639102"</f>
        <v>20190305135639102</v>
      </c>
      <c r="B2667" t="str">
        <f>"1551765399095162"</f>
        <v>1551765399095162</v>
      </c>
      <c r="C2667" t="s">
        <v>40</v>
      </c>
      <c r="D2667">
        <v>4.3525150000000004</v>
      </c>
      <c r="E2667">
        <v>0.67020109999999999</v>
      </c>
      <c r="F2667" t="s">
        <v>42</v>
      </c>
      <c r="G2667">
        <v>-192.00749999999999</v>
      </c>
      <c r="H2667" s="1">
        <v>-2.0191209999999998E-6</v>
      </c>
      <c r="I2667">
        <v>183.0506</v>
      </c>
      <c r="J2667">
        <v>-195.98070000000001</v>
      </c>
      <c r="K2667">
        <v>1.0934469999999901</v>
      </c>
      <c r="L2667">
        <v>208.17619999999999</v>
      </c>
      <c r="M2667">
        <v>0.77344709999999905</v>
      </c>
      <c r="N2667">
        <v>-1.660561E-2</v>
      </c>
      <c r="O2667">
        <v>-0.63364339999999997</v>
      </c>
      <c r="P2667">
        <v>0.54198250000000003</v>
      </c>
      <c r="Q2667">
        <v>-6.4446589999999998E-2</v>
      </c>
      <c r="R2667">
        <v>-0.83791499999999997</v>
      </c>
      <c r="S2667">
        <v>0.54399109999999995</v>
      </c>
      <c r="T2667">
        <v>-0.14010129999999901</v>
      </c>
      <c r="U2667">
        <v>-3.2490079999999999</v>
      </c>
      <c r="V2667">
        <v>0.30263430000000002</v>
      </c>
      <c r="W2667">
        <v>-6.019182E-2</v>
      </c>
      <c r="X2667">
        <v>0.95120420000000006</v>
      </c>
      <c r="Y2667">
        <v>0.65777929999999996</v>
      </c>
      <c r="Z2667">
        <v>-7.4138860000000004E-4</v>
      </c>
      <c r="AA2667">
        <v>0.75321039999999995</v>
      </c>
      <c r="AB2667">
        <v>31</v>
      </c>
      <c r="AC2667">
        <v>3.9732000000000198</v>
      </c>
      <c r="AD2667">
        <v>-1.09344901912099</v>
      </c>
      <c r="AE2667">
        <v>-25.125599999999899</v>
      </c>
      <c r="AF2667">
        <v>16.886859882002</v>
      </c>
      <c r="AG2667">
        <v>-1.09344901912099</v>
      </c>
      <c r="AH2667">
        <v>18.961313422769202</v>
      </c>
      <c r="AI2667">
        <v>92.465897032994206</v>
      </c>
      <c r="AJ2667">
        <v>48.311884983714798</v>
      </c>
      <c r="AK2667">
        <v>25.414426496544699</v>
      </c>
      <c r="AL2667">
        <v>93.450823135688594</v>
      </c>
      <c r="AM2667">
        <v>72.351056258081996</v>
      </c>
      <c r="AN2667">
        <v>1.0000000024145199</v>
      </c>
    </row>
    <row r="2668" spans="1:40" x14ac:dyDescent="0.25">
      <c r="A2668" t="str">
        <f>"20190305135639124"</f>
        <v>20190305135639124</v>
      </c>
      <c r="B2668" t="str">
        <f>"1551765399114682"</f>
        <v>1551765399114682</v>
      </c>
      <c r="C2668" t="s">
        <v>40</v>
      </c>
      <c r="D2668">
        <v>4.372261</v>
      </c>
      <c r="E2668">
        <v>0.66957</v>
      </c>
      <c r="F2668" t="s">
        <v>42</v>
      </c>
      <c r="G2668">
        <v>-192.3655</v>
      </c>
      <c r="H2668" s="1">
        <v>-2.4908119999999998E-6</v>
      </c>
      <c r="I2668">
        <v>183.9281</v>
      </c>
      <c r="J2668">
        <v>-195.75370000000001</v>
      </c>
      <c r="K2668">
        <v>1.0932280000000001</v>
      </c>
      <c r="L2668">
        <v>207.96969999999999</v>
      </c>
      <c r="M2668">
        <v>0.76145240000000003</v>
      </c>
      <c r="N2668">
        <v>-1.6736150000000002E-2</v>
      </c>
      <c r="O2668">
        <v>-0.64800500000000005</v>
      </c>
      <c r="P2668">
        <v>0.52734449999999999</v>
      </c>
      <c r="Q2668">
        <v>-6.2696929999999998E-2</v>
      </c>
      <c r="R2668">
        <v>-0.84733539999999996</v>
      </c>
      <c r="S2668">
        <v>0.485321</v>
      </c>
      <c r="T2668">
        <v>-0.1467878</v>
      </c>
      <c r="U2668">
        <v>-3.2551269999999999</v>
      </c>
      <c r="V2668">
        <v>0.30149720000000002</v>
      </c>
      <c r="W2668">
        <v>-5.8443040000000002E-2</v>
      </c>
      <c r="X2668">
        <v>0.95167429999999997</v>
      </c>
      <c r="Y2668">
        <v>0.65713820000000001</v>
      </c>
      <c r="Z2668">
        <v>5.4760089999999996E-4</v>
      </c>
      <c r="AA2668">
        <v>0.75376989999999999</v>
      </c>
      <c r="AB2668">
        <v>31</v>
      </c>
      <c r="AC2668">
        <v>3.3882000000000101</v>
      </c>
      <c r="AD2668">
        <v>-1.0932304908120001</v>
      </c>
      <c r="AE2668">
        <v>-24.041599999999899</v>
      </c>
      <c r="AF2668">
        <v>16.0806145262043</v>
      </c>
      <c r="AG2668">
        <v>-1.0932304908120001</v>
      </c>
      <c r="AH2668">
        <v>18.124823041190201</v>
      </c>
      <c r="AI2668">
        <v>92.5833639828694</v>
      </c>
      <c r="AJ2668">
        <v>48.420081336639001</v>
      </c>
      <c r="AK2668">
        <v>24.254701126191499</v>
      </c>
      <c r="AL2668">
        <v>93.3504484678583</v>
      </c>
      <c r="AM2668">
        <v>72.421427241919403</v>
      </c>
      <c r="AN2668">
        <v>1.00000006190638</v>
      </c>
    </row>
    <row r="2669" spans="1:40" x14ac:dyDescent="0.25">
      <c r="A2669" t="str">
        <f>"20190305135639147"</f>
        <v>20190305135639147</v>
      </c>
      <c r="B2669" t="str">
        <f>"1551765399144939"</f>
        <v>1551765399144939</v>
      </c>
      <c r="C2669" t="s">
        <v>40</v>
      </c>
      <c r="D2669">
        <v>4.3737190000000004</v>
      </c>
      <c r="E2669">
        <v>0.66863309999999998</v>
      </c>
      <c r="F2669" t="s">
        <v>42</v>
      </c>
      <c r="G2669">
        <v>-192.5068</v>
      </c>
      <c r="H2669" s="1">
        <v>-2.3428240000000001E-6</v>
      </c>
      <c r="I2669">
        <v>183.49549999999999</v>
      </c>
      <c r="J2669">
        <v>-195.5155</v>
      </c>
      <c r="K2669">
        <v>1.093005</v>
      </c>
      <c r="L2669">
        <v>207.74440000000001</v>
      </c>
      <c r="M2669">
        <v>0.74811949999999905</v>
      </c>
      <c r="N2669">
        <v>-1.68752E-2</v>
      </c>
      <c r="O2669">
        <v>-0.66334959999999998</v>
      </c>
      <c r="P2669">
        <v>0.51080609999999904</v>
      </c>
      <c r="Q2669">
        <v>-6.0180539999999998E-2</v>
      </c>
      <c r="R2669">
        <v>-0.85758729999999905</v>
      </c>
      <c r="S2669">
        <v>0.4325562</v>
      </c>
      <c r="T2669">
        <v>-0.14564260000000001</v>
      </c>
      <c r="U2669">
        <v>-3.260513</v>
      </c>
      <c r="V2669">
        <v>0.3008189</v>
      </c>
      <c r="W2669">
        <v>-5.5937239999999999E-2</v>
      </c>
      <c r="X2669">
        <v>0.95203939999999998</v>
      </c>
      <c r="Y2669">
        <v>0.65396430000000005</v>
      </c>
      <c r="Z2669">
        <v>1.13697E-3</v>
      </c>
      <c r="AA2669">
        <v>0.75652459999999999</v>
      </c>
      <c r="AB2669">
        <v>31</v>
      </c>
      <c r="AC2669">
        <v>3.0087000000000002</v>
      </c>
      <c r="AD2669">
        <v>-1.0930073428239999</v>
      </c>
      <c r="AE2669">
        <v>-24.248899999999999</v>
      </c>
      <c r="AF2669">
        <v>16.115307082940099</v>
      </c>
      <c r="AG2669">
        <v>-1.0930073428239999</v>
      </c>
      <c r="AH2669">
        <v>18.302353033976502</v>
      </c>
      <c r="AI2669">
        <v>92.566337388977004</v>
      </c>
      <c r="AJ2669">
        <v>48.635931364530997</v>
      </c>
      <c r="AK2669">
        <v>24.410528753167899</v>
      </c>
      <c r="AL2669">
        <v>93.206641497275399</v>
      </c>
      <c r="AM2669">
        <v>72.464861910816097</v>
      </c>
      <c r="AN2669">
        <v>1.0000000022841899</v>
      </c>
    </row>
    <row r="2670" spans="1:40" x14ac:dyDescent="0.25">
      <c r="A2670" t="str">
        <f>"20190305135639169"</f>
        <v>20190305135639169</v>
      </c>
      <c r="B2670" t="str">
        <f>"1551765399164458"</f>
        <v>1551765399164458</v>
      </c>
      <c r="C2670" t="s">
        <v>40</v>
      </c>
      <c r="D2670">
        <v>4.4362539999999999</v>
      </c>
      <c r="E2670">
        <v>0.66831450000000003</v>
      </c>
      <c r="F2670" t="s">
        <v>42</v>
      </c>
      <c r="G2670">
        <v>-192.64060000000001</v>
      </c>
      <c r="H2670" s="1">
        <v>-2.0515199999999999E-6</v>
      </c>
      <c r="I2670">
        <v>182.73349999999999</v>
      </c>
      <c r="J2670">
        <v>-195.29519999999999</v>
      </c>
      <c r="K2670">
        <v>1.092816</v>
      </c>
      <c r="L2670">
        <v>207.5275</v>
      </c>
      <c r="M2670">
        <v>0.73505339999999997</v>
      </c>
      <c r="N2670">
        <v>-1.7006440000000001E-2</v>
      </c>
      <c r="O2670">
        <v>-0.67779619999999996</v>
      </c>
      <c r="P2670">
        <v>0.4960869</v>
      </c>
      <c r="Q2670">
        <v>-5.9333810000000001E-2</v>
      </c>
      <c r="R2670">
        <v>-0.8662434</v>
      </c>
      <c r="S2670">
        <v>0.37524410000000002</v>
      </c>
      <c r="T2670">
        <v>-0.142667299999999</v>
      </c>
      <c r="U2670">
        <v>-3.264618</v>
      </c>
      <c r="V2670">
        <v>0.29858600000000002</v>
      </c>
      <c r="W2670">
        <v>-5.5018360000000002E-2</v>
      </c>
      <c r="X2670">
        <v>0.95279559999999996</v>
      </c>
      <c r="Y2670">
        <v>0.65244599999999997</v>
      </c>
      <c r="Z2670">
        <v>1.4065529999999901E-3</v>
      </c>
      <c r="AA2670">
        <v>0.75783400000000001</v>
      </c>
      <c r="AB2670">
        <v>31</v>
      </c>
      <c r="AC2670">
        <v>2.6545999999999799</v>
      </c>
      <c r="AD2670">
        <v>-1.0928180515200001</v>
      </c>
      <c r="AE2670">
        <v>-24.794</v>
      </c>
      <c r="AF2670">
        <v>16.396516393193899</v>
      </c>
      <c r="AG2670">
        <v>-1.0928180515200001</v>
      </c>
      <c r="AH2670">
        <v>18.723299614206798</v>
      </c>
      <c r="AI2670">
        <v>92.514220203098503</v>
      </c>
      <c r="AJ2670">
        <v>48.7904615467559</v>
      </c>
      <c r="AK2670">
        <v>24.911883701746898</v>
      </c>
      <c r="AL2670">
        <v>93.153912231848494</v>
      </c>
      <c r="AM2670">
        <v>72.600111801669399</v>
      </c>
      <c r="AN2670">
        <v>1.0000000373562199</v>
      </c>
    </row>
    <row r="2671" spans="1:40" x14ac:dyDescent="0.25">
      <c r="A2671" t="str">
        <f>"20190305135639197"</f>
        <v>20190305135639197</v>
      </c>
      <c r="B2671" t="str">
        <f>"1551765399194715"</f>
        <v>1551765399194715</v>
      </c>
      <c r="C2671" t="s">
        <v>40</v>
      </c>
      <c r="D2671">
        <v>4.4379390000000001</v>
      </c>
      <c r="E2671">
        <v>0.64982659999999903</v>
      </c>
      <c r="F2671" t="s">
        <v>42</v>
      </c>
      <c r="G2671">
        <v>-192.828</v>
      </c>
      <c r="H2671" s="1">
        <v>-1.9730870000000001E-6</v>
      </c>
      <c r="I2671">
        <v>182.43440000000001</v>
      </c>
      <c r="J2671">
        <v>-195.01820000000001</v>
      </c>
      <c r="K2671">
        <v>1.0925849999999999</v>
      </c>
      <c r="L2671">
        <v>207.24090000000001</v>
      </c>
      <c r="M2671">
        <v>0.71750170000000002</v>
      </c>
      <c r="N2671">
        <v>-1.7173799999999999E-2</v>
      </c>
      <c r="O2671">
        <v>-0.696345199999999</v>
      </c>
      <c r="P2671">
        <v>0.47732019999999997</v>
      </c>
      <c r="Q2671">
        <v>-5.8504809999999997E-2</v>
      </c>
      <c r="R2671">
        <v>-0.87678009999999995</v>
      </c>
      <c r="S2671">
        <v>0.3214417</v>
      </c>
      <c r="T2671">
        <v>-0.1423846</v>
      </c>
      <c r="U2671">
        <v>-3.269409</v>
      </c>
      <c r="V2671">
        <v>0.29481940000000001</v>
      </c>
      <c r="W2671">
        <v>-5.4036000000000001E-2</v>
      </c>
      <c r="X2671">
        <v>0.95402390000000004</v>
      </c>
      <c r="Y2671">
        <v>0.64553609999999995</v>
      </c>
      <c r="Z2671">
        <v>2.3208539999999998E-3</v>
      </c>
      <c r="AA2671">
        <v>0.76372620000000002</v>
      </c>
      <c r="AB2671">
        <v>31</v>
      </c>
      <c r="AC2671">
        <v>2.1901999999999999</v>
      </c>
      <c r="AD2671">
        <v>-1.0925869730869999</v>
      </c>
      <c r="AE2671">
        <v>-24.8065</v>
      </c>
      <c r="AF2671">
        <v>16.244699425080601</v>
      </c>
      <c r="AG2671">
        <v>-1.0925869730869999</v>
      </c>
      <c r="AH2671">
        <v>18.811925530795801</v>
      </c>
      <c r="AI2671">
        <v>92.516996731464999</v>
      </c>
      <c r="AJ2671">
        <v>49.188341741576899</v>
      </c>
      <c r="AK2671">
        <v>24.879158906224699</v>
      </c>
      <c r="AL2671">
        <v>93.097543451701497</v>
      </c>
      <c r="AM2671">
        <v>72.827424794099301</v>
      </c>
      <c r="AN2671">
        <v>0.99999998484178398</v>
      </c>
    </row>
    <row r="2672" spans="1:40" x14ac:dyDescent="0.25">
      <c r="A2672" t="str">
        <f>"20190305135639221"</f>
        <v>20190305135639221</v>
      </c>
      <c r="B2672" t="str">
        <f>"1551765399215210"</f>
        <v>1551765399215210</v>
      </c>
      <c r="C2672" t="s">
        <v>40</v>
      </c>
      <c r="D2672">
        <v>4.4432159999999996</v>
      </c>
      <c r="E2672">
        <v>0.64851530000000002</v>
      </c>
      <c r="F2672" t="s">
        <v>42</v>
      </c>
      <c r="G2672">
        <v>-192.88200000000001</v>
      </c>
      <c r="H2672" s="1">
        <v>-4.5938069999999999E-6</v>
      </c>
      <c r="I2672">
        <v>188.9836</v>
      </c>
      <c r="J2672">
        <v>-194.78729999999999</v>
      </c>
      <c r="K2672">
        <v>1.092395</v>
      </c>
      <c r="L2672">
        <v>206.99080000000001</v>
      </c>
      <c r="M2672">
        <v>0.70192319999999997</v>
      </c>
      <c r="N2672">
        <v>-1.7311920000000001E-2</v>
      </c>
      <c r="O2672">
        <v>-0.71204239999999996</v>
      </c>
      <c r="P2672">
        <v>0.4618872</v>
      </c>
      <c r="Q2672">
        <v>-5.5994740000000001E-2</v>
      </c>
      <c r="R2672">
        <v>-0.8851696</v>
      </c>
      <c r="S2672">
        <v>0.37495420000000002</v>
      </c>
      <c r="T2672">
        <v>-0.1917826</v>
      </c>
      <c r="U2672">
        <v>-3.2047119999999998</v>
      </c>
      <c r="V2672">
        <v>0.29063280000000002</v>
      </c>
      <c r="W2672">
        <v>-5.1333789999999997E-2</v>
      </c>
      <c r="X2672">
        <v>0.95545670000000005</v>
      </c>
      <c r="Y2672">
        <v>0.61389579999999999</v>
      </c>
      <c r="Z2672">
        <v>1.148947E-2</v>
      </c>
      <c r="AA2672">
        <v>0.78930349999999905</v>
      </c>
      <c r="AB2672">
        <v>31</v>
      </c>
      <c r="AC2672">
        <v>1.90529999999998</v>
      </c>
      <c r="AD2672">
        <v>-1.0923995938069999</v>
      </c>
      <c r="AE2672">
        <v>-18.007200000000001</v>
      </c>
      <c r="AF2672">
        <v>11.243785559993</v>
      </c>
      <c r="AG2672">
        <v>-1.0923995938069999</v>
      </c>
      <c r="AH2672">
        <v>14.1100318494676</v>
      </c>
      <c r="AI2672">
        <v>93.4648809643992</v>
      </c>
      <c r="AJ2672">
        <v>51.449897479101203</v>
      </c>
      <c r="AK2672">
        <v>18.075094726851301</v>
      </c>
      <c r="AL2672">
        <v>92.942502676646598</v>
      </c>
      <c r="AM2672">
        <v>73.081179166238996</v>
      </c>
      <c r="AN2672">
        <v>1.0000000440032399</v>
      </c>
    </row>
    <row r="2673" spans="1:40" x14ac:dyDescent="0.25">
      <c r="A2673" t="str">
        <f>"20190305135639239"</f>
        <v>20190305135639239</v>
      </c>
      <c r="B2673" t="str">
        <f>"1551765399234730"</f>
        <v>1551765399234730</v>
      </c>
      <c r="C2673" t="s">
        <v>40</v>
      </c>
      <c r="D2673">
        <v>4.4594100000000001</v>
      </c>
      <c r="E2673">
        <v>0.64733640000000003</v>
      </c>
      <c r="F2673" t="s">
        <v>42</v>
      </c>
      <c r="G2673">
        <v>-192.69110000000001</v>
      </c>
      <c r="H2673" s="1">
        <v>-3.728049E-6</v>
      </c>
      <c r="I2673">
        <v>186.61019999999999</v>
      </c>
      <c r="J2673">
        <v>-194.60939999999999</v>
      </c>
      <c r="K2673">
        <v>1.0922559999999999</v>
      </c>
      <c r="L2673">
        <v>206.7903</v>
      </c>
      <c r="M2673">
        <v>0.68927930000000004</v>
      </c>
      <c r="N2673">
        <v>-1.7415900000000002E-2</v>
      </c>
      <c r="O2673">
        <v>-0.7242866</v>
      </c>
      <c r="P2673">
        <v>0.44977260000000002</v>
      </c>
      <c r="Q2673">
        <v>-5.3249299999999999E-2</v>
      </c>
      <c r="R2673">
        <v>-0.89155439999999997</v>
      </c>
      <c r="S2673">
        <v>0.32975769999999999</v>
      </c>
      <c r="T2673">
        <v>-0.17185259999999999</v>
      </c>
      <c r="U2673">
        <v>-3.206223</v>
      </c>
      <c r="V2673">
        <v>0.2870645</v>
      </c>
      <c r="W2673">
        <v>-4.8414890000000002E-2</v>
      </c>
      <c r="X2673">
        <v>0.95668699999999995</v>
      </c>
      <c r="Y2673">
        <v>0.61110799999999998</v>
      </c>
      <c r="Z2673">
        <v>9.3549210000000004E-3</v>
      </c>
      <c r="AA2673">
        <v>0.79149199999999997</v>
      </c>
      <c r="AB2673">
        <v>31</v>
      </c>
      <c r="AC2673">
        <v>1.9182999999999799</v>
      </c>
      <c r="AD2673">
        <v>-1.0922597280489901</v>
      </c>
      <c r="AE2673">
        <v>-20.180099999999999</v>
      </c>
      <c r="AF2673">
        <v>12.4859722054549</v>
      </c>
      <c r="AG2673">
        <v>-1.0922597280489901</v>
      </c>
      <c r="AH2673">
        <v>15.894687716875399</v>
      </c>
      <c r="AI2673">
        <v>93.093205193426499</v>
      </c>
      <c r="AJ2673">
        <v>51.8488161406936</v>
      </c>
      <c r="AK2673">
        <v>20.241878145219101</v>
      </c>
      <c r="AL2673">
        <v>92.775053643094296</v>
      </c>
      <c r="AM2673">
        <v>73.297547046074698</v>
      </c>
      <c r="AN2673">
        <v>1.00000002235148</v>
      </c>
    </row>
    <row r="2674" spans="1:40" x14ac:dyDescent="0.25">
      <c r="A2674" t="str">
        <f>"20190305135639261"</f>
        <v>20190305135639261</v>
      </c>
      <c r="B2674" t="str">
        <f>"1551765399255226"</f>
        <v>1551765399255226</v>
      </c>
      <c r="C2674" t="s">
        <v>40</v>
      </c>
      <c r="D2674">
        <v>4.4810239999999997</v>
      </c>
      <c r="E2674">
        <v>0.64685609999999905</v>
      </c>
      <c r="F2674" t="s">
        <v>42</v>
      </c>
      <c r="G2674">
        <v>-192.63499999999999</v>
      </c>
      <c r="H2674" s="1">
        <v>-3.1467840000000001E-6</v>
      </c>
      <c r="I2674">
        <v>185.2901</v>
      </c>
      <c r="J2674">
        <v>-194.417</v>
      </c>
      <c r="K2674">
        <v>1.09209</v>
      </c>
      <c r="L2674">
        <v>206.565</v>
      </c>
      <c r="M2674">
        <v>0.67492129999999995</v>
      </c>
      <c r="N2674">
        <v>-1.7524430000000001E-2</v>
      </c>
      <c r="O2674">
        <v>-0.73768180000000005</v>
      </c>
      <c r="P2674">
        <v>0.4355869</v>
      </c>
      <c r="Q2674">
        <v>-5.2652169999999998E-2</v>
      </c>
      <c r="R2674">
        <v>-0.89860569999999895</v>
      </c>
      <c r="S2674">
        <v>0.2944794</v>
      </c>
      <c r="T2674">
        <v>-0.16290250000000001</v>
      </c>
      <c r="U2674">
        <v>-3.206604</v>
      </c>
      <c r="V2674">
        <v>0.28347909999999998</v>
      </c>
      <c r="W2674">
        <v>-4.7641639999999999E-2</v>
      </c>
      <c r="X2674">
        <v>0.95779420000000004</v>
      </c>
      <c r="Y2674">
        <v>0.60421849999999999</v>
      </c>
      <c r="Z2674">
        <v>8.9163639999999995E-3</v>
      </c>
      <c r="AA2674">
        <v>0.79676880000000005</v>
      </c>
      <c r="AB2674">
        <v>31</v>
      </c>
      <c r="AC2674">
        <v>1.78200000000001</v>
      </c>
      <c r="AD2674">
        <v>-1.092093146784</v>
      </c>
      <c r="AE2674">
        <v>-21.274899999999999</v>
      </c>
      <c r="AF2674">
        <v>13.0122868781281</v>
      </c>
      <c r="AG2674">
        <v>-1.092093146784</v>
      </c>
      <c r="AH2674">
        <v>16.855304185971701</v>
      </c>
      <c r="AI2674">
        <v>92.935967200782301</v>
      </c>
      <c r="AJ2674">
        <v>52.331876359652597</v>
      </c>
      <c r="AK2674">
        <v>21.321668706777999</v>
      </c>
      <c r="AL2674">
        <v>92.730698753055094</v>
      </c>
      <c r="AM2674">
        <v>73.512785425412801</v>
      </c>
      <c r="AN2674">
        <v>0.99999992777616697</v>
      </c>
    </row>
    <row r="2675" spans="1:40" x14ac:dyDescent="0.25">
      <c r="A2675" t="str">
        <f>"20190305135639284"</f>
        <v>20190305135639284</v>
      </c>
      <c r="B2675" t="str">
        <f>"1551765399274747"</f>
        <v>1551765399274747</v>
      </c>
      <c r="C2675" t="s">
        <v>40</v>
      </c>
      <c r="D2675">
        <v>4.4609220000000001</v>
      </c>
      <c r="E2675">
        <v>0.64589790000000002</v>
      </c>
      <c r="F2675" t="s">
        <v>42</v>
      </c>
      <c r="G2675">
        <v>-192.72030000000001</v>
      </c>
      <c r="H2675" s="1">
        <v>-2.857807E-6</v>
      </c>
      <c r="I2675">
        <v>184.5635</v>
      </c>
      <c r="J2675">
        <v>-194.20410000000001</v>
      </c>
      <c r="K2675">
        <v>1.091925</v>
      </c>
      <c r="L2675">
        <v>206.30500000000001</v>
      </c>
      <c r="M2675">
        <v>0.65817729999999997</v>
      </c>
      <c r="N2675">
        <v>-1.7638580000000001E-2</v>
      </c>
      <c r="O2675">
        <v>-0.75265629999999994</v>
      </c>
      <c r="P2675">
        <v>0.41957840000000002</v>
      </c>
      <c r="Q2675">
        <v>-5.4259559999999998E-2</v>
      </c>
      <c r="R2675">
        <v>-0.90609580000000001</v>
      </c>
      <c r="S2675">
        <v>0.24748229999999999</v>
      </c>
      <c r="T2675">
        <v>-0.15929589999999999</v>
      </c>
      <c r="U2675">
        <v>-3.2091980000000002</v>
      </c>
      <c r="V2675">
        <v>0.27881509999999998</v>
      </c>
      <c r="W2675">
        <v>-4.9020559999999998E-2</v>
      </c>
      <c r="X2675">
        <v>0.95909290000000003</v>
      </c>
      <c r="Y2675">
        <v>0.59796700000000003</v>
      </c>
      <c r="Z2675">
        <v>9.2922439999999999E-3</v>
      </c>
      <c r="AA2675">
        <v>0.80146680000000003</v>
      </c>
      <c r="AB2675">
        <v>31</v>
      </c>
      <c r="AC2675">
        <v>1.4838</v>
      </c>
      <c r="AD2675">
        <v>-1.091927857807</v>
      </c>
      <c r="AE2675">
        <v>-21.741499999999998</v>
      </c>
      <c r="AF2675">
        <v>13.1619777630619</v>
      </c>
      <c r="AG2675">
        <v>-1.091927857807</v>
      </c>
      <c r="AH2675">
        <v>17.299744613147499</v>
      </c>
      <c r="AI2675">
        <v>92.875690454523706</v>
      </c>
      <c r="AJ2675">
        <v>52.735425987877001</v>
      </c>
      <c r="AK2675">
        <v>21.764905898306001</v>
      </c>
      <c r="AL2675">
        <v>92.809797202517103</v>
      </c>
      <c r="AM2675">
        <v>73.790477966793603</v>
      </c>
      <c r="AN2675">
        <v>1.0000000330605601</v>
      </c>
    </row>
    <row r="2676" spans="1:40" x14ac:dyDescent="0.25">
      <c r="A2676" t="str">
        <f>"20190305135639304"</f>
        <v>20190305135639304</v>
      </c>
      <c r="B2676" t="str">
        <f>"1551765399295242"</f>
        <v>1551765399295242</v>
      </c>
      <c r="C2676" t="s">
        <v>40</v>
      </c>
      <c r="D2676">
        <v>4.6201759999999998</v>
      </c>
      <c r="E2676">
        <v>0.64512510000000001</v>
      </c>
      <c r="F2676" t="s">
        <v>42</v>
      </c>
      <c r="G2676">
        <v>-192.8399</v>
      </c>
      <c r="H2676" s="1">
        <v>-2.732165E-6</v>
      </c>
      <c r="I2676">
        <v>184.19649999999999</v>
      </c>
      <c r="J2676">
        <v>-194.0264</v>
      </c>
      <c r="K2676">
        <v>1.091796</v>
      </c>
      <c r="L2676">
        <v>206.07820000000001</v>
      </c>
      <c r="M2676">
        <v>0.64343359999999905</v>
      </c>
      <c r="N2676">
        <v>-1.772847E-2</v>
      </c>
      <c r="O2676">
        <v>-0.76529669999999905</v>
      </c>
      <c r="P2676">
        <v>0.40656890000000001</v>
      </c>
      <c r="Q2676">
        <v>-5.5918019999999999E-2</v>
      </c>
      <c r="R2676">
        <v>-0.91190760000000004</v>
      </c>
      <c r="S2676">
        <v>0.19805909999999999</v>
      </c>
      <c r="T2676">
        <v>-0.15852550000000001</v>
      </c>
      <c r="U2676">
        <v>-3.2097020000000001</v>
      </c>
      <c r="V2676">
        <v>0.27377400000000002</v>
      </c>
      <c r="W2676">
        <v>-5.0431120000000003E-2</v>
      </c>
      <c r="X2676">
        <v>0.96047099999999996</v>
      </c>
      <c r="Y2676">
        <v>0.59469569999999905</v>
      </c>
      <c r="Z2676">
        <v>9.9250299999999996E-3</v>
      </c>
      <c r="AA2676">
        <v>0.80388959999999998</v>
      </c>
      <c r="AB2676">
        <v>31</v>
      </c>
      <c r="AC2676">
        <v>1.1864999999999899</v>
      </c>
      <c r="AD2676">
        <v>-1.091798732165</v>
      </c>
      <c r="AE2676">
        <v>-21.881699999999999</v>
      </c>
      <c r="AF2676">
        <v>13.1408468880215</v>
      </c>
      <c r="AG2676">
        <v>-1.091798732165</v>
      </c>
      <c r="AH2676">
        <v>17.468815607632902</v>
      </c>
      <c r="AI2676">
        <v>92.859318940312903</v>
      </c>
      <c r="AJ2676">
        <v>53.047831393701003</v>
      </c>
      <c r="AK2676">
        <v>21.8868316606004</v>
      </c>
      <c r="AL2676">
        <v>92.890716479892305</v>
      </c>
      <c r="AM2676">
        <v>74.090254160805401</v>
      </c>
      <c r="AN2676">
        <v>1.0000000213907201</v>
      </c>
    </row>
    <row r="2677" spans="1:40" x14ac:dyDescent="0.25">
      <c r="A2677" t="str">
        <f>"20190305135639326"</f>
        <v>20190305135639326</v>
      </c>
      <c r="B2677" t="str">
        <f>"1551765399314762"</f>
        <v>1551765399314762</v>
      </c>
      <c r="C2677" t="s">
        <v>40</v>
      </c>
      <c r="D2677">
        <v>4.6012459999999997</v>
      </c>
      <c r="E2677">
        <v>0.62355879999999997</v>
      </c>
      <c r="F2677" t="s">
        <v>42</v>
      </c>
      <c r="G2677">
        <v>-192.97210000000001</v>
      </c>
      <c r="H2677" s="1">
        <v>-2.9557029999999998E-6</v>
      </c>
      <c r="I2677">
        <v>184.63550000000001</v>
      </c>
      <c r="J2677">
        <v>-193.84280000000001</v>
      </c>
      <c r="K2677">
        <v>1.091685</v>
      </c>
      <c r="L2677">
        <v>205.8339</v>
      </c>
      <c r="M2677">
        <v>0.62742439999999999</v>
      </c>
      <c r="N2677">
        <v>-1.7815439999999998E-2</v>
      </c>
      <c r="O2677">
        <v>-0.77847379999999999</v>
      </c>
      <c r="P2677">
        <v>0.39176309999999998</v>
      </c>
      <c r="Q2677">
        <v>-5.5971890000000003E-2</v>
      </c>
      <c r="R2677">
        <v>-0.91836249999999997</v>
      </c>
      <c r="S2677">
        <v>0.15780640000000001</v>
      </c>
      <c r="T2677">
        <v>-0.1634158</v>
      </c>
      <c r="U2677">
        <v>-3.2094420000000001</v>
      </c>
      <c r="V2677">
        <v>0.26938689999999998</v>
      </c>
      <c r="W2677">
        <v>-5.0261760000000003E-2</v>
      </c>
      <c r="X2677">
        <v>0.96171949999999995</v>
      </c>
      <c r="Y2677">
        <v>0.58804990000000001</v>
      </c>
      <c r="Z2677">
        <v>1.169486E-2</v>
      </c>
      <c r="AA2677">
        <v>0.80874009999999996</v>
      </c>
      <c r="AB2677">
        <v>31</v>
      </c>
      <c r="AC2677">
        <v>0.87069999999999903</v>
      </c>
      <c r="AD2677">
        <v>-1.0916879557029999</v>
      </c>
      <c r="AE2677">
        <v>-21.1983999999999</v>
      </c>
      <c r="AF2677">
        <v>12.5912413945473</v>
      </c>
      <c r="AG2677">
        <v>-1.0916879557029999</v>
      </c>
      <c r="AH2677">
        <v>17.006374949786501</v>
      </c>
      <c r="AI2677">
        <v>92.9533539468258</v>
      </c>
      <c r="AJ2677">
        <v>53.484359090099602</v>
      </c>
      <c r="AK2677">
        <v>21.188391429769201</v>
      </c>
      <c r="AL2677">
        <v>92.881000688982994</v>
      </c>
      <c r="AM2677">
        <v>74.351928657673895</v>
      </c>
      <c r="AN2677">
        <v>0.99999997154507803</v>
      </c>
    </row>
    <row r="2678" spans="1:40" x14ac:dyDescent="0.25">
      <c r="A2678" t="str">
        <f>"20190305135639347"</f>
        <v>20190305135639347</v>
      </c>
      <c r="B2678" t="str">
        <f>"1551765399345018"</f>
        <v>1551765399345018</v>
      </c>
      <c r="C2678" t="s">
        <v>40</v>
      </c>
      <c r="D2678">
        <v>4.5687949999999997</v>
      </c>
      <c r="E2678">
        <v>0.65245969999999998</v>
      </c>
      <c r="F2678" t="s">
        <v>42</v>
      </c>
      <c r="G2678">
        <v>-192.55779999999999</v>
      </c>
      <c r="H2678" s="1">
        <v>-9.3613039999999997E-7</v>
      </c>
      <c r="I2678">
        <v>190.1849</v>
      </c>
      <c r="J2678">
        <v>-193.66399999999999</v>
      </c>
      <c r="K2678">
        <v>1.091591</v>
      </c>
      <c r="L2678">
        <v>205.5857</v>
      </c>
      <c r="M2678">
        <v>0.61102970000000001</v>
      </c>
      <c r="N2678">
        <v>-1.789352E-2</v>
      </c>
      <c r="O2678">
        <v>-0.79140549999999998</v>
      </c>
      <c r="P2678">
        <v>0.37637199999999998</v>
      </c>
      <c r="Q2678">
        <v>-5.6817520000000003E-2</v>
      </c>
      <c r="R2678">
        <v>-0.92472500000000002</v>
      </c>
      <c r="S2678">
        <v>0.25810240000000001</v>
      </c>
      <c r="T2678">
        <v>-0.21927260000000001</v>
      </c>
      <c r="U2678">
        <v>-3.1432190000000002</v>
      </c>
      <c r="V2678">
        <v>0.26529360000000002</v>
      </c>
      <c r="W2678">
        <v>-5.0898430000000001E-2</v>
      </c>
      <c r="X2678">
        <v>0.96282330000000005</v>
      </c>
      <c r="Y2678">
        <v>0.54372810000000005</v>
      </c>
      <c r="Z2678">
        <v>2.5013770000000001E-2</v>
      </c>
      <c r="AA2678">
        <v>0.83888859999999998</v>
      </c>
      <c r="AB2678">
        <v>31</v>
      </c>
      <c r="AC2678">
        <v>1.1062000000000201</v>
      </c>
      <c r="AD2678">
        <v>-1.0915919361304001</v>
      </c>
      <c r="AE2678">
        <v>-15.4008</v>
      </c>
      <c r="AF2678">
        <v>8.4938071828488901</v>
      </c>
      <c r="AG2678">
        <v>-1.0915919361304001</v>
      </c>
      <c r="AH2678">
        <v>12.8022717106697</v>
      </c>
      <c r="AI2678">
        <v>94.064042716662001</v>
      </c>
      <c r="AJ2678">
        <v>56.437280153638703</v>
      </c>
      <c r="AK2678">
        <v>15.4024184584193</v>
      </c>
      <c r="AL2678">
        <v>92.917525788497898</v>
      </c>
      <c r="AM2678">
        <v>74.595139420574597</v>
      </c>
      <c r="AN2678">
        <v>1.00000002570015</v>
      </c>
    </row>
    <row r="2679" spans="1:40" x14ac:dyDescent="0.25">
      <c r="A2679" t="str">
        <f>"20190305135639370"</f>
        <v>20190305135639370</v>
      </c>
      <c r="B2679" t="str">
        <f>"1551765399364537"</f>
        <v>1551765399364537</v>
      </c>
      <c r="C2679" t="s">
        <v>40</v>
      </c>
      <c r="D2679">
        <v>4.5805259999999999</v>
      </c>
      <c r="E2679">
        <v>0.65400429999999998</v>
      </c>
      <c r="F2679" t="s">
        <v>42</v>
      </c>
      <c r="G2679">
        <v>-193.6952</v>
      </c>
      <c r="H2679" s="1">
        <v>-4.0155680000000001E-6</v>
      </c>
      <c r="I2679">
        <v>186.86060000000001</v>
      </c>
      <c r="J2679">
        <v>-193.4905</v>
      </c>
      <c r="K2679">
        <v>1.09151</v>
      </c>
      <c r="L2679">
        <v>205.33359999999999</v>
      </c>
      <c r="M2679">
        <v>0.59426769999999995</v>
      </c>
      <c r="N2679">
        <v>-1.796244E-2</v>
      </c>
      <c r="O2679">
        <v>-0.80406679999999997</v>
      </c>
      <c r="P2679">
        <v>0.36038940000000003</v>
      </c>
      <c r="Q2679">
        <v>-5.6603170000000001E-2</v>
      </c>
      <c r="R2679">
        <v>-0.93108349999999995</v>
      </c>
      <c r="S2679">
        <v>-5.386353E-3</v>
      </c>
      <c r="T2679">
        <v>-0.18857370000000001</v>
      </c>
      <c r="U2679">
        <v>-3.234772</v>
      </c>
      <c r="V2679">
        <v>0.2616638</v>
      </c>
      <c r="W2679">
        <v>-5.0494659999999997E-2</v>
      </c>
      <c r="X2679">
        <v>0.96383730000000001</v>
      </c>
      <c r="Y2679">
        <v>0.59515050000000003</v>
      </c>
      <c r="Z2679">
        <v>1.7445539999999999E-2</v>
      </c>
      <c r="AA2679">
        <v>0.8034249</v>
      </c>
      <c r="AB2679">
        <v>31</v>
      </c>
      <c r="AC2679">
        <v>-0.20470000000000199</v>
      </c>
      <c r="AD2679">
        <v>-1.0915140155680001</v>
      </c>
      <c r="AE2679">
        <v>-18.4729999999999</v>
      </c>
      <c r="AF2679">
        <v>11.1055290875126</v>
      </c>
      <c r="AG2679">
        <v>-1.0915140155680001</v>
      </c>
      <c r="AH2679">
        <v>14.682999293991401</v>
      </c>
      <c r="AI2679">
        <v>93.393072654172698</v>
      </c>
      <c r="AJ2679">
        <v>52.897855475792099</v>
      </c>
      <c r="AK2679">
        <v>18.4421974674149</v>
      </c>
      <c r="AL2679">
        <v>92.894361765946101</v>
      </c>
      <c r="AM2679">
        <v>74.811349131389207</v>
      </c>
      <c r="AN2679">
        <v>0.99999999789512195</v>
      </c>
    </row>
    <row r="2680" spans="1:40" x14ac:dyDescent="0.25">
      <c r="A2680" t="str">
        <f>"20190305135639394"</f>
        <v>20190305135639394</v>
      </c>
      <c r="B2680" t="str">
        <f>"1551765399385034"</f>
        <v>1551765399385034</v>
      </c>
      <c r="C2680" t="s">
        <v>40</v>
      </c>
      <c r="D2680">
        <v>4.487965</v>
      </c>
      <c r="E2680">
        <v>0.65464239999999996</v>
      </c>
      <c r="F2680" t="s">
        <v>42</v>
      </c>
      <c r="G2680">
        <v>-193.86760000000001</v>
      </c>
      <c r="H2680" s="1">
        <v>-4.8989139999999998E-6</v>
      </c>
      <c r="I2680">
        <v>189.3665</v>
      </c>
      <c r="J2680">
        <v>-193.30250000000001</v>
      </c>
      <c r="K2680">
        <v>1.091442</v>
      </c>
      <c r="L2680">
        <v>205.04560000000001</v>
      </c>
      <c r="M2680">
        <v>0.57501729999999995</v>
      </c>
      <c r="N2680">
        <v>-1.8027600000000001E-2</v>
      </c>
      <c r="O2680">
        <v>-0.81794270000000002</v>
      </c>
      <c r="P2680">
        <v>0.34014709999999998</v>
      </c>
      <c r="Q2680">
        <v>-5.5178980000000002E-2</v>
      </c>
      <c r="R2680">
        <v>-0.93875189999999997</v>
      </c>
      <c r="S2680">
        <v>-7.6477050000000005E-2</v>
      </c>
      <c r="T2680">
        <v>-0.2213649</v>
      </c>
      <c r="U2680">
        <v>-3.2382049999999998</v>
      </c>
      <c r="V2680">
        <v>0.25976310000000002</v>
      </c>
      <c r="W2680">
        <v>-4.8959709999999997E-2</v>
      </c>
      <c r="X2680">
        <v>0.96443049999999997</v>
      </c>
      <c r="Y2680">
        <v>0.59361679999999994</v>
      </c>
      <c r="Z2680">
        <v>2.476246E-2</v>
      </c>
      <c r="AA2680">
        <v>0.80436680000000005</v>
      </c>
      <c r="AB2680">
        <v>31</v>
      </c>
      <c r="AC2680">
        <v>-0.56510000000000005</v>
      </c>
      <c r="AD2680">
        <v>-1.091446898914</v>
      </c>
      <c r="AE2680">
        <v>-15.6791</v>
      </c>
      <c r="AF2680">
        <v>9.4338579581981197</v>
      </c>
      <c r="AG2680">
        <v>-1.091446898914</v>
      </c>
      <c r="AH2680">
        <v>12.4414834506336</v>
      </c>
      <c r="AI2680">
        <v>93.998646610993106</v>
      </c>
      <c r="AJ2680">
        <v>52.828475115331599</v>
      </c>
      <c r="AK2680">
        <v>15.651819151811001</v>
      </c>
      <c r="AL2680">
        <v>92.806306500568894</v>
      </c>
      <c r="AM2680">
        <v>74.925488798186507</v>
      </c>
      <c r="AN2680">
        <v>1.0000000553275701</v>
      </c>
    </row>
    <row r="2681" spans="1:40" x14ac:dyDescent="0.25">
      <c r="A2681" t="str">
        <f>"20190305135639419"</f>
        <v>20190305135639419</v>
      </c>
      <c r="B2681" t="str">
        <f>"1551765399415291"</f>
        <v>1551765399415291</v>
      </c>
      <c r="C2681" t="s">
        <v>40</v>
      </c>
      <c r="D2681">
        <v>4.5101190000000004</v>
      </c>
      <c r="E2681">
        <v>0.65401860000000001</v>
      </c>
      <c r="F2681" t="s">
        <v>42</v>
      </c>
      <c r="G2681">
        <v>-194.08860000000001</v>
      </c>
      <c r="H2681" s="1">
        <v>-4.5112320000000001E-6</v>
      </c>
      <c r="I2681">
        <v>188.1121</v>
      </c>
      <c r="J2681">
        <v>-193.125</v>
      </c>
      <c r="K2681">
        <v>1.091386</v>
      </c>
      <c r="L2681">
        <v>204.75960000000001</v>
      </c>
      <c r="M2681">
        <v>0.55578050000000001</v>
      </c>
      <c r="N2681">
        <v>-1.8079060000000001E-2</v>
      </c>
      <c r="O2681">
        <v>-0.831132599999999</v>
      </c>
      <c r="P2681">
        <v>0.32059270000000001</v>
      </c>
      <c r="Q2681">
        <v>-5.3648840000000003E-2</v>
      </c>
      <c r="R2681">
        <v>-0.9456968</v>
      </c>
      <c r="S2681">
        <v>-0.15031429999999901</v>
      </c>
      <c r="T2681">
        <v>-0.20870079999999999</v>
      </c>
      <c r="U2681">
        <v>-3.237946</v>
      </c>
      <c r="V2681">
        <v>0.25739380000000001</v>
      </c>
      <c r="W2681">
        <v>-4.7299149999999998E-2</v>
      </c>
      <c r="X2681">
        <v>0.96514829999999996</v>
      </c>
      <c r="Y2681">
        <v>0.59321429999999997</v>
      </c>
      <c r="Z2681">
        <v>2.3376379999999999E-2</v>
      </c>
      <c r="AA2681">
        <v>0.80470509999999995</v>
      </c>
      <c r="AB2681">
        <v>30</v>
      </c>
      <c r="AC2681">
        <v>-0.963600000000013</v>
      </c>
      <c r="AD2681">
        <v>-1.0913905112319999</v>
      </c>
      <c r="AE2681">
        <v>-16.647500000000001</v>
      </c>
      <c r="AF2681">
        <v>10.011990092543</v>
      </c>
      <c r="AG2681">
        <v>-1.0913905112319999</v>
      </c>
      <c r="AH2681">
        <v>13.246161299895601</v>
      </c>
      <c r="AI2681">
        <v>93.760621046970201</v>
      </c>
      <c r="AJ2681">
        <v>52.916521505782697</v>
      </c>
      <c r="AK2681">
        <v>16.640068150222199</v>
      </c>
      <c r="AL2681">
        <v>92.711053151165203</v>
      </c>
      <c r="AM2681">
        <v>75.067423368206207</v>
      </c>
      <c r="AN2681">
        <v>1.00000000943102</v>
      </c>
    </row>
    <row r="2682" spans="1:40" x14ac:dyDescent="0.25">
      <c r="A2682" t="str">
        <f>"20190305135639440"</f>
        <v>20190305135639440</v>
      </c>
      <c r="B2682" t="str">
        <f>"1551765399434810"</f>
        <v>1551765399434810</v>
      </c>
      <c r="C2682" t="s">
        <v>40</v>
      </c>
      <c r="D2682">
        <v>4.5093779999999999</v>
      </c>
      <c r="E2682">
        <v>0.65283469999999999</v>
      </c>
      <c r="F2682" t="s">
        <v>42</v>
      </c>
      <c r="G2682">
        <v>-194.3639</v>
      </c>
      <c r="H2682" s="1">
        <v>-3.7551470000000001E-6</v>
      </c>
      <c r="I2682">
        <v>185.74680000000001</v>
      </c>
      <c r="J2682">
        <v>-192.96940000000001</v>
      </c>
      <c r="K2682">
        <v>1.0913539999999999</v>
      </c>
      <c r="L2682">
        <v>204.49610000000001</v>
      </c>
      <c r="M2682">
        <v>0.53797329999999999</v>
      </c>
      <c r="N2682">
        <v>-1.811478E-2</v>
      </c>
      <c r="O2682">
        <v>-0.84276719999999905</v>
      </c>
      <c r="P2682">
        <v>0.30402370000000001</v>
      </c>
      <c r="Q2682">
        <v>-5.302867E-2</v>
      </c>
      <c r="R2682">
        <v>-0.95118760000000002</v>
      </c>
      <c r="S2682">
        <v>-0.21067810000000001</v>
      </c>
      <c r="T2682">
        <v>-0.1855936</v>
      </c>
      <c r="U2682">
        <v>-3.2331699999999999</v>
      </c>
      <c r="V2682">
        <v>0.25376890000000002</v>
      </c>
      <c r="W2682">
        <v>-4.6494229999999998E-2</v>
      </c>
      <c r="X2682">
        <v>0.96614679999999997</v>
      </c>
      <c r="Y2682">
        <v>0.59119960000000005</v>
      </c>
      <c r="Z2682">
        <v>1.9700800000000001E-2</v>
      </c>
      <c r="AA2682">
        <v>0.80628469999999997</v>
      </c>
      <c r="AB2682">
        <v>30</v>
      </c>
      <c r="AC2682">
        <v>-1.3944999999999901</v>
      </c>
      <c r="AD2682">
        <v>-1.091357755147</v>
      </c>
      <c r="AE2682">
        <v>-18.749300000000002</v>
      </c>
      <c r="AF2682">
        <v>11.225884171978899</v>
      </c>
      <c r="AG2682">
        <v>-1.091357755147</v>
      </c>
      <c r="AH2682">
        <v>15.0030086269661</v>
      </c>
      <c r="AI2682">
        <v>93.333322635329395</v>
      </c>
      <c r="AJ2682">
        <v>53.194614075563301</v>
      </c>
      <c r="AK2682">
        <v>18.7697044476791</v>
      </c>
      <c r="AL2682">
        <v>92.664883849050497</v>
      </c>
      <c r="AM2682">
        <v>75.2830767222205</v>
      </c>
      <c r="AN2682">
        <v>1.00000000359037</v>
      </c>
    </row>
    <row r="2683" spans="1:40" x14ac:dyDescent="0.25">
      <c r="A2683" t="str">
        <f>"20190305135639459"</f>
        <v>20190305135639459</v>
      </c>
      <c r="B2683" t="str">
        <f>"1551765399455305"</f>
        <v>1551765399455305</v>
      </c>
      <c r="C2683" t="s">
        <v>40</v>
      </c>
      <c r="D2683">
        <v>4.509074</v>
      </c>
      <c r="E2683">
        <v>0.65152379999999999</v>
      </c>
      <c r="F2683" t="s">
        <v>42</v>
      </c>
      <c r="G2683">
        <v>-194.58199999999999</v>
      </c>
      <c r="H2683" s="1">
        <v>-3.2314780000000001E-6</v>
      </c>
      <c r="I2683">
        <v>184.2799</v>
      </c>
      <c r="J2683">
        <v>-192.84059999999999</v>
      </c>
      <c r="K2683">
        <v>1.091342</v>
      </c>
      <c r="L2683">
        <v>204.26769999999999</v>
      </c>
      <c r="M2683">
        <v>0.52249179999999995</v>
      </c>
      <c r="N2683">
        <v>-1.8137360000000002E-2</v>
      </c>
      <c r="O2683">
        <v>-0.85245159999999998</v>
      </c>
      <c r="P2683">
        <v>0.29189409999999999</v>
      </c>
      <c r="Q2683">
        <v>-5.3869399999999998E-2</v>
      </c>
      <c r="R2683">
        <v>-0.95493300000000003</v>
      </c>
      <c r="S2683">
        <v>-0.25736999999999999</v>
      </c>
      <c r="T2683">
        <v>-0.17418040000000001</v>
      </c>
      <c r="U2683">
        <v>-3.2265009999999998</v>
      </c>
      <c r="V2683">
        <v>0.24836279999999999</v>
      </c>
      <c r="W2683">
        <v>-4.7070000000000001E-2</v>
      </c>
      <c r="X2683">
        <v>0.96752280000000002</v>
      </c>
      <c r="Y2683">
        <v>0.58822269999999999</v>
      </c>
      <c r="Z2683">
        <v>1.8157619999999999E-2</v>
      </c>
      <c r="AA2683">
        <v>0.80849519999999997</v>
      </c>
      <c r="AB2683">
        <v>30</v>
      </c>
      <c r="AC2683">
        <v>-1.7413999999999901</v>
      </c>
      <c r="AD2683">
        <v>-1.0913452314779899</v>
      </c>
      <c r="AE2683">
        <v>-19.9878</v>
      </c>
      <c r="AF2683">
        <v>11.8946874194415</v>
      </c>
      <c r="AG2683">
        <v>-1.0913452314779899</v>
      </c>
      <c r="AH2683">
        <v>16.083827143453099</v>
      </c>
      <c r="AI2683">
        <v>93.122702001746106</v>
      </c>
      <c r="AJ2683">
        <v>53.515468794861803</v>
      </c>
      <c r="AK2683">
        <v>20.034073944182399</v>
      </c>
      <c r="AL2683">
        <v>92.697909163246806</v>
      </c>
      <c r="AM2683">
        <v>75.603046357159599</v>
      </c>
      <c r="AN2683">
        <v>1.0000000169218299</v>
      </c>
    </row>
    <row r="2684" spans="1:40" x14ac:dyDescent="0.25">
      <c r="A2684" t="str">
        <f>"20190305135639481"</f>
        <v>20190305135639481</v>
      </c>
      <c r="B2684" t="str">
        <f>"1551765399474826"</f>
        <v>1551765399474826</v>
      </c>
      <c r="C2684" t="s">
        <v>40</v>
      </c>
      <c r="D2684">
        <v>4.5664550000000004</v>
      </c>
      <c r="E2684">
        <v>0.64970839999999996</v>
      </c>
      <c r="F2684" t="s">
        <v>42</v>
      </c>
      <c r="G2684">
        <v>-194.71549999999999</v>
      </c>
      <c r="H2684" s="1">
        <v>-2.8300870000000001E-6</v>
      </c>
      <c r="I2684">
        <v>183.26140000000001</v>
      </c>
      <c r="J2684">
        <v>-192.69200000000001</v>
      </c>
      <c r="K2684">
        <v>1.0913409999999999</v>
      </c>
      <c r="L2684">
        <v>203.99100000000001</v>
      </c>
      <c r="M2684">
        <v>0.50370379999999904</v>
      </c>
      <c r="N2684">
        <v>-1.8153559999999999E-2</v>
      </c>
      <c r="O2684">
        <v>-0.8636857</v>
      </c>
      <c r="P2684">
        <v>0.27731280000000003</v>
      </c>
      <c r="Q2684">
        <v>-5.2779149999999997E-2</v>
      </c>
      <c r="R2684">
        <v>-0.95932910000000005</v>
      </c>
      <c r="S2684">
        <v>-0.28739930000000002</v>
      </c>
      <c r="T2684">
        <v>-0.16728899999999999</v>
      </c>
      <c r="U2684">
        <v>-3.219986</v>
      </c>
      <c r="V2684">
        <v>0.2420033</v>
      </c>
      <c r="W2684">
        <v>-4.5664860000000002E-2</v>
      </c>
      <c r="X2684">
        <v>0.96920030000000001</v>
      </c>
      <c r="Y2684">
        <v>0.57812399999999997</v>
      </c>
      <c r="Z2684">
        <v>1.7779429999999999E-2</v>
      </c>
      <c r="AA2684">
        <v>0.81575520000000001</v>
      </c>
      <c r="AB2684">
        <v>30</v>
      </c>
      <c r="AC2684">
        <v>-2.0234999999999799</v>
      </c>
      <c r="AD2684">
        <v>-1.091343830087</v>
      </c>
      <c r="AE2684">
        <v>-20.729599999999898</v>
      </c>
      <c r="AF2684">
        <v>12.1578753931761</v>
      </c>
      <c r="AG2684">
        <v>-1.091343830087</v>
      </c>
      <c r="AH2684">
        <v>16.841159277031402</v>
      </c>
      <c r="AI2684">
        <v>93.007638114703298</v>
      </c>
      <c r="AJ2684">
        <v>54.173939737225702</v>
      </c>
      <c r="AK2684">
        <v>20.799750268352</v>
      </c>
      <c r="AL2684">
        <v>92.6173137979995</v>
      </c>
      <c r="AM2684">
        <v>75.9802700174736</v>
      </c>
      <c r="AN2684">
        <v>1.0000000490848899</v>
      </c>
    </row>
    <row r="2685" spans="1:40" x14ac:dyDescent="0.25">
      <c r="A2685" t="str">
        <f>"20190305135639505"</f>
        <v>20190305135639505</v>
      </c>
      <c r="B2685" t="str">
        <f>"1551765399495323"</f>
        <v>1551765399495323</v>
      </c>
      <c r="C2685" t="s">
        <v>40</v>
      </c>
      <c r="D2685">
        <v>4.4811959999999997</v>
      </c>
      <c r="E2685">
        <v>0.648007</v>
      </c>
      <c r="F2685" t="s">
        <v>42</v>
      </c>
      <c r="G2685">
        <v>-194.8683</v>
      </c>
      <c r="H2685" s="1">
        <v>-2.4639280000000002E-6</v>
      </c>
      <c r="I2685">
        <v>182.31319999999999</v>
      </c>
      <c r="J2685">
        <v>-192.5446</v>
      </c>
      <c r="K2685">
        <v>1.091359</v>
      </c>
      <c r="L2685">
        <v>203.70160000000001</v>
      </c>
      <c r="M2685">
        <v>0.48402240000000002</v>
      </c>
      <c r="N2685">
        <v>-1.8155089999999999E-2</v>
      </c>
      <c r="O2685">
        <v>-0.87486730000000001</v>
      </c>
      <c r="P2685">
        <v>0.2633778</v>
      </c>
      <c r="Q2685">
        <v>-5.0070629999999998E-2</v>
      </c>
      <c r="R2685">
        <v>-0.96339260000000004</v>
      </c>
      <c r="S2685">
        <v>-0.322403</v>
      </c>
      <c r="T2685">
        <v>-0.1616763</v>
      </c>
      <c r="U2685">
        <v>-3.2114560000000001</v>
      </c>
      <c r="V2685">
        <v>0.23430500000000001</v>
      </c>
      <c r="W2685">
        <v>-4.2577469999999999E-2</v>
      </c>
      <c r="X2685">
        <v>0.97123029999999999</v>
      </c>
      <c r="Y2685">
        <v>0.56864650000000005</v>
      </c>
      <c r="Z2685">
        <v>1.7609639999999999E-2</v>
      </c>
      <c r="AA2685">
        <v>0.8223935</v>
      </c>
      <c r="AB2685">
        <v>30</v>
      </c>
      <c r="AC2685">
        <v>-2.3237000000000001</v>
      </c>
      <c r="AD2685">
        <v>-1.091361463928</v>
      </c>
      <c r="AE2685">
        <v>-21.388400000000001</v>
      </c>
      <c r="AF2685">
        <v>12.355640650217399</v>
      </c>
      <c r="AG2685">
        <v>-1.091361463928</v>
      </c>
      <c r="AH2685">
        <v>17.545039300383699</v>
      </c>
      <c r="AI2685">
        <v>92.911434365259097</v>
      </c>
      <c r="AJ2685">
        <v>54.845867837665203</v>
      </c>
      <c r="AK2685">
        <v>21.486771041137398</v>
      </c>
      <c r="AL2685">
        <v>92.440247046116497</v>
      </c>
      <c r="AM2685">
        <v>76.436807119198207</v>
      </c>
      <c r="AN2685">
        <v>0.99999998480734498</v>
      </c>
    </row>
    <row r="2686" spans="1:40" x14ac:dyDescent="0.25">
      <c r="A2686" t="str">
        <f>"20190305135639526"</f>
        <v>20190305135639526</v>
      </c>
      <c r="B2686" t="str">
        <f>"1551765399514842"</f>
        <v>1551765399514842</v>
      </c>
      <c r="C2686" t="s">
        <v>40</v>
      </c>
      <c r="D2686">
        <v>4.4446279999999998</v>
      </c>
      <c r="E2686">
        <v>0.64614050000000001</v>
      </c>
      <c r="F2686" t="s">
        <v>42</v>
      </c>
      <c r="G2686">
        <v>-195.0453</v>
      </c>
      <c r="H2686" s="1">
        <v>-2.0225690000000001E-6</v>
      </c>
      <c r="I2686">
        <v>181.1746</v>
      </c>
      <c r="J2686">
        <v>-192.41579999999999</v>
      </c>
      <c r="K2686">
        <v>1.0914029999999999</v>
      </c>
      <c r="L2686">
        <v>203.43450000000001</v>
      </c>
      <c r="M2686">
        <v>0.46587630000000002</v>
      </c>
      <c r="N2686">
        <v>-1.8140320000000001E-2</v>
      </c>
      <c r="O2686">
        <v>-0.88466399999999901</v>
      </c>
      <c r="P2686">
        <v>0.25062899999999999</v>
      </c>
      <c r="Q2686">
        <v>-4.7054480000000003E-2</v>
      </c>
      <c r="R2686">
        <v>-0.96693890000000005</v>
      </c>
      <c r="S2686">
        <v>-0.35557559999999999</v>
      </c>
      <c r="T2686">
        <v>-0.15518209999999999</v>
      </c>
      <c r="U2686">
        <v>-3.2031559999999999</v>
      </c>
      <c r="V2686">
        <v>0.22731280000000001</v>
      </c>
      <c r="W2686">
        <v>-3.9220140000000001E-2</v>
      </c>
      <c r="X2686">
        <v>0.97303170000000005</v>
      </c>
      <c r="Y2686">
        <v>0.56031609999999998</v>
      </c>
      <c r="Z2686">
        <v>1.7062069999999999E-2</v>
      </c>
      <c r="AA2686">
        <v>0.82810309999999898</v>
      </c>
      <c r="AB2686">
        <v>30</v>
      </c>
      <c r="AC2686">
        <v>-2.6295000000000002</v>
      </c>
      <c r="AD2686">
        <v>-1.091405022569</v>
      </c>
      <c r="AE2686">
        <v>-22.259899999999998</v>
      </c>
      <c r="AF2686">
        <v>12.6686365275848</v>
      </c>
      <c r="AG2686">
        <v>-1.091405022569</v>
      </c>
      <c r="AH2686">
        <v>18.426860354478801</v>
      </c>
      <c r="AI2686">
        <v>92.794217320886204</v>
      </c>
      <c r="AJ2686">
        <v>55.4911180048503</v>
      </c>
      <c r="AK2686">
        <v>22.388271458842102</v>
      </c>
      <c r="AL2686">
        <v>92.247724974457697</v>
      </c>
      <c r="AM2686">
        <v>76.850785317053806</v>
      </c>
      <c r="AN2686">
        <v>1.0000000088151699</v>
      </c>
    </row>
    <row r="2687" spans="1:40" x14ac:dyDescent="0.25">
      <c r="A2687" t="str">
        <f>"20190305135639549"</f>
        <v>20190305135639549</v>
      </c>
      <c r="B2687" t="str">
        <f>"1551765399545100"</f>
        <v>1551765399545100</v>
      </c>
      <c r="C2687" t="s">
        <v>40</v>
      </c>
      <c r="D2687">
        <v>4.5223380000000004</v>
      </c>
      <c r="E2687">
        <v>0.62788469999999996</v>
      </c>
      <c r="F2687" t="s">
        <v>42</v>
      </c>
      <c r="G2687">
        <v>-195.26140000000001</v>
      </c>
      <c r="H2687" s="1">
        <v>-1.4572269999999999E-6</v>
      </c>
      <c r="I2687">
        <v>179.7227</v>
      </c>
      <c r="J2687">
        <v>-192.28919999999999</v>
      </c>
      <c r="K2687">
        <v>1.091461</v>
      </c>
      <c r="L2687">
        <v>203.15719999999999</v>
      </c>
      <c r="M2687">
        <v>0.44710159999999999</v>
      </c>
      <c r="N2687">
        <v>-1.8107620000000001E-2</v>
      </c>
      <c r="O2687">
        <v>-0.89429979999999998</v>
      </c>
      <c r="P2687">
        <v>0.2390333</v>
      </c>
      <c r="Q2687">
        <v>-4.205412E-2</v>
      </c>
      <c r="R2687">
        <v>-0.97010010000000002</v>
      </c>
      <c r="S2687">
        <v>-0.38339230000000002</v>
      </c>
      <c r="T2687">
        <v>-0.1470484</v>
      </c>
      <c r="U2687">
        <v>-3.194763</v>
      </c>
      <c r="V2687">
        <v>0.21875430000000001</v>
      </c>
      <c r="W2687">
        <v>-3.3805000000000002E-2</v>
      </c>
      <c r="X2687">
        <v>0.97519420000000001</v>
      </c>
      <c r="Y2687">
        <v>0.55018120000000004</v>
      </c>
      <c r="Z2687">
        <v>1.6103039999999999E-2</v>
      </c>
      <c r="AA2687">
        <v>0.83489009999999997</v>
      </c>
      <c r="AB2687">
        <v>30</v>
      </c>
      <c r="AC2687">
        <v>-2.9722000000000102</v>
      </c>
      <c r="AD2687">
        <v>-1.091462457227</v>
      </c>
      <c r="AE2687">
        <v>-23.4344999999999</v>
      </c>
      <c r="AF2687">
        <v>13.1098072473106</v>
      </c>
      <c r="AG2687">
        <v>-1.091462457227</v>
      </c>
      <c r="AH2687">
        <v>19.589990929124401</v>
      </c>
      <c r="AI2687">
        <v>92.651103168012497</v>
      </c>
      <c r="AJ2687">
        <v>56.209187593667998</v>
      </c>
      <c r="AK2687">
        <v>23.5971625616376</v>
      </c>
      <c r="AL2687">
        <v>91.937252969917793</v>
      </c>
      <c r="AM2687">
        <v>77.356776315794903</v>
      </c>
      <c r="AN2687">
        <v>0.99999997475356395</v>
      </c>
    </row>
    <row r="2688" spans="1:40" x14ac:dyDescent="0.25">
      <c r="A2688" t="str">
        <f>"20190305135639571"</f>
        <v>20190305135639571</v>
      </c>
      <c r="B2688" t="str">
        <f>"1551765399564619"</f>
        <v>1551765399564619</v>
      </c>
      <c r="C2688" t="s">
        <v>40</v>
      </c>
      <c r="D2688">
        <v>4.5057980000000004</v>
      </c>
      <c r="E2688">
        <v>0.62774370000000002</v>
      </c>
      <c r="F2688" t="s">
        <v>73</v>
      </c>
      <c r="G2688">
        <v>-196.42910000000001</v>
      </c>
      <c r="H2688" s="1">
        <v>-1.3664909999999999E-5</v>
      </c>
      <c r="I2688">
        <v>155.21879999999999</v>
      </c>
      <c r="J2688">
        <v>-192.1669</v>
      </c>
      <c r="K2688">
        <v>1.09155</v>
      </c>
      <c r="L2688">
        <v>202.8732</v>
      </c>
      <c r="M2688">
        <v>0.42798910000000001</v>
      </c>
      <c r="N2688">
        <v>-1.805344E-2</v>
      </c>
      <c r="O2688">
        <v>-0.90360359999999995</v>
      </c>
      <c r="P2688">
        <v>0.22860710000000001</v>
      </c>
      <c r="Q2688">
        <v>-3.8328960000000002E-2</v>
      </c>
      <c r="R2688">
        <v>-0.97276430000000003</v>
      </c>
      <c r="S2688">
        <v>-0.27258300000000002</v>
      </c>
      <c r="T2688">
        <v>-7.1867109999999998E-2</v>
      </c>
      <c r="U2688">
        <v>-3.1564640000000002</v>
      </c>
      <c r="V2688">
        <v>0.20872470000000001</v>
      </c>
      <c r="W2688">
        <v>-2.9604129999999999E-2</v>
      </c>
      <c r="X2688">
        <v>0.97752620000000001</v>
      </c>
      <c r="Y2688">
        <v>0.50403089999999995</v>
      </c>
      <c r="Z2688">
        <v>-5.3491369999999995E-4</v>
      </c>
      <c r="AA2688">
        <v>0.86368539999999905</v>
      </c>
      <c r="AB2688">
        <v>30</v>
      </c>
      <c r="AC2688">
        <v>-4.2622</v>
      </c>
      <c r="AD2688">
        <v>-1.09156366491</v>
      </c>
      <c r="AE2688">
        <v>-47.654400000000003</v>
      </c>
      <c r="AF2688">
        <v>24.238238272217998</v>
      </c>
      <c r="AG2688">
        <v>-1.09156366491</v>
      </c>
      <c r="AH2688">
        <v>41.221776168573001</v>
      </c>
      <c r="AI2688">
        <v>91.307642802038202</v>
      </c>
      <c r="AJ2688">
        <v>59.544643395696603</v>
      </c>
      <c r="AK2688">
        <v>47.832191422381001</v>
      </c>
      <c r="AL2688">
        <v>91.696439665973003</v>
      </c>
      <c r="AM2688">
        <v>77.947010284503804</v>
      </c>
      <c r="AN2688">
        <v>0.99999993829479095</v>
      </c>
    </row>
    <row r="2689" spans="1:40" x14ac:dyDescent="0.25">
      <c r="A2689" t="str">
        <f>"20190305135639594"</f>
        <v>20190305135639594</v>
      </c>
      <c r="B2689" t="str">
        <f>"1551765399585114"</f>
        <v>1551765399585114</v>
      </c>
      <c r="C2689" t="s">
        <v>40</v>
      </c>
      <c r="D2689">
        <v>4.2529070000000004</v>
      </c>
      <c r="E2689">
        <v>0.6271738</v>
      </c>
      <c r="F2689" t="s">
        <v>73</v>
      </c>
      <c r="G2689">
        <v>-199.3022</v>
      </c>
      <c r="H2689" s="1">
        <v>-6.0776019999999997E-6</v>
      </c>
      <c r="I2689">
        <v>128.81399999999999</v>
      </c>
      <c r="J2689">
        <v>-192.0438</v>
      </c>
      <c r="K2689">
        <v>1.0916809999999999</v>
      </c>
      <c r="L2689">
        <v>202.5684</v>
      </c>
      <c r="M2689">
        <v>0.40768989999999999</v>
      </c>
      <c r="N2689">
        <v>-1.7970710000000001E-2</v>
      </c>
      <c r="O2689">
        <v>-0.91294370000000002</v>
      </c>
      <c r="P2689">
        <v>0.21758720000000001</v>
      </c>
      <c r="Q2689">
        <v>-3.806027E-2</v>
      </c>
      <c r="R2689">
        <v>-0.97529860000000002</v>
      </c>
      <c r="S2689">
        <v>-0.30383300000000002</v>
      </c>
      <c r="T2689">
        <v>-4.6480059999999997E-2</v>
      </c>
      <c r="U2689">
        <v>-3.1535489999999999</v>
      </c>
      <c r="V2689">
        <v>0.19796549999999999</v>
      </c>
      <c r="W2689">
        <v>-2.8839549999999999E-2</v>
      </c>
      <c r="X2689">
        <v>0.97978460000000001</v>
      </c>
      <c r="Y2689">
        <v>0.49329250000000002</v>
      </c>
      <c r="Z2689">
        <v>-6.5260689999999998E-3</v>
      </c>
      <c r="AA2689">
        <v>0.86983909999999998</v>
      </c>
      <c r="AB2689">
        <v>30</v>
      </c>
      <c r="AC2689">
        <v>-7.2583999999999902</v>
      </c>
      <c r="AD2689">
        <v>-1.091687077602</v>
      </c>
      <c r="AE2689">
        <v>-73.754400000000004</v>
      </c>
      <c r="AF2689">
        <v>36.693395595708203</v>
      </c>
      <c r="AG2689">
        <v>-1.091687077602</v>
      </c>
      <c r="AH2689">
        <v>64.370861605277597</v>
      </c>
      <c r="AI2689">
        <v>90.844117081289994</v>
      </c>
      <c r="AJ2689">
        <v>60.315513197123003</v>
      </c>
      <c r="AK2689">
        <v>74.102664492070403</v>
      </c>
      <c r="AL2689">
        <v>91.652613702373699</v>
      </c>
      <c r="AM2689">
        <v>78.577172170431794</v>
      </c>
      <c r="AN2689">
        <v>0.99999996061580498</v>
      </c>
    </row>
    <row r="2690" spans="1:40" x14ac:dyDescent="0.25">
      <c r="A2690" t="str">
        <f>"20190305135639619"</f>
        <v>20190305135639619</v>
      </c>
      <c r="B2690" t="str">
        <f>"1551765399615370"</f>
        <v>1551765399615370</v>
      </c>
      <c r="C2690" t="s">
        <v>40</v>
      </c>
      <c r="D2690">
        <v>4.1987209999999999</v>
      </c>
      <c r="E2690">
        <v>0.61024929999999999</v>
      </c>
      <c r="F2690" t="s">
        <v>73</v>
      </c>
      <c r="G2690">
        <v>-199.8914</v>
      </c>
      <c r="H2690" s="1">
        <v>-6.1823479999999997E-6</v>
      </c>
      <c r="I2690">
        <v>128.8578</v>
      </c>
      <c r="J2690">
        <v>-191.92240000000001</v>
      </c>
      <c r="K2690">
        <v>1.091855</v>
      </c>
      <c r="L2690">
        <v>202.2475</v>
      </c>
      <c r="M2690">
        <v>0.38653569999999998</v>
      </c>
      <c r="N2690">
        <v>-1.7865220000000001E-2</v>
      </c>
      <c r="O2690">
        <v>-0.92210150000000002</v>
      </c>
      <c r="P2690">
        <v>0.2043007</v>
      </c>
      <c r="Q2690">
        <v>-4.0728220000000002E-2</v>
      </c>
      <c r="R2690">
        <v>-0.97806090000000001</v>
      </c>
      <c r="S2690">
        <v>-0.33525090000000002</v>
      </c>
      <c r="T2690">
        <v>-4.6637419999999999E-2</v>
      </c>
      <c r="U2690">
        <v>-3.1489560000000001</v>
      </c>
      <c r="V2690">
        <v>0.1885667</v>
      </c>
      <c r="W2690">
        <v>-3.1090630000000001E-2</v>
      </c>
      <c r="X2690">
        <v>0.9815682</v>
      </c>
      <c r="Y2690">
        <v>0.48191339999999999</v>
      </c>
      <c r="Z2690">
        <v>-6.1322529999999998E-3</v>
      </c>
      <c r="AA2690">
        <v>0.87619740000000002</v>
      </c>
      <c r="AB2690">
        <v>30</v>
      </c>
      <c r="AC2690">
        <v>-7.9689999999999896</v>
      </c>
      <c r="AD2690">
        <v>-1.091861182348</v>
      </c>
      <c r="AE2690">
        <v>-73.389700000000005</v>
      </c>
      <c r="AF2690">
        <v>35.713850681725802</v>
      </c>
      <c r="AG2690">
        <v>-1.091861182348</v>
      </c>
      <c r="AH2690">
        <v>64.588624053036</v>
      </c>
      <c r="AI2690">
        <v>90.847564844093696</v>
      </c>
      <c r="AJ2690">
        <v>61.059891575903002</v>
      </c>
      <c r="AK2690">
        <v>73.813018150069894</v>
      </c>
      <c r="AL2690">
        <v>91.781648850230397</v>
      </c>
      <c r="AM2690">
        <v>79.125529566855505</v>
      </c>
      <c r="AN2690">
        <v>1.0000000794369599</v>
      </c>
    </row>
    <row r="2691" spans="1:40" x14ac:dyDescent="0.25">
      <c r="A2691" t="str">
        <f>"20190305135639637"</f>
        <v>20190305135639637</v>
      </c>
      <c r="B2691" t="str">
        <f>"1551765399634891"</f>
        <v>1551765399634891</v>
      </c>
      <c r="C2691" t="s">
        <v>40</v>
      </c>
      <c r="D2691">
        <v>4.1615060000000001</v>
      </c>
      <c r="E2691">
        <v>0.60661719999999997</v>
      </c>
      <c r="F2691" t="s">
        <v>74</v>
      </c>
      <c r="G2691">
        <v>-212.2921</v>
      </c>
      <c r="H2691">
        <v>13.13096</v>
      </c>
      <c r="I2691">
        <v>-81.819519999999997</v>
      </c>
      <c r="J2691">
        <v>-191.83750000000001</v>
      </c>
      <c r="K2691">
        <v>1.092014</v>
      </c>
      <c r="L2691">
        <v>202.0093</v>
      </c>
      <c r="M2691">
        <v>0.3710196</v>
      </c>
      <c r="N2691">
        <v>-1.7779440000000001E-2</v>
      </c>
      <c r="O2691">
        <v>-0.92845480000000002</v>
      </c>
      <c r="P2691">
        <v>0.1976165</v>
      </c>
      <c r="Q2691">
        <v>-4.2519510000000003E-2</v>
      </c>
      <c r="R2691">
        <v>-0.97935669999999997</v>
      </c>
      <c r="S2691">
        <v>-0.2236938</v>
      </c>
      <c r="T2691">
        <v>0.13220979999999999</v>
      </c>
      <c r="U2691">
        <v>-3.1195369999999998</v>
      </c>
      <c r="V2691">
        <v>0.17872389999999999</v>
      </c>
      <c r="W2691">
        <v>-3.2446129999999997E-2</v>
      </c>
      <c r="X2691">
        <v>0.98336409999999996</v>
      </c>
      <c r="Y2691">
        <v>0.43651849999999998</v>
      </c>
      <c r="Z2691">
        <v>-5.3622870000000003E-2</v>
      </c>
      <c r="AA2691">
        <v>0.89809589999999995</v>
      </c>
      <c r="AB2691">
        <v>30</v>
      </c>
      <c r="AC2691">
        <v>-20.454599999999999</v>
      </c>
      <c r="AD2691">
        <v>12.038945999999999</v>
      </c>
      <c r="AE2691">
        <v>-283.82882000000001</v>
      </c>
      <c r="AF2691">
        <v>124.094769393832</v>
      </c>
      <c r="AG2691">
        <v>12.038945999999999</v>
      </c>
      <c r="AH2691">
        <v>255.516304521172</v>
      </c>
      <c r="AI2691">
        <v>87.5731298536178</v>
      </c>
      <c r="AJ2691">
        <v>64.095877871433601</v>
      </c>
      <c r="AK2691">
        <v>284.31150150469699</v>
      </c>
      <c r="AL2691">
        <v>91.8593527058663</v>
      </c>
      <c r="AM2691">
        <v>79.699077522894697</v>
      </c>
      <c r="AN2691">
        <v>0.99999996847599804</v>
      </c>
    </row>
    <row r="2692" spans="1:40" x14ac:dyDescent="0.25">
      <c r="A2692" t="str">
        <f>"20190305135639661"</f>
        <v>20190305135639661</v>
      </c>
      <c r="B2692" t="str">
        <f>"1551765399655386"</f>
        <v>1551765399655386</v>
      </c>
      <c r="C2692" t="s">
        <v>40</v>
      </c>
      <c r="D2692">
        <v>4.1318729999999997</v>
      </c>
      <c r="E2692">
        <v>0.60510369999999902</v>
      </c>
      <c r="F2692" t="s">
        <v>74</v>
      </c>
      <c r="G2692">
        <v>-211.60890000000001</v>
      </c>
      <c r="H2692">
        <v>12.12642</v>
      </c>
      <c r="I2692">
        <v>-81.819180000000003</v>
      </c>
      <c r="J2692">
        <v>-191.7362</v>
      </c>
      <c r="K2692">
        <v>1.092276</v>
      </c>
      <c r="L2692">
        <v>201.70769999999999</v>
      </c>
      <c r="M2692">
        <v>0.3516957</v>
      </c>
      <c r="N2692">
        <v>-1.7658739999999999E-2</v>
      </c>
      <c r="O2692">
        <v>-0.93594790000000005</v>
      </c>
      <c r="P2692">
        <v>0.18745870000000001</v>
      </c>
      <c r="Q2692">
        <v>-4.2157159999999999E-2</v>
      </c>
      <c r="R2692">
        <v>-0.98136769999999995</v>
      </c>
      <c r="S2692">
        <v>-0.21679689999999999</v>
      </c>
      <c r="T2692">
        <v>0.1209942</v>
      </c>
      <c r="U2692">
        <v>-3.112228</v>
      </c>
      <c r="V2692">
        <v>0.1685719</v>
      </c>
      <c r="W2692">
        <v>-3.1636070000000002E-2</v>
      </c>
      <c r="X2692">
        <v>0.98518159999999999</v>
      </c>
      <c r="Y2692">
        <v>0.4159236</v>
      </c>
      <c r="Z2692">
        <v>-5.1172769999999999E-2</v>
      </c>
      <c r="AA2692">
        <v>0.90795870000000001</v>
      </c>
      <c r="AB2692">
        <v>30</v>
      </c>
      <c r="AC2692">
        <v>-19.872699999999998</v>
      </c>
      <c r="AD2692">
        <v>11.034144</v>
      </c>
      <c r="AE2692">
        <v>-283.52688000000001</v>
      </c>
      <c r="AF2692">
        <v>118.15535840173099</v>
      </c>
      <c r="AG2692">
        <v>11.034144</v>
      </c>
      <c r="AH2692">
        <v>258.02862612336099</v>
      </c>
      <c r="AI2692">
        <v>87.773420418372893</v>
      </c>
      <c r="AJ2692">
        <v>65.396213032684699</v>
      </c>
      <c r="AK2692">
        <v>284.00917758404199</v>
      </c>
      <c r="AL2692">
        <v>91.812915682907999</v>
      </c>
      <c r="AM2692">
        <v>80.290296682470299</v>
      </c>
      <c r="AN2692">
        <v>1.0000000556866</v>
      </c>
    </row>
    <row r="2693" spans="1:40" x14ac:dyDescent="0.25">
      <c r="A2693" t="str">
        <f>"20190305135639683"</f>
        <v>20190305135639683</v>
      </c>
      <c r="B2693" t="str">
        <f>"1551765399674909"</f>
        <v>1551765399674909</v>
      </c>
      <c r="C2693" t="s">
        <v>40</v>
      </c>
      <c r="D2693">
        <v>4.1362399999999999</v>
      </c>
      <c r="E2693">
        <v>0.60425249999999997</v>
      </c>
      <c r="F2693" t="s">
        <v>74</v>
      </c>
      <c r="G2693">
        <v>-213.4059</v>
      </c>
      <c r="H2693">
        <v>11.682090000000001</v>
      </c>
      <c r="I2693">
        <v>-81.819040000000001</v>
      </c>
      <c r="J2693">
        <v>-191.64320000000001</v>
      </c>
      <c r="K2693">
        <v>1.0925929999999999</v>
      </c>
      <c r="L2693">
        <v>201.41159999999999</v>
      </c>
      <c r="M2693">
        <v>0.33313579999999998</v>
      </c>
      <c r="N2693">
        <v>-1.752248E-2</v>
      </c>
      <c r="O2693">
        <v>-0.9427162</v>
      </c>
      <c r="P2693">
        <v>0.17804200000000001</v>
      </c>
      <c r="Q2693">
        <v>-4.2852880000000003E-2</v>
      </c>
      <c r="R2693">
        <v>-0.98308949999999995</v>
      </c>
      <c r="S2693">
        <v>-0.2374878</v>
      </c>
      <c r="T2693">
        <v>0.1160587</v>
      </c>
      <c r="U2693">
        <v>-3.1073</v>
      </c>
      <c r="V2693">
        <v>0.1585396</v>
      </c>
      <c r="W2693">
        <v>-3.1900959999999999E-2</v>
      </c>
      <c r="X2693">
        <v>0.98683710000000002</v>
      </c>
      <c r="Y2693">
        <v>0.40403230000000001</v>
      </c>
      <c r="Z2693">
        <v>-5.0208940000000001E-2</v>
      </c>
      <c r="AA2693">
        <v>0.91336569999999995</v>
      </c>
      <c r="AB2693">
        <v>30</v>
      </c>
      <c r="AC2693">
        <v>-21.762699999999899</v>
      </c>
      <c r="AD2693">
        <v>10.5894969999999</v>
      </c>
      <c r="AE2693">
        <v>-283.23063999999999</v>
      </c>
      <c r="AF2693">
        <v>114.728499907217</v>
      </c>
      <c r="AG2693">
        <v>10.5894969999999</v>
      </c>
      <c r="AH2693">
        <v>259.43549024998498</v>
      </c>
      <c r="AI2693">
        <v>87.862131628257302</v>
      </c>
      <c r="AJ2693">
        <v>66.143854064897397</v>
      </c>
      <c r="AK2693">
        <v>283.86887772160497</v>
      </c>
      <c r="AL2693">
        <v>91.828100584158094</v>
      </c>
      <c r="AM2693">
        <v>80.873175270851405</v>
      </c>
      <c r="AN2693">
        <v>0.99999996897674504</v>
      </c>
    </row>
    <row r="2694" spans="1:40" x14ac:dyDescent="0.25">
      <c r="A2694" t="str">
        <f>"20190305135639705"</f>
        <v>20190305135639705</v>
      </c>
      <c r="B2694" t="str">
        <f>"1551765399695402"</f>
        <v>1551765399695402</v>
      </c>
      <c r="C2694" t="s">
        <v>40</v>
      </c>
      <c r="D2694">
        <v>4.1446639999999997</v>
      </c>
      <c r="E2694">
        <v>0.6031128</v>
      </c>
      <c r="F2694" t="s">
        <v>75</v>
      </c>
      <c r="G2694">
        <v>-210.73390000000001</v>
      </c>
      <c r="H2694">
        <v>9.4218469999999996</v>
      </c>
      <c r="I2694">
        <v>-25.969799999999999</v>
      </c>
      <c r="J2694">
        <v>-191.56020000000001</v>
      </c>
      <c r="K2694">
        <v>1.092954</v>
      </c>
      <c r="L2694">
        <v>201.12970000000001</v>
      </c>
      <c r="M2694">
        <v>0.315924599999999</v>
      </c>
      <c r="N2694">
        <v>-1.7376579999999999E-2</v>
      </c>
      <c r="O2694">
        <v>-0.9486253</v>
      </c>
      <c r="P2694">
        <v>0.1690053</v>
      </c>
      <c r="Q2694">
        <v>-4.1888050000000003E-2</v>
      </c>
      <c r="R2694">
        <v>-0.98472459999999995</v>
      </c>
      <c r="S2694">
        <v>-0.26058959999999998</v>
      </c>
      <c r="T2694">
        <v>0.1136944</v>
      </c>
      <c r="U2694">
        <v>-3.1037599999999999</v>
      </c>
      <c r="V2694">
        <v>0.1497232</v>
      </c>
      <c r="W2694">
        <v>-3.0566409999999999E-2</v>
      </c>
      <c r="X2694">
        <v>0.98825540000000001</v>
      </c>
      <c r="Y2694">
        <v>0.39419389999999999</v>
      </c>
      <c r="Z2694">
        <v>-4.9839599999999998E-2</v>
      </c>
      <c r="AA2694">
        <v>0.91767489999999996</v>
      </c>
      <c r="AB2694">
        <v>30</v>
      </c>
      <c r="AC2694">
        <v>-19.1737</v>
      </c>
      <c r="AD2694">
        <v>8.3288929999999901</v>
      </c>
      <c r="AE2694">
        <v>-227.09950000000001</v>
      </c>
      <c r="AF2694">
        <v>89.828574994699096</v>
      </c>
      <c r="AG2694">
        <v>8.3288929999999901</v>
      </c>
      <c r="AH2694">
        <v>209.127179764998</v>
      </c>
      <c r="AI2694">
        <v>87.9042607467903</v>
      </c>
      <c r="AJ2694">
        <v>66.754522241628493</v>
      </c>
      <c r="AK2694">
        <v>227.75583562368999</v>
      </c>
      <c r="AL2694">
        <v>91.751599046820104</v>
      </c>
      <c r="AM2694">
        <v>81.385058372967194</v>
      </c>
      <c r="AN2694">
        <v>1.0000000388338399</v>
      </c>
    </row>
    <row r="2695" spans="1:40" x14ac:dyDescent="0.25">
      <c r="A2695" t="str">
        <f>"20190305135639725"</f>
        <v>20190305135639725</v>
      </c>
      <c r="B2695" t="str">
        <f>"1551765399714922"</f>
        <v>1551765399714922</v>
      </c>
      <c r="C2695" t="s">
        <v>40</v>
      </c>
      <c r="D2695">
        <v>4.1695830000000003</v>
      </c>
      <c r="E2695">
        <v>0.60210090000000005</v>
      </c>
      <c r="F2695" t="s">
        <v>76</v>
      </c>
      <c r="G2695">
        <v>-210.72890000000001</v>
      </c>
      <c r="H2695">
        <v>8.6600459999999995</v>
      </c>
      <c r="I2695">
        <v>-10.257199999999999</v>
      </c>
      <c r="J2695">
        <v>-191.4854</v>
      </c>
      <c r="K2695">
        <v>1.093377</v>
      </c>
      <c r="L2695">
        <v>200.85890000000001</v>
      </c>
      <c r="M2695">
        <v>0.29988500000000001</v>
      </c>
      <c r="N2695">
        <v>-1.7224819999999998E-2</v>
      </c>
      <c r="O2695">
        <v>-0.95381990000000005</v>
      </c>
      <c r="P2695">
        <v>0.16056609999999999</v>
      </c>
      <c r="Q2695">
        <v>-3.9448339999999998E-2</v>
      </c>
      <c r="R2695">
        <v>-0.98623660000000002</v>
      </c>
      <c r="S2695">
        <v>-0.28106690000000001</v>
      </c>
      <c r="T2695">
        <v>0.110954</v>
      </c>
      <c r="U2695">
        <v>-3.0995180000000002</v>
      </c>
      <c r="V2695">
        <v>0.1416761</v>
      </c>
      <c r="W2695">
        <v>-2.779564E-2</v>
      </c>
      <c r="X2695">
        <v>0.98952280000000004</v>
      </c>
      <c r="Y2695">
        <v>0.38479790000000003</v>
      </c>
      <c r="Z2695">
        <v>-4.9299460000000003E-2</v>
      </c>
      <c r="AA2695">
        <v>0.92168329999999998</v>
      </c>
      <c r="AB2695">
        <v>30</v>
      </c>
      <c r="AC2695">
        <v>-19.243500000000001</v>
      </c>
      <c r="AD2695">
        <v>7.5666690000000001</v>
      </c>
      <c r="AE2695">
        <v>-211.11609999999999</v>
      </c>
      <c r="AF2695">
        <v>81.573572297728504</v>
      </c>
      <c r="AG2695">
        <v>7.5666690000000001</v>
      </c>
      <c r="AH2695">
        <v>195.37600101339399</v>
      </c>
      <c r="AI2695">
        <v>87.953190459418295</v>
      </c>
      <c r="AJ2695">
        <v>67.338441843340703</v>
      </c>
      <c r="AK2695">
        <v>211.85675337159799</v>
      </c>
      <c r="AL2695">
        <v>91.592777932844399</v>
      </c>
      <c r="AM2695">
        <v>81.851984243822002</v>
      </c>
      <c r="AN2695">
        <v>1.00000004331702</v>
      </c>
    </row>
    <row r="2696" spans="1:40" x14ac:dyDescent="0.25">
      <c r="A2696" t="str">
        <f>"20190305135639749"</f>
        <v>20190305135639749</v>
      </c>
      <c r="B2696" t="str">
        <f>"1551765399744971"</f>
        <v>1551765399744971</v>
      </c>
      <c r="C2696" t="s">
        <v>40</v>
      </c>
      <c r="D2696">
        <v>4.1625310000000004</v>
      </c>
      <c r="E2696">
        <v>0.60105889999999995</v>
      </c>
      <c r="F2696" t="s">
        <v>76</v>
      </c>
      <c r="G2696">
        <v>-211.07</v>
      </c>
      <c r="H2696">
        <v>8.3931290000000001</v>
      </c>
      <c r="I2696">
        <v>-0.72486879999999998</v>
      </c>
      <c r="J2696">
        <v>-191.4049</v>
      </c>
      <c r="K2696">
        <v>1.093912</v>
      </c>
      <c r="L2696">
        <v>200.5478</v>
      </c>
      <c r="M2696">
        <v>0.28208169999999999</v>
      </c>
      <c r="N2696">
        <v>-1.7040429999999999E-2</v>
      </c>
      <c r="O2696">
        <v>-0.95923919999999996</v>
      </c>
      <c r="P2696">
        <v>0.14853920000000001</v>
      </c>
      <c r="Q2696">
        <v>-3.7449959999999997E-2</v>
      </c>
      <c r="R2696">
        <v>-0.9881974</v>
      </c>
      <c r="S2696">
        <v>-0.30072019999999999</v>
      </c>
      <c r="T2696">
        <v>0.1120871</v>
      </c>
      <c r="U2696">
        <v>-3.0953059999999999</v>
      </c>
      <c r="V2696">
        <v>0.13544320000000001</v>
      </c>
      <c r="W2696">
        <v>-2.5548999999999999E-2</v>
      </c>
      <c r="X2696">
        <v>0.99045559999999999</v>
      </c>
      <c r="Y2696">
        <v>0.37350179999999999</v>
      </c>
      <c r="Z2696">
        <v>-4.9850499999999999E-2</v>
      </c>
      <c r="AA2696">
        <v>0.92628900000000003</v>
      </c>
      <c r="AB2696">
        <v>30</v>
      </c>
      <c r="AC2696">
        <v>-19.665099999999899</v>
      </c>
      <c r="AD2696">
        <v>7.2992169999999996</v>
      </c>
      <c r="AE2696">
        <v>-201.27266879999999</v>
      </c>
      <c r="AF2696">
        <v>75.5514204600304</v>
      </c>
      <c r="AG2696">
        <v>7.2992169999999996</v>
      </c>
      <c r="AH2696">
        <v>187.30466346452101</v>
      </c>
      <c r="AI2696">
        <v>87.930204358294006</v>
      </c>
      <c r="AJ2696">
        <v>68.032767230810407</v>
      </c>
      <c r="AK2696">
        <v>202.099808653791</v>
      </c>
      <c r="AL2696">
        <v>91.464009240385593</v>
      </c>
      <c r="AM2696">
        <v>82.213193269759799</v>
      </c>
      <c r="AN2696">
        <v>0.99999995369929795</v>
      </c>
    </row>
    <row r="2697" spans="1:40" x14ac:dyDescent="0.25">
      <c r="A2697" t="str">
        <f>"20190305135639772"</f>
        <v>20190305135639772</v>
      </c>
      <c r="B2697" t="str">
        <f>"1551765399764491"</f>
        <v>1551765399764491</v>
      </c>
      <c r="C2697" t="s">
        <v>40</v>
      </c>
      <c r="D2697">
        <v>4.2096159999999996</v>
      </c>
      <c r="E2697">
        <v>0.60016309999999995</v>
      </c>
      <c r="F2697" t="s">
        <v>76</v>
      </c>
      <c r="G2697">
        <v>-211.07</v>
      </c>
      <c r="H2697">
        <v>7.8781829999999999</v>
      </c>
      <c r="I2697">
        <v>16.958559999999999</v>
      </c>
      <c r="J2697">
        <v>-191.3321</v>
      </c>
      <c r="K2697">
        <v>1.0944959999999999</v>
      </c>
      <c r="L2697">
        <v>200.24469999999999</v>
      </c>
      <c r="M2697">
        <v>0.26554879999999997</v>
      </c>
      <c r="N2697">
        <v>-1.685149E-2</v>
      </c>
      <c r="O2697">
        <v>-0.96395030000000004</v>
      </c>
      <c r="P2697">
        <v>0.13857069999999999</v>
      </c>
      <c r="Q2697">
        <v>-3.9046940000000002E-2</v>
      </c>
      <c r="R2697">
        <v>-0.98958239999999997</v>
      </c>
      <c r="S2697">
        <v>-0.33097840000000001</v>
      </c>
      <c r="T2697">
        <v>0.1141839</v>
      </c>
      <c r="U2697">
        <v>-3.0899350000000001</v>
      </c>
      <c r="V2697">
        <v>0.1283588</v>
      </c>
      <c r="W2697">
        <v>-2.687956E-2</v>
      </c>
      <c r="X2697">
        <v>0.99136349999999995</v>
      </c>
      <c r="Y2697">
        <v>0.36667240000000001</v>
      </c>
      <c r="Z2697">
        <v>-5.0627520000000002E-2</v>
      </c>
      <c r="AA2697">
        <v>0.92897160000000001</v>
      </c>
      <c r="AB2697">
        <v>30</v>
      </c>
      <c r="AC2697">
        <v>-19.7379</v>
      </c>
      <c r="AD2697">
        <v>6.7836869999999996</v>
      </c>
      <c r="AE2697">
        <v>-183.28613999999999</v>
      </c>
      <c r="AF2697">
        <v>67.615811027078394</v>
      </c>
      <c r="AG2697">
        <v>6.7836869999999996</v>
      </c>
      <c r="AH2697">
        <v>171.22980378055101</v>
      </c>
      <c r="AI2697">
        <v>87.889689737686695</v>
      </c>
      <c r="AJ2697">
        <v>68.451758189235306</v>
      </c>
      <c r="AK2697">
        <v>184.22150258015299</v>
      </c>
      <c r="AL2697">
        <v>91.540270795476999</v>
      </c>
      <c r="AM2697">
        <v>82.622555930137594</v>
      </c>
      <c r="AN2697">
        <v>1.0000000407077401</v>
      </c>
    </row>
    <row r="2698" spans="1:40" x14ac:dyDescent="0.25">
      <c r="A2698" t="str">
        <f>"20190305135639795"</f>
        <v>20190305135639795</v>
      </c>
      <c r="B2698" t="str">
        <f>"1551765399784990"</f>
        <v>1551765399784990</v>
      </c>
      <c r="C2698" t="s">
        <v>40</v>
      </c>
      <c r="D2698">
        <v>4.2744429999999998</v>
      </c>
      <c r="E2698">
        <v>0.59904650000000004</v>
      </c>
      <c r="F2698" t="s">
        <v>76</v>
      </c>
      <c r="G2698">
        <v>-211.06729999999999</v>
      </c>
      <c r="H2698">
        <v>7.1841299999999997</v>
      </c>
      <c r="I2698">
        <v>28.79354</v>
      </c>
      <c r="J2698">
        <v>-191.26349999999999</v>
      </c>
      <c r="K2698">
        <v>1.0951109999999999</v>
      </c>
      <c r="L2698">
        <v>199.93770000000001</v>
      </c>
      <c r="M2698">
        <v>0.2495666</v>
      </c>
      <c r="N2698">
        <v>-1.6658220000000001E-2</v>
      </c>
      <c r="O2698">
        <v>-0.96821449999999998</v>
      </c>
      <c r="P2698">
        <v>0.13074259999999999</v>
      </c>
      <c r="Q2698">
        <v>-3.9346300000000001E-2</v>
      </c>
      <c r="R2698">
        <v>-0.99063520000000005</v>
      </c>
      <c r="S2698">
        <v>-0.35517880000000002</v>
      </c>
      <c r="T2698">
        <v>0.1095965</v>
      </c>
      <c r="U2698">
        <v>-3.0856479999999999</v>
      </c>
      <c r="V2698">
        <v>0.11982080000000001</v>
      </c>
      <c r="W2698">
        <v>-2.6875159999999999E-2</v>
      </c>
      <c r="X2698">
        <v>0.99243170000000003</v>
      </c>
      <c r="Y2698">
        <v>0.35860429999999999</v>
      </c>
      <c r="Z2698">
        <v>-4.940162E-2</v>
      </c>
      <c r="AA2698">
        <v>0.9321815</v>
      </c>
      <c r="AB2698">
        <v>30</v>
      </c>
      <c r="AC2698">
        <v>-19.803799999999899</v>
      </c>
      <c r="AD2698">
        <v>6.0890190000000004</v>
      </c>
      <c r="AE2698">
        <v>-171.14416</v>
      </c>
      <c r="AF2698">
        <v>61.8175557307543</v>
      </c>
      <c r="AG2698">
        <v>6.0890190000000004</v>
      </c>
      <c r="AH2698">
        <v>160.58359255745799</v>
      </c>
      <c r="AI2698">
        <v>87.973341485817102</v>
      </c>
      <c r="AJ2698">
        <v>68.945509197978197</v>
      </c>
      <c r="AK2698">
        <v>172.178908544476</v>
      </c>
      <c r="AL2698">
        <v>91.540018682983202</v>
      </c>
      <c r="AM2698">
        <v>83.115740727423898</v>
      </c>
      <c r="AN2698">
        <v>0.99999998875127705</v>
      </c>
    </row>
    <row r="2699" spans="1:40" x14ac:dyDescent="0.25">
      <c r="A2699" t="str">
        <f>"20190305135639817"</f>
        <v>20190305135639817</v>
      </c>
      <c r="B2699" t="str">
        <f>"1551765399804507"</f>
        <v>1551765399804507</v>
      </c>
      <c r="C2699" t="s">
        <v>40</v>
      </c>
      <c r="D2699">
        <v>4.205857</v>
      </c>
      <c r="E2699">
        <v>0.56658909999999996</v>
      </c>
      <c r="F2699" t="s">
        <v>77</v>
      </c>
      <c r="G2699">
        <v>-210.4759</v>
      </c>
      <c r="H2699">
        <v>6.6547169999999998</v>
      </c>
      <c r="I2699">
        <v>40.331189999999999</v>
      </c>
      <c r="J2699">
        <v>-191.20349999999999</v>
      </c>
      <c r="K2699">
        <v>1.095658</v>
      </c>
      <c r="L2699">
        <v>199.65029999999999</v>
      </c>
      <c r="M2699">
        <v>0.23521719999999999</v>
      </c>
      <c r="N2699">
        <v>-1.6484329999999998E-2</v>
      </c>
      <c r="O2699">
        <v>-0.97180310000000003</v>
      </c>
      <c r="P2699">
        <v>0.12582979999999999</v>
      </c>
      <c r="Q2699">
        <v>-3.9925519999999999E-2</v>
      </c>
      <c r="R2699">
        <v>-0.99124809999999997</v>
      </c>
      <c r="S2699">
        <v>-0.37094120000000003</v>
      </c>
      <c r="T2699">
        <v>0.1073413</v>
      </c>
      <c r="U2699">
        <v>-3.0815730000000001</v>
      </c>
      <c r="V2699">
        <v>0.1100694</v>
      </c>
      <c r="W2699">
        <v>-2.7136179999999999E-2</v>
      </c>
      <c r="X2699">
        <v>0.99355340000000003</v>
      </c>
      <c r="Y2699">
        <v>0.34962280000000001</v>
      </c>
      <c r="Z2699">
        <v>-4.8832470000000003E-2</v>
      </c>
      <c r="AA2699">
        <v>0.93561709999999998</v>
      </c>
      <c r="AB2699">
        <v>30</v>
      </c>
      <c r="AC2699">
        <v>-19.272400000000001</v>
      </c>
      <c r="AD2699">
        <v>5.5590590000000004</v>
      </c>
      <c r="AE2699">
        <v>-159.31910999999999</v>
      </c>
      <c r="AF2699">
        <v>56.143838158823897</v>
      </c>
      <c r="AG2699">
        <v>5.5590590000000004</v>
      </c>
      <c r="AH2699">
        <v>150.13386840879301</v>
      </c>
      <c r="AI2699">
        <v>88.013684129649704</v>
      </c>
      <c r="AJ2699">
        <v>69.496288580559394</v>
      </c>
      <c r="AK2699">
        <v>160.38457576574601</v>
      </c>
      <c r="AL2699">
        <v>91.554979463661397</v>
      </c>
      <c r="AM2699">
        <v>83.678346361279296</v>
      </c>
      <c r="AN2699">
        <v>1.0000000018664501</v>
      </c>
    </row>
    <row r="2700" spans="1:40" x14ac:dyDescent="0.25">
      <c r="A2700" t="str">
        <f>"20190305135639840"</f>
        <v>20190305135639840</v>
      </c>
      <c r="B2700" t="str">
        <f>"1551765399834763"</f>
        <v>1551765399834763</v>
      </c>
      <c r="C2700" t="s">
        <v>40</v>
      </c>
      <c r="D2700">
        <v>4.2302429999999998</v>
      </c>
      <c r="E2700">
        <v>0.55407019999999996</v>
      </c>
      <c r="F2700" t="s">
        <v>74</v>
      </c>
      <c r="G2700">
        <v>-203.8201</v>
      </c>
      <c r="H2700">
        <v>3.1367720000000001</v>
      </c>
      <c r="I2700">
        <v>-80.949680000000001</v>
      </c>
      <c r="J2700">
        <v>-191.1455</v>
      </c>
      <c r="K2700">
        <v>1.0961860000000001</v>
      </c>
      <c r="L2700">
        <v>199.35169999999999</v>
      </c>
      <c r="M2700">
        <v>0.22093479999999999</v>
      </c>
      <c r="N2700">
        <v>-1.6315650000000001E-2</v>
      </c>
      <c r="O2700">
        <v>-0.97515229999999997</v>
      </c>
      <c r="P2700">
        <v>0.1202413</v>
      </c>
      <c r="Q2700">
        <v>-4.0748939999999997E-2</v>
      </c>
      <c r="R2700">
        <v>-0.99190809999999996</v>
      </c>
      <c r="S2700">
        <v>-0.13690189999999999</v>
      </c>
      <c r="T2700">
        <v>2.2148129999999999E-2</v>
      </c>
      <c r="U2700">
        <v>-3.0447850000000001</v>
      </c>
      <c r="V2700">
        <v>0.1010924</v>
      </c>
      <c r="W2700">
        <v>-2.7693019999999999E-2</v>
      </c>
      <c r="X2700">
        <v>0.99449149999999997</v>
      </c>
      <c r="Y2700">
        <v>0.26451639999999998</v>
      </c>
      <c r="Z2700">
        <v>-2.326727E-2</v>
      </c>
      <c r="AA2700">
        <v>0.96410050000000003</v>
      </c>
      <c r="AB2700">
        <v>30</v>
      </c>
      <c r="AC2700">
        <v>-12.6745999999999</v>
      </c>
      <c r="AD2700">
        <v>2.0405859999999998</v>
      </c>
      <c r="AE2700">
        <v>-280.30137999999999</v>
      </c>
      <c r="AF2700">
        <v>74.293940341224697</v>
      </c>
      <c r="AG2700">
        <v>2.0405859999999998</v>
      </c>
      <c r="AH2700">
        <v>270.55792766400998</v>
      </c>
      <c r="AI2700">
        <v>89.583299448464004</v>
      </c>
      <c r="AJ2700">
        <v>74.645307319931504</v>
      </c>
      <c r="AK2700">
        <v>280.58037312772399</v>
      </c>
      <c r="AL2700">
        <v>91.586896107993098</v>
      </c>
      <c r="AM2700">
        <v>84.195686838249898</v>
      </c>
      <c r="AN2700">
        <v>0.99999996013336401</v>
      </c>
    </row>
    <row r="2701" spans="1:40" x14ac:dyDescent="0.25">
      <c r="A2701" t="str">
        <f>"20190305135639863"</f>
        <v>20190305135639863</v>
      </c>
      <c r="B2701" t="str">
        <f>"1551765399855260"</f>
        <v>1551765399855260</v>
      </c>
      <c r="C2701" t="s">
        <v>40</v>
      </c>
      <c r="D2701">
        <v>4.2593899999999998</v>
      </c>
      <c r="E2701">
        <v>0.55101109999999998</v>
      </c>
      <c r="F2701" t="s">
        <v>74</v>
      </c>
      <c r="G2701">
        <v>-196.42189999999999</v>
      </c>
      <c r="H2701">
        <v>0.85002330000000004</v>
      </c>
      <c r="I2701">
        <v>-81.815439999999995</v>
      </c>
      <c r="J2701">
        <v>-191.09030000000001</v>
      </c>
      <c r="K2701">
        <v>1.096708</v>
      </c>
      <c r="L2701">
        <v>199.0454</v>
      </c>
      <c r="M2701">
        <v>0.20692530000000001</v>
      </c>
      <c r="N2701">
        <v>-1.6149170000000001E-2</v>
      </c>
      <c r="O2701">
        <v>-0.97822359999999997</v>
      </c>
      <c r="P2701">
        <v>0.11499860000000001</v>
      </c>
      <c r="Q2701">
        <v>-4.2637000000000001E-2</v>
      </c>
      <c r="R2701">
        <v>-0.99245050000000001</v>
      </c>
      <c r="S2701">
        <v>-5.6884770000000001E-2</v>
      </c>
      <c r="T2701">
        <v>-2.653837E-3</v>
      </c>
      <c r="U2701">
        <v>-3.03125</v>
      </c>
      <c r="V2701">
        <v>9.2043150000000004E-2</v>
      </c>
      <c r="W2701">
        <v>-2.9337930000000002E-2</v>
      </c>
      <c r="X2701">
        <v>0.99532279999999995</v>
      </c>
      <c r="Y2701">
        <v>0.2252393</v>
      </c>
      <c r="Z2701">
        <v>-1.5345279999999999E-2</v>
      </c>
      <c r="AA2701">
        <v>0.97418260000000001</v>
      </c>
      <c r="AB2701">
        <v>30</v>
      </c>
      <c r="AC2701">
        <v>-5.3315999999999804</v>
      </c>
      <c r="AD2701">
        <v>-0.24668470000000001</v>
      </c>
      <c r="AE2701">
        <v>-280.86084</v>
      </c>
      <c r="AF2701">
        <v>63.340912645636799</v>
      </c>
      <c r="AG2701">
        <v>-0.24668470000000001</v>
      </c>
      <c r="AH2701">
        <v>273.67689797047399</v>
      </c>
      <c r="AI2701">
        <v>90.050314787541794</v>
      </c>
      <c r="AJ2701">
        <v>76.968674714304896</v>
      </c>
      <c r="AK2701">
        <v>280.911332186626</v>
      </c>
      <c r="AL2701">
        <v>91.681180686016006</v>
      </c>
      <c r="AM2701">
        <v>84.716560679446204</v>
      </c>
      <c r="AN2701">
        <v>1.0000000658992201</v>
      </c>
    </row>
    <row r="2702" spans="1:40" x14ac:dyDescent="0.25">
      <c r="A2702" t="str">
        <f>"20190305135639886"</f>
        <v>20190305135639886</v>
      </c>
      <c r="B2702" t="str">
        <f>"1551765399874505"</f>
        <v>1551765399874505</v>
      </c>
      <c r="C2702" t="s">
        <v>40</v>
      </c>
      <c r="D2702">
        <v>4.2597110000000002</v>
      </c>
      <c r="E2702">
        <v>0.54937369999999996</v>
      </c>
      <c r="F2702" t="s">
        <v>78</v>
      </c>
      <c r="G2702">
        <v>-195.2056</v>
      </c>
      <c r="H2702" s="1">
        <v>-8.6278849999999998E-6</v>
      </c>
      <c r="I2702">
        <v>-55.043770000000002</v>
      </c>
      <c r="J2702">
        <v>-191.0401</v>
      </c>
      <c r="K2702">
        <v>1.097194</v>
      </c>
      <c r="L2702">
        <v>198.745</v>
      </c>
      <c r="M2702">
        <v>0.19378770000000001</v>
      </c>
      <c r="N2702">
        <v>-1.598989E-2</v>
      </c>
      <c r="O2702">
        <v>-0.98091329999999999</v>
      </c>
      <c r="P2702">
        <v>0.11098139999999899</v>
      </c>
      <c r="Q2702">
        <v>-4.4626590000000001E-2</v>
      </c>
      <c r="R2702">
        <v>-0.99282029999999999</v>
      </c>
      <c r="S2702">
        <v>-4.9041750000000002E-2</v>
      </c>
      <c r="T2702">
        <v>-1.306939E-2</v>
      </c>
      <c r="U2702">
        <v>-3.0279389999999999</v>
      </c>
      <c r="V2702">
        <v>8.2683019999999996E-2</v>
      </c>
      <c r="W2702">
        <v>-3.109582E-2</v>
      </c>
      <c r="X2702">
        <v>0.9960907</v>
      </c>
      <c r="Y2702">
        <v>0.20963899999999999</v>
      </c>
      <c r="Z2702">
        <v>-1.1870459999999999E-2</v>
      </c>
      <c r="AA2702">
        <v>0.97770679999999999</v>
      </c>
      <c r="AB2702">
        <v>30</v>
      </c>
      <c r="AC2702">
        <v>-4.1654999999999998</v>
      </c>
      <c r="AD2702">
        <v>-1.097202627885</v>
      </c>
      <c r="AE2702">
        <v>-253.78877</v>
      </c>
      <c r="AF2702">
        <v>53.272945115519001</v>
      </c>
      <c r="AG2702">
        <v>-1.097202627885</v>
      </c>
      <c r="AH2702">
        <v>248.16461642899799</v>
      </c>
      <c r="AI2702">
        <v>90.247676037009697</v>
      </c>
      <c r="AJ2702">
        <v>77.884315345081404</v>
      </c>
      <c r="AK2702">
        <v>253.82058108482701</v>
      </c>
      <c r="AL2702">
        <v>91.781946398749696</v>
      </c>
      <c r="AM2702">
        <v>85.254897720326795</v>
      </c>
      <c r="AN2702">
        <v>1.0000000572221299</v>
      </c>
    </row>
    <row r="2703" spans="1:40" x14ac:dyDescent="0.25">
      <c r="A2703" t="str">
        <f>"20190305135639905"</f>
        <v>20190305135639905</v>
      </c>
      <c r="B2703" t="str">
        <f>"1551765399895002"</f>
        <v>1551765399895002</v>
      </c>
      <c r="C2703" t="s">
        <v>40</v>
      </c>
      <c r="D2703">
        <v>4.2817089999999904</v>
      </c>
      <c r="E2703">
        <v>0.54815179999999997</v>
      </c>
      <c r="F2703" t="s">
        <v>42</v>
      </c>
      <c r="G2703">
        <v>-193.63480000000001</v>
      </c>
      <c r="H2703" s="1">
        <v>-4.2329170000000004E-6</v>
      </c>
      <c r="I2703">
        <v>37.530769999999997</v>
      </c>
      <c r="J2703">
        <v>-190.99860000000001</v>
      </c>
      <c r="K2703">
        <v>1.0976379999999999</v>
      </c>
      <c r="L2703">
        <v>198.47649999999999</v>
      </c>
      <c r="M2703">
        <v>0.1825302</v>
      </c>
      <c r="N2703">
        <v>-1.5852350000000001E-2</v>
      </c>
      <c r="O2703">
        <v>-0.98307259999999996</v>
      </c>
      <c r="P2703">
        <v>0.10899</v>
      </c>
      <c r="Q2703">
        <v>-4.6494630000000002E-2</v>
      </c>
      <c r="R2703">
        <v>-0.99295529999999999</v>
      </c>
      <c r="S2703">
        <v>-4.8706050000000001E-2</v>
      </c>
      <c r="T2703">
        <v>-2.0596030000000001E-2</v>
      </c>
      <c r="U2703">
        <v>-3.02623</v>
      </c>
      <c r="V2703">
        <v>7.3228810000000005E-2</v>
      </c>
      <c r="W2703">
        <v>-3.2740529999999997E-2</v>
      </c>
      <c r="X2703">
        <v>0.99677760000000004</v>
      </c>
      <c r="Y2703">
        <v>0.1983152</v>
      </c>
      <c r="Z2703">
        <v>-9.3102719999999996E-3</v>
      </c>
      <c r="AA2703">
        <v>0.98009409999999997</v>
      </c>
      <c r="AB2703">
        <v>30</v>
      </c>
      <c r="AC2703">
        <v>-2.6362000000000001</v>
      </c>
      <c r="AD2703">
        <v>-1.0976422329169999</v>
      </c>
      <c r="AE2703">
        <v>-160.945729999999</v>
      </c>
      <c r="AF2703">
        <v>31.9715583163877</v>
      </c>
      <c r="AG2703">
        <v>-1.0976422329169999</v>
      </c>
      <c r="AH2703">
        <v>157.75261501988101</v>
      </c>
      <c r="AI2703">
        <v>90.390714198950107</v>
      </c>
      <c r="AJ2703">
        <v>78.543104716437995</v>
      </c>
      <c r="AK2703">
        <v>160.96357633098401</v>
      </c>
      <c r="AL2703">
        <v>91.876229505794299</v>
      </c>
      <c r="AM2703">
        <v>85.798282612208794</v>
      </c>
      <c r="AN2703">
        <v>0.99999999239022797</v>
      </c>
    </row>
    <row r="2704" spans="1:40" x14ac:dyDescent="0.25">
      <c r="A2704" t="str">
        <f>"20190305135639931"</f>
        <v>20190305135639931</v>
      </c>
      <c r="B2704" t="str">
        <f>"1551765399925258"</f>
        <v>1551765399925258</v>
      </c>
      <c r="C2704" t="s">
        <v>40</v>
      </c>
      <c r="D2704">
        <v>4.3271169999999897</v>
      </c>
      <c r="E2704">
        <v>0.54689239999999995</v>
      </c>
      <c r="F2704" t="s">
        <v>42</v>
      </c>
      <c r="G2704">
        <v>-193.10650000000001</v>
      </c>
      <c r="H2704" s="1">
        <v>-3.347057E-6</v>
      </c>
      <c r="I2704">
        <v>55.464469999999999</v>
      </c>
      <c r="J2704">
        <v>-190.95099999999999</v>
      </c>
      <c r="K2704">
        <v>1.098211</v>
      </c>
      <c r="L2704">
        <v>198.14250000000001</v>
      </c>
      <c r="M2704">
        <v>0.16909150000000001</v>
      </c>
      <c r="N2704">
        <v>-1.5689370000000001E-2</v>
      </c>
      <c r="O2704">
        <v>-0.98547569999999995</v>
      </c>
      <c r="P2704">
        <v>0.10378519999999899</v>
      </c>
      <c r="Q2704">
        <v>-4.6199610000000002E-2</v>
      </c>
      <c r="R2704">
        <v>-0.99352640000000003</v>
      </c>
      <c r="S2704">
        <v>-4.4586180000000003E-2</v>
      </c>
      <c r="T2704">
        <v>-2.321815E-2</v>
      </c>
      <c r="U2704">
        <v>-3.0251009999999998</v>
      </c>
      <c r="V2704">
        <v>6.4897629999999998E-2</v>
      </c>
      <c r="W2704">
        <v>-3.2279660000000002E-2</v>
      </c>
      <c r="X2704">
        <v>0.99736970000000003</v>
      </c>
      <c r="Y2704">
        <v>0.18358450000000001</v>
      </c>
      <c r="Z2704">
        <v>-8.266097E-3</v>
      </c>
      <c r="AA2704">
        <v>0.98296919999999999</v>
      </c>
      <c r="AB2704">
        <v>30</v>
      </c>
      <c r="AC2704">
        <v>-2.1555000000000102</v>
      </c>
      <c r="AD2704">
        <v>-1.0982143470570001</v>
      </c>
      <c r="AE2704">
        <v>-142.67803000000001</v>
      </c>
      <c r="AF2704">
        <v>26.251505544962399</v>
      </c>
      <c r="AG2704">
        <v>-1.0982143470570001</v>
      </c>
      <c r="AH2704">
        <v>140.250179844267</v>
      </c>
      <c r="AI2704">
        <v>90.440981361830893</v>
      </c>
      <c r="AJ2704">
        <v>79.398264186454099</v>
      </c>
      <c r="AK2704">
        <v>142.69008572594899</v>
      </c>
      <c r="AL2704">
        <v>91.8498096225089</v>
      </c>
      <c r="AM2704">
        <v>86.277081796878804</v>
      </c>
      <c r="AN2704">
        <v>0.99999999865371103</v>
      </c>
    </row>
    <row r="2705" spans="1:40" x14ac:dyDescent="0.25">
      <c r="A2705" t="str">
        <f>"20190305135639951"</f>
        <v>20190305135639951</v>
      </c>
      <c r="B2705" t="str">
        <f>"1551765399944778"</f>
        <v>1551765399944778</v>
      </c>
      <c r="C2705" t="s">
        <v>40</v>
      </c>
      <c r="D2705">
        <v>4.2981930000000004</v>
      </c>
      <c r="E2705">
        <v>0.54627910000000002</v>
      </c>
      <c r="F2705" t="s">
        <v>42</v>
      </c>
      <c r="G2705">
        <v>-192.71889999999999</v>
      </c>
      <c r="H2705" s="1">
        <v>-2.9093869999999999E-6</v>
      </c>
      <c r="I2705">
        <v>94.684629999999999</v>
      </c>
      <c r="J2705">
        <v>-190.91640000000001</v>
      </c>
      <c r="K2705">
        <v>1.098671</v>
      </c>
      <c r="L2705">
        <v>197.87880000000001</v>
      </c>
      <c r="M2705">
        <v>0.15892490000000001</v>
      </c>
      <c r="N2705">
        <v>-1.556625E-2</v>
      </c>
      <c r="O2705">
        <v>-0.98716809999999999</v>
      </c>
      <c r="P2705">
        <v>0.1004591</v>
      </c>
      <c r="Q2705">
        <v>-4.6989030000000001E-2</v>
      </c>
      <c r="R2705">
        <v>-0.99383100000000002</v>
      </c>
      <c r="S2705">
        <v>-5.1666259999999999E-2</v>
      </c>
      <c r="T2705">
        <v>-3.2094360000000002E-2</v>
      </c>
      <c r="U2705">
        <v>-3.0234679999999998</v>
      </c>
      <c r="V2705">
        <v>5.7965889999999999E-2</v>
      </c>
      <c r="W2705">
        <v>-3.2940030000000002E-2</v>
      </c>
      <c r="X2705">
        <v>0.99777499999999997</v>
      </c>
      <c r="Y2705">
        <v>0.175753399999999</v>
      </c>
      <c r="Z2705">
        <v>-5.2592960000000001E-3</v>
      </c>
      <c r="AA2705">
        <v>0.98442019999999997</v>
      </c>
      <c r="AB2705">
        <v>29</v>
      </c>
      <c r="AC2705">
        <v>-1.80249999999998</v>
      </c>
      <c r="AD2705">
        <v>-1.0986739093869999</v>
      </c>
      <c r="AE2705">
        <v>-103.19417</v>
      </c>
      <c r="AF2705">
        <v>18.179633874014399</v>
      </c>
      <c r="AG2705">
        <v>-1.0986739093869999</v>
      </c>
      <c r="AH2705">
        <v>101.58431415339</v>
      </c>
      <c r="AI2705">
        <v>90.609962088917101</v>
      </c>
      <c r="AJ2705">
        <v>79.853696896338505</v>
      </c>
      <c r="AK2705">
        <v>103.204065104854</v>
      </c>
      <c r="AL2705">
        <v>91.8876661300054</v>
      </c>
      <c r="AM2705">
        <v>86.6751301663802</v>
      </c>
      <c r="AN2705">
        <v>1.00000002030244</v>
      </c>
    </row>
    <row r="2706" spans="1:40" x14ac:dyDescent="0.25">
      <c r="A2706" t="str">
        <f>"20190305135639973"</f>
        <v>20190305135639973</v>
      </c>
      <c r="B2706" t="str">
        <f>"1551765399965278"</f>
        <v>1551765399965278</v>
      </c>
      <c r="C2706" t="s">
        <v>40</v>
      </c>
      <c r="D2706">
        <v>4.3373410000000003</v>
      </c>
      <c r="E2706">
        <v>0.54580150000000005</v>
      </c>
      <c r="F2706" t="s">
        <v>42</v>
      </c>
      <c r="G2706">
        <v>-192.8648</v>
      </c>
      <c r="H2706" s="1">
        <v>-2.633497E-6</v>
      </c>
      <c r="I2706">
        <v>93.951030000000003</v>
      </c>
      <c r="J2706">
        <v>-190.87960000000001</v>
      </c>
      <c r="K2706">
        <v>1.0991690000000001</v>
      </c>
      <c r="L2706">
        <v>197.5729</v>
      </c>
      <c r="M2706">
        <v>0.14753529999999901</v>
      </c>
      <c r="N2706">
        <v>-1.5432919999999999E-2</v>
      </c>
      <c r="O2706">
        <v>-0.98893640000000005</v>
      </c>
      <c r="P2706">
        <v>9.5424949999999994E-2</v>
      </c>
      <c r="Q2706">
        <v>-4.8136989999999998E-2</v>
      </c>
      <c r="R2706">
        <v>-0.99427220000000005</v>
      </c>
      <c r="S2706">
        <v>-5.6671140000000002E-2</v>
      </c>
      <c r="T2706">
        <v>-3.1955839999999999E-2</v>
      </c>
      <c r="U2706">
        <v>-3.0228269999999999</v>
      </c>
      <c r="V2706">
        <v>5.1520660000000003E-2</v>
      </c>
      <c r="W2706">
        <v>-3.3992609999999999E-2</v>
      </c>
      <c r="X2706">
        <v>0.99809320000000001</v>
      </c>
      <c r="Y2706">
        <v>0.1660325</v>
      </c>
      <c r="Z2706">
        <v>-5.1317630000000001E-3</v>
      </c>
      <c r="AA2706">
        <v>0.98610690000000001</v>
      </c>
      <c r="AB2706">
        <v>29</v>
      </c>
      <c r="AC2706">
        <v>-1.9851999999999901</v>
      </c>
      <c r="AD2706">
        <v>-1.0991716334970001</v>
      </c>
      <c r="AE2706">
        <v>-103.62187</v>
      </c>
      <c r="AF2706">
        <v>17.251234217411199</v>
      </c>
      <c r="AG2706">
        <v>-1.0991716334970001</v>
      </c>
      <c r="AH2706">
        <v>102.183227245833</v>
      </c>
      <c r="AI2706">
        <v>90.607700499617494</v>
      </c>
      <c r="AJ2706">
        <v>80.4173166742749</v>
      </c>
      <c r="AK2706">
        <v>103.635057729889</v>
      </c>
      <c r="AL2706">
        <v>91.948008449585799</v>
      </c>
      <c r="AM2706">
        <v>87.045066797460606</v>
      </c>
      <c r="AN2706">
        <v>0.99999995591384205</v>
      </c>
    </row>
    <row r="2707" spans="1:40" x14ac:dyDescent="0.25">
      <c r="A2707" t="str">
        <f>"20190305135639995"</f>
        <v>20190305135639995</v>
      </c>
      <c r="B2707" t="str">
        <f>"1551765399985070"</f>
        <v>1551765399985070</v>
      </c>
      <c r="C2707" t="s">
        <v>40</v>
      </c>
      <c r="D2707">
        <v>4.3621470000000002</v>
      </c>
      <c r="E2707">
        <v>0.54519609999999996</v>
      </c>
      <c r="F2707" t="s">
        <v>42</v>
      </c>
      <c r="G2707">
        <v>-192.8905</v>
      </c>
      <c r="H2707" s="1">
        <v>-4.435687E-6</v>
      </c>
      <c r="I2707">
        <v>108.5146</v>
      </c>
      <c r="J2707">
        <v>-190.84819999999999</v>
      </c>
      <c r="K2707">
        <v>1.0995980000000001</v>
      </c>
      <c r="L2707">
        <v>197.28829999999999</v>
      </c>
      <c r="M2707">
        <v>0.137302799999999</v>
      </c>
      <c r="N2707">
        <v>-1.531919E-2</v>
      </c>
      <c r="O2707">
        <v>-0.99041069999999998</v>
      </c>
      <c r="P2707">
        <v>9.2273140000000003E-2</v>
      </c>
      <c r="Q2707">
        <v>-4.9209929999999999E-2</v>
      </c>
      <c r="R2707">
        <v>-0.99451730000000005</v>
      </c>
      <c r="S2707">
        <v>-6.8237300000000001E-2</v>
      </c>
      <c r="T2707">
        <v>-3.7298440000000002E-2</v>
      </c>
      <c r="U2707">
        <v>-3.0220340000000001</v>
      </c>
      <c r="V2707">
        <v>4.4370020000000003E-2</v>
      </c>
      <c r="W2707">
        <v>-3.495529E-2</v>
      </c>
      <c r="X2707">
        <v>0.99840340000000005</v>
      </c>
      <c r="Y2707">
        <v>0.15961020000000001</v>
      </c>
      <c r="Z2707">
        <v>-3.258197E-3</v>
      </c>
      <c r="AA2707">
        <v>0.98717469999999996</v>
      </c>
      <c r="AB2707">
        <v>29</v>
      </c>
      <c r="AC2707">
        <v>-2.0423000000000102</v>
      </c>
      <c r="AD2707">
        <v>-1.09960243568699</v>
      </c>
      <c r="AE2707">
        <v>-88.773699999999906</v>
      </c>
      <c r="AF2707">
        <v>14.2110813508581</v>
      </c>
      <c r="AG2707">
        <v>-1.09960243568699</v>
      </c>
      <c r="AH2707">
        <v>87.638851389761797</v>
      </c>
      <c r="AI2707">
        <v>90.709583478124898</v>
      </c>
      <c r="AJ2707">
        <v>80.789371138432301</v>
      </c>
      <c r="AK2707">
        <v>88.790383666217096</v>
      </c>
      <c r="AL2707">
        <v>92.003198752189206</v>
      </c>
      <c r="AM2707">
        <v>87.455394043743496</v>
      </c>
      <c r="AN2707">
        <v>0.999999960052671</v>
      </c>
    </row>
    <row r="2708" spans="1:40" x14ac:dyDescent="0.25">
      <c r="A2708" t="str">
        <f>"20190305135640019"</f>
        <v>20190305135640019</v>
      </c>
      <c r="B2708" t="str">
        <f>"1551765400015322"</f>
        <v>1551765400015322</v>
      </c>
      <c r="C2708" t="s">
        <v>40</v>
      </c>
      <c r="D2708">
        <v>4.4069820000000002</v>
      </c>
      <c r="E2708">
        <v>0.54408619999999996</v>
      </c>
      <c r="F2708" t="s">
        <v>42</v>
      </c>
      <c r="G2708">
        <v>-192.90690000000001</v>
      </c>
      <c r="H2708" s="1">
        <v>-1.78792E-6</v>
      </c>
      <c r="I2708">
        <v>111.9539</v>
      </c>
      <c r="J2708">
        <v>-190.81720000000001</v>
      </c>
      <c r="K2708">
        <v>1.10006</v>
      </c>
      <c r="L2708">
        <v>196.98099999999999</v>
      </c>
      <c r="M2708">
        <v>0.1266978</v>
      </c>
      <c r="N2708">
        <v>-1.520058E-2</v>
      </c>
      <c r="O2708">
        <v>-0.99182499999999996</v>
      </c>
      <c r="P2708">
        <v>8.8568279999999999E-2</v>
      </c>
      <c r="Q2708">
        <v>-5.0494789999999998E-2</v>
      </c>
      <c r="R2708">
        <v>-0.99478949999999999</v>
      </c>
      <c r="S2708">
        <v>-7.2891239999999996E-2</v>
      </c>
      <c r="T2708">
        <v>-3.8932799999999997E-2</v>
      </c>
      <c r="U2708">
        <v>-3.0213779999999999</v>
      </c>
      <c r="V2708">
        <v>3.7410369999999998E-2</v>
      </c>
      <c r="W2708">
        <v>-3.6151969999999999E-2</v>
      </c>
      <c r="X2708">
        <v>0.99864580000000003</v>
      </c>
      <c r="Y2708">
        <v>0.15056700000000001</v>
      </c>
      <c r="Z2708">
        <v>-2.5705649999999999E-3</v>
      </c>
      <c r="AA2708">
        <v>0.98859640000000004</v>
      </c>
      <c r="AB2708">
        <v>29</v>
      </c>
      <c r="AC2708">
        <v>-2.0896999999999899</v>
      </c>
      <c r="AD2708">
        <v>-1.1000617879200001</v>
      </c>
      <c r="AE2708">
        <v>-85.027099999999905</v>
      </c>
      <c r="AF2708">
        <v>12.8446973351178</v>
      </c>
      <c r="AG2708">
        <v>-1.1000617879200001</v>
      </c>
      <c r="AH2708">
        <v>84.062885188246497</v>
      </c>
      <c r="AI2708">
        <v>90.741138960352899</v>
      </c>
      <c r="AJ2708">
        <v>81.312475501242801</v>
      </c>
      <c r="AK2708">
        <v>85.045664508782195</v>
      </c>
      <c r="AL2708">
        <v>92.071806833582201</v>
      </c>
      <c r="AM2708">
        <v>87.854640261128694</v>
      </c>
      <c r="AN2708">
        <v>0.99999996728802798</v>
      </c>
    </row>
    <row r="2709" spans="1:40" x14ac:dyDescent="0.25">
      <c r="A2709" t="str">
        <f>"20190305135640040"</f>
        <v>20190305135640040</v>
      </c>
      <c r="B2709" t="str">
        <f>"1551765400034843"</f>
        <v>1551765400034843</v>
      </c>
      <c r="C2709" t="s">
        <v>40</v>
      </c>
      <c r="D2709">
        <v>4.4130250000000002</v>
      </c>
      <c r="E2709">
        <v>0.54352959999999995</v>
      </c>
      <c r="F2709" t="s">
        <v>42</v>
      </c>
      <c r="G2709">
        <v>-192.88130000000001</v>
      </c>
      <c r="H2709" s="1">
        <v>-2.703882E-6</v>
      </c>
      <c r="I2709">
        <v>114.1049</v>
      </c>
      <c r="J2709">
        <v>-190.7903</v>
      </c>
      <c r="K2709">
        <v>1.1005149999999999</v>
      </c>
      <c r="L2709">
        <v>196.68729999999999</v>
      </c>
      <c r="M2709">
        <v>0.117016</v>
      </c>
      <c r="N2709">
        <v>-1.50877999999999E-2</v>
      </c>
      <c r="O2709">
        <v>-0.99301550000000005</v>
      </c>
      <c r="P2709">
        <v>8.4815470000000004E-2</v>
      </c>
      <c r="Q2709">
        <v>-5.2899950000000001E-2</v>
      </c>
      <c r="R2709">
        <v>-0.99499159999999998</v>
      </c>
      <c r="S2709">
        <v>-7.5225829999999994E-2</v>
      </c>
      <c r="T2709">
        <v>-4.0091509999999997E-2</v>
      </c>
      <c r="U2709">
        <v>-3.0204010000000001</v>
      </c>
      <c r="V2709">
        <v>3.1411599999999998E-2</v>
      </c>
      <c r="W2709">
        <v>-3.8500939999999997E-2</v>
      </c>
      <c r="X2709">
        <v>0.99876480000000001</v>
      </c>
      <c r="Y2709">
        <v>0.1416896</v>
      </c>
      <c r="Z2709">
        <v>-2.0434799999999999E-3</v>
      </c>
      <c r="AA2709">
        <v>0.98990900000000004</v>
      </c>
      <c r="AB2709">
        <v>29</v>
      </c>
      <c r="AC2709">
        <v>-2.0910000000000002</v>
      </c>
      <c r="AD2709">
        <v>-1.100517703882</v>
      </c>
      <c r="AE2709">
        <v>-82.582399999999893</v>
      </c>
      <c r="AF2709">
        <v>11.7391095886787</v>
      </c>
      <c r="AG2709">
        <v>-1.100517703882</v>
      </c>
      <c r="AH2709">
        <v>81.755713825306202</v>
      </c>
      <c r="AI2709">
        <v>90.7633863067866</v>
      </c>
      <c r="AJ2709">
        <v>81.828884817735798</v>
      </c>
      <c r="AK2709">
        <v>82.601541004008695</v>
      </c>
      <c r="AL2709">
        <v>92.206486568277498</v>
      </c>
      <c r="AM2709">
        <v>88.198615867306302</v>
      </c>
      <c r="AN2709">
        <v>1.0000000683572301</v>
      </c>
    </row>
    <row r="2710" spans="1:40" x14ac:dyDescent="0.25">
      <c r="A2710" t="str">
        <f>"20190305135640063"</f>
        <v>20190305135640063</v>
      </c>
      <c r="B2710" t="str">
        <f>"1551765400055338"</f>
        <v>1551765400055338</v>
      </c>
      <c r="C2710" t="s">
        <v>40</v>
      </c>
      <c r="D2710">
        <v>4.4070769999999904</v>
      </c>
      <c r="E2710">
        <v>0.54284750000000004</v>
      </c>
      <c r="F2710" t="s">
        <v>73</v>
      </c>
      <c r="G2710">
        <v>-192.8312</v>
      </c>
      <c r="H2710" s="1">
        <v>-1.883061E-6</v>
      </c>
      <c r="I2710">
        <v>121.6567</v>
      </c>
      <c r="J2710">
        <v>-190.76480000000001</v>
      </c>
      <c r="K2710">
        <v>1.1010120000000001</v>
      </c>
      <c r="L2710">
        <v>196.3828</v>
      </c>
      <c r="M2710">
        <v>0.1074859</v>
      </c>
      <c r="N2710">
        <v>-1.497193E-2</v>
      </c>
      <c r="O2710">
        <v>-0.99409409999999998</v>
      </c>
      <c r="P2710">
        <v>8.0779459999999997E-2</v>
      </c>
      <c r="Q2710">
        <v>-5.5154139999999997E-2</v>
      </c>
      <c r="R2710">
        <v>-0.99520520000000001</v>
      </c>
      <c r="S2710">
        <v>-8.2138059999999999E-2</v>
      </c>
      <c r="T2710">
        <v>-4.4292089999999999E-2</v>
      </c>
      <c r="U2710">
        <v>-3.01973</v>
      </c>
      <c r="V2710">
        <v>2.5873529999999999E-2</v>
      </c>
      <c r="W2710">
        <v>-4.0722000000000001E-2</v>
      </c>
      <c r="X2710">
        <v>0.99883540000000004</v>
      </c>
      <c r="Y2710">
        <v>0.1344611</v>
      </c>
      <c r="Z2710">
        <v>-5.2471760000000005E-4</v>
      </c>
      <c r="AA2710">
        <v>0.99091879999999999</v>
      </c>
      <c r="AB2710">
        <v>29</v>
      </c>
      <c r="AC2710">
        <v>-2.0663999999999798</v>
      </c>
      <c r="AD2710">
        <v>-1.1010138830609999</v>
      </c>
      <c r="AE2710">
        <v>-74.726100000000002</v>
      </c>
      <c r="AF2710">
        <v>10.085138783512001</v>
      </c>
      <c r="AG2710">
        <v>-1.1010138830609999</v>
      </c>
      <c r="AH2710">
        <v>74.054887289136204</v>
      </c>
      <c r="AI2710">
        <v>90.843995069761206</v>
      </c>
      <c r="AJ2710">
        <v>82.244902265255604</v>
      </c>
      <c r="AK2710">
        <v>74.746562377543896</v>
      </c>
      <c r="AL2710">
        <v>92.333844208433604</v>
      </c>
      <c r="AM2710">
        <v>88.516159289660806</v>
      </c>
      <c r="AN2710">
        <v>0.99999993856590796</v>
      </c>
    </row>
    <row r="2711" spans="1:40" x14ac:dyDescent="0.25">
      <c r="A2711" t="str">
        <f>"20190305135640085"</f>
        <v>20190305135640085</v>
      </c>
      <c r="B2711" t="str">
        <f>"1551765400075366"</f>
        <v>1551765400075366</v>
      </c>
      <c r="C2711" t="s">
        <v>40</v>
      </c>
      <c r="D2711">
        <v>4.4549770000000004</v>
      </c>
      <c r="E2711">
        <v>0.54244389999999998</v>
      </c>
      <c r="F2711" t="s">
        <v>73</v>
      </c>
      <c r="G2711">
        <v>-192.72389999999999</v>
      </c>
      <c r="H2711" s="1">
        <v>-5.3326249999999996E-6</v>
      </c>
      <c r="I2711">
        <v>129.7758</v>
      </c>
      <c r="J2711">
        <v>-190.74350000000001</v>
      </c>
      <c r="K2711">
        <v>1.1014900000000001</v>
      </c>
      <c r="L2711">
        <v>196.10210000000001</v>
      </c>
      <c r="M2711">
        <v>9.9203689999999997E-2</v>
      </c>
      <c r="N2711">
        <v>-1.486708E-2</v>
      </c>
      <c r="O2711">
        <v>-0.99495619999999996</v>
      </c>
      <c r="P2711">
        <v>7.6760490000000001E-2</v>
      </c>
      <c r="Q2711">
        <v>-5.7654089999999998E-2</v>
      </c>
      <c r="R2711">
        <v>-0.99538139999999997</v>
      </c>
      <c r="S2711">
        <v>-8.8790889999999997E-2</v>
      </c>
      <c r="T2711">
        <v>-4.9902200000000001E-2</v>
      </c>
      <c r="U2711">
        <v>-3.018875</v>
      </c>
      <c r="V2711">
        <v>2.1577860000000001E-2</v>
      </c>
      <c r="W2711">
        <v>-4.3216190000000002E-2</v>
      </c>
      <c r="X2711">
        <v>0.99883270000000002</v>
      </c>
      <c r="Y2711">
        <v>0.1283958</v>
      </c>
      <c r="Z2711">
        <v>1.444887E-3</v>
      </c>
      <c r="AA2711">
        <v>0.99172190000000005</v>
      </c>
      <c r="AB2711">
        <v>29</v>
      </c>
      <c r="AC2711">
        <v>-1.98039999999997</v>
      </c>
      <c r="AD2711">
        <v>-1.1014953326250001</v>
      </c>
      <c r="AE2711">
        <v>-66.326300000000003</v>
      </c>
      <c r="AF2711">
        <v>8.5488133522939407</v>
      </c>
      <c r="AG2711">
        <v>-1.1014953326250001</v>
      </c>
      <c r="AH2711">
        <v>65.784437861823704</v>
      </c>
      <c r="AI2711">
        <v>90.951274299899794</v>
      </c>
      <c r="AJ2711">
        <v>82.595797447274606</v>
      </c>
      <c r="AK2711">
        <v>66.346723856542496</v>
      </c>
      <c r="AL2711">
        <v>92.4768766802123</v>
      </c>
      <c r="AM2711">
        <v>88.762427346003093</v>
      </c>
      <c r="AN2711">
        <v>1.00000000285479</v>
      </c>
    </row>
    <row r="2712" spans="1:40" x14ac:dyDescent="0.25">
      <c r="A2712" t="str">
        <f>"20190305135640106"</f>
        <v>20190305135640106</v>
      </c>
      <c r="B2712" t="str">
        <f>"1551765400094887"</f>
        <v>1551765400094887</v>
      </c>
      <c r="C2712" t="s">
        <v>40</v>
      </c>
      <c r="D2712">
        <v>4.4292230000000004</v>
      </c>
      <c r="E2712">
        <v>0.58451560000000002</v>
      </c>
      <c r="F2712" t="s">
        <v>73</v>
      </c>
      <c r="G2712">
        <v>-192.6421</v>
      </c>
      <c r="H2712" s="1">
        <v>-7.7900819999999993E-6</v>
      </c>
      <c r="I2712">
        <v>137.5975</v>
      </c>
      <c r="J2712">
        <v>-190.7235</v>
      </c>
      <c r="K2712">
        <v>1.1019969999999999</v>
      </c>
      <c r="L2712">
        <v>195.8143</v>
      </c>
      <c r="M2712">
        <v>9.1253050000000002E-2</v>
      </c>
      <c r="N2712">
        <v>-1.4762030000000001E-2</v>
      </c>
      <c r="O2712">
        <v>-0.99571849999999995</v>
      </c>
      <c r="P2712">
        <v>7.1721679999999996E-2</v>
      </c>
      <c r="Q2712">
        <v>-6.0649509999999997E-2</v>
      </c>
      <c r="R2712">
        <v>-0.99557929999999994</v>
      </c>
      <c r="S2712">
        <v>-9.7946169999999999E-2</v>
      </c>
      <c r="T2712">
        <v>-5.682504E-2</v>
      </c>
      <c r="U2712">
        <v>-3.0181879999999999</v>
      </c>
      <c r="V2712">
        <v>1.8642140000000001E-2</v>
      </c>
      <c r="W2712">
        <v>-4.6239349999999999E-2</v>
      </c>
      <c r="X2712">
        <v>0.99875639999999999</v>
      </c>
      <c r="Y2712">
        <v>0.1234836</v>
      </c>
      <c r="Z2712">
        <v>3.846014E-3</v>
      </c>
      <c r="AA2712">
        <v>0.99233919999999998</v>
      </c>
      <c r="AB2712">
        <v>29</v>
      </c>
      <c r="AC2712">
        <v>-1.9185999999999901</v>
      </c>
      <c r="AD2712">
        <v>-1.10200479008199</v>
      </c>
      <c r="AE2712">
        <v>-58.216799999999999</v>
      </c>
      <c r="AF2712">
        <v>7.2210472332547502</v>
      </c>
      <c r="AG2712">
        <v>-1.10200479008199</v>
      </c>
      <c r="AH2712">
        <v>57.778073517095002</v>
      </c>
      <c r="AI2712">
        <v>91.084240542168402</v>
      </c>
      <c r="AJ2712">
        <v>82.876167004064399</v>
      </c>
      <c r="AK2712">
        <v>58.237992041699798</v>
      </c>
      <c r="AL2712">
        <v>92.650264648791506</v>
      </c>
      <c r="AM2712">
        <v>88.930678264692702</v>
      </c>
      <c r="AN2712">
        <v>0.99999997670658003</v>
      </c>
    </row>
    <row r="2713" spans="1:40" x14ac:dyDescent="0.25">
      <c r="A2713" t="str">
        <f>"20190305135640130"</f>
        <v>20190305135640130</v>
      </c>
      <c r="B2713" t="str">
        <f>"1551765400125143"</f>
        <v>1551765400125143</v>
      </c>
      <c r="C2713" t="s">
        <v>40</v>
      </c>
      <c r="D2713">
        <v>4.7271679999999998</v>
      </c>
      <c r="E2713">
        <v>0.61065740000000002</v>
      </c>
      <c r="F2713" t="s">
        <v>77</v>
      </c>
      <c r="G2713">
        <v>-210.476</v>
      </c>
      <c r="H2713">
        <v>6.8225910000000001</v>
      </c>
      <c r="I2713">
        <v>56.513240000000003</v>
      </c>
      <c r="J2713">
        <v>-190.70419999999999</v>
      </c>
      <c r="K2713">
        <v>1.1025450000000001</v>
      </c>
      <c r="L2713">
        <v>195.5112</v>
      </c>
      <c r="M2713">
        <v>8.3507899999999996E-2</v>
      </c>
      <c r="N2713">
        <v>-1.4654489999999999E-2</v>
      </c>
      <c r="O2713">
        <v>-0.99639949999999999</v>
      </c>
      <c r="P2713">
        <v>6.5227229999999997E-2</v>
      </c>
      <c r="Q2713">
        <v>-6.4827549999999998E-2</v>
      </c>
      <c r="R2713">
        <v>-0.99576240000000005</v>
      </c>
      <c r="S2713">
        <v>-0.43278499999999998</v>
      </c>
      <c r="T2713">
        <v>0.1253407</v>
      </c>
      <c r="U2713">
        <v>-3.0521389999999999</v>
      </c>
      <c r="V2713">
        <v>1.7364029999999999E-2</v>
      </c>
      <c r="W2713">
        <v>-5.0481489999999997E-2</v>
      </c>
      <c r="X2713">
        <v>0.99857399999999996</v>
      </c>
      <c r="Y2713">
        <v>0.2224217</v>
      </c>
      <c r="Z2713">
        <v>-5.4826640000000003E-2</v>
      </c>
      <c r="AA2713">
        <v>0.97340769999999999</v>
      </c>
      <c r="AB2713">
        <v>29</v>
      </c>
      <c r="AC2713">
        <v>-19.771799999999999</v>
      </c>
      <c r="AD2713">
        <v>5.720046</v>
      </c>
      <c r="AE2713">
        <v>-138.99796000000001</v>
      </c>
      <c r="AF2713">
        <v>31.2595094584869</v>
      </c>
      <c r="AG2713">
        <v>5.720046</v>
      </c>
      <c r="AH2713">
        <v>136.63427368760901</v>
      </c>
      <c r="AI2713">
        <v>87.663083144205103</v>
      </c>
      <c r="AJ2713">
        <v>77.113514390858398</v>
      </c>
      <c r="AK2713">
        <v>140.281148426892</v>
      </c>
      <c r="AL2713">
        <v>92.893606321126498</v>
      </c>
      <c r="AM2713">
        <v>89.003794032713301</v>
      </c>
      <c r="AN2713">
        <v>0.99999996192322904</v>
      </c>
    </row>
    <row r="2714" spans="1:40" x14ac:dyDescent="0.25">
      <c r="A2714" t="str">
        <f>"20190305135640152"</f>
        <v>20190305135640152</v>
      </c>
      <c r="B2714" t="str">
        <f>"1551765400144663"</f>
        <v>1551765400144663</v>
      </c>
      <c r="C2714" t="s">
        <v>40</v>
      </c>
      <c r="D2714">
        <v>4.617998</v>
      </c>
      <c r="E2714">
        <v>0.61505159999999903</v>
      </c>
      <c r="F2714" t="s">
        <v>79</v>
      </c>
      <c r="G2714">
        <v>-209.9419</v>
      </c>
      <c r="H2714">
        <v>0.28408329999999998</v>
      </c>
      <c r="I2714">
        <v>108.2902</v>
      </c>
      <c r="J2714">
        <v>-190.68709999999999</v>
      </c>
      <c r="K2714">
        <v>1.1030990000000001</v>
      </c>
      <c r="L2714">
        <v>195.21539999999999</v>
      </c>
      <c r="M2714">
        <v>7.6684119999999995E-2</v>
      </c>
      <c r="N2714">
        <v>-1.455238E-2</v>
      </c>
      <c r="O2714">
        <v>-0.99694939999999999</v>
      </c>
      <c r="P2714">
        <v>5.8993820000000002E-2</v>
      </c>
      <c r="Q2714">
        <v>-6.718797E-2</v>
      </c>
      <c r="R2714">
        <v>-0.9959945</v>
      </c>
      <c r="S2714">
        <v>-0.67382810000000004</v>
      </c>
      <c r="T2714">
        <v>-2.8666850000000001E-2</v>
      </c>
      <c r="U2714">
        <v>-3.0550380000000001</v>
      </c>
      <c r="V2714">
        <v>1.6798420000000001E-2</v>
      </c>
      <c r="W2714">
        <v>-5.2913130000000003E-2</v>
      </c>
      <c r="X2714">
        <v>0.99845779999999995</v>
      </c>
      <c r="Y2714">
        <v>0.28959119999999999</v>
      </c>
      <c r="Z2714">
        <v>-5.6430899999999999E-3</v>
      </c>
      <c r="AA2714">
        <v>0.95713380000000003</v>
      </c>
      <c r="AB2714">
        <v>29</v>
      </c>
      <c r="AC2714">
        <v>-19.254799999999999</v>
      </c>
      <c r="AD2714">
        <v>-0.81901569999999901</v>
      </c>
      <c r="AE2714">
        <v>-86.925199999999904</v>
      </c>
      <c r="AF2714">
        <v>25.862389756471298</v>
      </c>
      <c r="AG2714">
        <v>-0.81901569999999901</v>
      </c>
      <c r="AH2714">
        <v>85.185286939729295</v>
      </c>
      <c r="AI2714">
        <v>90.527098903747998</v>
      </c>
      <c r="AJ2714">
        <v>73.111625847850107</v>
      </c>
      <c r="AK2714">
        <v>89.028462311984697</v>
      </c>
      <c r="AL2714">
        <v>93.033115560373602</v>
      </c>
      <c r="AM2714">
        <v>89.0361257420507</v>
      </c>
      <c r="AN2714">
        <v>0.99999998231086595</v>
      </c>
    </row>
    <row r="2715" spans="1:40" x14ac:dyDescent="0.25">
      <c r="A2715" t="str">
        <f>"20190305135640174"</f>
        <v>20190305135640174</v>
      </c>
      <c r="B2715" t="str">
        <f>"1551765400165159"</f>
        <v>1551765400165159</v>
      </c>
      <c r="C2715" t="s">
        <v>40</v>
      </c>
      <c r="D2715">
        <v>4.6253979999999997</v>
      </c>
      <c r="E2715">
        <v>0.61688849999999995</v>
      </c>
      <c r="F2715" t="s">
        <v>73</v>
      </c>
      <c r="G2715">
        <v>-199.98500000000001</v>
      </c>
      <c r="H2715">
        <v>7.7216209999999993E-2</v>
      </c>
      <c r="I2715">
        <v>156.46350000000001</v>
      </c>
      <c r="J2715">
        <v>-190.67140000000001</v>
      </c>
      <c r="K2715">
        <v>1.10365</v>
      </c>
      <c r="L2715">
        <v>194.91980000000001</v>
      </c>
      <c r="M2715">
        <v>7.0542809999999997E-2</v>
      </c>
      <c r="N2715">
        <v>-1.445483E-2</v>
      </c>
      <c r="O2715">
        <v>-0.99740399999999996</v>
      </c>
      <c r="P2715">
        <v>5.2348980000000003E-2</v>
      </c>
      <c r="Q2715">
        <v>-6.7658830000000003E-2</v>
      </c>
      <c r="R2715">
        <v>-0.99633419999999895</v>
      </c>
      <c r="S2715">
        <v>-0.73179629999999996</v>
      </c>
      <c r="T2715">
        <v>-8.074307E-2</v>
      </c>
      <c r="U2715">
        <v>-3.0500029999999998</v>
      </c>
      <c r="V2715">
        <v>1.7370750000000001E-2</v>
      </c>
      <c r="W2715">
        <v>-5.346571E-2</v>
      </c>
      <c r="X2715">
        <v>0.99841860000000004</v>
      </c>
      <c r="Y2715">
        <v>0.30123270000000002</v>
      </c>
      <c r="Z2715">
        <v>1.081621E-2</v>
      </c>
      <c r="AA2715">
        <v>0.95348929999999998</v>
      </c>
      <c r="AB2715">
        <v>29</v>
      </c>
      <c r="AC2715">
        <v>-9.3135999999999992</v>
      </c>
      <c r="AD2715">
        <v>-1.02643379</v>
      </c>
      <c r="AE2715">
        <v>-38.456299999999999</v>
      </c>
      <c r="AF2715">
        <v>11.9954194954739</v>
      </c>
      <c r="AG2715">
        <v>-1.02643379</v>
      </c>
      <c r="AH2715">
        <v>37.678044776278497</v>
      </c>
      <c r="AI2715">
        <v>91.486974831326606</v>
      </c>
      <c r="AJ2715">
        <v>72.340278282551097</v>
      </c>
      <c r="AK2715">
        <v>39.554755888020502</v>
      </c>
      <c r="AL2715">
        <v>93.064820849995399</v>
      </c>
      <c r="AM2715">
        <v>89.003253487522798</v>
      </c>
      <c r="AN2715">
        <v>1.0000000129636599</v>
      </c>
    </row>
    <row r="2716" spans="1:40" x14ac:dyDescent="0.25">
      <c r="A2716" t="str">
        <f>"20190305135640196"</f>
        <v>20190305135640196</v>
      </c>
      <c r="B2716" t="str">
        <f>"1551765400184678"</f>
        <v>1551765400184678</v>
      </c>
      <c r="C2716" t="s">
        <v>40</v>
      </c>
      <c r="D2716">
        <v>4.6690659999999999</v>
      </c>
      <c r="E2716">
        <v>0.61699499999999996</v>
      </c>
      <c r="F2716" t="s">
        <v>42</v>
      </c>
      <c r="G2716">
        <v>-198.68819999999999</v>
      </c>
      <c r="H2716" s="1">
        <v>-3.802659E-6</v>
      </c>
      <c r="I2716">
        <v>163.17519999999999</v>
      </c>
      <c r="J2716">
        <v>-190.6574</v>
      </c>
      <c r="K2716">
        <v>1.1041219999999901</v>
      </c>
      <c r="L2716">
        <v>194.63579999999999</v>
      </c>
      <c r="M2716">
        <v>6.5169099999999994E-2</v>
      </c>
      <c r="N2716">
        <v>-1.4367649999999999E-2</v>
      </c>
      <c r="O2716">
        <v>-0.99777099999999996</v>
      </c>
      <c r="P2716">
        <v>4.5066130000000003E-2</v>
      </c>
      <c r="Q2716">
        <v>-6.8910669999999993E-2</v>
      </c>
      <c r="R2716">
        <v>-0.99660490000000002</v>
      </c>
      <c r="S2716">
        <v>-0.7687988</v>
      </c>
      <c r="T2716">
        <v>-0.10583869999999999</v>
      </c>
      <c r="U2716">
        <v>-3.0442499999999999</v>
      </c>
      <c r="V2716">
        <v>1.9328580000000001E-2</v>
      </c>
      <c r="W2716">
        <v>-5.4808580000000003E-2</v>
      </c>
      <c r="X2716">
        <v>0.99830980000000002</v>
      </c>
      <c r="Y2716">
        <v>0.3073765</v>
      </c>
      <c r="Z2716">
        <v>1.8792329999999999E-2</v>
      </c>
      <c r="AA2716">
        <v>0.95140239999999998</v>
      </c>
      <c r="AB2716">
        <v>29</v>
      </c>
      <c r="AC2716">
        <v>-8.0307999999999993</v>
      </c>
      <c r="AD2716">
        <v>-1.10412580265899</v>
      </c>
      <c r="AE2716">
        <v>-31.460599999999999</v>
      </c>
      <c r="AF2716">
        <v>10.0525708418562</v>
      </c>
      <c r="AG2716">
        <v>-1.10412580265899</v>
      </c>
      <c r="AH2716">
        <v>30.834638889858599</v>
      </c>
      <c r="AI2716">
        <v>91.949848603202</v>
      </c>
      <c r="AJ2716">
        <v>71.943227745163796</v>
      </c>
      <c r="AK2716">
        <v>32.450704611558301</v>
      </c>
      <c r="AL2716">
        <v>93.1418746286013</v>
      </c>
      <c r="AM2716">
        <v>88.890817549843803</v>
      </c>
      <c r="AN2716">
        <v>1.0000000156112301</v>
      </c>
    </row>
    <row r="2717" spans="1:40" x14ac:dyDescent="0.25">
      <c r="A2717" t="str">
        <f>"20190305135640219"</f>
        <v>20190305135640219</v>
      </c>
      <c r="B2717" t="str">
        <f>"1551765400214935"</f>
        <v>1551765400214935</v>
      </c>
      <c r="C2717" t="s">
        <v>40</v>
      </c>
      <c r="D2717">
        <v>4.6751269999999998</v>
      </c>
      <c r="E2717">
        <v>0.61675449999999998</v>
      </c>
      <c r="F2717" t="s">
        <v>42</v>
      </c>
      <c r="G2717">
        <v>-197.7621</v>
      </c>
      <c r="H2717" s="1">
        <v>-5.2683250000000001E-6</v>
      </c>
      <c r="I2717">
        <v>167.41970000000001</v>
      </c>
      <c r="J2717">
        <v>-190.64349999999999</v>
      </c>
      <c r="K2717">
        <v>1.104589</v>
      </c>
      <c r="L2717">
        <v>194.33179999999999</v>
      </c>
      <c r="M2717">
        <v>5.9983639999999998E-2</v>
      </c>
      <c r="N2717">
        <v>-1.4281490000000001E-2</v>
      </c>
      <c r="O2717">
        <v>-0.99809729999999997</v>
      </c>
      <c r="P2717">
        <v>3.9075350000000002E-2</v>
      </c>
      <c r="Q2717">
        <v>-6.9817749999999998E-2</v>
      </c>
      <c r="R2717">
        <v>-0.99679430000000002</v>
      </c>
      <c r="S2717">
        <v>-0.79293819999999904</v>
      </c>
      <c r="T2717">
        <v>-0.1232294</v>
      </c>
      <c r="U2717">
        <v>-3.0375369999999999</v>
      </c>
      <c r="V2717">
        <v>2.0188419999999999E-2</v>
      </c>
      <c r="W2717">
        <v>-5.5789390000000001E-2</v>
      </c>
      <c r="X2717">
        <v>0.99823839999999997</v>
      </c>
      <c r="Y2717">
        <v>0.309979</v>
      </c>
      <c r="Z2717">
        <v>2.4394260000000001E-2</v>
      </c>
      <c r="AA2717">
        <v>0.95043040000000001</v>
      </c>
      <c r="AB2717">
        <v>29</v>
      </c>
      <c r="AC2717">
        <v>-7.1186000000000096</v>
      </c>
      <c r="AD2717">
        <v>-1.1045942683249901</v>
      </c>
      <c r="AE2717">
        <v>-26.912099999999899</v>
      </c>
      <c r="AF2717">
        <v>8.7065212121357405</v>
      </c>
      <c r="AG2717">
        <v>-1.1045942683249901</v>
      </c>
      <c r="AH2717">
        <v>26.395029360153501</v>
      </c>
      <c r="AI2717">
        <v>92.275869604025601</v>
      </c>
      <c r="AJ2717">
        <v>71.744624310623905</v>
      </c>
      <c r="AK2717">
        <v>27.815844675982</v>
      </c>
      <c r="AL2717">
        <v>93.198157184064897</v>
      </c>
      <c r="AM2717">
        <v>88.841405423018998</v>
      </c>
      <c r="AN2717">
        <v>0.99999996578661299</v>
      </c>
    </row>
    <row r="2718" spans="1:40" x14ac:dyDescent="0.25">
      <c r="A2718" t="str">
        <f>"20190305135640241"</f>
        <v>20190305135640241</v>
      </c>
      <c r="B2718" t="str">
        <f>"1551765400235431"</f>
        <v>1551765400235431</v>
      </c>
      <c r="C2718" t="s">
        <v>40</v>
      </c>
      <c r="D2718">
        <v>4.6893589999999996</v>
      </c>
      <c r="E2718">
        <v>0.61654169999999997</v>
      </c>
      <c r="F2718" t="s">
        <v>42</v>
      </c>
      <c r="G2718">
        <v>-197.1157</v>
      </c>
      <c r="H2718" s="1">
        <v>-2.1193679999999999E-6</v>
      </c>
      <c r="I2718">
        <v>170.11600000000001</v>
      </c>
      <c r="J2718">
        <v>-190.6311</v>
      </c>
      <c r="K2718">
        <v>1.1050260000000001</v>
      </c>
      <c r="L2718">
        <v>194.03989999999999</v>
      </c>
      <c r="M2718">
        <v>5.5551089999999997E-2</v>
      </c>
      <c r="N2718">
        <v>-1.420342E-2</v>
      </c>
      <c r="O2718">
        <v>-0.99835510000000005</v>
      </c>
      <c r="P2718">
        <v>3.4241870000000001E-2</v>
      </c>
      <c r="Q2718">
        <v>-6.9553550000000006E-2</v>
      </c>
      <c r="R2718">
        <v>-0.99699090000000001</v>
      </c>
      <c r="S2718">
        <v>-0.81030269999999904</v>
      </c>
      <c r="T2718">
        <v>-0.13829149999999901</v>
      </c>
      <c r="U2718">
        <v>-3.0317379999999998</v>
      </c>
      <c r="V2718">
        <v>2.06562E-2</v>
      </c>
      <c r="W2718">
        <v>-5.5586009999999998E-2</v>
      </c>
      <c r="X2718">
        <v>0.99824020000000002</v>
      </c>
      <c r="Y2718">
        <v>0.311245099999999</v>
      </c>
      <c r="Z2718">
        <v>2.926919E-2</v>
      </c>
      <c r="AA2718">
        <v>0.94987889999999997</v>
      </c>
      <c r="AB2718">
        <v>29</v>
      </c>
      <c r="AC2718">
        <v>-6.4846000000000004</v>
      </c>
      <c r="AD2718">
        <v>-1.1050281193680001</v>
      </c>
      <c r="AE2718">
        <v>-23.9239</v>
      </c>
      <c r="AF2718">
        <v>7.7882385512846302</v>
      </c>
      <c r="AG2718">
        <v>-1.1050281193680001</v>
      </c>
      <c r="AH2718">
        <v>23.480022478790701</v>
      </c>
      <c r="AI2718">
        <v>92.5576608636553</v>
      </c>
      <c r="AJ2718">
        <v>71.649503851209204</v>
      </c>
      <c r="AK2718">
        <v>24.762657419607201</v>
      </c>
      <c r="AL2718">
        <v>93.186486180245396</v>
      </c>
      <c r="AM2718">
        <v>88.814569676130901</v>
      </c>
      <c r="AN2718">
        <v>0.99999999000109996</v>
      </c>
    </row>
    <row r="2719" spans="1:40" x14ac:dyDescent="0.25">
      <c r="A2719" t="str">
        <f>"20190305135640264"</f>
        <v>20190305135640264</v>
      </c>
      <c r="B2719" t="str">
        <f>"1551765400254954"</f>
        <v>1551765400254954</v>
      </c>
      <c r="C2719" t="s">
        <v>40</v>
      </c>
      <c r="D2719">
        <v>4.6540229999999996</v>
      </c>
      <c r="E2719">
        <v>0.61656369999999905</v>
      </c>
      <c r="F2719" t="s">
        <v>42</v>
      </c>
      <c r="G2719">
        <v>-197.0376</v>
      </c>
      <c r="H2719" s="1">
        <v>-2.2580330000000001E-6</v>
      </c>
      <c r="I2719">
        <v>170.48769999999999</v>
      </c>
      <c r="J2719">
        <v>-190.6191</v>
      </c>
      <c r="K2719">
        <v>1.1054919999999999</v>
      </c>
      <c r="L2719">
        <v>193.73480000000001</v>
      </c>
      <c r="M2719">
        <v>5.1455960000000002E-2</v>
      </c>
      <c r="N2719">
        <v>-1.4126700000000001E-2</v>
      </c>
      <c r="O2719">
        <v>-0.99857530000000005</v>
      </c>
      <c r="P2719">
        <v>3.0454459999999999E-2</v>
      </c>
      <c r="Q2719">
        <v>-6.9716420000000001E-2</v>
      </c>
      <c r="R2719">
        <v>-0.99710220000000005</v>
      </c>
      <c r="S2719">
        <v>-0.8234863</v>
      </c>
      <c r="T2719">
        <v>-0.142041</v>
      </c>
      <c r="U2719">
        <v>-3.0274049999999999</v>
      </c>
      <c r="V2719">
        <v>2.041128E-2</v>
      </c>
      <c r="W2719">
        <v>-5.5800620000000002E-2</v>
      </c>
      <c r="X2719">
        <v>0.99823329999999999</v>
      </c>
      <c r="Y2719">
        <v>0.31153029999999998</v>
      </c>
      <c r="Z2719">
        <v>3.0581790000000001E-2</v>
      </c>
      <c r="AA2719">
        <v>0.94974400000000003</v>
      </c>
      <c r="AB2719">
        <v>29</v>
      </c>
      <c r="AC2719">
        <v>-6.4184999999999901</v>
      </c>
      <c r="AD2719">
        <v>-1.1054942580329901</v>
      </c>
      <c r="AE2719">
        <v>-23.2471</v>
      </c>
      <c r="AF2719">
        <v>7.5903677870380299</v>
      </c>
      <c r="AG2719">
        <v>-1.1054942580329901</v>
      </c>
      <c r="AH2719">
        <v>22.8380070205245</v>
      </c>
      <c r="AI2719">
        <v>92.630050397572006</v>
      </c>
      <c r="AJ2719">
        <v>71.615420103084801</v>
      </c>
      <c r="AK2719">
        <v>24.091707398326399</v>
      </c>
      <c r="AL2719">
        <v>93.198801428717502</v>
      </c>
      <c r="AM2719">
        <v>88.828613256840498</v>
      </c>
      <c r="AN2719">
        <v>1.00000002538625</v>
      </c>
    </row>
    <row r="2720" spans="1:40" x14ac:dyDescent="0.25">
      <c r="A2720" t="str">
        <f>"20190305135640286"</f>
        <v>20190305135640286</v>
      </c>
      <c r="B2720" t="str">
        <f>"1551765400275447"</f>
        <v>1551765400275447</v>
      </c>
      <c r="C2720" t="s">
        <v>40</v>
      </c>
      <c r="D2720">
        <v>4.6225300000000002</v>
      </c>
      <c r="E2720">
        <v>0.61637900000000001</v>
      </c>
      <c r="F2720" t="s">
        <v>42</v>
      </c>
      <c r="G2720">
        <v>-197.34790000000001</v>
      </c>
      <c r="H2720" s="1">
        <v>-5.9404459999999897E-6</v>
      </c>
      <c r="I2720">
        <v>169.3613</v>
      </c>
      <c r="J2720">
        <v>-190.60890000000001</v>
      </c>
      <c r="K2720">
        <v>1.1058829999999999</v>
      </c>
      <c r="L2720">
        <v>193.46369999999999</v>
      </c>
      <c r="M2720">
        <v>4.824444E-2</v>
      </c>
      <c r="N2720">
        <v>-1.406399E-2</v>
      </c>
      <c r="O2720">
        <v>-0.99873650000000003</v>
      </c>
      <c r="P2720">
        <v>2.802193E-2</v>
      </c>
      <c r="Q2720">
        <v>-7.1491719999999995E-2</v>
      </c>
      <c r="R2720">
        <v>-0.99704740000000003</v>
      </c>
      <c r="S2720">
        <v>-0.83500669999999899</v>
      </c>
      <c r="T2720">
        <v>-0.13718569999999999</v>
      </c>
      <c r="U2720">
        <v>-3.0246119999999999</v>
      </c>
      <c r="V2720">
        <v>1.966909E-2</v>
      </c>
      <c r="W2720">
        <v>-5.7614529999999997E-2</v>
      </c>
      <c r="X2720">
        <v>0.99814510000000001</v>
      </c>
      <c r="Y2720">
        <v>0.31207659999999998</v>
      </c>
      <c r="Z2720">
        <v>2.9144550000000002E-2</v>
      </c>
      <c r="AA2720">
        <v>0.94960979999999995</v>
      </c>
      <c r="AB2720">
        <v>29</v>
      </c>
      <c r="AC2720">
        <v>-6.7389999999999999</v>
      </c>
      <c r="AD2720">
        <v>-1.1058889404459999</v>
      </c>
      <c r="AE2720">
        <v>-24.1023999999999</v>
      </c>
      <c r="AF2720">
        <v>7.8786892138053002</v>
      </c>
      <c r="AG2720">
        <v>-1.1058889404459999</v>
      </c>
      <c r="AH2720">
        <v>23.7028949235659</v>
      </c>
      <c r="AI2720">
        <v>92.535086511612207</v>
      </c>
      <c r="AJ2720">
        <v>71.613526270207302</v>
      </c>
      <c r="AK2720">
        <v>25.002479113758699</v>
      </c>
      <c r="AL2720">
        <v>93.3028985076688</v>
      </c>
      <c r="AM2720">
        <v>88.871095988391204</v>
      </c>
      <c r="AN2720">
        <v>0.99999997391127904</v>
      </c>
    </row>
    <row r="2721" spans="1:40" x14ac:dyDescent="0.25">
      <c r="A2721" t="str">
        <f>"20190305135640307"</f>
        <v>20190305135640307</v>
      </c>
      <c r="B2721" t="str">
        <f>"1551765400304727"</f>
        <v>1551765400304727</v>
      </c>
      <c r="C2721" t="s">
        <v>40</v>
      </c>
      <c r="D2721">
        <v>4.6201400000000001</v>
      </c>
      <c r="E2721">
        <v>0.61641440000000003</v>
      </c>
      <c r="F2721" t="s">
        <v>42</v>
      </c>
      <c r="G2721">
        <v>-197.29159999999999</v>
      </c>
      <c r="H2721" s="1">
        <v>-5.9588189999999999E-6</v>
      </c>
      <c r="I2721">
        <v>169.43510000000001</v>
      </c>
      <c r="J2721">
        <v>-190.59880000000001</v>
      </c>
      <c r="K2721">
        <v>1.1062669999999999</v>
      </c>
      <c r="L2721">
        <v>193.17859999999999</v>
      </c>
      <c r="M2721">
        <v>4.5233349999999999E-2</v>
      </c>
      <c r="N2721">
        <v>-1.400389E-2</v>
      </c>
      <c r="O2721">
        <v>-0.99887840000000006</v>
      </c>
      <c r="P2721">
        <v>2.5937950000000001E-2</v>
      </c>
      <c r="Q2721">
        <v>-7.2822239999999996E-2</v>
      </c>
      <c r="R2721">
        <v>-0.9970078</v>
      </c>
      <c r="S2721">
        <v>-0.84060669999999904</v>
      </c>
      <c r="T2721">
        <v>-0.1391078</v>
      </c>
      <c r="U2721">
        <v>-3.0225219999999999</v>
      </c>
      <c r="V2721">
        <v>1.8786509999999999E-2</v>
      </c>
      <c r="W2721">
        <v>-5.8981350000000002E-2</v>
      </c>
      <c r="X2721">
        <v>0.99808229999999998</v>
      </c>
      <c r="Y2721">
        <v>0.31100899999999998</v>
      </c>
      <c r="Z2721">
        <v>2.9851860000000001E-2</v>
      </c>
      <c r="AA2721">
        <v>0.94993810000000001</v>
      </c>
      <c r="AB2721">
        <v>29</v>
      </c>
      <c r="AC2721">
        <v>-6.6927999999999699</v>
      </c>
      <c r="AD2721">
        <v>-1.1062729588189999</v>
      </c>
      <c r="AE2721">
        <v>-23.743499999999901</v>
      </c>
      <c r="AF2721">
        <v>7.74447668837111</v>
      </c>
      <c r="AG2721">
        <v>-1.1062729588189999</v>
      </c>
      <c r="AH2721">
        <v>23.3694272325885</v>
      </c>
      <c r="AI2721">
        <v>92.572872180341093</v>
      </c>
      <c r="AJ2721">
        <v>71.665138264007297</v>
      </c>
      <c r="AK2721">
        <v>24.644084243797501</v>
      </c>
      <c r="AL2721">
        <v>93.381344847161003</v>
      </c>
      <c r="AM2721">
        <v>88.921671445518797</v>
      </c>
      <c r="AN2721">
        <v>1.0000000050895399</v>
      </c>
    </row>
    <row r="2722" spans="1:40" x14ac:dyDescent="0.25">
      <c r="A2722" t="str">
        <f>"20190305135640331"</f>
        <v>20190305135640331</v>
      </c>
      <c r="B2722" t="str">
        <f>"1551765400325222"</f>
        <v>1551765400325222</v>
      </c>
      <c r="C2722" t="s">
        <v>40</v>
      </c>
      <c r="D2722">
        <v>4.6236389999999998</v>
      </c>
      <c r="E2722">
        <v>0.61612559999999905</v>
      </c>
      <c r="F2722" t="s">
        <v>42</v>
      </c>
      <c r="G2722">
        <v>-197.39320000000001</v>
      </c>
      <c r="H2722" s="1">
        <v>-5.7847800000000004E-6</v>
      </c>
      <c r="I2722">
        <v>168.9349</v>
      </c>
      <c r="J2722">
        <v>-190.58850000000001</v>
      </c>
      <c r="K2722">
        <v>1.1066260000000001</v>
      </c>
      <c r="L2722">
        <v>192.87700000000001</v>
      </c>
      <c r="M2722">
        <v>4.2412859999999997E-2</v>
      </c>
      <c r="N2722">
        <v>-1.39466E-2</v>
      </c>
      <c r="O2722">
        <v>-0.99900290000000003</v>
      </c>
      <c r="P2722">
        <v>2.4447259999999998E-2</v>
      </c>
      <c r="Q2722">
        <v>-7.3143589999999994E-2</v>
      </c>
      <c r="R2722">
        <v>-0.99702170000000001</v>
      </c>
      <c r="S2722">
        <v>-0.84664919999999999</v>
      </c>
      <c r="T2722">
        <v>-0.1378509</v>
      </c>
      <c r="U2722">
        <v>-3.020966</v>
      </c>
      <c r="V2722">
        <v>1.7508739999999998E-2</v>
      </c>
      <c r="W2722">
        <v>-5.9335890000000002E-2</v>
      </c>
      <c r="X2722">
        <v>0.99808450000000004</v>
      </c>
      <c r="Y2722">
        <v>0.31021880000000002</v>
      </c>
      <c r="Z2722">
        <v>2.9542100000000002E-2</v>
      </c>
      <c r="AA2722">
        <v>0.950206</v>
      </c>
      <c r="AB2722">
        <v>29</v>
      </c>
      <c r="AC2722">
        <v>-6.8046999999999898</v>
      </c>
      <c r="AD2722">
        <v>-1.10663178477999</v>
      </c>
      <c r="AE2722">
        <v>-23.9421</v>
      </c>
      <c r="AF2722">
        <v>7.7987114905230497</v>
      </c>
      <c r="AG2722">
        <v>-1.10663178477999</v>
      </c>
      <c r="AH2722">
        <v>23.585295608851698</v>
      </c>
      <c r="AI2722">
        <v>92.550738020452002</v>
      </c>
      <c r="AJ2722">
        <v>71.703020361542002</v>
      </c>
      <c r="AK2722">
        <v>24.865854173472901</v>
      </c>
      <c r="AL2722">
        <v>93.401694196052105</v>
      </c>
      <c r="AM2722">
        <v>88.995000902446293</v>
      </c>
      <c r="AN2722">
        <v>0.99999998647936394</v>
      </c>
    </row>
    <row r="2723" spans="1:40" x14ac:dyDescent="0.25">
      <c r="A2723" t="str">
        <f>"20190305135640353"</f>
        <v>20190305135640353</v>
      </c>
      <c r="B2723" t="str">
        <f>"1551765400344743"</f>
        <v>1551765400344743</v>
      </c>
      <c r="C2723" t="s">
        <v>40</v>
      </c>
      <c r="D2723">
        <v>4.6587820000000004</v>
      </c>
      <c r="E2723">
        <v>0.61629219999999996</v>
      </c>
      <c r="F2723" t="s">
        <v>42</v>
      </c>
      <c r="G2723">
        <v>-197.42410000000001</v>
      </c>
      <c r="H2723" s="1">
        <v>-5.6460279999999997E-6</v>
      </c>
      <c r="I2723">
        <v>168.55940000000001</v>
      </c>
      <c r="J2723">
        <v>-190.57900000000001</v>
      </c>
      <c r="K2723">
        <v>1.106894</v>
      </c>
      <c r="L2723">
        <v>192.58099999999999</v>
      </c>
      <c r="M2723">
        <v>3.9953919999999997E-2</v>
      </c>
      <c r="N2723">
        <v>-1.3896210000000001E-2</v>
      </c>
      <c r="O2723">
        <v>-0.99910529999999997</v>
      </c>
      <c r="P2723">
        <v>2.392157E-2</v>
      </c>
      <c r="Q2723">
        <v>-7.4173390000000006E-2</v>
      </c>
      <c r="R2723">
        <v>-0.99695889999999998</v>
      </c>
      <c r="S2723">
        <v>-0.84883120000000001</v>
      </c>
      <c r="T2723">
        <v>-0.1374186</v>
      </c>
      <c r="U2723">
        <v>-3.0196990000000001</v>
      </c>
      <c r="V2723">
        <v>1.5610239999999999E-2</v>
      </c>
      <c r="W2723">
        <v>-6.0394629999999998E-2</v>
      </c>
      <c r="X2723">
        <v>0.99805250000000001</v>
      </c>
      <c r="Y2723">
        <v>0.30862060000000002</v>
      </c>
      <c r="Z2723">
        <v>2.9492620000000001E-2</v>
      </c>
      <c r="AA2723">
        <v>0.95072789999999996</v>
      </c>
      <c r="AB2723">
        <v>29</v>
      </c>
      <c r="AC2723">
        <v>-6.8451000000000004</v>
      </c>
      <c r="AD2723">
        <v>-1.1068996460280001</v>
      </c>
      <c r="AE2723">
        <v>-24.0215999999999</v>
      </c>
      <c r="AF2723">
        <v>7.7841957335762002</v>
      </c>
      <c r="AG2723">
        <v>-1.1068996460280001</v>
      </c>
      <c r="AH2723">
        <v>23.682392263043599</v>
      </c>
      <c r="AI2723">
        <v>92.542393811280405</v>
      </c>
      <c r="AJ2723">
        <v>71.804756858712395</v>
      </c>
      <c r="AK2723">
        <v>24.953449327611398</v>
      </c>
      <c r="AL2723">
        <v>93.462464508361407</v>
      </c>
      <c r="AM2723">
        <v>89.103926950723903</v>
      </c>
      <c r="AN2723">
        <v>0.99999999184097199</v>
      </c>
    </row>
    <row r="2724" spans="1:40" x14ac:dyDescent="0.25">
      <c r="A2724" t="str">
        <f>"20190305135640375"</f>
        <v>20190305135640375</v>
      </c>
      <c r="B2724" t="str">
        <f>"1551765400365239"</f>
        <v>1551765400365239</v>
      </c>
      <c r="C2724" t="s">
        <v>40</v>
      </c>
      <c r="D2724">
        <v>4.6461920000000001</v>
      </c>
      <c r="E2724">
        <v>0.61645830000000001</v>
      </c>
      <c r="F2724" t="s">
        <v>42</v>
      </c>
      <c r="G2724">
        <v>-197.66829999999999</v>
      </c>
      <c r="H2724" s="1">
        <v>-5.2575540000000003E-6</v>
      </c>
      <c r="I2724">
        <v>167.435</v>
      </c>
      <c r="J2724">
        <v>-190.5701</v>
      </c>
      <c r="K2724">
        <v>1.1070879999999901</v>
      </c>
      <c r="L2724">
        <v>192.2937</v>
      </c>
      <c r="M2724">
        <v>3.7750489999999998E-2</v>
      </c>
      <c r="N2724">
        <v>-1.385254E-2</v>
      </c>
      <c r="O2724">
        <v>-0.9991911</v>
      </c>
      <c r="P2724">
        <v>2.395417E-2</v>
      </c>
      <c r="Q2724">
        <v>-7.6175090000000001E-2</v>
      </c>
      <c r="R2724">
        <v>-0.99680690000000005</v>
      </c>
      <c r="S2724">
        <v>-0.85133359999999902</v>
      </c>
      <c r="T2724">
        <v>-0.13292309999999999</v>
      </c>
      <c r="U2724">
        <v>-3.0196839999999998</v>
      </c>
      <c r="V2724">
        <v>1.339097E-2</v>
      </c>
      <c r="W2724">
        <v>-6.2423109999999997E-2</v>
      </c>
      <c r="X2724">
        <v>0.99795990000000001</v>
      </c>
      <c r="Y2724">
        <v>0.30726890000000001</v>
      </c>
      <c r="Z2724">
        <v>2.8131429999999999E-2</v>
      </c>
      <c r="AA2724">
        <v>0.95120689999999997</v>
      </c>
      <c r="AB2724">
        <v>29</v>
      </c>
      <c r="AC2724">
        <v>-7.0981999999999896</v>
      </c>
      <c r="AD2724">
        <v>-1.10709325755399</v>
      </c>
      <c r="AE2724">
        <v>-24.858699999999999</v>
      </c>
      <c r="AF2724">
        <v>8.0169554846336908</v>
      </c>
      <c r="AG2724">
        <v>-1.10709325755399</v>
      </c>
      <c r="AH2724">
        <v>24.5280094870539</v>
      </c>
      <c r="AI2724">
        <v>92.456618819534</v>
      </c>
      <c r="AJ2724">
        <v>71.900071285141493</v>
      </c>
      <c r="AK2724">
        <v>25.828675539417901</v>
      </c>
      <c r="AL2724">
        <v>93.578907741735605</v>
      </c>
      <c r="AM2724">
        <v>89.231231614112403</v>
      </c>
      <c r="AN2724">
        <v>0.99999996237380995</v>
      </c>
    </row>
    <row r="2725" spans="1:40" x14ac:dyDescent="0.25">
      <c r="A2725" t="str">
        <f>"20190305135640396"</f>
        <v>20190305135640396</v>
      </c>
      <c r="B2725" t="str">
        <f>"1551765400384759"</f>
        <v>1551765400384759</v>
      </c>
      <c r="C2725" t="s">
        <v>40</v>
      </c>
      <c r="D2725">
        <v>4.4309770000000004</v>
      </c>
      <c r="E2725">
        <v>0.61712869999999997</v>
      </c>
      <c r="F2725" t="s">
        <v>42</v>
      </c>
      <c r="G2725">
        <v>-197.72710000000001</v>
      </c>
      <c r="H2725" s="1">
        <v>-5.0700679999999999E-6</v>
      </c>
      <c r="I2725">
        <v>166.9196</v>
      </c>
      <c r="J2725">
        <v>-190.56219999999999</v>
      </c>
      <c r="K2725">
        <v>1.107216</v>
      </c>
      <c r="L2725">
        <v>192.0215</v>
      </c>
      <c r="M2725">
        <v>3.5771980000000002E-2</v>
      </c>
      <c r="N2725">
        <v>-1.381573E-2</v>
      </c>
      <c r="O2725">
        <v>-0.99926459999999995</v>
      </c>
      <c r="P2725">
        <v>2.4247700000000001E-2</v>
      </c>
      <c r="Q2725">
        <v>-7.7617350000000002E-2</v>
      </c>
      <c r="R2725">
        <v>-0.99668829999999997</v>
      </c>
      <c r="S2725">
        <v>-0.85180659999999897</v>
      </c>
      <c r="T2725">
        <v>-0.13176470000000001</v>
      </c>
      <c r="U2725">
        <v>-3.0199889999999998</v>
      </c>
      <c r="V2725">
        <v>1.113189E-2</v>
      </c>
      <c r="W2725">
        <v>-6.3888509999999996E-2</v>
      </c>
      <c r="X2725">
        <v>0.99789490000000003</v>
      </c>
      <c r="Y2725">
        <v>0.30550139999999998</v>
      </c>
      <c r="Z2725">
        <v>2.7818140000000002E-2</v>
      </c>
      <c r="AA2725">
        <v>0.9517852</v>
      </c>
      <c r="AB2725">
        <v>29</v>
      </c>
      <c r="AC2725">
        <v>-7.16490000000001</v>
      </c>
      <c r="AD2725">
        <v>-1.1072210700679901</v>
      </c>
      <c r="AE2725">
        <v>-25.101900000000001</v>
      </c>
      <c r="AF2725">
        <v>8.0438724619359405</v>
      </c>
      <c r="AG2725">
        <v>-1.1072210700679901</v>
      </c>
      <c r="AH2725">
        <v>24.784915072155801</v>
      </c>
      <c r="AI2725">
        <v>92.433112709599499</v>
      </c>
      <c r="AJ2725">
        <v>72.019311417779903</v>
      </c>
      <c r="AK2725">
        <v>26.081062819905799</v>
      </c>
      <c r="AL2725">
        <v>93.663036996521598</v>
      </c>
      <c r="AM2725">
        <v>89.360870708821594</v>
      </c>
      <c r="AN2725">
        <v>0.99999994606549902</v>
      </c>
    </row>
    <row r="2726" spans="1:40" x14ac:dyDescent="0.25">
      <c r="A2726" t="str">
        <f>"20190305135640420"</f>
        <v>20190305135640420</v>
      </c>
      <c r="B2726" t="str">
        <f>"1551765400415015"</f>
        <v>1551765400415015</v>
      </c>
      <c r="C2726" t="s">
        <v>40</v>
      </c>
      <c r="D2726">
        <v>3.8507479999999998</v>
      </c>
      <c r="E2726">
        <v>0.61767380000000005</v>
      </c>
      <c r="F2726" t="s">
        <v>42</v>
      </c>
      <c r="G2726">
        <v>-198.2166</v>
      </c>
      <c r="H2726" s="1">
        <v>-4.416146E-6</v>
      </c>
      <c r="I2726">
        <v>164.9906</v>
      </c>
      <c r="J2726">
        <v>-190.55359999999999</v>
      </c>
      <c r="K2726">
        <v>1.1073299999999999</v>
      </c>
      <c r="L2726">
        <v>191.70769999999999</v>
      </c>
      <c r="M2726">
        <v>3.3559489999999997E-2</v>
      </c>
      <c r="N2726">
        <v>-1.377837E-2</v>
      </c>
      <c r="O2726">
        <v>-0.9993417</v>
      </c>
      <c r="P2726">
        <v>2.4251370000000001E-2</v>
      </c>
      <c r="Q2726">
        <v>-7.8661540000000002E-2</v>
      </c>
      <c r="R2726">
        <v>-0.99660629999999994</v>
      </c>
      <c r="S2726">
        <v>-0.85549929999999996</v>
      </c>
      <c r="T2726">
        <v>-0.123749499999999</v>
      </c>
      <c r="U2726">
        <v>-3.0211329999999998</v>
      </c>
      <c r="V2726">
        <v>8.9289269999999997E-3</v>
      </c>
      <c r="W2726">
        <v>-6.4958390000000005E-2</v>
      </c>
      <c r="X2726">
        <v>0.99784799999999996</v>
      </c>
      <c r="Y2726">
        <v>0.30440070000000002</v>
      </c>
      <c r="Z2726">
        <v>2.53175E-2</v>
      </c>
      <c r="AA2726">
        <v>0.95220760000000004</v>
      </c>
      <c r="AB2726">
        <v>29</v>
      </c>
      <c r="AC2726">
        <v>-7.66300000000001</v>
      </c>
      <c r="AD2726">
        <v>-1.1073344161459999</v>
      </c>
      <c r="AE2726">
        <v>-26.717099999999899</v>
      </c>
      <c r="AF2726">
        <v>8.5418221875400793</v>
      </c>
      <c r="AG2726">
        <v>-1.1073344161459999</v>
      </c>
      <c r="AH2726">
        <v>26.402949126561499</v>
      </c>
      <c r="AI2726">
        <v>92.285091510132105</v>
      </c>
      <c r="AJ2726">
        <v>72.072686095100593</v>
      </c>
      <c r="AK2726">
        <v>27.772371853562099</v>
      </c>
      <c r="AL2726">
        <v>93.724464110560803</v>
      </c>
      <c r="AM2726">
        <v>89.487320534784999</v>
      </c>
      <c r="AN2726">
        <v>0.99999997463638102</v>
      </c>
    </row>
    <row r="2727" spans="1:40" x14ac:dyDescent="0.25">
      <c r="A2727" t="str">
        <f>"20190305135640444"</f>
        <v>20190305135640444</v>
      </c>
      <c r="B2727" t="str">
        <f>"1551765400435511"</f>
        <v>1551765400435511</v>
      </c>
      <c r="C2727" t="s">
        <v>40</v>
      </c>
      <c r="D2727">
        <v>4.3642859999999999</v>
      </c>
      <c r="E2727">
        <v>0.61779189999999995</v>
      </c>
      <c r="F2727" t="s">
        <v>42</v>
      </c>
      <c r="G2727">
        <v>-198.7312</v>
      </c>
      <c r="H2727" s="1">
        <v>-3.7220659999999998E-6</v>
      </c>
      <c r="I2727">
        <v>162.94550000000001</v>
      </c>
      <c r="J2727">
        <v>-190.5461</v>
      </c>
      <c r="K2727">
        <v>1.1074040000000001</v>
      </c>
      <c r="L2727">
        <v>191.40940000000001</v>
      </c>
      <c r="M2727">
        <v>3.147204E-2</v>
      </c>
      <c r="N2727">
        <v>-1.374746E-2</v>
      </c>
      <c r="O2727">
        <v>-0.99941009999999997</v>
      </c>
      <c r="P2727">
        <v>2.470665E-2</v>
      </c>
      <c r="Q2727">
        <v>-7.8287060000000006E-2</v>
      </c>
      <c r="R2727">
        <v>-0.99662479999999998</v>
      </c>
      <c r="S2727">
        <v>-0.85919190000000001</v>
      </c>
      <c r="T2727">
        <v>-0.11634419999999999</v>
      </c>
      <c r="U2727">
        <v>-3.021957</v>
      </c>
      <c r="V2727">
        <v>6.4033010000000001E-3</v>
      </c>
      <c r="W2727">
        <v>-6.460217E-2</v>
      </c>
      <c r="X2727">
        <v>0.99789050000000001</v>
      </c>
      <c r="Y2727">
        <v>0.30344070000000001</v>
      </c>
      <c r="Z2727">
        <v>2.300572E-2</v>
      </c>
      <c r="AA2727">
        <v>0.95257259999999999</v>
      </c>
      <c r="AB2727">
        <v>29</v>
      </c>
      <c r="AC2727">
        <v>-8.1851000000000003</v>
      </c>
      <c r="AD2727">
        <v>-1.1074077220659999</v>
      </c>
      <c r="AE2727">
        <v>-28.463899999999899</v>
      </c>
      <c r="AF2727">
        <v>9.0642739730108097</v>
      </c>
      <c r="AG2727">
        <v>-1.1074077220659999</v>
      </c>
      <c r="AH2727">
        <v>28.152812164275598</v>
      </c>
      <c r="AI2727">
        <v>92.144309082935706</v>
      </c>
      <c r="AJ2727">
        <v>72.153159214685402</v>
      </c>
      <c r="AK2727">
        <v>29.596760756502999</v>
      </c>
      <c r="AL2727">
        <v>93.704011352234005</v>
      </c>
      <c r="AM2727">
        <v>89.632347349913402</v>
      </c>
      <c r="AN2727">
        <v>0.99999994631132605</v>
      </c>
    </row>
    <row r="2728" spans="1:40" x14ac:dyDescent="0.25">
      <c r="A2728" t="str">
        <f>"20190305135640464"</f>
        <v>20190305135640464</v>
      </c>
      <c r="B2728" t="str">
        <f>"1551765400455034"</f>
        <v>1551765400455034</v>
      </c>
      <c r="C2728" t="s">
        <v>40</v>
      </c>
      <c r="D2728">
        <v>4.3365410000000004</v>
      </c>
      <c r="E2728">
        <v>0.61790679999999998</v>
      </c>
      <c r="F2728" t="s">
        <v>42</v>
      </c>
      <c r="G2728">
        <v>-199.2646</v>
      </c>
      <c r="H2728" s="1">
        <v>-2.9569320000000001E-6</v>
      </c>
      <c r="I2728">
        <v>160.70660000000001</v>
      </c>
      <c r="J2728">
        <v>-190.53980000000001</v>
      </c>
      <c r="K2728">
        <v>1.107453</v>
      </c>
      <c r="L2728">
        <v>191.1397</v>
      </c>
      <c r="M2728">
        <v>2.9573970000000002E-2</v>
      </c>
      <c r="N2728">
        <v>-1.372309E-2</v>
      </c>
      <c r="O2728">
        <v>-0.99946860000000004</v>
      </c>
      <c r="P2728">
        <v>2.6415020000000001E-2</v>
      </c>
      <c r="Q2728">
        <v>-7.7999970000000002E-2</v>
      </c>
      <c r="R2728">
        <v>-0.99660369999999998</v>
      </c>
      <c r="S2728">
        <v>-0.85838320000000001</v>
      </c>
      <c r="T2728">
        <v>-0.1090305</v>
      </c>
      <c r="U2728">
        <v>-3.0228579999999998</v>
      </c>
      <c r="V2728">
        <v>2.8084170000000001E-3</v>
      </c>
      <c r="W2728">
        <v>-6.432351E-2</v>
      </c>
      <c r="X2728">
        <v>0.99792519999999996</v>
      </c>
      <c r="Y2728">
        <v>0.30133939999999998</v>
      </c>
      <c r="Z2728">
        <v>2.072831E-2</v>
      </c>
      <c r="AA2728">
        <v>0.95329160000000002</v>
      </c>
      <c r="AB2728">
        <v>29</v>
      </c>
      <c r="AC2728">
        <v>-8.7247999999999806</v>
      </c>
      <c r="AD2728">
        <v>-1.1074559569319999</v>
      </c>
      <c r="AE2728">
        <v>-30.4331</v>
      </c>
      <c r="AF2728">
        <v>9.6093367014567406</v>
      </c>
      <c r="AG2728">
        <v>-1.1074559569319999</v>
      </c>
      <c r="AH2728">
        <v>30.124872387239598</v>
      </c>
      <c r="AI2728">
        <v>92.005879216469097</v>
      </c>
      <c r="AJ2728">
        <v>72.308176108419204</v>
      </c>
      <c r="AK2728">
        <v>31.639749475714499</v>
      </c>
      <c r="AL2728">
        <v>93.688011638644795</v>
      </c>
      <c r="AM2728">
        <v>89.838755433363801</v>
      </c>
      <c r="AN2728">
        <v>1.0000000529699</v>
      </c>
    </row>
    <row r="2729" spans="1:40" x14ac:dyDescent="0.25">
      <c r="A2729" t="str">
        <f>"20190305135640486"</f>
        <v>20190305135640486</v>
      </c>
      <c r="B2729" t="str">
        <f>"1551765400474551"</f>
        <v>1551765400474551</v>
      </c>
      <c r="C2729" t="s">
        <v>40</v>
      </c>
      <c r="D2729">
        <v>4.4927169999999998</v>
      </c>
      <c r="E2729">
        <v>0.61769759999999996</v>
      </c>
      <c r="F2729" t="s">
        <v>73</v>
      </c>
      <c r="G2729">
        <v>-199.6841</v>
      </c>
      <c r="H2729" s="1">
        <v>-1.475936E-5</v>
      </c>
      <c r="I2729">
        <v>158.74940000000001</v>
      </c>
      <c r="J2729">
        <v>-190.53380000000001</v>
      </c>
      <c r="K2729">
        <v>1.1074839999999999</v>
      </c>
      <c r="L2729">
        <v>190.86150000000001</v>
      </c>
      <c r="M2729">
        <v>2.759667E-2</v>
      </c>
      <c r="N2729">
        <v>-1.370095E-2</v>
      </c>
      <c r="O2729">
        <v>-0.9995252</v>
      </c>
      <c r="P2729">
        <v>2.872891E-2</v>
      </c>
      <c r="Q2729">
        <v>-7.7607599999999999E-2</v>
      </c>
      <c r="R2729">
        <v>-0.99657010000000001</v>
      </c>
      <c r="S2729">
        <v>-0.85394289999999995</v>
      </c>
      <c r="T2729">
        <v>-0.103421</v>
      </c>
      <c r="U2729">
        <v>-3.0247799999999998</v>
      </c>
      <c r="V2729">
        <v>-1.4730920000000001E-3</v>
      </c>
      <c r="W2729">
        <v>-6.3935259999999994E-2</v>
      </c>
      <c r="X2729">
        <v>0.99795290000000003</v>
      </c>
      <c r="Y2729">
        <v>0.29801080000000002</v>
      </c>
      <c r="Z2729">
        <v>1.8987629999999998E-2</v>
      </c>
      <c r="AA2729">
        <v>0.95437360000000004</v>
      </c>
      <c r="AB2729">
        <v>29</v>
      </c>
      <c r="AC2729">
        <v>-9.1502999999999801</v>
      </c>
      <c r="AD2729">
        <v>-1.1074987593600001</v>
      </c>
      <c r="AE2729">
        <v>-32.112099999999998</v>
      </c>
      <c r="AF2729">
        <v>10.0220590202044</v>
      </c>
      <c r="AG2729">
        <v>-1.1074987593600001</v>
      </c>
      <c r="AH2729">
        <v>31.812328186941301</v>
      </c>
      <c r="AI2729">
        <v>91.901791902099006</v>
      </c>
      <c r="AJ2729">
        <v>72.513646434891598</v>
      </c>
      <c r="AK2729">
        <v>33.372030881864298</v>
      </c>
      <c r="AL2729">
        <v>93.6657210875792</v>
      </c>
      <c r="AM2729">
        <v>90.084575026670194</v>
      </c>
      <c r="AN2729">
        <v>0.99999993904485696</v>
      </c>
    </row>
    <row r="2730" spans="1:40" x14ac:dyDescent="0.25">
      <c r="A2730" t="str">
        <f>"20190305135640508"</f>
        <v>20190305135640508</v>
      </c>
      <c r="B2730" t="str">
        <f>"1551765400504808"</f>
        <v>1551765400504808</v>
      </c>
      <c r="C2730" t="s">
        <v>40</v>
      </c>
      <c r="D2730">
        <v>4.4273099999999896</v>
      </c>
      <c r="E2730">
        <v>0.61735960000000001</v>
      </c>
      <c r="F2730" t="s">
        <v>73</v>
      </c>
      <c r="G2730">
        <v>-199.82859999999999</v>
      </c>
      <c r="H2730" s="1">
        <v>-1.446207E-5</v>
      </c>
      <c r="I2730">
        <v>157.56780000000001</v>
      </c>
      <c r="J2730">
        <v>-190.5282</v>
      </c>
      <c r="K2730">
        <v>1.107502</v>
      </c>
      <c r="L2730">
        <v>190.57759999999999</v>
      </c>
      <c r="M2730">
        <v>2.5563849999999999E-2</v>
      </c>
      <c r="N2730">
        <v>-1.3680909999999999E-2</v>
      </c>
      <c r="O2730">
        <v>-0.99957989999999997</v>
      </c>
      <c r="P2730">
        <v>3.067775E-2</v>
      </c>
      <c r="Q2730">
        <v>-7.8757240000000006E-2</v>
      </c>
      <c r="R2730">
        <v>-0.99642200000000003</v>
      </c>
      <c r="S2730">
        <v>-0.84501649999999995</v>
      </c>
      <c r="T2730">
        <v>-0.100686</v>
      </c>
      <c r="U2730">
        <v>-3.0268250000000001</v>
      </c>
      <c r="V2730">
        <v>-5.4546680000000002E-3</v>
      </c>
      <c r="W2730">
        <v>-6.5090229999999999E-2</v>
      </c>
      <c r="X2730">
        <v>0.99786450000000004</v>
      </c>
      <c r="Y2730">
        <v>0.2932959</v>
      </c>
      <c r="Z2730">
        <v>1.8165199999999999E-2</v>
      </c>
      <c r="AA2730">
        <v>0.95584910000000001</v>
      </c>
      <c r="AB2730">
        <v>29</v>
      </c>
      <c r="AC2730">
        <v>-9.3003999999999891</v>
      </c>
      <c r="AD2730">
        <v>-1.10751646207</v>
      </c>
      <c r="AE2730">
        <v>-33.009799999999899</v>
      </c>
      <c r="AF2730">
        <v>10.1307309954398</v>
      </c>
      <c r="AG2730">
        <v>-1.10751646207</v>
      </c>
      <c r="AH2730">
        <v>32.7271030272478</v>
      </c>
      <c r="AI2730">
        <v>91.851586381048406</v>
      </c>
      <c r="AJ2730">
        <v>72.799999510570302</v>
      </c>
      <c r="AK2730">
        <v>34.277129047979102</v>
      </c>
      <c r="AL2730">
        <v>93.732033815053796</v>
      </c>
      <c r="AM2730">
        <v>90.313195170501601</v>
      </c>
      <c r="AN2730">
        <v>1.0000000259023401</v>
      </c>
    </row>
    <row r="2731" spans="1:40" x14ac:dyDescent="0.25">
      <c r="A2731" t="str">
        <f>"20190305135640533"</f>
        <v>20190305135640533</v>
      </c>
      <c r="B2731" t="str">
        <f>"1551765400525303"</f>
        <v>1551765400525303</v>
      </c>
      <c r="C2731" t="s">
        <v>40</v>
      </c>
      <c r="D2731">
        <v>4.7151670000000001</v>
      </c>
      <c r="E2731">
        <v>0.61630079999999998</v>
      </c>
      <c r="F2731" t="s">
        <v>73</v>
      </c>
      <c r="G2731">
        <v>-199.33629999999999</v>
      </c>
      <c r="H2731" s="1">
        <v>-1.4744640000000001E-5</v>
      </c>
      <c r="I2731">
        <v>158.6909</v>
      </c>
      <c r="J2731">
        <v>-190.52269999999999</v>
      </c>
      <c r="K2731">
        <v>1.1075189999999999</v>
      </c>
      <c r="L2731">
        <v>190.2604</v>
      </c>
      <c r="M2731">
        <v>2.330426E-2</v>
      </c>
      <c r="N2731">
        <v>-1.366129E-2</v>
      </c>
      <c r="O2731">
        <v>-0.99963519999999995</v>
      </c>
      <c r="P2731">
        <v>3.2345409999999998E-2</v>
      </c>
      <c r="Q2731">
        <v>-8.0550949999999996E-2</v>
      </c>
      <c r="R2731">
        <v>-0.99622569999999999</v>
      </c>
      <c r="S2731">
        <v>-0.83648679999999997</v>
      </c>
      <c r="T2731">
        <v>-0.10517840000000001</v>
      </c>
      <c r="U2731">
        <v>-3.0282140000000002</v>
      </c>
      <c r="V2731">
        <v>-9.3837590000000002E-3</v>
      </c>
      <c r="W2731">
        <v>-6.6890430000000001E-2</v>
      </c>
      <c r="X2731">
        <v>0.99771620000000005</v>
      </c>
      <c r="Y2731">
        <v>0.28850949999999997</v>
      </c>
      <c r="Z2731">
        <v>1.9636569999999999E-2</v>
      </c>
      <c r="AA2731">
        <v>0.9572756</v>
      </c>
      <c r="AB2731">
        <v>29</v>
      </c>
      <c r="AC2731">
        <v>-8.8135999999999992</v>
      </c>
      <c r="AD2731">
        <v>-1.10753374464</v>
      </c>
      <c r="AE2731">
        <v>-31.569500000000001</v>
      </c>
      <c r="AF2731">
        <v>9.5360902162572501</v>
      </c>
      <c r="AG2731">
        <v>-1.10753374464</v>
      </c>
      <c r="AH2731">
        <v>31.319750826822101</v>
      </c>
      <c r="AI2731">
        <v>91.937511150969499</v>
      </c>
      <c r="AJ2731">
        <v>73.065803152725096</v>
      </c>
      <c r="AK2731">
        <v>32.758059152860902</v>
      </c>
      <c r="AL2731">
        <v>93.835403105436598</v>
      </c>
      <c r="AM2731">
        <v>90.538864593233399</v>
      </c>
      <c r="AN2731">
        <v>1.0000000001504901</v>
      </c>
    </row>
    <row r="2732" spans="1:40" x14ac:dyDescent="0.25">
      <c r="A2732" t="str">
        <f>"20190305135640554"</f>
        <v>20190305135640554</v>
      </c>
      <c r="B2732" t="str">
        <f>"1551765400544840"</f>
        <v>1551765400544840</v>
      </c>
      <c r="C2732" t="s">
        <v>40</v>
      </c>
      <c r="D2732">
        <v>4.3000059999999998</v>
      </c>
      <c r="E2732">
        <v>0.51969409999999905</v>
      </c>
      <c r="F2732" t="s">
        <v>73</v>
      </c>
      <c r="G2732">
        <v>-199.4513</v>
      </c>
      <c r="H2732" s="1">
        <v>-1.4410969999999999E-5</v>
      </c>
      <c r="I2732">
        <v>157.3647</v>
      </c>
      <c r="J2732">
        <v>-190.51830000000001</v>
      </c>
      <c r="K2732">
        <v>1.1075469999999901</v>
      </c>
      <c r="L2732">
        <v>189.98320000000001</v>
      </c>
      <c r="M2732">
        <v>2.137273E-2</v>
      </c>
      <c r="N2732">
        <v>-1.3645930000000001E-2</v>
      </c>
      <c r="O2732">
        <v>-0.99967859999999997</v>
      </c>
      <c r="P2732">
        <v>3.4751419999999998E-2</v>
      </c>
      <c r="Q2732">
        <v>-8.2207489999999994E-2</v>
      </c>
      <c r="R2732">
        <v>-0.99600929999999999</v>
      </c>
      <c r="S2732">
        <v>-0.82235720000000001</v>
      </c>
      <c r="T2732">
        <v>-0.1020076</v>
      </c>
      <c r="U2732">
        <v>-3.0297999999999998</v>
      </c>
      <c r="V2732">
        <v>-1.372046E-2</v>
      </c>
      <c r="W2732">
        <v>-6.854855E-2</v>
      </c>
      <c r="X2732">
        <v>0.99755340000000003</v>
      </c>
      <c r="Y2732">
        <v>0.28238079999999999</v>
      </c>
      <c r="Z2732">
        <v>1.8687519999999999E-2</v>
      </c>
      <c r="AA2732">
        <v>0.95912030000000004</v>
      </c>
      <c r="AB2732">
        <v>29</v>
      </c>
      <c r="AC2732">
        <v>-8.9329999999999892</v>
      </c>
      <c r="AD2732">
        <v>-1.1075614109699901</v>
      </c>
      <c r="AE2732">
        <v>-32.618499999999997</v>
      </c>
      <c r="AF2732">
        <v>9.6178551366768499</v>
      </c>
      <c r="AG2732">
        <v>-1.1075614109699901</v>
      </c>
      <c r="AH2732">
        <v>32.385374021638498</v>
      </c>
      <c r="AI2732">
        <v>91.877725275691503</v>
      </c>
      <c r="AJ2732">
        <v>73.459557500090895</v>
      </c>
      <c r="AK2732">
        <v>33.801512987299702</v>
      </c>
      <c r="AL2732">
        <v>93.930625103291106</v>
      </c>
      <c r="AM2732">
        <v>90.788002812439402</v>
      </c>
      <c r="AN2732">
        <v>0.99999997029063603</v>
      </c>
    </row>
    <row r="2733" spans="1:40" x14ac:dyDescent="0.25">
      <c r="A2733" t="str">
        <f>"20190305135640576"</f>
        <v>20190305135640576</v>
      </c>
      <c r="B2733" t="str">
        <f>"1551765400565319"</f>
        <v>1551765400565319</v>
      </c>
      <c r="C2733" t="s">
        <v>40</v>
      </c>
      <c r="D2733">
        <v>4.1757970000000002</v>
      </c>
      <c r="E2733">
        <v>0.51743090000000003</v>
      </c>
      <c r="F2733" t="s">
        <v>42</v>
      </c>
      <c r="G2733">
        <v>-192.97399999999999</v>
      </c>
      <c r="H2733" s="1">
        <v>-2.0900680000000001E-6</v>
      </c>
      <c r="I2733">
        <v>-7.3834549999999997</v>
      </c>
      <c r="J2733">
        <v>-190.5145</v>
      </c>
      <c r="K2733">
        <v>1.107588</v>
      </c>
      <c r="L2733">
        <v>189.70679999999999</v>
      </c>
      <c r="M2733">
        <v>1.9498540000000002E-2</v>
      </c>
      <c r="N2733">
        <v>-1.363176E-2</v>
      </c>
      <c r="O2733">
        <v>-0.99971719999999997</v>
      </c>
      <c r="P2733">
        <v>3.8269009999999999E-2</v>
      </c>
      <c r="Q2733">
        <v>-8.3102899999999993E-2</v>
      </c>
      <c r="R2733">
        <v>-0.99580630000000003</v>
      </c>
      <c r="S2733">
        <v>-3.7475590000000003E-2</v>
      </c>
      <c r="T2733">
        <v>-1.690185E-2</v>
      </c>
      <c r="U2733">
        <v>-3.0119319999999998</v>
      </c>
      <c r="V2733">
        <v>-1.9105549999999999E-2</v>
      </c>
      <c r="W2733">
        <v>-6.9441379999999997E-2</v>
      </c>
      <c r="X2733">
        <v>0.99740309999999999</v>
      </c>
      <c r="Y2733">
        <v>3.1933290000000003E-2</v>
      </c>
      <c r="Z2733">
        <v>-8.0254290000000006E-3</v>
      </c>
      <c r="AA2733">
        <v>0.99945779999999995</v>
      </c>
      <c r="AB2733">
        <v>29</v>
      </c>
      <c r="AC2733">
        <v>-2.4595000000000198</v>
      </c>
      <c r="AD2733">
        <v>-1.107590090068</v>
      </c>
      <c r="AE2733">
        <v>-197.09025500000001</v>
      </c>
      <c r="AF2733">
        <v>6.3021617013995801</v>
      </c>
      <c r="AG2733">
        <v>-1.107590090068</v>
      </c>
      <c r="AH2733">
        <v>196.99859674295399</v>
      </c>
      <c r="AI2733">
        <v>90.321967378213799</v>
      </c>
      <c r="AJ2733">
        <v>88.167681557902398</v>
      </c>
      <c r="AK2733">
        <v>197.10248886457799</v>
      </c>
      <c r="AL2733">
        <v>93.981902431002496</v>
      </c>
      <c r="AM2733">
        <v>91.097383317427997</v>
      </c>
      <c r="AN2733">
        <v>1.00000003559335</v>
      </c>
    </row>
    <row r="2734" spans="1:40" x14ac:dyDescent="0.25">
      <c r="A2734" t="str">
        <f>"20190305135640597"</f>
        <v>20190305135640597</v>
      </c>
      <c r="B2734" t="str">
        <f>"1551765400594599"</f>
        <v>1551765400594599</v>
      </c>
      <c r="C2734" t="s">
        <v>40</v>
      </c>
      <c r="D2734">
        <v>4.1645200000000004</v>
      </c>
      <c r="E2734">
        <v>0.51856670000000005</v>
      </c>
      <c r="F2734" t="s">
        <v>74</v>
      </c>
      <c r="G2734">
        <v>-191.15799999999999</v>
      </c>
      <c r="H2734">
        <v>1.397246</v>
      </c>
      <c r="I2734">
        <v>-81.815629999999999</v>
      </c>
      <c r="J2734">
        <v>-190.511</v>
      </c>
      <c r="K2734">
        <v>1.1076509999999999</v>
      </c>
      <c r="L2734">
        <v>189.42519999999999</v>
      </c>
      <c r="M2734">
        <v>1.7682929999999999E-2</v>
      </c>
      <c r="N2734">
        <v>-1.361849E-2</v>
      </c>
      <c r="O2734">
        <v>-0.99975119999999895</v>
      </c>
      <c r="P2734">
        <v>4.2398480000000002E-2</v>
      </c>
      <c r="Q2734">
        <v>-8.4985179999999994E-2</v>
      </c>
      <c r="R2734">
        <v>-0.99548000000000003</v>
      </c>
      <c r="S2734">
        <v>-7.1411130000000001E-3</v>
      </c>
      <c r="T2734">
        <v>3.2144780000000002E-3</v>
      </c>
      <c r="U2734">
        <v>-3.0131839999999999</v>
      </c>
      <c r="V2734">
        <v>-2.5044919999999998E-2</v>
      </c>
      <c r="W2734">
        <v>-7.1322339999999998E-2</v>
      </c>
      <c r="X2734">
        <v>0.99713890000000005</v>
      </c>
      <c r="Y2734">
        <v>2.0052130000000001E-2</v>
      </c>
      <c r="Z2734">
        <v>-1.4685109999999999E-2</v>
      </c>
      <c r="AA2734">
        <v>0.99969110000000005</v>
      </c>
      <c r="AB2734">
        <v>29</v>
      </c>
      <c r="AC2734">
        <v>-0.64699999999999103</v>
      </c>
      <c r="AD2734">
        <v>0.28959499999999999</v>
      </c>
      <c r="AE2734">
        <v>-271.24083000000002</v>
      </c>
      <c r="AF2734">
        <v>5.4436685917268299</v>
      </c>
      <c r="AG2734">
        <v>0.28959499999999999</v>
      </c>
      <c r="AH2734">
        <v>271.18666119503501</v>
      </c>
      <c r="AI2734">
        <v>89.938827289854501</v>
      </c>
      <c r="AJ2734">
        <v>88.850026947162704</v>
      </c>
      <c r="AK2734">
        <v>271.24144705983201</v>
      </c>
      <c r="AL2734">
        <v>94.089941356638505</v>
      </c>
      <c r="AM2734">
        <v>91.438783079476394</v>
      </c>
      <c r="AN2734">
        <v>1.00000005504704</v>
      </c>
    </row>
    <row r="2735" spans="1:40" x14ac:dyDescent="0.25">
      <c r="A2735" t="str">
        <f>"20190305135640621"</f>
        <v>20190305135640621</v>
      </c>
      <c r="B2735" t="str">
        <f>"1551765400615095"</f>
        <v>1551765400615095</v>
      </c>
      <c r="C2735" t="s">
        <v>40</v>
      </c>
      <c r="D2735">
        <v>4.1504940000000001</v>
      </c>
      <c r="E2735">
        <v>0.51937869999999997</v>
      </c>
      <c r="F2735" t="s">
        <v>74</v>
      </c>
      <c r="G2735">
        <v>-190.7073</v>
      </c>
      <c r="H2735">
        <v>2.3522460000000001</v>
      </c>
      <c r="I2735">
        <v>-81.815950000000001</v>
      </c>
      <c r="J2735">
        <v>-190.5077</v>
      </c>
      <c r="K2735">
        <v>1.1077459999999999</v>
      </c>
      <c r="L2735">
        <v>189.11689999999999</v>
      </c>
      <c r="M2735">
        <v>1.5858609999999999E-2</v>
      </c>
      <c r="N2735">
        <v>-1.3604959999999999E-2</v>
      </c>
      <c r="O2735">
        <v>-0.99978180000000005</v>
      </c>
      <c r="P2735">
        <v>4.6019030000000002E-2</v>
      </c>
      <c r="Q2735">
        <v>-8.6481450000000001E-2</v>
      </c>
      <c r="R2735">
        <v>-0.99519029999999997</v>
      </c>
      <c r="S2735">
        <v>-2.1820070000000001E-3</v>
      </c>
      <c r="T2735">
        <v>1.3834000000000001E-2</v>
      </c>
      <c r="U2735">
        <v>-3.0149080000000001</v>
      </c>
      <c r="V2735">
        <v>-3.0473480000000001E-2</v>
      </c>
      <c r="W2735">
        <v>-7.2824029999999998E-2</v>
      </c>
      <c r="X2735">
        <v>0.99687919999999997</v>
      </c>
      <c r="Y2735">
        <v>1.658258E-2</v>
      </c>
      <c r="Z2735">
        <v>-1.8191769999999999E-2</v>
      </c>
      <c r="AA2735">
        <v>0.99969699999999995</v>
      </c>
      <c r="AB2735">
        <v>29</v>
      </c>
      <c r="AC2735">
        <v>-0.199600000000003</v>
      </c>
      <c r="AD2735">
        <v>1.2444999999999999</v>
      </c>
      <c r="AE2735">
        <v>-270.93284999999997</v>
      </c>
      <c r="AF2735">
        <v>4.4964956111518601</v>
      </c>
      <c r="AG2735">
        <v>1.2444999999999999</v>
      </c>
      <c r="AH2735">
        <v>270.88989112558698</v>
      </c>
      <c r="AI2735">
        <v>89.736814560476006</v>
      </c>
      <c r="AJ2735">
        <v>89.049035891760795</v>
      </c>
      <c r="AK2735">
        <v>270.93006545428602</v>
      </c>
      <c r="AL2735">
        <v>94.176206200859397</v>
      </c>
      <c r="AM2735">
        <v>91.750922520626006</v>
      </c>
      <c r="AN2735">
        <v>1.0000000558606901</v>
      </c>
    </row>
    <row r="2736" spans="1:40" x14ac:dyDescent="0.25">
      <c r="A2736" t="str">
        <f>"20190305135640645"</f>
        <v>20190305135640645</v>
      </c>
      <c r="B2736" t="str">
        <f>"1551765400634616"</f>
        <v>1551765400634616</v>
      </c>
      <c r="C2736" t="s">
        <v>40</v>
      </c>
      <c r="D2736">
        <v>4.1540609999999996</v>
      </c>
      <c r="E2736">
        <v>0.52017349999999996</v>
      </c>
      <c r="F2736" t="s">
        <v>74</v>
      </c>
      <c r="G2736">
        <v>-190.239</v>
      </c>
      <c r="H2736">
        <v>2.3933870000000002</v>
      </c>
      <c r="I2736">
        <v>-81.815960000000004</v>
      </c>
      <c r="J2736">
        <v>-190.50470000000001</v>
      </c>
      <c r="K2736">
        <v>1.10788</v>
      </c>
      <c r="L2736">
        <v>188.81360000000001</v>
      </c>
      <c r="M2736">
        <v>1.427664E-2</v>
      </c>
      <c r="N2736">
        <v>-1.359254E-2</v>
      </c>
      <c r="O2736">
        <v>-0.99980590000000003</v>
      </c>
      <c r="P2736">
        <v>4.9189999999999998E-2</v>
      </c>
      <c r="Q2736">
        <v>-8.7849860000000002E-2</v>
      </c>
      <c r="R2736">
        <v>-0.99491890000000005</v>
      </c>
      <c r="S2736">
        <v>2.9907229999999998E-3</v>
      </c>
      <c r="T2736">
        <v>1.4309880000000001E-2</v>
      </c>
      <c r="U2736">
        <v>-3.015625</v>
      </c>
      <c r="V2736">
        <v>-3.5202570000000002E-2</v>
      </c>
      <c r="W2736">
        <v>-7.4204800000000001E-2</v>
      </c>
      <c r="X2736">
        <v>0.99662150000000005</v>
      </c>
      <c r="Y2736">
        <v>1.3285679999999999E-2</v>
      </c>
      <c r="Z2736">
        <v>-1.8336109999999999E-2</v>
      </c>
      <c r="AA2736">
        <v>0.99974359999999995</v>
      </c>
      <c r="AB2736">
        <v>29</v>
      </c>
      <c r="AC2736">
        <v>0.26570000000000898</v>
      </c>
      <c r="AD2736">
        <v>1.28550699999999</v>
      </c>
      <c r="AE2736">
        <v>-270.62956000000003</v>
      </c>
      <c r="AF2736">
        <v>3.5982828618505498</v>
      </c>
      <c r="AG2736">
        <v>1.28550699999999</v>
      </c>
      <c r="AH2736">
        <v>270.599661415328</v>
      </c>
      <c r="AI2736">
        <v>89.727837572456195</v>
      </c>
      <c r="AJ2736">
        <v>89.238157689820397</v>
      </c>
      <c r="AK2736">
        <v>270.626637502466</v>
      </c>
      <c r="AL2736">
        <v>94.255533407473607</v>
      </c>
      <c r="AM2736">
        <v>92.022955059294304</v>
      </c>
      <c r="AN2736">
        <v>0.99999999376994697</v>
      </c>
    </row>
    <row r="2737" spans="1:40" x14ac:dyDescent="0.25">
      <c r="A2737" t="str">
        <f>"20190305135640664"</f>
        <v>20190305135640664</v>
      </c>
      <c r="B2737" t="str">
        <f>"1551765400655114"</f>
        <v>1551765400655114</v>
      </c>
      <c r="C2737" t="s">
        <v>40</v>
      </c>
      <c r="D2737">
        <v>4.207929</v>
      </c>
      <c r="E2737">
        <v>0.52012689999999995</v>
      </c>
      <c r="F2737" t="s">
        <v>74</v>
      </c>
      <c r="G2737">
        <v>-189.9639</v>
      </c>
      <c r="H2737">
        <v>2.371521</v>
      </c>
      <c r="I2737">
        <v>-81.815950000000001</v>
      </c>
      <c r="J2737">
        <v>-190.50239999999999</v>
      </c>
      <c r="K2737">
        <v>1.1080209999999999</v>
      </c>
      <c r="L2737">
        <v>188.56360000000001</v>
      </c>
      <c r="M2737">
        <v>1.3181989999999999E-2</v>
      </c>
      <c r="N2737">
        <v>-1.3583049999999999E-2</v>
      </c>
      <c r="O2737">
        <v>-0.99982110000000002</v>
      </c>
      <c r="P2737">
        <v>5.2187190000000001E-2</v>
      </c>
      <c r="Q2737">
        <v>-8.956269E-2</v>
      </c>
      <c r="R2737">
        <v>-0.99461350000000004</v>
      </c>
      <c r="S2737">
        <v>6.0272219999999996E-3</v>
      </c>
      <c r="T2737">
        <v>1.408386E-2</v>
      </c>
      <c r="U2737">
        <v>-3.0162810000000002</v>
      </c>
      <c r="V2737">
        <v>-3.927079E-2</v>
      </c>
      <c r="W2737">
        <v>-7.593308E-2</v>
      </c>
      <c r="X2737">
        <v>0.99633930000000004</v>
      </c>
      <c r="Y2737">
        <v>1.118478E-2</v>
      </c>
      <c r="Z2737">
        <v>-1.8250760000000001E-2</v>
      </c>
      <c r="AA2737">
        <v>0.99977090000000002</v>
      </c>
      <c r="AB2737">
        <v>29</v>
      </c>
      <c r="AC2737">
        <v>0.53849999999999898</v>
      </c>
      <c r="AD2737">
        <v>1.2635000000000001</v>
      </c>
      <c r="AE2737">
        <v>-270.37954999999999</v>
      </c>
      <c r="AF2737">
        <v>3.02594919402264</v>
      </c>
      <c r="AG2737">
        <v>1.2635000000000001</v>
      </c>
      <c r="AH2737">
        <v>270.35724867665402</v>
      </c>
      <c r="AI2737">
        <v>89.732249988113296</v>
      </c>
      <c r="AJ2737">
        <v>89.358748915727404</v>
      </c>
      <c r="AK2737">
        <v>270.37713422696299</v>
      </c>
      <c r="AL2737">
        <v>94.3548366812757</v>
      </c>
      <c r="AM2737">
        <v>92.257149168635195</v>
      </c>
      <c r="AN2737">
        <v>1.0000000141550001</v>
      </c>
    </row>
    <row r="2738" spans="1:40" x14ac:dyDescent="0.25">
      <c r="A2738" t="str">
        <f>"20190305135640687"</f>
        <v>20190305135640687</v>
      </c>
      <c r="B2738" t="str">
        <f>"1551765400685368"</f>
        <v>1551765400685368</v>
      </c>
      <c r="C2738" t="s">
        <v>40</v>
      </c>
      <c r="D2738">
        <v>4.2312820000000002</v>
      </c>
      <c r="E2738">
        <v>0.51943760000000005</v>
      </c>
      <c r="F2738" t="s">
        <v>74</v>
      </c>
      <c r="G2738">
        <v>-189.1739</v>
      </c>
      <c r="H2738">
        <v>1.006921</v>
      </c>
      <c r="I2738">
        <v>-81.8155</v>
      </c>
      <c r="J2738">
        <v>-190.4999</v>
      </c>
      <c r="K2738">
        <v>1.1082209999999999</v>
      </c>
      <c r="L2738">
        <v>188.27799999999999</v>
      </c>
      <c r="M2738">
        <v>1.2183909999999999E-2</v>
      </c>
      <c r="N2738">
        <v>-1.3573150000000001E-2</v>
      </c>
      <c r="O2738">
        <v>-0.99983370000000005</v>
      </c>
      <c r="P2738">
        <v>5.7037009999999999E-2</v>
      </c>
      <c r="Q2738">
        <v>-9.0797000000000003E-2</v>
      </c>
      <c r="R2738">
        <v>-0.99423459999999997</v>
      </c>
      <c r="S2738">
        <v>1.4816279999999999E-2</v>
      </c>
      <c r="T2738">
        <v>-1.1274810000000001E-3</v>
      </c>
      <c r="U2738">
        <v>-3.0153660000000002</v>
      </c>
      <c r="V2738">
        <v>-4.508417E-2</v>
      </c>
      <c r="W2738">
        <v>-7.7188690000000004E-2</v>
      </c>
      <c r="X2738">
        <v>0.99599669999999896</v>
      </c>
      <c r="Y2738">
        <v>7.2714590000000001E-3</v>
      </c>
      <c r="Z2738">
        <v>-1.3198909999999999E-2</v>
      </c>
      <c r="AA2738">
        <v>0.99988650000000001</v>
      </c>
      <c r="AB2738">
        <v>29</v>
      </c>
      <c r="AC2738">
        <v>1.3259999999999901</v>
      </c>
      <c r="AD2738">
        <v>-0.101299999999999</v>
      </c>
      <c r="AE2738">
        <v>-270.09350000000001</v>
      </c>
      <c r="AF2738">
        <v>1.96519606185806</v>
      </c>
      <c r="AG2738">
        <v>-0.101299999999999</v>
      </c>
      <c r="AH2738">
        <v>270.08956754993801</v>
      </c>
      <c r="AI2738">
        <v>90.021488829107398</v>
      </c>
      <c r="AJ2738">
        <v>89.583118095529102</v>
      </c>
      <c r="AK2738">
        <v>270.09673592356501</v>
      </c>
      <c r="AL2738">
        <v>94.426989449395293</v>
      </c>
      <c r="AM2738">
        <v>92.591746126246704</v>
      </c>
      <c r="AN2738">
        <v>1.0000000513296901</v>
      </c>
    </row>
    <row r="2739" spans="1:40" x14ac:dyDescent="0.25">
      <c r="A2739" t="str">
        <f>"20190305135640710"</f>
        <v>20190305135640710</v>
      </c>
      <c r="B2739" t="str">
        <f>"1551765400704887"</f>
        <v>1551765400704887</v>
      </c>
      <c r="C2739" t="s">
        <v>40</v>
      </c>
      <c r="D2739">
        <v>4.2505199999999999</v>
      </c>
      <c r="E2739">
        <v>0.51929139999999996</v>
      </c>
      <c r="F2739" t="s">
        <v>42</v>
      </c>
      <c r="G2739">
        <v>-188.4538</v>
      </c>
      <c r="H2739" s="1">
        <v>-4.081437E-6</v>
      </c>
      <c r="I2739">
        <v>8.5073659999999993</v>
      </c>
      <c r="J2739">
        <v>-190.4973</v>
      </c>
      <c r="K2739">
        <v>1.108444</v>
      </c>
      <c r="L2739">
        <v>187.98769999999999</v>
      </c>
      <c r="M2739">
        <v>1.1470050000000001E-2</v>
      </c>
      <c r="N2739">
        <v>-1.3564100000000001E-2</v>
      </c>
      <c r="O2739">
        <v>-0.99984220000000001</v>
      </c>
      <c r="P2739">
        <v>6.207795E-2</v>
      </c>
      <c r="Q2739">
        <v>-9.1572299999999995E-2</v>
      </c>
      <c r="R2739">
        <v>-0.99386149999999995</v>
      </c>
      <c r="S2739">
        <v>3.4301760000000001E-2</v>
      </c>
      <c r="T2739">
        <v>-1.8578649999999999E-2</v>
      </c>
      <c r="U2739">
        <v>-3.0137330000000002</v>
      </c>
      <c r="V2739">
        <v>-5.0797870000000002E-2</v>
      </c>
      <c r="W2739">
        <v>-7.7993160000000006E-2</v>
      </c>
      <c r="X2739">
        <v>0.99565890000000001</v>
      </c>
      <c r="Y2739" s="1">
        <v>9.0327489999999998E-5</v>
      </c>
      <c r="Z2739">
        <v>-7.3997890000000004E-3</v>
      </c>
      <c r="AA2739">
        <v>0.99997259999999999</v>
      </c>
      <c r="AB2739">
        <v>29</v>
      </c>
      <c r="AC2739">
        <v>2.0434999999999901</v>
      </c>
      <c r="AD2739">
        <v>-1.1084480814369999</v>
      </c>
      <c r="AE2739">
        <v>-179.480334</v>
      </c>
      <c r="AF2739">
        <v>1.5471702877733501E-2</v>
      </c>
      <c r="AG2739">
        <v>-1.1084480814369999</v>
      </c>
      <c r="AH2739">
        <v>179.485121310632</v>
      </c>
      <c r="AI2739">
        <v>90.353837626156107</v>
      </c>
      <c r="AJ2739">
        <v>89.995061076549902</v>
      </c>
      <c r="AK2739">
        <v>179.48854467184</v>
      </c>
      <c r="AL2739">
        <v>94.473221787057497</v>
      </c>
      <c r="AM2739">
        <v>92.920661055874604</v>
      </c>
      <c r="AN2739">
        <v>1.00000000087626</v>
      </c>
    </row>
    <row r="2740" spans="1:40" x14ac:dyDescent="0.25">
      <c r="A2740" t="str">
        <f>"20190305135640732"</f>
        <v>20190305135640732</v>
      </c>
      <c r="B2740" t="str">
        <f>"1551765400725383"</f>
        <v>1551765400725383</v>
      </c>
      <c r="C2740" t="s">
        <v>40</v>
      </c>
      <c r="D2740">
        <v>4.253298</v>
      </c>
      <c r="E2740">
        <v>0.51936559999999998</v>
      </c>
      <c r="F2740" t="s">
        <v>42</v>
      </c>
      <c r="G2740">
        <v>-188.511</v>
      </c>
      <c r="H2740" s="1">
        <v>-4.1730240000000003E-6</v>
      </c>
      <c r="I2740">
        <v>68.744500000000002</v>
      </c>
      <c r="J2740">
        <v>-190.49459999999999</v>
      </c>
      <c r="K2740">
        <v>1.1086609999999999</v>
      </c>
      <c r="L2740">
        <v>187.69739999999999</v>
      </c>
      <c r="M2740">
        <v>1.107707E-2</v>
      </c>
      <c r="N2740">
        <v>-1.355642E-2</v>
      </c>
      <c r="O2740">
        <v>-0.99984709999999999</v>
      </c>
      <c r="P2740">
        <v>6.7383189999999996E-2</v>
      </c>
      <c r="Q2740">
        <v>-9.2128929999999998E-2</v>
      </c>
      <c r="R2740">
        <v>-0.99346500000000004</v>
      </c>
      <c r="S2740">
        <v>5.018616E-2</v>
      </c>
      <c r="T2740">
        <v>-2.8006079999999999E-2</v>
      </c>
      <c r="U2740">
        <v>-3.0128020000000002</v>
      </c>
      <c r="V2740">
        <v>-5.6456470000000002E-2</v>
      </c>
      <c r="W2740">
        <v>-7.8583810000000004E-2</v>
      </c>
      <c r="X2740">
        <v>0.99530759999999996</v>
      </c>
      <c r="Y2740">
        <v>-5.5767369999999896E-3</v>
      </c>
      <c r="Z2740">
        <v>-4.2617180000000003E-3</v>
      </c>
      <c r="AA2740">
        <v>0.99997539999999996</v>
      </c>
      <c r="AB2740">
        <v>29</v>
      </c>
      <c r="AC2740">
        <v>1.98359999999999</v>
      </c>
      <c r="AD2740">
        <v>-1.108665173024</v>
      </c>
      <c r="AE2740">
        <v>-118.9529</v>
      </c>
      <c r="AF2740">
        <v>-0.66565024122221295</v>
      </c>
      <c r="AG2740">
        <v>-1.108665173024</v>
      </c>
      <c r="AH2740">
        <v>118.957244589727</v>
      </c>
      <c r="AI2740">
        <v>90.533964972622599</v>
      </c>
      <c r="AJ2740">
        <v>90.320607219210203</v>
      </c>
      <c r="AK2740">
        <v>118.964273078473</v>
      </c>
      <c r="AL2740">
        <v>94.507167807297407</v>
      </c>
      <c r="AM2740">
        <v>93.246488774467906</v>
      </c>
      <c r="AN2740">
        <v>0.99999998340836804</v>
      </c>
    </row>
    <row r="2741" spans="1:40" x14ac:dyDescent="0.25">
      <c r="A2741" t="str">
        <f>"20190305135640754"</f>
        <v>20190305135640754</v>
      </c>
      <c r="B2741" t="str">
        <f>"1551765400744907"</f>
        <v>1551765400744907</v>
      </c>
      <c r="C2741" t="s">
        <v>40</v>
      </c>
      <c r="D2741">
        <v>4.2513500000000004</v>
      </c>
      <c r="E2741">
        <v>0.51959730000000004</v>
      </c>
      <c r="F2741" t="s">
        <v>42</v>
      </c>
      <c r="G2741">
        <v>-188.3939</v>
      </c>
      <c r="H2741" s="1">
        <v>-7.1459090000000003E-7</v>
      </c>
      <c r="I2741">
        <v>90.492140000000006</v>
      </c>
      <c r="J2741">
        <v>-190.49170000000001</v>
      </c>
      <c r="K2741">
        <v>1.1088450000000001</v>
      </c>
      <c r="L2741">
        <v>187.41399999999999</v>
      </c>
      <c r="M2741">
        <v>1.091987E-2</v>
      </c>
      <c r="N2741">
        <v>-1.354964E-2</v>
      </c>
      <c r="O2741">
        <v>-0.99984879999999998</v>
      </c>
      <c r="P2741">
        <v>7.2324810000000003E-2</v>
      </c>
      <c r="Q2741">
        <v>-9.2863230000000005E-2</v>
      </c>
      <c r="R2741">
        <v>-0.99304910000000002</v>
      </c>
      <c r="S2741">
        <v>6.5093990000000004E-2</v>
      </c>
      <c r="T2741">
        <v>-3.4354450000000002E-2</v>
      </c>
      <c r="U2741">
        <v>-3.0121310000000001</v>
      </c>
      <c r="V2741">
        <v>-6.152353E-2</v>
      </c>
      <c r="W2741">
        <v>-7.9352220000000001E-2</v>
      </c>
      <c r="X2741">
        <v>0.9949462</v>
      </c>
      <c r="Y2741">
        <v>-1.068411E-2</v>
      </c>
      <c r="Z2741">
        <v>-2.146261E-3</v>
      </c>
      <c r="AA2741">
        <v>0.99994059999999996</v>
      </c>
      <c r="AB2741">
        <v>29</v>
      </c>
      <c r="AC2741">
        <v>2.0977999999999999</v>
      </c>
      <c r="AD2741">
        <v>-1.1088457145908901</v>
      </c>
      <c r="AE2741">
        <v>-96.921859999999995</v>
      </c>
      <c r="AF2741">
        <v>-1.03906792469405</v>
      </c>
      <c r="AG2741">
        <v>-1.1088457145908901</v>
      </c>
      <c r="AH2741">
        <v>96.926309397367106</v>
      </c>
      <c r="AI2741">
        <v>90.655402632606396</v>
      </c>
      <c r="AJ2741">
        <v>90.614197802804796</v>
      </c>
      <c r="AK2741">
        <v>96.938220812871506</v>
      </c>
      <c r="AL2741">
        <v>94.551332620949907</v>
      </c>
      <c r="AM2741">
        <v>93.538438558750002</v>
      </c>
      <c r="AN2741">
        <v>0.99999993022851197</v>
      </c>
    </row>
    <row r="2742" spans="1:40" x14ac:dyDescent="0.25">
      <c r="A2742" t="str">
        <f>"20190305135640776"</f>
        <v>20190305135640776</v>
      </c>
      <c r="B2742" t="str">
        <f>"1551765400765399"</f>
        <v>1551765400765399</v>
      </c>
      <c r="C2742" t="s">
        <v>40</v>
      </c>
      <c r="D2742">
        <v>4.2707709999999999</v>
      </c>
      <c r="E2742">
        <v>0.51991529999999997</v>
      </c>
      <c r="F2742" t="s">
        <v>42</v>
      </c>
      <c r="G2742">
        <v>-188.27529999999999</v>
      </c>
      <c r="H2742" s="1">
        <v>-1.3456129999999901E-6</v>
      </c>
      <c r="I2742">
        <v>102.05629999999999</v>
      </c>
      <c r="J2742">
        <v>-190.4889</v>
      </c>
      <c r="K2742">
        <v>1.108992</v>
      </c>
      <c r="L2742">
        <v>187.14259999999999</v>
      </c>
      <c r="M2742">
        <v>1.095985E-2</v>
      </c>
      <c r="N2742">
        <v>-1.3543360000000001E-2</v>
      </c>
      <c r="O2742">
        <v>-0.99984839999999997</v>
      </c>
      <c r="P2742">
        <v>7.7270779999999997E-2</v>
      </c>
      <c r="Q2742">
        <v>-9.3617039999999999E-2</v>
      </c>
      <c r="R2742">
        <v>-0.99260539999999997</v>
      </c>
      <c r="S2742">
        <v>7.8201290000000007E-2</v>
      </c>
      <c r="T2742">
        <v>-3.9122820000000003E-2</v>
      </c>
      <c r="U2742">
        <v>-3.0116269999999998</v>
      </c>
      <c r="V2742">
        <v>-6.6406119999999999E-2</v>
      </c>
      <c r="W2742">
        <v>-8.0138390000000004E-2</v>
      </c>
      <c r="X2742">
        <v>0.99456929999999999</v>
      </c>
      <c r="Y2742">
        <v>-1.4996290000000001E-2</v>
      </c>
      <c r="Z2742">
        <v>-5.5606980000000002E-4</v>
      </c>
      <c r="AA2742">
        <v>0.99988739999999998</v>
      </c>
      <c r="AB2742">
        <v>29</v>
      </c>
      <c r="AC2742">
        <v>2.2136000000000098</v>
      </c>
      <c r="AD2742">
        <v>-1.1089933456129999</v>
      </c>
      <c r="AE2742">
        <v>-85.086299999999994</v>
      </c>
      <c r="AF2742">
        <v>-1.2806311691423899</v>
      </c>
      <c r="AG2742">
        <v>-1.1089933456129999</v>
      </c>
      <c r="AH2742">
        <v>85.091006282658697</v>
      </c>
      <c r="AI2742">
        <v>90.746610598995701</v>
      </c>
      <c r="AJ2742">
        <v>90.862244144328201</v>
      </c>
      <c r="AK2742">
        <v>85.1078682180881</v>
      </c>
      <c r="AL2742">
        <v>94.596520377032903</v>
      </c>
      <c r="AM2742">
        <v>93.819896198359302</v>
      </c>
      <c r="AN2742">
        <v>1.00000001341386</v>
      </c>
    </row>
    <row r="2743" spans="1:40" x14ac:dyDescent="0.25">
      <c r="A2743" t="str">
        <f>"20190305135640799"</f>
        <v>20190305135640799</v>
      </c>
      <c r="B2743" t="str">
        <f>"1551765400794679"</f>
        <v>1551765400794679</v>
      </c>
      <c r="C2743" t="s">
        <v>40</v>
      </c>
      <c r="D2743">
        <v>4.252065</v>
      </c>
      <c r="E2743">
        <v>0.520841</v>
      </c>
      <c r="F2743" t="s">
        <v>42</v>
      </c>
      <c r="G2743">
        <v>-188.16470000000001</v>
      </c>
      <c r="H2743" s="1">
        <v>-5.6163940000000004E-7</v>
      </c>
      <c r="I2743">
        <v>109.8635</v>
      </c>
      <c r="J2743">
        <v>-190.48560000000001</v>
      </c>
      <c r="K2743">
        <v>1.109127</v>
      </c>
      <c r="L2743">
        <v>186.85419999999999</v>
      </c>
      <c r="M2743">
        <v>1.1191670000000001E-2</v>
      </c>
      <c r="N2743">
        <v>-1.3537179999999999E-2</v>
      </c>
      <c r="O2743">
        <v>-0.99984569999999995</v>
      </c>
      <c r="P2743">
        <v>8.5490869999999997E-2</v>
      </c>
      <c r="Q2743">
        <v>-9.5853569999999999E-2</v>
      </c>
      <c r="R2743">
        <v>-0.99171750000000003</v>
      </c>
      <c r="S2743">
        <v>9.0560909999999994E-2</v>
      </c>
      <c r="T2743">
        <v>-4.3212649999999998E-2</v>
      </c>
      <c r="U2743">
        <v>-3.0112299999999999</v>
      </c>
      <c r="V2743">
        <v>-7.4378269999999996E-2</v>
      </c>
      <c r="W2743">
        <v>-8.2414310000000005E-2</v>
      </c>
      <c r="X2743">
        <v>0.9938188</v>
      </c>
      <c r="Y2743">
        <v>-1.8867709999999999E-2</v>
      </c>
      <c r="Z2743">
        <v>8.083322E-4</v>
      </c>
      <c r="AA2743">
        <v>0.99982170000000004</v>
      </c>
      <c r="AB2743">
        <v>28</v>
      </c>
      <c r="AC2743">
        <v>2.3208999999999902</v>
      </c>
      <c r="AD2743">
        <v>-1.1091275616394001</v>
      </c>
      <c r="AE2743">
        <v>-76.990699999999904</v>
      </c>
      <c r="AF2743">
        <v>-1.4587186627306601</v>
      </c>
      <c r="AG2743">
        <v>-1.1091275616394001</v>
      </c>
      <c r="AH2743">
        <v>76.995889762101996</v>
      </c>
      <c r="AI2743">
        <v>90.825141890319998</v>
      </c>
      <c r="AJ2743">
        <v>91.085362163124302</v>
      </c>
      <c r="AK2743">
        <v>77.017693190219205</v>
      </c>
      <c r="AL2743">
        <v>94.727353802097099</v>
      </c>
      <c r="AM2743">
        <v>94.280087108935305</v>
      </c>
      <c r="AN2743">
        <v>1.0000000263872</v>
      </c>
    </row>
    <row r="2744" spans="1:40" x14ac:dyDescent="0.25">
      <c r="A2744" t="str">
        <f>"20190305135640834"</f>
        <v>20190305135640834</v>
      </c>
      <c r="B2744" t="str">
        <f>"1551765400824935"</f>
        <v>1551765400824935</v>
      </c>
      <c r="C2744" t="s">
        <v>40</v>
      </c>
      <c r="D2744">
        <v>4.2817959999999999</v>
      </c>
      <c r="E2744">
        <v>0.52163329999999997</v>
      </c>
      <c r="F2744" t="s">
        <v>73</v>
      </c>
      <c r="G2744">
        <v>-188.16220000000001</v>
      </c>
      <c r="H2744" s="1">
        <v>-1.793144E-6</v>
      </c>
      <c r="I2744">
        <v>122.4312</v>
      </c>
      <c r="J2744">
        <v>-190.48</v>
      </c>
      <c r="K2744">
        <v>1.1093200000000001</v>
      </c>
      <c r="L2744">
        <v>186.404</v>
      </c>
      <c r="M2744">
        <v>1.1847480000000001E-2</v>
      </c>
      <c r="N2744">
        <v>-1.3528899999999899E-2</v>
      </c>
      <c r="O2744">
        <v>-0.99983849999999996</v>
      </c>
      <c r="P2744">
        <v>9.3760549999999998E-2</v>
      </c>
      <c r="Q2744">
        <v>-9.8665290000000003E-2</v>
      </c>
      <c r="R2744">
        <v>-0.99069410000000002</v>
      </c>
      <c r="S2744">
        <v>0.1085815</v>
      </c>
      <c r="T2744">
        <v>-5.1832679999999999E-2</v>
      </c>
      <c r="U2744">
        <v>-3.0106660000000001</v>
      </c>
      <c r="V2744">
        <v>-8.1966330000000004E-2</v>
      </c>
      <c r="W2744">
        <v>-8.5286509999999996E-2</v>
      </c>
      <c r="X2744">
        <v>0.99297919999999995</v>
      </c>
      <c r="Y2744">
        <v>-2.419352E-2</v>
      </c>
      <c r="Z2744">
        <v>3.6782989999999999E-3</v>
      </c>
      <c r="AA2744">
        <v>0.99970049999999999</v>
      </c>
      <c r="AB2744">
        <v>28</v>
      </c>
      <c r="AC2744">
        <v>2.3177999999999699</v>
      </c>
      <c r="AD2744">
        <v>-1.109321793144</v>
      </c>
      <c r="AE2744">
        <v>-63.972799999999999</v>
      </c>
      <c r="AF2744">
        <v>-1.55918339609375</v>
      </c>
      <c r="AG2744">
        <v>-1.109321793144</v>
      </c>
      <c r="AH2744">
        <v>63.9765597882012</v>
      </c>
      <c r="AI2744">
        <v>90.993086010218803</v>
      </c>
      <c r="AJ2744">
        <v>91.396088626830505</v>
      </c>
      <c r="AK2744">
        <v>64.005170494552104</v>
      </c>
      <c r="AL2744">
        <v>94.892500610014295</v>
      </c>
      <c r="AM2744">
        <v>94.718831502867602</v>
      </c>
      <c r="AN2744">
        <v>0.99999997983714395</v>
      </c>
    </row>
    <row r="2745" spans="1:40" x14ac:dyDescent="0.25">
      <c r="A2745" t="str">
        <f>"20190305135640856"</f>
        <v>20190305135640856</v>
      </c>
      <c r="B2745" t="str">
        <f>"1551765400844455"</f>
        <v>1551765400844455</v>
      </c>
      <c r="C2745" t="s">
        <v>40</v>
      </c>
      <c r="D2745">
        <v>4.2606950000000001</v>
      </c>
      <c r="E2745">
        <v>0.52221600000000001</v>
      </c>
      <c r="F2745" t="s">
        <v>73</v>
      </c>
      <c r="G2745">
        <v>-188.15280000000001</v>
      </c>
      <c r="H2745" s="1">
        <v>-5.5430290000000003E-6</v>
      </c>
      <c r="I2745">
        <v>131.4504</v>
      </c>
      <c r="J2745">
        <v>-190.47630000000001</v>
      </c>
      <c r="K2745">
        <v>1.1094269999999999</v>
      </c>
      <c r="L2745">
        <v>186.13</v>
      </c>
      <c r="M2745">
        <v>1.2368499999999999E-2</v>
      </c>
      <c r="N2745">
        <v>-1.352454E-2</v>
      </c>
      <c r="O2745">
        <v>-0.99983200000000005</v>
      </c>
      <c r="P2745">
        <v>0.10005699999999999</v>
      </c>
      <c r="Q2745">
        <v>-0.10045370000000001</v>
      </c>
      <c r="R2745">
        <v>-0.9898979</v>
      </c>
      <c r="S2745">
        <v>0.1274719</v>
      </c>
      <c r="T2745">
        <v>-6.0762759999999999E-2</v>
      </c>
      <c r="U2745">
        <v>-3.0100560000000001</v>
      </c>
      <c r="V2745">
        <v>-8.7731320000000002E-2</v>
      </c>
      <c r="W2745">
        <v>-8.711468E-2</v>
      </c>
      <c r="X2745">
        <v>0.99232770000000003</v>
      </c>
      <c r="Y2745">
        <v>-2.9941220000000001E-2</v>
      </c>
      <c r="Z2745">
        <v>6.6465150000000004E-3</v>
      </c>
      <c r="AA2745">
        <v>0.99952949999999996</v>
      </c>
      <c r="AB2745">
        <v>28</v>
      </c>
      <c r="AC2745">
        <v>2.3234999999999899</v>
      </c>
      <c r="AD2745">
        <v>-1.109432543029</v>
      </c>
      <c r="AE2745">
        <v>-54.679599999999901</v>
      </c>
      <c r="AF2745">
        <v>-1.64627921090989</v>
      </c>
      <c r="AG2745">
        <v>-1.109432543029</v>
      </c>
      <c r="AH2745">
        <v>54.681687140861101</v>
      </c>
      <c r="AI2745">
        <v>91.161783934102999</v>
      </c>
      <c r="AJ2745">
        <v>91.724459726974402</v>
      </c>
      <c r="AK2745">
        <v>54.717711797724299</v>
      </c>
      <c r="AL2745">
        <v>94.997638254602293</v>
      </c>
      <c r="AM2745">
        <v>95.052362187308205</v>
      </c>
      <c r="AN2745">
        <v>1.00000000808386</v>
      </c>
    </row>
    <row r="2746" spans="1:40" x14ac:dyDescent="0.25">
      <c r="A2746" t="str">
        <f>"20190305135640877"</f>
        <v>20190305135640877</v>
      </c>
      <c r="B2746" t="str">
        <f>"1551765400864952"</f>
        <v>1551765400864952</v>
      </c>
      <c r="C2746" t="s">
        <v>40</v>
      </c>
      <c r="D2746">
        <v>4.2614700000000001</v>
      </c>
      <c r="E2746">
        <v>0.52279259999999905</v>
      </c>
      <c r="F2746" t="s">
        <v>73</v>
      </c>
      <c r="G2746">
        <v>-188.0693</v>
      </c>
      <c r="H2746" s="1">
        <v>-6.75673599999999E-6</v>
      </c>
      <c r="I2746">
        <v>135.2295</v>
      </c>
      <c r="J2746">
        <v>-190.47239999999999</v>
      </c>
      <c r="K2746">
        <v>1.109513</v>
      </c>
      <c r="L2746">
        <v>185.86500000000001</v>
      </c>
      <c r="M2746">
        <v>1.2929390000000001E-2</v>
      </c>
      <c r="N2746">
        <v>-1.3520519999999999E-2</v>
      </c>
      <c r="O2746">
        <v>-0.99982519999999997</v>
      </c>
      <c r="P2746">
        <v>0.1075097</v>
      </c>
      <c r="Q2746">
        <v>-0.1013672</v>
      </c>
      <c r="R2746">
        <v>-0.98902330000000005</v>
      </c>
      <c r="S2746">
        <v>0.14231869999999999</v>
      </c>
      <c r="T2746">
        <v>-6.5596219999999997E-2</v>
      </c>
      <c r="U2746">
        <v>-3.0095369999999999</v>
      </c>
      <c r="V2746">
        <v>-9.4621109999999994E-2</v>
      </c>
      <c r="W2746">
        <v>-8.806609E-2</v>
      </c>
      <c r="X2746">
        <v>0.9916104</v>
      </c>
      <c r="Y2746">
        <v>-3.4306589999999998E-2</v>
      </c>
      <c r="Z2746">
        <v>8.2544690000000004E-3</v>
      </c>
      <c r="AA2746">
        <v>0.99937730000000002</v>
      </c>
      <c r="AB2746">
        <v>28</v>
      </c>
      <c r="AC2746">
        <v>2.40309999999999</v>
      </c>
      <c r="AD2746">
        <v>-1.109519756736</v>
      </c>
      <c r="AE2746">
        <v>-50.6355</v>
      </c>
      <c r="AF2746">
        <v>-1.74731619431605</v>
      </c>
      <c r="AG2746">
        <v>-1.109519756736</v>
      </c>
      <c r="AH2746">
        <v>50.638081873774901</v>
      </c>
      <c r="AI2746">
        <v>91.254447899360002</v>
      </c>
      <c r="AJ2746">
        <v>91.976262412592305</v>
      </c>
      <c r="AK2746">
        <v>50.680365861235003</v>
      </c>
      <c r="AL2746">
        <v>95.052360455678993</v>
      </c>
      <c r="AM2746">
        <v>95.450754771970793</v>
      </c>
      <c r="AN2746">
        <v>0.99999998802683998</v>
      </c>
    </row>
    <row r="2747" spans="1:40" x14ac:dyDescent="0.25">
      <c r="A2747" t="str">
        <f>"20190305135640901"</f>
        <v>20190305135640901</v>
      </c>
      <c r="B2747" t="str">
        <f>"1551765400895207"</f>
        <v>1551765400895207</v>
      </c>
      <c r="C2747" t="s">
        <v>40</v>
      </c>
      <c r="D2747">
        <v>4.2790419999999996</v>
      </c>
      <c r="E2747">
        <v>0.53676749999999995</v>
      </c>
      <c r="F2747" t="s">
        <v>73</v>
      </c>
      <c r="G2747">
        <v>-187.78880000000001</v>
      </c>
      <c r="H2747" s="1">
        <v>-6.9338539999999998E-6</v>
      </c>
      <c r="I2747">
        <v>135.73230000000001</v>
      </c>
      <c r="J2747">
        <v>-190.46780000000001</v>
      </c>
      <c r="K2747">
        <v>1.1095630000000001</v>
      </c>
      <c r="L2747">
        <v>185.5635</v>
      </c>
      <c r="M2747">
        <v>1.3623400000000001E-2</v>
      </c>
      <c r="N2747">
        <v>-1.351612E-2</v>
      </c>
      <c r="O2747">
        <v>-0.99981609999999999</v>
      </c>
      <c r="P2747">
        <v>0.11523600000000001</v>
      </c>
      <c r="Q2747">
        <v>-0.1013608</v>
      </c>
      <c r="R2747">
        <v>-0.98815330000000001</v>
      </c>
      <c r="S2747">
        <v>0.16107179999999999</v>
      </c>
      <c r="T2747">
        <v>-6.6593289999999999E-2</v>
      </c>
      <c r="U2747">
        <v>-3.0089570000000001</v>
      </c>
      <c r="V2747">
        <v>-0.1016599</v>
      </c>
      <c r="W2747">
        <v>-8.8094169999999999E-2</v>
      </c>
      <c r="X2747">
        <v>0.99091110000000004</v>
      </c>
      <c r="Y2747">
        <v>-3.9832560000000003E-2</v>
      </c>
      <c r="Z2747">
        <v>8.5886839999999992E-3</v>
      </c>
      <c r="AA2747">
        <v>0.99916950000000004</v>
      </c>
      <c r="AB2747">
        <v>28</v>
      </c>
      <c r="AC2747">
        <v>2.6789999999999998</v>
      </c>
      <c r="AD2747">
        <v>-1.1095699338539999</v>
      </c>
      <c r="AE2747">
        <v>-49.831200000000003</v>
      </c>
      <c r="AF2747">
        <v>-1.99883095816235</v>
      </c>
      <c r="AG2747">
        <v>-1.1095699338539999</v>
      </c>
      <c r="AH2747">
        <v>49.838436402945902</v>
      </c>
      <c r="AI2747">
        <v>91.274360431718193</v>
      </c>
      <c r="AJ2747">
        <v>92.296685866138404</v>
      </c>
      <c r="AK2747">
        <v>49.890842984739301</v>
      </c>
      <c r="AL2747">
        <v>95.053975218312104</v>
      </c>
      <c r="AM2747">
        <v>95.857615283835798</v>
      </c>
      <c r="AN2747">
        <v>1.0000000630796</v>
      </c>
    </row>
    <row r="2748" spans="1:40" x14ac:dyDescent="0.25">
      <c r="A2748" t="str">
        <f>"20190305135640922"</f>
        <v>20190305135640922</v>
      </c>
      <c r="B2748" t="str">
        <f>"1551765400914730"</f>
        <v>1551765400914730</v>
      </c>
      <c r="C2748" t="s">
        <v>40</v>
      </c>
      <c r="D2748">
        <v>4.2721339999999897</v>
      </c>
      <c r="E2748">
        <v>0.53715619999999997</v>
      </c>
      <c r="F2748" t="s">
        <v>42</v>
      </c>
      <c r="G2748">
        <v>-188.68790000000001</v>
      </c>
      <c r="H2748" s="1">
        <v>-2.2234460000000002E-6</v>
      </c>
      <c r="I2748">
        <v>114.2732</v>
      </c>
      <c r="J2748">
        <v>-190.4632</v>
      </c>
      <c r="K2748">
        <v>1.109585</v>
      </c>
      <c r="L2748">
        <v>185.28749999999999</v>
      </c>
      <c r="M2748">
        <v>1.429192E-2</v>
      </c>
      <c r="N2748">
        <v>-1.3512359999999999E-2</v>
      </c>
      <c r="O2748">
        <v>-0.9998068</v>
      </c>
      <c r="P2748">
        <v>0.1218847</v>
      </c>
      <c r="Q2748">
        <v>-0.1016296</v>
      </c>
      <c r="R2748">
        <v>-0.98732790000000004</v>
      </c>
      <c r="S2748">
        <v>7.5454709999999994E-2</v>
      </c>
      <c r="T2748">
        <v>-4.7039749999999998E-2</v>
      </c>
      <c r="U2748">
        <v>-3.0223390000000001</v>
      </c>
      <c r="V2748">
        <v>-0.1076522</v>
      </c>
      <c r="W2748">
        <v>-8.8388240000000007E-2</v>
      </c>
      <c r="X2748">
        <v>0.99025169999999996</v>
      </c>
      <c r="Y2748">
        <v>-1.0664430000000001E-2</v>
      </c>
      <c r="Z2748">
        <v>2.047152E-3</v>
      </c>
      <c r="AA2748">
        <v>0.99994110000000003</v>
      </c>
      <c r="AB2748">
        <v>28</v>
      </c>
      <c r="AC2748">
        <v>1.7752999999999799</v>
      </c>
      <c r="AD2748">
        <v>-1.109587223446</v>
      </c>
      <c r="AE2748">
        <v>-71.014299999999906</v>
      </c>
      <c r="AF2748">
        <v>-0.75991012352604803</v>
      </c>
      <c r="AG2748">
        <v>-1.109587223446</v>
      </c>
      <c r="AH2748">
        <v>71.015093919833305</v>
      </c>
      <c r="AI2748">
        <v>90.895103421797501</v>
      </c>
      <c r="AJ2748">
        <v>90.613080667330706</v>
      </c>
      <c r="AK2748">
        <v>71.027827023252101</v>
      </c>
      <c r="AL2748">
        <v>95.070890728526095</v>
      </c>
      <c r="AM2748">
        <v>96.204371176239505</v>
      </c>
      <c r="AN2748">
        <v>0.99999995324401203</v>
      </c>
    </row>
    <row r="2749" spans="1:40" x14ac:dyDescent="0.25">
      <c r="A2749" t="str">
        <f>"20190305135640944"</f>
        <v>20190305135640944</v>
      </c>
      <c r="B2749" t="str">
        <f>"1551765400935227"</f>
        <v>1551765400935227</v>
      </c>
      <c r="C2749" t="s">
        <v>40</v>
      </c>
      <c r="D2749">
        <v>4.316897</v>
      </c>
      <c r="E2749">
        <v>0.52187570000000005</v>
      </c>
      <c r="F2749" t="s">
        <v>42</v>
      </c>
      <c r="G2749">
        <v>-188.13460000000001</v>
      </c>
      <c r="H2749" s="1">
        <v>-4.5461859999999998E-6</v>
      </c>
      <c r="I2749">
        <v>109.45869999999999</v>
      </c>
      <c r="J2749">
        <v>-190.45840000000001</v>
      </c>
      <c r="K2749">
        <v>1.1095889999999999</v>
      </c>
      <c r="L2749">
        <v>185.0027</v>
      </c>
      <c r="M2749">
        <v>1.4991259999999999E-2</v>
      </c>
      <c r="N2749">
        <v>-1.350878E-2</v>
      </c>
      <c r="O2749">
        <v>-0.99979660000000004</v>
      </c>
      <c r="P2749">
        <v>0.13052619999999901</v>
      </c>
      <c r="Q2749">
        <v>-0.10182720000000001</v>
      </c>
      <c r="R2749">
        <v>-0.98620229999999998</v>
      </c>
      <c r="S2749">
        <v>9.2819209999999999E-2</v>
      </c>
      <c r="T2749">
        <v>-4.4227599999999999E-2</v>
      </c>
      <c r="U2749">
        <v>-3.022491</v>
      </c>
      <c r="V2749">
        <v>-0.11561639999999999</v>
      </c>
      <c r="W2749">
        <v>-8.8613029999999995E-2</v>
      </c>
      <c r="X2749">
        <v>0.98933340000000003</v>
      </c>
      <c r="Y2749">
        <v>-1.5703020000000002E-2</v>
      </c>
      <c r="Z2749">
        <v>1.1188859999999999E-3</v>
      </c>
      <c r="AA2749">
        <v>0.99987610000000005</v>
      </c>
      <c r="AB2749">
        <v>28</v>
      </c>
      <c r="AC2749">
        <v>2.3237999999999999</v>
      </c>
      <c r="AD2749">
        <v>-1.109593546186</v>
      </c>
      <c r="AE2749">
        <v>-75.543999999999997</v>
      </c>
      <c r="AF2749">
        <v>-1.19067935342133</v>
      </c>
      <c r="AG2749">
        <v>-1.109593546186</v>
      </c>
      <c r="AH2749">
        <v>75.554064518797404</v>
      </c>
      <c r="AI2749">
        <v>90.841285853876201</v>
      </c>
      <c r="AJ2749">
        <v>90.902866778895401</v>
      </c>
      <c r="AK2749">
        <v>75.571592417197394</v>
      </c>
      <c r="AL2749">
        <v>95.083820752530599</v>
      </c>
      <c r="AM2749">
        <v>96.665518860852004</v>
      </c>
      <c r="AN2749">
        <v>0.99999999869514999</v>
      </c>
    </row>
    <row r="2750" spans="1:40" x14ac:dyDescent="0.25">
      <c r="A2750" t="str">
        <f>"20190305135640965"</f>
        <v>20190305135640965</v>
      </c>
      <c r="B2750" t="str">
        <f>"1551765400954747"</f>
        <v>1551765400954747</v>
      </c>
      <c r="C2750" t="s">
        <v>40</v>
      </c>
      <c r="D2750">
        <v>4.366606</v>
      </c>
      <c r="E2750">
        <v>0.42467139999999998</v>
      </c>
      <c r="F2750" t="s">
        <v>47</v>
      </c>
      <c r="G2750">
        <v>0</v>
      </c>
      <c r="H2750">
        <v>0</v>
      </c>
      <c r="I2750">
        <v>0</v>
      </c>
      <c r="J2750">
        <v>-190.4538</v>
      </c>
      <c r="K2750">
        <v>1.109578</v>
      </c>
      <c r="L2750">
        <v>184.74279999999999</v>
      </c>
      <c r="M2750">
        <v>1.562208E-2</v>
      </c>
      <c r="N2750">
        <v>-1.350583E-2</v>
      </c>
      <c r="O2750">
        <v>-0.99978699999999998</v>
      </c>
      <c r="P2750">
        <v>0.14010610000000001</v>
      </c>
      <c r="Q2750">
        <v>-0.1035827</v>
      </c>
      <c r="R2750">
        <v>-0.98470380000000002</v>
      </c>
      <c r="S2750">
        <v>0.2473755</v>
      </c>
      <c r="T2750">
        <v>3.3870099999999903E-2</v>
      </c>
      <c r="U2750">
        <v>-3.0127259999999998</v>
      </c>
      <c r="V2750">
        <v>-0.1245938</v>
      </c>
      <c r="W2750">
        <v>-9.0398829999999999E-2</v>
      </c>
      <c r="X2750">
        <v>0.98808119999999999</v>
      </c>
      <c r="Y2750">
        <v>-6.6227690000000006E-2</v>
      </c>
      <c r="Z2750">
        <v>-2.4703679999999999E-2</v>
      </c>
      <c r="AA2750">
        <v>0.99749869999999996</v>
      </c>
      <c r="AB2750">
        <v>28</v>
      </c>
      <c r="AC2750">
        <v>0.2473755</v>
      </c>
      <c r="AD2750">
        <v>3.3870099999999903E-2</v>
      </c>
      <c r="AE2750">
        <v>-3.0127259999999998</v>
      </c>
      <c r="AF2750">
        <v>-0.20025083862016499</v>
      </c>
      <c r="AG2750">
        <v>3.3870099999999903E-2</v>
      </c>
      <c r="AH2750">
        <v>3.0158445343474498</v>
      </c>
      <c r="AI2750">
        <v>89.357967953608906</v>
      </c>
      <c r="AJ2750">
        <v>93.798839871213403</v>
      </c>
      <c r="AK2750">
        <v>3.0226752781923998</v>
      </c>
      <c r="AL2750">
        <v>95.186551840810594</v>
      </c>
      <c r="AM2750">
        <v>97.186878762829906</v>
      </c>
      <c r="AN2750">
        <v>1.00000001062862</v>
      </c>
    </row>
    <row r="2751" spans="1:40" x14ac:dyDescent="0.25">
      <c r="A2751" t="str">
        <f>"20190305135640988"</f>
        <v>20190305135640988</v>
      </c>
      <c r="B2751" t="str">
        <f>"1551765400985000"</f>
        <v>1551765400985000</v>
      </c>
      <c r="C2751" t="s">
        <v>40</v>
      </c>
      <c r="D2751">
        <v>4.2149320000000001</v>
      </c>
      <c r="E2751">
        <v>0.42329600000000001</v>
      </c>
      <c r="F2751" t="s">
        <v>80</v>
      </c>
      <c r="G2751">
        <v>-163.8365</v>
      </c>
      <c r="H2751">
        <v>0.55917720000000004</v>
      </c>
      <c r="I2751">
        <v>110.7808</v>
      </c>
      <c r="J2751">
        <v>-190.44829999999999</v>
      </c>
      <c r="K2751">
        <v>1.1095710000000001</v>
      </c>
      <c r="L2751">
        <v>184.44919999999999</v>
      </c>
      <c r="M2751">
        <v>1.631757E-2</v>
      </c>
      <c r="N2751">
        <v>-1.350267E-2</v>
      </c>
      <c r="O2751">
        <v>-0.99977579999999999</v>
      </c>
      <c r="P2751">
        <v>0.15060029999999999</v>
      </c>
      <c r="Q2751">
        <v>-0.106672699999999</v>
      </c>
      <c r="R2751">
        <v>-0.9828228</v>
      </c>
      <c r="S2751">
        <v>1.0422209999999901</v>
      </c>
      <c r="T2751">
        <v>-2.1551009999999999E-2</v>
      </c>
      <c r="U2751">
        <v>-2.896042</v>
      </c>
      <c r="V2751">
        <v>-0.13442809999999999</v>
      </c>
      <c r="W2751">
        <v>-9.3524140000000006E-2</v>
      </c>
      <c r="X2751">
        <v>0.98650000000000004</v>
      </c>
      <c r="Y2751">
        <v>-0.32316709999999998</v>
      </c>
      <c r="Z2751">
        <v>-6.4447150000000002E-3</v>
      </c>
      <c r="AA2751">
        <v>0.94631989999999999</v>
      </c>
      <c r="AB2751">
        <v>28</v>
      </c>
      <c r="AC2751">
        <v>26.611799999999899</v>
      </c>
      <c r="AD2751">
        <v>-0.55039379999999904</v>
      </c>
      <c r="AE2751">
        <v>-73.668399999999906</v>
      </c>
      <c r="AF2751">
        <v>-25.4048031275338</v>
      </c>
      <c r="AG2751">
        <v>-0.55039379999999904</v>
      </c>
      <c r="AH2751">
        <v>74.089211185240302</v>
      </c>
      <c r="AI2751">
        <v>90.402620007462701</v>
      </c>
      <c r="AJ2751">
        <v>108.92657356995301</v>
      </c>
      <c r="AK2751">
        <v>78.325718441230805</v>
      </c>
      <c r="AL2751">
        <v>95.366381250092999</v>
      </c>
      <c r="AM2751">
        <v>97.759770342163307</v>
      </c>
      <c r="AN2751">
        <v>0.999999964416174</v>
      </c>
    </row>
    <row r="2752" spans="1:40" x14ac:dyDescent="0.25">
      <c r="A2752" t="str">
        <f>"20190305135641012"</f>
        <v>20190305135641012</v>
      </c>
      <c r="B2752" t="str">
        <f>"1551765401004519"</f>
        <v>1551765401004519</v>
      </c>
      <c r="C2752" t="s">
        <v>40</v>
      </c>
      <c r="D2752">
        <v>4.2933450000000004</v>
      </c>
      <c r="E2752">
        <v>0.4252746</v>
      </c>
      <c r="F2752" t="s">
        <v>80</v>
      </c>
      <c r="G2752">
        <v>-163.01910000000001</v>
      </c>
      <c r="H2752">
        <v>1.015412</v>
      </c>
      <c r="I2752">
        <v>111.6</v>
      </c>
      <c r="J2752">
        <v>-190.44280000000001</v>
      </c>
      <c r="K2752">
        <v>1.109564</v>
      </c>
      <c r="L2752">
        <v>184.1601</v>
      </c>
      <c r="M2752">
        <v>1.6984079999999999E-2</v>
      </c>
      <c r="N2752">
        <v>-1.3499769999999999E-2</v>
      </c>
      <c r="O2752">
        <v>-0.9997646</v>
      </c>
      <c r="P2752">
        <v>0.1600705</v>
      </c>
      <c r="Q2752">
        <v>-0.1088525</v>
      </c>
      <c r="R2752">
        <v>-0.98108569999999995</v>
      </c>
      <c r="S2752">
        <v>1.0864560000000001</v>
      </c>
      <c r="T2752">
        <v>-3.7292240000000002E-3</v>
      </c>
      <c r="U2752">
        <v>-2.885513</v>
      </c>
      <c r="V2752">
        <v>-0.14326820000000001</v>
      </c>
      <c r="W2752">
        <v>-9.5735609999999999E-2</v>
      </c>
      <c r="X2752">
        <v>0.98504259999999999</v>
      </c>
      <c r="Y2752">
        <v>-0.33636529999999998</v>
      </c>
      <c r="Z2752">
        <v>-1.2245270000000001E-2</v>
      </c>
      <c r="AA2752">
        <v>0.94165200000000004</v>
      </c>
      <c r="AB2752">
        <v>28</v>
      </c>
      <c r="AC2752">
        <v>27.4237</v>
      </c>
      <c r="AD2752">
        <v>-9.4152E-2</v>
      </c>
      <c r="AE2752">
        <v>-72.560100000000006</v>
      </c>
      <c r="AF2752">
        <v>-26.1872262270156</v>
      </c>
      <c r="AG2752">
        <v>-9.4152E-2</v>
      </c>
      <c r="AH2752">
        <v>73.015333232657895</v>
      </c>
      <c r="AI2752">
        <v>90.069544311677305</v>
      </c>
      <c r="AJ2752">
        <v>109.73056453030399</v>
      </c>
      <c r="AK2752">
        <v>77.569443527332794</v>
      </c>
      <c r="AL2752">
        <v>95.493660122660998</v>
      </c>
      <c r="AM2752">
        <v>98.275282000614098</v>
      </c>
      <c r="AN2752">
        <v>1.00000000398403</v>
      </c>
    </row>
    <row r="2753" spans="1:40" x14ac:dyDescent="0.25">
      <c r="A2753" t="str">
        <f>"20190305135641035"</f>
        <v>20190305135641035</v>
      </c>
      <c r="B2753" t="str">
        <f>"1551765401025015"</f>
        <v>1551765401025015</v>
      </c>
      <c r="C2753" t="s">
        <v>40</v>
      </c>
      <c r="D2753">
        <v>4.242597</v>
      </c>
      <c r="E2753">
        <v>0.4272241</v>
      </c>
      <c r="F2753" t="s">
        <v>80</v>
      </c>
      <c r="G2753">
        <v>-162.8168</v>
      </c>
      <c r="H2753">
        <v>0.92879579999999995</v>
      </c>
      <c r="I2753">
        <v>111.80249999999999</v>
      </c>
      <c r="J2753">
        <v>-190.43709999999999</v>
      </c>
      <c r="K2753">
        <v>1.109559</v>
      </c>
      <c r="L2753">
        <v>183.8706</v>
      </c>
      <c r="M2753">
        <v>1.764135E-2</v>
      </c>
      <c r="N2753">
        <v>-1.349711E-2</v>
      </c>
      <c r="O2753">
        <v>-0.99975360000000002</v>
      </c>
      <c r="P2753">
        <v>0.167762299999999</v>
      </c>
      <c r="Q2753">
        <v>-0.110296699999999</v>
      </c>
      <c r="R2753">
        <v>-0.97963840000000002</v>
      </c>
      <c r="S2753">
        <v>1.098724</v>
      </c>
      <c r="T2753">
        <v>-7.1890349999999999E-3</v>
      </c>
      <c r="U2753">
        <v>-2.8777620000000002</v>
      </c>
      <c r="V2753">
        <v>-0.15033740000000001</v>
      </c>
      <c r="W2753">
        <v>-9.7205200000000005E-2</v>
      </c>
      <c r="X2753">
        <v>0.98384439999999995</v>
      </c>
      <c r="Y2753">
        <v>-0.34009020000000001</v>
      </c>
      <c r="Z2753">
        <v>-1.111272E-2</v>
      </c>
      <c r="AA2753">
        <v>0.94032720000000003</v>
      </c>
      <c r="AB2753">
        <v>28</v>
      </c>
      <c r="AC2753">
        <v>27.620299999999901</v>
      </c>
      <c r="AD2753">
        <v>-0.18076319999999901</v>
      </c>
      <c r="AE2753">
        <v>-72.068100000000001</v>
      </c>
      <c r="AF2753">
        <v>-26.344362433650701</v>
      </c>
      <c r="AG2753">
        <v>-0.18076319999999901</v>
      </c>
      <c r="AH2753">
        <v>72.543788345613805</v>
      </c>
      <c r="AI2753">
        <v>90.1341935582671</v>
      </c>
      <c r="AJ2753">
        <v>109.95855038363101</v>
      </c>
      <c r="AK2753">
        <v>77.1793970882336</v>
      </c>
      <c r="AL2753">
        <v>95.578256057820496</v>
      </c>
      <c r="AM2753">
        <v>98.687938839138496</v>
      </c>
      <c r="AN2753">
        <v>0.99999999407857998</v>
      </c>
    </row>
    <row r="2754" spans="1:40" x14ac:dyDescent="0.25">
      <c r="A2754" t="str">
        <f>"20190305135641066"</f>
        <v>20190305135641066</v>
      </c>
      <c r="B2754" t="str">
        <f>"1551765401055271"</f>
        <v>1551765401055271</v>
      </c>
      <c r="C2754" t="s">
        <v>40</v>
      </c>
      <c r="D2754">
        <v>4.2827289999999998</v>
      </c>
      <c r="E2754">
        <v>0.43008970000000002</v>
      </c>
      <c r="F2754" t="s">
        <v>80</v>
      </c>
      <c r="G2754">
        <v>-162.7235</v>
      </c>
      <c r="H2754">
        <v>0.93314810000000004</v>
      </c>
      <c r="I2754">
        <v>111.896</v>
      </c>
      <c r="J2754">
        <v>-190.429</v>
      </c>
      <c r="K2754">
        <v>1.109548</v>
      </c>
      <c r="L2754">
        <v>183.47630000000001</v>
      </c>
      <c r="M2754">
        <v>1.8530089999999999E-2</v>
      </c>
      <c r="N2754">
        <v>-1.349354E-2</v>
      </c>
      <c r="O2754">
        <v>-0.99973730000000005</v>
      </c>
      <c r="P2754">
        <v>0.17884320000000001</v>
      </c>
      <c r="Q2754">
        <v>-0.11061600000000001</v>
      </c>
      <c r="R2754">
        <v>-0.97763960000000005</v>
      </c>
      <c r="S2754">
        <v>1.1059110000000001</v>
      </c>
      <c r="T2754">
        <v>-7.0393089999999997E-3</v>
      </c>
      <c r="U2754">
        <v>-2.872147</v>
      </c>
      <c r="V2754">
        <v>-0.160581</v>
      </c>
      <c r="W2754">
        <v>-9.7559419999999994E-2</v>
      </c>
      <c r="X2754">
        <v>0.98218939999999999</v>
      </c>
      <c r="Y2754">
        <v>-0.34191660000000001</v>
      </c>
      <c r="Z2754">
        <v>-1.115299E-2</v>
      </c>
      <c r="AA2754">
        <v>0.9396641</v>
      </c>
      <c r="AB2754">
        <v>28</v>
      </c>
      <c r="AC2754">
        <v>27.705500000000001</v>
      </c>
      <c r="AD2754">
        <v>-0.1763999</v>
      </c>
      <c r="AE2754">
        <v>-71.580299999999994</v>
      </c>
      <c r="AF2754">
        <v>-26.3740927867624</v>
      </c>
      <c r="AG2754">
        <v>-0.1763999</v>
      </c>
      <c r="AH2754">
        <v>72.081059056168598</v>
      </c>
      <c r="AI2754">
        <v>90.131678742598595</v>
      </c>
      <c r="AJ2754">
        <v>110.097315807391</v>
      </c>
      <c r="AK2754">
        <v>76.754823704496502</v>
      </c>
      <c r="AL2754">
        <v>95.598647934880006</v>
      </c>
      <c r="AM2754">
        <v>99.285303295176405</v>
      </c>
      <c r="AN2754">
        <v>1.00000005773204</v>
      </c>
    </row>
    <row r="2755" spans="1:40" x14ac:dyDescent="0.25">
      <c r="A2755" t="str">
        <f>"20190305135641089"</f>
        <v>20190305135641089</v>
      </c>
      <c r="B2755" t="str">
        <f>"1551765401084552"</f>
        <v>1551765401084552</v>
      </c>
      <c r="C2755" t="s">
        <v>40</v>
      </c>
      <c r="D2755">
        <v>4.2769729999999999</v>
      </c>
      <c r="E2755">
        <v>0.43282150000000003</v>
      </c>
      <c r="F2755" t="s">
        <v>80</v>
      </c>
      <c r="G2755">
        <v>-162.6001</v>
      </c>
      <c r="H2755">
        <v>0.84094230000000003</v>
      </c>
      <c r="I2755">
        <v>112.01949999999999</v>
      </c>
      <c r="J2755">
        <v>-190.4229</v>
      </c>
      <c r="K2755">
        <v>1.1095170000000001</v>
      </c>
      <c r="L2755">
        <v>183.1919</v>
      </c>
      <c r="M2755">
        <v>1.9170630000000001E-2</v>
      </c>
      <c r="N2755">
        <v>-1.349118E-2</v>
      </c>
      <c r="O2755">
        <v>-0.99972539999999999</v>
      </c>
      <c r="P2755">
        <v>0.18628980000000001</v>
      </c>
      <c r="Q2755">
        <v>-0.11187560000000001</v>
      </c>
      <c r="R2755">
        <v>-0.97610490000000005</v>
      </c>
      <c r="S2755">
        <v>1.1151580000000001</v>
      </c>
      <c r="T2755">
        <v>-1.0763170000000001E-2</v>
      </c>
      <c r="U2755">
        <v>-2.8634189999999999</v>
      </c>
      <c r="V2755">
        <v>-0.1674273</v>
      </c>
      <c r="W2755">
        <v>-9.8844500000000002E-2</v>
      </c>
      <c r="X2755">
        <v>0.98091689999999998</v>
      </c>
      <c r="Y2755">
        <v>-0.3449122</v>
      </c>
      <c r="Z2755">
        <v>-9.9289570000000004E-3</v>
      </c>
      <c r="AA2755">
        <v>0.93858249999999999</v>
      </c>
      <c r="AB2755">
        <v>28</v>
      </c>
      <c r="AC2755">
        <v>27.822800000000001</v>
      </c>
      <c r="AD2755">
        <v>-0.2685747</v>
      </c>
      <c r="AE2755">
        <v>-71.172399999999996</v>
      </c>
      <c r="AF2755">
        <v>-26.452815568025098</v>
      </c>
      <c r="AG2755">
        <v>-0.2685747</v>
      </c>
      <c r="AH2755">
        <v>71.691861518989896</v>
      </c>
      <c r="AI2755">
        <v>90.201371989992396</v>
      </c>
      <c r="AJ2755">
        <v>110.253018815914</v>
      </c>
      <c r="AK2755">
        <v>76.416926082534005</v>
      </c>
      <c r="AL2755">
        <v>95.672635255336402</v>
      </c>
      <c r="AM2755">
        <v>99.6861577664843</v>
      </c>
      <c r="AN2755">
        <v>1.0000000503355699</v>
      </c>
    </row>
    <row r="2756" spans="1:40" x14ac:dyDescent="0.25">
      <c r="A2756" t="str">
        <f>"20190305135641112"</f>
        <v>20190305135641112</v>
      </c>
      <c r="B2756" t="str">
        <f>"1551765401105047"</f>
        <v>1551765401105047</v>
      </c>
      <c r="C2756" t="s">
        <v>40</v>
      </c>
      <c r="D2756">
        <v>4.2837649999999998</v>
      </c>
      <c r="E2756">
        <v>0.43483050000000001</v>
      </c>
      <c r="F2756" t="s">
        <v>80</v>
      </c>
      <c r="G2756">
        <v>-162.62260000000001</v>
      </c>
      <c r="H2756">
        <v>0.85515370000000002</v>
      </c>
      <c r="I2756">
        <v>111.997</v>
      </c>
      <c r="J2756">
        <v>-190.41630000000001</v>
      </c>
      <c r="K2756">
        <v>1.1094930000000001</v>
      </c>
      <c r="L2756">
        <v>182.89070000000001</v>
      </c>
      <c r="M2756">
        <v>1.9849410000000001E-2</v>
      </c>
      <c r="N2756">
        <v>-1.3488790000000001E-2</v>
      </c>
      <c r="O2756">
        <v>-0.99971200000000005</v>
      </c>
      <c r="P2756">
        <v>0.19443079999999999</v>
      </c>
      <c r="Q2756">
        <v>-0.11440599999999999</v>
      </c>
      <c r="R2756">
        <v>-0.97422169999999997</v>
      </c>
      <c r="S2756">
        <v>1.116455</v>
      </c>
      <c r="T2756">
        <v>-1.021481E-2</v>
      </c>
      <c r="U2756">
        <v>-2.8591769999999999</v>
      </c>
      <c r="V2756">
        <v>-0.17493689999999901</v>
      </c>
      <c r="W2756">
        <v>-0.1014055</v>
      </c>
      <c r="X2756">
        <v>0.97934370000000004</v>
      </c>
      <c r="Y2756">
        <v>-0.3451149</v>
      </c>
      <c r="Z2756">
        <v>-1.009961E-2</v>
      </c>
      <c r="AA2756">
        <v>0.93850610000000001</v>
      </c>
      <c r="AB2756">
        <v>28</v>
      </c>
      <c r="AC2756">
        <v>27.793700000000001</v>
      </c>
      <c r="AD2756">
        <v>-0.25433929999999999</v>
      </c>
      <c r="AE2756">
        <v>-70.893699999999995</v>
      </c>
      <c r="AF2756">
        <v>-26.380602676919299</v>
      </c>
      <c r="AG2756">
        <v>-0.25433929999999999</v>
      </c>
      <c r="AH2756">
        <v>71.430671892321399</v>
      </c>
      <c r="AI2756">
        <v>90.191374913039795</v>
      </c>
      <c r="AJ2756">
        <v>110.27007435152299</v>
      </c>
      <c r="AK2756">
        <v>76.146843487208798</v>
      </c>
      <c r="AL2756">
        <v>95.820110934327403</v>
      </c>
      <c r="AM2756">
        <v>100.127738695692</v>
      </c>
      <c r="AN2756">
        <v>1.0000000385707699</v>
      </c>
    </row>
    <row r="2757" spans="1:40" x14ac:dyDescent="0.25">
      <c r="A2757" t="str">
        <f>"20190305135641134"</f>
        <v>20190305135641134</v>
      </c>
      <c r="B2757" t="str">
        <f>"1551765401124567"</f>
        <v>1551765401124567</v>
      </c>
      <c r="C2757" t="s">
        <v>40</v>
      </c>
      <c r="D2757">
        <v>4.3430759999999999</v>
      </c>
      <c r="E2757">
        <v>0.43571399999999999</v>
      </c>
      <c r="F2757" t="s">
        <v>80</v>
      </c>
      <c r="G2757">
        <v>-162.4939</v>
      </c>
      <c r="H2757">
        <v>0.77436240000000001</v>
      </c>
      <c r="I2757">
        <v>112.1259</v>
      </c>
      <c r="J2757">
        <v>-190.41030000000001</v>
      </c>
      <c r="K2757">
        <v>1.109469</v>
      </c>
      <c r="L2757">
        <v>182.62379999999999</v>
      </c>
      <c r="M2757">
        <v>2.045168E-2</v>
      </c>
      <c r="N2757">
        <v>-1.348683E-2</v>
      </c>
      <c r="O2757">
        <v>-0.99970009999999998</v>
      </c>
      <c r="P2757">
        <v>0.203322</v>
      </c>
      <c r="Q2757">
        <v>-0.11753180000000001</v>
      </c>
      <c r="R2757">
        <v>-0.97203240000000002</v>
      </c>
      <c r="S2757">
        <v>1.1257779999999999</v>
      </c>
      <c r="T2757">
        <v>-1.351142E-2</v>
      </c>
      <c r="U2757">
        <v>-2.8531040000000001</v>
      </c>
      <c r="V2757">
        <v>-0.1832791</v>
      </c>
      <c r="W2757">
        <v>-0.1045669</v>
      </c>
      <c r="X2757">
        <v>0.97748369999999996</v>
      </c>
      <c r="Y2757">
        <v>-0.34788229999999998</v>
      </c>
      <c r="Z2757">
        <v>-9.0142859999999998E-3</v>
      </c>
      <c r="AA2757">
        <v>0.93749490000000002</v>
      </c>
      <c r="AB2757">
        <v>28</v>
      </c>
      <c r="AC2757">
        <v>27.916399999999999</v>
      </c>
      <c r="AD2757">
        <v>-0.33510659999999998</v>
      </c>
      <c r="AE2757">
        <v>-70.497899999999902</v>
      </c>
      <c r="AF2757">
        <v>-26.468111725698598</v>
      </c>
      <c r="AG2757">
        <v>-0.33510659999999998</v>
      </c>
      <c r="AH2757">
        <v>71.052753421378696</v>
      </c>
      <c r="AI2757">
        <v>90.253223825525595</v>
      </c>
      <c r="AJ2757">
        <v>110.43104288998001</v>
      </c>
      <c r="AK2757">
        <v>75.823261625418496</v>
      </c>
      <c r="AL2757">
        <v>96.002214853037501</v>
      </c>
      <c r="AM2757">
        <v>100.619706592432</v>
      </c>
      <c r="AN2757">
        <v>0.99999992441905206</v>
      </c>
    </row>
    <row r="2758" spans="1:40" x14ac:dyDescent="0.25">
      <c r="A2758" t="str">
        <f>"20190305135641155"</f>
        <v>20190305135641155</v>
      </c>
      <c r="B2758" t="str">
        <f>"1551765401145067"</f>
        <v>1551765401145067</v>
      </c>
      <c r="C2758" t="s">
        <v>40</v>
      </c>
      <c r="D2758">
        <v>4.462987</v>
      </c>
      <c r="E2758">
        <v>0.43612139999999999</v>
      </c>
      <c r="F2758" t="s">
        <v>80</v>
      </c>
      <c r="G2758">
        <v>-162.1463</v>
      </c>
      <c r="H2758">
        <v>0.47909299999999999</v>
      </c>
      <c r="I2758">
        <v>112.4738</v>
      </c>
      <c r="J2758">
        <v>-190.404</v>
      </c>
      <c r="K2758">
        <v>1.1094520000000001</v>
      </c>
      <c r="L2758">
        <v>182.35589999999999</v>
      </c>
      <c r="M2758">
        <v>2.1053760000000001E-2</v>
      </c>
      <c r="N2758">
        <v>-1.3484889999999999E-2</v>
      </c>
      <c r="O2758">
        <v>-0.99968769999999996</v>
      </c>
      <c r="P2758">
        <v>0.21238779999999999</v>
      </c>
      <c r="Q2758">
        <v>-0.1205141</v>
      </c>
      <c r="R2758">
        <v>-0.96972599999999998</v>
      </c>
      <c r="S2758">
        <v>1.1457059999999999</v>
      </c>
      <c r="T2758">
        <v>-2.5552510000000001E-2</v>
      </c>
      <c r="U2758">
        <v>-2.8435969999999999</v>
      </c>
      <c r="V2758">
        <v>-0.1918009</v>
      </c>
      <c r="W2758">
        <v>-0.10758620000000001</v>
      </c>
      <c r="X2758">
        <v>0.97551920000000003</v>
      </c>
      <c r="Y2758">
        <v>-0.35404629999999998</v>
      </c>
      <c r="Z2758">
        <v>-5.065267E-3</v>
      </c>
      <c r="AA2758">
        <v>0.9352142</v>
      </c>
      <c r="AB2758">
        <v>28</v>
      </c>
      <c r="AC2758">
        <v>28.2577</v>
      </c>
      <c r="AD2758">
        <v>-0.630359</v>
      </c>
      <c r="AE2758">
        <v>-69.882099999999994</v>
      </c>
      <c r="AF2758">
        <v>-26.778148454066599</v>
      </c>
      <c r="AG2758">
        <v>-0.630359</v>
      </c>
      <c r="AH2758">
        <v>70.456665074988194</v>
      </c>
      <c r="AI2758">
        <v>90.479159397525606</v>
      </c>
      <c r="AJ2758">
        <v>110.810070857049</v>
      </c>
      <c r="AK2758">
        <v>75.376443538986194</v>
      </c>
      <c r="AL2758">
        <v>96.176188920853704</v>
      </c>
      <c r="AM2758">
        <v>101.12327925248999</v>
      </c>
      <c r="AN2758">
        <v>1.00000004261994</v>
      </c>
    </row>
    <row r="2759" spans="1:40" x14ac:dyDescent="0.25">
      <c r="A2759" t="str">
        <f>"20190305135641178"</f>
        <v>20190305135641178</v>
      </c>
      <c r="B2759" t="str">
        <f>"1551765401175320"</f>
        <v>1551765401175320</v>
      </c>
      <c r="C2759" t="s">
        <v>40</v>
      </c>
      <c r="D2759">
        <v>4.2490290000000002</v>
      </c>
      <c r="E2759">
        <v>0.38483879999999998</v>
      </c>
      <c r="F2759" t="s">
        <v>80</v>
      </c>
      <c r="G2759">
        <v>-161.72630000000001</v>
      </c>
      <c r="H2759">
        <v>0.2252101</v>
      </c>
      <c r="I2759">
        <v>112.89449999999999</v>
      </c>
      <c r="J2759">
        <v>-190.3973</v>
      </c>
      <c r="K2759">
        <v>1.109432</v>
      </c>
      <c r="L2759">
        <v>182.07239999999999</v>
      </c>
      <c r="M2759">
        <v>2.167461E-2</v>
      </c>
      <c r="N2759">
        <v>-1.3482890000000001E-2</v>
      </c>
      <c r="O2759">
        <v>-0.99967430000000002</v>
      </c>
      <c r="P2759">
        <v>0.2216399</v>
      </c>
      <c r="Q2759">
        <v>-0.12320689999999999</v>
      </c>
      <c r="R2759">
        <v>-0.96731409999999995</v>
      </c>
      <c r="S2759">
        <v>1.169632</v>
      </c>
      <c r="T2759">
        <v>-3.6063669999999999E-2</v>
      </c>
      <c r="U2759">
        <v>-2.833008</v>
      </c>
      <c r="V2759">
        <v>-0.20049739999999999</v>
      </c>
      <c r="W2759">
        <v>-0.1103141</v>
      </c>
      <c r="X2759">
        <v>0.97346370000000004</v>
      </c>
      <c r="Y2759">
        <v>-0.36142879999999999</v>
      </c>
      <c r="Z2759">
        <v>-1.6144690000000001E-3</v>
      </c>
      <c r="AA2759">
        <v>0.93239830000000001</v>
      </c>
      <c r="AB2759">
        <v>28</v>
      </c>
      <c r="AC2759">
        <v>28.6709999999999</v>
      </c>
      <c r="AD2759">
        <v>-0.88422190000000001</v>
      </c>
      <c r="AE2759">
        <v>-69.177899999999994</v>
      </c>
      <c r="AF2759">
        <v>-27.160936282925501</v>
      </c>
      <c r="AG2759">
        <v>-0.88422190000000001</v>
      </c>
      <c r="AH2759">
        <v>69.773406537720305</v>
      </c>
      <c r="AI2759">
        <v>90.676605357292303</v>
      </c>
      <c r="AJ2759">
        <v>111.26964338003199</v>
      </c>
      <c r="AK2759">
        <v>74.878745769487793</v>
      </c>
      <c r="AL2759">
        <v>96.333422421405501</v>
      </c>
      <c r="AM2759">
        <v>101.638060892741</v>
      </c>
      <c r="AN2759">
        <v>0.99999999164163</v>
      </c>
    </row>
    <row r="2760" spans="1:40" x14ac:dyDescent="0.25">
      <c r="A2760" t="str">
        <f>"20190305135641224"</f>
        <v>20190305135641224</v>
      </c>
      <c r="B2760" t="str">
        <f>"1551765401215335"</f>
        <v>1551765401215335</v>
      </c>
      <c r="C2760" t="s">
        <v>40</v>
      </c>
      <c r="D2760">
        <v>4.2572850000000004</v>
      </c>
      <c r="E2760">
        <v>0.3894128</v>
      </c>
      <c r="F2760" t="s">
        <v>80</v>
      </c>
      <c r="G2760">
        <v>-152.7731</v>
      </c>
      <c r="H2760">
        <v>1.7662</v>
      </c>
      <c r="I2760">
        <v>117.9007</v>
      </c>
      <c r="J2760">
        <v>-190.38319999999999</v>
      </c>
      <c r="K2760">
        <v>1.1093710000000001</v>
      </c>
      <c r="L2760">
        <v>181.49789999999999</v>
      </c>
      <c r="M2760">
        <v>2.2821149999999998E-2</v>
      </c>
      <c r="N2760">
        <v>-1.347892E-2</v>
      </c>
      <c r="O2760">
        <v>-0.99964869999999995</v>
      </c>
      <c r="P2760">
        <v>0.23870330000000001</v>
      </c>
      <c r="Q2760">
        <v>-0.12430869999999999</v>
      </c>
      <c r="R2760">
        <v>-0.96310340000000005</v>
      </c>
      <c r="S2760">
        <v>1.604843</v>
      </c>
      <c r="T2760">
        <v>2.8014299999999999E-2</v>
      </c>
      <c r="U2760">
        <v>-2.7372130000000001</v>
      </c>
      <c r="V2760">
        <v>-0.2165514</v>
      </c>
      <c r="W2760">
        <v>-0.111457</v>
      </c>
      <c r="X2760">
        <v>0.96988810000000003</v>
      </c>
      <c r="Y2760">
        <v>-0.4858227</v>
      </c>
      <c r="Z2760">
        <v>-2.2272900000000002E-2</v>
      </c>
      <c r="AA2760">
        <v>0.87377359999999904</v>
      </c>
      <c r="AB2760">
        <v>28</v>
      </c>
      <c r="AC2760">
        <v>37.610099999999903</v>
      </c>
      <c r="AD2760">
        <v>0.656829</v>
      </c>
      <c r="AE2760">
        <v>-63.597200000000001</v>
      </c>
      <c r="AF2760">
        <v>-36.145953540925603</v>
      </c>
      <c r="AG2760">
        <v>0.656829</v>
      </c>
      <c r="AH2760">
        <v>64.433925583266699</v>
      </c>
      <c r="AI2760">
        <v>89.490626471520301</v>
      </c>
      <c r="AJ2760">
        <v>119.291424970338</v>
      </c>
      <c r="AK2760">
        <v>73.882962500078193</v>
      </c>
      <c r="AL2760">
        <v>96.399311732465605</v>
      </c>
      <c r="AM2760">
        <v>102.58625545798201</v>
      </c>
      <c r="AN2760">
        <v>1.0000000491062799</v>
      </c>
    </row>
    <row r="2761" spans="1:40" x14ac:dyDescent="0.25">
      <c r="A2761" t="str">
        <f>"20190305135641246"</f>
        <v>20190305135641246</v>
      </c>
      <c r="B2761" t="str">
        <f>"1551765401234855"</f>
        <v>1551765401234855</v>
      </c>
      <c r="C2761" t="s">
        <v>40</v>
      </c>
      <c r="D2761">
        <v>4.2919470000000004</v>
      </c>
      <c r="E2761">
        <v>0.39439619999999997</v>
      </c>
      <c r="F2761" t="s">
        <v>80</v>
      </c>
      <c r="G2761">
        <v>-152.57480000000001</v>
      </c>
      <c r="H2761">
        <v>1.1298870000000001</v>
      </c>
      <c r="I2761">
        <v>117.90049999999999</v>
      </c>
      <c r="J2761">
        <v>-190.37649999999999</v>
      </c>
      <c r="K2761">
        <v>1.1093440000000001</v>
      </c>
      <c r="L2761">
        <v>181.22810000000001</v>
      </c>
      <c r="M2761">
        <v>2.3291220000000001E-2</v>
      </c>
      <c r="N2761">
        <v>-1.3477080000000001E-2</v>
      </c>
      <c r="O2761">
        <v>-0.99963780000000002</v>
      </c>
      <c r="P2761">
        <v>0.24451419999999999</v>
      </c>
      <c r="Q2761">
        <v>-0.12473330000000001</v>
      </c>
      <c r="R2761">
        <v>-0.96158960000000004</v>
      </c>
      <c r="S2761">
        <v>1.614044</v>
      </c>
      <c r="T2761">
        <v>8.7606909999999997E-4</v>
      </c>
      <c r="U2761">
        <v>-2.7149809999999999</v>
      </c>
      <c r="V2761">
        <v>-0.2219505</v>
      </c>
      <c r="W2761">
        <v>-0.1118854</v>
      </c>
      <c r="X2761">
        <v>0.96861739999999996</v>
      </c>
      <c r="Y2761">
        <v>-0.49076330000000001</v>
      </c>
      <c r="Z2761">
        <v>-1.366996E-2</v>
      </c>
      <c r="AA2761">
        <v>0.87118569999999995</v>
      </c>
      <c r="AB2761">
        <v>28</v>
      </c>
      <c r="AC2761">
        <v>37.801699999999897</v>
      </c>
      <c r="AD2761">
        <v>2.0542999999999902E-2</v>
      </c>
      <c r="AE2761">
        <v>-63.327599999999997</v>
      </c>
      <c r="AF2761">
        <v>-36.316329427560902</v>
      </c>
      <c r="AG2761">
        <v>2.0542999999999902E-2</v>
      </c>
      <c r="AH2761">
        <v>64.190940307252603</v>
      </c>
      <c r="AI2761">
        <v>89.984040735185204</v>
      </c>
      <c r="AJ2761">
        <v>119.49921755118299</v>
      </c>
      <c r="AK2761">
        <v>73.751969618683702</v>
      </c>
      <c r="AL2761">
        <v>96.424011941365194</v>
      </c>
      <c r="AM2761">
        <v>102.906041817908</v>
      </c>
      <c r="AN2761">
        <v>1.0000000173830801</v>
      </c>
    </row>
    <row r="2762" spans="1:40" x14ac:dyDescent="0.25">
      <c r="A2762" t="str">
        <f>"20190305135641269"</f>
        <v>20190305135641269</v>
      </c>
      <c r="B2762" t="str">
        <f>"1551765401265112"</f>
        <v>1551765401265112</v>
      </c>
      <c r="C2762" t="s">
        <v>40</v>
      </c>
      <c r="D2762">
        <v>4.3819410000000003</v>
      </c>
      <c r="E2762">
        <v>0.39628859999999999</v>
      </c>
      <c r="F2762" t="s">
        <v>80</v>
      </c>
      <c r="G2762">
        <v>-153.2867</v>
      </c>
      <c r="H2762">
        <v>0.50837469999999996</v>
      </c>
      <c r="I2762">
        <v>117.9002</v>
      </c>
      <c r="J2762">
        <v>-190.36940000000001</v>
      </c>
      <c r="K2762">
        <v>1.109321</v>
      </c>
      <c r="L2762">
        <v>180.94900000000001</v>
      </c>
      <c r="M2762">
        <v>2.37238E-2</v>
      </c>
      <c r="N2762">
        <v>-1.347521E-2</v>
      </c>
      <c r="O2762">
        <v>-0.99962779999999996</v>
      </c>
      <c r="P2762">
        <v>0.24829019999999999</v>
      </c>
      <c r="Q2762">
        <v>-0.1226472</v>
      </c>
      <c r="R2762">
        <v>-0.96089029999999998</v>
      </c>
      <c r="S2762">
        <v>1.5886690000000001</v>
      </c>
      <c r="T2762">
        <v>-2.574098E-2</v>
      </c>
      <c r="U2762">
        <v>-2.7125240000000002</v>
      </c>
      <c r="V2762">
        <v>-0.2253365</v>
      </c>
      <c r="W2762">
        <v>-0.10978839999999999</v>
      </c>
      <c r="X2762">
        <v>0.96807540000000003</v>
      </c>
      <c r="Y2762">
        <v>-0.48469279999999998</v>
      </c>
      <c r="Z2762">
        <v>-5.1525579999999998E-3</v>
      </c>
      <c r="AA2762">
        <v>0.87466929999999998</v>
      </c>
      <c r="AB2762">
        <v>28</v>
      </c>
      <c r="AC2762">
        <v>37.082700000000003</v>
      </c>
      <c r="AD2762">
        <v>-0.60094629999999905</v>
      </c>
      <c r="AE2762">
        <v>-63.0488</v>
      </c>
      <c r="AF2762">
        <v>-35.573967187375501</v>
      </c>
      <c r="AG2762">
        <v>-0.60094629999999905</v>
      </c>
      <c r="AH2762">
        <v>63.906560535618198</v>
      </c>
      <c r="AI2762">
        <v>90.4707492880258</v>
      </c>
      <c r="AJ2762">
        <v>119.10275976256899</v>
      </c>
      <c r="AK2762">
        <v>73.143125154703299</v>
      </c>
      <c r="AL2762">
        <v>96.303117869578898</v>
      </c>
      <c r="AM2762">
        <v>103.103273065482</v>
      </c>
      <c r="AN2762">
        <v>1.0000000055459799</v>
      </c>
    </row>
    <row r="2763" spans="1:40" x14ac:dyDescent="0.25">
      <c r="A2763" t="str">
        <f>"20190305135641291"</f>
        <v>20190305135641291</v>
      </c>
      <c r="B2763" t="str">
        <f>"1551765401284707"</f>
        <v>1551765401284707</v>
      </c>
      <c r="C2763" t="s">
        <v>40</v>
      </c>
      <c r="D2763">
        <v>4.3467840000000004</v>
      </c>
      <c r="E2763">
        <v>0.3987639</v>
      </c>
      <c r="F2763" t="s">
        <v>80</v>
      </c>
      <c r="G2763">
        <v>-153.54259999999999</v>
      </c>
      <c r="H2763">
        <v>-2.1874899999999999E-2</v>
      </c>
      <c r="I2763">
        <v>117.90009999999999</v>
      </c>
      <c r="J2763">
        <v>-190.36240000000001</v>
      </c>
      <c r="K2763">
        <v>1.1092930000000001</v>
      </c>
      <c r="L2763">
        <v>180.67410000000001</v>
      </c>
      <c r="M2763">
        <v>2.4084660000000001E-2</v>
      </c>
      <c r="N2763">
        <v>-1.347317E-2</v>
      </c>
      <c r="O2763">
        <v>-0.99961940000000005</v>
      </c>
      <c r="P2763">
        <v>0.25102140000000001</v>
      </c>
      <c r="Q2763">
        <v>-0.12112240000000001</v>
      </c>
      <c r="R2763">
        <v>-0.96037439999999996</v>
      </c>
      <c r="S2763">
        <v>1.581329</v>
      </c>
      <c r="T2763">
        <v>-4.8572539999999997E-2</v>
      </c>
      <c r="U2763">
        <v>-2.7072910000000001</v>
      </c>
      <c r="V2763">
        <v>-0.227743</v>
      </c>
      <c r="W2763">
        <v>-0.1082487</v>
      </c>
      <c r="X2763">
        <v>0.96768560000000003</v>
      </c>
      <c r="Y2763">
        <v>-0.48333130000000002</v>
      </c>
      <c r="Z2763">
        <v>2.1970000000000002E-3</v>
      </c>
      <c r="AA2763">
        <v>0.87543479999999996</v>
      </c>
      <c r="AB2763">
        <v>28</v>
      </c>
      <c r="AC2763">
        <v>36.819800000000001</v>
      </c>
      <c r="AD2763">
        <v>-1.1311678999999999</v>
      </c>
      <c r="AE2763">
        <v>-62.774000000000001</v>
      </c>
      <c r="AF2763">
        <v>-35.2885647317975</v>
      </c>
      <c r="AG2763">
        <v>-1.1311678999999999</v>
      </c>
      <c r="AH2763">
        <v>63.627288113342203</v>
      </c>
      <c r="AI2763">
        <v>90.890706160113098</v>
      </c>
      <c r="AJ2763">
        <v>119.013350049617</v>
      </c>
      <c r="AK2763">
        <v>72.766710344130004</v>
      </c>
      <c r="AL2763">
        <v>96.2143703891103</v>
      </c>
      <c r="AM2763">
        <v>103.24345241851999</v>
      </c>
      <c r="AN2763">
        <v>1.0000000377740199</v>
      </c>
    </row>
    <row r="2764" spans="1:40" x14ac:dyDescent="0.25">
      <c r="A2764" t="str">
        <f>"20190305135641313"</f>
        <v>20190305135641313</v>
      </c>
      <c r="B2764" t="str">
        <f>"1551765401305204"</f>
        <v>1551765401305204</v>
      </c>
      <c r="C2764" t="s">
        <v>40</v>
      </c>
      <c r="D2764">
        <v>4.3446989999999897</v>
      </c>
      <c r="E2764">
        <v>0.39926070000000002</v>
      </c>
      <c r="F2764" t="s">
        <v>80</v>
      </c>
      <c r="G2764">
        <v>-153.9496</v>
      </c>
      <c r="H2764">
        <v>0.27722639999999998</v>
      </c>
      <c r="I2764">
        <v>117.9002</v>
      </c>
      <c r="J2764">
        <v>-190.3552</v>
      </c>
      <c r="K2764">
        <v>1.109251</v>
      </c>
      <c r="L2764">
        <v>180.39150000000001</v>
      </c>
      <c r="M2764">
        <v>2.438009E-2</v>
      </c>
      <c r="N2764">
        <v>-1.347129E-2</v>
      </c>
      <c r="O2764">
        <v>-0.9996119</v>
      </c>
      <c r="P2764">
        <v>0.25129000000000001</v>
      </c>
      <c r="Q2764">
        <v>-0.1199363</v>
      </c>
      <c r="R2764">
        <v>-0.96045219999999998</v>
      </c>
      <c r="S2764">
        <v>1.571167</v>
      </c>
      <c r="T2764">
        <v>-3.5902259999999998E-2</v>
      </c>
      <c r="U2764">
        <v>-2.708618</v>
      </c>
      <c r="V2764">
        <v>-0.2277371</v>
      </c>
      <c r="W2764">
        <v>-0.10703559999999999</v>
      </c>
      <c r="X2764">
        <v>0.96782190000000001</v>
      </c>
      <c r="Y2764">
        <v>-0.48044239999999999</v>
      </c>
      <c r="Z2764">
        <v>-1.8501660000000001E-3</v>
      </c>
      <c r="AA2764">
        <v>0.87702440000000004</v>
      </c>
      <c r="AB2764">
        <v>28</v>
      </c>
      <c r="AC2764">
        <v>36.4055999999999</v>
      </c>
      <c r="AD2764">
        <v>-0.832024599999999</v>
      </c>
      <c r="AE2764">
        <v>-62.491300000000003</v>
      </c>
      <c r="AF2764">
        <v>-34.866480357108301</v>
      </c>
      <c r="AG2764">
        <v>-0.832024599999999</v>
      </c>
      <c r="AH2764">
        <v>63.351989546535499</v>
      </c>
      <c r="AI2764">
        <v>90.659210703839904</v>
      </c>
      <c r="AJ2764">
        <v>118.826682513824</v>
      </c>
      <c r="AK2764">
        <v>72.317620929701306</v>
      </c>
      <c r="AL2764">
        <v>96.144458789806606</v>
      </c>
      <c r="AM2764">
        <v>103.24132207296201</v>
      </c>
      <c r="AN2764">
        <v>1.0000000182516899</v>
      </c>
    </row>
    <row r="2765" spans="1:40" x14ac:dyDescent="0.25">
      <c r="A2765" t="str">
        <f>"20190305135641334"</f>
        <v>20190305135641334</v>
      </c>
      <c r="B2765" t="str">
        <f>"1551765401324726"</f>
        <v>1551765401324726</v>
      </c>
      <c r="C2765" t="s">
        <v>40</v>
      </c>
      <c r="D2765">
        <v>4.3017690000000002</v>
      </c>
      <c r="E2765">
        <v>0.40061350000000001</v>
      </c>
      <c r="F2765" t="s">
        <v>80</v>
      </c>
      <c r="G2765">
        <v>-154.18360000000001</v>
      </c>
      <c r="H2765">
        <v>3.1089780000000001E-3</v>
      </c>
      <c r="I2765">
        <v>117.90009999999999</v>
      </c>
      <c r="J2765">
        <v>-190.34829999999999</v>
      </c>
      <c r="K2765">
        <v>1.1092040000000001</v>
      </c>
      <c r="L2765">
        <v>180.1217</v>
      </c>
      <c r="M2765">
        <v>2.4605499999999999E-2</v>
      </c>
      <c r="N2765">
        <v>-1.3469699999999999E-2</v>
      </c>
      <c r="O2765">
        <v>-0.99960669999999996</v>
      </c>
      <c r="P2765">
        <v>0.2474798</v>
      </c>
      <c r="Q2765">
        <v>-0.1200156</v>
      </c>
      <c r="R2765">
        <v>-0.96143160000000005</v>
      </c>
      <c r="S2765">
        <v>1.567169</v>
      </c>
      <c r="T2765">
        <v>-4.792428E-2</v>
      </c>
      <c r="U2765">
        <v>-2.7075040000000001</v>
      </c>
      <c r="V2765">
        <v>-0.22369790000000001</v>
      </c>
      <c r="W2765">
        <v>-0.1070767</v>
      </c>
      <c r="X2765">
        <v>0.96875889999999998</v>
      </c>
      <c r="Y2765">
        <v>-0.47942020000000002</v>
      </c>
      <c r="Z2765">
        <v>2.0287220000000002E-3</v>
      </c>
      <c r="AA2765">
        <v>0.87758309999999995</v>
      </c>
      <c r="AB2765">
        <v>28</v>
      </c>
      <c r="AC2765">
        <v>36.164699999999897</v>
      </c>
      <c r="AD2765">
        <v>-1.1060950220000001</v>
      </c>
      <c r="AE2765">
        <v>-62.221600000000002</v>
      </c>
      <c r="AF2765">
        <v>-34.614440196691397</v>
      </c>
      <c r="AG2765">
        <v>-1.1060950220000001</v>
      </c>
      <c r="AH2765">
        <v>63.077789568389797</v>
      </c>
      <c r="AI2765">
        <v>90.880730757919693</v>
      </c>
      <c r="AJ2765">
        <v>118.756129638133</v>
      </c>
      <c r="AK2765">
        <v>71.959644615312598</v>
      </c>
      <c r="AL2765">
        <v>96.146827443142399</v>
      </c>
      <c r="AM2765">
        <v>103.00237431429299</v>
      </c>
      <c r="AN2765">
        <v>0.99999998823825398</v>
      </c>
    </row>
    <row r="2766" spans="1:40" x14ac:dyDescent="0.25">
      <c r="A2766" t="str">
        <f>"20190305135641355"</f>
        <v>20190305135641355</v>
      </c>
      <c r="B2766" t="str">
        <f>"1551765401345219"</f>
        <v>1551765401345219</v>
      </c>
      <c r="C2766" t="s">
        <v>40</v>
      </c>
      <c r="D2766">
        <v>4.3010570000000001</v>
      </c>
      <c r="E2766">
        <v>0.40163359999999998</v>
      </c>
      <c r="F2766" t="s">
        <v>80</v>
      </c>
      <c r="G2766">
        <v>-155.47370000000001</v>
      </c>
      <c r="H2766">
        <v>1.3302799999999899E-2</v>
      </c>
      <c r="I2766">
        <v>118.8827</v>
      </c>
      <c r="J2766">
        <v>-190.3417</v>
      </c>
      <c r="K2766">
        <v>1.1091500000000001</v>
      </c>
      <c r="L2766">
        <v>179.86109999999999</v>
      </c>
      <c r="M2766">
        <v>2.4763159999999999E-2</v>
      </c>
      <c r="N2766">
        <v>-1.346816E-2</v>
      </c>
      <c r="O2766">
        <v>-0.99960280000000001</v>
      </c>
      <c r="P2766">
        <v>0.24175089999999999</v>
      </c>
      <c r="Q2766">
        <v>-0.1221005</v>
      </c>
      <c r="R2766">
        <v>-0.96262590000000003</v>
      </c>
      <c r="S2766">
        <v>1.546799</v>
      </c>
      <c r="T2766">
        <v>-4.8606280000000002E-2</v>
      </c>
      <c r="U2766">
        <v>-2.7161409999999999</v>
      </c>
      <c r="V2766">
        <v>-0.21780070000000001</v>
      </c>
      <c r="W2766">
        <v>-0.1091205</v>
      </c>
      <c r="X2766">
        <v>0.96987400000000001</v>
      </c>
      <c r="Y2766">
        <v>-0.4731051</v>
      </c>
      <c r="Z2766">
        <v>2.2611789999999999E-3</v>
      </c>
      <c r="AA2766">
        <v>0.88100309999999904</v>
      </c>
      <c r="AB2766">
        <v>28</v>
      </c>
      <c r="AC2766">
        <v>34.867999999999903</v>
      </c>
      <c r="AD2766">
        <v>-1.0958471999999999</v>
      </c>
      <c r="AE2766">
        <v>-60.978399999999901</v>
      </c>
      <c r="AF2766">
        <v>-33.3390369590375</v>
      </c>
      <c r="AG2766">
        <v>-1.0958471999999999</v>
      </c>
      <c r="AH2766">
        <v>61.808174374965901</v>
      </c>
      <c r="AI2766">
        <v>90.893999389755294</v>
      </c>
      <c r="AJ2766">
        <v>118.342213538065</v>
      </c>
      <c r="AK2766">
        <v>70.234910735388596</v>
      </c>
      <c r="AL2766">
        <v>96.264618729036002</v>
      </c>
      <c r="AM2766">
        <v>102.656711737582</v>
      </c>
      <c r="AN2766">
        <v>1.0000000021583699</v>
      </c>
    </row>
    <row r="2767" spans="1:40" x14ac:dyDescent="0.25">
      <c r="A2767" t="str">
        <f>"20190305135641379"</f>
        <v>20190305135641379</v>
      </c>
      <c r="B2767" t="str">
        <f>"1551765401375474"</f>
        <v>1551765401375474</v>
      </c>
      <c r="C2767" t="s">
        <v>40</v>
      </c>
      <c r="D2767">
        <v>4.2974969999999999</v>
      </c>
      <c r="E2767">
        <v>0.40280260000000001</v>
      </c>
      <c r="F2767" t="s">
        <v>42</v>
      </c>
      <c r="G2767">
        <v>-162.26429999999999</v>
      </c>
      <c r="H2767">
        <v>2.8305440000000001E-2</v>
      </c>
      <c r="I2767">
        <v>129.6163</v>
      </c>
      <c r="J2767">
        <v>-190.33430000000001</v>
      </c>
      <c r="K2767">
        <v>1.1090850000000001</v>
      </c>
      <c r="L2767">
        <v>179.57159999999999</v>
      </c>
      <c r="M2767">
        <v>2.4863420000000001E-2</v>
      </c>
      <c r="N2767">
        <v>-1.3466509999999999E-2</v>
      </c>
      <c r="O2767">
        <v>-0.99960020000000005</v>
      </c>
      <c r="P2767">
        <v>0.2326348</v>
      </c>
      <c r="Q2767">
        <v>-0.1236747</v>
      </c>
      <c r="R2767">
        <v>-0.96466890000000005</v>
      </c>
      <c r="S2767">
        <v>1.52356</v>
      </c>
      <c r="T2767">
        <v>-5.8649779999999999E-2</v>
      </c>
      <c r="U2767">
        <v>-2.7264249999999999</v>
      </c>
      <c r="V2767">
        <v>-0.20855399999999999</v>
      </c>
      <c r="W2767">
        <v>-0.1106398</v>
      </c>
      <c r="X2767">
        <v>0.9717325</v>
      </c>
      <c r="Y2767">
        <v>-0.46585490000000002</v>
      </c>
      <c r="Z2767">
        <v>5.5063040000000001E-3</v>
      </c>
      <c r="AA2767">
        <v>0.88484399999999996</v>
      </c>
      <c r="AB2767">
        <v>28</v>
      </c>
      <c r="AC2767">
        <v>28.07</v>
      </c>
      <c r="AD2767">
        <v>-1.0807795600000001</v>
      </c>
      <c r="AE2767">
        <v>-49.955300000000001</v>
      </c>
      <c r="AF2767">
        <v>-26.809611135534698</v>
      </c>
      <c r="AG2767">
        <v>-1.0807795600000001</v>
      </c>
      <c r="AH2767">
        <v>50.6198254242167</v>
      </c>
      <c r="AI2767">
        <v>91.080928676702896</v>
      </c>
      <c r="AJ2767">
        <v>117.90688913658801</v>
      </c>
      <c r="AK2767">
        <v>57.291273852778602</v>
      </c>
      <c r="AL2767">
        <v>96.352198577406099</v>
      </c>
      <c r="AM2767">
        <v>102.113111562282</v>
      </c>
      <c r="AN2767">
        <v>0.99999999390814498</v>
      </c>
    </row>
    <row r="2768" spans="1:40" x14ac:dyDescent="0.25">
      <c r="A2768" t="str">
        <f>"20190305135641393"</f>
        <v>20190305135641393</v>
      </c>
      <c r="B2768" t="str">
        <f>"1551765401385236"</f>
        <v>1551765401385236</v>
      </c>
      <c r="C2768" t="s">
        <v>40</v>
      </c>
      <c r="D2768">
        <v>4.3556030000000003</v>
      </c>
      <c r="E2768">
        <v>0.40276640000000002</v>
      </c>
      <c r="F2768" t="s">
        <v>42</v>
      </c>
      <c r="G2768">
        <v>-164.0308</v>
      </c>
      <c r="H2768" s="1">
        <v>-4.5313740000000001E-6</v>
      </c>
      <c r="I2768">
        <v>131.14169999999999</v>
      </c>
      <c r="J2768">
        <v>-190.32990000000001</v>
      </c>
      <c r="K2768">
        <v>1.1090450000000001</v>
      </c>
      <c r="L2768">
        <v>179.3965</v>
      </c>
      <c r="M2768">
        <v>2.4892279999999999E-2</v>
      </c>
      <c r="N2768">
        <v>-1.346552E-2</v>
      </c>
      <c r="O2768">
        <v>-0.99959949999999997</v>
      </c>
      <c r="P2768">
        <v>0.22698670000000001</v>
      </c>
      <c r="Q2768">
        <v>-0.12345920000000001</v>
      </c>
      <c r="R2768">
        <v>-0.96604080000000003</v>
      </c>
      <c r="S2768">
        <v>1.4895780000000001</v>
      </c>
      <c r="T2768">
        <v>-6.2808039999999996E-2</v>
      </c>
      <c r="U2768">
        <v>-2.7425989999999998</v>
      </c>
      <c r="V2768">
        <v>-0.20285500000000001</v>
      </c>
      <c r="W2768">
        <v>-0.11039069999999999</v>
      </c>
      <c r="X2768">
        <v>0.97296649999999996</v>
      </c>
      <c r="Y2768">
        <v>-0.45514310000000002</v>
      </c>
      <c r="Z2768">
        <v>6.8552769999999999E-3</v>
      </c>
      <c r="AA2768">
        <v>0.89039190000000001</v>
      </c>
      <c r="AB2768">
        <v>28</v>
      </c>
      <c r="AC2768">
        <v>26.299099999999999</v>
      </c>
      <c r="AD2768">
        <v>-1.1090495313740001</v>
      </c>
      <c r="AE2768">
        <v>-48.254800000000003</v>
      </c>
      <c r="AF2768">
        <v>-25.0794547854934</v>
      </c>
      <c r="AG2768">
        <v>-1.1090495313740001</v>
      </c>
      <c r="AH2768">
        <v>48.874644262085198</v>
      </c>
      <c r="AI2768">
        <v>91.156580422107197</v>
      </c>
      <c r="AJ2768">
        <v>117.164099076971</v>
      </c>
      <c r="AK2768">
        <v>54.944880516259403</v>
      </c>
      <c r="AL2768">
        <v>96.337837978806405</v>
      </c>
      <c r="AM2768">
        <v>101.77696014487501</v>
      </c>
      <c r="AN2768">
        <v>1.00000003389686</v>
      </c>
    </row>
    <row r="2769" spans="1:40" x14ac:dyDescent="0.25">
      <c r="A2769" t="str">
        <f>"20190305135641414"</f>
        <v>20190305135641414</v>
      </c>
      <c r="B2769" t="str">
        <f>"1551765401404755"</f>
        <v>1551765401404755</v>
      </c>
      <c r="C2769" t="s">
        <v>40</v>
      </c>
      <c r="D2769">
        <v>4.3448180000000001</v>
      </c>
      <c r="E2769">
        <v>0.40282259999999998</v>
      </c>
      <c r="F2769" t="s">
        <v>42</v>
      </c>
      <c r="G2769">
        <v>-165.708</v>
      </c>
      <c r="H2769" s="1">
        <v>-3.2764160000000001E-6</v>
      </c>
      <c r="I2769">
        <v>133.4376</v>
      </c>
      <c r="J2769">
        <v>-190.3236</v>
      </c>
      <c r="K2769">
        <v>1.1089880000000001</v>
      </c>
      <c r="L2769">
        <v>179.1412</v>
      </c>
      <c r="M2769">
        <v>2.4876140000000001E-2</v>
      </c>
      <c r="N2769">
        <v>-1.346408E-2</v>
      </c>
      <c r="O2769">
        <v>-0.99960020000000005</v>
      </c>
      <c r="P2769">
        <v>0.21111769999999999</v>
      </c>
      <c r="Q2769">
        <v>-0.12370009999999999</v>
      </c>
      <c r="R2769">
        <v>-0.96960199999999996</v>
      </c>
      <c r="S2769">
        <v>1.4736629999999999</v>
      </c>
      <c r="T2769">
        <v>-6.6378359999999997E-2</v>
      </c>
      <c r="U2769">
        <v>-2.7507169999999999</v>
      </c>
      <c r="V2769">
        <v>-0.1869316</v>
      </c>
      <c r="W2769">
        <v>-0.1105648</v>
      </c>
      <c r="X2769">
        <v>0.97613110000000003</v>
      </c>
      <c r="Y2769">
        <v>-0.45004810000000001</v>
      </c>
      <c r="Z2769">
        <v>8.0067469999999998E-3</v>
      </c>
      <c r="AA2769">
        <v>0.8929684</v>
      </c>
      <c r="AB2769">
        <v>28</v>
      </c>
      <c r="AC2769">
        <v>24.615600000000001</v>
      </c>
      <c r="AD2769">
        <v>-1.1089912764159999</v>
      </c>
      <c r="AE2769">
        <v>-45.703600000000002</v>
      </c>
      <c r="AF2769">
        <v>-23.460242189075899</v>
      </c>
      <c r="AG2769">
        <v>-1.1089912764159999</v>
      </c>
      <c r="AH2769">
        <v>46.2807283037071</v>
      </c>
      <c r="AI2769">
        <v>91.2244014217151</v>
      </c>
      <c r="AJ2769">
        <v>116.880983040378</v>
      </c>
      <c r="AK2769">
        <v>51.899119814721601</v>
      </c>
      <c r="AL2769">
        <v>96.347875075122403</v>
      </c>
      <c r="AM2769">
        <v>100.84103465401699</v>
      </c>
      <c r="AN2769">
        <v>0.99999996123240398</v>
      </c>
    </row>
    <row r="2770" spans="1:40" x14ac:dyDescent="0.25">
      <c r="A2770" t="str">
        <f>"20190305135641435"</f>
        <v>20190305135641435</v>
      </c>
      <c r="B2770" t="str">
        <f>"1551765401425251"</f>
        <v>1551765401425251</v>
      </c>
      <c r="C2770" t="s">
        <v>40</v>
      </c>
      <c r="D2770">
        <v>4.3840170000000001</v>
      </c>
      <c r="E2770">
        <v>0.40276099999999998</v>
      </c>
      <c r="F2770" t="s">
        <v>42</v>
      </c>
      <c r="G2770">
        <v>-168.11250000000001</v>
      </c>
      <c r="H2770" s="1">
        <v>-1.6774870000000001E-6</v>
      </c>
      <c r="I2770">
        <v>135.97649999999999</v>
      </c>
      <c r="J2770">
        <v>-190.3168</v>
      </c>
      <c r="K2770">
        <v>1.108922</v>
      </c>
      <c r="L2770">
        <v>178.8663</v>
      </c>
      <c r="M2770">
        <v>2.4774839999999999E-2</v>
      </c>
      <c r="N2770">
        <v>-1.346259E-2</v>
      </c>
      <c r="O2770">
        <v>-0.99960260000000001</v>
      </c>
      <c r="P2770">
        <v>0.19090489999999999</v>
      </c>
      <c r="Q2770">
        <v>-0.1232364</v>
      </c>
      <c r="R2770">
        <v>-0.97384230000000005</v>
      </c>
      <c r="S2770">
        <v>1.4274899999999999</v>
      </c>
      <c r="T2770">
        <v>-7.1274160000000003E-2</v>
      </c>
      <c r="U2770">
        <v>-2.7741699999999998</v>
      </c>
      <c r="V2770">
        <v>-0.16673540000000001</v>
      </c>
      <c r="W2770">
        <v>-0.110027399999999</v>
      </c>
      <c r="X2770">
        <v>0.97984349999999998</v>
      </c>
      <c r="Y2770">
        <v>-0.43525130000000001</v>
      </c>
      <c r="Z2770">
        <v>9.5815499999999994E-3</v>
      </c>
      <c r="AA2770">
        <v>0.90025809999999995</v>
      </c>
      <c r="AB2770">
        <v>28</v>
      </c>
      <c r="AC2770">
        <v>22.2042999999999</v>
      </c>
      <c r="AD2770">
        <v>-1.1089236774869999</v>
      </c>
      <c r="AE2770">
        <v>-42.889800000000001</v>
      </c>
      <c r="AF2770">
        <v>-21.123663031492899</v>
      </c>
      <c r="AG2770">
        <v>-1.1089236774869999</v>
      </c>
      <c r="AH2770">
        <v>43.4039083808809</v>
      </c>
      <c r="AI2770">
        <v>91.316011983542595</v>
      </c>
      <c r="AJ2770">
        <v>115.951099165328</v>
      </c>
      <c r="AK2770">
        <v>48.283932258324299</v>
      </c>
      <c r="AL2770">
        <v>96.316895039376107</v>
      </c>
      <c r="AM2770">
        <v>99.657252128628102</v>
      </c>
      <c r="AN2770">
        <v>1.00000000342808</v>
      </c>
    </row>
    <row r="2771" spans="1:40" x14ac:dyDescent="0.25">
      <c r="A2771" t="str">
        <f>"20190305135641457"</f>
        <v>20190305135641457</v>
      </c>
      <c r="B2771" t="str">
        <f>"1551765401454531"</f>
        <v>1551765401454531</v>
      </c>
      <c r="C2771" t="s">
        <v>40</v>
      </c>
      <c r="D2771">
        <v>4.3160480000000003</v>
      </c>
      <c r="E2771">
        <v>0.40202500000000002</v>
      </c>
      <c r="F2771" t="s">
        <v>42</v>
      </c>
      <c r="G2771">
        <v>-168.00239999999999</v>
      </c>
      <c r="H2771" s="1">
        <v>-2.455254E-6</v>
      </c>
      <c r="I2771">
        <v>133.2124</v>
      </c>
      <c r="J2771">
        <v>-190.31059999999999</v>
      </c>
      <c r="K2771">
        <v>1.1088480000000001</v>
      </c>
      <c r="L2771">
        <v>178.6044</v>
      </c>
      <c r="M2771">
        <v>2.459254E-2</v>
      </c>
      <c r="N2771">
        <v>-1.3461290000000001E-2</v>
      </c>
      <c r="O2771">
        <v>-0.99960720000000003</v>
      </c>
      <c r="P2771">
        <v>0.16662959999999999</v>
      </c>
      <c r="Q2771">
        <v>-0.124636</v>
      </c>
      <c r="R2771">
        <v>-0.97811110000000001</v>
      </c>
      <c r="S2771">
        <v>1.3702240000000001</v>
      </c>
      <c r="T2771">
        <v>-6.8093780000000007E-2</v>
      </c>
      <c r="U2771">
        <v>-2.803391</v>
      </c>
      <c r="V2771">
        <v>-0.14255950000000001</v>
      </c>
      <c r="W2771">
        <v>-0.1113604</v>
      </c>
      <c r="X2771">
        <v>0.98350170000000003</v>
      </c>
      <c r="Y2771">
        <v>-0.41678769999999998</v>
      </c>
      <c r="Z2771">
        <v>8.5446289999999998E-3</v>
      </c>
      <c r="AA2771">
        <v>0.90896370000000004</v>
      </c>
      <c r="AB2771">
        <v>28</v>
      </c>
      <c r="AC2771">
        <v>22.308199999999999</v>
      </c>
      <c r="AD2771">
        <v>-1.1088504552539999</v>
      </c>
      <c r="AE2771">
        <v>-45.392000000000003</v>
      </c>
      <c r="AF2771">
        <v>-21.174868686800799</v>
      </c>
      <c r="AG2771">
        <v>-1.1088504552539999</v>
      </c>
      <c r="AH2771">
        <v>45.9048696816673</v>
      </c>
      <c r="AI2771">
        <v>91.256541418242605</v>
      </c>
      <c r="AJ2771">
        <v>114.762797795919</v>
      </c>
      <c r="AK2771">
        <v>50.565419742411301</v>
      </c>
      <c r="AL2771">
        <v>96.393742785070202</v>
      </c>
      <c r="AM2771">
        <v>98.247634395181606</v>
      </c>
      <c r="AN2771">
        <v>0.99999997181564904</v>
      </c>
    </row>
    <row r="2772" spans="1:40" x14ac:dyDescent="0.25">
      <c r="A2772" t="str">
        <f>"20190305135641480"</f>
        <v>20190305135641480</v>
      </c>
      <c r="B2772" t="str">
        <f>"1551765401475027"</f>
        <v>1551765401475027</v>
      </c>
      <c r="C2772" t="s">
        <v>40</v>
      </c>
      <c r="D2772">
        <v>4.283703</v>
      </c>
      <c r="E2772">
        <v>0.40135150000000003</v>
      </c>
      <c r="F2772" t="s">
        <v>73</v>
      </c>
      <c r="G2772">
        <v>-171.39709999999999</v>
      </c>
      <c r="H2772" s="1">
        <v>-3.4519649999999998E-6</v>
      </c>
      <c r="I2772">
        <v>137.54730000000001</v>
      </c>
      <c r="J2772">
        <v>-190.3038</v>
      </c>
      <c r="K2772">
        <v>1.1087659999999999</v>
      </c>
      <c r="L2772">
        <v>178.3159</v>
      </c>
      <c r="M2772">
        <v>2.4281400000000002E-2</v>
      </c>
      <c r="N2772">
        <v>-1.345992E-2</v>
      </c>
      <c r="O2772">
        <v>-0.99961469999999997</v>
      </c>
      <c r="P2772">
        <v>0.14151949999999999</v>
      </c>
      <c r="Q2772">
        <v>-0.12644</v>
      </c>
      <c r="R2772">
        <v>-0.98182780000000003</v>
      </c>
      <c r="S2772">
        <v>1.3059229999999999</v>
      </c>
      <c r="T2772">
        <v>-7.6563359999999997E-2</v>
      </c>
      <c r="U2772">
        <v>-2.8348849999999999</v>
      </c>
      <c r="V2772">
        <v>-0.1176948</v>
      </c>
      <c r="W2772">
        <v>-0.1131088</v>
      </c>
      <c r="X2772">
        <v>0.9865872</v>
      </c>
      <c r="Y2772">
        <v>-0.3960998</v>
      </c>
      <c r="Z2772">
        <v>1.1252109999999999E-2</v>
      </c>
      <c r="AA2772">
        <v>0.91813860000000003</v>
      </c>
      <c r="AB2772">
        <v>28</v>
      </c>
      <c r="AC2772">
        <v>18.906700000000001</v>
      </c>
      <c r="AD2772">
        <v>-1.108769451965</v>
      </c>
      <c r="AE2772">
        <v>-40.7685999999999</v>
      </c>
      <c r="AF2772">
        <v>-17.900219862413401</v>
      </c>
      <c r="AG2772">
        <v>-1.108769451965</v>
      </c>
      <c r="AH2772">
        <v>41.190626161775697</v>
      </c>
      <c r="AI2772">
        <v>91.414208740752599</v>
      </c>
      <c r="AJ2772">
        <v>113.48833101520999</v>
      </c>
      <c r="AK2772">
        <v>44.925659977561999</v>
      </c>
      <c r="AL2772">
        <v>96.494555619476998</v>
      </c>
      <c r="AM2772">
        <v>96.802943110349304</v>
      </c>
      <c r="AN2772">
        <v>0.99999998489415898</v>
      </c>
    </row>
    <row r="2773" spans="1:40" x14ac:dyDescent="0.25">
      <c r="A2773" t="str">
        <f>"20190305135641504"</f>
        <v>20190305135641504</v>
      </c>
      <c r="B2773" t="str">
        <f>"1551765401494547"</f>
        <v>1551765401494547</v>
      </c>
      <c r="C2773" t="s">
        <v>40</v>
      </c>
      <c r="D2773">
        <v>4.3095699999999999</v>
      </c>
      <c r="E2773">
        <v>0.40088669999999998</v>
      </c>
      <c r="F2773" t="s">
        <v>73</v>
      </c>
      <c r="G2773">
        <v>-172.8579</v>
      </c>
      <c r="H2773" s="1">
        <v>-4.2563719999999997E-6</v>
      </c>
      <c r="I2773">
        <v>137.96</v>
      </c>
      <c r="J2773">
        <v>-190.2972</v>
      </c>
      <c r="K2773">
        <v>1.1086590000000001</v>
      </c>
      <c r="L2773">
        <v>178.02119999999999</v>
      </c>
      <c r="M2773">
        <v>2.3824459999999999E-2</v>
      </c>
      <c r="N2773">
        <v>-1.3458629999999999E-2</v>
      </c>
      <c r="O2773">
        <v>-0.9996256</v>
      </c>
      <c r="P2773">
        <v>0.1163713</v>
      </c>
      <c r="Q2773">
        <v>-0.1286399</v>
      </c>
      <c r="R2773">
        <v>-0.98483989999999999</v>
      </c>
      <c r="S2773">
        <v>1.239304</v>
      </c>
      <c r="T2773">
        <v>-7.8763719999999995E-2</v>
      </c>
      <c r="U2773">
        <v>-2.8667600000000002</v>
      </c>
      <c r="V2773">
        <v>-9.296169E-2</v>
      </c>
      <c r="W2773">
        <v>-0.1152685</v>
      </c>
      <c r="X2773">
        <v>0.98897489999999999</v>
      </c>
      <c r="Y2773">
        <v>-0.37470500000000001</v>
      </c>
      <c r="Z2773">
        <v>1.1930710000000001E-2</v>
      </c>
      <c r="AA2773">
        <v>0.92706730000000004</v>
      </c>
      <c r="AB2773">
        <v>28</v>
      </c>
      <c r="AC2773">
        <v>17.439299999999999</v>
      </c>
      <c r="AD2773">
        <v>-1.108663256372</v>
      </c>
      <c r="AE2773">
        <v>-40.0611999999999</v>
      </c>
      <c r="AF2773">
        <v>-16.469222453438899</v>
      </c>
      <c r="AG2773">
        <v>-1.108663256372</v>
      </c>
      <c r="AH2773">
        <v>40.439309407880003</v>
      </c>
      <c r="AI2773">
        <v>91.454461608803896</v>
      </c>
      <c r="AJ2773">
        <v>112.158991694256</v>
      </c>
      <c r="AK2773">
        <v>43.678394748698501</v>
      </c>
      <c r="AL2773">
        <v>96.619111769158494</v>
      </c>
      <c r="AM2773">
        <v>95.369911843063306</v>
      </c>
      <c r="AN2773">
        <v>1.0000000278649499</v>
      </c>
    </row>
    <row r="2774" spans="1:40" x14ac:dyDescent="0.25">
      <c r="A2774" t="str">
        <f>"20190305135641524"</f>
        <v>20190305135641524</v>
      </c>
      <c r="B2774" t="str">
        <f>"1551765401515047"</f>
        <v>1551765401515047</v>
      </c>
      <c r="C2774" t="s">
        <v>40</v>
      </c>
      <c r="D2774">
        <v>4.2463329999999999</v>
      </c>
      <c r="E2774">
        <v>0.38142330000000002</v>
      </c>
      <c r="F2774" t="s">
        <v>73</v>
      </c>
      <c r="G2774">
        <v>-175.03980000000001</v>
      </c>
      <c r="H2774" s="1">
        <v>-6.0830559999999999E-6</v>
      </c>
      <c r="I2774">
        <v>140.2834</v>
      </c>
      <c r="J2774">
        <v>-190.29169999999999</v>
      </c>
      <c r="K2774">
        <v>1.1085499999999999</v>
      </c>
      <c r="L2774">
        <v>177.7688</v>
      </c>
      <c r="M2774">
        <v>2.3293560000000001E-2</v>
      </c>
      <c r="N2774">
        <v>-1.345798E-2</v>
      </c>
      <c r="O2774">
        <v>-0.99963809999999997</v>
      </c>
      <c r="P2774">
        <v>9.3734700000000004E-2</v>
      </c>
      <c r="Q2774">
        <v>-0.12984189999999901</v>
      </c>
      <c r="R2774">
        <v>-0.98709449999999999</v>
      </c>
      <c r="S2774">
        <v>1.171127</v>
      </c>
      <c r="T2774">
        <v>-8.5099099999999997E-2</v>
      </c>
      <c r="U2774">
        <v>-2.8966829999999999</v>
      </c>
      <c r="V2774">
        <v>-7.0833220000000002E-2</v>
      </c>
      <c r="W2774">
        <v>-0.11644789999999999</v>
      </c>
      <c r="X2774">
        <v>0.99066770000000004</v>
      </c>
      <c r="Y2774">
        <v>-0.35299599999999998</v>
      </c>
      <c r="Z2774">
        <v>1.3940259999999999E-2</v>
      </c>
      <c r="AA2774">
        <v>0.93552100000000005</v>
      </c>
      <c r="AB2774">
        <v>28</v>
      </c>
      <c r="AC2774">
        <v>15.2518999999999</v>
      </c>
      <c r="AD2774">
        <v>-1.108556083056</v>
      </c>
      <c r="AE2774">
        <v>-37.485399999999998</v>
      </c>
      <c r="AF2774">
        <v>-14.3637356886425</v>
      </c>
      <c r="AG2774">
        <v>-1.108556083056</v>
      </c>
      <c r="AH2774">
        <v>37.802165734016903</v>
      </c>
      <c r="AI2774">
        <v>91.5702546636454</v>
      </c>
      <c r="AJ2774">
        <v>110.805350962098</v>
      </c>
      <c r="AK2774">
        <v>40.454289435170502</v>
      </c>
      <c r="AL2774">
        <v>96.687144916786195</v>
      </c>
      <c r="AM2774">
        <v>94.089716128784701</v>
      </c>
      <c r="AN2774">
        <v>0.99999997514663397</v>
      </c>
    </row>
    <row r="2775" spans="1:40" x14ac:dyDescent="0.25">
      <c r="A2775" t="str">
        <f>"20190305135641547"</f>
        <v>20190305135641547</v>
      </c>
      <c r="B2775" t="str">
        <f>"1551765401534563"</f>
        <v>1551765401534563</v>
      </c>
      <c r="C2775" t="s">
        <v>40</v>
      </c>
      <c r="D2775">
        <v>4.2110479999999999</v>
      </c>
      <c r="E2775">
        <v>0.38038260000000002</v>
      </c>
      <c r="F2775" t="s">
        <v>80</v>
      </c>
      <c r="G2775">
        <v>-161.8708</v>
      </c>
      <c r="H2775">
        <v>2.4364400000000002</v>
      </c>
      <c r="I2775">
        <v>112.75109999999999</v>
      </c>
      <c r="J2775">
        <v>-190.28630000000001</v>
      </c>
      <c r="K2775">
        <v>1.108425</v>
      </c>
      <c r="L2775">
        <v>177.49879999999999</v>
      </c>
      <c r="M2775">
        <v>2.2559650000000001E-2</v>
      </c>
      <c r="N2775">
        <v>-1.3457749999999999E-2</v>
      </c>
      <c r="O2775">
        <v>-0.99965510000000002</v>
      </c>
      <c r="P2775">
        <v>7.4578019999999995E-2</v>
      </c>
      <c r="Q2775">
        <v>-0.12911230000000001</v>
      </c>
      <c r="R2775">
        <v>-0.98882190000000003</v>
      </c>
      <c r="S2775">
        <v>1.278885</v>
      </c>
      <c r="T2775">
        <v>5.9752699999999902E-2</v>
      </c>
      <c r="U2775">
        <v>-2.925659</v>
      </c>
      <c r="V2775">
        <v>-5.2403039999999998E-2</v>
      </c>
      <c r="W2775">
        <v>-0.1157046</v>
      </c>
      <c r="X2775">
        <v>0.99190040000000002</v>
      </c>
      <c r="Y2775">
        <v>-0.37956259999999997</v>
      </c>
      <c r="Z2775">
        <v>-3.2179470000000002E-2</v>
      </c>
      <c r="AA2775">
        <v>0.92460629999999999</v>
      </c>
      <c r="AB2775">
        <v>28</v>
      </c>
      <c r="AC2775">
        <v>28.415500000000002</v>
      </c>
      <c r="AD2775">
        <v>1.3280149999999999</v>
      </c>
      <c r="AE2775">
        <v>-64.747699999999995</v>
      </c>
      <c r="AF2775">
        <v>-26.937947197152901</v>
      </c>
      <c r="AG2775">
        <v>1.3280149999999999</v>
      </c>
      <c r="AH2775">
        <v>65.349268657858602</v>
      </c>
      <c r="AI2775">
        <v>88.923645117995505</v>
      </c>
      <c r="AJ2775">
        <v>112.402190090791</v>
      </c>
      <c r="AK2775">
        <v>70.696135234917904</v>
      </c>
      <c r="AL2775">
        <v>96.644266833003499</v>
      </c>
      <c r="AM2775">
        <v>93.024178923929298</v>
      </c>
      <c r="AN2775">
        <v>1.00000001829128</v>
      </c>
    </row>
    <row r="2776" spans="1:40" x14ac:dyDescent="0.25">
      <c r="A2776" t="str">
        <f>"20190305135641570"</f>
        <v>20190305135641570</v>
      </c>
      <c r="B2776" t="str">
        <f>"1551765401564819"</f>
        <v>1551765401564819</v>
      </c>
      <c r="C2776" t="s">
        <v>40</v>
      </c>
      <c r="D2776">
        <v>4.2270399999999997</v>
      </c>
      <c r="E2776">
        <v>0.37606450000000002</v>
      </c>
      <c r="F2776" t="s">
        <v>80</v>
      </c>
      <c r="G2776">
        <v>-162.78059999999999</v>
      </c>
      <c r="H2776">
        <v>3.4355850000000001</v>
      </c>
      <c r="I2776">
        <v>111.84050000000001</v>
      </c>
      <c r="J2776">
        <v>-190.2807</v>
      </c>
      <c r="K2776">
        <v>1.1082829999999999</v>
      </c>
      <c r="L2776">
        <v>177.2038</v>
      </c>
      <c r="M2776">
        <v>2.1535720000000001E-2</v>
      </c>
      <c r="N2776">
        <v>-1.345814E-2</v>
      </c>
      <c r="O2776">
        <v>-0.99967740000000005</v>
      </c>
      <c r="P2776">
        <v>5.9803420000000003E-2</v>
      </c>
      <c r="Q2776">
        <v>-0.12607080000000001</v>
      </c>
      <c r="R2776">
        <v>-0.99021689999999996</v>
      </c>
      <c r="S2776">
        <v>1.237595</v>
      </c>
      <c r="T2776">
        <v>0.10470889999999999</v>
      </c>
      <c r="U2776">
        <v>-2.9542389999999998</v>
      </c>
      <c r="V2776">
        <v>-3.8654189999999998E-2</v>
      </c>
      <c r="W2776">
        <v>-0.1126533</v>
      </c>
      <c r="X2776">
        <v>0.99288220000000005</v>
      </c>
      <c r="Y2776">
        <v>-0.36606569999999999</v>
      </c>
      <c r="Z2776">
        <v>-4.6189260000000003E-2</v>
      </c>
      <c r="AA2776">
        <v>0.92944199999999999</v>
      </c>
      <c r="AB2776">
        <v>28</v>
      </c>
      <c r="AC2776">
        <v>27.5001</v>
      </c>
      <c r="AD2776">
        <v>2.3273019999999902</v>
      </c>
      <c r="AE2776">
        <v>-65.363299999999995</v>
      </c>
      <c r="AF2776">
        <v>-26.057880648109901</v>
      </c>
      <c r="AG2776">
        <v>2.3273019999999902</v>
      </c>
      <c r="AH2776">
        <v>65.869478141012095</v>
      </c>
      <c r="AI2776">
        <v>88.118247698102707</v>
      </c>
      <c r="AJ2776">
        <v>111.58368761396299</v>
      </c>
      <c r="AK2776">
        <v>70.8746614033507</v>
      </c>
      <c r="AL2776">
        <v>96.468289493178702</v>
      </c>
      <c r="AM2776">
        <v>92.229472995509994</v>
      </c>
      <c r="AN2776">
        <v>0.99999998774114296</v>
      </c>
    </row>
    <row r="2777" spans="1:40" x14ac:dyDescent="0.25">
      <c r="A2777" t="str">
        <f>"20190305135641592"</f>
        <v>20190305135641592</v>
      </c>
      <c r="B2777" t="str">
        <f>"1551765401585315"</f>
        <v>1551765401585315</v>
      </c>
      <c r="C2777" t="s">
        <v>40</v>
      </c>
      <c r="D2777">
        <v>4.1888480000000001</v>
      </c>
      <c r="E2777">
        <v>0.37341000000000002</v>
      </c>
      <c r="F2777" t="s">
        <v>80</v>
      </c>
      <c r="G2777">
        <v>-163.45140000000001</v>
      </c>
      <c r="H2777">
        <v>7.6681780000000002</v>
      </c>
      <c r="I2777">
        <v>113.0407</v>
      </c>
      <c r="J2777">
        <v>-190.27600000000001</v>
      </c>
      <c r="K2777">
        <v>1.1081430000000001</v>
      </c>
      <c r="L2777">
        <v>176.9331</v>
      </c>
      <c r="M2777">
        <v>2.037249E-2</v>
      </c>
      <c r="N2777">
        <v>-1.345911E-2</v>
      </c>
      <c r="O2777">
        <v>-0.99970199999999998</v>
      </c>
      <c r="P2777">
        <v>5.1082240000000001E-2</v>
      </c>
      <c r="Q2777">
        <v>-0.12421889999999899</v>
      </c>
      <c r="R2777">
        <v>-0.99093929999999997</v>
      </c>
      <c r="S2777">
        <v>1.251511</v>
      </c>
      <c r="T2777">
        <v>0.30600090000000002</v>
      </c>
      <c r="U2777">
        <v>-2.9930270000000001</v>
      </c>
      <c r="V2777">
        <v>-3.1109210000000002E-2</v>
      </c>
      <c r="W2777">
        <v>-0.11079559999999999</v>
      </c>
      <c r="X2777">
        <v>0.99335620000000002</v>
      </c>
      <c r="Y2777">
        <v>-0.36485230000000002</v>
      </c>
      <c r="Z2777">
        <v>-0.1075855</v>
      </c>
      <c r="AA2777">
        <v>0.92482869999999995</v>
      </c>
      <c r="AB2777">
        <v>28</v>
      </c>
      <c r="AC2777">
        <v>26.824599999999901</v>
      </c>
      <c r="AD2777">
        <v>6.5600350000000001</v>
      </c>
      <c r="AE2777">
        <v>-63.892400000000002</v>
      </c>
      <c r="AF2777">
        <v>-25.290610509898698</v>
      </c>
      <c r="AG2777">
        <v>6.5600350000000001</v>
      </c>
      <c r="AH2777">
        <v>63.8534117729386</v>
      </c>
      <c r="AI2777">
        <v>84.543852151663899</v>
      </c>
      <c r="AJ2777">
        <v>111.607179810826</v>
      </c>
      <c r="AK2777">
        <v>68.992080952882404</v>
      </c>
      <c r="AL2777">
        <v>96.361180480999707</v>
      </c>
      <c r="AM2777">
        <v>91.793761454166301</v>
      </c>
      <c r="AN2777">
        <v>0.99999999400231199</v>
      </c>
    </row>
    <row r="2778" spans="1:40" x14ac:dyDescent="0.25">
      <c r="A2778" t="str">
        <f>"20190305135641615"</f>
        <v>20190305135641615</v>
      </c>
      <c r="B2778" t="str">
        <f>"1551765401604838"</f>
        <v>1551765401604838</v>
      </c>
      <c r="C2778" t="s">
        <v>40</v>
      </c>
      <c r="D2778">
        <v>4.2162730000000002</v>
      </c>
      <c r="E2778">
        <v>0.37811719999999999</v>
      </c>
      <c r="F2778" t="s">
        <v>80</v>
      </c>
      <c r="G2778">
        <v>-163.09549999999999</v>
      </c>
      <c r="H2778">
        <v>8.5667550000000006</v>
      </c>
      <c r="I2778">
        <v>111.5284</v>
      </c>
      <c r="J2778">
        <v>-190.27180000000001</v>
      </c>
      <c r="K2778">
        <v>1.1079969999999999</v>
      </c>
      <c r="L2778">
        <v>176.65459999999999</v>
      </c>
      <c r="M2778">
        <v>1.899965E-2</v>
      </c>
      <c r="N2778">
        <v>-1.346023E-2</v>
      </c>
      <c r="O2778">
        <v>-0.99972899999999998</v>
      </c>
      <c r="P2778">
        <v>4.4836290000000001E-2</v>
      </c>
      <c r="Q2778">
        <v>-0.12552959999999999</v>
      </c>
      <c r="R2778">
        <v>-0.99107619999999996</v>
      </c>
      <c r="S2778">
        <v>1.2492369999999999</v>
      </c>
      <c r="T2778">
        <v>0.34280300000000002</v>
      </c>
      <c r="U2778">
        <v>-3.0060419999999999</v>
      </c>
      <c r="V2778">
        <v>-2.6264550000000001E-2</v>
      </c>
      <c r="W2778">
        <v>-0.1121067</v>
      </c>
      <c r="X2778">
        <v>0.99334900000000004</v>
      </c>
      <c r="Y2778">
        <v>-0.3636607</v>
      </c>
      <c r="Z2778">
        <v>-0.1184091</v>
      </c>
      <c r="AA2778">
        <v>0.9239752</v>
      </c>
      <c r="AB2778">
        <v>28</v>
      </c>
      <c r="AC2778">
        <v>27.176300000000001</v>
      </c>
      <c r="AD2778">
        <v>7.4587580000000004</v>
      </c>
      <c r="AE2778">
        <v>-65.126199999999898</v>
      </c>
      <c r="AF2778">
        <v>-25.6473903444783</v>
      </c>
      <c r="AG2778">
        <v>7.4587580000000004</v>
      </c>
      <c r="AH2778">
        <v>64.905743480507994</v>
      </c>
      <c r="AI2778">
        <v>83.899646824177694</v>
      </c>
      <c r="AJ2778">
        <v>111.56136676282399</v>
      </c>
      <c r="AK2778">
        <v>70.186731218529602</v>
      </c>
      <c r="AL2778">
        <v>96.436771968268303</v>
      </c>
      <c r="AM2778">
        <v>91.514570745642004</v>
      </c>
      <c r="AN2778">
        <v>0.99999998728629602</v>
      </c>
    </row>
    <row r="2779" spans="1:40" x14ac:dyDescent="0.25">
      <c r="A2779" t="str">
        <f>"20190305135641639"</f>
        <v>20190305135641639</v>
      </c>
      <c r="B2779" t="str">
        <f>"1551765401635091"</f>
        <v>1551765401635091</v>
      </c>
      <c r="C2779" t="s">
        <v>40</v>
      </c>
      <c r="D2779">
        <v>4.3582559999999999</v>
      </c>
      <c r="E2779">
        <v>0.3716796</v>
      </c>
      <c r="F2779" t="s">
        <v>80</v>
      </c>
      <c r="G2779">
        <v>-164.28989999999999</v>
      </c>
      <c r="H2779">
        <v>13.261150000000001</v>
      </c>
      <c r="I2779">
        <v>111.648</v>
      </c>
      <c r="J2779">
        <v>-190.268</v>
      </c>
      <c r="K2779">
        <v>1.107855</v>
      </c>
      <c r="L2779">
        <v>176.3623</v>
      </c>
      <c r="M2779">
        <v>1.736948E-2</v>
      </c>
      <c r="N2779">
        <v>-1.346109E-2</v>
      </c>
      <c r="O2779">
        <v>-0.9997587</v>
      </c>
      <c r="P2779">
        <v>4.215439E-2</v>
      </c>
      <c r="Q2779">
        <v>-0.1288427</v>
      </c>
      <c r="R2779">
        <v>-0.99076900000000001</v>
      </c>
      <c r="S2779">
        <v>1.2166600000000001</v>
      </c>
      <c r="T2779">
        <v>0.56909659999999995</v>
      </c>
      <c r="U2779">
        <v>-3.0440670000000001</v>
      </c>
      <c r="V2779">
        <v>-2.5249779999999999E-2</v>
      </c>
      <c r="W2779">
        <v>-0.1154184</v>
      </c>
      <c r="X2779">
        <v>0.99299599999999999</v>
      </c>
      <c r="Y2779">
        <v>-0.34893350000000001</v>
      </c>
      <c r="Z2779">
        <v>-0.18475469999999999</v>
      </c>
      <c r="AA2779">
        <v>0.91875519999999999</v>
      </c>
      <c r="AB2779">
        <v>27</v>
      </c>
      <c r="AC2779">
        <v>25.978100000000001</v>
      </c>
      <c r="AD2779">
        <v>12.153295</v>
      </c>
      <c r="AE2779">
        <v>-64.714299999999994</v>
      </c>
      <c r="AF2779">
        <v>-24.1174813264055</v>
      </c>
      <c r="AG2779">
        <v>12.153295</v>
      </c>
      <c r="AH2779">
        <v>63.235101613595198</v>
      </c>
      <c r="AI2779">
        <v>79.819620639983896</v>
      </c>
      <c r="AJ2779">
        <v>110.87654544350301</v>
      </c>
      <c r="AK2779">
        <v>68.760697792912595</v>
      </c>
      <c r="AL2779">
        <v>96.6277582521911</v>
      </c>
      <c r="AM2779">
        <v>91.456596145745294</v>
      </c>
      <c r="AN2779">
        <v>1.0000000072323001</v>
      </c>
    </row>
    <row r="2780" spans="1:40" x14ac:dyDescent="0.25">
      <c r="A2780" t="str">
        <f>"20190305135641660"</f>
        <v>20190305135641660</v>
      </c>
      <c r="B2780" t="str">
        <f>"1551765401654611"</f>
        <v>1551765401654611</v>
      </c>
      <c r="C2780" t="s">
        <v>40</v>
      </c>
      <c r="D2780">
        <v>4.6244339999999999</v>
      </c>
      <c r="E2780">
        <v>0.3727026</v>
      </c>
      <c r="F2780" t="s">
        <v>80</v>
      </c>
      <c r="G2780">
        <v>-163.40459999999999</v>
      </c>
      <c r="H2780">
        <v>12.53055</v>
      </c>
      <c r="I2780">
        <v>111.2214</v>
      </c>
      <c r="J2780">
        <v>-190.26519999999999</v>
      </c>
      <c r="K2780">
        <v>1.1077459999999999</v>
      </c>
      <c r="L2780">
        <v>176.10390000000001</v>
      </c>
      <c r="M2780">
        <v>1.5770739999999998E-2</v>
      </c>
      <c r="N2780">
        <v>-1.3462119999999999E-2</v>
      </c>
      <c r="O2780">
        <v>-0.99978520000000004</v>
      </c>
      <c r="P2780">
        <v>4.2415689999999999E-2</v>
      </c>
      <c r="Q2780">
        <v>-0.13063720000000001</v>
      </c>
      <c r="R2780">
        <v>-0.99052269999999998</v>
      </c>
      <c r="S2780">
        <v>1.255295</v>
      </c>
      <c r="T2780">
        <v>0.53376959999999996</v>
      </c>
      <c r="U2780">
        <v>-3.0439609999999999</v>
      </c>
      <c r="V2780">
        <v>-2.7136589999999999E-2</v>
      </c>
      <c r="W2780">
        <v>-0.1172033</v>
      </c>
      <c r="X2780">
        <v>0.99273710000000004</v>
      </c>
      <c r="Y2780">
        <v>-0.36117510000000003</v>
      </c>
      <c r="Z2780">
        <v>-0.173705</v>
      </c>
      <c r="AA2780">
        <v>0.9161764</v>
      </c>
      <c r="AB2780">
        <v>27</v>
      </c>
      <c r="AC2780">
        <v>26.860600000000002</v>
      </c>
      <c r="AD2780">
        <v>11.422803999999999</v>
      </c>
      <c r="AE2780">
        <v>-64.882499999999993</v>
      </c>
      <c r="AF2780">
        <v>-25.167976181537799</v>
      </c>
      <c r="AG2780">
        <v>11.422803999999999</v>
      </c>
      <c r="AH2780">
        <v>63.614829683993698</v>
      </c>
      <c r="AI2780">
        <v>80.520797391918606</v>
      </c>
      <c r="AJ2780">
        <v>111.585269748752</v>
      </c>
      <c r="AK2780">
        <v>69.359599422289094</v>
      </c>
      <c r="AL2780">
        <v>96.730724539582198</v>
      </c>
      <c r="AM2780">
        <v>91.565797223074</v>
      </c>
      <c r="AN2780">
        <v>0.99999997888206305</v>
      </c>
    </row>
    <row r="2781" spans="1:40" x14ac:dyDescent="0.25">
      <c r="A2781" t="str">
        <f>"20190305135641682"</f>
        <v>20190305135641682</v>
      </c>
      <c r="B2781" t="str">
        <f>"1551765401675107"</f>
        <v>1551765401675107</v>
      </c>
      <c r="C2781" t="s">
        <v>40</v>
      </c>
      <c r="D2781">
        <v>4.5820449999999999</v>
      </c>
      <c r="E2781">
        <v>0.45996809999999999</v>
      </c>
      <c r="F2781" t="s">
        <v>80</v>
      </c>
      <c r="G2781">
        <v>-164.0549</v>
      </c>
      <c r="H2781">
        <v>1.9400930000000001</v>
      </c>
      <c r="I2781">
        <v>110.563</v>
      </c>
      <c r="J2781">
        <v>-190.2628</v>
      </c>
      <c r="K2781">
        <v>1.107637</v>
      </c>
      <c r="L2781">
        <v>175.828</v>
      </c>
      <c r="M2781">
        <v>1.3915E-2</v>
      </c>
      <c r="N2781">
        <v>-1.3463640000000001E-2</v>
      </c>
      <c r="O2781">
        <v>-0.99981249999999999</v>
      </c>
      <c r="P2781">
        <v>4.3945579999999998E-2</v>
      </c>
      <c r="Q2781">
        <v>-0.13057270000000001</v>
      </c>
      <c r="R2781">
        <v>-0.99046429999999996</v>
      </c>
      <c r="S2781">
        <v>1.19278</v>
      </c>
      <c r="T2781">
        <v>3.7878870000000002E-2</v>
      </c>
      <c r="U2781">
        <v>-2.9826350000000001</v>
      </c>
      <c r="V2781">
        <v>-3.0538869999999999E-2</v>
      </c>
      <c r="W2781">
        <v>-0.11712</v>
      </c>
      <c r="X2781">
        <v>0.99264810000000003</v>
      </c>
      <c r="Y2781">
        <v>-0.35823739999999998</v>
      </c>
      <c r="Z2781">
        <v>-2.5245900000000002E-2</v>
      </c>
      <c r="AA2781">
        <v>0.93328909999999998</v>
      </c>
      <c r="AB2781">
        <v>27</v>
      </c>
      <c r="AC2781">
        <v>26.207899999999899</v>
      </c>
      <c r="AD2781">
        <v>0.83245599999999997</v>
      </c>
      <c r="AE2781">
        <v>-65.265000000000001</v>
      </c>
      <c r="AF2781">
        <v>-25.293573698232201</v>
      </c>
      <c r="AG2781">
        <v>0.83245599999999997</v>
      </c>
      <c r="AH2781">
        <v>65.614203509627899</v>
      </c>
      <c r="AI2781">
        <v>89.321763765249798</v>
      </c>
      <c r="AJ2781">
        <v>111.081117619228</v>
      </c>
      <c r="AK2781">
        <v>70.325539853048497</v>
      </c>
      <c r="AL2781">
        <v>96.725918669957096</v>
      </c>
      <c r="AM2781">
        <v>91.762151800365103</v>
      </c>
      <c r="AN2781">
        <v>0.99999998370724297</v>
      </c>
    </row>
    <row r="2782" spans="1:40" x14ac:dyDescent="0.25">
      <c r="A2782" t="str">
        <f>"20190305135641704"</f>
        <v>20190305135641704</v>
      </c>
      <c r="B2782" t="str">
        <f>"1551765401695222"</f>
        <v>1551765401695222</v>
      </c>
      <c r="C2782" t="s">
        <v>40</v>
      </c>
      <c r="D2782">
        <v>4.3909330000000004</v>
      </c>
      <c r="E2782">
        <v>0.46221299999999998</v>
      </c>
      <c r="F2782" t="s">
        <v>73</v>
      </c>
      <c r="G2782">
        <v>-184.23390000000001</v>
      </c>
      <c r="H2782" s="1">
        <v>-8.1795899999999997E-6</v>
      </c>
      <c r="I2782">
        <v>138.548</v>
      </c>
      <c r="J2782">
        <v>-190.2611</v>
      </c>
      <c r="K2782">
        <v>1.107548</v>
      </c>
      <c r="L2782">
        <v>175.5652</v>
      </c>
      <c r="M2782">
        <v>1.2029110000000001E-2</v>
      </c>
      <c r="N2782">
        <v>-1.346519E-2</v>
      </c>
      <c r="O2782">
        <v>-0.99983710000000003</v>
      </c>
      <c r="P2782">
        <v>4.7821370000000002E-2</v>
      </c>
      <c r="Q2782">
        <v>-0.130522</v>
      </c>
      <c r="R2782">
        <v>-0.99029140000000004</v>
      </c>
      <c r="S2782">
        <v>0.48445129999999997</v>
      </c>
      <c r="T2782">
        <v>-8.9005230000000005E-2</v>
      </c>
      <c r="U2782">
        <v>-2.9956510000000001</v>
      </c>
      <c r="V2782">
        <v>-3.6313289999999998E-2</v>
      </c>
      <c r="W2782">
        <v>-0.1170428</v>
      </c>
      <c r="X2782">
        <v>0.99246279999999998</v>
      </c>
      <c r="Y2782">
        <v>-0.1476942</v>
      </c>
      <c r="Z2782">
        <v>1.5892900000000001E-2</v>
      </c>
      <c r="AA2782">
        <v>0.98890540000000005</v>
      </c>
      <c r="AB2782">
        <v>27</v>
      </c>
      <c r="AC2782">
        <v>6.0271999999999899</v>
      </c>
      <c r="AD2782">
        <v>-1.10755617959</v>
      </c>
      <c r="AE2782">
        <v>-37.017200000000003</v>
      </c>
      <c r="AF2782">
        <v>-5.5765762768141203</v>
      </c>
      <c r="AG2782">
        <v>-1.10755617959</v>
      </c>
      <c r="AH2782">
        <v>37.054714638271697</v>
      </c>
      <c r="AI2782">
        <v>91.692993194012402</v>
      </c>
      <c r="AJ2782">
        <v>98.558541734921604</v>
      </c>
      <c r="AK2782">
        <v>37.488354999730603</v>
      </c>
      <c r="AL2782">
        <v>96.721464418445095</v>
      </c>
      <c r="AM2782">
        <v>92.095464463182594</v>
      </c>
      <c r="AN2782">
        <v>1.00000004072315</v>
      </c>
    </row>
    <row r="2783" spans="1:40" x14ac:dyDescent="0.25">
      <c r="A2783" t="str">
        <f>"20190305135641725"</f>
        <v>20190305135641725</v>
      </c>
      <c r="B2783" t="str">
        <f>"1551765401714742"</f>
        <v>1551765401714742</v>
      </c>
      <c r="C2783" t="s">
        <v>40</v>
      </c>
      <c r="D2783">
        <v>4.3734270000000004</v>
      </c>
      <c r="E2783">
        <v>0.46185340000000003</v>
      </c>
      <c r="F2783" t="s">
        <v>73</v>
      </c>
      <c r="G2783">
        <v>-184.66669999999999</v>
      </c>
      <c r="H2783" s="1">
        <v>-8.7241559999999999E-6</v>
      </c>
      <c r="I2783">
        <v>140.40880000000001</v>
      </c>
      <c r="J2783">
        <v>-190.26</v>
      </c>
      <c r="K2783">
        <v>1.107472</v>
      </c>
      <c r="L2783">
        <v>175.30279999999999</v>
      </c>
      <c r="M2783">
        <v>1.005965E-2</v>
      </c>
      <c r="N2783">
        <v>-1.346639E-2</v>
      </c>
      <c r="O2783">
        <v>-0.99985869999999999</v>
      </c>
      <c r="P2783">
        <v>5.2911840000000002E-2</v>
      </c>
      <c r="Q2783">
        <v>-0.132104</v>
      </c>
      <c r="R2783">
        <v>-0.9898228</v>
      </c>
      <c r="S2783">
        <v>0.47642519999999999</v>
      </c>
      <c r="T2783">
        <v>-9.4321249999999995E-2</v>
      </c>
      <c r="U2783">
        <v>-2.993973</v>
      </c>
      <c r="V2783">
        <v>-4.3388709999999997E-2</v>
      </c>
      <c r="W2783">
        <v>-0.11859699999999999</v>
      </c>
      <c r="X2783">
        <v>0.99199400000000004</v>
      </c>
      <c r="Y2783">
        <v>-0.14713899999999999</v>
      </c>
      <c r="Z2783">
        <v>1.7666870000000001E-2</v>
      </c>
      <c r="AA2783">
        <v>0.98895809999999995</v>
      </c>
      <c r="AB2783">
        <v>27</v>
      </c>
      <c r="AC2783">
        <v>5.5932999999999904</v>
      </c>
      <c r="AD2783">
        <v>-1.1074807241560001</v>
      </c>
      <c r="AE2783">
        <v>-34.893999999999899</v>
      </c>
      <c r="AF2783">
        <v>-5.2368206151537802</v>
      </c>
      <c r="AG2783">
        <v>-1.1074807241560001</v>
      </c>
      <c r="AH2783">
        <v>34.914216768441399</v>
      </c>
      <c r="AI2783">
        <v>91.796730846739607</v>
      </c>
      <c r="AJ2783">
        <v>98.530265030388094</v>
      </c>
      <c r="AK2783">
        <v>35.322136632194102</v>
      </c>
      <c r="AL2783">
        <v>96.811138640466496</v>
      </c>
      <c r="AM2783">
        <v>92.504457155266905</v>
      </c>
      <c r="AN2783">
        <v>0.99999996230023103</v>
      </c>
    </row>
    <row r="2784" spans="1:40" x14ac:dyDescent="0.25">
      <c r="A2784" t="str">
        <f>"20190305135641747"</f>
        <v>20190305135641747</v>
      </c>
      <c r="B2784" t="str">
        <f>"1551765401744998"</f>
        <v>1551765401744998</v>
      </c>
      <c r="C2784" t="s">
        <v>40</v>
      </c>
      <c r="D2784">
        <v>4.3910519999999904</v>
      </c>
      <c r="E2784">
        <v>0.4605843</v>
      </c>
      <c r="F2784" t="s">
        <v>73</v>
      </c>
      <c r="G2784">
        <v>-183.9744</v>
      </c>
      <c r="H2784" s="1">
        <v>-7.7564549999999996E-6</v>
      </c>
      <c r="I2784">
        <v>137.27269999999999</v>
      </c>
      <c r="J2784">
        <v>-190.25960000000001</v>
      </c>
      <c r="K2784">
        <v>1.107407</v>
      </c>
      <c r="L2784">
        <v>175.02799999999999</v>
      </c>
      <c r="M2784">
        <v>7.9365919999999993E-3</v>
      </c>
      <c r="N2784">
        <v>-1.346702E-2</v>
      </c>
      <c r="O2784">
        <v>-0.99987780000000004</v>
      </c>
      <c r="P2784">
        <v>5.900677E-2</v>
      </c>
      <c r="Q2784">
        <v>-0.132731399999999</v>
      </c>
      <c r="R2784">
        <v>-0.98939410000000005</v>
      </c>
      <c r="S2784">
        <v>0.49464419999999998</v>
      </c>
      <c r="T2784">
        <v>-8.7152480000000004E-2</v>
      </c>
      <c r="U2784">
        <v>-2.9927519999999999</v>
      </c>
      <c r="V2784">
        <v>-5.1608750000000002E-2</v>
      </c>
      <c r="W2784">
        <v>-0.1191926</v>
      </c>
      <c r="X2784">
        <v>0.99152890000000005</v>
      </c>
      <c r="Y2784">
        <v>-0.15516940000000001</v>
      </c>
      <c r="Z2784">
        <v>1.52812E-2</v>
      </c>
      <c r="AA2784">
        <v>0.98776969999999997</v>
      </c>
      <c r="AB2784">
        <v>27</v>
      </c>
      <c r="AC2784">
        <v>6.2851999999999997</v>
      </c>
      <c r="AD2784">
        <v>-1.1074147564550001</v>
      </c>
      <c r="AE2784">
        <v>-37.755299999999998</v>
      </c>
      <c r="AF2784">
        <v>-5.9803201112971403</v>
      </c>
      <c r="AG2784">
        <v>-1.1074147564550001</v>
      </c>
      <c r="AH2784">
        <v>37.772377871453699</v>
      </c>
      <c r="AI2784">
        <v>91.658674496727002</v>
      </c>
      <c r="AJ2784">
        <v>98.996690040306007</v>
      </c>
      <c r="AK2784">
        <v>38.258896039225803</v>
      </c>
      <c r="AL2784">
        <v>96.845507883646206</v>
      </c>
      <c r="AM2784">
        <v>92.979537550065402</v>
      </c>
      <c r="AN2784">
        <v>0.99999994925326496</v>
      </c>
    </row>
    <row r="2785" spans="1:40" x14ac:dyDescent="0.25">
      <c r="A2785" t="str">
        <f>"20190305135641772"</f>
        <v>20190305135641772</v>
      </c>
      <c r="B2785" t="str">
        <f>"1551765401764519"</f>
        <v>1551765401764519</v>
      </c>
      <c r="C2785" t="s">
        <v>40</v>
      </c>
      <c r="D2785">
        <v>4.3976329999999999</v>
      </c>
      <c r="E2785">
        <v>0.45997749999999998</v>
      </c>
      <c r="F2785" t="s">
        <v>73</v>
      </c>
      <c r="G2785">
        <v>-182.76910000000001</v>
      </c>
      <c r="H2785" s="1">
        <v>-6.1017249999999996E-6</v>
      </c>
      <c r="I2785">
        <v>132.2201</v>
      </c>
      <c r="J2785">
        <v>-190.25980000000001</v>
      </c>
      <c r="K2785">
        <v>1.1073789999999999</v>
      </c>
      <c r="L2785">
        <v>174.73249999999999</v>
      </c>
      <c r="M2785">
        <v>5.6215919999999999E-3</v>
      </c>
      <c r="N2785">
        <v>-1.346702E-2</v>
      </c>
      <c r="O2785">
        <v>-0.99989349999999999</v>
      </c>
      <c r="P2785">
        <v>6.3912170000000004E-2</v>
      </c>
      <c r="Q2785">
        <v>-0.13236010000000001</v>
      </c>
      <c r="R2785">
        <v>-0.98913899999999999</v>
      </c>
      <c r="S2785">
        <v>0.52328490000000005</v>
      </c>
      <c r="T2785">
        <v>-7.7363849999999998E-2</v>
      </c>
      <c r="U2785">
        <v>-2.9905550000000001</v>
      </c>
      <c r="V2785">
        <v>-5.8812740000000002E-2</v>
      </c>
      <c r="W2785">
        <v>-0.11879480000000001</v>
      </c>
      <c r="X2785">
        <v>0.99117549999999999</v>
      </c>
      <c r="Y2785">
        <v>-0.16676389999999999</v>
      </c>
      <c r="Z2785">
        <v>1.202727E-2</v>
      </c>
      <c r="AA2785">
        <v>0.98592349999999995</v>
      </c>
      <c r="AB2785">
        <v>27</v>
      </c>
      <c r="AC2785">
        <v>7.4907000000000004</v>
      </c>
      <c r="AD2785">
        <v>-1.107385101725</v>
      </c>
      <c r="AE2785">
        <v>-42.5123999999999</v>
      </c>
      <c r="AF2785">
        <v>-7.2468034939701802</v>
      </c>
      <c r="AG2785">
        <v>-1.107385101725</v>
      </c>
      <c r="AH2785">
        <v>42.525855603209301</v>
      </c>
      <c r="AI2785">
        <v>91.470472445915902</v>
      </c>
      <c r="AJ2785">
        <v>99.670839125946401</v>
      </c>
      <c r="AK2785">
        <v>43.1531094757811</v>
      </c>
      <c r="AL2785">
        <v>96.822552125372397</v>
      </c>
      <c r="AM2785">
        <v>93.395741125758803</v>
      </c>
      <c r="AN2785">
        <v>1.0000000073467901</v>
      </c>
    </row>
    <row r="2786" spans="1:40" x14ac:dyDescent="0.25">
      <c r="A2786" t="str">
        <f>"20190305135641793"</f>
        <v>20190305135641793</v>
      </c>
      <c r="B2786" t="str">
        <f>"1551765401784711"</f>
        <v>1551765401784711</v>
      </c>
      <c r="C2786" t="s">
        <v>40</v>
      </c>
      <c r="D2786">
        <v>4.3895330000000001</v>
      </c>
      <c r="E2786">
        <v>0.45956049999999998</v>
      </c>
      <c r="F2786" t="s">
        <v>73</v>
      </c>
      <c r="G2786">
        <v>-182.0692</v>
      </c>
      <c r="H2786" s="1">
        <v>-5.2946430000000002E-6</v>
      </c>
      <c r="I2786">
        <v>129.5813</v>
      </c>
      <c r="J2786">
        <v>-190.26060000000001</v>
      </c>
      <c r="K2786">
        <v>1.107383</v>
      </c>
      <c r="L2786">
        <v>174.46430000000001</v>
      </c>
      <c r="M2786">
        <v>3.540854E-3</v>
      </c>
      <c r="N2786">
        <v>-1.3466250000000001E-2</v>
      </c>
      <c r="O2786">
        <v>-0.9999034</v>
      </c>
      <c r="P2786">
        <v>6.7487560000000002E-2</v>
      </c>
      <c r="Q2786">
        <v>-0.13109270000000001</v>
      </c>
      <c r="R2786">
        <v>-0.98907080000000003</v>
      </c>
      <c r="S2786">
        <v>0.54205319999999901</v>
      </c>
      <c r="T2786">
        <v>-7.3286409999999996E-2</v>
      </c>
      <c r="U2786">
        <v>-2.9880979999999999</v>
      </c>
      <c r="V2786">
        <v>-6.4439830000000003E-2</v>
      </c>
      <c r="W2786">
        <v>-0.1175104</v>
      </c>
      <c r="X2786">
        <v>0.99097869999999999</v>
      </c>
      <c r="Y2786">
        <v>-0.17495150000000001</v>
      </c>
      <c r="Z2786">
        <v>1.067246E-2</v>
      </c>
      <c r="AA2786">
        <v>0.98451920000000004</v>
      </c>
      <c r="AB2786">
        <v>27</v>
      </c>
      <c r="AC2786">
        <v>8.1914000000000105</v>
      </c>
      <c r="AD2786">
        <v>-1.107388294643</v>
      </c>
      <c r="AE2786">
        <v>-44.883000000000003</v>
      </c>
      <c r="AF2786">
        <v>-8.0276808393856207</v>
      </c>
      <c r="AG2786">
        <v>-1.107388294643</v>
      </c>
      <c r="AH2786">
        <v>44.885282791476101</v>
      </c>
      <c r="AI2786">
        <v>91.391221044092006</v>
      </c>
      <c r="AJ2786">
        <v>100.140074339926</v>
      </c>
      <c r="AK2786">
        <v>45.610948025281502</v>
      </c>
      <c r="AL2786">
        <v>96.748442468160704</v>
      </c>
      <c r="AM2786">
        <v>93.720503247255294</v>
      </c>
      <c r="AN2786">
        <v>0.99999998482613905</v>
      </c>
    </row>
    <row r="2787" spans="1:40" x14ac:dyDescent="0.25">
      <c r="A2787" t="str">
        <f>"20190305135641816"</f>
        <v>20190305135641816</v>
      </c>
      <c r="B2787" t="str">
        <f>"1551765401805210"</f>
        <v>1551765401805210</v>
      </c>
      <c r="C2787" t="s">
        <v>40</v>
      </c>
      <c r="D2787">
        <v>4.5125469999999996</v>
      </c>
      <c r="E2787">
        <v>0.45872859999999999</v>
      </c>
      <c r="F2787" t="s">
        <v>73</v>
      </c>
      <c r="G2787">
        <v>-180.96180000000001</v>
      </c>
      <c r="H2787" s="1">
        <v>-3.8933069999999996E-6</v>
      </c>
      <c r="I2787">
        <v>124.43340000000001</v>
      </c>
      <c r="J2787">
        <v>-190.2619</v>
      </c>
      <c r="K2787">
        <v>1.1073949999999999</v>
      </c>
      <c r="L2787">
        <v>174.1918</v>
      </c>
      <c r="M2787">
        <v>1.47346E-3</v>
      </c>
      <c r="N2787">
        <v>-1.3465019999999999E-2</v>
      </c>
      <c r="O2787">
        <v>-0.99990849999999998</v>
      </c>
      <c r="P2787">
        <v>6.9184960000000004E-2</v>
      </c>
      <c r="Q2787">
        <v>-0.13132750000000001</v>
      </c>
      <c r="R2787">
        <v>-0.98892239999999998</v>
      </c>
      <c r="S2787">
        <v>0.55506899999999904</v>
      </c>
      <c r="T2787">
        <v>-6.6103220000000004E-2</v>
      </c>
      <c r="U2787">
        <v>-2.9864959999999998</v>
      </c>
      <c r="V2787">
        <v>-6.8173830000000005E-2</v>
      </c>
      <c r="W2787">
        <v>-0.1177412</v>
      </c>
      <c r="X2787">
        <v>0.99070139999999995</v>
      </c>
      <c r="Y2787">
        <v>-0.18123249999999999</v>
      </c>
      <c r="Z2787">
        <v>8.2972250000000001E-3</v>
      </c>
      <c r="AA2787">
        <v>0.98340530000000004</v>
      </c>
      <c r="AB2787">
        <v>27</v>
      </c>
      <c r="AC2787">
        <v>9.3000999999999792</v>
      </c>
      <c r="AD2787">
        <v>-1.107398893307</v>
      </c>
      <c r="AE2787">
        <v>-49.758400000000002</v>
      </c>
      <c r="AF2787">
        <v>-9.2223525425521906</v>
      </c>
      <c r="AG2787">
        <v>-1.107398893307</v>
      </c>
      <c r="AH2787">
        <v>49.748241568304898</v>
      </c>
      <c r="AI2787">
        <v>91.253841230356201</v>
      </c>
      <c r="AJ2787">
        <v>100.502294796447</v>
      </c>
      <c r="AK2787">
        <v>50.607960419942202</v>
      </c>
      <c r="AL2787">
        <v>96.761758927119203</v>
      </c>
      <c r="AM2787">
        <v>93.936528889607999</v>
      </c>
      <c r="AN2787">
        <v>0.99999996261813295</v>
      </c>
    </row>
    <row r="2788" spans="1:40" x14ac:dyDescent="0.25">
      <c r="A2788" t="str">
        <f>"20190305135641838"</f>
        <v>20190305135641838</v>
      </c>
      <c r="B2788" t="str">
        <f>"1551765401834487"</f>
        <v>1551765401834487</v>
      </c>
      <c r="C2788" t="s">
        <v>40</v>
      </c>
      <c r="D2788">
        <v>4.5322129999999996</v>
      </c>
      <c r="E2788">
        <v>0.4584318</v>
      </c>
      <c r="F2788" t="s">
        <v>73</v>
      </c>
      <c r="G2788">
        <v>-182.44130000000001</v>
      </c>
      <c r="H2788" s="1">
        <v>-6.3437379999999997E-6</v>
      </c>
      <c r="I2788">
        <v>132.8476</v>
      </c>
      <c r="J2788">
        <v>-190.2638</v>
      </c>
      <c r="K2788">
        <v>1.1074329999999999</v>
      </c>
      <c r="L2788">
        <v>173.9229</v>
      </c>
      <c r="M2788">
        <v>-4.7432259999999999E-4</v>
      </c>
      <c r="N2788">
        <v>-1.346325E-2</v>
      </c>
      <c r="O2788">
        <v>-0.99990959999999995</v>
      </c>
      <c r="P2788">
        <v>6.8162410000000007E-2</v>
      </c>
      <c r="Q2788">
        <v>-0.13308010000000001</v>
      </c>
      <c r="R2788">
        <v>-0.9887589</v>
      </c>
      <c r="S2788">
        <v>0.56436160000000002</v>
      </c>
      <c r="T2788">
        <v>-7.9913739999999997E-2</v>
      </c>
      <c r="U2788">
        <v>-2.983536</v>
      </c>
      <c r="V2788">
        <v>-6.9067089999999998E-2</v>
      </c>
      <c r="W2788">
        <v>-0.11950570000000001</v>
      </c>
      <c r="X2788">
        <v>0.99042830000000004</v>
      </c>
      <c r="Y2788">
        <v>-0.18626400000000001</v>
      </c>
      <c r="Z2788">
        <v>1.2846440000000001E-2</v>
      </c>
      <c r="AA2788">
        <v>0.9824157</v>
      </c>
      <c r="AB2788">
        <v>27</v>
      </c>
      <c r="AC2788">
        <v>7.82249999999999</v>
      </c>
      <c r="AD2788">
        <v>-1.1074393437379999</v>
      </c>
      <c r="AE2788">
        <v>-41.075299999999999</v>
      </c>
      <c r="AF2788">
        <v>-7.8364867996756802</v>
      </c>
      <c r="AG2788">
        <v>-1.1074393437379999</v>
      </c>
      <c r="AH2788">
        <v>41.0427945642517</v>
      </c>
      <c r="AI2788">
        <v>91.518198520852195</v>
      </c>
      <c r="AJ2788">
        <v>100.80963737963999</v>
      </c>
      <c r="AK2788">
        <v>41.7988987044506</v>
      </c>
      <c r="AL2788">
        <v>96.863575670676596</v>
      </c>
      <c r="AM2788">
        <v>93.989038705358794</v>
      </c>
      <c r="AN2788">
        <v>1.0000000463472201</v>
      </c>
    </row>
    <row r="2789" spans="1:40" x14ac:dyDescent="0.25">
      <c r="A2789" t="str">
        <f>"20190305135641861"</f>
        <v>20190305135641861</v>
      </c>
      <c r="B2789" t="str">
        <f>"1551765401854983"</f>
        <v>1551765401854983</v>
      </c>
      <c r="C2789" t="s">
        <v>40</v>
      </c>
      <c r="D2789">
        <v>5.0954309999999996</v>
      </c>
      <c r="E2789">
        <v>0.4583468</v>
      </c>
      <c r="F2789" t="s">
        <v>73</v>
      </c>
      <c r="G2789">
        <v>-183.94479999999999</v>
      </c>
      <c r="H2789" s="1">
        <v>-8.7874979999999997E-6</v>
      </c>
      <c r="I2789">
        <v>140.40860000000001</v>
      </c>
      <c r="J2789">
        <v>-190.2662</v>
      </c>
      <c r="K2789">
        <v>1.107515</v>
      </c>
      <c r="L2789">
        <v>173.6317</v>
      </c>
      <c r="M2789">
        <v>-2.4324360000000001E-3</v>
      </c>
      <c r="N2789">
        <v>-1.346057E-2</v>
      </c>
      <c r="O2789">
        <v>-0.99990659999999998</v>
      </c>
      <c r="P2789">
        <v>6.2954659999999996E-2</v>
      </c>
      <c r="Q2789">
        <v>-0.1336407</v>
      </c>
      <c r="R2789">
        <v>-0.98902849999999998</v>
      </c>
      <c r="S2789">
        <v>0.56225590000000003</v>
      </c>
      <c r="T2789">
        <v>-9.8539470000000004E-2</v>
      </c>
      <c r="U2789">
        <v>-2.9820859999999998</v>
      </c>
      <c r="V2789">
        <v>-6.5770750000000003E-2</v>
      </c>
      <c r="W2789">
        <v>-0.1200941</v>
      </c>
      <c r="X2789">
        <v>0.9905815</v>
      </c>
      <c r="Y2789">
        <v>-0.187579</v>
      </c>
      <c r="Z2789">
        <v>1.8987649999999998E-2</v>
      </c>
      <c r="AA2789">
        <v>0.98206599999999999</v>
      </c>
      <c r="AB2789">
        <v>27</v>
      </c>
      <c r="AC2789">
        <v>6.3214000000000103</v>
      </c>
      <c r="AD2789">
        <v>-1.107523787498</v>
      </c>
      <c r="AE2789">
        <v>-33.223099999999903</v>
      </c>
      <c r="AF2789">
        <v>-6.3953429230101504</v>
      </c>
      <c r="AG2789">
        <v>-1.107523787498</v>
      </c>
      <c r="AH2789">
        <v>33.1720482246279</v>
      </c>
      <c r="AI2789">
        <v>91.877686519511499</v>
      </c>
      <c r="AJ2789">
        <v>100.91234610818501</v>
      </c>
      <c r="AK2789">
        <v>33.801062164668799</v>
      </c>
      <c r="AL2789">
        <v>96.897533065951094</v>
      </c>
      <c r="AM2789">
        <v>93.798640919841304</v>
      </c>
      <c r="AN2789">
        <v>1.0000000462763099</v>
      </c>
    </row>
    <row r="2790" spans="1:40" x14ac:dyDescent="0.25">
      <c r="A2790" t="str">
        <f>"20190305135641896"</f>
        <v>20190305135641896</v>
      </c>
      <c r="B2790" t="str">
        <f>"1551765401885239"</f>
        <v>1551765401885239</v>
      </c>
      <c r="C2790" t="s">
        <v>40</v>
      </c>
      <c r="D2790">
        <v>4.15219</v>
      </c>
      <c r="E2790">
        <v>0.57976479999999997</v>
      </c>
      <c r="F2790" t="s">
        <v>73</v>
      </c>
      <c r="G2790">
        <v>-184.6806</v>
      </c>
      <c r="H2790" s="1">
        <v>-9.4357229999999997E-6</v>
      </c>
      <c r="I2790">
        <v>143.11170000000001</v>
      </c>
      <c r="J2790">
        <v>-190.2704</v>
      </c>
      <c r="K2790">
        <v>1.107677</v>
      </c>
      <c r="L2790">
        <v>173.2174</v>
      </c>
      <c r="M2790">
        <v>-4.887209E-3</v>
      </c>
      <c r="N2790">
        <v>-1.345584E-2</v>
      </c>
      <c r="O2790">
        <v>-0.99989749999999999</v>
      </c>
      <c r="P2790">
        <v>4.2592400000000002E-2</v>
      </c>
      <c r="Q2790">
        <v>-0.13224060000000001</v>
      </c>
      <c r="R2790">
        <v>-0.99030209999999996</v>
      </c>
      <c r="S2790">
        <v>0.54609680000000005</v>
      </c>
      <c r="T2790">
        <v>-0.10828069999999999</v>
      </c>
      <c r="U2790">
        <v>-2.9838870000000002</v>
      </c>
      <c r="V2790">
        <v>-4.7784960000000001E-2</v>
      </c>
      <c r="W2790">
        <v>-0.11876490000000001</v>
      </c>
      <c r="X2790">
        <v>0.99177190000000004</v>
      </c>
      <c r="Y2790">
        <v>-0.1847258</v>
      </c>
      <c r="Z2790">
        <v>2.219985E-2</v>
      </c>
      <c r="AA2790">
        <v>0.98253939999999995</v>
      </c>
      <c r="AB2790">
        <v>27</v>
      </c>
      <c r="AC2790">
        <v>5.5897999999999897</v>
      </c>
      <c r="AD2790">
        <v>-1.1076864357230001</v>
      </c>
      <c r="AE2790">
        <v>-30.105699999999899</v>
      </c>
      <c r="AF2790">
        <v>-5.7293817700411198</v>
      </c>
      <c r="AG2790">
        <v>-1.1076864357230001</v>
      </c>
      <c r="AH2790">
        <v>30.0387098780004</v>
      </c>
      <c r="AI2790">
        <v>92.074478895154797</v>
      </c>
      <c r="AJ2790">
        <v>100.798511822891</v>
      </c>
      <c r="AK2790">
        <v>30.600275747800801</v>
      </c>
      <c r="AL2790">
        <v>96.820826798591597</v>
      </c>
      <c r="AM2790">
        <v>92.758457732175899</v>
      </c>
      <c r="AN2790">
        <v>1.00000000275191</v>
      </c>
    </row>
    <row r="2791" spans="1:40" x14ac:dyDescent="0.25">
      <c r="A2791" t="str">
        <f>"20190305135641916"</f>
        <v>20190305135641916</v>
      </c>
      <c r="B2791" t="str">
        <f>"1551765401904760"</f>
        <v>1551765401904760</v>
      </c>
      <c r="C2791" t="s">
        <v>40</v>
      </c>
      <c r="D2791">
        <v>5.0932139999999997</v>
      </c>
      <c r="E2791">
        <v>0.64270159999999998</v>
      </c>
      <c r="F2791" t="s">
        <v>73</v>
      </c>
      <c r="G2791">
        <v>-195.81610000000001</v>
      </c>
      <c r="H2791" s="1">
        <v>-8.5414889999999994E-6</v>
      </c>
      <c r="I2791">
        <v>138.52160000000001</v>
      </c>
      <c r="J2791">
        <v>-190.27330000000001</v>
      </c>
      <c r="K2791">
        <v>1.1077840000000001</v>
      </c>
      <c r="L2791">
        <v>172.96289999999999</v>
      </c>
      <c r="M2791">
        <v>-6.2037799999999999E-3</v>
      </c>
      <c r="N2791">
        <v>-1.3452860000000001E-2</v>
      </c>
      <c r="O2791">
        <v>-0.99989019999999995</v>
      </c>
      <c r="P2791">
        <v>2.6056820000000001E-2</v>
      </c>
      <c r="Q2791">
        <v>-0.133604799999999</v>
      </c>
      <c r="R2791">
        <v>-0.99069209999999996</v>
      </c>
      <c r="S2791">
        <v>-0.48547360000000001</v>
      </c>
      <c r="T2791">
        <v>-9.6967460000000005E-2</v>
      </c>
      <c r="U2791">
        <v>-3.0372919999999999</v>
      </c>
      <c r="V2791">
        <v>-3.252476E-2</v>
      </c>
      <c r="W2791">
        <v>-0.12018089999999999</v>
      </c>
      <c r="X2791">
        <v>0.99221910000000002</v>
      </c>
      <c r="Y2791">
        <v>0.1516332</v>
      </c>
      <c r="Z2791">
        <v>1.8081779999999999E-2</v>
      </c>
      <c r="AA2791">
        <v>0.98827140000000002</v>
      </c>
      <c r="AB2791">
        <v>27</v>
      </c>
      <c r="AC2791">
        <v>-5.5427999999999997</v>
      </c>
      <c r="AD2791">
        <v>-1.107792541489</v>
      </c>
      <c r="AE2791">
        <v>-34.441299999999899</v>
      </c>
      <c r="AF2791">
        <v>5.3236391145193496</v>
      </c>
      <c r="AG2791">
        <v>-1.107792541489</v>
      </c>
      <c r="AH2791">
        <v>34.440295341381699</v>
      </c>
      <c r="AI2791">
        <v>91.820709036760704</v>
      </c>
      <c r="AJ2791">
        <v>81.212998453547499</v>
      </c>
      <c r="AK2791">
        <v>34.866922447187903</v>
      </c>
      <c r="AL2791">
        <v>96.902542765897806</v>
      </c>
      <c r="AM2791">
        <v>91.877472871306395</v>
      </c>
      <c r="AN2791">
        <v>1.0000000255713299</v>
      </c>
    </row>
    <row r="2792" spans="1:40" x14ac:dyDescent="0.25">
      <c r="A2792" t="str">
        <f>"20190305135641937"</f>
        <v>20190305135641937</v>
      </c>
      <c r="B2792" t="str">
        <f>"1551765401935015"</f>
        <v>1551765401935015</v>
      </c>
      <c r="C2792" t="s">
        <v>40</v>
      </c>
      <c r="D2792">
        <v>4.7756400000000001</v>
      </c>
      <c r="E2792">
        <v>0.64110849999999997</v>
      </c>
      <c r="F2792" t="s">
        <v>77</v>
      </c>
      <c r="G2792">
        <v>-215.70830000000001</v>
      </c>
      <c r="H2792">
        <v>2.1572110000000002</v>
      </c>
      <c r="I2792">
        <v>97.150019999999998</v>
      </c>
      <c r="J2792">
        <v>-190.2764</v>
      </c>
      <c r="K2792">
        <v>1.1078840000000001</v>
      </c>
      <c r="L2792">
        <v>172.70689999999999</v>
      </c>
      <c r="M2792">
        <v>-7.4104359999999899E-3</v>
      </c>
      <c r="N2792">
        <v>-1.3449930000000001E-2</v>
      </c>
      <c r="O2792">
        <v>-0.99988220000000005</v>
      </c>
      <c r="P2792">
        <v>7.3042250000000001E-3</v>
      </c>
      <c r="Q2792">
        <v>-0.1371378</v>
      </c>
      <c r="R2792">
        <v>-0.99052519999999999</v>
      </c>
      <c r="S2792">
        <v>-1.026932</v>
      </c>
      <c r="T2792">
        <v>4.2371270000000003E-2</v>
      </c>
      <c r="U2792">
        <v>-3.0609130000000002</v>
      </c>
      <c r="V2792">
        <v>-1.494531E-2</v>
      </c>
      <c r="W2792">
        <v>-0.12376810000000001</v>
      </c>
      <c r="X2792">
        <v>0.99219860000000004</v>
      </c>
      <c r="Y2792">
        <v>0.3109267</v>
      </c>
      <c r="Z2792">
        <v>-2.6569120000000002E-2</v>
      </c>
      <c r="AA2792">
        <v>0.95006250000000003</v>
      </c>
      <c r="AB2792">
        <v>27</v>
      </c>
      <c r="AC2792">
        <v>-25.431899999999999</v>
      </c>
      <c r="AD2792">
        <v>1.0493269999999999</v>
      </c>
      <c r="AE2792">
        <v>-75.556879999999893</v>
      </c>
      <c r="AF2792">
        <v>24.866933463298199</v>
      </c>
      <c r="AG2792">
        <v>1.0493269999999999</v>
      </c>
      <c r="AH2792">
        <v>75.730163547396998</v>
      </c>
      <c r="AI2792">
        <v>89.245768718961799</v>
      </c>
      <c r="AJ2792">
        <v>71.821767715708006</v>
      </c>
      <c r="AK2792">
        <v>79.715262891974007</v>
      </c>
      <c r="AL2792">
        <v>97.109620800349603</v>
      </c>
      <c r="AM2792">
        <v>90.862970814033602</v>
      </c>
      <c r="AN2792">
        <v>0.99999998335528195</v>
      </c>
    </row>
    <row r="2793" spans="1:40" x14ac:dyDescent="0.25">
      <c r="A2793" t="str">
        <f>"20190305135641962"</f>
        <v>20190305135641962</v>
      </c>
      <c r="B2793" t="str">
        <f>"1551765401955512"</f>
        <v>1551765401955512</v>
      </c>
      <c r="C2793" t="s">
        <v>40</v>
      </c>
      <c r="D2793">
        <v>4.5729680000000004</v>
      </c>
      <c r="E2793">
        <v>0.63893339999999998</v>
      </c>
      <c r="F2793" t="s">
        <v>79</v>
      </c>
      <c r="G2793">
        <v>-209.94739999999999</v>
      </c>
      <c r="H2793">
        <v>0.2892884</v>
      </c>
      <c r="I2793">
        <v>117.42610000000001</v>
      </c>
      <c r="J2793">
        <v>-190.2801</v>
      </c>
      <c r="K2793">
        <v>1.1079619999999999</v>
      </c>
      <c r="L2793">
        <v>172.41409999999999</v>
      </c>
      <c r="M2793">
        <v>-8.6874819999999998E-3</v>
      </c>
      <c r="N2793">
        <v>-1.344674E-2</v>
      </c>
      <c r="O2793">
        <v>-0.99987199999999998</v>
      </c>
      <c r="P2793">
        <v>-1.7253020000000001E-2</v>
      </c>
      <c r="Q2793">
        <v>-0.13869039999999999</v>
      </c>
      <c r="R2793">
        <v>-0.99018569999999995</v>
      </c>
      <c r="S2793">
        <v>-1.078354</v>
      </c>
      <c r="T2793">
        <v>-4.4873360000000001E-2</v>
      </c>
      <c r="U2793">
        <v>-3.0304570000000002</v>
      </c>
      <c r="V2793">
        <v>8.3698049999999993E-3</v>
      </c>
      <c r="W2793">
        <v>-0.12538050000000001</v>
      </c>
      <c r="X2793">
        <v>0.99207339999999999</v>
      </c>
      <c r="Y2793">
        <v>0.3269899</v>
      </c>
      <c r="Z2793">
        <v>5.4264889999999896E-4</v>
      </c>
      <c r="AA2793">
        <v>0.94502770000000003</v>
      </c>
      <c r="AB2793">
        <v>27</v>
      </c>
      <c r="AC2793">
        <v>-19.667299999999901</v>
      </c>
      <c r="AD2793">
        <v>-0.8186736</v>
      </c>
      <c r="AE2793">
        <v>-54.9879999999999</v>
      </c>
      <c r="AF2793">
        <v>19.1850370672054</v>
      </c>
      <c r="AG2793">
        <v>-0.8186736</v>
      </c>
      <c r="AH2793">
        <v>55.145962029213997</v>
      </c>
      <c r="AI2793">
        <v>90.803308505565298</v>
      </c>
      <c r="AJ2793">
        <v>70.817439539482606</v>
      </c>
      <c r="AK2793">
        <v>58.393604117753299</v>
      </c>
      <c r="AL2793">
        <v>97.202729865007996</v>
      </c>
      <c r="AM2793">
        <v>89.516625358068893</v>
      </c>
      <c r="AN2793">
        <v>0.99999997720177303</v>
      </c>
    </row>
    <row r="2794" spans="1:40" x14ac:dyDescent="0.25">
      <c r="A2794" t="str">
        <f>"20190305135641983"</f>
        <v>20190305135641983</v>
      </c>
      <c r="B2794" t="str">
        <f>"1551765401975031"</f>
        <v>1551765401975031</v>
      </c>
      <c r="C2794" t="s">
        <v>40</v>
      </c>
      <c r="D2794">
        <v>4.7884880000000001</v>
      </c>
      <c r="E2794">
        <v>0.63605469999999997</v>
      </c>
      <c r="F2794" t="s">
        <v>43</v>
      </c>
      <c r="G2794">
        <v>-211.66749999999999</v>
      </c>
      <c r="H2794">
        <v>-0.05</v>
      </c>
      <c r="I2794">
        <v>116.0198</v>
      </c>
      <c r="J2794">
        <v>-190.28389999999999</v>
      </c>
      <c r="K2794">
        <v>1.1079969999999999</v>
      </c>
      <c r="L2794">
        <v>172.1454</v>
      </c>
      <c r="M2794">
        <v>-9.8588840000000001E-3</v>
      </c>
      <c r="N2794">
        <v>-1.344419E-2</v>
      </c>
      <c r="O2794">
        <v>-0.99986109999999995</v>
      </c>
      <c r="P2794">
        <v>-4.2574630000000002E-2</v>
      </c>
      <c r="Q2794">
        <v>-0.1423249</v>
      </c>
      <c r="R2794">
        <v>-0.98890409999999995</v>
      </c>
      <c r="S2794">
        <v>-1.1382289999999999</v>
      </c>
      <c r="T2794">
        <v>-6.1626199999999902E-2</v>
      </c>
      <c r="U2794">
        <v>-3.0012819999999998</v>
      </c>
      <c r="V2794">
        <v>3.2538909999999997E-2</v>
      </c>
      <c r="W2794">
        <v>-0.1290837</v>
      </c>
      <c r="X2794">
        <v>0.99109970000000003</v>
      </c>
      <c r="Y2794">
        <v>0.34528759999999997</v>
      </c>
      <c r="Z2794">
        <v>5.8092689999999997E-3</v>
      </c>
      <c r="AA2794">
        <v>0.9384789</v>
      </c>
      <c r="AB2794">
        <v>27</v>
      </c>
      <c r="AC2794">
        <v>-21.383600000000001</v>
      </c>
      <c r="AD2794">
        <v>-1.1579969999999999</v>
      </c>
      <c r="AE2794">
        <v>-56.125599999999899</v>
      </c>
      <c r="AF2794">
        <v>20.821434869319699</v>
      </c>
      <c r="AG2794">
        <v>-1.1579969999999999</v>
      </c>
      <c r="AH2794">
        <v>56.3127761247816</v>
      </c>
      <c r="AI2794">
        <v>91.104953530156195</v>
      </c>
      <c r="AJ2794">
        <v>69.708318080080801</v>
      </c>
      <c r="AK2794">
        <v>60.049994687336202</v>
      </c>
      <c r="AL2794">
        <v>97.4166460731184</v>
      </c>
      <c r="AM2794">
        <v>88.119590997032006</v>
      </c>
      <c r="AN2794">
        <v>0.99999999880488399</v>
      </c>
    </row>
    <row r="2795" spans="1:40" x14ac:dyDescent="0.25">
      <c r="A2795" t="str">
        <f>"20190305135642017"</f>
        <v>20190305135642017</v>
      </c>
      <c r="B2795" t="str">
        <f>"1551765402005287"</f>
        <v>1551765402005287</v>
      </c>
      <c r="C2795" t="s">
        <v>40</v>
      </c>
      <c r="D2795">
        <v>4.840935</v>
      </c>
      <c r="E2795">
        <v>0.63147129999999996</v>
      </c>
      <c r="F2795" t="s">
        <v>73</v>
      </c>
      <c r="G2795">
        <v>-204.45849999999999</v>
      </c>
      <c r="H2795" s="1">
        <v>-6.9287280000000002E-6</v>
      </c>
      <c r="I2795">
        <v>136.8777</v>
      </c>
      <c r="J2795">
        <v>-190.2902</v>
      </c>
      <c r="K2795">
        <v>1.1078680000000001</v>
      </c>
      <c r="L2795">
        <v>171.75579999999999</v>
      </c>
      <c r="M2795">
        <v>-1.193577E-2</v>
      </c>
      <c r="N2795">
        <v>-1.344365E-2</v>
      </c>
      <c r="O2795">
        <v>-0.99983869999999997</v>
      </c>
      <c r="P2795">
        <v>-8.0335799999999999E-2</v>
      </c>
      <c r="Q2795">
        <v>-0.1431587</v>
      </c>
      <c r="R2795">
        <v>-0.98643400000000003</v>
      </c>
      <c r="S2795">
        <v>-1.1932370000000001</v>
      </c>
      <c r="T2795">
        <v>-9.3273400000000006E-2</v>
      </c>
      <c r="U2795">
        <v>-2.9688870000000001</v>
      </c>
      <c r="V2795">
        <v>6.821497E-2</v>
      </c>
      <c r="W2795">
        <v>-0.13005149999999999</v>
      </c>
      <c r="X2795">
        <v>0.98915790000000003</v>
      </c>
      <c r="Y2795">
        <v>0.36167280000000002</v>
      </c>
      <c r="Z2795">
        <v>1.579214E-2</v>
      </c>
      <c r="AA2795">
        <v>0.93217130000000004</v>
      </c>
      <c r="AB2795">
        <v>27</v>
      </c>
      <c r="AC2795">
        <v>-14.168299999999901</v>
      </c>
      <c r="AD2795">
        <v>-1.1078749287279901</v>
      </c>
      <c r="AE2795">
        <v>-34.878099999999897</v>
      </c>
      <c r="AF2795">
        <v>13.739057358523601</v>
      </c>
      <c r="AG2795">
        <v>-1.1078749287279901</v>
      </c>
      <c r="AH2795">
        <v>35.014415587637203</v>
      </c>
      <c r="AI2795">
        <v>91.687115242305595</v>
      </c>
      <c r="AJ2795">
        <v>68.575807439357305</v>
      </c>
      <c r="AK2795">
        <v>37.629753957503901</v>
      </c>
      <c r="AL2795">
        <v>97.472568216054498</v>
      </c>
      <c r="AM2795">
        <v>86.054976124194098</v>
      </c>
      <c r="AN2795">
        <v>1.0000000129583799</v>
      </c>
    </row>
    <row r="2796" spans="1:40" x14ac:dyDescent="0.25">
      <c r="A2796" t="str">
        <f>"20190305135642040"</f>
        <v>20190305135642040</v>
      </c>
      <c r="B2796" t="str">
        <f>"1551765402035543"</f>
        <v>1551765402035543</v>
      </c>
      <c r="C2796" t="s">
        <v>40</v>
      </c>
      <c r="D2796">
        <v>4.8135750000000002</v>
      </c>
      <c r="E2796">
        <v>0.62821519999999897</v>
      </c>
      <c r="F2796" t="s">
        <v>73</v>
      </c>
      <c r="G2796">
        <v>-204.9923</v>
      </c>
      <c r="H2796" s="1">
        <v>-7.0140110000000002E-6</v>
      </c>
      <c r="I2796">
        <v>137.81909999999999</v>
      </c>
      <c r="J2796">
        <v>-190.29589999999999</v>
      </c>
      <c r="K2796">
        <v>1.1076319999999999</v>
      </c>
      <c r="L2796">
        <v>171.4692</v>
      </c>
      <c r="M2796">
        <v>-1.397691E-2</v>
      </c>
      <c r="N2796">
        <v>-1.3449819999999999E-2</v>
      </c>
      <c r="O2796">
        <v>-0.99981209999999998</v>
      </c>
      <c r="P2796">
        <v>-0.1064507</v>
      </c>
      <c r="Q2796">
        <v>-0.14029469999999999</v>
      </c>
      <c r="R2796">
        <v>-0.98437090000000005</v>
      </c>
      <c r="S2796">
        <v>-1.2668459999999999</v>
      </c>
      <c r="T2796">
        <v>-9.54628E-2</v>
      </c>
      <c r="U2796">
        <v>-2.9242400000000002</v>
      </c>
      <c r="V2796">
        <v>9.2259740000000007E-2</v>
      </c>
      <c r="W2796">
        <v>-0.12732969999999999</v>
      </c>
      <c r="X2796">
        <v>0.98756029999999995</v>
      </c>
      <c r="Y2796">
        <v>0.38449440000000001</v>
      </c>
      <c r="Z2796">
        <v>1.6615370000000001E-2</v>
      </c>
      <c r="AA2796">
        <v>0.92297779999999996</v>
      </c>
      <c r="AB2796">
        <v>27</v>
      </c>
      <c r="AC2796">
        <v>-14.696400000000001</v>
      </c>
      <c r="AD2796">
        <v>-1.107639014011</v>
      </c>
      <c r="AE2796">
        <v>-33.650100000000002</v>
      </c>
      <c r="AF2796">
        <v>14.211665768611001</v>
      </c>
      <c r="AG2796">
        <v>-1.107639014011</v>
      </c>
      <c r="AH2796">
        <v>33.821466196566298</v>
      </c>
      <c r="AI2796">
        <v>91.729372440880198</v>
      </c>
      <c r="AJ2796">
        <v>67.208018710777907</v>
      </c>
      <c r="AK2796">
        <v>36.702723111365302</v>
      </c>
      <c r="AL2796">
        <v>97.315312784640099</v>
      </c>
      <c r="AM2796">
        <v>84.662811612890295</v>
      </c>
      <c r="AN2796">
        <v>1.0000000291315201</v>
      </c>
    </row>
    <row r="2797" spans="1:40" x14ac:dyDescent="0.25">
      <c r="A2797" t="str">
        <f>"20190305135642062"</f>
        <v>20190305135642062</v>
      </c>
      <c r="B2797" t="str">
        <f>"1551765402055063"</f>
        <v>1551765402055063</v>
      </c>
      <c r="C2797" t="s">
        <v>40</v>
      </c>
      <c r="D2797">
        <v>4.8864869999999998</v>
      </c>
      <c r="E2797">
        <v>0.59560259999999998</v>
      </c>
      <c r="F2797" t="s">
        <v>73</v>
      </c>
      <c r="G2797">
        <v>-206.7182</v>
      </c>
      <c r="H2797" s="1">
        <v>-5.4708899999999997E-6</v>
      </c>
      <c r="I2797">
        <v>135.38759999999999</v>
      </c>
      <c r="J2797">
        <v>-190.30240000000001</v>
      </c>
      <c r="K2797">
        <v>1.1073170000000001</v>
      </c>
      <c r="L2797">
        <v>171.19110000000001</v>
      </c>
      <c r="M2797">
        <v>-1.6485329999999999E-2</v>
      </c>
      <c r="N2797">
        <v>-1.346135E-2</v>
      </c>
      <c r="O2797">
        <v>-0.99977349999999998</v>
      </c>
      <c r="P2797">
        <v>-0.1316406</v>
      </c>
      <c r="Q2797">
        <v>-0.13713939999999999</v>
      </c>
      <c r="R2797">
        <v>-0.98176540000000001</v>
      </c>
      <c r="S2797">
        <v>-1.316559</v>
      </c>
      <c r="T2797">
        <v>-8.8798050000000003E-2</v>
      </c>
      <c r="U2797">
        <v>-2.8926240000000001</v>
      </c>
      <c r="V2797">
        <v>0.1149162</v>
      </c>
      <c r="W2797">
        <v>-0.1243664</v>
      </c>
      <c r="X2797">
        <v>0.98555930000000003</v>
      </c>
      <c r="Y2797">
        <v>0.39904200000000001</v>
      </c>
      <c r="Z2797">
        <v>1.4611290000000001E-2</v>
      </c>
      <c r="AA2797">
        <v>0.91681619999999997</v>
      </c>
      <c r="AB2797">
        <v>27</v>
      </c>
      <c r="AC2797">
        <v>-16.415799999999901</v>
      </c>
      <c r="AD2797">
        <v>-1.10732247089</v>
      </c>
      <c r="AE2797">
        <v>-35.8035</v>
      </c>
      <c r="AF2797">
        <v>15.8107863780498</v>
      </c>
      <c r="AG2797">
        <v>-1.10732247089</v>
      </c>
      <c r="AH2797">
        <v>36.040792363832402</v>
      </c>
      <c r="AI2797">
        <v>91.611638881999895</v>
      </c>
      <c r="AJ2797">
        <v>66.313350906794</v>
      </c>
      <c r="AK2797">
        <v>39.371891536472397</v>
      </c>
      <c r="AL2797">
        <v>97.144168136253299</v>
      </c>
      <c r="AM2797">
        <v>83.349344233843794</v>
      </c>
      <c r="AN2797">
        <v>0.99999993414394195</v>
      </c>
    </row>
    <row r="2798" spans="1:40" x14ac:dyDescent="0.25">
      <c r="A2798" t="str">
        <f>"20190305135642085"</f>
        <v>20190305135642085</v>
      </c>
      <c r="B2798" t="str">
        <f>"1551765402075559"</f>
        <v>1551765402075559</v>
      </c>
      <c r="C2798" t="s">
        <v>40</v>
      </c>
      <c r="D2798">
        <v>5.0342929999999999</v>
      </c>
      <c r="E2798">
        <v>0.59335179999999998</v>
      </c>
      <c r="F2798" t="s">
        <v>73</v>
      </c>
      <c r="G2798">
        <v>-199.73339999999999</v>
      </c>
      <c r="H2798" s="1">
        <v>-1.1709919999999999E-5</v>
      </c>
      <c r="I2798">
        <v>147.1987</v>
      </c>
      <c r="J2798">
        <v>-190.31</v>
      </c>
      <c r="K2798">
        <v>1.106919</v>
      </c>
      <c r="L2798">
        <v>170.9247</v>
      </c>
      <c r="M2798">
        <v>-1.957451E-2</v>
      </c>
      <c r="N2798">
        <v>-1.3478800000000001E-2</v>
      </c>
      <c r="O2798">
        <v>-0.99971750000000004</v>
      </c>
      <c r="P2798">
        <v>-0.15407870000000001</v>
      </c>
      <c r="Q2798">
        <v>-0.13293460000000001</v>
      </c>
      <c r="R2798">
        <v>-0.97907520000000003</v>
      </c>
      <c r="S2798">
        <v>-1.134064</v>
      </c>
      <c r="T2798">
        <v>-0.13315550000000001</v>
      </c>
      <c r="U2798">
        <v>-2.8850709999999999</v>
      </c>
      <c r="V2798">
        <v>0.13425039999999999</v>
      </c>
      <c r="W2798">
        <v>-0.1203964</v>
      </c>
      <c r="X2798">
        <v>0.98360639999999999</v>
      </c>
      <c r="Y2798">
        <v>0.34725499999999998</v>
      </c>
      <c r="Z2798">
        <v>2.9637030000000002E-2</v>
      </c>
      <c r="AA2798">
        <v>0.93730230000000003</v>
      </c>
      <c r="AB2798">
        <v>27</v>
      </c>
      <c r="AC2798">
        <v>-9.4233999999999796</v>
      </c>
      <c r="AD2798">
        <v>-1.1069307099200001</v>
      </c>
      <c r="AE2798">
        <v>-23.725999999999999</v>
      </c>
      <c r="AF2798">
        <v>8.9403185623793995</v>
      </c>
      <c r="AG2798">
        <v>-1.1069307099200001</v>
      </c>
      <c r="AH2798">
        <v>23.8610676639925</v>
      </c>
      <c r="AI2798">
        <v>92.487448719429196</v>
      </c>
      <c r="AJ2798">
        <v>69.459917549207503</v>
      </c>
      <c r="AK2798">
        <v>25.505002286983199</v>
      </c>
      <c r="AL2798">
        <v>96.914980447633397</v>
      </c>
      <c r="AM2798">
        <v>82.227842688379198</v>
      </c>
      <c r="AN2798">
        <v>1.00000000657703</v>
      </c>
    </row>
    <row r="2799" spans="1:40" x14ac:dyDescent="0.25">
      <c r="A2799" t="str">
        <f>"20190305135642117"</f>
        <v>20190305135642117</v>
      </c>
      <c r="B2799" t="str">
        <f>"1551765402104839"</f>
        <v>1551765402104839</v>
      </c>
      <c r="C2799" t="s">
        <v>40</v>
      </c>
      <c r="D2799">
        <v>5.2421049999999996</v>
      </c>
      <c r="E2799">
        <v>0.58798470000000003</v>
      </c>
      <c r="F2799" t="s">
        <v>73</v>
      </c>
      <c r="G2799">
        <v>-200.4495</v>
      </c>
      <c r="H2799" s="1">
        <v>-1.127368E-5</v>
      </c>
      <c r="I2799">
        <v>146.357</v>
      </c>
      <c r="J2799">
        <v>-190.32380000000001</v>
      </c>
      <c r="K2799">
        <v>1.1061909999999999</v>
      </c>
      <c r="L2799">
        <v>170.5437</v>
      </c>
      <c r="M2799">
        <v>-2.5393809999999999E-2</v>
      </c>
      <c r="N2799">
        <v>-1.3525260000000001E-2</v>
      </c>
      <c r="O2799">
        <v>-0.99958619999999998</v>
      </c>
      <c r="P2799">
        <v>-0.18437110000000001</v>
      </c>
      <c r="Q2799">
        <v>-0.1277191</v>
      </c>
      <c r="R2799">
        <v>-0.97452349999999999</v>
      </c>
      <c r="S2799">
        <v>-1.1807099999999999</v>
      </c>
      <c r="T2799">
        <v>-0.1288984</v>
      </c>
      <c r="U2799">
        <v>-2.8608250000000002</v>
      </c>
      <c r="V2799">
        <v>0.1587422</v>
      </c>
      <c r="W2799">
        <v>-0.1156025</v>
      </c>
      <c r="X2799">
        <v>0.98052899999999998</v>
      </c>
      <c r="Y2799">
        <v>0.35762260000000001</v>
      </c>
      <c r="Z2799">
        <v>2.8345889999999999E-2</v>
      </c>
      <c r="AA2799">
        <v>0.93343589999999999</v>
      </c>
      <c r="AB2799">
        <v>27</v>
      </c>
      <c r="AC2799">
        <v>-10.125699999999901</v>
      </c>
      <c r="AD2799">
        <v>-1.1062022736799999</v>
      </c>
      <c r="AE2799">
        <v>-24.186699999999998</v>
      </c>
      <c r="AF2799">
        <v>9.4912926407935405</v>
      </c>
      <c r="AG2799">
        <v>-1.1062022736799999</v>
      </c>
      <c r="AH2799">
        <v>24.392637676970899</v>
      </c>
      <c r="AI2799">
        <v>92.420061733896503</v>
      </c>
      <c r="AJ2799">
        <v>68.738749117658003</v>
      </c>
      <c r="AK2799">
        <v>26.197501642398201</v>
      </c>
      <c r="AL2799">
        <v>96.638377055905394</v>
      </c>
      <c r="AM2799">
        <v>80.803920026219004</v>
      </c>
      <c r="AN2799">
        <v>1.0000000719540401</v>
      </c>
    </row>
    <row r="2800" spans="1:40" x14ac:dyDescent="0.25">
      <c r="A2800" t="str">
        <f>"20190305135642139"</f>
        <v>20190305135642139</v>
      </c>
      <c r="B2800" t="str">
        <f>"1551765402135096"</f>
        <v>1551765402135096</v>
      </c>
      <c r="C2800" t="s">
        <v>40</v>
      </c>
      <c r="D2800">
        <v>4.8253659999999998</v>
      </c>
      <c r="E2800">
        <v>0.65951510000000002</v>
      </c>
      <c r="F2800" t="s">
        <v>73</v>
      </c>
      <c r="G2800">
        <v>-203.87639999999999</v>
      </c>
      <c r="H2800" s="1">
        <v>-7.8723230000000004E-6</v>
      </c>
      <c r="I2800">
        <v>139.16399999999999</v>
      </c>
      <c r="J2800">
        <v>-190.33609999999999</v>
      </c>
      <c r="K2800">
        <v>1.105612</v>
      </c>
      <c r="L2800">
        <v>170.2704</v>
      </c>
      <c r="M2800">
        <v>-3.0533459999999998E-2</v>
      </c>
      <c r="N2800">
        <v>-1.3571110000000001E-2</v>
      </c>
      <c r="O2800">
        <v>-0.99944169999999999</v>
      </c>
      <c r="P2800">
        <v>-0.20441219999999999</v>
      </c>
      <c r="Q2800">
        <v>-0.12775619999999999</v>
      </c>
      <c r="R2800">
        <v>-0.97051229999999999</v>
      </c>
      <c r="S2800">
        <v>-1.223892</v>
      </c>
      <c r="T2800">
        <v>-9.9896910000000005E-2</v>
      </c>
      <c r="U2800">
        <v>-2.8337859999999999</v>
      </c>
      <c r="V2800">
        <v>0.17369709999999999</v>
      </c>
      <c r="W2800">
        <v>-0.11598219999999999</v>
      </c>
      <c r="X2800">
        <v>0.97794550000000002</v>
      </c>
      <c r="Y2800">
        <v>0.36809409999999998</v>
      </c>
      <c r="Z2800">
        <v>1.9038059999999999E-2</v>
      </c>
      <c r="AA2800">
        <v>0.92959360000000002</v>
      </c>
      <c r="AB2800">
        <v>27</v>
      </c>
      <c r="AC2800">
        <v>-13.5403</v>
      </c>
      <c r="AD2800">
        <v>-1.105619872323</v>
      </c>
      <c r="AE2800">
        <v>-31.106400000000001</v>
      </c>
      <c r="AF2800">
        <v>12.5707610805882</v>
      </c>
      <c r="AG2800">
        <v>-1.105619872323</v>
      </c>
      <c r="AH2800">
        <v>31.471938447233601</v>
      </c>
      <c r="AI2800">
        <v>91.868562585728398</v>
      </c>
      <c r="AJ2800">
        <v>68.226868220823505</v>
      </c>
      <c r="AK2800">
        <v>33.907659003148098</v>
      </c>
      <c r="AL2800">
        <v>96.660280225092293</v>
      </c>
      <c r="AM2800">
        <v>79.928482201756196</v>
      </c>
      <c r="AN2800">
        <v>0.99999997711774902</v>
      </c>
    </row>
    <row r="2801" spans="1:40" x14ac:dyDescent="0.25">
      <c r="A2801" t="str">
        <f>"20190305135642163"</f>
        <v>20190305135642163</v>
      </c>
      <c r="B2801" t="str">
        <f>"1551765402155592"</f>
        <v>1551765402155592</v>
      </c>
      <c r="C2801" t="s">
        <v>40</v>
      </c>
      <c r="D2801">
        <v>4.7504629999999999</v>
      </c>
      <c r="E2801">
        <v>0.65715469999999998</v>
      </c>
      <c r="F2801" t="s">
        <v>42</v>
      </c>
      <c r="G2801">
        <v>-218.1123</v>
      </c>
      <c r="H2801">
        <v>2.5189900000000001E-2</v>
      </c>
      <c r="I2801">
        <v>129.6163</v>
      </c>
      <c r="J2801">
        <v>-190.35120000000001</v>
      </c>
      <c r="K2801">
        <v>1.105035</v>
      </c>
      <c r="L2801">
        <v>169.9854</v>
      </c>
      <c r="M2801">
        <v>-3.664796E-2</v>
      </c>
      <c r="N2801">
        <v>-1.3619040000000001E-2</v>
      </c>
      <c r="O2801">
        <v>-0.9992356</v>
      </c>
      <c r="P2801">
        <v>-0.2231696</v>
      </c>
      <c r="Q2801">
        <v>-0.131944799999999</v>
      </c>
      <c r="R2801">
        <v>-0.96580840000000001</v>
      </c>
      <c r="S2801">
        <v>-1.840668</v>
      </c>
      <c r="T2801">
        <v>-7.1596980000000005E-2</v>
      </c>
      <c r="U2801">
        <v>-2.6940460000000002</v>
      </c>
      <c r="V2801">
        <v>0.18643760000000001</v>
      </c>
      <c r="W2801">
        <v>-0.1205281</v>
      </c>
      <c r="X2801">
        <v>0.97504559999999996</v>
      </c>
      <c r="Y2801">
        <v>0.53335600000000005</v>
      </c>
      <c r="Z2801">
        <v>8.6919600000000003E-3</v>
      </c>
      <c r="AA2801">
        <v>0.84584619999999999</v>
      </c>
      <c r="AB2801">
        <v>27</v>
      </c>
      <c r="AC2801">
        <v>-27.761099999999999</v>
      </c>
      <c r="AD2801">
        <v>-1.0798451</v>
      </c>
      <c r="AE2801">
        <v>-40.369100000000003</v>
      </c>
      <c r="AF2801">
        <v>26.250113480961101</v>
      </c>
      <c r="AG2801">
        <v>-1.0798451</v>
      </c>
      <c r="AH2801">
        <v>41.339376116114302</v>
      </c>
      <c r="AI2801">
        <v>91.263246187708702</v>
      </c>
      <c r="AJ2801">
        <v>57.584838228855901</v>
      </c>
      <c r="AK2801">
        <v>48.981410156026499</v>
      </c>
      <c r="AL2801">
        <v>96.922581965703998</v>
      </c>
      <c r="AM2801">
        <v>79.175184701937496</v>
      </c>
      <c r="AN2801">
        <v>0.99999996183136397</v>
      </c>
    </row>
    <row r="2802" spans="1:40" x14ac:dyDescent="0.25">
      <c r="A2802" t="str">
        <f>"20190305135642184"</f>
        <v>20190305135642184</v>
      </c>
      <c r="B2802" t="str">
        <f>"1551765402175111"</f>
        <v>1551765402175111</v>
      </c>
      <c r="C2802" t="s">
        <v>40</v>
      </c>
      <c r="D2802">
        <v>4.7890259999999998</v>
      </c>
      <c r="E2802">
        <v>0.65236810000000001</v>
      </c>
      <c r="F2802" t="s">
        <v>73</v>
      </c>
      <c r="G2802">
        <v>-206.1591</v>
      </c>
      <c r="H2802" s="1">
        <v>-9.1892069999999992E-6</v>
      </c>
      <c r="I2802">
        <v>147.63849999999999</v>
      </c>
      <c r="J2802">
        <v>-190.36760000000001</v>
      </c>
      <c r="K2802">
        <v>1.104535</v>
      </c>
      <c r="L2802">
        <v>169.7193</v>
      </c>
      <c r="M2802">
        <v>-4.3029539999999998E-2</v>
      </c>
      <c r="N2802">
        <v>-1.366096E-2</v>
      </c>
      <c r="O2802">
        <v>-0.99898050000000005</v>
      </c>
      <c r="P2802">
        <v>-0.2388083</v>
      </c>
      <c r="Q2802">
        <v>-0.13665679999999999</v>
      </c>
      <c r="R2802">
        <v>-0.96140309999999995</v>
      </c>
      <c r="S2802">
        <v>-1.877686</v>
      </c>
      <c r="T2802">
        <v>-0.13125809999999999</v>
      </c>
      <c r="U2802">
        <v>-2.654388</v>
      </c>
      <c r="V2802">
        <v>0.1958396</v>
      </c>
      <c r="W2802">
        <v>-0.1255529</v>
      </c>
      <c r="X2802">
        <v>0.97256529999999997</v>
      </c>
      <c r="Y2802">
        <v>0.5414428</v>
      </c>
      <c r="Z2802">
        <v>2.7344130000000001E-2</v>
      </c>
      <c r="AA2802">
        <v>0.84029279999999995</v>
      </c>
      <c r="AB2802">
        <v>27</v>
      </c>
      <c r="AC2802">
        <v>-15.7914999999999</v>
      </c>
      <c r="AD2802">
        <v>-1.104544189207</v>
      </c>
      <c r="AE2802">
        <v>-22.0808</v>
      </c>
      <c r="AF2802">
        <v>14.8021504894743</v>
      </c>
      <c r="AG2802">
        <v>-1.104544189207</v>
      </c>
      <c r="AH2802">
        <v>22.702324815757301</v>
      </c>
      <c r="AI2802">
        <v>92.3338330002627</v>
      </c>
      <c r="AJ2802">
        <v>56.895233936454403</v>
      </c>
      <c r="AK2802">
        <v>27.1241447610631</v>
      </c>
      <c r="AL2802">
        <v>97.212686378897402</v>
      </c>
      <c r="AM2802">
        <v>78.614943868578194</v>
      </c>
      <c r="AN2802">
        <v>0.99999997119532902</v>
      </c>
    </row>
    <row r="2803" spans="1:40" x14ac:dyDescent="0.25">
      <c r="A2803" t="str">
        <f>"20190305135642206"</f>
        <v>20190305135642206</v>
      </c>
      <c r="B2803" t="str">
        <f>"1551765402195607"</f>
        <v>1551765402195607</v>
      </c>
      <c r="C2803" t="s">
        <v>40</v>
      </c>
      <c r="D2803">
        <v>4.7853659999999998</v>
      </c>
      <c r="E2803">
        <v>0.64715519999999904</v>
      </c>
      <c r="F2803" t="s">
        <v>73</v>
      </c>
      <c r="G2803">
        <v>-200.10220000000001</v>
      </c>
      <c r="H2803">
        <v>7.9984719999999995E-2</v>
      </c>
      <c r="I2803">
        <v>156.1866</v>
      </c>
      <c r="J2803">
        <v>-190.3854</v>
      </c>
      <c r="K2803">
        <v>1.1041209999999999</v>
      </c>
      <c r="L2803">
        <v>169.46520000000001</v>
      </c>
      <c r="M2803">
        <v>-4.9652109999999999E-2</v>
      </c>
      <c r="N2803">
        <v>-1.370153E-2</v>
      </c>
      <c r="O2803">
        <v>-0.99867269999999997</v>
      </c>
      <c r="P2803">
        <v>-0.25154910000000003</v>
      </c>
      <c r="Q2803">
        <v>-0.1395624</v>
      </c>
      <c r="R2803">
        <v>-0.95772919999999995</v>
      </c>
      <c r="S2803">
        <v>-1.8871610000000001</v>
      </c>
      <c r="T2803">
        <v>-0.19861980000000001</v>
      </c>
      <c r="U2803">
        <v>-2.623459</v>
      </c>
      <c r="V2803">
        <v>0.2021512</v>
      </c>
      <c r="W2803">
        <v>-0.12870690000000001</v>
      </c>
      <c r="X2803">
        <v>0.9708601</v>
      </c>
      <c r="Y2803">
        <v>0.54198269999999904</v>
      </c>
      <c r="Z2803">
        <v>4.870522E-2</v>
      </c>
      <c r="AA2803">
        <v>0.83897719999999898</v>
      </c>
      <c r="AB2803">
        <v>27</v>
      </c>
      <c r="AC2803">
        <v>-9.7167999999999992</v>
      </c>
      <c r="AD2803">
        <v>-1.02413628</v>
      </c>
      <c r="AE2803">
        <v>-13.278600000000001</v>
      </c>
      <c r="AF2803">
        <v>9.0105330456967803</v>
      </c>
      <c r="AG2803">
        <v>-1.02413628</v>
      </c>
      <c r="AH2803">
        <v>13.691681107039299</v>
      </c>
      <c r="AI2803">
        <v>93.575372105393697</v>
      </c>
      <c r="AJ2803">
        <v>56.650975257951799</v>
      </c>
      <c r="AK2803">
        <v>16.422566560208001</v>
      </c>
      <c r="AL2803">
        <v>97.394875751836295</v>
      </c>
      <c r="AM2803">
        <v>78.238007584987102</v>
      </c>
      <c r="AN2803">
        <v>0.99999995377052897</v>
      </c>
    </row>
    <row r="2804" spans="1:40" x14ac:dyDescent="0.25">
      <c r="A2804" t="str">
        <f>"20190305135642229"</f>
        <v>20190305135642229</v>
      </c>
      <c r="B2804" t="str">
        <f>"1551765402224887"</f>
        <v>1551765402224887</v>
      </c>
      <c r="C2804" t="s">
        <v>40</v>
      </c>
      <c r="D2804">
        <v>4.8091540000000004</v>
      </c>
      <c r="E2804">
        <v>0.6428355</v>
      </c>
      <c r="F2804" t="s">
        <v>73</v>
      </c>
      <c r="G2804">
        <v>-199.2764</v>
      </c>
      <c r="H2804" s="1">
        <v>-1.4363090000000001E-5</v>
      </c>
      <c r="I2804">
        <v>157.17449999999999</v>
      </c>
      <c r="J2804">
        <v>-190.40780000000001</v>
      </c>
      <c r="K2804">
        <v>1.1037459999999999</v>
      </c>
      <c r="L2804">
        <v>169.18119999999999</v>
      </c>
      <c r="M2804">
        <v>-5.7498420000000001E-2</v>
      </c>
      <c r="N2804">
        <v>-1.374415E-2</v>
      </c>
      <c r="O2804">
        <v>-0.998251</v>
      </c>
      <c r="P2804">
        <v>-0.26517360000000001</v>
      </c>
      <c r="Q2804">
        <v>-0.13950509999999999</v>
      </c>
      <c r="R2804">
        <v>-0.95405519999999999</v>
      </c>
      <c r="S2804">
        <v>-1.8834379999999999</v>
      </c>
      <c r="T2804">
        <v>-0.23389509999999999</v>
      </c>
      <c r="U2804">
        <v>-2.6036220000000001</v>
      </c>
      <c r="V2804">
        <v>0.20823169999999999</v>
      </c>
      <c r="W2804">
        <v>-0.12888169999999999</v>
      </c>
      <c r="X2804">
        <v>0.96955100000000005</v>
      </c>
      <c r="Y2804">
        <v>0.53720880000000004</v>
      </c>
      <c r="Z2804">
        <v>6.0234990000000002E-2</v>
      </c>
      <c r="AA2804">
        <v>0.84129569999999998</v>
      </c>
      <c r="AB2804">
        <v>27</v>
      </c>
      <c r="AC2804">
        <v>-8.8685999999999794</v>
      </c>
      <c r="AD2804">
        <v>-1.1037603630899999</v>
      </c>
      <c r="AE2804">
        <v>-12.006699999999899</v>
      </c>
      <c r="AF2804">
        <v>8.1191002358201398</v>
      </c>
      <c r="AG2804">
        <v>-1.1037603630899999</v>
      </c>
      <c r="AH2804">
        <v>12.4288530252995</v>
      </c>
      <c r="AI2804">
        <v>94.252037545886097</v>
      </c>
      <c r="AJ2804">
        <v>56.845577643927498</v>
      </c>
      <c r="AK2804">
        <v>14.886721032615601</v>
      </c>
      <c r="AL2804">
        <v>97.404974545496202</v>
      </c>
      <c r="AM2804">
        <v>77.878646633654895</v>
      </c>
      <c r="AN2804">
        <v>1.0000000375403799</v>
      </c>
    </row>
    <row r="2805" spans="1:40" x14ac:dyDescent="0.25">
      <c r="A2805" t="str">
        <f>"20190305135642254"</f>
        <v>20190305135642254</v>
      </c>
      <c r="B2805" t="str">
        <f>"1551765402245384"</f>
        <v>1551765402245384</v>
      </c>
      <c r="C2805" t="s">
        <v>40</v>
      </c>
      <c r="D2805">
        <v>4.8167160000000004</v>
      </c>
      <c r="E2805">
        <v>0.61906090000000003</v>
      </c>
      <c r="F2805" t="s">
        <v>73</v>
      </c>
      <c r="G2805">
        <v>-198.67250000000001</v>
      </c>
      <c r="H2805" s="1">
        <v>-1.453989E-5</v>
      </c>
      <c r="I2805">
        <v>157.87710000000001</v>
      </c>
      <c r="J2805">
        <v>-190.43379999999999</v>
      </c>
      <c r="K2805">
        <v>1.1034740000000001</v>
      </c>
      <c r="L2805">
        <v>168.88980000000001</v>
      </c>
      <c r="M2805">
        <v>-6.5897960000000005E-2</v>
      </c>
      <c r="N2805">
        <v>-1.377779E-2</v>
      </c>
      <c r="O2805">
        <v>-0.99773129999999999</v>
      </c>
      <c r="P2805">
        <v>-0.2795551</v>
      </c>
      <c r="Q2805">
        <v>-0.13724410000000001</v>
      </c>
      <c r="R2805">
        <v>-0.95027019999999995</v>
      </c>
      <c r="S2805">
        <v>-1.888336</v>
      </c>
      <c r="T2805">
        <v>-0.25218829999999998</v>
      </c>
      <c r="U2805">
        <v>-2.5827640000000001</v>
      </c>
      <c r="V2805">
        <v>0.21463280000000001</v>
      </c>
      <c r="W2805">
        <v>-0.12681389999999901</v>
      </c>
      <c r="X2805">
        <v>0.96842709999999999</v>
      </c>
      <c r="Y2805">
        <v>0.53412190000000004</v>
      </c>
      <c r="Z2805">
        <v>6.6464019999999999E-2</v>
      </c>
      <c r="AA2805">
        <v>0.84279079999999995</v>
      </c>
      <c r="AB2805">
        <v>27</v>
      </c>
      <c r="AC2805">
        <v>-8.2387000000000192</v>
      </c>
      <c r="AD2805">
        <v>-1.1034885398899901</v>
      </c>
      <c r="AE2805">
        <v>-11.012699999999899</v>
      </c>
      <c r="AF2805">
        <v>7.4470650181416298</v>
      </c>
      <c r="AG2805">
        <v>-1.1034885398899901</v>
      </c>
      <c r="AH2805">
        <v>11.457962469902499</v>
      </c>
      <c r="AI2805">
        <v>94.616642018822901</v>
      </c>
      <c r="AJ2805">
        <v>56.9782788967931</v>
      </c>
      <c r="AK2805">
        <v>13.7099003754146</v>
      </c>
      <c r="AL2805">
        <v>97.285518114685701</v>
      </c>
      <c r="AM2805">
        <v>77.503514363662603</v>
      </c>
      <c r="AN2805">
        <v>1.0000000260417199</v>
      </c>
    </row>
    <row r="2806" spans="1:40" x14ac:dyDescent="0.25">
      <c r="A2806" t="str">
        <f>"20190305135642276"</f>
        <v>20190305135642276</v>
      </c>
      <c r="B2806" t="str">
        <f>"1551765402264904"</f>
        <v>1551765402264904</v>
      </c>
      <c r="C2806" t="s">
        <v>40</v>
      </c>
      <c r="D2806">
        <v>4.8006869999999999</v>
      </c>
      <c r="E2806">
        <v>0.61698779999999998</v>
      </c>
      <c r="F2806" t="s">
        <v>73</v>
      </c>
      <c r="G2806">
        <v>-197.13489999999999</v>
      </c>
      <c r="H2806" s="1">
        <v>-1.480007E-5</v>
      </c>
      <c r="I2806">
        <v>158.91120000000001</v>
      </c>
      <c r="J2806">
        <v>-190.4599</v>
      </c>
      <c r="K2806">
        <v>1.1033379999999999</v>
      </c>
      <c r="L2806">
        <v>168.62289999999999</v>
      </c>
      <c r="M2806">
        <v>-7.3714379999999996E-2</v>
      </c>
      <c r="N2806">
        <v>-1.3799270000000001E-2</v>
      </c>
      <c r="O2806">
        <v>-0.99718410000000002</v>
      </c>
      <c r="P2806">
        <v>-0.29166930000000002</v>
      </c>
      <c r="Q2806">
        <v>-0.13519300000000001</v>
      </c>
      <c r="R2806">
        <v>-0.94691749999999997</v>
      </c>
      <c r="S2806">
        <v>-1.7470250000000001</v>
      </c>
      <c r="T2806">
        <v>-0.28768719999999998</v>
      </c>
      <c r="U2806">
        <v>-2.6015009999999998</v>
      </c>
      <c r="V2806">
        <v>0.2193698</v>
      </c>
      <c r="W2806">
        <v>-0.1248828</v>
      </c>
      <c r="X2806">
        <v>0.96761629999999998</v>
      </c>
      <c r="Y2806">
        <v>0.49270229999999998</v>
      </c>
      <c r="Z2806">
        <v>7.9512040000000006E-2</v>
      </c>
      <c r="AA2806">
        <v>0.86655769999999999</v>
      </c>
      <c r="AB2806">
        <v>27</v>
      </c>
      <c r="AC2806">
        <v>-6.6749999999999803</v>
      </c>
      <c r="AD2806">
        <v>-1.1033528000699999</v>
      </c>
      <c r="AE2806">
        <v>-9.7116999999999791</v>
      </c>
      <c r="AF2806">
        <v>5.8892501201339096</v>
      </c>
      <c r="AG2806">
        <v>-1.1033528000699999</v>
      </c>
      <c r="AH2806">
        <v>10.088921923335</v>
      </c>
      <c r="AI2806">
        <v>95.395511642119601</v>
      </c>
      <c r="AJ2806">
        <v>59.726423375717097</v>
      </c>
      <c r="AK2806">
        <v>11.7340103951747</v>
      </c>
      <c r="AL2806">
        <v>97.173987224467595</v>
      </c>
      <c r="AM2806">
        <v>77.226311004240301</v>
      </c>
      <c r="AN2806">
        <v>1.0000000634567801</v>
      </c>
    </row>
    <row r="2807" spans="1:40" x14ac:dyDescent="0.25">
      <c r="A2807" t="str">
        <f>"20190305135642297"</f>
        <v>20190305135642297</v>
      </c>
      <c r="B2807" t="str">
        <f>"1551765402285399"</f>
        <v>1551765402285399</v>
      </c>
      <c r="C2807" t="s">
        <v>40</v>
      </c>
      <c r="D2807">
        <v>4.790832</v>
      </c>
      <c r="E2807">
        <v>0.61416000000000004</v>
      </c>
      <c r="F2807" t="s">
        <v>73</v>
      </c>
      <c r="G2807">
        <v>-197.0018</v>
      </c>
      <c r="H2807" s="1">
        <v>-1.483602E-5</v>
      </c>
      <c r="I2807">
        <v>159.054</v>
      </c>
      <c r="J2807">
        <v>-190.48609999999999</v>
      </c>
      <c r="K2807">
        <v>1.1032879999999901</v>
      </c>
      <c r="L2807">
        <v>168.37599999999901</v>
      </c>
      <c r="M2807">
        <v>-8.0971580000000001E-2</v>
      </c>
      <c r="N2807">
        <v>-1.381255E-2</v>
      </c>
      <c r="O2807">
        <v>-0.99662070000000003</v>
      </c>
      <c r="P2807">
        <v>-0.3060137</v>
      </c>
      <c r="Q2807">
        <v>-0.13300609999999999</v>
      </c>
      <c r="R2807">
        <v>-0.94269029999999998</v>
      </c>
      <c r="S2807">
        <v>-1.765182</v>
      </c>
      <c r="T2807">
        <v>-0.29771589999999998</v>
      </c>
      <c r="U2807">
        <v>-2.5819549999999998</v>
      </c>
      <c r="V2807">
        <v>0.226991</v>
      </c>
      <c r="W2807">
        <v>-0.12282849999999999</v>
      </c>
      <c r="X2807">
        <v>0.96612019999999998</v>
      </c>
      <c r="Y2807">
        <v>0.493398</v>
      </c>
      <c r="Z2807">
        <v>8.3064659999999998E-2</v>
      </c>
      <c r="AA2807">
        <v>0.8658283</v>
      </c>
      <c r="AB2807">
        <v>27</v>
      </c>
      <c r="AC2807">
        <v>-6.5157000000000096</v>
      </c>
      <c r="AD2807">
        <v>-1.1033028360199999</v>
      </c>
      <c r="AE2807">
        <v>-9.3219999999999708</v>
      </c>
      <c r="AF2807">
        <v>5.6859051285354596</v>
      </c>
      <c r="AG2807">
        <v>-1.1033028360199999</v>
      </c>
      <c r="AH2807">
        <v>9.7274815957665499</v>
      </c>
      <c r="AI2807">
        <v>95.592588257739195</v>
      </c>
      <c r="AJ2807">
        <v>59.692870603496303</v>
      </c>
      <c r="AK2807">
        <v>11.3212495986376</v>
      </c>
      <c r="AL2807">
        <v>97.055371642293395</v>
      </c>
      <c r="AM2807">
        <v>76.778104179748894</v>
      </c>
      <c r="AN2807">
        <v>0.99999999767064496</v>
      </c>
    </row>
    <row r="2808" spans="1:40" x14ac:dyDescent="0.25">
      <c r="A2808" t="str">
        <f>"20190305135642318"</f>
        <v>20190305135642318</v>
      </c>
      <c r="B2808" t="str">
        <f>"1551765402314679"</f>
        <v>1551765402314679</v>
      </c>
      <c r="C2808" t="s">
        <v>40</v>
      </c>
      <c r="D2808">
        <v>4.7801879999999999</v>
      </c>
      <c r="E2808">
        <v>0.610807199999999</v>
      </c>
      <c r="F2808" t="s">
        <v>73</v>
      </c>
      <c r="G2808">
        <v>-196.9504</v>
      </c>
      <c r="H2808" s="1">
        <v>-1.4846139999999999E-5</v>
      </c>
      <c r="I2808">
        <v>159.0943</v>
      </c>
      <c r="J2808">
        <v>-190.5154</v>
      </c>
      <c r="K2808">
        <v>1.1033189999999999</v>
      </c>
      <c r="L2808">
        <v>168.1173</v>
      </c>
      <c r="M2808">
        <v>-8.8494130000000004E-2</v>
      </c>
      <c r="N2808">
        <v>-1.382065E-2</v>
      </c>
      <c r="O2808">
        <v>-0.99598089999999995</v>
      </c>
      <c r="P2808">
        <v>-0.31896249999999998</v>
      </c>
      <c r="Q2808">
        <v>-0.13237829999999901</v>
      </c>
      <c r="R2808">
        <v>-0.93847709999999995</v>
      </c>
      <c r="S2808">
        <v>-1.7832950000000001</v>
      </c>
      <c r="T2808">
        <v>-0.30436649999999998</v>
      </c>
      <c r="U2808">
        <v>-2.5605319999999998</v>
      </c>
      <c r="V2808">
        <v>0.23299339999999999</v>
      </c>
      <c r="W2808">
        <v>-0.12227250000000001</v>
      </c>
      <c r="X2808">
        <v>0.96476079999999997</v>
      </c>
      <c r="Y2808">
        <v>0.49421419999999999</v>
      </c>
      <c r="Z2808">
        <v>8.5597899999999894E-2</v>
      </c>
      <c r="AA2808">
        <v>0.86511579999999999</v>
      </c>
      <c r="AB2808">
        <v>27</v>
      </c>
      <c r="AC2808">
        <v>-6.4349999999999996</v>
      </c>
      <c r="AD2808">
        <v>-1.10333384614</v>
      </c>
      <c r="AE2808">
        <v>-9.0229999999999908</v>
      </c>
      <c r="AF2808">
        <v>5.5561214898453599</v>
      </c>
      <c r="AG2808">
        <v>-1.10333384614</v>
      </c>
      <c r="AH2808">
        <v>9.4633134186909906</v>
      </c>
      <c r="AI2808">
        <v>95.741357733057001</v>
      </c>
      <c r="AJ2808">
        <v>59.581858536566401</v>
      </c>
      <c r="AK2808">
        <v>11.0291492167953</v>
      </c>
      <c r="AL2808">
        <v>97.023273611643404</v>
      </c>
      <c r="AM2808">
        <v>76.422825735594103</v>
      </c>
      <c r="AN2808">
        <v>0.99999994495822297</v>
      </c>
    </row>
    <row r="2809" spans="1:40" x14ac:dyDescent="0.25">
      <c r="A2809" t="str">
        <f>"20190305135642342"</f>
        <v>20190305135642342</v>
      </c>
      <c r="B2809" t="str">
        <f>"1551765402335176"</f>
        <v>1551765402335176</v>
      </c>
      <c r="C2809" t="s">
        <v>40</v>
      </c>
      <c r="D2809">
        <v>4.7983310000000001</v>
      </c>
      <c r="E2809">
        <v>0.60872440000000005</v>
      </c>
      <c r="F2809" t="s">
        <v>73</v>
      </c>
      <c r="G2809">
        <v>-196.85210000000001</v>
      </c>
      <c r="H2809" s="1">
        <v>-1.485545E-5</v>
      </c>
      <c r="I2809">
        <v>159.13130000000001</v>
      </c>
      <c r="J2809">
        <v>-190.54929999999999</v>
      </c>
      <c r="K2809">
        <v>1.103448</v>
      </c>
      <c r="L2809">
        <v>167.83629999999999</v>
      </c>
      <c r="M2809">
        <v>-9.6456299999999995E-2</v>
      </c>
      <c r="N2809">
        <v>-1.38218E-2</v>
      </c>
      <c r="O2809">
        <v>-0.99524140000000005</v>
      </c>
      <c r="P2809">
        <v>-0.33285389999999998</v>
      </c>
      <c r="Q2809">
        <v>-0.13268740000000001</v>
      </c>
      <c r="R2809">
        <v>-0.9335966</v>
      </c>
      <c r="S2809">
        <v>-1.7933809999999999</v>
      </c>
      <c r="T2809">
        <v>-0.31225510000000001</v>
      </c>
      <c r="U2809">
        <v>-2.5431370000000002</v>
      </c>
      <c r="V2809">
        <v>0.23961460000000001</v>
      </c>
      <c r="W2809">
        <v>-0.1226201</v>
      </c>
      <c r="X2809">
        <v>0.96309350000000005</v>
      </c>
      <c r="Y2809">
        <v>0.49218000000000001</v>
      </c>
      <c r="Z2809">
        <v>8.8577089999999997E-2</v>
      </c>
      <c r="AA2809">
        <v>0.8659751</v>
      </c>
      <c r="AB2809">
        <v>27</v>
      </c>
      <c r="AC2809">
        <v>-6.3028000000000102</v>
      </c>
      <c r="AD2809">
        <v>-1.1034628554499999</v>
      </c>
      <c r="AE2809">
        <v>-8.7049999999999805</v>
      </c>
      <c r="AF2809">
        <v>5.3769891852257299</v>
      </c>
      <c r="AG2809">
        <v>-1.1034628554499999</v>
      </c>
      <c r="AH2809">
        <v>9.1756751405516894</v>
      </c>
      <c r="AI2809">
        <v>95.923633172745198</v>
      </c>
      <c r="AJ2809">
        <v>59.629494880951597</v>
      </c>
      <c r="AK2809">
        <v>10.692177386123401</v>
      </c>
      <c r="AL2809">
        <v>97.043340467024095</v>
      </c>
      <c r="AM2809">
        <v>76.028656897152501</v>
      </c>
      <c r="AN2809">
        <v>0.99999996759970899</v>
      </c>
    </row>
    <row r="2810" spans="1:40" x14ac:dyDescent="0.25">
      <c r="A2810" t="str">
        <f>"20190305135642365"</f>
        <v>20190305135642365</v>
      </c>
      <c r="B2810" t="str">
        <f>"1551765402354695"</f>
        <v>1551765402354695</v>
      </c>
      <c r="C2810" t="s">
        <v>40</v>
      </c>
      <c r="D2810">
        <v>4.7512619999999997</v>
      </c>
      <c r="E2810">
        <v>0.60697939999999995</v>
      </c>
      <c r="F2810" t="s">
        <v>73</v>
      </c>
      <c r="G2810">
        <v>-196.81700000000001</v>
      </c>
      <c r="H2810" s="1">
        <v>-1.4856089999999999E-5</v>
      </c>
      <c r="I2810">
        <v>159.13380000000001</v>
      </c>
      <c r="J2810">
        <v>-190.58500000000001</v>
      </c>
      <c r="K2810">
        <v>1.103667</v>
      </c>
      <c r="L2810">
        <v>167.55599999999899</v>
      </c>
      <c r="M2810">
        <v>-0.1040711</v>
      </c>
      <c r="N2810">
        <v>-1.381486E-2</v>
      </c>
      <c r="O2810">
        <v>-0.99447390000000002</v>
      </c>
      <c r="P2810">
        <v>-0.34671689999999999</v>
      </c>
      <c r="Q2810">
        <v>-0.1313136</v>
      </c>
      <c r="R2810">
        <v>-0.92873260000000002</v>
      </c>
      <c r="S2810">
        <v>-1.8154749999999999</v>
      </c>
      <c r="T2810">
        <v>-0.31962289999999999</v>
      </c>
      <c r="U2810">
        <v>-2.5207060000000001</v>
      </c>
      <c r="V2810">
        <v>0.24662190000000001</v>
      </c>
      <c r="W2810">
        <v>-0.121244</v>
      </c>
      <c r="X2810">
        <v>0.9614975</v>
      </c>
      <c r="Y2810">
        <v>0.49401099999999998</v>
      </c>
      <c r="Z2810">
        <v>9.1328039999999999E-2</v>
      </c>
      <c r="AA2810">
        <v>0.86464580000000002</v>
      </c>
      <c r="AB2810">
        <v>27</v>
      </c>
      <c r="AC2810">
        <v>-6.2319999999999904</v>
      </c>
      <c r="AD2810">
        <v>-1.1036818560899999</v>
      </c>
      <c r="AE2810">
        <v>-8.4221999999999699</v>
      </c>
      <c r="AF2810">
        <v>5.26315722731142</v>
      </c>
      <c r="AG2810">
        <v>-1.1036818560899999</v>
      </c>
      <c r="AH2810">
        <v>8.9260397375715392</v>
      </c>
      <c r="AI2810">
        <v>96.079679201540301</v>
      </c>
      <c r="AJ2810">
        <v>59.474663883438701</v>
      </c>
      <c r="AK2810">
        <v>10.420802418027501</v>
      </c>
      <c r="AL2810">
        <v>96.963903091668698</v>
      </c>
      <c r="AM2810">
        <v>75.613904286188102</v>
      </c>
      <c r="AN2810">
        <v>0.99999995580092904</v>
      </c>
    </row>
    <row r="2811" spans="1:40" x14ac:dyDescent="0.25">
      <c r="A2811" t="str">
        <f>"20190305135642385"</f>
        <v>20190305135642385</v>
      </c>
      <c r="B2811" t="str">
        <f>"1551765402375191"</f>
        <v>1551765402375191</v>
      </c>
      <c r="C2811" t="s">
        <v>40</v>
      </c>
      <c r="D2811">
        <v>4.7092150000000004</v>
      </c>
      <c r="E2811">
        <v>0.6056802</v>
      </c>
      <c r="F2811" t="s">
        <v>73</v>
      </c>
      <c r="G2811">
        <v>-196.9425</v>
      </c>
      <c r="H2811" s="1">
        <v>-1.4803009999999999E-5</v>
      </c>
      <c r="I2811">
        <v>158.9229</v>
      </c>
      <c r="J2811">
        <v>-190.61840000000001</v>
      </c>
      <c r="K2811">
        <v>1.103923</v>
      </c>
      <c r="L2811">
        <v>167.30690000000001</v>
      </c>
      <c r="M2811">
        <v>-0.1104762</v>
      </c>
      <c r="N2811">
        <v>-1.3802740000000001E-2</v>
      </c>
      <c r="O2811">
        <v>-0.99378290000000002</v>
      </c>
      <c r="P2811">
        <v>-0.35859659999999999</v>
      </c>
      <c r="Q2811">
        <v>-0.12911989999999901</v>
      </c>
      <c r="R2811">
        <v>-0.92451970000000006</v>
      </c>
      <c r="S2811">
        <v>-1.839737</v>
      </c>
      <c r="T2811">
        <v>-0.319384</v>
      </c>
      <c r="U2811">
        <v>-2.4982600000000001</v>
      </c>
      <c r="V2811">
        <v>0.2528049</v>
      </c>
      <c r="W2811">
        <v>-0.11900620000000001</v>
      </c>
      <c r="X2811">
        <v>0.96017039999999998</v>
      </c>
      <c r="Y2811">
        <v>0.49754290000000001</v>
      </c>
      <c r="Z2811">
        <v>9.1555510000000007E-2</v>
      </c>
      <c r="AA2811">
        <v>0.86259409999999903</v>
      </c>
      <c r="AB2811">
        <v>27</v>
      </c>
      <c r="AC2811">
        <v>-6.3240999999999801</v>
      </c>
      <c r="AD2811">
        <v>-1.10393780301</v>
      </c>
      <c r="AE2811">
        <v>-8.3840000000000092</v>
      </c>
      <c r="AF2811">
        <v>5.3004891551965398</v>
      </c>
      <c r="AG2811">
        <v>-1.10393780301</v>
      </c>
      <c r="AH2811">
        <v>8.9326909146178295</v>
      </c>
      <c r="AI2811">
        <v>96.066707839785295</v>
      </c>
      <c r="AJ2811">
        <v>59.315911012763799</v>
      </c>
      <c r="AK2811">
        <v>10.445421529711799</v>
      </c>
      <c r="AL2811">
        <v>96.834751074025505</v>
      </c>
      <c r="AM2811">
        <v>75.249267283618707</v>
      </c>
      <c r="AN2811">
        <v>0.99999999506930404</v>
      </c>
    </row>
    <row r="2812" spans="1:40" x14ac:dyDescent="0.25">
      <c r="A2812" t="str">
        <f>"20190305135642407"</f>
        <v>20190305135642407</v>
      </c>
      <c r="B2812" t="str">
        <f>"1551765402394711"</f>
        <v>1551765402394711</v>
      </c>
      <c r="C2812" t="s">
        <v>40</v>
      </c>
      <c r="D2812">
        <v>4.6686189999999996</v>
      </c>
      <c r="E2812">
        <v>0.60409709999999905</v>
      </c>
      <c r="F2812" t="s">
        <v>73</v>
      </c>
      <c r="G2812">
        <v>-197.16929999999999</v>
      </c>
      <c r="H2812" s="1">
        <v>-1.4718129999999999E-5</v>
      </c>
      <c r="I2812">
        <v>158.5855</v>
      </c>
      <c r="J2812">
        <v>-190.65299999999999</v>
      </c>
      <c r="K2812">
        <v>1.1042430000000001</v>
      </c>
      <c r="L2812">
        <v>167.05699999999999</v>
      </c>
      <c r="M2812">
        <v>-0.11650149999999999</v>
      </c>
      <c r="N2812">
        <v>-1.37859E-2</v>
      </c>
      <c r="O2812">
        <v>-0.99309480000000006</v>
      </c>
      <c r="P2812">
        <v>-0.3694479</v>
      </c>
      <c r="Q2812">
        <v>-0.12870609999999999</v>
      </c>
      <c r="R2812">
        <v>-0.92029519999999998</v>
      </c>
      <c r="S2812">
        <v>-1.8620000000000001</v>
      </c>
      <c r="T2812">
        <v>-0.31377840000000001</v>
      </c>
      <c r="U2812">
        <v>-2.4789119999999998</v>
      </c>
      <c r="V2812">
        <v>0.2583472</v>
      </c>
      <c r="W2812">
        <v>-0.1185075</v>
      </c>
      <c r="X2812">
        <v>0.95875589999999999</v>
      </c>
      <c r="Y2812">
        <v>0.50055850000000002</v>
      </c>
      <c r="Z2812">
        <v>8.9971640000000005E-2</v>
      </c>
      <c r="AA2812">
        <v>0.86101469999999902</v>
      </c>
      <c r="AB2812">
        <v>27</v>
      </c>
      <c r="AC2812">
        <v>-6.5163000000000002</v>
      </c>
      <c r="AD2812">
        <v>-1.10425771813</v>
      </c>
      <c r="AE2812">
        <v>-8.4715000000000096</v>
      </c>
      <c r="AF2812">
        <v>5.4269500949154601</v>
      </c>
      <c r="AG2812">
        <v>-1.10425771813</v>
      </c>
      <c r="AH2812">
        <v>9.0761457997222994</v>
      </c>
      <c r="AI2812">
        <v>95.961372633446899</v>
      </c>
      <c r="AJ2812">
        <v>59.123297048233198</v>
      </c>
      <c r="AK2812">
        <v>10.6323842584139</v>
      </c>
      <c r="AL2812">
        <v>96.805973377634004</v>
      </c>
      <c r="AM2812">
        <v>74.919219731494096</v>
      </c>
      <c r="AN2812">
        <v>1.0000000895444401</v>
      </c>
    </row>
    <row r="2813" spans="1:40" x14ac:dyDescent="0.25">
      <c r="A2813" t="str">
        <f>"20190305135642432"</f>
        <v>20190305135642432</v>
      </c>
      <c r="B2813" t="str">
        <f>"1551765402424969"</f>
        <v>1551765402424969</v>
      </c>
      <c r="C2813" t="s">
        <v>40</v>
      </c>
      <c r="D2813">
        <v>4.6551539999999996</v>
      </c>
      <c r="E2813">
        <v>0.56910289999999997</v>
      </c>
      <c r="F2813" t="s">
        <v>73</v>
      </c>
      <c r="G2813">
        <v>-197.2079</v>
      </c>
      <c r="H2813" s="1">
        <v>-1.46897799999999E-5</v>
      </c>
      <c r="I2813">
        <v>158.47280000000001</v>
      </c>
      <c r="J2813">
        <v>-190.69499999999999</v>
      </c>
      <c r="K2813">
        <v>1.1046450000000001</v>
      </c>
      <c r="L2813">
        <v>166.76499999999999</v>
      </c>
      <c r="M2813">
        <v>-0.1230171</v>
      </c>
      <c r="N2813">
        <v>-1.3762430000000001E-2</v>
      </c>
      <c r="O2813">
        <v>-0.99230929999999995</v>
      </c>
      <c r="P2813">
        <v>-0.37960509999999997</v>
      </c>
      <c r="Q2813">
        <v>-0.12817490000000001</v>
      </c>
      <c r="R2813">
        <v>-0.91622689999999996</v>
      </c>
      <c r="S2813">
        <v>-1.8793029999999999</v>
      </c>
      <c r="T2813">
        <v>-0.31659599999999999</v>
      </c>
      <c r="U2813">
        <v>-2.4611360000000002</v>
      </c>
      <c r="V2813">
        <v>0.2627546</v>
      </c>
      <c r="W2813">
        <v>-0.11782189999999999</v>
      </c>
      <c r="X2813">
        <v>0.95764190000000005</v>
      </c>
      <c r="Y2813">
        <v>0.50163219999999997</v>
      </c>
      <c r="Z2813">
        <v>9.1179650000000001E-2</v>
      </c>
      <c r="AA2813">
        <v>0.86026250000000004</v>
      </c>
      <c r="AB2813">
        <v>27</v>
      </c>
      <c r="AC2813">
        <v>-6.5129000000000001</v>
      </c>
      <c r="AD2813">
        <v>-1.1046596897799901</v>
      </c>
      <c r="AE2813">
        <v>-8.2921999999999798</v>
      </c>
      <c r="AF2813">
        <v>5.3841480177496504</v>
      </c>
      <c r="AG2813">
        <v>-1.1046596897799901</v>
      </c>
      <c r="AH2813">
        <v>8.9324381720230708</v>
      </c>
      <c r="AI2813">
        <v>96.045962629277597</v>
      </c>
      <c r="AJ2813">
        <v>58.919959703352198</v>
      </c>
      <c r="AK2813">
        <v>10.487982389586501</v>
      </c>
      <c r="AL2813">
        <v>96.766414890604494</v>
      </c>
      <c r="AM2813">
        <v>74.656956980655806</v>
      </c>
      <c r="AN2813">
        <v>0.99999999428818998</v>
      </c>
    </row>
    <row r="2814" spans="1:40" x14ac:dyDescent="0.25">
      <c r="A2814" t="str">
        <f>"20190305135642455"</f>
        <v>20190305135642455</v>
      </c>
      <c r="B2814" t="str">
        <f>"1551765402445464"</f>
        <v>1551765402445464</v>
      </c>
      <c r="C2814" t="s">
        <v>40</v>
      </c>
      <c r="D2814">
        <v>4.6000350000000001</v>
      </c>
      <c r="E2814">
        <v>0.56493930000000003</v>
      </c>
      <c r="F2814" t="s">
        <v>73</v>
      </c>
      <c r="G2814">
        <v>-196.96619999999999</v>
      </c>
      <c r="H2814" s="1">
        <v>-1.4332459999999999E-5</v>
      </c>
      <c r="I2814">
        <v>157.05269999999999</v>
      </c>
      <c r="J2814">
        <v>-190.73519999999999</v>
      </c>
      <c r="K2814">
        <v>1.105005</v>
      </c>
      <c r="L2814">
        <v>166.4941</v>
      </c>
      <c r="M2814">
        <v>-0.12857979999999999</v>
      </c>
      <c r="N2814">
        <v>-1.3739690000000001E-2</v>
      </c>
      <c r="O2814">
        <v>-0.99160420000000005</v>
      </c>
      <c r="P2814">
        <v>-0.3871117</v>
      </c>
      <c r="Q2814">
        <v>-0.12806149999999999</v>
      </c>
      <c r="R2814">
        <v>-0.91309649999999998</v>
      </c>
      <c r="S2814">
        <v>-1.647308</v>
      </c>
      <c r="T2814">
        <v>-0.29016910000000001</v>
      </c>
      <c r="U2814">
        <v>-2.551193</v>
      </c>
      <c r="V2814">
        <v>0.26533230000000002</v>
      </c>
      <c r="W2814">
        <v>-0.1175514</v>
      </c>
      <c r="X2814">
        <v>0.95696420000000004</v>
      </c>
      <c r="Y2814">
        <v>0.42771540000000002</v>
      </c>
      <c r="Z2814">
        <v>8.3912130000000001E-2</v>
      </c>
      <c r="AA2814">
        <v>0.90001019999999898</v>
      </c>
      <c r="AB2814">
        <v>26</v>
      </c>
      <c r="AC2814">
        <v>-6.2309999999999901</v>
      </c>
      <c r="AD2814">
        <v>-1.1050193324599999</v>
      </c>
      <c r="AE2814">
        <v>-9.4414000000000105</v>
      </c>
      <c r="AF2814">
        <v>4.9182492760274599</v>
      </c>
      <c r="AG2814">
        <v>-1.1050193324599999</v>
      </c>
      <c r="AH2814">
        <v>10.068197405585501</v>
      </c>
      <c r="AI2814">
        <v>95.632079051969797</v>
      </c>
      <c r="AJ2814">
        <v>63.964790235114997</v>
      </c>
      <c r="AK2814">
        <v>11.2596111240172</v>
      </c>
      <c r="AL2814">
        <v>96.750807747608604</v>
      </c>
      <c r="AM2814">
        <v>74.503189093124107</v>
      </c>
      <c r="AN2814">
        <v>1.0000000205734401</v>
      </c>
    </row>
    <row r="2815" spans="1:40" x14ac:dyDescent="0.25">
      <c r="A2815" t="str">
        <f>"20190305135642476"</f>
        <v>20190305135642476</v>
      </c>
      <c r="B2815" t="str">
        <f>"1551765402464983"</f>
        <v>1551765402464983</v>
      </c>
      <c r="C2815" t="s">
        <v>40</v>
      </c>
      <c r="D2815">
        <v>4.5120269999999998</v>
      </c>
      <c r="E2815">
        <v>0.56414189999999997</v>
      </c>
      <c r="F2815" t="s">
        <v>73</v>
      </c>
      <c r="G2815">
        <v>-197.21889999999999</v>
      </c>
      <c r="H2815" s="1">
        <v>-1.4165389999999999E-5</v>
      </c>
      <c r="I2815">
        <v>156.3887</v>
      </c>
      <c r="J2815">
        <v>-190.77440000000001</v>
      </c>
      <c r="K2815">
        <v>1.1052690000000001</v>
      </c>
      <c r="L2815">
        <v>166.23679999999999</v>
      </c>
      <c r="M2815">
        <v>-0.13354279999999999</v>
      </c>
      <c r="N2815">
        <v>-1.371904E-2</v>
      </c>
      <c r="O2815">
        <v>-0.9909481</v>
      </c>
      <c r="P2815">
        <v>-0.3924047</v>
      </c>
      <c r="Q2815">
        <v>-0.12774440000000001</v>
      </c>
      <c r="R2815">
        <v>-0.91087870000000004</v>
      </c>
      <c r="S2815">
        <v>-1.6374820000000001</v>
      </c>
      <c r="T2815">
        <v>-0.27907759999999998</v>
      </c>
      <c r="U2815">
        <v>-2.552155</v>
      </c>
      <c r="V2815">
        <v>0.26616440000000002</v>
      </c>
      <c r="W2815">
        <v>-0.1170968</v>
      </c>
      <c r="X2815">
        <v>0.95678879999999999</v>
      </c>
      <c r="Y2815">
        <v>0.42074620000000001</v>
      </c>
      <c r="Z2815">
        <v>8.0395030000000006E-2</v>
      </c>
      <c r="AA2815">
        <v>0.903609</v>
      </c>
      <c r="AB2815">
        <v>26</v>
      </c>
      <c r="AC2815">
        <v>-6.4444999999999704</v>
      </c>
      <c r="AD2815">
        <v>-1.1052831653899999</v>
      </c>
      <c r="AE2815">
        <v>-9.8480999999999792</v>
      </c>
      <c r="AF2815">
        <v>5.0271622159119902</v>
      </c>
      <c r="AG2815">
        <v>-1.1052831653899999</v>
      </c>
      <c r="AH2815">
        <v>10.527722419690701</v>
      </c>
      <c r="AI2815">
        <v>95.412081397056596</v>
      </c>
      <c r="AJ2815">
        <v>64.474750131744798</v>
      </c>
      <c r="AK2815">
        <v>11.718658206759301</v>
      </c>
      <c r="AL2815">
        <v>96.724580235880097</v>
      </c>
      <c r="AM2815">
        <v>74.454224534355006</v>
      </c>
      <c r="AN2815">
        <v>0.99999997810151897</v>
      </c>
    </row>
    <row r="2816" spans="1:40" x14ac:dyDescent="0.25">
      <c r="A2816" t="str">
        <f>"20190305135642496"</f>
        <v>20190305135642496</v>
      </c>
      <c r="B2816" t="str">
        <f>"1551765402485480"</f>
        <v>1551765402485480</v>
      </c>
      <c r="C2816" t="s">
        <v>40</v>
      </c>
      <c r="D2816">
        <v>4.5488650000000002</v>
      </c>
      <c r="E2816">
        <v>0.56411020000000001</v>
      </c>
      <c r="F2816" t="s">
        <v>73</v>
      </c>
      <c r="G2816">
        <v>-197.66249999999999</v>
      </c>
      <c r="H2816" s="1">
        <v>-1.3929499999999999E-5</v>
      </c>
      <c r="I2816">
        <v>155.5805</v>
      </c>
      <c r="J2816">
        <v>-190.8108</v>
      </c>
      <c r="K2816">
        <v>1.105464</v>
      </c>
      <c r="L2816">
        <v>166.00409999999999</v>
      </c>
      <c r="M2816">
        <v>-0.13780120000000001</v>
      </c>
      <c r="N2816">
        <v>-1.3701410000000001E-2</v>
      </c>
      <c r="O2816">
        <v>-0.9903653</v>
      </c>
      <c r="P2816">
        <v>-0.39680019999999999</v>
      </c>
      <c r="Q2816">
        <v>-0.1285377</v>
      </c>
      <c r="R2816">
        <v>-0.90886069999999997</v>
      </c>
      <c r="S2816">
        <v>-1.6464840000000001</v>
      </c>
      <c r="T2816">
        <v>-0.26419930000000003</v>
      </c>
      <c r="U2816">
        <v>-2.5471949999999999</v>
      </c>
      <c r="V2816">
        <v>0.266733099999999</v>
      </c>
      <c r="W2816">
        <v>-0.11779630000000001</v>
      </c>
      <c r="X2816">
        <v>0.95654459999999997</v>
      </c>
      <c r="Y2816">
        <v>0.42012719999999998</v>
      </c>
      <c r="Z2816">
        <v>7.5483899999999896E-2</v>
      </c>
      <c r="AA2816">
        <v>0.90432040000000002</v>
      </c>
      <c r="AB2816">
        <v>26</v>
      </c>
      <c r="AC2816">
        <v>-6.8516999999999904</v>
      </c>
      <c r="AD2816">
        <v>-1.1054779294999999</v>
      </c>
      <c r="AE2816">
        <v>-10.423599999999899</v>
      </c>
      <c r="AF2816">
        <v>5.3081120208801504</v>
      </c>
      <c r="AG2816">
        <v>-1.1054779294999999</v>
      </c>
      <c r="AH2816">
        <v>11.18058631185</v>
      </c>
      <c r="AI2816">
        <v>95.104092077356498</v>
      </c>
      <c r="AJ2816">
        <v>64.603431983368097</v>
      </c>
      <c r="AK2816">
        <v>12.425926321830101</v>
      </c>
      <c r="AL2816">
        <v>96.764937499281899</v>
      </c>
      <c r="AM2816">
        <v>74.418836207808994</v>
      </c>
      <c r="AN2816">
        <v>1.00000004335922</v>
      </c>
    </row>
    <row r="2817" spans="1:40" x14ac:dyDescent="0.25">
      <c r="A2817" t="str">
        <f>"20190305135642519"</f>
        <v>20190305135642519</v>
      </c>
      <c r="B2817" t="str">
        <f>"1551765402514761"</f>
        <v>1551765402514761</v>
      </c>
      <c r="C2817" t="s">
        <v>40</v>
      </c>
      <c r="D2817">
        <v>4.476464</v>
      </c>
      <c r="E2817">
        <v>0.563191199999999</v>
      </c>
      <c r="F2817" t="s">
        <v>73</v>
      </c>
      <c r="G2817">
        <v>-197.9239</v>
      </c>
      <c r="H2817" s="1">
        <v>-1.3751459999999999E-5</v>
      </c>
      <c r="I2817">
        <v>155.11150000000001</v>
      </c>
      <c r="J2817">
        <v>-190.8544</v>
      </c>
      <c r="K2817">
        <v>1.1056349999999999</v>
      </c>
      <c r="L2817">
        <v>165.73159999999999</v>
      </c>
      <c r="M2817">
        <v>-0.14256070000000001</v>
      </c>
      <c r="N2817">
        <v>-1.368129E-2</v>
      </c>
      <c r="O2817">
        <v>-0.98969149999999995</v>
      </c>
      <c r="P2817">
        <v>-0.39994669999999999</v>
      </c>
      <c r="Q2817">
        <v>-0.1288318</v>
      </c>
      <c r="R2817">
        <v>-0.90743890000000005</v>
      </c>
      <c r="S2817">
        <v>-1.6587829999999999</v>
      </c>
      <c r="T2817">
        <v>-0.25779809999999997</v>
      </c>
      <c r="U2817">
        <v>-2.5401609999999999</v>
      </c>
      <c r="V2817">
        <v>0.2655015</v>
      </c>
      <c r="W2817">
        <v>-0.1179868</v>
      </c>
      <c r="X2817">
        <v>0.95686360000000004</v>
      </c>
      <c r="Y2817">
        <v>0.420076</v>
      </c>
      <c r="Z2817">
        <v>7.3401969999999997E-2</v>
      </c>
      <c r="AA2817">
        <v>0.90451550000000003</v>
      </c>
      <c r="AB2817">
        <v>26</v>
      </c>
      <c r="AC2817">
        <v>-7.0694999999999997</v>
      </c>
      <c r="AD2817">
        <v>-1.10564875146</v>
      </c>
      <c r="AE2817">
        <v>-10.6200999999999</v>
      </c>
      <c r="AF2817">
        <v>5.4422537325936498</v>
      </c>
      <c r="AG2817">
        <v>-1.10564875146</v>
      </c>
      <c r="AH2817">
        <v>11.4336600095441</v>
      </c>
      <c r="AI2817">
        <v>94.990105800238993</v>
      </c>
      <c r="AJ2817">
        <v>64.546239927218096</v>
      </c>
      <c r="AK2817">
        <v>12.7109860382813</v>
      </c>
      <c r="AL2817">
        <v>96.775929696267994</v>
      </c>
      <c r="AM2817">
        <v>74.492230500012596</v>
      </c>
      <c r="AN2817">
        <v>0.99999994024072303</v>
      </c>
    </row>
    <row r="2818" spans="1:40" x14ac:dyDescent="0.25">
      <c r="A2818" t="str">
        <f>"20190305135642543"</f>
        <v>20190305135642543</v>
      </c>
      <c r="B2818" t="str">
        <f>"1551765402535256"</f>
        <v>1551765402535256</v>
      </c>
      <c r="C2818" t="s">
        <v>40</v>
      </c>
      <c r="D2818">
        <v>4.502802</v>
      </c>
      <c r="E2818">
        <v>0.56207410000000002</v>
      </c>
      <c r="F2818" t="s">
        <v>73</v>
      </c>
      <c r="G2818">
        <v>-198.2132</v>
      </c>
      <c r="H2818" s="1">
        <v>-1.353095E-5</v>
      </c>
      <c r="I2818">
        <v>154.48220000000001</v>
      </c>
      <c r="J2818">
        <v>-190.89879999999999</v>
      </c>
      <c r="K2818">
        <v>1.1057650000000001</v>
      </c>
      <c r="L2818">
        <v>165.46180000000001</v>
      </c>
      <c r="M2818">
        <v>-0.1471092</v>
      </c>
      <c r="N2818">
        <v>-1.3662199999999999E-2</v>
      </c>
      <c r="O2818">
        <v>-0.98902599999999996</v>
      </c>
      <c r="P2818">
        <v>-0.402115</v>
      </c>
      <c r="Q2818">
        <v>-0.1298183</v>
      </c>
      <c r="R2818">
        <v>-0.90633960000000002</v>
      </c>
      <c r="S2818">
        <v>-1.66065999999999</v>
      </c>
      <c r="T2818">
        <v>-0.24951309999999999</v>
      </c>
      <c r="U2818">
        <v>-2.5386660000000001</v>
      </c>
      <c r="V2818">
        <v>0.26344380000000001</v>
      </c>
      <c r="W2818">
        <v>-0.11888319999999999</v>
      </c>
      <c r="X2818">
        <v>0.95732130000000004</v>
      </c>
      <c r="Y2818">
        <v>0.41673290000000002</v>
      </c>
      <c r="Z2818">
        <v>7.0686330000000006E-2</v>
      </c>
      <c r="AA2818">
        <v>0.90627650000000004</v>
      </c>
      <c r="AB2818">
        <v>26</v>
      </c>
      <c r="AC2818">
        <v>-7.3144</v>
      </c>
      <c r="AD2818">
        <v>-1.1057785309499999</v>
      </c>
      <c r="AE2818">
        <v>-10.9796</v>
      </c>
      <c r="AF2818">
        <v>5.5802532589466098</v>
      </c>
      <c r="AG2818">
        <v>-1.1057785309499999</v>
      </c>
      <c r="AH2818">
        <v>11.8529690584308</v>
      </c>
      <c r="AI2818">
        <v>94.824622723800701</v>
      </c>
      <c r="AJ2818">
        <v>64.7894366519931</v>
      </c>
      <c r="AK2818">
        <v>13.147427432528801</v>
      </c>
      <c r="AL2818">
        <v>96.827653537426599</v>
      </c>
      <c r="AM2818">
        <v>74.613709023657194</v>
      </c>
      <c r="AN2818">
        <v>0.99999996121718404</v>
      </c>
    </row>
    <row r="2819" spans="1:40" x14ac:dyDescent="0.25">
      <c r="A2819" t="str">
        <f>"20190305135642564"</f>
        <v>20190305135642564</v>
      </c>
      <c r="B2819" t="str">
        <f>"1551765402554775"</f>
        <v>1551765402554775</v>
      </c>
      <c r="C2819" t="s">
        <v>40</v>
      </c>
      <c r="D2819">
        <v>4.4699260000000001</v>
      </c>
      <c r="E2819">
        <v>0.56116440000000001</v>
      </c>
      <c r="F2819" t="s">
        <v>73</v>
      </c>
      <c r="G2819">
        <v>-198.00120000000001</v>
      </c>
      <c r="H2819" s="1">
        <v>-1.3541380000000001E-5</v>
      </c>
      <c r="I2819">
        <v>154.59829999999999</v>
      </c>
      <c r="J2819">
        <v>-190.94239999999999</v>
      </c>
      <c r="K2819">
        <v>1.10586299999999</v>
      </c>
      <c r="L2819">
        <v>165.20310000000001</v>
      </c>
      <c r="M2819">
        <v>-0.15136569999999999</v>
      </c>
      <c r="N2819">
        <v>-1.364515E-2</v>
      </c>
      <c r="O2819">
        <v>-0.98838369999999998</v>
      </c>
      <c r="P2819">
        <v>-0.40295199999999998</v>
      </c>
      <c r="Q2819">
        <v>-0.1311061</v>
      </c>
      <c r="R2819">
        <v>-0.90578199999999998</v>
      </c>
      <c r="S2819">
        <v>-1.6587369999999999</v>
      </c>
      <c r="T2819">
        <v>-0.25824989999999998</v>
      </c>
      <c r="U2819">
        <v>-2.5371090000000001</v>
      </c>
      <c r="V2819">
        <v>0.26026080000000001</v>
      </c>
      <c r="W2819">
        <v>-0.12008190000000001</v>
      </c>
      <c r="X2819">
        <v>0.95804210000000001</v>
      </c>
      <c r="Y2819">
        <v>0.41246759999999899</v>
      </c>
      <c r="Z2819">
        <v>7.3693239999999993E-2</v>
      </c>
      <c r="AA2819">
        <v>0.90798659999999998</v>
      </c>
      <c r="AB2819">
        <v>26</v>
      </c>
      <c r="AC2819">
        <v>-7.0588000000000104</v>
      </c>
      <c r="AD2819">
        <v>-1.10587654137999</v>
      </c>
      <c r="AE2819">
        <v>-10.604799999999999</v>
      </c>
      <c r="AF2819">
        <v>5.3319198042139302</v>
      </c>
      <c r="AG2819">
        <v>-1.10587654137999</v>
      </c>
      <c r="AH2819">
        <v>11.4647511272182</v>
      </c>
      <c r="AI2819">
        <v>94.998528635217696</v>
      </c>
      <c r="AJ2819">
        <v>65.058241905723804</v>
      </c>
      <c r="AK2819">
        <v>12.6922358208629</v>
      </c>
      <c r="AL2819">
        <v>96.8968292408439</v>
      </c>
      <c r="AM2819">
        <v>74.801864514172095</v>
      </c>
      <c r="AN2819">
        <v>1.0000000060483301</v>
      </c>
    </row>
    <row r="2820" spans="1:40" x14ac:dyDescent="0.25">
      <c r="A2820" t="str">
        <f>"20190305135642586"</f>
        <v>20190305135642586</v>
      </c>
      <c r="B2820" t="str">
        <f>"1551765402575271"</f>
        <v>1551765402575271</v>
      </c>
      <c r="C2820" t="s">
        <v>40</v>
      </c>
      <c r="D2820">
        <v>4.4359469999999996</v>
      </c>
      <c r="E2820">
        <v>0.56033379999999999</v>
      </c>
      <c r="F2820" t="s">
        <v>73</v>
      </c>
      <c r="G2820">
        <v>-197.80770000000001</v>
      </c>
      <c r="H2820" s="1">
        <v>-1.3554260000000001E-5</v>
      </c>
      <c r="I2820">
        <v>154.67580000000001</v>
      </c>
      <c r="J2820">
        <v>-190.98570000000001</v>
      </c>
      <c r="K2820">
        <v>1.105955</v>
      </c>
      <c r="L2820">
        <v>164.95140000000001</v>
      </c>
      <c r="M2820">
        <v>-0.155426799999999</v>
      </c>
      <c r="N2820">
        <v>-1.362962E-2</v>
      </c>
      <c r="O2820">
        <v>-0.98775349999999995</v>
      </c>
      <c r="P2820">
        <v>-0.40254820000000002</v>
      </c>
      <c r="Q2820">
        <v>-0.13252139999999901</v>
      </c>
      <c r="R2820">
        <v>-0.90575559999999999</v>
      </c>
      <c r="S2820">
        <v>-1.6547240000000001</v>
      </c>
      <c r="T2820">
        <v>-0.26654549999999999</v>
      </c>
      <c r="U2820">
        <v>-2.5373540000000001</v>
      </c>
      <c r="V2820">
        <v>0.25595189999999901</v>
      </c>
      <c r="W2820">
        <v>-0.121402</v>
      </c>
      <c r="X2820">
        <v>0.95903609999999995</v>
      </c>
      <c r="Y2820">
        <v>0.40755269999999999</v>
      </c>
      <c r="Z2820">
        <v>7.6531639999999998E-2</v>
      </c>
      <c r="AA2820">
        <v>0.90996909999999998</v>
      </c>
      <c r="AB2820">
        <v>26</v>
      </c>
      <c r="AC2820">
        <v>-6.8220000000000001</v>
      </c>
      <c r="AD2820">
        <v>-1.10596855426</v>
      </c>
      <c r="AE2820">
        <v>-10.275599999999899</v>
      </c>
      <c r="AF2820">
        <v>5.1008151892418097</v>
      </c>
      <c r="AG2820">
        <v>-1.10596855426</v>
      </c>
      <c r="AH2820">
        <v>11.121698699125201</v>
      </c>
      <c r="AI2820">
        <v>95.164885425603202</v>
      </c>
      <c r="AJ2820">
        <v>65.362089733444705</v>
      </c>
      <c r="AK2820">
        <v>12.2855062570468</v>
      </c>
      <c r="AL2820">
        <v>96.973022668363896</v>
      </c>
      <c r="AM2820">
        <v>75.056929461364803</v>
      </c>
      <c r="AN2820">
        <v>1.0000000309104</v>
      </c>
    </row>
    <row r="2821" spans="1:40" x14ac:dyDescent="0.25">
      <c r="A2821" t="str">
        <f>"20190305135642609"</f>
        <v>20190305135642609</v>
      </c>
      <c r="B2821" t="str">
        <f>"1551765402605527"</f>
        <v>1551765402605527</v>
      </c>
      <c r="C2821" t="s">
        <v>40</v>
      </c>
      <c r="D2821">
        <v>4.4272039999999997</v>
      </c>
      <c r="E2821">
        <v>0.55953750000000002</v>
      </c>
      <c r="F2821" t="s">
        <v>73</v>
      </c>
      <c r="G2821">
        <v>-197.6369</v>
      </c>
      <c r="H2821" s="1">
        <v>-1.3549370000000001E-5</v>
      </c>
      <c r="I2821">
        <v>154.69970000000001</v>
      </c>
      <c r="J2821">
        <v>-191.0317</v>
      </c>
      <c r="K2821">
        <v>1.10605</v>
      </c>
      <c r="L2821">
        <v>164.68989999999999</v>
      </c>
      <c r="M2821">
        <v>-0.1595531</v>
      </c>
      <c r="N2821">
        <v>-1.361416E-2</v>
      </c>
      <c r="O2821">
        <v>-0.98709550000000001</v>
      </c>
      <c r="P2821">
        <v>-0.40263529999999997</v>
      </c>
      <c r="Q2821">
        <v>-0.1325006</v>
      </c>
      <c r="R2821">
        <v>-0.90571990000000002</v>
      </c>
      <c r="S2821">
        <v>-1.64775099999999</v>
      </c>
      <c r="T2821">
        <v>-0.27399089999999998</v>
      </c>
      <c r="U2821">
        <v>-2.5397340000000002</v>
      </c>
      <c r="V2821">
        <v>0.25207200000000002</v>
      </c>
      <c r="W2821">
        <v>-0.1212884</v>
      </c>
      <c r="X2821">
        <v>0.96007750000000003</v>
      </c>
      <c r="Y2821">
        <v>0.40147389999999999</v>
      </c>
      <c r="Z2821">
        <v>7.9067609999999997E-2</v>
      </c>
      <c r="AA2821">
        <v>0.91245109999999996</v>
      </c>
      <c r="AB2821">
        <v>26</v>
      </c>
      <c r="AC2821">
        <v>-6.6051999999999902</v>
      </c>
      <c r="AD2821">
        <v>-1.10606354937</v>
      </c>
      <c r="AE2821">
        <v>-9.9901999999999802</v>
      </c>
      <c r="AF2821">
        <v>4.8847885558911903</v>
      </c>
      <c r="AG2821">
        <v>-1.10606354937</v>
      </c>
      <c r="AH2821">
        <v>10.823853379385399</v>
      </c>
      <c r="AI2821">
        <v>95.321276700915703</v>
      </c>
      <c r="AJ2821">
        <v>65.710415891802398</v>
      </c>
      <c r="AK2821">
        <v>11.92645537406</v>
      </c>
      <c r="AL2821">
        <v>96.966465715641107</v>
      </c>
      <c r="AM2821">
        <v>75.288812109583603</v>
      </c>
      <c r="AN2821">
        <v>0.99999998758240405</v>
      </c>
    </row>
    <row r="2822" spans="1:40" x14ac:dyDescent="0.25">
      <c r="A2822" t="str">
        <f>"20190305135642633"</f>
        <v>20190305135642633</v>
      </c>
      <c r="B2822" t="str">
        <f>"1551765402625048"</f>
        <v>1551765402625048</v>
      </c>
      <c r="C2822" t="s">
        <v>40</v>
      </c>
      <c r="D2822">
        <v>4.3773099999999996</v>
      </c>
      <c r="E2822">
        <v>0.55917099999999997</v>
      </c>
      <c r="F2822" t="s">
        <v>73</v>
      </c>
      <c r="G2822">
        <v>-197.64150000000001</v>
      </c>
      <c r="H2822" s="1">
        <v>-1.347426E-5</v>
      </c>
      <c r="I2822">
        <v>154.45840000000001</v>
      </c>
      <c r="J2822">
        <v>-191.0814</v>
      </c>
      <c r="K2822">
        <v>1.1061620000000001</v>
      </c>
      <c r="L2822">
        <v>164.41390000000001</v>
      </c>
      <c r="M2822">
        <v>-0.1637612</v>
      </c>
      <c r="N2822">
        <v>-1.3597730000000001E-2</v>
      </c>
      <c r="O2822">
        <v>-0.98640629999999996</v>
      </c>
      <c r="P2822">
        <v>-0.4039893</v>
      </c>
      <c r="Q2822">
        <v>-0.13239339999999999</v>
      </c>
      <c r="R2822">
        <v>-0.90513239999999995</v>
      </c>
      <c r="S2822">
        <v>-1.642212</v>
      </c>
      <c r="T2822">
        <v>-0.27480470000000001</v>
      </c>
      <c r="U2822">
        <v>-2.5420530000000001</v>
      </c>
      <c r="V2822">
        <v>0.2494509</v>
      </c>
      <c r="W2822">
        <v>-0.1210947</v>
      </c>
      <c r="X2822">
        <v>0.96078629999999998</v>
      </c>
      <c r="Y2822">
        <v>0.3957714</v>
      </c>
      <c r="Z2822">
        <v>7.9370490000000002E-2</v>
      </c>
      <c r="AA2822">
        <v>0.91491279999999997</v>
      </c>
      <c r="AB2822">
        <v>26</v>
      </c>
      <c r="AC2822">
        <v>-6.5601000000000003</v>
      </c>
      <c r="AD2822">
        <v>-1.1061754742600001</v>
      </c>
      <c r="AE2822">
        <v>-9.9555000000000007</v>
      </c>
      <c r="AF2822">
        <v>4.7997299936748599</v>
      </c>
      <c r="AG2822">
        <v>-1.1061754742600001</v>
      </c>
      <c r="AH2822">
        <v>10.8024754824803</v>
      </c>
      <c r="AI2822">
        <v>95.346105586651802</v>
      </c>
      <c r="AJ2822">
        <v>66.043580115938695</v>
      </c>
      <c r="AK2822">
        <v>11.872426404978301</v>
      </c>
      <c r="AL2822">
        <v>96.955285052973295</v>
      </c>
      <c r="AM2822">
        <v>75.445533582292995</v>
      </c>
      <c r="AN2822">
        <v>0.99999999607329404</v>
      </c>
    </row>
    <row r="2823" spans="1:40" x14ac:dyDescent="0.25">
      <c r="A2823" t="str">
        <f>"20190305135642656"</f>
        <v>20190305135642656</v>
      </c>
      <c r="B2823" t="str">
        <f>"1551765402645544"</f>
        <v>1551765402645544</v>
      </c>
      <c r="C2823" t="s">
        <v>40</v>
      </c>
      <c r="D2823">
        <v>4.3575189999999999</v>
      </c>
      <c r="E2823">
        <v>0.5414004</v>
      </c>
      <c r="F2823" t="s">
        <v>73</v>
      </c>
      <c r="G2823">
        <v>-197.7157</v>
      </c>
      <c r="H2823" s="1">
        <v>-1.34045899999999E-5</v>
      </c>
      <c r="I2823">
        <v>154.15530000000001</v>
      </c>
      <c r="J2823">
        <v>-191.13069999999999</v>
      </c>
      <c r="K2823">
        <v>1.106285</v>
      </c>
      <c r="L2823">
        <v>164.14519999999999</v>
      </c>
      <c r="M2823">
        <v>-0.16768229999999901</v>
      </c>
      <c r="N2823">
        <v>-1.358149E-2</v>
      </c>
      <c r="O2823">
        <v>-0.98574759999999995</v>
      </c>
      <c r="P2823">
        <v>-0.4035338</v>
      </c>
      <c r="Q2823">
        <v>-0.134077799999999</v>
      </c>
      <c r="R2823">
        <v>-0.90508789999999995</v>
      </c>
      <c r="S2823">
        <v>-1.6432340000000001</v>
      </c>
      <c r="T2823">
        <v>-0.27398670000000003</v>
      </c>
      <c r="U2823">
        <v>-2.540924</v>
      </c>
      <c r="V2823">
        <v>0.2452213</v>
      </c>
      <c r="W2823">
        <v>-0.1226742</v>
      </c>
      <c r="X2823">
        <v>0.96167429999999998</v>
      </c>
      <c r="Y2823">
        <v>0.39257809999999999</v>
      </c>
      <c r="Z2823">
        <v>7.9127130000000004E-2</v>
      </c>
      <c r="AA2823">
        <v>0.91630849999999997</v>
      </c>
      <c r="AB2823">
        <v>26</v>
      </c>
      <c r="AC2823">
        <v>-6.585</v>
      </c>
      <c r="AD2823">
        <v>-1.10629840459</v>
      </c>
      <c r="AE2823">
        <v>-9.9898999999999702</v>
      </c>
      <c r="AF2823">
        <v>4.7756349108891003</v>
      </c>
      <c r="AG2823">
        <v>-1.10629840459</v>
      </c>
      <c r="AH2823">
        <v>10.859874843019499</v>
      </c>
      <c r="AI2823">
        <v>95.327537192631894</v>
      </c>
      <c r="AJ2823">
        <v>66.262485359078099</v>
      </c>
      <c r="AK2823">
        <v>11.915010137139999</v>
      </c>
      <c r="AL2823">
        <v>97.046463856868996</v>
      </c>
      <c r="AM2823">
        <v>75.694764028020202</v>
      </c>
      <c r="AN2823">
        <v>0.99999995229990801</v>
      </c>
    </row>
    <row r="2824" spans="1:40" x14ac:dyDescent="0.25">
      <c r="A2824" t="str">
        <f>"20190305135642675"</f>
        <v>20190305135642675</v>
      </c>
      <c r="B2824" t="str">
        <f>"1551765402665064"</f>
        <v>1551765402665064</v>
      </c>
      <c r="C2824" t="s">
        <v>40</v>
      </c>
      <c r="D2824">
        <v>4.3307609999999999</v>
      </c>
      <c r="E2824">
        <v>0.54199059999999999</v>
      </c>
      <c r="F2824" t="s">
        <v>73</v>
      </c>
      <c r="G2824">
        <v>-197.12559999999999</v>
      </c>
      <c r="H2824" s="1">
        <v>-1.327361E-5</v>
      </c>
      <c r="I2824">
        <v>153.84280000000001</v>
      </c>
      <c r="J2824">
        <v>-191.17429999999999</v>
      </c>
      <c r="K2824">
        <v>1.106392</v>
      </c>
      <c r="L2824">
        <v>163.9111</v>
      </c>
      <c r="M2824">
        <v>-0.1709639</v>
      </c>
      <c r="N2824">
        <v>-1.3567539999999999E-2</v>
      </c>
      <c r="O2824">
        <v>-0.9851839</v>
      </c>
      <c r="P2824">
        <v>-0.40144659999999999</v>
      </c>
      <c r="Q2824">
        <v>-0.1380179</v>
      </c>
      <c r="R2824">
        <v>-0.90542350000000005</v>
      </c>
      <c r="S2824">
        <v>-1.512329</v>
      </c>
      <c r="T2824">
        <v>-0.27908189999999999</v>
      </c>
      <c r="U2824">
        <v>-2.5989689999999999</v>
      </c>
      <c r="V2824">
        <v>0.2399192</v>
      </c>
      <c r="W2824">
        <v>-0.12651279999999901</v>
      </c>
      <c r="X2824">
        <v>0.96251399999999998</v>
      </c>
      <c r="Y2824">
        <v>0.34586729999999999</v>
      </c>
      <c r="Z2824">
        <v>8.0980789999999997E-2</v>
      </c>
      <c r="AA2824">
        <v>0.93478229999999995</v>
      </c>
      <c r="AB2824">
        <v>26</v>
      </c>
      <c r="AC2824">
        <v>-5.9512999999999998</v>
      </c>
      <c r="AD2824">
        <v>-1.1064052736100001</v>
      </c>
      <c r="AE2824">
        <v>-10.068299999999899</v>
      </c>
      <c r="AF2824">
        <v>4.1054502587598201</v>
      </c>
      <c r="AG2824">
        <v>-1.1064052736100001</v>
      </c>
      <c r="AH2824">
        <v>10.840577764925101</v>
      </c>
      <c r="AI2824">
        <v>95.452146067336898</v>
      </c>
      <c r="AJ2824">
        <v>69.257752475262194</v>
      </c>
      <c r="AK2824">
        <v>11.644611660936199</v>
      </c>
      <c r="AL2824">
        <v>97.268126792297593</v>
      </c>
      <c r="AM2824">
        <v>76.003502386659406</v>
      </c>
      <c r="AN2824">
        <v>0.99999995564423805</v>
      </c>
    </row>
    <row r="2825" spans="1:40" x14ac:dyDescent="0.25">
      <c r="A2825" t="str">
        <f>"20190305135642698"</f>
        <v>20190305135642698</v>
      </c>
      <c r="B2825" t="str">
        <f>"1551765402695320"</f>
        <v>1551765402695320</v>
      </c>
      <c r="C2825" t="s">
        <v>40</v>
      </c>
      <c r="D2825">
        <v>4.3049089999999897</v>
      </c>
      <c r="E2825">
        <v>0.54323390000000005</v>
      </c>
      <c r="F2825" t="s">
        <v>73</v>
      </c>
      <c r="G2825">
        <v>-196.94290000000001</v>
      </c>
      <c r="H2825" s="1">
        <v>-1.3293429999999999E-5</v>
      </c>
      <c r="I2825">
        <v>153.98599999999999</v>
      </c>
      <c r="J2825">
        <v>-191.2227</v>
      </c>
      <c r="K2825">
        <v>1.1065419999999999</v>
      </c>
      <c r="L2825">
        <v>163.65539999999999</v>
      </c>
      <c r="M2825">
        <v>-0.17434259999999999</v>
      </c>
      <c r="N2825">
        <v>-1.3552430000000001E-2</v>
      </c>
      <c r="O2825">
        <v>-0.98459180000000002</v>
      </c>
      <c r="P2825">
        <v>-0.40000469999999999</v>
      </c>
      <c r="Q2825">
        <v>-0.14033489999999901</v>
      </c>
      <c r="R2825">
        <v>-0.9057056</v>
      </c>
      <c r="S2825">
        <v>-1.5107569999999999</v>
      </c>
      <c r="T2825">
        <v>-0.28976350000000001</v>
      </c>
      <c r="U2825">
        <v>-2.5993650000000001</v>
      </c>
      <c r="V2825">
        <v>0.2351837</v>
      </c>
      <c r="W2825">
        <v>-0.12871879999999999</v>
      </c>
      <c r="X2825">
        <v>0.96338990000000002</v>
      </c>
      <c r="Y2825">
        <v>0.34200809999999998</v>
      </c>
      <c r="Z2825">
        <v>8.4552450000000001E-2</v>
      </c>
      <c r="AA2825">
        <v>0.93588530000000003</v>
      </c>
      <c r="AB2825">
        <v>26</v>
      </c>
      <c r="AC2825">
        <v>-5.7202000000000002</v>
      </c>
      <c r="AD2825">
        <v>-1.10655529342999</v>
      </c>
      <c r="AE2825">
        <v>-9.6693999999999907</v>
      </c>
      <c r="AF2825">
        <v>3.9087168807749499</v>
      </c>
      <c r="AG2825">
        <v>-1.10655529342999</v>
      </c>
      <c r="AH2825">
        <v>10.417589374454799</v>
      </c>
      <c r="AI2825">
        <v>95.679398308758707</v>
      </c>
      <c r="AJ2825">
        <v>69.433728998248</v>
      </c>
      <c r="AK2825">
        <v>11.1816233457502</v>
      </c>
      <c r="AL2825">
        <v>97.395562940750295</v>
      </c>
      <c r="AM2825">
        <v>76.281220416630305</v>
      </c>
      <c r="AN2825">
        <v>1.0000000008205601</v>
      </c>
    </row>
    <row r="2826" spans="1:40" x14ac:dyDescent="0.25">
      <c r="A2826" t="str">
        <f>"20190305135642720"</f>
        <v>20190305135642720</v>
      </c>
      <c r="B2826" t="str">
        <f>"1551765402714840"</f>
        <v>1551765402714840</v>
      </c>
      <c r="C2826" t="s">
        <v>40</v>
      </c>
      <c r="D2826">
        <v>4.3290600000000001</v>
      </c>
      <c r="E2826">
        <v>0.54397859999999998</v>
      </c>
      <c r="F2826" t="s">
        <v>73</v>
      </c>
      <c r="G2826">
        <v>-196.9271</v>
      </c>
      <c r="H2826" s="1">
        <v>-1.3265600000000001E-5</v>
      </c>
      <c r="I2826">
        <v>153.8809</v>
      </c>
      <c r="J2826">
        <v>-191.273</v>
      </c>
      <c r="K2826">
        <v>1.1067530000000001</v>
      </c>
      <c r="L2826">
        <v>163.39359999999999</v>
      </c>
      <c r="M2826">
        <v>-0.17750260000000001</v>
      </c>
      <c r="N2826">
        <v>-1.353588E-2</v>
      </c>
      <c r="O2826">
        <v>-0.98402730000000005</v>
      </c>
      <c r="P2826">
        <v>-0.39781230000000001</v>
      </c>
      <c r="Q2826">
        <v>-0.1393191</v>
      </c>
      <c r="R2826">
        <v>-0.9068273</v>
      </c>
      <c r="S2826">
        <v>-1.5157780000000001</v>
      </c>
      <c r="T2826">
        <v>-0.29403950000000001</v>
      </c>
      <c r="U2826">
        <v>-2.5973359999999999</v>
      </c>
      <c r="V2826">
        <v>0.22980500000000001</v>
      </c>
      <c r="W2826">
        <v>-0.12755830000000001</v>
      </c>
      <c r="X2826">
        <v>0.96484119999999995</v>
      </c>
      <c r="Y2826">
        <v>0.34059739999999999</v>
      </c>
      <c r="Z2826">
        <v>8.5968779999999995E-2</v>
      </c>
      <c r="AA2826">
        <v>0.93627070000000001</v>
      </c>
      <c r="AB2826">
        <v>26</v>
      </c>
      <c r="AC2826">
        <v>-5.6540999999999997</v>
      </c>
      <c r="AD2826">
        <v>-1.1067662655999999</v>
      </c>
      <c r="AE2826">
        <v>-9.5126999999999899</v>
      </c>
      <c r="AF2826">
        <v>3.8372319895469298</v>
      </c>
      <c r="AG2826">
        <v>-1.1067662655999999</v>
      </c>
      <c r="AH2826">
        <v>10.2626687197147</v>
      </c>
      <c r="AI2826">
        <v>95.7680994543352</v>
      </c>
      <c r="AJ2826">
        <v>69.499131137471593</v>
      </c>
      <c r="AK2826">
        <v>11.012340811965601</v>
      </c>
      <c r="AL2826">
        <v>97.328518497984206</v>
      </c>
      <c r="AM2826">
        <v>76.602955660955303</v>
      </c>
      <c r="AN2826">
        <v>0.99999999957066499</v>
      </c>
    </row>
    <row r="2827" spans="1:40" x14ac:dyDescent="0.25">
      <c r="A2827" t="str">
        <f>"20190305135642744"</f>
        <v>20190305135642744</v>
      </c>
      <c r="B2827" t="str">
        <f>"1551765402735336"</f>
        <v>1551765402735336</v>
      </c>
      <c r="C2827" t="s">
        <v>40</v>
      </c>
      <c r="D2827">
        <v>4.2909079999999999</v>
      </c>
      <c r="E2827">
        <v>0.54969000000000001</v>
      </c>
      <c r="F2827" t="s">
        <v>73</v>
      </c>
      <c r="G2827">
        <v>-197.07499999999999</v>
      </c>
      <c r="H2827" s="1">
        <v>-1.31674E-5</v>
      </c>
      <c r="I2827">
        <v>153.4385</v>
      </c>
      <c r="J2827">
        <v>-191.32480000000001</v>
      </c>
      <c r="K2827">
        <v>1.107032</v>
      </c>
      <c r="L2827">
        <v>163.12629999999999</v>
      </c>
      <c r="M2827">
        <v>-0.18034449999999999</v>
      </c>
      <c r="N2827">
        <v>-1.3517909999999999E-2</v>
      </c>
      <c r="O2827">
        <v>-0.98351060000000001</v>
      </c>
      <c r="P2827">
        <v>-0.3976751</v>
      </c>
      <c r="Q2827">
        <v>-0.13467309999999999</v>
      </c>
      <c r="R2827">
        <v>-0.90758879999999997</v>
      </c>
      <c r="S2827">
        <v>-1.514893</v>
      </c>
      <c r="T2827">
        <v>-0.28897329999999999</v>
      </c>
      <c r="U2827">
        <v>-2.5992579999999998</v>
      </c>
      <c r="V2827">
        <v>0.22685359999999999</v>
      </c>
      <c r="W2827">
        <v>-0.12275079999999999</v>
      </c>
      <c r="X2827">
        <v>0.96616230000000003</v>
      </c>
      <c r="Y2827">
        <v>0.33742230000000001</v>
      </c>
      <c r="Z2827">
        <v>8.4235560000000001E-2</v>
      </c>
      <c r="AA2827">
        <v>0.93757699999999999</v>
      </c>
      <c r="AB2827">
        <v>26</v>
      </c>
      <c r="AC2827">
        <v>-5.7501999999999702</v>
      </c>
      <c r="AD2827">
        <v>-1.1070451673999999</v>
      </c>
      <c r="AE2827">
        <v>-9.6877999999999798</v>
      </c>
      <c r="AF2827">
        <v>3.8712171194318601</v>
      </c>
      <c r="AG2827">
        <v>-1.1070451673999999</v>
      </c>
      <c r="AH2827">
        <v>10.464984458334801</v>
      </c>
      <c r="AI2827">
        <v>95.666050727463897</v>
      </c>
      <c r="AJ2827">
        <v>69.699509624758605</v>
      </c>
      <c r="AK2827">
        <v>11.2128395467711</v>
      </c>
      <c r="AL2827">
        <v>97.050886135958507</v>
      </c>
      <c r="AM2827">
        <v>76.786382251434404</v>
      </c>
      <c r="AN2827">
        <v>0.99999995233744399</v>
      </c>
    </row>
    <row r="2828" spans="1:40" x14ac:dyDescent="0.25">
      <c r="A2828" t="str">
        <f>"20190305135642765"</f>
        <v>20190305135642765</v>
      </c>
      <c r="B2828" t="str">
        <f>"1551765402754856"</f>
        <v>1551765402754856</v>
      </c>
      <c r="C2828" t="s">
        <v>40</v>
      </c>
      <c r="D2828">
        <v>4.2875160000000001</v>
      </c>
      <c r="E2828">
        <v>0.5505314</v>
      </c>
      <c r="F2828" t="s">
        <v>73</v>
      </c>
      <c r="G2828">
        <v>-197.95590000000001</v>
      </c>
      <c r="H2828" s="1">
        <v>-1.2911900000000001E-5</v>
      </c>
      <c r="I2828">
        <v>152.11250000000001</v>
      </c>
      <c r="J2828">
        <v>-191.3733</v>
      </c>
      <c r="K2828">
        <v>1.1073649999999999</v>
      </c>
      <c r="L2828">
        <v>162.87690000000001</v>
      </c>
      <c r="M2828">
        <v>-0.1825687</v>
      </c>
      <c r="N2828">
        <v>-1.350137E-2</v>
      </c>
      <c r="O2828">
        <v>-0.98310039999999999</v>
      </c>
      <c r="P2828">
        <v>-0.39785090000000001</v>
      </c>
      <c r="Q2828">
        <v>-0.13011049999999999</v>
      </c>
      <c r="R2828">
        <v>-0.90817709999999996</v>
      </c>
      <c r="S2828">
        <v>-1.556351</v>
      </c>
      <c r="T2828">
        <v>-0.25982559999999999</v>
      </c>
      <c r="U2828">
        <v>-2.5849609999999998</v>
      </c>
      <c r="V2828">
        <v>0.22484789999999999</v>
      </c>
      <c r="W2828">
        <v>-0.1180108</v>
      </c>
      <c r="X2828">
        <v>0.9672212</v>
      </c>
      <c r="Y2828">
        <v>0.3490587</v>
      </c>
      <c r="Z2828">
        <v>7.4395900000000001E-2</v>
      </c>
      <c r="AA2828">
        <v>0.9341431</v>
      </c>
      <c r="AB2828">
        <v>26</v>
      </c>
      <c r="AC2828">
        <v>-6.58260000000001</v>
      </c>
      <c r="AD2828">
        <v>-1.1073779119</v>
      </c>
      <c r="AE2828">
        <v>-10.764399999999901</v>
      </c>
      <c r="AF2828">
        <v>4.4720780162806602</v>
      </c>
      <c r="AG2828">
        <v>-1.1073779119</v>
      </c>
      <c r="AH2828">
        <v>11.695252258518</v>
      </c>
      <c r="AI2828">
        <v>95.054135330866501</v>
      </c>
      <c r="AJ2828">
        <v>69.073942814768202</v>
      </c>
      <c r="AK2828">
        <v>12.569991766657401</v>
      </c>
      <c r="AL2828">
        <v>96.777314141593394</v>
      </c>
      <c r="AM2828">
        <v>76.913011039283205</v>
      </c>
      <c r="AN2828">
        <v>0.99999998839024495</v>
      </c>
    </row>
    <row r="2829" spans="1:40" x14ac:dyDescent="0.25">
      <c r="A2829" t="str">
        <f>"20190305135642788"</f>
        <v>20190305135642788</v>
      </c>
      <c r="B2829" t="str">
        <f>"1551765402785112"</f>
        <v>1551765402785112</v>
      </c>
      <c r="C2829" t="s">
        <v>40</v>
      </c>
      <c r="D2829">
        <v>4.2448119999999996</v>
      </c>
      <c r="E2829">
        <v>0.55738869999999996</v>
      </c>
      <c r="F2829" t="s">
        <v>73</v>
      </c>
      <c r="G2829">
        <v>-198.19319999999999</v>
      </c>
      <c r="H2829" s="1">
        <v>-1.2807260000000001E-5</v>
      </c>
      <c r="I2829">
        <v>151.613</v>
      </c>
      <c r="J2829">
        <v>-191.42250000000001</v>
      </c>
      <c r="K2829">
        <v>1.1077570000000001</v>
      </c>
      <c r="L2829">
        <v>162.6249</v>
      </c>
      <c r="M2829">
        <v>-0.18431819999999999</v>
      </c>
      <c r="N2829">
        <v>-1.3485799999999999E-2</v>
      </c>
      <c r="O2829">
        <v>-0.98277429999999999</v>
      </c>
      <c r="P2829">
        <v>-0.39791290000000001</v>
      </c>
      <c r="Q2829">
        <v>-0.1264951</v>
      </c>
      <c r="R2829">
        <v>-0.90866100000000005</v>
      </c>
      <c r="S2829">
        <v>-1.5633699999999999</v>
      </c>
      <c r="T2829">
        <v>-0.25385200000000002</v>
      </c>
      <c r="U2829">
        <v>-2.5821079999999998</v>
      </c>
      <c r="V2829">
        <v>0.22321949999999999</v>
      </c>
      <c r="W2829">
        <v>-0.1141895</v>
      </c>
      <c r="X2829">
        <v>0.96805669999999999</v>
      </c>
      <c r="Y2829">
        <v>0.34978880000000001</v>
      </c>
      <c r="Z2829">
        <v>7.2399779999999997E-2</v>
      </c>
      <c r="AA2829">
        <v>0.93402680000000005</v>
      </c>
      <c r="AB2829">
        <v>26</v>
      </c>
      <c r="AC2829">
        <v>-6.7706999999999704</v>
      </c>
      <c r="AD2829">
        <v>-1.10776980726</v>
      </c>
      <c r="AE2829">
        <v>-11.011899999999899</v>
      </c>
      <c r="AF2829">
        <v>4.5910807872866704</v>
      </c>
      <c r="AG2829">
        <v>-1.10776980726</v>
      </c>
      <c r="AH2829">
        <v>11.983270106049</v>
      </c>
      <c r="AI2829">
        <v>94.933790017338893</v>
      </c>
      <c r="AJ2829">
        <v>69.036954534922998</v>
      </c>
      <c r="AK2829">
        <v>12.880370304296299</v>
      </c>
      <c r="AL2829">
        <v>96.556878996119394</v>
      </c>
      <c r="AM2829">
        <v>77.0153973502197</v>
      </c>
      <c r="AN2829">
        <v>0.99999998075269403</v>
      </c>
    </row>
    <row r="2830" spans="1:40" x14ac:dyDescent="0.25">
      <c r="A2830" t="str">
        <f>"20190305135642810"</f>
        <v>20190305135642810</v>
      </c>
      <c r="B2830" t="str">
        <f>"1551765402804633"</f>
        <v>1551765402804633</v>
      </c>
      <c r="C2830" t="s">
        <v>40</v>
      </c>
      <c r="D2830">
        <v>4.300122</v>
      </c>
      <c r="E2830">
        <v>0.55810799999999905</v>
      </c>
      <c r="F2830" t="s">
        <v>73</v>
      </c>
      <c r="G2830">
        <v>-199.19370000000001</v>
      </c>
      <c r="H2830" s="1">
        <v>-1.25617E-5</v>
      </c>
      <c r="I2830">
        <v>150.28440000000001</v>
      </c>
      <c r="J2830">
        <v>-191.47200000000001</v>
      </c>
      <c r="K2830">
        <v>1.108196</v>
      </c>
      <c r="L2830">
        <v>162.37</v>
      </c>
      <c r="M2830">
        <v>-0.1855</v>
      </c>
      <c r="N2830">
        <v>-1.347224E-2</v>
      </c>
      <c r="O2830">
        <v>-0.98255219999999999</v>
      </c>
      <c r="P2830">
        <v>-0.39825870000000002</v>
      </c>
      <c r="Q2830">
        <v>-0.1246106</v>
      </c>
      <c r="R2830">
        <v>-0.90876979999999996</v>
      </c>
      <c r="S2830">
        <v>-1.6138760000000001</v>
      </c>
      <c r="T2830">
        <v>-0.23005500000000001</v>
      </c>
      <c r="U2830">
        <v>-2.562805</v>
      </c>
      <c r="V2830">
        <v>0.22250049999999999</v>
      </c>
      <c r="W2830">
        <v>-0.1120766</v>
      </c>
      <c r="X2830">
        <v>0.96846909999999997</v>
      </c>
      <c r="Y2830">
        <v>0.36532930000000002</v>
      </c>
      <c r="Z2830">
        <v>6.4359349999999996E-2</v>
      </c>
      <c r="AA2830">
        <v>0.92865089999999995</v>
      </c>
      <c r="AB2830">
        <v>26</v>
      </c>
      <c r="AC2830">
        <v>-7.7216999999999896</v>
      </c>
      <c r="AD2830">
        <v>-1.1082085616999999</v>
      </c>
      <c r="AE2830">
        <v>-12.085599999999999</v>
      </c>
      <c r="AF2830">
        <v>5.3138498211244602</v>
      </c>
      <c r="AG2830">
        <v>-1.1082085616999999</v>
      </c>
      <c r="AH2830">
        <v>13.229321637768701</v>
      </c>
      <c r="AI2830">
        <v>94.444821546810999</v>
      </c>
      <c r="AJ2830">
        <v>68.116046716796006</v>
      </c>
      <c r="AK2830">
        <v>14.299653042407201</v>
      </c>
      <c r="AL2830">
        <v>96.435036234302402</v>
      </c>
      <c r="AM2830">
        <v>77.061136977256595</v>
      </c>
      <c r="AN2830">
        <v>1.0000000172112999</v>
      </c>
    </row>
    <row r="2831" spans="1:40" x14ac:dyDescent="0.25">
      <c r="A2831" t="str">
        <f>"20190305135642833"</f>
        <v>20190305135642833</v>
      </c>
      <c r="B2831" t="str">
        <f>"1551765402825128"</f>
        <v>1551765402825128</v>
      </c>
      <c r="C2831" t="s">
        <v>40</v>
      </c>
      <c r="D2831">
        <v>4.3651330000000002</v>
      </c>
      <c r="E2831">
        <v>0.55833279999999996</v>
      </c>
      <c r="F2831" t="s">
        <v>73</v>
      </c>
      <c r="G2831">
        <v>-199.19630000000001</v>
      </c>
      <c r="H2831" s="1">
        <v>-1.2532989999999999E-5</v>
      </c>
      <c r="I2831">
        <v>150.1694</v>
      </c>
      <c r="J2831">
        <v>-191.52420000000001</v>
      </c>
      <c r="K2831">
        <v>1.1086640000000001</v>
      </c>
      <c r="L2831">
        <v>162.0992</v>
      </c>
      <c r="M2831">
        <v>-0.18601010000000001</v>
      </c>
      <c r="N2831">
        <v>-1.3461880000000001E-2</v>
      </c>
      <c r="O2831">
        <v>-0.98245570000000004</v>
      </c>
      <c r="P2831">
        <v>-0.39813100000000001</v>
      </c>
      <c r="Q2831">
        <v>-0.1245747</v>
      </c>
      <c r="R2831">
        <v>-0.90883080000000005</v>
      </c>
      <c r="S2831">
        <v>-1.620255</v>
      </c>
      <c r="T2831">
        <v>-0.2324589</v>
      </c>
      <c r="U2831">
        <v>-2.5592190000000001</v>
      </c>
      <c r="V2831">
        <v>0.22199340000000001</v>
      </c>
      <c r="W2831">
        <v>-0.1117861</v>
      </c>
      <c r="X2831">
        <v>0.96861900000000001</v>
      </c>
      <c r="Y2831">
        <v>0.36705500000000002</v>
      </c>
      <c r="Z2831">
        <v>6.5180139999999998E-2</v>
      </c>
      <c r="AA2831">
        <v>0.92791279999999998</v>
      </c>
      <c r="AB2831">
        <v>26</v>
      </c>
      <c r="AC2831">
        <v>-7.6721000000000004</v>
      </c>
      <c r="AD2831">
        <v>-1.1086765329899999</v>
      </c>
      <c r="AE2831">
        <v>-11.9298</v>
      </c>
      <c r="AF2831">
        <v>5.2866167600593696</v>
      </c>
      <c r="AG2831">
        <v>-1.1086765329899999</v>
      </c>
      <c r="AH2831">
        <v>13.0689307066619</v>
      </c>
      <c r="AI2831">
        <v>94.496619769982303</v>
      </c>
      <c r="AJ2831">
        <v>67.9757851618986</v>
      </c>
      <c r="AK2831">
        <v>14.141231567231801</v>
      </c>
      <c r="AL2831">
        <v>96.418286765588903</v>
      </c>
      <c r="AM2831">
        <v>77.091567780844301</v>
      </c>
      <c r="AN2831">
        <v>0.99999998447888405</v>
      </c>
    </row>
    <row r="2832" spans="1:40" x14ac:dyDescent="0.25">
      <c r="A2832" t="str">
        <f>"20190305135642857"</f>
        <v>20190305135642857</v>
      </c>
      <c r="B2832" t="str">
        <f>"1551765402844648"</f>
        <v>1551765402844648</v>
      </c>
      <c r="C2832" t="s">
        <v>40</v>
      </c>
      <c r="D2832">
        <v>4.144749</v>
      </c>
      <c r="E2832">
        <v>0.51720080000000002</v>
      </c>
      <c r="F2832" t="s">
        <v>73</v>
      </c>
      <c r="G2832">
        <v>-198.88579999999999</v>
      </c>
      <c r="H2832" s="1">
        <v>-1.258647E-5</v>
      </c>
      <c r="I2832">
        <v>150.4914</v>
      </c>
      <c r="J2832">
        <v>-191.57570000000001</v>
      </c>
      <c r="K2832">
        <v>1.109076</v>
      </c>
      <c r="L2832">
        <v>161.8288</v>
      </c>
      <c r="M2832">
        <v>-0.18593129999999999</v>
      </c>
      <c r="N2832">
        <v>-1.345383E-2</v>
      </c>
      <c r="O2832">
        <v>-0.98247079999999998</v>
      </c>
      <c r="P2832">
        <v>-0.39688509999999999</v>
      </c>
      <c r="Q2832">
        <v>-0.1268666</v>
      </c>
      <c r="R2832">
        <v>-0.90905849999999999</v>
      </c>
      <c r="S2832">
        <v>-1.6216740000000001</v>
      </c>
      <c r="T2832">
        <v>-0.24422730000000001</v>
      </c>
      <c r="U2832">
        <v>-2.5570529999999998</v>
      </c>
      <c r="V2832">
        <v>0.22092239999999999</v>
      </c>
      <c r="W2832">
        <v>-0.11385140000000001</v>
      </c>
      <c r="X2832">
        <v>0.96862329999999996</v>
      </c>
      <c r="Y2832">
        <v>0.36769940000000001</v>
      </c>
      <c r="Z2832">
        <v>6.9145730000000002E-2</v>
      </c>
      <c r="AA2832">
        <v>0.92737049999999999</v>
      </c>
      <c r="AB2832">
        <v>26</v>
      </c>
      <c r="AC2832">
        <v>-7.3100999999999701</v>
      </c>
      <c r="AD2832">
        <v>-1.10908858647</v>
      </c>
      <c r="AE2832">
        <v>-11.337400000000001</v>
      </c>
      <c r="AF2832">
        <v>5.0403697043455598</v>
      </c>
      <c r="AG2832">
        <v>-1.10908858647</v>
      </c>
      <c r="AH2832">
        <v>12.415048960096399</v>
      </c>
      <c r="AI2832">
        <v>94.731739760591097</v>
      </c>
      <c r="AJ2832">
        <v>67.903402910303996</v>
      </c>
      <c r="AK2832">
        <v>13.4450304919964</v>
      </c>
      <c r="AL2832">
        <v>96.537380181685805</v>
      </c>
      <c r="AM2832">
        <v>77.151827668404593</v>
      </c>
      <c r="AN2832">
        <v>0.99999997270330399</v>
      </c>
    </row>
    <row r="2833" spans="1:40" x14ac:dyDescent="0.25">
      <c r="A2833" t="str">
        <f>"20190305135642878"</f>
        <v>20190305135642878</v>
      </c>
      <c r="B2833" t="str">
        <f>"1551765402875088"</f>
        <v>1551765402875088</v>
      </c>
      <c r="C2833" t="s">
        <v>40</v>
      </c>
      <c r="D2833">
        <v>4.283004</v>
      </c>
      <c r="E2833">
        <v>0.46552870000000002</v>
      </c>
      <c r="F2833" t="s">
        <v>73</v>
      </c>
      <c r="G2833">
        <v>-198.68889999999999</v>
      </c>
      <c r="H2833" s="1">
        <v>-1.158156E-5</v>
      </c>
      <c r="I2833">
        <v>147.2714</v>
      </c>
      <c r="J2833">
        <v>-191.62219999999999</v>
      </c>
      <c r="K2833">
        <v>1.109415</v>
      </c>
      <c r="L2833">
        <v>161.58099999999999</v>
      </c>
      <c r="M2833">
        <v>-0.18534010000000001</v>
      </c>
      <c r="N2833">
        <v>-1.34462E-2</v>
      </c>
      <c r="O2833">
        <v>-0.98258259999999997</v>
      </c>
      <c r="P2833">
        <v>-0.39356370000000002</v>
      </c>
      <c r="Q2833">
        <v>-0.13008919999999999</v>
      </c>
      <c r="R2833">
        <v>-0.91004660000000004</v>
      </c>
      <c r="S2833">
        <v>-1.317474</v>
      </c>
      <c r="T2833">
        <v>-0.2054204</v>
      </c>
      <c r="U2833">
        <v>-2.6962429999999999</v>
      </c>
      <c r="V2833">
        <v>0.2181592</v>
      </c>
      <c r="W2833">
        <v>-0.1168878</v>
      </c>
      <c r="X2833">
        <v>0.96888790000000002</v>
      </c>
      <c r="Y2833">
        <v>0.26404650000000002</v>
      </c>
      <c r="Z2833">
        <v>5.59616E-2</v>
      </c>
      <c r="AA2833">
        <v>0.96288510000000005</v>
      </c>
      <c r="AB2833">
        <v>26</v>
      </c>
      <c r="AC2833">
        <v>-7.0666999999999902</v>
      </c>
      <c r="AD2833">
        <v>-1.10942658156</v>
      </c>
      <c r="AE2833">
        <v>-14.3096</v>
      </c>
      <c r="AF2833">
        <v>4.2712208177854096</v>
      </c>
      <c r="AG2833">
        <v>-1.10942658156</v>
      </c>
      <c r="AH2833">
        <v>15.297570015590299</v>
      </c>
      <c r="AI2833">
        <v>93.995701485432804</v>
      </c>
      <c r="AJ2833">
        <v>74.399782753456094</v>
      </c>
      <c r="AK2833">
        <v>15.921363101067801</v>
      </c>
      <c r="AL2833">
        <v>96.712522612823705</v>
      </c>
      <c r="AM2833">
        <v>77.310643549295904</v>
      </c>
      <c r="AN2833">
        <v>0.99999997854994405</v>
      </c>
    </row>
    <row r="2834" spans="1:40" x14ac:dyDescent="0.25">
      <c r="A2834" t="str">
        <f>"20190305135642900"</f>
        <v>20190305135642900</v>
      </c>
      <c r="B2834" t="str">
        <f>"1551765402894611"</f>
        <v>1551765402894611</v>
      </c>
      <c r="C2834" t="s">
        <v>40</v>
      </c>
      <c r="D2834">
        <v>4.181692</v>
      </c>
      <c r="E2834">
        <v>0.47301959999999998</v>
      </c>
      <c r="F2834" t="s">
        <v>43</v>
      </c>
      <c r="G2834">
        <v>-207.96459999999999</v>
      </c>
      <c r="H2834">
        <v>-0.05</v>
      </c>
      <c r="I2834">
        <v>110.8595</v>
      </c>
      <c r="J2834">
        <v>-191.66730000000001</v>
      </c>
      <c r="K2834">
        <v>1.1097440000000001</v>
      </c>
      <c r="L2834">
        <v>161.3381</v>
      </c>
      <c r="M2834">
        <v>-0.18428649999999999</v>
      </c>
      <c r="N2834">
        <v>-1.344011E-2</v>
      </c>
      <c r="O2834">
        <v>-0.98278109999999996</v>
      </c>
      <c r="P2834">
        <v>-0.3897523</v>
      </c>
      <c r="Q2834">
        <v>-0.13120409999999999</v>
      </c>
      <c r="R2834">
        <v>-0.9115259</v>
      </c>
      <c r="S2834">
        <v>-0.92958070000000004</v>
      </c>
      <c r="T2834">
        <v>-6.5949320000000006E-2</v>
      </c>
      <c r="U2834">
        <v>-2.8851170000000002</v>
      </c>
      <c r="V2834">
        <v>0.21527279999999999</v>
      </c>
      <c r="W2834">
        <v>-0.1178317</v>
      </c>
      <c r="X2834">
        <v>0.96941909999999998</v>
      </c>
      <c r="Y2834">
        <v>0.12595689999999901</v>
      </c>
      <c r="Z2834">
        <v>8.5807680000000008E-3</v>
      </c>
      <c r="AA2834">
        <v>0.99199859999999895</v>
      </c>
      <c r="AB2834">
        <v>26</v>
      </c>
      <c r="AC2834">
        <v>-16.2972999999999</v>
      </c>
      <c r="AD2834">
        <v>-1.1597440000000001</v>
      </c>
      <c r="AE2834">
        <v>-50.4786</v>
      </c>
      <c r="AF2834">
        <v>6.7115493024877901</v>
      </c>
      <c r="AG2834">
        <v>-1.1597440000000001</v>
      </c>
      <c r="AH2834">
        <v>52.592376505707001</v>
      </c>
      <c r="AI2834">
        <v>91.253097497477697</v>
      </c>
      <c r="AJ2834">
        <v>82.727536787204997</v>
      </c>
      <c r="AK2834">
        <v>53.0315751859522</v>
      </c>
      <c r="AL2834">
        <v>96.7669800192906</v>
      </c>
      <c r="AM2834">
        <v>77.479847377082606</v>
      </c>
      <c r="AN2834">
        <v>1.0000000396947599</v>
      </c>
    </row>
    <row r="2835" spans="1:40" x14ac:dyDescent="0.25">
      <c r="A2835" t="str">
        <f>"20190305135642922"</f>
        <v>20190305135642922</v>
      </c>
      <c r="B2835" t="str">
        <f>"1551765402915107"</f>
        <v>1551765402915107</v>
      </c>
      <c r="C2835" t="s">
        <v>40</v>
      </c>
      <c r="D2835">
        <v>4.1693419999999897</v>
      </c>
      <c r="E2835">
        <v>0.47536539999999999</v>
      </c>
      <c r="F2835" t="s">
        <v>73</v>
      </c>
      <c r="G2835">
        <v>-203.8381</v>
      </c>
      <c r="H2835">
        <v>7.9988160000000003E-2</v>
      </c>
      <c r="I2835">
        <v>125.4923</v>
      </c>
      <c r="J2835">
        <v>-191.71440000000001</v>
      </c>
      <c r="K2835">
        <v>1.1100669999999999</v>
      </c>
      <c r="L2835">
        <v>161.07910000000001</v>
      </c>
      <c r="M2835">
        <v>-0.18273909999999999</v>
      </c>
      <c r="N2835">
        <v>-1.343632E-2</v>
      </c>
      <c r="O2835">
        <v>-0.98306970000000005</v>
      </c>
      <c r="P2835">
        <v>-0.38543549999999999</v>
      </c>
      <c r="Q2835">
        <v>-0.13162739999999901</v>
      </c>
      <c r="R2835">
        <v>-0.91329859999999896</v>
      </c>
      <c r="S2835">
        <v>-0.97230530000000004</v>
      </c>
      <c r="T2835">
        <v>-8.226514E-2</v>
      </c>
      <c r="U2835">
        <v>-2.8636469999999998</v>
      </c>
      <c r="V2835">
        <v>0.21232139999999999</v>
      </c>
      <c r="W2835">
        <v>-0.1180885</v>
      </c>
      <c r="X2835">
        <v>0.97003850000000003</v>
      </c>
      <c r="Y2835">
        <v>0.1429694</v>
      </c>
      <c r="Z2835">
        <v>1.406027E-2</v>
      </c>
      <c r="AA2835">
        <v>0.98962720000000004</v>
      </c>
      <c r="AB2835">
        <v>26</v>
      </c>
      <c r="AC2835">
        <v>-12.1236999999999</v>
      </c>
      <c r="AD2835">
        <v>-1.0300788399999901</v>
      </c>
      <c r="AE2835">
        <v>-35.586799999999997</v>
      </c>
      <c r="AF2835">
        <v>5.4117681210254798</v>
      </c>
      <c r="AG2835">
        <v>-1.0300788399999901</v>
      </c>
      <c r="AH2835">
        <v>37.175226484506801</v>
      </c>
      <c r="AI2835">
        <v>91.570641170348296</v>
      </c>
      <c r="AJ2835">
        <v>81.717372097415605</v>
      </c>
      <c r="AK2835">
        <v>37.581188921942498</v>
      </c>
      <c r="AL2835">
        <v>96.781797421464006</v>
      </c>
      <c r="AM2835">
        <v>77.653839941071695</v>
      </c>
      <c r="AN2835">
        <v>0.99999998110622901</v>
      </c>
    </row>
    <row r="2836" spans="1:40" x14ac:dyDescent="0.25">
      <c r="A2836" t="str">
        <f>"20190305135642945"</f>
        <v>20190305135642945</v>
      </c>
      <c r="B2836" t="str">
        <f>"1551765402935603"</f>
        <v>1551765402935603</v>
      </c>
      <c r="C2836" t="s">
        <v>40</v>
      </c>
      <c r="D2836">
        <v>4.1656449999999996</v>
      </c>
      <c r="E2836">
        <v>0.47787740000000001</v>
      </c>
      <c r="F2836" t="s">
        <v>73</v>
      </c>
      <c r="G2836">
        <v>-202.42910000000001</v>
      </c>
      <c r="H2836" s="1">
        <v>-5.4467940000000004E-6</v>
      </c>
      <c r="I2836">
        <v>129.697</v>
      </c>
      <c r="J2836">
        <v>-191.76050000000001</v>
      </c>
      <c r="K2836">
        <v>1.1103499999999999</v>
      </c>
      <c r="L2836">
        <v>160.82159999999999</v>
      </c>
      <c r="M2836">
        <v>-0.18089910000000001</v>
      </c>
      <c r="N2836">
        <v>-1.3432929999999999E-2</v>
      </c>
      <c r="O2836">
        <v>-0.98341000000000001</v>
      </c>
      <c r="P2836">
        <v>-0.38157730000000001</v>
      </c>
      <c r="Q2836">
        <v>-0.13206470000000001</v>
      </c>
      <c r="R2836">
        <v>-0.91485399999999995</v>
      </c>
      <c r="S2836">
        <v>-0.97590639999999995</v>
      </c>
      <c r="T2836">
        <v>-0.10110710000000001</v>
      </c>
      <c r="U2836">
        <v>-2.8583370000000001</v>
      </c>
      <c r="V2836">
        <v>0.21013570000000001</v>
      </c>
      <c r="W2836">
        <v>-0.1183916</v>
      </c>
      <c r="X2836">
        <v>0.97047740000000005</v>
      </c>
      <c r="Y2836">
        <v>0.1464551</v>
      </c>
      <c r="Z2836">
        <v>2.0322529999999998E-2</v>
      </c>
      <c r="AA2836">
        <v>0.98900849999999996</v>
      </c>
      <c r="AB2836">
        <v>26</v>
      </c>
      <c r="AC2836">
        <v>-10.6685999999999</v>
      </c>
      <c r="AD2836">
        <v>-1.110355446794</v>
      </c>
      <c r="AE2836">
        <v>-31.124599999999901</v>
      </c>
      <c r="AF2836">
        <v>4.8561036182839601</v>
      </c>
      <c r="AG2836">
        <v>-1.110355446794</v>
      </c>
      <c r="AH2836">
        <v>32.5040987604227</v>
      </c>
      <c r="AI2836">
        <v>91.935030796187206</v>
      </c>
      <c r="AJ2836">
        <v>81.502873404926504</v>
      </c>
      <c r="AK2836">
        <v>32.883598765905298</v>
      </c>
      <c r="AL2836">
        <v>96.799286440223</v>
      </c>
      <c r="AM2836">
        <v>77.782456745676498</v>
      </c>
      <c r="AN2836">
        <v>0.99999998363790399</v>
      </c>
    </row>
    <row r="2837" spans="1:40" x14ac:dyDescent="0.25">
      <c r="A2837" t="str">
        <f>"20190305135642965"</f>
        <v>20190305135642965</v>
      </c>
      <c r="B2837" t="str">
        <f>"1551765402955127"</f>
        <v>1551765402955127</v>
      </c>
      <c r="C2837" t="s">
        <v>40</v>
      </c>
      <c r="D2837">
        <v>4.1814049999999998</v>
      </c>
      <c r="E2837">
        <v>0.47867880000000002</v>
      </c>
      <c r="F2837" t="s">
        <v>73</v>
      </c>
      <c r="G2837">
        <v>-202.09610000000001</v>
      </c>
      <c r="H2837" s="1">
        <v>-5.9303349999999997E-6</v>
      </c>
      <c r="I2837">
        <v>130.79060000000001</v>
      </c>
      <c r="J2837">
        <v>-191.8013</v>
      </c>
      <c r="K2837">
        <v>1.110549</v>
      </c>
      <c r="L2837">
        <v>160.58969999999999</v>
      </c>
      <c r="M2837">
        <v>-0.17909079999999999</v>
      </c>
      <c r="N2837">
        <v>-1.3428030000000001E-2</v>
      </c>
      <c r="O2837">
        <v>-0.98374110000000003</v>
      </c>
      <c r="P2837">
        <v>-0.3778398</v>
      </c>
      <c r="Q2837">
        <v>-0.1285907</v>
      </c>
      <c r="R2837">
        <v>-0.91689810000000005</v>
      </c>
      <c r="S2837">
        <v>-0.98233029999999999</v>
      </c>
      <c r="T2837">
        <v>-0.1055323</v>
      </c>
      <c r="U2837">
        <v>-2.854263</v>
      </c>
      <c r="V2837">
        <v>0.20790839999999999</v>
      </c>
      <c r="W2837">
        <v>-0.11483400000000001</v>
      </c>
      <c r="X2837">
        <v>0.97138420000000003</v>
      </c>
      <c r="Y2837">
        <v>0.15068239999999999</v>
      </c>
      <c r="Z2837">
        <v>2.182545E-2</v>
      </c>
      <c r="AA2837">
        <v>0.98834129999999998</v>
      </c>
      <c r="AB2837">
        <v>26</v>
      </c>
      <c r="AC2837">
        <v>-10.2948</v>
      </c>
      <c r="AD2837">
        <v>-1.110554930335</v>
      </c>
      <c r="AE2837">
        <v>-29.7990999999999</v>
      </c>
      <c r="AF2837">
        <v>4.7851667695</v>
      </c>
      <c r="AG2837">
        <v>-1.110554930335</v>
      </c>
      <c r="AH2837">
        <v>31.122489710180499</v>
      </c>
      <c r="AI2837">
        <v>92.019922785533893</v>
      </c>
      <c r="AJ2837">
        <v>81.259068615548301</v>
      </c>
      <c r="AK2837">
        <v>31.507785054260999</v>
      </c>
      <c r="AL2837">
        <v>96.594050471448398</v>
      </c>
      <c r="AM2837">
        <v>77.919080338421296</v>
      </c>
      <c r="AN2837">
        <v>1.0000000071780999</v>
      </c>
    </row>
    <row r="2838" spans="1:40" x14ac:dyDescent="0.25">
      <c r="A2838" t="str">
        <f>"20190305135642988"</f>
        <v>20190305135642988</v>
      </c>
      <c r="B2838" t="str">
        <f>"1551765402985378"</f>
        <v>1551765402985378</v>
      </c>
      <c r="C2838" t="s">
        <v>40</v>
      </c>
      <c r="D2838">
        <v>4.1773769999999999</v>
      </c>
      <c r="E2838">
        <v>0.4807748</v>
      </c>
      <c r="F2838" t="s">
        <v>73</v>
      </c>
      <c r="G2838">
        <v>-201.3895</v>
      </c>
      <c r="H2838" s="1">
        <v>-6.7784360000000003E-6</v>
      </c>
      <c r="I2838">
        <v>132.55779999999999</v>
      </c>
      <c r="J2838">
        <v>-191.84530000000001</v>
      </c>
      <c r="K2838">
        <v>1.1106670000000001</v>
      </c>
      <c r="L2838">
        <v>160.33580000000001</v>
      </c>
      <c r="M2838">
        <v>-0.17707239999999999</v>
      </c>
      <c r="N2838">
        <v>-1.3421260000000001E-2</v>
      </c>
      <c r="O2838">
        <v>-0.98410640000000005</v>
      </c>
      <c r="P2838">
        <v>-0.37453229999999998</v>
      </c>
      <c r="Q2838">
        <v>-0.1243046</v>
      </c>
      <c r="R2838">
        <v>-0.91884399999999999</v>
      </c>
      <c r="S2838">
        <v>-0.97613530000000004</v>
      </c>
      <c r="T2838">
        <v>-0.1130612</v>
      </c>
      <c r="U2838">
        <v>-2.8538060000000001</v>
      </c>
      <c r="V2838">
        <v>0.2063024</v>
      </c>
      <c r="W2838">
        <v>-0.1105112</v>
      </c>
      <c r="X2838">
        <v>0.97222759999999997</v>
      </c>
      <c r="Y2838">
        <v>0.15081810000000001</v>
      </c>
      <c r="Z2838">
        <v>2.434772E-2</v>
      </c>
      <c r="AA2838">
        <v>0.98826159999999996</v>
      </c>
      <c r="AB2838">
        <v>26</v>
      </c>
      <c r="AC2838">
        <v>-9.5441999999999894</v>
      </c>
      <c r="AD2838">
        <v>-1.1106737784359999</v>
      </c>
      <c r="AE2838">
        <v>-27.777999999999999</v>
      </c>
      <c r="AF2838">
        <v>4.4678052195362898</v>
      </c>
      <c r="AG2838">
        <v>-1.1106737784359999</v>
      </c>
      <c r="AH2838">
        <v>28.9876843400722</v>
      </c>
      <c r="AI2838">
        <v>92.168653021616393</v>
      </c>
      <c r="AJ2838">
        <v>81.238079778194503</v>
      </c>
      <c r="AK2838">
        <v>29.350991859245401</v>
      </c>
      <c r="AL2838">
        <v>96.344785119507193</v>
      </c>
      <c r="AM2838">
        <v>78.019790090748401</v>
      </c>
      <c r="AN2838">
        <v>0.99999995588647905</v>
      </c>
    </row>
    <row r="2839" spans="1:40" x14ac:dyDescent="0.25">
      <c r="A2839" t="str">
        <f>"20190305135643011"</f>
        <v>20190305135643011</v>
      </c>
      <c r="B2839" t="str">
        <f>"1551765403004899"</f>
        <v>1551765403004899</v>
      </c>
      <c r="C2839" t="s">
        <v>40</v>
      </c>
      <c r="D2839">
        <v>4.2211129999999999</v>
      </c>
      <c r="E2839">
        <v>0.48192190000000001</v>
      </c>
      <c r="F2839" t="s">
        <v>73</v>
      </c>
      <c r="G2839">
        <v>-202.46260000000001</v>
      </c>
      <c r="H2839">
        <v>5.882718E-2</v>
      </c>
      <c r="I2839">
        <v>129.45660000000001</v>
      </c>
      <c r="J2839">
        <v>-191.8903</v>
      </c>
      <c r="K2839">
        <v>1.110668</v>
      </c>
      <c r="L2839">
        <v>160.0728</v>
      </c>
      <c r="M2839">
        <v>-0.1750632</v>
      </c>
      <c r="N2839">
        <v>-1.3413380000000001E-2</v>
      </c>
      <c r="O2839">
        <v>-0.98446599999999995</v>
      </c>
      <c r="P2839">
        <v>-0.37132199999999999</v>
      </c>
      <c r="Q2839">
        <v>-0.118454</v>
      </c>
      <c r="R2839">
        <v>-0.92091750000000006</v>
      </c>
      <c r="S2839">
        <v>-0.98063659999999997</v>
      </c>
      <c r="T2839">
        <v>-9.7150680000000003E-2</v>
      </c>
      <c r="U2839">
        <v>-2.8520810000000001</v>
      </c>
      <c r="V2839">
        <v>0.20472580000000001</v>
      </c>
      <c r="W2839">
        <v>-0.1046845</v>
      </c>
      <c r="X2839">
        <v>0.97320530000000005</v>
      </c>
      <c r="Y2839">
        <v>0.15445510000000001</v>
      </c>
      <c r="Z2839">
        <v>1.9116649999999999E-2</v>
      </c>
      <c r="AA2839">
        <v>0.98781479999999999</v>
      </c>
      <c r="AB2839">
        <v>26</v>
      </c>
      <c r="AC2839">
        <v>-10.5723</v>
      </c>
      <c r="AD2839">
        <v>-1.05184082</v>
      </c>
      <c r="AE2839">
        <v>-30.6161999999999</v>
      </c>
      <c r="AF2839">
        <v>5.0434346509777201</v>
      </c>
      <c r="AG2839">
        <v>-1.05184082</v>
      </c>
      <c r="AH2839">
        <v>31.960596892489502</v>
      </c>
      <c r="AI2839">
        <v>91.861932024512399</v>
      </c>
      <c r="AJ2839">
        <v>81.032577688159805</v>
      </c>
      <c r="AK2839">
        <v>32.373173398873199</v>
      </c>
      <c r="AL2839">
        <v>96.008989403889402</v>
      </c>
      <c r="AM2839">
        <v>78.120335501019895</v>
      </c>
      <c r="AN2839">
        <v>1.00000002683698</v>
      </c>
    </row>
    <row r="2840" spans="1:40" x14ac:dyDescent="0.25">
      <c r="A2840" t="str">
        <f>"20190305135643034"</f>
        <v>20190305135643034</v>
      </c>
      <c r="B2840" t="str">
        <f>"1551765403025394"</f>
        <v>1551765403025394</v>
      </c>
      <c r="C2840" t="s">
        <v>40</v>
      </c>
      <c r="D2840">
        <v>4.2010430000000003</v>
      </c>
      <c r="E2840">
        <v>0.4824698</v>
      </c>
      <c r="F2840" t="s">
        <v>73</v>
      </c>
      <c r="G2840">
        <v>-204.75790000000001</v>
      </c>
      <c r="H2840">
        <v>7.9988879999999998E-2</v>
      </c>
      <c r="I2840">
        <v>122.535</v>
      </c>
      <c r="J2840">
        <v>-191.9348</v>
      </c>
      <c r="K2840">
        <v>1.110557</v>
      </c>
      <c r="L2840">
        <v>159.8109</v>
      </c>
      <c r="M2840">
        <v>-0.17324899999999999</v>
      </c>
      <c r="N2840">
        <v>-1.3405800000000001E-2</v>
      </c>
      <c r="O2840">
        <v>-0.98478690000000002</v>
      </c>
      <c r="P2840">
        <v>-0.36775229999999998</v>
      </c>
      <c r="Q2840">
        <v>-0.11409320000000001</v>
      </c>
      <c r="R2840">
        <v>-0.92289840000000001</v>
      </c>
      <c r="S2840">
        <v>-0.97804259999999998</v>
      </c>
      <c r="T2840">
        <v>-7.8339930000000002E-2</v>
      </c>
      <c r="U2840">
        <v>-2.85318</v>
      </c>
      <c r="V2840">
        <v>0.20260710000000001</v>
      </c>
      <c r="W2840">
        <v>-0.1003954</v>
      </c>
      <c r="X2840">
        <v>0.97410019999999997</v>
      </c>
      <c r="Y2840">
        <v>0.1553938</v>
      </c>
      <c r="Z2840">
        <v>1.290446E-2</v>
      </c>
      <c r="AA2840">
        <v>0.98776839999999999</v>
      </c>
      <c r="AB2840">
        <v>26</v>
      </c>
      <c r="AC2840">
        <v>-12.8231</v>
      </c>
      <c r="AD2840">
        <v>-1.0305681200000001</v>
      </c>
      <c r="AE2840">
        <v>-37.2759</v>
      </c>
      <c r="AF2840">
        <v>6.1663479191125496</v>
      </c>
      <c r="AG2840">
        <v>-1.0305681200000001</v>
      </c>
      <c r="AH2840">
        <v>38.907310395066503</v>
      </c>
      <c r="AI2840">
        <v>91.498587281514403</v>
      </c>
      <c r="AJ2840">
        <v>80.994202988045501</v>
      </c>
      <c r="AK2840">
        <v>39.406404549102803</v>
      </c>
      <c r="AL2840">
        <v>95.761939603360005</v>
      </c>
      <c r="AM2840">
        <v>78.250340139793295</v>
      </c>
      <c r="AN2840">
        <v>1.0000000364757999</v>
      </c>
    </row>
    <row r="2841" spans="1:40" x14ac:dyDescent="0.25">
      <c r="A2841" t="str">
        <f>"20190305135643056"</f>
        <v>20190305135643056</v>
      </c>
      <c r="B2841" t="str">
        <f>"1551765403044914"</f>
        <v>1551765403044914</v>
      </c>
      <c r="C2841" t="s">
        <v>40</v>
      </c>
      <c r="D2841">
        <v>4.1962029999999997</v>
      </c>
      <c r="E2841">
        <v>0.48294819999999999</v>
      </c>
      <c r="F2841" t="s">
        <v>43</v>
      </c>
      <c r="G2841">
        <v>-209.50389999999999</v>
      </c>
      <c r="H2841">
        <v>-0.05</v>
      </c>
      <c r="I2841">
        <v>108.1087</v>
      </c>
      <c r="J2841">
        <v>-191.97730000000001</v>
      </c>
      <c r="K2841">
        <v>1.110392</v>
      </c>
      <c r="L2841">
        <v>159.55850000000001</v>
      </c>
      <c r="M2841">
        <v>-0.17170270000000001</v>
      </c>
      <c r="N2841">
        <v>-1.3399619999999999E-2</v>
      </c>
      <c r="O2841">
        <v>-0.98505790000000004</v>
      </c>
      <c r="P2841">
        <v>-0.36441010000000001</v>
      </c>
      <c r="Q2841">
        <v>-0.1122158</v>
      </c>
      <c r="R2841">
        <v>-0.92445310000000003</v>
      </c>
      <c r="S2841">
        <v>-0.97050479999999995</v>
      </c>
      <c r="T2841">
        <v>-6.4108129999999999E-2</v>
      </c>
      <c r="U2841">
        <v>-2.855988</v>
      </c>
      <c r="V2841">
        <v>0.20052909999999999</v>
      </c>
      <c r="W2841">
        <v>-9.8602250000000002E-2</v>
      </c>
      <c r="X2841">
        <v>0.9747131</v>
      </c>
      <c r="Y2841">
        <v>0.15433269999999999</v>
      </c>
      <c r="Z2841">
        <v>8.1954109999999997E-3</v>
      </c>
      <c r="AA2841">
        <v>0.987985</v>
      </c>
      <c r="AB2841">
        <v>26</v>
      </c>
      <c r="AC2841">
        <v>-17.526599999999899</v>
      </c>
      <c r="AD2841">
        <v>-1.1603920000000001</v>
      </c>
      <c r="AE2841">
        <v>-51.449800000000003</v>
      </c>
      <c r="AF2841">
        <v>8.4275601937974898</v>
      </c>
      <c r="AG2841">
        <v>-1.1603920000000001</v>
      </c>
      <c r="AH2841">
        <v>53.6707432185516</v>
      </c>
      <c r="AI2841">
        <v>91.223586300159994</v>
      </c>
      <c r="AJ2841">
        <v>81.076091957356198</v>
      </c>
      <c r="AK2841">
        <v>54.340766999053699</v>
      </c>
      <c r="AL2841">
        <v>95.658687641027498</v>
      </c>
      <c r="AM2841">
        <v>78.374662987458606</v>
      </c>
      <c r="AN2841">
        <v>0.99999997548174002</v>
      </c>
    </row>
    <row r="2842" spans="1:40" x14ac:dyDescent="0.25">
      <c r="A2842" t="str">
        <f>"20190305135643078"</f>
        <v>20190305135643078</v>
      </c>
      <c r="B2842" t="str">
        <f>"1551765403075171"</f>
        <v>1551765403075171</v>
      </c>
      <c r="C2842" t="s">
        <v>40</v>
      </c>
      <c r="D2842">
        <v>4.2373190000000003</v>
      </c>
      <c r="E2842">
        <v>0.48352499999999998</v>
      </c>
      <c r="F2842" t="s">
        <v>43</v>
      </c>
      <c r="G2842">
        <v>-211.17529999999999</v>
      </c>
      <c r="H2842">
        <v>-0.05</v>
      </c>
      <c r="I2842">
        <v>102.5946</v>
      </c>
      <c r="J2842">
        <v>-192.01820000000001</v>
      </c>
      <c r="K2842">
        <v>1.1102129999999999</v>
      </c>
      <c r="L2842">
        <v>159.3151</v>
      </c>
      <c r="M2842">
        <v>-0.1704437</v>
      </c>
      <c r="N2842">
        <v>-1.3394329999999999E-2</v>
      </c>
      <c r="O2842">
        <v>-0.9852765</v>
      </c>
      <c r="P2842">
        <v>-0.36252620000000002</v>
      </c>
      <c r="Q2842">
        <v>-0.1156088</v>
      </c>
      <c r="R2842">
        <v>-0.92477549999999997</v>
      </c>
      <c r="S2842">
        <v>-0.96331789999999995</v>
      </c>
      <c r="T2842">
        <v>-5.8226229999999997E-2</v>
      </c>
      <c r="U2842">
        <v>-2.8583370000000001</v>
      </c>
      <c r="V2842">
        <v>0.19983039999999999</v>
      </c>
      <c r="W2842">
        <v>-0.10208490000000001</v>
      </c>
      <c r="X2842">
        <v>0.97449810000000003</v>
      </c>
      <c r="Y2842">
        <v>0.15312539999999999</v>
      </c>
      <c r="Z2842">
        <v>6.2495469999999899E-3</v>
      </c>
      <c r="AA2842">
        <v>0.98818700000000004</v>
      </c>
      <c r="AB2842">
        <v>26</v>
      </c>
      <c r="AC2842">
        <v>-19.1570999999999</v>
      </c>
      <c r="AD2842">
        <v>-1.1602129999999999</v>
      </c>
      <c r="AE2842">
        <v>-56.720500000000001</v>
      </c>
      <c r="AF2842">
        <v>9.2047565178954809</v>
      </c>
      <c r="AG2842">
        <v>-1.1602129999999999</v>
      </c>
      <c r="AH2842">
        <v>59.133673871689702</v>
      </c>
      <c r="AI2842">
        <v>91.110637502885595</v>
      </c>
      <c r="AJ2842">
        <v>81.152334323549795</v>
      </c>
      <c r="AK2842">
        <v>59.8570382020566</v>
      </c>
      <c r="AL2842">
        <v>95.859240793816397</v>
      </c>
      <c r="AM2842">
        <v>78.411584889932598</v>
      </c>
      <c r="AN2842">
        <v>1.0000000312378801</v>
      </c>
    </row>
    <row r="2843" spans="1:40" x14ac:dyDescent="0.25">
      <c r="A2843" t="str">
        <f>"20190305135643101"</f>
        <v>20190305135643101</v>
      </c>
      <c r="B2843" t="str">
        <f>"1551765403094691"</f>
        <v>1551765403094691</v>
      </c>
      <c r="C2843" t="s">
        <v>40</v>
      </c>
      <c r="D2843">
        <v>4.2791129999999997</v>
      </c>
      <c r="E2843">
        <v>0.48397000000000001</v>
      </c>
      <c r="F2843" t="s">
        <v>43</v>
      </c>
      <c r="G2843">
        <v>-206.64850000000001</v>
      </c>
      <c r="H2843">
        <v>-0.05</v>
      </c>
      <c r="I2843">
        <v>115.85890000000001</v>
      </c>
      <c r="J2843">
        <v>-192.06229999999999</v>
      </c>
      <c r="K2843">
        <v>1.1100190000000001</v>
      </c>
      <c r="L2843">
        <v>159.0523</v>
      </c>
      <c r="M2843">
        <v>-0.16936670000000001</v>
      </c>
      <c r="N2843">
        <v>-1.338876E-2</v>
      </c>
      <c r="O2843">
        <v>-0.98546239999999996</v>
      </c>
      <c r="P2843">
        <v>-0.36209219999999998</v>
      </c>
      <c r="Q2843">
        <v>-0.1184577</v>
      </c>
      <c r="R2843">
        <v>-0.92458499999999999</v>
      </c>
      <c r="S2843">
        <v>-0.96197509999999997</v>
      </c>
      <c r="T2843">
        <v>-7.6286789999999993E-2</v>
      </c>
      <c r="U2843">
        <v>-2.8573460000000002</v>
      </c>
      <c r="V2843">
        <v>0.20046020000000001</v>
      </c>
      <c r="W2843">
        <v>-0.10502980000000001</v>
      </c>
      <c r="X2843">
        <v>0.97405560000000002</v>
      </c>
      <c r="Y2843">
        <v>0.15386820000000001</v>
      </c>
      <c r="Z2843">
        <v>1.224332E-2</v>
      </c>
      <c r="AA2843">
        <v>0.98801550000000005</v>
      </c>
      <c r="AB2843">
        <v>26</v>
      </c>
      <c r="AC2843">
        <v>-14.5862</v>
      </c>
      <c r="AD2843">
        <v>-1.1600189999999999</v>
      </c>
      <c r="AE2843">
        <v>-43.193399999999997</v>
      </c>
      <c r="AF2843">
        <v>7.0546916449719603</v>
      </c>
      <c r="AG2843">
        <v>-1.1600189999999999</v>
      </c>
      <c r="AH2843">
        <v>45.010772966323898</v>
      </c>
      <c r="AI2843">
        <v>91.458503947826102</v>
      </c>
      <c r="AJ2843">
        <v>81.092305940311306</v>
      </c>
      <c r="AK2843">
        <v>45.575037041256998</v>
      </c>
      <c r="AL2843">
        <v>96.028883883576697</v>
      </c>
      <c r="AM2843">
        <v>78.3709176489415</v>
      </c>
      <c r="AN2843">
        <v>0.99999993128171705</v>
      </c>
    </row>
    <row r="2844" spans="1:40" x14ac:dyDescent="0.25">
      <c r="A2844" t="str">
        <f>"20190305135643122"</f>
        <v>20190305135643122</v>
      </c>
      <c r="B2844" t="str">
        <f>"1551765403115190"</f>
        <v>1551765403115190</v>
      </c>
      <c r="C2844" t="s">
        <v>40</v>
      </c>
      <c r="D2844">
        <v>4.539733</v>
      </c>
      <c r="E2844">
        <v>0.50877640000000002</v>
      </c>
      <c r="F2844" t="s">
        <v>73</v>
      </c>
      <c r="G2844">
        <v>-203.2603</v>
      </c>
      <c r="H2844">
        <v>7.9988169999999997E-2</v>
      </c>
      <c r="I2844">
        <v>125.9164</v>
      </c>
      <c r="J2844">
        <v>-192.10319999999999</v>
      </c>
      <c r="K2844">
        <v>1.109847</v>
      </c>
      <c r="L2844">
        <v>158.8082</v>
      </c>
      <c r="M2844">
        <v>-0.16861909999999999</v>
      </c>
      <c r="N2844">
        <v>-1.338375E-2</v>
      </c>
      <c r="O2844">
        <v>-0.98559059999999998</v>
      </c>
      <c r="P2844">
        <v>-0.36302420000000002</v>
      </c>
      <c r="Q2844">
        <v>-0.1199887</v>
      </c>
      <c r="R2844">
        <v>-0.92402200000000001</v>
      </c>
      <c r="S2844">
        <v>-0.96496579999999998</v>
      </c>
      <c r="T2844">
        <v>-8.8760850000000002E-2</v>
      </c>
      <c r="U2844">
        <v>-2.855423</v>
      </c>
      <c r="V2844">
        <v>0.20217109999999999</v>
      </c>
      <c r="W2844">
        <v>-0.1066516</v>
      </c>
      <c r="X2844">
        <v>0.97352570000000005</v>
      </c>
      <c r="Y2844">
        <v>0.1557238</v>
      </c>
      <c r="Z2844">
        <v>1.6391449999999998E-2</v>
      </c>
      <c r="AA2844">
        <v>0.9876646</v>
      </c>
      <c r="AB2844">
        <v>26</v>
      </c>
      <c r="AC2844">
        <v>-11.1571</v>
      </c>
      <c r="AD2844">
        <v>-1.02985883</v>
      </c>
      <c r="AE2844">
        <v>-32.891800000000003</v>
      </c>
      <c r="AF2844">
        <v>5.4458464711791903</v>
      </c>
      <c r="AG2844">
        <v>-1.02985883</v>
      </c>
      <c r="AH2844">
        <v>34.2720836773996</v>
      </c>
      <c r="AI2844">
        <v>91.699877491044703</v>
      </c>
      <c r="AJ2844">
        <v>80.971165605985803</v>
      </c>
      <c r="AK2844">
        <v>34.717338212888102</v>
      </c>
      <c r="AL2844">
        <v>96.122330638792306</v>
      </c>
      <c r="AM2844">
        <v>78.268196543543596</v>
      </c>
      <c r="AN2844">
        <v>1.0000000030091301</v>
      </c>
    </row>
    <row r="2845" spans="1:40" x14ac:dyDescent="0.25">
      <c r="A2845" t="str">
        <f>"20190305135643145"</f>
        <v>20190305135643145</v>
      </c>
      <c r="B2845" t="str">
        <f>"1551765403134706"</f>
        <v>1551765403134706</v>
      </c>
      <c r="C2845" t="s">
        <v>40</v>
      </c>
      <c r="D2845">
        <v>4.3912639999999996</v>
      </c>
      <c r="E2845">
        <v>0.57228290000000004</v>
      </c>
      <c r="F2845" t="s">
        <v>73</v>
      </c>
      <c r="G2845">
        <v>-197.83789999999999</v>
      </c>
      <c r="H2845" s="1">
        <v>-1.0804150000000001E-5</v>
      </c>
      <c r="I2845">
        <v>145.06899999999999</v>
      </c>
      <c r="J2845">
        <v>-192.14660000000001</v>
      </c>
      <c r="K2845">
        <v>1.1096600000000001</v>
      </c>
      <c r="L2845">
        <v>158.54929999999999</v>
      </c>
      <c r="M2845">
        <v>-0.1680671</v>
      </c>
      <c r="N2845">
        <v>-1.3378839999999999E-2</v>
      </c>
      <c r="O2845">
        <v>-0.98568480000000003</v>
      </c>
      <c r="P2845">
        <v>-0.36520839999999999</v>
      </c>
      <c r="Q2845">
        <v>-0.1196639</v>
      </c>
      <c r="R2845">
        <v>-0.92320259999999998</v>
      </c>
      <c r="S2845">
        <v>-1.1538539999999999</v>
      </c>
      <c r="T2845">
        <v>-0.22330749999999999</v>
      </c>
      <c r="U2845">
        <v>-2.7643740000000001</v>
      </c>
      <c r="V2845">
        <v>0.20495859999999999</v>
      </c>
      <c r="W2845">
        <v>-0.1064256</v>
      </c>
      <c r="X2845">
        <v>0.97296740000000004</v>
      </c>
      <c r="Y2845">
        <v>0.22373209999999999</v>
      </c>
      <c r="Z2845">
        <v>6.1799380000000001E-2</v>
      </c>
      <c r="AA2845">
        <v>0.97268940000000004</v>
      </c>
      <c r="AB2845">
        <v>26</v>
      </c>
      <c r="AC2845">
        <v>-5.6912999999999796</v>
      </c>
      <c r="AD2845">
        <v>-1.1096708041500001</v>
      </c>
      <c r="AE2845">
        <v>-13.4803</v>
      </c>
      <c r="AF2845">
        <v>3.3254073724706101</v>
      </c>
      <c r="AG2845">
        <v>-1.1096708041500001</v>
      </c>
      <c r="AH2845">
        <v>14.163664586463501</v>
      </c>
      <c r="AI2845">
        <v>94.361635999459693</v>
      </c>
      <c r="AJ2845">
        <v>76.787156306697796</v>
      </c>
      <c r="AK2845">
        <v>14.591062264424201</v>
      </c>
      <c r="AL2845">
        <v>96.109307699381702</v>
      </c>
      <c r="AM2845">
        <v>78.104386177098903</v>
      </c>
      <c r="AN2845">
        <v>0.99999999875603995</v>
      </c>
    </row>
    <row r="2846" spans="1:40" x14ac:dyDescent="0.25">
      <c r="A2846" t="str">
        <f>"20190305135643166"</f>
        <v>20190305135643166</v>
      </c>
      <c r="B2846" t="str">
        <f>"1551765403155202"</f>
        <v>1551765403155202</v>
      </c>
      <c r="C2846" t="s">
        <v>40</v>
      </c>
      <c r="D2846">
        <v>4.5063510000000004</v>
      </c>
      <c r="E2846">
        <v>0.58693189999999995</v>
      </c>
      <c r="F2846" t="s">
        <v>73</v>
      </c>
      <c r="G2846">
        <v>-201.36340000000001</v>
      </c>
      <c r="H2846" s="1">
        <v>-1.016417E-5</v>
      </c>
      <c r="I2846">
        <v>143.9898</v>
      </c>
      <c r="J2846">
        <v>-192.18639999999999</v>
      </c>
      <c r="K2846">
        <v>1.1094900000000001</v>
      </c>
      <c r="L2846">
        <v>158.3124</v>
      </c>
      <c r="M2846">
        <v>-0.16776379999999999</v>
      </c>
      <c r="N2846">
        <v>-1.337458E-2</v>
      </c>
      <c r="O2846">
        <v>-0.98573659999999996</v>
      </c>
      <c r="P2846">
        <v>-0.36746479999999998</v>
      </c>
      <c r="Q2846">
        <v>-0.1173849</v>
      </c>
      <c r="R2846">
        <v>-0.92260019999999998</v>
      </c>
      <c r="S2846">
        <v>-1.6322479999999999</v>
      </c>
      <c r="T2846">
        <v>-0.19651569999999999</v>
      </c>
      <c r="U2846">
        <v>-2.5783999999999998</v>
      </c>
      <c r="V2846">
        <v>0.20753779999999999</v>
      </c>
      <c r="W2846">
        <v>-0.1042368</v>
      </c>
      <c r="X2846">
        <v>0.97265760000000001</v>
      </c>
      <c r="Y2846">
        <v>0.38460610000000001</v>
      </c>
      <c r="Z2846">
        <v>5.2799430000000001E-2</v>
      </c>
      <c r="AA2846">
        <v>0.92156950000000004</v>
      </c>
      <c r="AB2846">
        <v>26</v>
      </c>
      <c r="AC2846">
        <v>-9.1770000000000191</v>
      </c>
      <c r="AD2846">
        <v>-1.10950016417</v>
      </c>
      <c r="AE2846">
        <v>-14.3225999999999</v>
      </c>
      <c r="AF2846">
        <v>6.6157393752204303</v>
      </c>
      <c r="AG2846">
        <v>-1.10950016417</v>
      </c>
      <c r="AH2846">
        <v>15.5929417782542</v>
      </c>
      <c r="AI2846">
        <v>93.747648292612993</v>
      </c>
      <c r="AJ2846">
        <v>67.009564431747606</v>
      </c>
      <c r="AK2846">
        <v>16.9746526148596</v>
      </c>
      <c r="AL2846">
        <v>95.983196967812603</v>
      </c>
      <c r="AM2846">
        <v>77.955311364195794</v>
      </c>
      <c r="AN2846">
        <v>1.00000002787041</v>
      </c>
    </row>
    <row r="2847" spans="1:40" x14ac:dyDescent="0.25">
      <c r="A2847" t="str">
        <f>"20190305135643189"</f>
        <v>20190305135643189</v>
      </c>
      <c r="B2847" t="str">
        <f>"1551765403185459"</f>
        <v>1551765403185459</v>
      </c>
      <c r="C2847" t="s">
        <v>40</v>
      </c>
      <c r="D2847">
        <v>4.4301180000000002</v>
      </c>
      <c r="E2847">
        <v>0.58816859999999904</v>
      </c>
      <c r="F2847" t="s">
        <v>73</v>
      </c>
      <c r="G2847">
        <v>-201.7921</v>
      </c>
      <c r="H2847" s="1">
        <v>-1.009635E-5</v>
      </c>
      <c r="I2847">
        <v>144.40090000000001</v>
      </c>
      <c r="J2847">
        <v>-192.22900000000001</v>
      </c>
      <c r="K2847">
        <v>1.1093440000000001</v>
      </c>
      <c r="L2847">
        <v>158.0598</v>
      </c>
      <c r="M2847">
        <v>-0.16761210000000001</v>
      </c>
      <c r="N2847">
        <v>-1.337034E-2</v>
      </c>
      <c r="O2847">
        <v>-0.98576229999999998</v>
      </c>
      <c r="P2847">
        <v>-0.3684579</v>
      </c>
      <c r="Q2847">
        <v>-0.1130366</v>
      </c>
      <c r="R2847">
        <v>-0.92274670000000003</v>
      </c>
      <c r="S2847">
        <v>-1.747055</v>
      </c>
      <c r="T2847">
        <v>-0.20179159999999999</v>
      </c>
      <c r="U2847">
        <v>-2.5301670000000001</v>
      </c>
      <c r="V2847">
        <v>0.20859849999999999</v>
      </c>
      <c r="W2847">
        <v>-9.9972350000000001E-2</v>
      </c>
      <c r="X2847">
        <v>0.97287829999999997</v>
      </c>
      <c r="Y2847">
        <v>0.42118030000000001</v>
      </c>
      <c r="Z2847">
        <v>5.4327979999999998E-2</v>
      </c>
      <c r="AA2847">
        <v>0.90534840000000005</v>
      </c>
      <c r="AB2847">
        <v>26</v>
      </c>
      <c r="AC2847">
        <v>-9.5630999999999897</v>
      </c>
      <c r="AD2847">
        <v>-1.1093540963499999</v>
      </c>
      <c r="AE2847">
        <v>-13.6588999999999</v>
      </c>
      <c r="AF2847">
        <v>7.10672659358465</v>
      </c>
      <c r="AG2847">
        <v>-1.1093540963499999</v>
      </c>
      <c r="AH2847">
        <v>15.0022592255202</v>
      </c>
      <c r="AI2847">
        <v>93.823217198346399</v>
      </c>
      <c r="AJ2847">
        <v>64.652597341583004</v>
      </c>
      <c r="AK2847">
        <v>16.637428024089498</v>
      </c>
      <c r="AL2847">
        <v>95.737578294379901</v>
      </c>
      <c r="AM2847">
        <v>77.898228397835695</v>
      </c>
      <c r="AN2847">
        <v>0.99999999578883103</v>
      </c>
    </row>
    <row r="2848" spans="1:40" x14ac:dyDescent="0.25">
      <c r="A2848" t="str">
        <f>"20190305135643213"</f>
        <v>20190305135643213</v>
      </c>
      <c r="B2848" t="str">
        <f>"1551765403204978"</f>
        <v>1551765403204978</v>
      </c>
      <c r="C2848" t="s">
        <v>40</v>
      </c>
      <c r="D2848">
        <v>4.4949919999999999</v>
      </c>
      <c r="E2848">
        <v>0.58821659999999998</v>
      </c>
      <c r="F2848" t="s">
        <v>73</v>
      </c>
      <c r="G2848">
        <v>-202.4804</v>
      </c>
      <c r="H2848" s="1">
        <v>-9.5178650000000001E-6</v>
      </c>
      <c r="I2848">
        <v>143.33260000000001</v>
      </c>
      <c r="J2848">
        <v>-192.2747</v>
      </c>
      <c r="K2848">
        <v>1.1092310000000001</v>
      </c>
      <c r="L2848">
        <v>157.79</v>
      </c>
      <c r="M2848">
        <v>-0.16764309999999999</v>
      </c>
      <c r="N2848">
        <v>-1.336584E-2</v>
      </c>
      <c r="O2848">
        <v>-0.98575740000000001</v>
      </c>
      <c r="P2848">
        <v>-0.36912279999999997</v>
      </c>
      <c r="Q2848">
        <v>-0.108323</v>
      </c>
      <c r="R2848">
        <v>-0.92304660000000005</v>
      </c>
      <c r="S2848">
        <v>-1.7581789999999999</v>
      </c>
      <c r="T2848">
        <v>-0.19026100000000001</v>
      </c>
      <c r="U2848">
        <v>-2.5258029999999998</v>
      </c>
      <c r="V2848">
        <v>0.2091374</v>
      </c>
      <c r="W2848">
        <v>-9.5332860000000005E-2</v>
      </c>
      <c r="X2848">
        <v>0.97322819999999999</v>
      </c>
      <c r="Y2848">
        <v>0.42469469999999998</v>
      </c>
      <c r="Z2848">
        <v>5.0485580000000002E-2</v>
      </c>
      <c r="AA2848">
        <v>0.90392790000000001</v>
      </c>
      <c r="AB2848">
        <v>26</v>
      </c>
      <c r="AC2848">
        <v>-10.2057</v>
      </c>
      <c r="AD2848">
        <v>-1.10924051786499</v>
      </c>
      <c r="AE2848">
        <v>-14.4573999999999</v>
      </c>
      <c r="AF2848">
        <v>7.6074525468913397</v>
      </c>
      <c r="AG2848">
        <v>-1.10924051786499</v>
      </c>
      <c r="AH2848">
        <v>15.901351853091199</v>
      </c>
      <c r="AI2848">
        <v>93.600701124219995</v>
      </c>
      <c r="AJ2848">
        <v>64.432826760319401</v>
      </c>
      <c r="AK2848">
        <v>17.662297119443</v>
      </c>
      <c r="AL2848">
        <v>95.470478415399796</v>
      </c>
      <c r="AM2848">
        <v>77.872121973618604</v>
      </c>
      <c r="AN2848">
        <v>0.99999996777488898</v>
      </c>
    </row>
    <row r="2849" spans="1:40" x14ac:dyDescent="0.25">
      <c r="A2849" t="str">
        <f>"20190305135643235"</f>
        <v>20190305135643235</v>
      </c>
      <c r="B2849" t="str">
        <f>"1551765403225475"</f>
        <v>1551765403225475</v>
      </c>
      <c r="C2849" t="s">
        <v>40</v>
      </c>
      <c r="D2849">
        <v>4.4870159999999997</v>
      </c>
      <c r="E2849">
        <v>0.587952699999999</v>
      </c>
      <c r="F2849" t="s">
        <v>73</v>
      </c>
      <c r="G2849">
        <v>-203.09119999999999</v>
      </c>
      <c r="H2849" s="1">
        <v>-9.0072120000000003E-6</v>
      </c>
      <c r="I2849">
        <v>142.26920000000001</v>
      </c>
      <c r="J2849">
        <v>-192.3168</v>
      </c>
      <c r="K2849">
        <v>1.1091610000000001</v>
      </c>
      <c r="L2849">
        <v>157.5427</v>
      </c>
      <c r="M2849">
        <v>-0.16782439999999901</v>
      </c>
      <c r="N2849">
        <v>-1.3362199999999999E-2</v>
      </c>
      <c r="O2849">
        <v>-0.9857264</v>
      </c>
      <c r="P2849">
        <v>-0.3710425</v>
      </c>
      <c r="Q2849">
        <v>-0.10069110000000001</v>
      </c>
      <c r="R2849">
        <v>-0.92314090000000004</v>
      </c>
      <c r="S2849">
        <v>-1.759827</v>
      </c>
      <c r="T2849">
        <v>-0.18047089999999999</v>
      </c>
      <c r="U2849">
        <v>-2.5251920000000001</v>
      </c>
      <c r="V2849">
        <v>0.2108112</v>
      </c>
      <c r="W2849">
        <v>-8.7757989999999994E-2</v>
      </c>
      <c r="X2849">
        <v>0.97357959999999999</v>
      </c>
      <c r="Y2849">
        <v>0.42512660000000002</v>
      </c>
      <c r="Z2849">
        <v>4.7244750000000002E-2</v>
      </c>
      <c r="AA2849">
        <v>0.90390009999999998</v>
      </c>
      <c r="AB2849">
        <v>26</v>
      </c>
      <c r="AC2849">
        <v>-10.774399999999901</v>
      </c>
      <c r="AD2849">
        <v>-1.1091700072120001</v>
      </c>
      <c r="AE2849">
        <v>-15.273499999999901</v>
      </c>
      <c r="AF2849">
        <v>8.0297875155429193</v>
      </c>
      <c r="AG2849">
        <v>-1.1091700072120001</v>
      </c>
      <c r="AH2849">
        <v>16.806023614922999</v>
      </c>
      <c r="AI2849">
        <v>93.407952637187506</v>
      </c>
      <c r="AJ2849">
        <v>64.461891411342805</v>
      </c>
      <c r="AK2849">
        <v>18.658782795107999</v>
      </c>
      <c r="AL2849">
        <v>95.034638789629497</v>
      </c>
      <c r="AM2849">
        <v>77.782243899091796</v>
      </c>
      <c r="AN2849">
        <v>1.0000000321952101</v>
      </c>
    </row>
    <row r="2850" spans="1:40" x14ac:dyDescent="0.25">
      <c r="A2850" t="str">
        <f>"20190305135643268"</f>
        <v>20190305135643268</v>
      </c>
      <c r="B2850" t="str">
        <f>"1551765403265491"</f>
        <v>1551765403265491</v>
      </c>
      <c r="C2850" t="s">
        <v>40</v>
      </c>
      <c r="D2850">
        <v>4.5354460000000003</v>
      </c>
      <c r="E2850">
        <v>0.58824589999999999</v>
      </c>
      <c r="F2850" t="s">
        <v>73</v>
      </c>
      <c r="G2850">
        <v>-203.8878</v>
      </c>
      <c r="H2850" s="1">
        <v>-8.3685059999999993E-6</v>
      </c>
      <c r="I2850">
        <v>140.98560000000001</v>
      </c>
      <c r="J2850">
        <v>-192.3801</v>
      </c>
      <c r="K2850">
        <v>1.1090469999999999</v>
      </c>
      <c r="L2850">
        <v>157.17310000000001</v>
      </c>
      <c r="M2850">
        <v>-0.16830479999999901</v>
      </c>
      <c r="N2850">
        <v>-1.33572999999999E-2</v>
      </c>
      <c r="O2850">
        <v>-0.98564459999999998</v>
      </c>
      <c r="P2850">
        <v>-0.37383810000000001</v>
      </c>
      <c r="Q2850">
        <v>-9.1702889999999995E-2</v>
      </c>
      <c r="R2850">
        <v>-0.92294940000000003</v>
      </c>
      <c r="S2850">
        <v>-1.7629999999999999</v>
      </c>
      <c r="T2850">
        <v>-0.16899739999999999</v>
      </c>
      <c r="U2850">
        <v>-2.5227050000000002</v>
      </c>
      <c r="V2850">
        <v>0.2131004</v>
      </c>
      <c r="W2850">
        <v>-7.8846390000000002E-2</v>
      </c>
      <c r="X2850">
        <v>0.97384369999999998</v>
      </c>
      <c r="Y2850">
        <v>0.42597550000000001</v>
      </c>
      <c r="Z2850">
        <v>4.346386E-2</v>
      </c>
      <c r="AA2850">
        <v>0.90369010000000005</v>
      </c>
      <c r="AB2850">
        <v>26</v>
      </c>
      <c r="AC2850">
        <v>-11.5077</v>
      </c>
      <c r="AD2850">
        <v>-1.1090553685059901</v>
      </c>
      <c r="AE2850">
        <v>-16.1875</v>
      </c>
      <c r="AF2850">
        <v>8.5920449307403501</v>
      </c>
      <c r="AG2850">
        <v>-1.1090553685059901</v>
      </c>
      <c r="AH2850">
        <v>17.837895904196699</v>
      </c>
      <c r="AI2850">
        <v>93.206059632719402</v>
      </c>
      <c r="AJ2850">
        <v>64.281107257719995</v>
      </c>
      <c r="AK2850">
        <v>19.830374938241299</v>
      </c>
      <c r="AL2850">
        <v>94.522259090733002</v>
      </c>
      <c r="AM2850">
        <v>77.656865046188102</v>
      </c>
      <c r="AN2850">
        <v>1.0000000428629401</v>
      </c>
    </row>
    <row r="2851" spans="1:40" x14ac:dyDescent="0.25">
      <c r="A2851" t="str">
        <f>"20190305135643290"</f>
        <v>20190305135643290</v>
      </c>
      <c r="B2851" t="str">
        <f>"1551765403285011"</f>
        <v>1551765403285011</v>
      </c>
      <c r="C2851" t="s">
        <v>40</v>
      </c>
      <c r="D2851">
        <v>4.5805369999999996</v>
      </c>
      <c r="E2851">
        <v>0.58866419999999997</v>
      </c>
      <c r="F2851" t="s">
        <v>73</v>
      </c>
      <c r="G2851">
        <v>-204.63390000000001</v>
      </c>
      <c r="H2851" s="1">
        <v>-7.7695489999999998E-6</v>
      </c>
      <c r="I2851">
        <v>139.78059999999999</v>
      </c>
      <c r="J2851">
        <v>-192.42320000000001</v>
      </c>
      <c r="K2851">
        <v>1.1089469999999999</v>
      </c>
      <c r="L2851">
        <v>156.92359999999999</v>
      </c>
      <c r="M2851">
        <v>-0.1687968</v>
      </c>
      <c r="N2851">
        <v>-1.335457E-2</v>
      </c>
      <c r="O2851">
        <v>-0.98556029999999994</v>
      </c>
      <c r="P2851">
        <v>-0.37560399999999999</v>
      </c>
      <c r="Q2851">
        <v>-8.7720740000000005E-2</v>
      </c>
      <c r="R2851">
        <v>-0.92261930000000003</v>
      </c>
      <c r="S2851">
        <v>-1.7729189999999999</v>
      </c>
      <c r="T2851">
        <v>-0.16046170000000001</v>
      </c>
      <c r="U2851">
        <v>-2.5164029999999999</v>
      </c>
      <c r="V2851">
        <v>0.2143938</v>
      </c>
      <c r="W2851">
        <v>-7.4923779999999995E-2</v>
      </c>
      <c r="X2851">
        <v>0.9738694</v>
      </c>
      <c r="Y2851">
        <v>0.42904209999999898</v>
      </c>
      <c r="Z2851">
        <v>4.0652569999999999E-2</v>
      </c>
      <c r="AA2851">
        <v>0.90236930000000004</v>
      </c>
      <c r="AB2851">
        <v>26</v>
      </c>
      <c r="AC2851">
        <v>-12.210699999999999</v>
      </c>
      <c r="AD2851">
        <v>-1.1089547695490001</v>
      </c>
      <c r="AE2851">
        <v>-17.143000000000001</v>
      </c>
      <c r="AF2851">
        <v>9.1162059080473199</v>
      </c>
      <c r="AG2851">
        <v>-1.1089547695490001</v>
      </c>
      <c r="AH2851">
        <v>18.905794780634402</v>
      </c>
      <c r="AI2851">
        <v>93.024426087861599</v>
      </c>
      <c r="AJ2851">
        <v>64.257049110133195</v>
      </c>
      <c r="AK2851">
        <v>21.018184201454801</v>
      </c>
      <c r="AL2851">
        <v>94.296843151273094</v>
      </c>
      <c r="AM2851">
        <v>77.584583241680207</v>
      </c>
      <c r="AN2851">
        <v>0.99999994127214198</v>
      </c>
    </row>
    <row r="2852" spans="1:40" x14ac:dyDescent="0.25">
      <c r="A2852" t="str">
        <f>"20190305135643323"</f>
        <v>20190305135643323</v>
      </c>
      <c r="B2852" t="str">
        <f>"1551765403314873"</f>
        <v>1551765403314873</v>
      </c>
      <c r="C2852" t="s">
        <v>40</v>
      </c>
      <c r="D2852">
        <v>4.571631</v>
      </c>
      <c r="E2852">
        <v>0.58908959999999999</v>
      </c>
      <c r="F2852" t="s">
        <v>73</v>
      </c>
      <c r="G2852">
        <v>-205.0205</v>
      </c>
      <c r="H2852" s="1">
        <v>-7.4294469999999998E-6</v>
      </c>
      <c r="I2852">
        <v>139.1568</v>
      </c>
      <c r="J2852">
        <v>-192.4905</v>
      </c>
      <c r="K2852">
        <v>1.1087209999999901</v>
      </c>
      <c r="L2852">
        <v>156.53819999999999</v>
      </c>
      <c r="M2852">
        <v>-0.17000709999999999</v>
      </c>
      <c r="N2852">
        <v>-1.3352569999999999E-2</v>
      </c>
      <c r="O2852">
        <v>-0.98535260000000002</v>
      </c>
      <c r="P2852">
        <v>-0.38126779999999999</v>
      </c>
      <c r="Q2852">
        <v>-8.4783670000000005E-2</v>
      </c>
      <c r="R2852">
        <v>-0.92056870000000002</v>
      </c>
      <c r="S2852">
        <v>-1.7808839999999999</v>
      </c>
      <c r="T2852">
        <v>-0.156773</v>
      </c>
      <c r="U2852">
        <v>-2.5117029999999998</v>
      </c>
      <c r="V2852">
        <v>0.21909090000000001</v>
      </c>
      <c r="W2852">
        <v>-7.2128529999999996E-2</v>
      </c>
      <c r="X2852">
        <v>0.97303479999999998</v>
      </c>
      <c r="Y2852">
        <v>0.43066470000000001</v>
      </c>
      <c r="Z2852">
        <v>3.9438969999999997E-2</v>
      </c>
      <c r="AA2852">
        <v>0.9016499</v>
      </c>
      <c r="AB2852">
        <v>26</v>
      </c>
      <c r="AC2852">
        <v>-12.53</v>
      </c>
      <c r="AD2852">
        <v>-1.1087284294469999</v>
      </c>
      <c r="AE2852">
        <v>-17.3813999999999</v>
      </c>
      <c r="AF2852">
        <v>9.3672610089454196</v>
      </c>
      <c r="AG2852">
        <v>-1.1087284294469999</v>
      </c>
      <c r="AH2852">
        <v>19.207281659480099</v>
      </c>
      <c r="AI2852">
        <v>92.970021559125698</v>
      </c>
      <c r="AJ2852">
        <v>64.001822288561996</v>
      </c>
      <c r="AK2852">
        <v>21.3984701856598</v>
      </c>
      <c r="AL2852">
        <v>94.136252001153096</v>
      </c>
      <c r="AM2852">
        <v>77.310757586346099</v>
      </c>
      <c r="AN2852">
        <v>1.0000000346569</v>
      </c>
    </row>
    <row r="2853" spans="1:40" x14ac:dyDescent="0.25">
      <c r="A2853" t="str">
        <f>"20190305135643345"</f>
        <v>20190305135643345</v>
      </c>
      <c r="B2853" t="str">
        <f>"1551765403335366"</f>
        <v>1551765403335366</v>
      </c>
      <c r="C2853" t="s">
        <v>40</v>
      </c>
      <c r="D2853">
        <v>4.586379</v>
      </c>
      <c r="E2853">
        <v>0.58924940000000003</v>
      </c>
      <c r="F2853" t="s">
        <v>73</v>
      </c>
      <c r="G2853">
        <v>-205.28440000000001</v>
      </c>
      <c r="H2853" s="1">
        <v>-7.1889610000000001E-6</v>
      </c>
      <c r="I2853">
        <v>138.77090000000001</v>
      </c>
      <c r="J2853">
        <v>-192.53229999999999</v>
      </c>
      <c r="K2853">
        <v>1.108576</v>
      </c>
      <c r="L2853">
        <v>156.3022</v>
      </c>
      <c r="M2853">
        <v>-0.17100079999999901</v>
      </c>
      <c r="N2853">
        <v>-1.3352620000000001E-2</v>
      </c>
      <c r="O2853">
        <v>-0.98518059999999996</v>
      </c>
      <c r="P2853">
        <v>-0.38649440000000002</v>
      </c>
      <c r="Q2853">
        <v>-8.3584210000000006E-2</v>
      </c>
      <c r="R2853">
        <v>-0.9184968</v>
      </c>
      <c r="S2853">
        <v>-1.799606</v>
      </c>
      <c r="T2853">
        <v>-0.1559546</v>
      </c>
      <c r="U2853">
        <v>-2.499161</v>
      </c>
      <c r="V2853">
        <v>0.2235887</v>
      </c>
      <c r="W2853">
        <v>-7.1034760000000002E-2</v>
      </c>
      <c r="X2853">
        <v>0.97209159999999994</v>
      </c>
      <c r="Y2853">
        <v>0.43634580000000001</v>
      </c>
      <c r="Z2853">
        <v>3.9200520000000003E-2</v>
      </c>
      <c r="AA2853">
        <v>0.89892479999999997</v>
      </c>
      <c r="AB2853">
        <v>26</v>
      </c>
      <c r="AC2853">
        <v>-12.7521</v>
      </c>
      <c r="AD2853">
        <v>-1.1085831889610001</v>
      </c>
      <c r="AE2853">
        <v>-17.531299999999899</v>
      </c>
      <c r="AF2853">
        <v>9.5411559860637105</v>
      </c>
      <c r="AG2853">
        <v>-1.1085831889610001</v>
      </c>
      <c r="AH2853">
        <v>19.4031072478463</v>
      </c>
      <c r="AI2853">
        <v>92.935035735254999</v>
      </c>
      <c r="AJ2853">
        <v>63.815113151902302</v>
      </c>
      <c r="AK2853">
        <v>21.6504777108652</v>
      </c>
      <c r="AL2853">
        <v>94.073422720561197</v>
      </c>
      <c r="AM2853">
        <v>77.046808252500497</v>
      </c>
      <c r="AN2853">
        <v>0.99999996134325297</v>
      </c>
    </row>
    <row r="2854" spans="1:40" x14ac:dyDescent="0.25">
      <c r="A2854" t="str">
        <f>"20190305135643368"</f>
        <v>20190305135643368</v>
      </c>
      <c r="B2854" t="str">
        <f>"1551765403364646"</f>
        <v>1551765403364646</v>
      </c>
      <c r="C2854" t="s">
        <v>40</v>
      </c>
      <c r="D2854">
        <v>4.6013169999999999</v>
      </c>
      <c r="E2854">
        <v>0.58963480000000001</v>
      </c>
      <c r="F2854" t="s">
        <v>73</v>
      </c>
      <c r="G2854">
        <v>-205.14769999999999</v>
      </c>
      <c r="H2854" s="1">
        <v>-7.3259479999999899E-6</v>
      </c>
      <c r="I2854">
        <v>139.00960000000001</v>
      </c>
      <c r="J2854">
        <v>-192.578</v>
      </c>
      <c r="K2854">
        <v>1.108374</v>
      </c>
      <c r="L2854">
        <v>156.04689999999999</v>
      </c>
      <c r="M2854">
        <v>-0.1723876</v>
      </c>
      <c r="N2854">
        <v>-1.335363E-2</v>
      </c>
      <c r="O2854">
        <v>-0.9849388</v>
      </c>
      <c r="P2854">
        <v>-0.39178279999999999</v>
      </c>
      <c r="Q2854">
        <v>-8.2799139999999993E-2</v>
      </c>
      <c r="R2854">
        <v>-0.91632469999999999</v>
      </c>
      <c r="S2854">
        <v>-1.815018</v>
      </c>
      <c r="T2854">
        <v>-0.1594952</v>
      </c>
      <c r="U2854">
        <v>-2.487946</v>
      </c>
      <c r="V2854">
        <v>0.2277711</v>
      </c>
      <c r="W2854">
        <v>-7.0383650000000006E-2</v>
      </c>
      <c r="X2854">
        <v>0.97116760000000002</v>
      </c>
      <c r="Y2854">
        <v>0.44060480000000002</v>
      </c>
      <c r="Z2854">
        <v>4.0413829999999998E-2</v>
      </c>
      <c r="AA2854">
        <v>0.896791</v>
      </c>
      <c r="AB2854">
        <v>25</v>
      </c>
      <c r="AC2854">
        <v>-12.5696999999999</v>
      </c>
      <c r="AD2854">
        <v>-1.108381325948</v>
      </c>
      <c r="AE2854">
        <v>-17.037299999999899</v>
      </c>
      <c r="AF2854">
        <v>9.4183950883566308</v>
      </c>
      <c r="AG2854">
        <v>-1.108381325948</v>
      </c>
      <c r="AH2854">
        <v>18.897455614298</v>
      </c>
      <c r="AI2854">
        <v>93.004924886412695</v>
      </c>
      <c r="AJ2854">
        <v>63.508569416228198</v>
      </c>
      <c r="AK2854">
        <v>21.143521558587398</v>
      </c>
      <c r="AL2854">
        <v>94.036023015441501</v>
      </c>
      <c r="AM2854">
        <v>76.800794303975493</v>
      </c>
      <c r="AN2854">
        <v>1.0000000197361401</v>
      </c>
    </row>
    <row r="2855" spans="1:40" x14ac:dyDescent="0.25">
      <c r="A2855" t="str">
        <f>"20190305135643392"</f>
        <v>20190305135643392</v>
      </c>
      <c r="B2855" t="str">
        <f>"1551765403385142"</f>
        <v>1551765403385142</v>
      </c>
      <c r="C2855" t="s">
        <v>40</v>
      </c>
      <c r="D2855">
        <v>4.6012849999999998</v>
      </c>
      <c r="E2855">
        <v>0.58971399999999996</v>
      </c>
      <c r="F2855" t="s">
        <v>73</v>
      </c>
      <c r="G2855">
        <v>-204.92740000000001</v>
      </c>
      <c r="H2855" s="1">
        <v>-7.5344110000000003E-6</v>
      </c>
      <c r="I2855">
        <v>139.35990000000001</v>
      </c>
      <c r="J2855">
        <v>-192.626</v>
      </c>
      <c r="K2855">
        <v>1.108109</v>
      </c>
      <c r="L2855">
        <v>155.7841</v>
      </c>
      <c r="M2855">
        <v>-0.17425940000000001</v>
      </c>
      <c r="N2855">
        <v>-1.335835E-2</v>
      </c>
      <c r="O2855">
        <v>-0.98460910000000001</v>
      </c>
      <c r="P2855">
        <v>-0.39781610000000001</v>
      </c>
      <c r="Q2855">
        <v>-8.3263660000000003E-2</v>
      </c>
      <c r="R2855">
        <v>-0.91367900000000002</v>
      </c>
      <c r="S2855">
        <v>-1.832184</v>
      </c>
      <c r="T2855">
        <v>-0.1644417</v>
      </c>
      <c r="U2855">
        <v>-2.4757229999999999</v>
      </c>
      <c r="V2855">
        <v>0.2322816</v>
      </c>
      <c r="W2855">
        <v>-7.1019730000000003E-2</v>
      </c>
      <c r="X2855">
        <v>0.97005229999999998</v>
      </c>
      <c r="Y2855">
        <v>0.44498179999999998</v>
      </c>
      <c r="Z2855">
        <v>4.2090450000000001E-2</v>
      </c>
      <c r="AA2855">
        <v>0.89454990000000001</v>
      </c>
      <c r="AB2855">
        <v>25</v>
      </c>
      <c r="AC2855">
        <v>-12.301399999999999</v>
      </c>
      <c r="AD2855">
        <v>-1.108116534411</v>
      </c>
      <c r="AE2855">
        <v>-16.4241999999999</v>
      </c>
      <c r="AF2855">
        <v>9.2239269872718008</v>
      </c>
      <c r="AG2855">
        <v>-1.108116534411</v>
      </c>
      <c r="AH2855">
        <v>18.263428341019601</v>
      </c>
      <c r="AI2855">
        <v>93.100037325913902</v>
      </c>
      <c r="AJ2855">
        <v>63.203985496128901</v>
      </c>
      <c r="AK2855">
        <v>20.4905238119457</v>
      </c>
      <c r="AL2855">
        <v>94.072559209498493</v>
      </c>
      <c r="AM2855">
        <v>76.533922899207496</v>
      </c>
      <c r="AN2855">
        <v>1.00000000424156</v>
      </c>
    </row>
    <row r="2856" spans="1:40" x14ac:dyDescent="0.25">
      <c r="A2856" t="str">
        <f>"20190305135643414"</f>
        <v>20190305135643414</v>
      </c>
      <c r="B2856" t="str">
        <f>"1551765403405241"</f>
        <v>1551765403405241</v>
      </c>
      <c r="C2856" t="s">
        <v>40</v>
      </c>
      <c r="D2856">
        <v>4.607685</v>
      </c>
      <c r="E2856">
        <v>0.5898892</v>
      </c>
      <c r="F2856" t="s">
        <v>73</v>
      </c>
      <c r="G2856">
        <v>-204.57910000000001</v>
      </c>
      <c r="H2856" s="1">
        <v>-7.8123749999999999E-6</v>
      </c>
      <c r="I2856">
        <v>139.8648</v>
      </c>
      <c r="J2856">
        <v>-192.67320000000001</v>
      </c>
      <c r="K2856">
        <v>1.107829</v>
      </c>
      <c r="L2856">
        <v>155.5309</v>
      </c>
      <c r="M2856">
        <v>-0.17652409999999999</v>
      </c>
      <c r="N2856">
        <v>-1.336713E-2</v>
      </c>
      <c r="O2856">
        <v>-0.98420560000000001</v>
      </c>
      <c r="P2856">
        <v>-0.40604849999999998</v>
      </c>
      <c r="Q2856">
        <v>-8.3679240000000002E-2</v>
      </c>
      <c r="R2856">
        <v>-0.91001240000000005</v>
      </c>
      <c r="S2856">
        <v>-1.8491359999999999</v>
      </c>
      <c r="T2856">
        <v>-0.1714242</v>
      </c>
      <c r="U2856">
        <v>-2.4627080000000001</v>
      </c>
      <c r="V2856">
        <v>0.23874880000000001</v>
      </c>
      <c r="W2856">
        <v>-7.1641739999999995E-2</v>
      </c>
      <c r="X2856">
        <v>0.96843500000000005</v>
      </c>
      <c r="Y2856">
        <v>0.4490556</v>
      </c>
      <c r="Z2856">
        <v>4.4453380000000001E-2</v>
      </c>
      <c r="AA2856">
        <v>0.89239729999999995</v>
      </c>
      <c r="AB2856">
        <v>25</v>
      </c>
      <c r="AC2856">
        <v>-11.905900000000001</v>
      </c>
      <c r="AD2856">
        <v>-1.107836812375</v>
      </c>
      <c r="AE2856">
        <v>-15.6661</v>
      </c>
      <c r="AF2856">
        <v>8.9249178566848695</v>
      </c>
      <c r="AG2856">
        <v>-1.107836812375</v>
      </c>
      <c r="AH2856">
        <v>17.466539511613099</v>
      </c>
      <c r="AI2856">
        <v>93.232636608782798</v>
      </c>
      <c r="AJ2856">
        <v>62.934226101206598</v>
      </c>
      <c r="AK2856">
        <v>19.645901955933901</v>
      </c>
      <c r="AL2856">
        <v>94.108289040227106</v>
      </c>
      <c r="AM2856">
        <v>76.1510010726861</v>
      </c>
      <c r="AN2856">
        <v>0.99999993881833205</v>
      </c>
    </row>
    <row r="2857" spans="1:40" x14ac:dyDescent="0.25">
      <c r="A2857" t="str">
        <f>"20190305135643435"</f>
        <v>20190305135643435</v>
      </c>
      <c r="B2857" t="str">
        <f>"1551765403424754"</f>
        <v>1551765403424754</v>
      </c>
      <c r="C2857" t="s">
        <v>40</v>
      </c>
      <c r="D2857">
        <v>4.562036</v>
      </c>
      <c r="E2857">
        <v>0.58993079999999998</v>
      </c>
      <c r="F2857" t="s">
        <v>73</v>
      </c>
      <c r="G2857">
        <v>-204.30090000000001</v>
      </c>
      <c r="H2857" s="1">
        <v>-8.0454769999999999E-6</v>
      </c>
      <c r="I2857">
        <v>140.3511</v>
      </c>
      <c r="J2857">
        <v>-192.71899999999999</v>
      </c>
      <c r="K2857">
        <v>1.107577</v>
      </c>
      <c r="L2857">
        <v>155.2903</v>
      </c>
      <c r="M2857">
        <v>-0.17902650000000001</v>
      </c>
      <c r="N2857">
        <v>-1.337722E-2</v>
      </c>
      <c r="O2857">
        <v>-0.9837534</v>
      </c>
      <c r="P2857">
        <v>-0.4149274</v>
      </c>
      <c r="Q2857">
        <v>-8.3369170000000006E-2</v>
      </c>
      <c r="R2857">
        <v>-0.90602700000000003</v>
      </c>
      <c r="S2857">
        <v>-1.872635</v>
      </c>
      <c r="T2857">
        <v>-0.1784164</v>
      </c>
      <c r="U2857">
        <v>-2.4446870000000001</v>
      </c>
      <c r="V2857">
        <v>0.24568960000000001</v>
      </c>
      <c r="W2857">
        <v>-7.1537219999999999E-2</v>
      </c>
      <c r="X2857">
        <v>0.96670529999999999</v>
      </c>
      <c r="Y2857">
        <v>0.45527909999999999</v>
      </c>
      <c r="Z2857">
        <v>4.6836849999999999E-2</v>
      </c>
      <c r="AA2857">
        <v>0.88911600000000002</v>
      </c>
      <c r="AB2857">
        <v>25</v>
      </c>
      <c r="AC2857">
        <v>-11.5818999999999</v>
      </c>
      <c r="AD2857">
        <v>-1.107585045477</v>
      </c>
      <c r="AE2857">
        <v>-14.9392</v>
      </c>
      <c r="AF2857">
        <v>8.6901653328801398</v>
      </c>
      <c r="AG2857">
        <v>-1.107585045477</v>
      </c>
      <c r="AH2857">
        <v>16.714072477727701</v>
      </c>
      <c r="AI2857">
        <v>93.364804013649703</v>
      </c>
      <c r="AJ2857">
        <v>62.5286779313914</v>
      </c>
      <c r="AK2857">
        <v>18.8707693784988</v>
      </c>
      <c r="AL2857">
        <v>94.102284642668096</v>
      </c>
      <c r="AM2857">
        <v>75.740104789551197</v>
      </c>
      <c r="AN2857">
        <v>1.00000004522078</v>
      </c>
    </row>
    <row r="2858" spans="1:40" x14ac:dyDescent="0.25">
      <c r="A2858" t="str">
        <f>"20190305135643457"</f>
        <v>20190305135643457</v>
      </c>
      <c r="B2858" t="str">
        <f>"1551765403455011"</f>
        <v>1551765403455011</v>
      </c>
      <c r="C2858" t="s">
        <v>40</v>
      </c>
      <c r="D2858">
        <v>4.5738370000000002</v>
      </c>
      <c r="E2858">
        <v>0.59018369999999998</v>
      </c>
      <c r="F2858" t="s">
        <v>73</v>
      </c>
      <c r="G2858">
        <v>-204.2868</v>
      </c>
      <c r="H2858" s="1">
        <v>-8.0892909999999993E-6</v>
      </c>
      <c r="I2858">
        <v>140.49690000000001</v>
      </c>
      <c r="J2858">
        <v>-192.7679</v>
      </c>
      <c r="K2858">
        <v>1.107294</v>
      </c>
      <c r="L2858">
        <v>155.0401</v>
      </c>
      <c r="M2858">
        <v>-0.18202399999999999</v>
      </c>
      <c r="N2858">
        <v>-1.33875E-2</v>
      </c>
      <c r="O2858">
        <v>-0.98320289999999999</v>
      </c>
      <c r="P2858">
        <v>-0.42369780000000001</v>
      </c>
      <c r="Q2858">
        <v>-8.296104E-2</v>
      </c>
      <c r="R2858">
        <v>-0.90199629999999997</v>
      </c>
      <c r="S2858">
        <v>-1.8968659999999999</v>
      </c>
      <c r="T2858">
        <v>-0.18162</v>
      </c>
      <c r="U2858">
        <v>-2.4257810000000002</v>
      </c>
      <c r="V2858">
        <v>0.25205620000000001</v>
      </c>
      <c r="W2858">
        <v>-7.1340550000000003E-2</v>
      </c>
      <c r="X2858">
        <v>0.96507940000000003</v>
      </c>
      <c r="Y2858">
        <v>0.46139069999999999</v>
      </c>
      <c r="Z2858">
        <v>4.7968589999999998E-2</v>
      </c>
      <c r="AA2858">
        <v>0.8858994</v>
      </c>
      <c r="AB2858">
        <v>25</v>
      </c>
      <c r="AC2858">
        <v>-11.5189</v>
      </c>
      <c r="AD2858">
        <v>-1.1073020892909999</v>
      </c>
      <c r="AE2858">
        <v>-14.543199999999899</v>
      </c>
      <c r="AF2858">
        <v>8.6481749774741292</v>
      </c>
      <c r="AG2858">
        <v>-1.1073020892909999</v>
      </c>
      <c r="AH2858">
        <v>16.338898332751199</v>
      </c>
      <c r="AI2858">
        <v>93.427800821852003</v>
      </c>
      <c r="AJ2858">
        <v>62.107741677629399</v>
      </c>
      <c r="AK2858">
        <v>18.519628697302199</v>
      </c>
      <c r="AL2858">
        <v>94.0909874997282</v>
      </c>
      <c r="AM2858">
        <v>75.362653921022101</v>
      </c>
      <c r="AN2858">
        <v>1.0000000251685499</v>
      </c>
    </row>
    <row r="2859" spans="1:40" x14ac:dyDescent="0.25">
      <c r="A2859" t="str">
        <f>"20190305135643481"</f>
        <v>20190305135643481</v>
      </c>
      <c r="B2859" t="str">
        <f>"1551765403475507"</f>
        <v>1551765403475507</v>
      </c>
      <c r="C2859" t="s">
        <v>40</v>
      </c>
      <c r="D2859">
        <v>4.5666900000000004</v>
      </c>
      <c r="E2859">
        <v>0.59031149999999999</v>
      </c>
      <c r="F2859" t="s">
        <v>73</v>
      </c>
      <c r="G2859">
        <v>-204.58600000000001</v>
      </c>
      <c r="H2859" s="1">
        <v>-7.9089070000000006E-6</v>
      </c>
      <c r="I2859">
        <v>140.24029999999999</v>
      </c>
      <c r="J2859">
        <v>-192.81819999999999</v>
      </c>
      <c r="K2859">
        <v>1.106989</v>
      </c>
      <c r="L2859">
        <v>154.78819999999999</v>
      </c>
      <c r="M2859">
        <v>-0.18547240000000001</v>
      </c>
      <c r="N2859">
        <v>-1.339972E-2</v>
      </c>
      <c r="O2859">
        <v>-0.98255809999999999</v>
      </c>
      <c r="P2859">
        <v>-0.43126579999999898</v>
      </c>
      <c r="Q2859">
        <v>-8.5767910000000003E-2</v>
      </c>
      <c r="R2859">
        <v>-0.89813909999999997</v>
      </c>
      <c r="S2859">
        <v>-1.9218139999999999</v>
      </c>
      <c r="T2859">
        <v>-0.1800638</v>
      </c>
      <c r="U2859">
        <v>-2.4066619999999999</v>
      </c>
      <c r="V2859">
        <v>0.25675930000000002</v>
      </c>
      <c r="W2859">
        <v>-7.4354809999999993E-2</v>
      </c>
      <c r="X2859">
        <v>0.96361090000000005</v>
      </c>
      <c r="Y2859">
        <v>0.46732240000000003</v>
      </c>
      <c r="Z2859">
        <v>4.7509849999999999E-2</v>
      </c>
      <c r="AA2859">
        <v>0.88280949999999903</v>
      </c>
      <c r="AB2859">
        <v>25</v>
      </c>
      <c r="AC2859">
        <v>-11.7677999999999</v>
      </c>
      <c r="AD2859">
        <v>-1.106996908907</v>
      </c>
      <c r="AE2859">
        <v>-14.547899999999901</v>
      </c>
      <c r="AF2859">
        <v>8.8341892664885897</v>
      </c>
      <c r="AG2859">
        <v>-1.106996908907</v>
      </c>
      <c r="AH2859">
        <v>16.420765342633398</v>
      </c>
      <c r="AI2859">
        <v>93.397558620985194</v>
      </c>
      <c r="AJ2859">
        <v>61.720242321487</v>
      </c>
      <c r="AK2859">
        <v>18.679129438769401</v>
      </c>
      <c r="AL2859">
        <v>94.264152253433494</v>
      </c>
      <c r="AM2859">
        <v>75.079886017353004</v>
      </c>
      <c r="AN2859">
        <v>0.999999971252717</v>
      </c>
    </row>
    <row r="2860" spans="1:40" x14ac:dyDescent="0.25">
      <c r="A2860" t="str">
        <f>"20190305135643503"</f>
        <v>20190305135643503</v>
      </c>
      <c r="B2860" t="str">
        <f>"1551765403495027"</f>
        <v>1551765403495027</v>
      </c>
      <c r="C2860" t="s">
        <v>40</v>
      </c>
      <c r="D2860">
        <v>4.528124</v>
      </c>
      <c r="E2860">
        <v>0.59137700000000004</v>
      </c>
      <c r="F2860" t="s">
        <v>73</v>
      </c>
      <c r="G2860">
        <v>-204.1722</v>
      </c>
      <c r="H2860" s="1">
        <v>-8.2192200000000006E-6</v>
      </c>
      <c r="I2860">
        <v>140.82579999999999</v>
      </c>
      <c r="J2860">
        <v>-192.8717</v>
      </c>
      <c r="K2860">
        <v>1.106671</v>
      </c>
      <c r="L2860">
        <v>154.52780000000001</v>
      </c>
      <c r="M2860">
        <v>-0.18949530000000001</v>
      </c>
      <c r="N2860">
        <v>-1.3416330000000001E-2</v>
      </c>
      <c r="O2860">
        <v>-0.9817901</v>
      </c>
      <c r="P2860">
        <v>-0.43921359999999898</v>
      </c>
      <c r="Q2860">
        <v>-8.672357E-2</v>
      </c>
      <c r="R2860">
        <v>-0.89418739999999997</v>
      </c>
      <c r="S2860">
        <v>-1.942871</v>
      </c>
      <c r="T2860">
        <v>-0.18942639999999999</v>
      </c>
      <c r="U2860">
        <v>-2.389221</v>
      </c>
      <c r="V2860">
        <v>0.26130679999999901</v>
      </c>
      <c r="W2860">
        <v>-7.5529199999999894E-2</v>
      </c>
      <c r="X2860">
        <v>0.96229620000000005</v>
      </c>
      <c r="Y2860">
        <v>0.4714257</v>
      </c>
      <c r="Z2860">
        <v>5.0687959999999997E-2</v>
      </c>
      <c r="AA2860">
        <v>0.88044789999999995</v>
      </c>
      <c r="AB2860">
        <v>25</v>
      </c>
      <c r="AC2860">
        <v>-11.3005</v>
      </c>
      <c r="AD2860">
        <v>-1.1066792192199999</v>
      </c>
      <c r="AE2860">
        <v>-13.702</v>
      </c>
      <c r="AF2860">
        <v>8.4661478868353992</v>
      </c>
      <c r="AG2860">
        <v>-1.1066792192199999</v>
      </c>
      <c r="AH2860">
        <v>15.5349656678214</v>
      </c>
      <c r="AI2860">
        <v>93.579309394234897</v>
      </c>
      <c r="AJ2860">
        <v>61.410777272245397</v>
      </c>
      <c r="AK2860">
        <v>17.726690532539099</v>
      </c>
      <c r="AL2860">
        <v>94.331629738251607</v>
      </c>
      <c r="AM2860">
        <v>74.807945451473898</v>
      </c>
      <c r="AN2860">
        <v>0.99999994015665805</v>
      </c>
    </row>
    <row r="2861" spans="1:40" x14ac:dyDescent="0.25">
      <c r="A2861" t="str">
        <f>"20190305135643524"</f>
        <v>20190305135643524</v>
      </c>
      <c r="B2861" t="str">
        <f>"1551765403515526"</f>
        <v>1551765403515526</v>
      </c>
      <c r="C2861" t="s">
        <v>40</v>
      </c>
      <c r="D2861">
        <v>4.5235890000000003</v>
      </c>
      <c r="E2861">
        <v>0.59090640000000005</v>
      </c>
      <c r="F2861" t="s">
        <v>73</v>
      </c>
      <c r="G2861">
        <v>-199.89609999999999</v>
      </c>
      <c r="H2861" s="1">
        <v>-1.142166E-5</v>
      </c>
      <c r="I2861">
        <v>146.15119999999999</v>
      </c>
      <c r="J2861">
        <v>-192.92140000000001</v>
      </c>
      <c r="K2861">
        <v>1.106382</v>
      </c>
      <c r="L2861">
        <v>154.29320000000001</v>
      </c>
      <c r="M2861">
        <v>-0.1935238</v>
      </c>
      <c r="N2861">
        <v>-1.343452E-2</v>
      </c>
      <c r="O2861">
        <v>-0.98100350000000003</v>
      </c>
      <c r="P2861">
        <v>-0.4466369</v>
      </c>
      <c r="Q2861">
        <v>-8.4102629999999998E-2</v>
      </c>
      <c r="R2861">
        <v>-0.89075380000000004</v>
      </c>
      <c r="S2861">
        <v>-1.9747159999999999</v>
      </c>
      <c r="T2861">
        <v>-0.311114</v>
      </c>
      <c r="U2861">
        <v>-2.3548740000000001</v>
      </c>
      <c r="V2861">
        <v>0.26527299999999998</v>
      </c>
      <c r="W2861">
        <v>-7.3111389999999998E-2</v>
      </c>
      <c r="X2861">
        <v>0.96139739999999996</v>
      </c>
      <c r="Y2861">
        <v>0.47908790000000001</v>
      </c>
      <c r="Z2861">
        <v>9.1354580000000005E-2</v>
      </c>
      <c r="AA2861">
        <v>0.87300009999999995</v>
      </c>
      <c r="AB2861">
        <v>25</v>
      </c>
      <c r="AC2861">
        <v>-6.9746999999999799</v>
      </c>
      <c r="AD2861">
        <v>-1.10639342166</v>
      </c>
      <c r="AE2861">
        <v>-8.1420000000000208</v>
      </c>
      <c r="AF2861">
        <v>5.2115071368382999</v>
      </c>
      <c r="AG2861">
        <v>-1.10639342166</v>
      </c>
      <c r="AH2861">
        <v>9.2395425806375897</v>
      </c>
      <c r="AI2861">
        <v>95.954326951622406</v>
      </c>
      <c r="AJ2861">
        <v>60.575095809673002</v>
      </c>
      <c r="AK2861">
        <v>10.6655079644724</v>
      </c>
      <c r="AL2861">
        <v>94.192714955256804</v>
      </c>
      <c r="AM2861">
        <v>74.574520027373893</v>
      </c>
      <c r="AN2861">
        <v>1.00000000030174</v>
      </c>
    </row>
    <row r="2862" spans="1:40" x14ac:dyDescent="0.25">
      <c r="A2862" t="str">
        <f>"20190305135643546"</f>
        <v>20190305135643546</v>
      </c>
      <c r="B2862" t="str">
        <f>"1551765403535043"</f>
        <v>1551765403535043</v>
      </c>
      <c r="C2862" t="s">
        <v>40</v>
      </c>
      <c r="D2862">
        <v>4.5721980000000002</v>
      </c>
      <c r="E2862">
        <v>0.59064019999999995</v>
      </c>
      <c r="F2862" t="s">
        <v>73</v>
      </c>
      <c r="G2862">
        <v>-200.0282</v>
      </c>
      <c r="H2862" s="1">
        <v>-1.1336869999999999E-5</v>
      </c>
      <c r="I2862">
        <v>145.94130000000001</v>
      </c>
      <c r="J2862">
        <v>-192.97399999999999</v>
      </c>
      <c r="K2862">
        <v>1.1060760000000001</v>
      </c>
      <c r="L2862">
        <v>154.05179999999999</v>
      </c>
      <c r="M2862">
        <v>-0.198071</v>
      </c>
      <c r="N2862">
        <v>-1.345617E-2</v>
      </c>
      <c r="O2862">
        <v>-0.98009539999999995</v>
      </c>
      <c r="P2862">
        <v>-0.4541017</v>
      </c>
      <c r="Q2862">
        <v>-8.1943119999999994E-2</v>
      </c>
      <c r="R2862">
        <v>-0.88717369999999995</v>
      </c>
      <c r="S2862">
        <v>-1.9913179999999999</v>
      </c>
      <c r="T2862">
        <v>-0.3100116</v>
      </c>
      <c r="U2862">
        <v>-2.340179</v>
      </c>
      <c r="V2862">
        <v>0.26880549999999998</v>
      </c>
      <c r="W2862">
        <v>-7.1167820000000007E-2</v>
      </c>
      <c r="X2862">
        <v>0.96056169999999996</v>
      </c>
      <c r="Y2862">
        <v>0.4813347</v>
      </c>
      <c r="Z2862">
        <v>9.1071630000000001E-2</v>
      </c>
      <c r="AA2862">
        <v>0.87179289999999998</v>
      </c>
      <c r="AB2862">
        <v>25</v>
      </c>
      <c r="AC2862">
        <v>-7.0541999999999803</v>
      </c>
      <c r="AD2862">
        <v>-1.1060873368699999</v>
      </c>
      <c r="AE2862">
        <v>-8.1104999999999698</v>
      </c>
      <c r="AF2862">
        <v>5.2522006706117903</v>
      </c>
      <c r="AG2862">
        <v>-1.1060873368699999</v>
      </c>
      <c r="AH2862">
        <v>9.2492053370889593</v>
      </c>
      <c r="AI2862">
        <v>95.936881858190702</v>
      </c>
      <c r="AJ2862">
        <v>60.409738696352498</v>
      </c>
      <c r="AK2862">
        <v>10.693775780742399</v>
      </c>
      <c r="AL2862">
        <v>94.081065611808498</v>
      </c>
      <c r="AM2862">
        <v>74.366148885019498</v>
      </c>
      <c r="AN2862">
        <v>1.0000000174703401</v>
      </c>
    </row>
    <row r="2863" spans="1:40" x14ac:dyDescent="0.25">
      <c r="A2863" t="str">
        <f>"20190305135643569"</f>
        <v>20190305135643569</v>
      </c>
      <c r="B2863" t="str">
        <f>"1551765403565299"</f>
        <v>1551765403565299</v>
      </c>
      <c r="C2863" t="s">
        <v>40</v>
      </c>
      <c r="D2863">
        <v>4.5516769999999998</v>
      </c>
      <c r="E2863">
        <v>0.59055550000000001</v>
      </c>
      <c r="F2863" t="s">
        <v>73</v>
      </c>
      <c r="G2863">
        <v>-200.50470000000001</v>
      </c>
      <c r="H2863" s="1">
        <v>-1.0945529999999999E-5</v>
      </c>
      <c r="I2863">
        <v>145.33619999999999</v>
      </c>
      <c r="J2863">
        <v>-193.0291</v>
      </c>
      <c r="K2863">
        <v>1.1057360000000001</v>
      </c>
      <c r="L2863">
        <v>153.8066</v>
      </c>
      <c r="M2863">
        <v>-0.20312810000000001</v>
      </c>
      <c r="N2863">
        <v>-1.348181E-2</v>
      </c>
      <c r="O2863">
        <v>-0.97905949999999997</v>
      </c>
      <c r="P2863">
        <v>-0.4625745</v>
      </c>
      <c r="Q2863">
        <v>-8.1713839999999996E-2</v>
      </c>
      <c r="R2863">
        <v>-0.88280689999999995</v>
      </c>
      <c r="S2863">
        <v>-2.0095209999999999</v>
      </c>
      <c r="T2863">
        <v>-0.29515019999999997</v>
      </c>
      <c r="U2863">
        <v>-2.3256839999999999</v>
      </c>
      <c r="V2863">
        <v>0.27297749999999998</v>
      </c>
      <c r="W2863">
        <v>-7.1177219999999999E-2</v>
      </c>
      <c r="X2863">
        <v>0.95938369999999995</v>
      </c>
      <c r="Y2863">
        <v>0.48370879999999999</v>
      </c>
      <c r="Z2863">
        <v>8.6186040000000005E-2</v>
      </c>
      <c r="AA2863">
        <v>0.87097519999999995</v>
      </c>
      <c r="AB2863">
        <v>25</v>
      </c>
      <c r="AC2863">
        <v>-7.4756000000000098</v>
      </c>
      <c r="AD2863">
        <v>-1.10574694553</v>
      </c>
      <c r="AE2863">
        <v>-8.4704000000000104</v>
      </c>
      <c r="AF2863">
        <v>5.5458614113810496</v>
      </c>
      <c r="AG2863">
        <v>-1.10574694553</v>
      </c>
      <c r="AH2863">
        <v>9.7193124831786708</v>
      </c>
      <c r="AI2863">
        <v>95.643274545469197</v>
      </c>
      <c r="AJ2863">
        <v>60.290822761505098</v>
      </c>
      <c r="AK2863">
        <v>11.244745005889</v>
      </c>
      <c r="AL2863">
        <v>94.081605641075797</v>
      </c>
      <c r="AM2863">
        <v>74.117133098934104</v>
      </c>
      <c r="AN2863">
        <v>0.99999999798943395</v>
      </c>
    </row>
    <row r="2864" spans="1:40" x14ac:dyDescent="0.25">
      <c r="A2864" t="str">
        <f>"20190305135643592"</f>
        <v>20190305135643592</v>
      </c>
      <c r="B2864" t="str">
        <f>"1551765403584819"</f>
        <v>1551765403584819</v>
      </c>
      <c r="C2864" t="s">
        <v>40</v>
      </c>
      <c r="D2864">
        <v>4.5721790000000002</v>
      </c>
      <c r="E2864">
        <v>0.59027019999999997</v>
      </c>
      <c r="F2864" t="s">
        <v>73</v>
      </c>
      <c r="G2864">
        <v>-200.77160000000001</v>
      </c>
      <c r="H2864" s="1">
        <v>-1.073081E-5</v>
      </c>
      <c r="I2864">
        <v>145.01240000000001</v>
      </c>
      <c r="J2864">
        <v>-193.09049999999999</v>
      </c>
      <c r="K2864">
        <v>1.105356</v>
      </c>
      <c r="L2864">
        <v>153.5436</v>
      </c>
      <c r="M2864">
        <v>-0.20911109999999999</v>
      </c>
      <c r="N2864">
        <v>-1.3514750000000001E-2</v>
      </c>
      <c r="O2864">
        <v>-0.97779859999999996</v>
      </c>
      <c r="P2864">
        <v>-0.47303489999999998</v>
      </c>
      <c r="Q2864">
        <v>-8.5704849999999999E-2</v>
      </c>
      <c r="R2864">
        <v>-0.87686549999999996</v>
      </c>
      <c r="S2864">
        <v>-2.0312039999999998</v>
      </c>
      <c r="T2864">
        <v>-0.29008600000000001</v>
      </c>
      <c r="U2864">
        <v>-2.3071139999999999</v>
      </c>
      <c r="V2864">
        <v>0.27848319999999999</v>
      </c>
      <c r="W2864">
        <v>-7.5453389999999995E-2</v>
      </c>
      <c r="X2864">
        <v>0.95747269999999896</v>
      </c>
      <c r="Y2864">
        <v>0.48654520000000001</v>
      </c>
      <c r="Z2864">
        <v>8.457199E-2</v>
      </c>
      <c r="AA2864">
        <v>0.869552399999999</v>
      </c>
      <c r="AB2864">
        <v>25</v>
      </c>
      <c r="AC2864">
        <v>-7.6811000000000096</v>
      </c>
      <c r="AD2864">
        <v>-1.1053667308099999</v>
      </c>
      <c r="AE2864">
        <v>-8.5311999999999806</v>
      </c>
      <c r="AF2864">
        <v>5.6745101177467596</v>
      </c>
      <c r="AG2864">
        <v>-1.1053667308099999</v>
      </c>
      <c r="AH2864">
        <v>9.8575100629673198</v>
      </c>
      <c r="AI2864">
        <v>95.550723745035398</v>
      </c>
      <c r="AJ2864">
        <v>60.072967079908999</v>
      </c>
      <c r="AK2864">
        <v>11.427703414400099</v>
      </c>
      <c r="AL2864">
        <v>94.327273286345303</v>
      </c>
      <c r="AM2864">
        <v>73.782802868684101</v>
      </c>
      <c r="AN2864">
        <v>1.0000000389950101</v>
      </c>
    </row>
    <row r="2865" spans="1:40" x14ac:dyDescent="0.25">
      <c r="A2865" t="str">
        <f>"20190305135643614"</f>
        <v>20190305135643614</v>
      </c>
      <c r="B2865" t="str">
        <f>"1551765403605099"</f>
        <v>1551765403605099</v>
      </c>
      <c r="C2865" t="s">
        <v>40</v>
      </c>
      <c r="D2865">
        <v>4.5762780000000003</v>
      </c>
      <c r="E2865">
        <v>0.59014149999999999</v>
      </c>
      <c r="F2865" t="s">
        <v>73</v>
      </c>
      <c r="G2865">
        <v>-200.42859999999999</v>
      </c>
      <c r="H2865" s="1">
        <v>-1.099862E-5</v>
      </c>
      <c r="I2865">
        <v>145.40129999999999</v>
      </c>
      <c r="J2865">
        <v>-193.1499</v>
      </c>
      <c r="K2865">
        <v>1.105002</v>
      </c>
      <c r="L2865">
        <v>153.298</v>
      </c>
      <c r="M2865">
        <v>-0.21519940000000001</v>
      </c>
      <c r="N2865">
        <v>-1.3550370000000001E-2</v>
      </c>
      <c r="O2865">
        <v>-0.97647629999999996</v>
      </c>
      <c r="P2865">
        <v>-0.4843016</v>
      </c>
      <c r="Q2865">
        <v>-8.9790410000000001E-2</v>
      </c>
      <c r="R2865">
        <v>-0.87028139999999998</v>
      </c>
      <c r="S2865">
        <v>-2.0563199999999999</v>
      </c>
      <c r="T2865">
        <v>-0.309749</v>
      </c>
      <c r="U2865">
        <v>-2.2816770000000002</v>
      </c>
      <c r="V2865">
        <v>0.28483370000000002</v>
      </c>
      <c r="W2865">
        <v>-7.9829849999999994E-2</v>
      </c>
      <c r="X2865">
        <v>0.95524699999999996</v>
      </c>
      <c r="Y2865">
        <v>0.49077880000000002</v>
      </c>
      <c r="Z2865">
        <v>9.1268310000000005E-2</v>
      </c>
      <c r="AA2865">
        <v>0.86649080000000001</v>
      </c>
      <c r="AB2865">
        <v>25</v>
      </c>
      <c r="AC2865">
        <v>-7.2786999999999802</v>
      </c>
      <c r="AD2865">
        <v>-1.1050129986199999</v>
      </c>
      <c r="AE2865">
        <v>-7.8967000000000098</v>
      </c>
      <c r="AF2865">
        <v>5.3519485157657103</v>
      </c>
      <c r="AG2865">
        <v>-1.1050129986199999</v>
      </c>
      <c r="AH2865">
        <v>9.18096536886266</v>
      </c>
      <c r="AI2865">
        <v>95.936366884040496</v>
      </c>
      <c r="AJ2865">
        <v>59.760396399664998</v>
      </c>
      <c r="AK2865">
        <v>10.6843124133835</v>
      </c>
      <c r="AL2865">
        <v>94.578785871149407</v>
      </c>
      <c r="AM2865">
        <v>73.396573733353193</v>
      </c>
      <c r="AN2865">
        <v>0.999999936307854</v>
      </c>
    </row>
    <row r="2866" spans="1:40" x14ac:dyDescent="0.25">
      <c r="A2866" t="str">
        <f>"20190305135643635"</f>
        <v>20190305135643635</v>
      </c>
      <c r="B2866" t="str">
        <f>"1551765403624615"</f>
        <v>1551765403624615</v>
      </c>
      <c r="C2866" t="s">
        <v>40</v>
      </c>
      <c r="D2866">
        <v>4.5527550000000003</v>
      </c>
      <c r="E2866">
        <v>0.58987270000000003</v>
      </c>
      <c r="F2866" t="s">
        <v>73</v>
      </c>
      <c r="G2866">
        <v>-200.27359999999999</v>
      </c>
      <c r="H2866" s="1">
        <v>-1.1124779999999999E-5</v>
      </c>
      <c r="I2866">
        <v>145.5943</v>
      </c>
      <c r="J2866">
        <v>-193.20740000000001</v>
      </c>
      <c r="K2866">
        <v>1.1046940000000001</v>
      </c>
      <c r="L2866">
        <v>153.0684</v>
      </c>
      <c r="M2866">
        <v>-0.22127050000000001</v>
      </c>
      <c r="N2866">
        <v>-1.3585409999999999E-2</v>
      </c>
      <c r="O2866">
        <v>-0.97511800000000004</v>
      </c>
      <c r="P2866">
        <v>-0.49594969999999999</v>
      </c>
      <c r="Q2866">
        <v>-9.2484120000000003E-2</v>
      </c>
      <c r="R2866">
        <v>-0.86341239999999997</v>
      </c>
      <c r="S2866">
        <v>-2.0842740000000002</v>
      </c>
      <c r="T2866">
        <v>-0.3233066</v>
      </c>
      <c r="U2866">
        <v>-2.2539669999999998</v>
      </c>
      <c r="V2866">
        <v>0.29168460000000002</v>
      </c>
      <c r="W2866">
        <v>-8.2799739999999997E-2</v>
      </c>
      <c r="X2866">
        <v>0.95292410000000005</v>
      </c>
      <c r="Y2866">
        <v>0.4961372</v>
      </c>
      <c r="Z2866">
        <v>9.5943029999999999E-2</v>
      </c>
      <c r="AA2866">
        <v>0.86292690000000005</v>
      </c>
      <c r="AB2866">
        <v>25</v>
      </c>
      <c r="AC2866">
        <v>-7.0661999999999798</v>
      </c>
      <c r="AD2866">
        <v>-1.1047051247799999</v>
      </c>
      <c r="AE2866">
        <v>-7.4740999999999902</v>
      </c>
      <c r="AF2866">
        <v>5.17734053204234</v>
      </c>
      <c r="AG2866">
        <v>-1.1047051247799999</v>
      </c>
      <c r="AH2866">
        <v>8.75153379506928</v>
      </c>
      <c r="AI2866">
        <v>96.200417254392306</v>
      </c>
      <c r="AJ2866">
        <v>59.391765203591802</v>
      </c>
      <c r="AK2866">
        <v>10.2281265226669</v>
      </c>
      <c r="AL2866">
        <v>94.749513072678894</v>
      </c>
      <c r="AM2866">
        <v>72.980950971926205</v>
      </c>
      <c r="AN2866">
        <v>1.0000000215910101</v>
      </c>
    </row>
    <row r="2867" spans="1:40" x14ac:dyDescent="0.25">
      <c r="A2867" t="str">
        <f>"20190305135643660"</f>
        <v>20190305135643660</v>
      </c>
      <c r="B2867" t="str">
        <f>"1551765403654871"</f>
        <v>1551765403654871</v>
      </c>
      <c r="C2867" t="s">
        <v>40</v>
      </c>
      <c r="D2867">
        <v>4.4127039999999997</v>
      </c>
      <c r="E2867">
        <v>0.64254849999999997</v>
      </c>
      <c r="F2867" t="s">
        <v>73</v>
      </c>
      <c r="G2867">
        <v>-200.2319</v>
      </c>
      <c r="H2867" s="1">
        <v>-1.1164830000000001E-5</v>
      </c>
      <c r="I2867">
        <v>145.66669999999999</v>
      </c>
      <c r="J2867">
        <v>-193.2758</v>
      </c>
      <c r="K2867">
        <v>1.104358</v>
      </c>
      <c r="L2867">
        <v>152.8049</v>
      </c>
      <c r="M2867">
        <v>-0.22873389999999999</v>
      </c>
      <c r="N2867">
        <v>-1.362563E-2</v>
      </c>
      <c r="O2867">
        <v>-0.97339370000000003</v>
      </c>
      <c r="P2867">
        <v>-0.50897369999999997</v>
      </c>
      <c r="Q2867">
        <v>-9.4589359999999997E-2</v>
      </c>
      <c r="R2867">
        <v>-0.85556909999999897</v>
      </c>
      <c r="S2867">
        <v>-2.1122589999999999</v>
      </c>
      <c r="T2867">
        <v>-0.33218320000000001</v>
      </c>
      <c r="U2867">
        <v>-2.2256930000000001</v>
      </c>
      <c r="V2867">
        <v>0.29876730000000001</v>
      </c>
      <c r="W2867">
        <v>-8.521339E-2</v>
      </c>
      <c r="X2867">
        <v>0.95051399999999997</v>
      </c>
      <c r="Y2867">
        <v>0.50044489999999997</v>
      </c>
      <c r="Z2867">
        <v>9.9060770000000006E-2</v>
      </c>
      <c r="AA2867">
        <v>0.86008249999999997</v>
      </c>
      <c r="AB2867">
        <v>25</v>
      </c>
      <c r="AC2867">
        <v>-6.9560999999999904</v>
      </c>
      <c r="AD2867">
        <v>-1.10436916483</v>
      </c>
      <c r="AE2867">
        <v>-7.1382000000000101</v>
      </c>
      <c r="AF2867">
        <v>5.0764279750480599</v>
      </c>
      <c r="AG2867">
        <v>-1.10436916483</v>
      </c>
      <c r="AH2867">
        <v>8.4365893394399407</v>
      </c>
      <c r="AI2867">
        <v>96.399709134744597</v>
      </c>
      <c r="AJ2867">
        <v>58.964018443471303</v>
      </c>
      <c r="AK2867">
        <v>9.9078651545340204</v>
      </c>
      <c r="AL2867">
        <v>94.888295526972897</v>
      </c>
      <c r="AM2867">
        <v>72.550928333606194</v>
      </c>
      <c r="AN2867">
        <v>1.00000004279029</v>
      </c>
    </row>
    <row r="2868" spans="1:40" x14ac:dyDescent="0.25">
      <c r="A2868" t="str">
        <f>"20190305135643683"</f>
        <v>20190305135643683</v>
      </c>
      <c r="B2868" t="str">
        <f>"1551765403675368"</f>
        <v>1551765403675368</v>
      </c>
      <c r="C2868" t="s">
        <v>40</v>
      </c>
      <c r="D2868">
        <v>4.7534390000000002</v>
      </c>
      <c r="E2868">
        <v>0.70287180000000005</v>
      </c>
      <c r="F2868" t="s">
        <v>73</v>
      </c>
      <c r="G2868">
        <v>-207.06549999999999</v>
      </c>
      <c r="H2868" s="1">
        <v>-7.2541589999999901E-6</v>
      </c>
      <c r="I2868">
        <v>141.83090000000001</v>
      </c>
      <c r="J2868">
        <v>-193.3442</v>
      </c>
      <c r="K2868">
        <v>1.104026</v>
      </c>
      <c r="L2868">
        <v>152.55109999999999</v>
      </c>
      <c r="M2868">
        <v>-0.23645849999999999</v>
      </c>
      <c r="N2868">
        <v>-1.367028E-2</v>
      </c>
      <c r="O2868">
        <v>-0.97154549999999995</v>
      </c>
      <c r="P2868">
        <v>-0.52344970000000002</v>
      </c>
      <c r="Q2868">
        <v>-9.3590339999999994E-2</v>
      </c>
      <c r="R2868">
        <v>-0.84690109999999996</v>
      </c>
      <c r="S2868">
        <v>-2.5054020000000001</v>
      </c>
      <c r="T2868">
        <v>-0.2006472</v>
      </c>
      <c r="U2868">
        <v>-1.9938199999999999</v>
      </c>
      <c r="V2868">
        <v>0.30727660000000001</v>
      </c>
      <c r="W2868">
        <v>-8.4555279999999997E-2</v>
      </c>
      <c r="X2868">
        <v>0.94785620000000004</v>
      </c>
      <c r="Y2868">
        <v>0.61164019999999997</v>
      </c>
      <c r="Z2868">
        <v>5.3672669999999999E-2</v>
      </c>
      <c r="AA2868">
        <v>0.7893133</v>
      </c>
      <c r="AB2868">
        <v>25</v>
      </c>
      <c r="AC2868">
        <v>-13.7212999999999</v>
      </c>
      <c r="AD2868">
        <v>-1.1040332541590001</v>
      </c>
      <c r="AE2868">
        <v>-10.720199999999901</v>
      </c>
      <c r="AF2868">
        <v>10.753761423032801</v>
      </c>
      <c r="AG2868">
        <v>-1.1040332541590001</v>
      </c>
      <c r="AH2868">
        <v>13.606256649136499</v>
      </c>
      <c r="AI2868">
        <v>93.642497756106707</v>
      </c>
      <c r="AJ2868">
        <v>51.6787726735528</v>
      </c>
      <c r="AK2868">
        <v>17.377931239706498</v>
      </c>
      <c r="AL2868">
        <v>94.850452517473798</v>
      </c>
      <c r="AM2868">
        <v>72.038311165377394</v>
      </c>
      <c r="AN2868">
        <v>0.99999994008093696</v>
      </c>
    </row>
    <row r="2869" spans="1:40" x14ac:dyDescent="0.25">
      <c r="A2869" t="str">
        <f>"20190305135643705"</f>
        <v>20190305135643705</v>
      </c>
      <c r="B2869" t="str">
        <f>"1551765403694887"</f>
        <v>1551765403694887</v>
      </c>
      <c r="C2869" t="s">
        <v>40</v>
      </c>
      <c r="D2869">
        <v>4.6977419999999999</v>
      </c>
      <c r="E2869">
        <v>0.70301069999999999</v>
      </c>
      <c r="F2869" t="s">
        <v>42</v>
      </c>
      <c r="G2869">
        <v>-220.2089</v>
      </c>
      <c r="H2869" s="1">
        <v>-4.6473320000000004E-6</v>
      </c>
      <c r="I2869">
        <v>136.99680000000001</v>
      </c>
      <c r="J2869">
        <v>-193.4135</v>
      </c>
      <c r="K2869">
        <v>1.103672</v>
      </c>
      <c r="L2869">
        <v>152.30430000000001</v>
      </c>
      <c r="M2869">
        <v>-0.24452879999999999</v>
      </c>
      <c r="N2869">
        <v>-1.3724449999999999E-2</v>
      </c>
      <c r="O2869">
        <v>-0.96954490000000004</v>
      </c>
      <c r="P2869">
        <v>-0.53754959999999996</v>
      </c>
      <c r="Q2869">
        <v>-9.1878290000000001E-2</v>
      </c>
      <c r="R2869">
        <v>-0.8382117</v>
      </c>
      <c r="S2869">
        <v>-2.9479829999999998</v>
      </c>
      <c r="T2869">
        <v>-0.1211507</v>
      </c>
      <c r="U2869">
        <v>-1.7068479999999999</v>
      </c>
      <c r="V2869">
        <v>0.31513970000000002</v>
      </c>
      <c r="W2869">
        <v>-8.3201150000000001E-2</v>
      </c>
      <c r="X2869">
        <v>0.94539119999999999</v>
      </c>
      <c r="Y2869">
        <v>0.71612940000000003</v>
      </c>
      <c r="Z2869">
        <v>2.6246769999999999E-2</v>
      </c>
      <c r="AA2869">
        <v>0.69747389999999998</v>
      </c>
      <c r="AB2869">
        <v>25</v>
      </c>
      <c r="AC2869">
        <v>-26.795400000000001</v>
      </c>
      <c r="AD2869">
        <v>-1.1036766473320001</v>
      </c>
      <c r="AE2869">
        <v>-15.307499999999999</v>
      </c>
      <c r="AF2869">
        <v>22.209904575586901</v>
      </c>
      <c r="AG2869">
        <v>-1.1036766473320001</v>
      </c>
      <c r="AH2869">
        <v>21.368238535930601</v>
      </c>
      <c r="AI2869">
        <v>92.050898825886506</v>
      </c>
      <c r="AJ2869">
        <v>43.893529796573098</v>
      </c>
      <c r="AK2869">
        <v>30.839902424083199</v>
      </c>
      <c r="AL2869">
        <v>94.772591948270005</v>
      </c>
      <c r="AM2869">
        <v>71.564543911663094</v>
      </c>
      <c r="AN2869">
        <v>0.99999999145742602</v>
      </c>
    </row>
    <row r="2870" spans="1:40" x14ac:dyDescent="0.25">
      <c r="A2870" t="str">
        <f>"20190305135643726"</f>
        <v>20190305135643726</v>
      </c>
      <c r="B2870" t="str">
        <f>"1551765403715383"</f>
        <v>1551765403715383</v>
      </c>
      <c r="C2870" t="s">
        <v>40</v>
      </c>
      <c r="D2870">
        <v>4.3717489999999897</v>
      </c>
      <c r="E2870">
        <v>0.70021719999999998</v>
      </c>
      <c r="F2870" t="s">
        <v>73</v>
      </c>
      <c r="G2870">
        <v>-207.0848</v>
      </c>
      <c r="H2870" s="1">
        <v>-8.0212069999999995E-6</v>
      </c>
      <c r="I2870">
        <v>144.7689</v>
      </c>
      <c r="J2870">
        <v>-193.47829999999999</v>
      </c>
      <c r="K2870">
        <v>1.1033170000000001</v>
      </c>
      <c r="L2870">
        <v>152.08240000000001</v>
      </c>
      <c r="M2870">
        <v>-0.25230449999999999</v>
      </c>
      <c r="N2870">
        <v>-1.378333E-2</v>
      </c>
      <c r="O2870">
        <v>-0.96754989999999996</v>
      </c>
      <c r="P2870">
        <v>-0.55019119999999899</v>
      </c>
      <c r="Q2870">
        <v>-9.0506989999999995E-2</v>
      </c>
      <c r="R2870">
        <v>-0.83011959999999996</v>
      </c>
      <c r="S2870">
        <v>-2.9792329999999998</v>
      </c>
      <c r="T2870">
        <v>-0.24051239999999999</v>
      </c>
      <c r="U2870">
        <v>-1.64209</v>
      </c>
      <c r="V2870">
        <v>0.32176969999999999</v>
      </c>
      <c r="W2870">
        <v>-8.2178319999999999E-2</v>
      </c>
      <c r="X2870">
        <v>0.94324490000000005</v>
      </c>
      <c r="Y2870">
        <v>0.72355349999999996</v>
      </c>
      <c r="Z2870">
        <v>6.4067639999999995E-2</v>
      </c>
      <c r="AA2870">
        <v>0.68728859999999903</v>
      </c>
      <c r="AB2870">
        <v>25</v>
      </c>
      <c r="AC2870">
        <v>-13.6065</v>
      </c>
      <c r="AD2870">
        <v>-1.103325021207</v>
      </c>
      <c r="AE2870">
        <v>-7.3135000000000003</v>
      </c>
      <c r="AF2870">
        <v>11.263352895962001</v>
      </c>
      <c r="AG2870">
        <v>-1.103325021207</v>
      </c>
      <c r="AH2870">
        <v>10.4568091814424</v>
      </c>
      <c r="AI2870">
        <v>94.106146288943194</v>
      </c>
      <c r="AJ2870">
        <v>42.873389341811702</v>
      </c>
      <c r="AK2870">
        <v>15.408611320248699</v>
      </c>
      <c r="AL2870">
        <v>94.713786775088593</v>
      </c>
      <c r="AM2870">
        <v>71.163920566659996</v>
      </c>
      <c r="AN2870">
        <v>0.99999997874606095</v>
      </c>
    </row>
    <row r="2871" spans="1:40" x14ac:dyDescent="0.25">
      <c r="A2871" t="str">
        <f>"20190305135643748"</f>
        <v>20190305135643748</v>
      </c>
      <c r="B2871" t="str">
        <f>"1551765403744663"</f>
        <v>1551765403744663</v>
      </c>
      <c r="C2871" t="s">
        <v>40</v>
      </c>
      <c r="D2871">
        <v>4.4100869999999999</v>
      </c>
      <c r="E2871">
        <v>0.69638169999999899</v>
      </c>
      <c r="F2871" t="s">
        <v>42</v>
      </c>
      <c r="G2871">
        <v>-212.34119999999999</v>
      </c>
      <c r="H2871" s="1">
        <v>-4.1980369999999998E-6</v>
      </c>
      <c r="I2871">
        <v>141.86080000000001</v>
      </c>
      <c r="J2871">
        <v>-193.5521</v>
      </c>
      <c r="K2871">
        <v>1.1028979999999999</v>
      </c>
      <c r="L2871">
        <v>151.83920000000001</v>
      </c>
      <c r="M2871">
        <v>-0.2614089</v>
      </c>
      <c r="N2871">
        <v>-1.385778E-2</v>
      </c>
      <c r="O2871">
        <v>-0.96512869999999995</v>
      </c>
      <c r="P2871">
        <v>-0.56220590000000004</v>
      </c>
      <c r="Q2871">
        <v>-8.9017529999999997E-2</v>
      </c>
      <c r="R2871">
        <v>-0.8221927</v>
      </c>
      <c r="S2871">
        <v>-2.9841160000000002</v>
      </c>
      <c r="T2871">
        <v>-0.17454500000000001</v>
      </c>
      <c r="U2871">
        <v>-1.6170500000000001</v>
      </c>
      <c r="V2871">
        <v>0.32648480000000002</v>
      </c>
      <c r="W2871">
        <v>-8.1053799999999995E-2</v>
      </c>
      <c r="X2871">
        <v>0.94172069999999997</v>
      </c>
      <c r="Y2871">
        <v>0.72302089999999997</v>
      </c>
      <c r="Z2871">
        <v>4.3512179999999998E-2</v>
      </c>
      <c r="AA2871">
        <v>0.68945440000000002</v>
      </c>
      <c r="AB2871">
        <v>25</v>
      </c>
      <c r="AC2871">
        <v>-18.789099999999902</v>
      </c>
      <c r="AD2871">
        <v>-1.102902198037</v>
      </c>
      <c r="AE2871">
        <v>-9.9783999999999899</v>
      </c>
      <c r="AF2871">
        <v>15.4853295972448</v>
      </c>
      <c r="AG2871">
        <v>-1.102902198037</v>
      </c>
      <c r="AH2871">
        <v>14.5044923570942</v>
      </c>
      <c r="AI2871">
        <v>92.975622898202403</v>
      </c>
      <c r="AJ2871">
        <v>43.126770820988497</v>
      </c>
      <c r="AK2871">
        <v>21.2459907872225</v>
      </c>
      <c r="AL2871">
        <v>94.6491409388845</v>
      </c>
      <c r="AM2871">
        <v>70.879099187679302</v>
      </c>
      <c r="AN2871">
        <v>0.99999995996698399</v>
      </c>
    </row>
    <row r="2872" spans="1:40" x14ac:dyDescent="0.25">
      <c r="A2872" t="str">
        <f>"20190305135643771"</f>
        <v>20190305135643771</v>
      </c>
      <c r="B2872" t="str">
        <f>"1551765403765160"</f>
        <v>1551765403765160</v>
      </c>
      <c r="C2872" t="s">
        <v>40</v>
      </c>
      <c r="D2872">
        <v>4.4355529999999996</v>
      </c>
      <c r="E2872">
        <v>0.69530570000000003</v>
      </c>
      <c r="F2872" t="s">
        <v>42</v>
      </c>
      <c r="G2872">
        <v>-219.36580000000001</v>
      </c>
      <c r="H2872" s="1">
        <v>-6.5352030000000002E-7</v>
      </c>
      <c r="I2872">
        <v>138.0162</v>
      </c>
      <c r="J2872">
        <v>-193.6276</v>
      </c>
      <c r="K2872">
        <v>1.102454</v>
      </c>
      <c r="L2872">
        <v>151.6011</v>
      </c>
      <c r="M2872">
        <v>-0.27097529999999997</v>
      </c>
      <c r="N2872">
        <v>-1.394155E-2</v>
      </c>
      <c r="O2872">
        <v>-0.96248529999999999</v>
      </c>
      <c r="P2872">
        <v>-0.57381159999999998</v>
      </c>
      <c r="Q2872">
        <v>-8.7389949999999994E-2</v>
      </c>
      <c r="R2872">
        <v>-0.81431189999999998</v>
      </c>
      <c r="S2872">
        <v>-2.9812470000000002</v>
      </c>
      <c r="T2872">
        <v>-0.1273745</v>
      </c>
      <c r="U2872">
        <v>-1.596436</v>
      </c>
      <c r="V2872">
        <v>0.33037929999999999</v>
      </c>
      <c r="W2872">
        <v>-7.9785030000000007E-2</v>
      </c>
      <c r="X2872">
        <v>0.94047000000000003</v>
      </c>
      <c r="Y2872">
        <v>0.72009659999999998</v>
      </c>
      <c r="Z2872">
        <v>2.876393E-2</v>
      </c>
      <c r="AA2872">
        <v>0.69327740000000004</v>
      </c>
      <c r="AB2872">
        <v>25</v>
      </c>
      <c r="AC2872">
        <v>-25.738199999999999</v>
      </c>
      <c r="AD2872">
        <v>-1.1024546535202999</v>
      </c>
      <c r="AE2872">
        <v>-13.584899999999999</v>
      </c>
      <c r="AF2872">
        <v>21.0632928412372</v>
      </c>
      <c r="AG2872">
        <v>-1.1024546535202999</v>
      </c>
      <c r="AH2872">
        <v>20.022900677608298</v>
      </c>
      <c r="AI2872">
        <v>92.172476404473997</v>
      </c>
      <c r="AJ2872">
        <v>43.549455695697901</v>
      </c>
      <c r="AK2872">
        <v>29.082542239703699</v>
      </c>
      <c r="AL2872">
        <v>94.576209470684006</v>
      </c>
      <c r="AM2872">
        <v>70.644048373477105</v>
      </c>
      <c r="AN2872">
        <v>0.99999997689029496</v>
      </c>
    </row>
    <row r="2873" spans="1:40" x14ac:dyDescent="0.25">
      <c r="A2873" t="str">
        <f>"20190305135643793"</f>
        <v>20190305135643793</v>
      </c>
      <c r="B2873" t="str">
        <f>"1551765403784679"</f>
        <v>1551765403784679</v>
      </c>
      <c r="C2873" t="s">
        <v>40</v>
      </c>
      <c r="D2873">
        <v>4.4259639999999996</v>
      </c>
      <c r="E2873">
        <v>0.69327309999999998</v>
      </c>
      <c r="F2873" t="s">
        <v>42</v>
      </c>
      <c r="G2873">
        <v>-235.17519999999999</v>
      </c>
      <c r="H2873" s="1">
        <v>-4.2136340000000003E-6</v>
      </c>
      <c r="I2873">
        <v>129.89840000000001</v>
      </c>
      <c r="J2873">
        <v>-193.7122</v>
      </c>
      <c r="K2873">
        <v>1.1019760000000001</v>
      </c>
      <c r="L2873">
        <v>151.34700000000001</v>
      </c>
      <c r="M2873">
        <v>-0.28193620000000003</v>
      </c>
      <c r="N2873">
        <v>-1.404159E-2</v>
      </c>
      <c r="O2873">
        <v>-0.95933049999999997</v>
      </c>
      <c r="P2873">
        <v>-0.58492860000000002</v>
      </c>
      <c r="Q2873">
        <v>-8.774129E-2</v>
      </c>
      <c r="R2873">
        <v>-0.80632499999999996</v>
      </c>
      <c r="S2873">
        <v>-2.995514</v>
      </c>
      <c r="T2873">
        <v>-7.9485539999999993E-2</v>
      </c>
      <c r="U2873">
        <v>-1.5647279999999999</v>
      </c>
      <c r="V2873">
        <v>0.33246340000000002</v>
      </c>
      <c r="W2873">
        <v>-8.0473059999999999E-2</v>
      </c>
      <c r="X2873">
        <v>0.93967659999999997</v>
      </c>
      <c r="Y2873">
        <v>0.71963290000000002</v>
      </c>
      <c r="Z2873">
        <v>1.358818E-2</v>
      </c>
      <c r="AA2873">
        <v>0.6942218</v>
      </c>
      <c r="AB2873">
        <v>25</v>
      </c>
      <c r="AC2873">
        <v>-41.463000000000001</v>
      </c>
      <c r="AD2873">
        <v>-1.101980213634</v>
      </c>
      <c r="AE2873">
        <v>-21.448599999999999</v>
      </c>
      <c r="AF2873">
        <v>33.7141190915777</v>
      </c>
      <c r="AG2873">
        <v>-1.101980213634</v>
      </c>
      <c r="AH2873">
        <v>32.251423110257697</v>
      </c>
      <c r="AI2873">
        <v>91.353028087025606</v>
      </c>
      <c r="AJ2873">
        <v>43.7297523423059</v>
      </c>
      <c r="AK2873">
        <v>46.669159829047601</v>
      </c>
      <c r="AL2873">
        <v>94.615757891248705</v>
      </c>
      <c r="AM2873">
        <v>70.515905294641698</v>
      </c>
      <c r="AN2873">
        <v>0.99999996915644096</v>
      </c>
    </row>
    <row r="2874" spans="1:40" x14ac:dyDescent="0.25">
      <c r="A2874" t="str">
        <f>"20190305135643815"</f>
        <v>20190305135643815</v>
      </c>
      <c r="B2874" t="str">
        <f>"1551765403804707"</f>
        <v>1551765403804707</v>
      </c>
      <c r="C2874" t="s">
        <v>40</v>
      </c>
      <c r="D2874">
        <v>4.428553</v>
      </c>
      <c r="E2874">
        <v>0.69144119999999998</v>
      </c>
      <c r="F2874" t="s">
        <v>43</v>
      </c>
      <c r="G2874">
        <v>-256.10309999999998</v>
      </c>
      <c r="H2874">
        <v>-0.05</v>
      </c>
      <c r="I2874">
        <v>119.4328</v>
      </c>
      <c r="J2874">
        <v>-193.7928</v>
      </c>
      <c r="K2874">
        <v>1.1015839999999999</v>
      </c>
      <c r="L2874">
        <v>151.11519999999999</v>
      </c>
      <c r="M2874">
        <v>-0.29249219999999998</v>
      </c>
      <c r="N2874">
        <v>-1.413297E-2</v>
      </c>
      <c r="O2874">
        <v>-0.9561636</v>
      </c>
      <c r="P2874">
        <v>-0.59800399999999998</v>
      </c>
      <c r="Q2874">
        <v>-8.8579679999999994E-2</v>
      </c>
      <c r="R2874">
        <v>-0.7965835</v>
      </c>
      <c r="S2874">
        <v>-3.0030060000000001</v>
      </c>
      <c r="T2874">
        <v>-5.5447099999999999E-2</v>
      </c>
      <c r="U2874">
        <v>-1.5361020000000001</v>
      </c>
      <c r="V2874">
        <v>0.33735920000000003</v>
      </c>
      <c r="W2874">
        <v>-8.1663849999999996E-2</v>
      </c>
      <c r="X2874">
        <v>0.93782719999999997</v>
      </c>
      <c r="Y2874">
        <v>0.71800399999999998</v>
      </c>
      <c r="Z2874">
        <v>5.9894340000000001E-3</v>
      </c>
      <c r="AA2874">
        <v>0.69601329999999995</v>
      </c>
      <c r="AB2874">
        <v>25</v>
      </c>
      <c r="AC2874">
        <v>-62.310299999999899</v>
      </c>
      <c r="AD2874">
        <v>-1.1515839999999999</v>
      </c>
      <c r="AE2874">
        <v>-31.682399999999902</v>
      </c>
      <c r="AF2874">
        <v>50.303352595055699</v>
      </c>
      <c r="AG2874">
        <v>-1.1515839999999999</v>
      </c>
      <c r="AH2874">
        <v>48.510508773658501</v>
      </c>
      <c r="AI2874">
        <v>90.944070886254806</v>
      </c>
      <c r="AJ2874">
        <v>43.960559649202303</v>
      </c>
      <c r="AK2874">
        <v>69.8929387670225</v>
      </c>
      <c r="AL2874">
        <v>94.684210135800399</v>
      </c>
      <c r="AM2874">
        <v>70.215110767585003</v>
      </c>
      <c r="AN2874">
        <v>1.00000003564065</v>
      </c>
    </row>
    <row r="2875" spans="1:40" x14ac:dyDescent="0.25">
      <c r="A2875" t="str">
        <f>"20190305135643837"</f>
        <v>20190305135643837</v>
      </c>
      <c r="B2875" t="str">
        <f>"1551765403834963"</f>
        <v>1551765403834963</v>
      </c>
      <c r="C2875" t="s">
        <v>40</v>
      </c>
      <c r="D2875">
        <v>4.3836139999999997</v>
      </c>
      <c r="E2875">
        <v>0.68894580000000005</v>
      </c>
      <c r="F2875" t="s">
        <v>43</v>
      </c>
      <c r="G2875">
        <v>-267.86</v>
      </c>
      <c r="H2875">
        <v>-0.05</v>
      </c>
      <c r="I2875">
        <v>114.3492</v>
      </c>
      <c r="J2875">
        <v>-193.87620000000001</v>
      </c>
      <c r="K2875">
        <v>1.1012090000000001</v>
      </c>
      <c r="L2875">
        <v>150.88550000000001</v>
      </c>
      <c r="M2875">
        <v>-0.3034982</v>
      </c>
      <c r="N2875">
        <v>-1.4204029999999999E-2</v>
      </c>
      <c r="O2875">
        <v>-0.95272610000000002</v>
      </c>
      <c r="P2875">
        <v>-0.61075409999999997</v>
      </c>
      <c r="Q2875">
        <v>-8.9314240000000003E-2</v>
      </c>
      <c r="R2875">
        <v>-0.78676699999999999</v>
      </c>
      <c r="S2875">
        <v>-3.015717</v>
      </c>
      <c r="T2875">
        <v>-4.6887869999999998E-2</v>
      </c>
      <c r="U2875">
        <v>-1.496964</v>
      </c>
      <c r="V2875">
        <v>0.34157720000000003</v>
      </c>
      <c r="W2875">
        <v>-8.2736850000000001E-2</v>
      </c>
      <c r="X2875">
        <v>0.93620490000000001</v>
      </c>
      <c r="Y2875">
        <v>0.7183967</v>
      </c>
      <c r="Z2875">
        <v>3.3528210000000002E-3</v>
      </c>
      <c r="AA2875">
        <v>0.69562550000000001</v>
      </c>
      <c r="AB2875">
        <v>25</v>
      </c>
      <c r="AC2875">
        <v>-73.983800000000002</v>
      </c>
      <c r="AD2875">
        <v>-1.1512089999999999</v>
      </c>
      <c r="AE2875">
        <v>-36.536299999999997</v>
      </c>
      <c r="AF2875">
        <v>59.3920299816509</v>
      </c>
      <c r="AG2875">
        <v>-1.1512089999999999</v>
      </c>
      <c r="AH2875">
        <v>57.257670788873703</v>
      </c>
      <c r="AI2875">
        <v>90.799479448814296</v>
      </c>
      <c r="AJ2875">
        <v>43.9517664540829</v>
      </c>
      <c r="AK2875">
        <v>82.505632363312301</v>
      </c>
      <c r="AL2875">
        <v>94.745897474042096</v>
      </c>
      <c r="AM2875">
        <v>69.955348700010603</v>
      </c>
      <c r="AN2875">
        <v>0.99999999234588599</v>
      </c>
    </row>
    <row r="2876" spans="1:40" x14ac:dyDescent="0.25">
      <c r="A2876" t="str">
        <f>"20190305135643868"</f>
        <v>20190305135643868</v>
      </c>
      <c r="B2876" t="str">
        <f>"1551765403865219"</f>
        <v>1551765403865219</v>
      </c>
      <c r="C2876" t="s">
        <v>40</v>
      </c>
      <c r="D2876">
        <v>4.4099550000000001</v>
      </c>
      <c r="E2876">
        <v>0.68618369999999995</v>
      </c>
      <c r="F2876" t="s">
        <v>81</v>
      </c>
      <c r="G2876">
        <v>-259.90050000000002</v>
      </c>
      <c r="H2876">
        <v>0.16452839999999999</v>
      </c>
      <c r="I2876">
        <v>118.9898</v>
      </c>
      <c r="J2876">
        <v>-193.99789999999999</v>
      </c>
      <c r="K2876">
        <v>1.1006849999999999</v>
      </c>
      <c r="L2876">
        <v>150.5659</v>
      </c>
      <c r="M2876">
        <v>-0.31969259999999999</v>
      </c>
      <c r="N2876">
        <v>-1.4229520000000001E-2</v>
      </c>
      <c r="O2876">
        <v>-0.9474146</v>
      </c>
      <c r="P2876">
        <v>-0.62667479999999998</v>
      </c>
      <c r="Q2876">
        <v>-9.1022309999999995E-2</v>
      </c>
      <c r="R2876">
        <v>-0.77394669999999999</v>
      </c>
      <c r="S2876">
        <v>-3.023895</v>
      </c>
      <c r="T2876">
        <v>-4.2900199999999902E-2</v>
      </c>
      <c r="U2876">
        <v>-1.460815</v>
      </c>
      <c r="V2876">
        <v>0.3446381</v>
      </c>
      <c r="W2876">
        <v>-8.4918519999999997E-2</v>
      </c>
      <c r="X2876">
        <v>0.93488689999999997</v>
      </c>
      <c r="Y2876">
        <v>0.71399330000000005</v>
      </c>
      <c r="Z2876">
        <v>2.247176E-3</v>
      </c>
      <c r="AA2876">
        <v>0.70014900000000002</v>
      </c>
      <c r="AB2876">
        <v>25</v>
      </c>
      <c r="AC2876">
        <v>-65.902600000000007</v>
      </c>
      <c r="AD2876">
        <v>-0.93615660000000001</v>
      </c>
      <c r="AE2876">
        <v>-31.5761</v>
      </c>
      <c r="AF2876">
        <v>52.339143524842598</v>
      </c>
      <c r="AG2876">
        <v>-0.93615660000000001</v>
      </c>
      <c r="AH2876">
        <v>50.981020841867704</v>
      </c>
      <c r="AI2876">
        <v>90.734073869427306</v>
      </c>
      <c r="AJ2876">
        <v>44.246901928767201</v>
      </c>
      <c r="AK2876">
        <v>73.070697411293096</v>
      </c>
      <c r="AL2876">
        <v>94.871339247385393</v>
      </c>
      <c r="AM2876">
        <v>69.764020677008205</v>
      </c>
      <c r="AN2876">
        <v>1.0000000454011</v>
      </c>
    </row>
    <row r="2877" spans="1:40" x14ac:dyDescent="0.25">
      <c r="A2877" t="str">
        <f>"20190305135643886"</f>
        <v>20190305135643886</v>
      </c>
      <c r="B2877" t="str">
        <f>"1551765403874979"</f>
        <v>1551765403874979</v>
      </c>
      <c r="C2877" t="s">
        <v>40</v>
      </c>
      <c r="D2877">
        <v>4.5077299999999996</v>
      </c>
      <c r="E2877">
        <v>0.68555999999999995</v>
      </c>
      <c r="F2877" t="s">
        <v>43</v>
      </c>
      <c r="G2877">
        <v>-266.71890000000002</v>
      </c>
      <c r="H2877">
        <v>-0.05</v>
      </c>
      <c r="I2877">
        <v>116.73309999999999</v>
      </c>
      <c r="J2877">
        <v>-194.07689999999999</v>
      </c>
      <c r="K2877">
        <v>1.1003529999999999</v>
      </c>
      <c r="L2877">
        <v>150.3689</v>
      </c>
      <c r="M2877">
        <v>-0.33022309999999999</v>
      </c>
      <c r="N2877">
        <v>-1.4193819999999999E-2</v>
      </c>
      <c r="O2877">
        <v>-0.94379630000000003</v>
      </c>
      <c r="P2877">
        <v>-0.63686339999999997</v>
      </c>
      <c r="Q2877">
        <v>-9.1916810000000002E-2</v>
      </c>
      <c r="R2877">
        <v>-0.76547779999999999</v>
      </c>
      <c r="S2877">
        <v>-3.0358429999999998</v>
      </c>
      <c r="T2877">
        <v>-4.8037049999999998E-2</v>
      </c>
      <c r="U2877">
        <v>-1.412399</v>
      </c>
      <c r="V2877">
        <v>0.34654839999999998</v>
      </c>
      <c r="W2877">
        <v>-8.6160360000000005E-2</v>
      </c>
      <c r="X2877">
        <v>0.93406670000000003</v>
      </c>
      <c r="Y2877">
        <v>0.71638550000000001</v>
      </c>
      <c r="Z2877">
        <v>4.1213270000000002E-3</v>
      </c>
      <c r="AA2877">
        <v>0.69769250000000005</v>
      </c>
      <c r="AB2877">
        <v>25</v>
      </c>
      <c r="AC2877">
        <v>-72.641999999999996</v>
      </c>
      <c r="AD2877">
        <v>-1.150353</v>
      </c>
      <c r="AE2877">
        <v>-33.635800000000003</v>
      </c>
      <c r="AF2877">
        <v>57.445851917253698</v>
      </c>
      <c r="AG2877">
        <v>-1.150353</v>
      </c>
      <c r="AH2877">
        <v>55.727511147242097</v>
      </c>
      <c r="AI2877">
        <v>90.823463930093496</v>
      </c>
      <c r="AJ2877">
        <v>44.130130034912199</v>
      </c>
      <c r="AK2877">
        <v>80.043142824289703</v>
      </c>
      <c r="AL2877">
        <v>94.942753409023197</v>
      </c>
      <c r="AM2877">
        <v>69.644625654557601</v>
      </c>
      <c r="AN2877">
        <v>1.00000000061338</v>
      </c>
    </row>
    <row r="2878" spans="1:40" x14ac:dyDescent="0.25">
      <c r="A2878" t="str">
        <f>"20190305135643914"</f>
        <v>20190305135643914</v>
      </c>
      <c r="B2878" t="str">
        <f>"1551765403905235"</f>
        <v>1551765403905235</v>
      </c>
      <c r="C2878" t="s">
        <v>40</v>
      </c>
      <c r="D2878">
        <v>4.4216449999999998</v>
      </c>
      <c r="E2878">
        <v>0.68346969999999996</v>
      </c>
      <c r="F2878" t="s">
        <v>43</v>
      </c>
      <c r="G2878">
        <v>-268.6422</v>
      </c>
      <c r="H2878">
        <v>-0.05</v>
      </c>
      <c r="I2878">
        <v>116.7433</v>
      </c>
      <c r="J2878">
        <v>-194.19489999999999</v>
      </c>
      <c r="K2878">
        <v>1.0998619999999999</v>
      </c>
      <c r="L2878">
        <v>150.08750000000001</v>
      </c>
      <c r="M2878">
        <v>-0.34591709999999998</v>
      </c>
      <c r="N2878">
        <v>-1.4095399999999999E-2</v>
      </c>
      <c r="O2878">
        <v>-0.93815930000000003</v>
      </c>
      <c r="P2878">
        <v>-0.65060150000000005</v>
      </c>
      <c r="Q2878">
        <v>-9.1472059999999994E-2</v>
      </c>
      <c r="R2878">
        <v>-0.75389059999999997</v>
      </c>
      <c r="S2878">
        <v>-3.0503999999999998</v>
      </c>
      <c r="T2878">
        <v>-4.705989E-2</v>
      </c>
      <c r="U2878">
        <v>-1.3755949999999999</v>
      </c>
      <c r="V2878">
        <v>0.34775529999999999</v>
      </c>
      <c r="W2878">
        <v>-8.6219400000000002E-2</v>
      </c>
      <c r="X2878">
        <v>0.93361260000000001</v>
      </c>
      <c r="Y2878">
        <v>0.71298289999999998</v>
      </c>
      <c r="Z2878">
        <v>4.0527219999999999E-3</v>
      </c>
      <c r="AA2878">
        <v>0.70116969999999901</v>
      </c>
      <c r="AB2878">
        <v>25</v>
      </c>
      <c r="AC2878">
        <v>-74.447299999999998</v>
      </c>
      <c r="AD2878">
        <v>-1.1498619999999999</v>
      </c>
      <c r="AE2878">
        <v>-33.344200000000001</v>
      </c>
      <c r="AF2878">
        <v>58.303300829229997</v>
      </c>
      <c r="AG2878">
        <v>-1.1498619999999999</v>
      </c>
      <c r="AH2878">
        <v>57.029095083510803</v>
      </c>
      <c r="AI2878">
        <v>90.807749617435505</v>
      </c>
      <c r="AJ2878">
        <v>44.367015306638002</v>
      </c>
      <c r="AK2878">
        <v>81.565401710816403</v>
      </c>
      <c r="AL2878">
        <v>94.946148739201703</v>
      </c>
      <c r="AM2878">
        <v>69.570467263320893</v>
      </c>
      <c r="AN2878">
        <v>1.0000000102466</v>
      </c>
    </row>
    <row r="2879" spans="1:40" x14ac:dyDescent="0.25">
      <c r="A2879" t="str">
        <f>"20190305135643931"</f>
        <v>20190305135643931</v>
      </c>
      <c r="B2879" t="str">
        <f>"1551765403924756"</f>
        <v>1551765403924756</v>
      </c>
      <c r="C2879" t="s">
        <v>40</v>
      </c>
      <c r="D2879">
        <v>4.4478140000000002</v>
      </c>
      <c r="E2879">
        <v>0.68187310000000001</v>
      </c>
      <c r="F2879" t="s">
        <v>43</v>
      </c>
      <c r="G2879">
        <v>-274.99059999999997</v>
      </c>
      <c r="H2879">
        <v>-0.05</v>
      </c>
      <c r="I2879">
        <v>114.9483</v>
      </c>
      <c r="J2879">
        <v>-194.27809999999999</v>
      </c>
      <c r="K2879">
        <v>1.099537</v>
      </c>
      <c r="L2879">
        <v>149.89760000000001</v>
      </c>
      <c r="M2879">
        <v>-0.35690919999999998</v>
      </c>
      <c r="N2879">
        <v>-1.40083E-2</v>
      </c>
      <c r="O2879">
        <v>-0.93403409999999998</v>
      </c>
      <c r="P2879">
        <v>-0.66066380000000002</v>
      </c>
      <c r="Q2879">
        <v>-9.2555460000000006E-2</v>
      </c>
      <c r="R2879">
        <v>-0.74495469999999997</v>
      </c>
      <c r="S2879">
        <v>-3.061874</v>
      </c>
      <c r="T2879">
        <v>-4.3575759999999998E-2</v>
      </c>
      <c r="U2879">
        <v>-1.33165</v>
      </c>
      <c r="V2879">
        <v>0.3492827</v>
      </c>
      <c r="W2879">
        <v>-8.7678870000000006E-2</v>
      </c>
      <c r="X2879">
        <v>0.93290620000000002</v>
      </c>
      <c r="Y2879">
        <v>0.71415980000000001</v>
      </c>
      <c r="Z2879">
        <v>3.163094E-3</v>
      </c>
      <c r="AA2879">
        <v>0.69997559999999903</v>
      </c>
      <c r="AB2879">
        <v>25</v>
      </c>
      <c r="AC2879">
        <v>-80.712499999999906</v>
      </c>
      <c r="AD2879">
        <v>-1.149537</v>
      </c>
      <c r="AE2879">
        <v>-34.949300000000001</v>
      </c>
      <c r="AF2879">
        <v>62.909924892528799</v>
      </c>
      <c r="AG2879">
        <v>-1.149537</v>
      </c>
      <c r="AH2879">
        <v>61.446402524029999</v>
      </c>
      <c r="AI2879">
        <v>90.748924241657306</v>
      </c>
      <c r="AJ2879">
        <v>44.3257296541288</v>
      </c>
      <c r="AK2879">
        <v>87.946804765398397</v>
      </c>
      <c r="AL2879">
        <v>95.0300882520079</v>
      </c>
      <c r="AM2879">
        <v>69.473958814555004</v>
      </c>
      <c r="AN2879">
        <v>0.99999998338110296</v>
      </c>
    </row>
    <row r="2880" spans="1:40" x14ac:dyDescent="0.25">
      <c r="A2880" t="str">
        <f>"20190305135643950"</f>
        <v>20190305135643950</v>
      </c>
      <c r="B2880" t="str">
        <f>"1551765403945251"</f>
        <v>1551765403945251</v>
      </c>
      <c r="C2880" t="s">
        <v>40</v>
      </c>
      <c r="D2880">
        <v>4.4374739999999999</v>
      </c>
      <c r="E2880">
        <v>0.68031390000000003</v>
      </c>
      <c r="F2880" t="s">
        <v>43</v>
      </c>
      <c r="G2880">
        <v>-266.21780000000001</v>
      </c>
      <c r="H2880">
        <v>-0.05</v>
      </c>
      <c r="I2880">
        <v>119.4721</v>
      </c>
      <c r="J2880">
        <v>-194.36449999999999</v>
      </c>
      <c r="K2880">
        <v>1.0992299999999999</v>
      </c>
      <c r="L2880">
        <v>149.7072</v>
      </c>
      <c r="M2880">
        <v>-0.36821720000000002</v>
      </c>
      <c r="N2880">
        <v>-1.391707E-2</v>
      </c>
      <c r="O2880">
        <v>-0.92963560000000001</v>
      </c>
      <c r="P2880">
        <v>-0.67073509999999903</v>
      </c>
      <c r="Q2880">
        <v>-9.3110799999999994E-2</v>
      </c>
      <c r="R2880">
        <v>-0.73582939999999997</v>
      </c>
      <c r="S2880">
        <v>-3.0699770000000002</v>
      </c>
      <c r="T2880">
        <v>-4.9055700000000001E-2</v>
      </c>
      <c r="U2880">
        <v>-1.298386</v>
      </c>
      <c r="V2880">
        <v>0.35060269999999999</v>
      </c>
      <c r="W2880">
        <v>-8.8586020000000001E-2</v>
      </c>
      <c r="X2880">
        <v>0.93232519999999997</v>
      </c>
      <c r="Y2880">
        <v>0.71273799999999998</v>
      </c>
      <c r="Z2880">
        <v>5.1605870000000003E-3</v>
      </c>
      <c r="AA2880">
        <v>0.70141140000000002</v>
      </c>
      <c r="AB2880">
        <v>25</v>
      </c>
      <c r="AC2880">
        <v>-71.853300000000004</v>
      </c>
      <c r="AD2880">
        <v>-1.14923</v>
      </c>
      <c r="AE2880">
        <v>-30.235099999999999</v>
      </c>
      <c r="AF2880">
        <v>55.6575988233975</v>
      </c>
      <c r="AG2880">
        <v>-1.14923</v>
      </c>
      <c r="AH2880">
        <v>54.558675641758803</v>
      </c>
      <c r="AI2880">
        <v>90.844784232031202</v>
      </c>
      <c r="AJ2880">
        <v>44.428745216820303</v>
      </c>
      <c r="AK2880">
        <v>77.947021265483997</v>
      </c>
      <c r="AL2880">
        <v>95.082267039246403</v>
      </c>
      <c r="AM2880">
        <v>69.391132110939594</v>
      </c>
      <c r="AN2880">
        <v>1.0000000073708799</v>
      </c>
    </row>
    <row r="2881" spans="1:40" x14ac:dyDescent="0.25">
      <c r="A2881" t="str">
        <f>"20190305135643973"</f>
        <v>20190305135643973</v>
      </c>
      <c r="B2881" t="str">
        <f>"1551765403964771"</f>
        <v>1551765403964771</v>
      </c>
      <c r="C2881" t="s">
        <v>40</v>
      </c>
      <c r="D2881">
        <v>4.4362830000000004</v>
      </c>
      <c r="E2881">
        <v>0.67882419999999899</v>
      </c>
      <c r="F2881" t="s">
        <v>42</v>
      </c>
      <c r="G2881">
        <v>-250.33529999999999</v>
      </c>
      <c r="H2881">
        <v>7.9986860000000007E-2</v>
      </c>
      <c r="I2881">
        <v>126.72410000000001</v>
      </c>
      <c r="J2881">
        <v>-194.4812</v>
      </c>
      <c r="K2881">
        <v>1.0988800000000001</v>
      </c>
      <c r="L2881">
        <v>149.46129999999999</v>
      </c>
      <c r="M2881">
        <v>-0.38329819999999998</v>
      </c>
      <c r="N2881">
        <v>-1.3789279999999999E-2</v>
      </c>
      <c r="O2881">
        <v>-0.92352190000000001</v>
      </c>
      <c r="P2881">
        <v>-0.6832201</v>
      </c>
      <c r="Q2881">
        <v>-9.2252490000000006E-2</v>
      </c>
      <c r="R2881">
        <v>-0.7243619</v>
      </c>
      <c r="S2881">
        <v>-3.0782470000000002</v>
      </c>
      <c r="T2881">
        <v>-5.6055779999999999E-2</v>
      </c>
      <c r="U2881">
        <v>-1.264008</v>
      </c>
      <c r="V2881">
        <v>0.35128199999999998</v>
      </c>
      <c r="W2881">
        <v>-8.8128609999999996E-2</v>
      </c>
      <c r="X2881">
        <v>0.93211279999999996</v>
      </c>
      <c r="Y2881">
        <v>0.70864469999999902</v>
      </c>
      <c r="Z2881">
        <v>7.7010630000000002E-3</v>
      </c>
      <c r="AA2881">
        <v>0.70552340000000002</v>
      </c>
      <c r="AB2881">
        <v>25</v>
      </c>
      <c r="AC2881">
        <v>-55.854099999999903</v>
      </c>
      <c r="AD2881">
        <v>-1.0188931400000001</v>
      </c>
      <c r="AE2881">
        <v>-22.737199999999898</v>
      </c>
      <c r="AF2881">
        <v>42.859190356396297</v>
      </c>
      <c r="AG2881">
        <v>-1.0188931400000001</v>
      </c>
      <c r="AH2881">
        <v>42.398999456454298</v>
      </c>
      <c r="AI2881">
        <v>90.968238819272401</v>
      </c>
      <c r="AJ2881">
        <v>44.690742433794597</v>
      </c>
      <c r="AK2881">
        <v>60.296131684752098</v>
      </c>
      <c r="AL2881">
        <v>95.055956592083206</v>
      </c>
      <c r="AM2881">
        <v>69.350259256514803</v>
      </c>
      <c r="AN2881">
        <v>0.99999998367418497</v>
      </c>
    </row>
    <row r="2882" spans="1:40" x14ac:dyDescent="0.25">
      <c r="A2882" t="str">
        <f>"20190305135643996"</f>
        <v>20190305135643996</v>
      </c>
      <c r="B2882" t="str">
        <f>"1551765403985267"</f>
        <v>1551765403985267</v>
      </c>
      <c r="C2882" t="s">
        <v>40</v>
      </c>
      <c r="D2882">
        <v>4.4263789999999998</v>
      </c>
      <c r="E2882">
        <v>0.67812359999999905</v>
      </c>
      <c r="F2882" t="s">
        <v>42</v>
      </c>
      <c r="G2882">
        <v>-250.54929999999999</v>
      </c>
      <c r="H2882">
        <v>7.9986769999999999E-2</v>
      </c>
      <c r="I2882">
        <v>127.3424</v>
      </c>
      <c r="J2882">
        <v>-194.5942</v>
      </c>
      <c r="K2882">
        <v>1.098579</v>
      </c>
      <c r="L2882">
        <v>149.23339999999999</v>
      </c>
      <c r="M2882">
        <v>-0.39767750000000002</v>
      </c>
      <c r="N2882">
        <v>-1.3667149999999999E-2</v>
      </c>
      <c r="O2882">
        <v>-0.9174234</v>
      </c>
      <c r="P2882">
        <v>-0.69552499999999995</v>
      </c>
      <c r="Q2882">
        <v>-9.1798309999999994E-2</v>
      </c>
      <c r="R2882">
        <v>-0.71261359999999996</v>
      </c>
      <c r="S2882">
        <v>-3.0906980000000002</v>
      </c>
      <c r="T2882">
        <v>-5.616558E-2</v>
      </c>
      <c r="U2882">
        <v>-1.219284</v>
      </c>
      <c r="V2882">
        <v>0.35261239999999999</v>
      </c>
      <c r="W2882">
        <v>-8.8051149999999995E-2</v>
      </c>
      <c r="X2882">
        <v>0.93161769999999999</v>
      </c>
      <c r="Y2882">
        <v>0.70741219999999905</v>
      </c>
      <c r="Z2882">
        <v>8.0089229999999994E-3</v>
      </c>
      <c r="AA2882">
        <v>0.70675580000000005</v>
      </c>
      <c r="AB2882">
        <v>25</v>
      </c>
      <c r="AC2882">
        <v>-55.955099999999902</v>
      </c>
      <c r="AD2882">
        <v>-1.0185922300000001</v>
      </c>
      <c r="AE2882">
        <v>-21.890999999999899</v>
      </c>
      <c r="AF2882">
        <v>42.620695672083301</v>
      </c>
      <c r="AG2882">
        <v>-1.0185922300000001</v>
      </c>
      <c r="AH2882">
        <v>42.327192575913998</v>
      </c>
      <c r="AI2882">
        <v>90.9714963815142</v>
      </c>
      <c r="AJ2882">
        <v>44.802038377702203</v>
      </c>
      <c r="AK2882">
        <v>60.076222093785702</v>
      </c>
      <c r="AL2882">
        <v>95.051500934731706</v>
      </c>
      <c r="AM2882">
        <v>69.268609259296696</v>
      </c>
      <c r="AN2882">
        <v>1.00000002430168</v>
      </c>
    </row>
    <row r="2883" spans="1:40" x14ac:dyDescent="0.25">
      <c r="A2883" t="str">
        <f>"20190305135644021"</f>
        <v>20190305135644021</v>
      </c>
      <c r="B2883" t="str">
        <f>"1551765404014547"</f>
        <v>1551765404014547</v>
      </c>
      <c r="C2883" t="s">
        <v>40</v>
      </c>
      <c r="D2883">
        <v>4.4460160000000002</v>
      </c>
      <c r="E2883">
        <v>0.65036969999999905</v>
      </c>
      <c r="F2883" t="s">
        <v>42</v>
      </c>
      <c r="G2883">
        <v>-249.12649999999999</v>
      </c>
      <c r="H2883">
        <v>7.998566E-2</v>
      </c>
      <c r="I2883">
        <v>128.7047</v>
      </c>
      <c r="J2883">
        <v>-194.72499999999999</v>
      </c>
      <c r="K2883">
        <v>1.0982529999999999</v>
      </c>
      <c r="L2883">
        <v>148.98070000000001</v>
      </c>
      <c r="M2883">
        <v>-0.41402660000000002</v>
      </c>
      <c r="N2883">
        <v>-1.3538959999999999E-2</v>
      </c>
      <c r="O2883">
        <v>-0.91016419999999998</v>
      </c>
      <c r="P2883">
        <v>-0.70975909999999998</v>
      </c>
      <c r="Q2883">
        <v>-9.3648510000000004E-2</v>
      </c>
      <c r="R2883">
        <v>-0.69819240000000005</v>
      </c>
      <c r="S2883">
        <v>-3.107224</v>
      </c>
      <c r="T2883">
        <v>-5.8038949999999999E-2</v>
      </c>
      <c r="U2883">
        <v>-1.169708</v>
      </c>
      <c r="V2883">
        <v>0.35472880000000001</v>
      </c>
      <c r="W2883">
        <v>-9.0320730000000002E-2</v>
      </c>
      <c r="X2883">
        <v>0.93059639999999999</v>
      </c>
      <c r="Y2883">
        <v>0.7058683</v>
      </c>
      <c r="Z2883">
        <v>8.8944379999999993E-3</v>
      </c>
      <c r="AA2883">
        <v>0.70828719999999901</v>
      </c>
      <c r="AB2883">
        <v>25</v>
      </c>
      <c r="AC2883">
        <v>-54.401499999999999</v>
      </c>
      <c r="AD2883">
        <v>-1.01826734</v>
      </c>
      <c r="AE2883">
        <v>-20.276</v>
      </c>
      <c r="AF2883">
        <v>41.110613111289602</v>
      </c>
      <c r="AG2883">
        <v>-1.01826734</v>
      </c>
      <c r="AH2883">
        <v>40.969306652631403</v>
      </c>
      <c r="AI2883">
        <v>91.0051186331699</v>
      </c>
      <c r="AJ2883">
        <v>44.901361310735098</v>
      </c>
      <c r="AK2883">
        <v>58.048285645307402</v>
      </c>
      <c r="AL2883">
        <v>95.182058674648601</v>
      </c>
      <c r="AM2883">
        <v>69.133935525011196</v>
      </c>
      <c r="AN2883">
        <v>1.0000000077550599</v>
      </c>
    </row>
    <row r="2884" spans="1:40" x14ac:dyDescent="0.25">
      <c r="A2884" t="str">
        <f>"20190305135644039"</f>
        <v>20190305135644039</v>
      </c>
      <c r="B2884" t="str">
        <f>"1551765404035043"</f>
        <v>1551765404035043</v>
      </c>
      <c r="C2884" t="s">
        <v>40</v>
      </c>
      <c r="D2884">
        <v>4.3903910000000002</v>
      </c>
      <c r="E2884">
        <v>0.65057989999999999</v>
      </c>
      <c r="F2884" t="s">
        <v>42</v>
      </c>
      <c r="G2884">
        <v>-214.34270000000001</v>
      </c>
      <c r="H2884" s="1">
        <v>-2.950339E-6</v>
      </c>
      <c r="I2884">
        <v>140.72739999999999</v>
      </c>
      <c r="J2884">
        <v>-194.82730000000001</v>
      </c>
      <c r="K2884">
        <v>1.0980219999999901</v>
      </c>
      <c r="L2884">
        <v>148.79089999999999</v>
      </c>
      <c r="M2884">
        <v>-0.42656880000000003</v>
      </c>
      <c r="N2884">
        <v>-1.3451499999999899E-2</v>
      </c>
      <c r="O2884">
        <v>-0.90435520000000003</v>
      </c>
      <c r="P2884">
        <v>-0.72066869999999905</v>
      </c>
      <c r="Q2884">
        <v>-9.6488450000000003E-2</v>
      </c>
      <c r="R2884">
        <v>-0.68653240000000004</v>
      </c>
      <c r="S2884">
        <v>-2.9739990000000001</v>
      </c>
      <c r="T2884">
        <v>-0.1664928</v>
      </c>
      <c r="U2884">
        <v>-1.2511749999999999</v>
      </c>
      <c r="V2884">
        <v>0.3565682</v>
      </c>
      <c r="W2884">
        <v>-9.3472029999999998E-2</v>
      </c>
      <c r="X2884">
        <v>0.92958160000000001</v>
      </c>
      <c r="Y2884">
        <v>0.66705689999999995</v>
      </c>
      <c r="Z2884">
        <v>4.5069390000000001E-2</v>
      </c>
      <c r="AA2884">
        <v>0.74364229999999998</v>
      </c>
      <c r="AB2884">
        <v>25</v>
      </c>
      <c r="AC2884">
        <v>-19.5154</v>
      </c>
      <c r="AD2884">
        <v>-1.0980249503389901</v>
      </c>
      <c r="AE2884">
        <v>-8.0634999999999994</v>
      </c>
      <c r="AF2884">
        <v>14.1721778185436</v>
      </c>
      <c r="AG2884">
        <v>-1.0980249503389901</v>
      </c>
      <c r="AH2884">
        <v>15.576221398692301</v>
      </c>
      <c r="AI2884">
        <v>92.984763694169104</v>
      </c>
      <c r="AJ2884">
        <v>47.702199782103797</v>
      </c>
      <c r="AK2884">
        <v>21.087317420029201</v>
      </c>
      <c r="AL2884">
        <v>95.363382635220404</v>
      </c>
      <c r="AM2884">
        <v>69.014223480361693</v>
      </c>
      <c r="AN2884">
        <v>0.99999992635105694</v>
      </c>
    </row>
    <row r="2885" spans="1:40" x14ac:dyDescent="0.25">
      <c r="A2885" t="str">
        <f>"20190305135644070"</f>
        <v>20190305135644070</v>
      </c>
      <c r="B2885" t="str">
        <f>"1551765404065300"</f>
        <v>1551765404065300</v>
      </c>
      <c r="C2885" t="s">
        <v>40</v>
      </c>
      <c r="D2885">
        <v>4.4021499999999998</v>
      </c>
      <c r="E2885">
        <v>0.64820100000000003</v>
      </c>
      <c r="F2885" t="s">
        <v>42</v>
      </c>
      <c r="G2885">
        <v>-216.1223</v>
      </c>
      <c r="H2885" s="1">
        <v>-1.975748E-6</v>
      </c>
      <c r="I2885">
        <v>140.22620000000001</v>
      </c>
      <c r="J2885">
        <v>-194.9949</v>
      </c>
      <c r="K2885">
        <v>1.097693</v>
      </c>
      <c r="L2885">
        <v>148.49299999999999</v>
      </c>
      <c r="M2885">
        <v>-0.44665159999999998</v>
      </c>
      <c r="N2885">
        <v>-1.3328120000000001E-2</v>
      </c>
      <c r="O2885">
        <v>-0.89460890000000004</v>
      </c>
      <c r="P2885">
        <v>-0.73668369999999905</v>
      </c>
      <c r="Q2885">
        <v>-9.8388840000000005E-2</v>
      </c>
      <c r="R2885">
        <v>-0.66904200000000003</v>
      </c>
      <c r="S2885">
        <v>-2.9946899999999999</v>
      </c>
      <c r="T2885">
        <v>-0.15441369999999999</v>
      </c>
      <c r="U2885">
        <v>-1.204453</v>
      </c>
      <c r="V2885">
        <v>0.35777389999999998</v>
      </c>
      <c r="W2885">
        <v>-9.5783839999999995E-2</v>
      </c>
      <c r="X2885">
        <v>0.92888280000000001</v>
      </c>
      <c r="Y2885">
        <v>0.66237500000000005</v>
      </c>
      <c r="Z2885">
        <v>4.1188099999999998E-2</v>
      </c>
      <c r="AA2885">
        <v>0.74803940000000002</v>
      </c>
      <c r="AB2885">
        <v>25</v>
      </c>
      <c r="AC2885">
        <v>-21.127399999999898</v>
      </c>
      <c r="AD2885">
        <v>-1.0976949757479999</v>
      </c>
      <c r="AE2885">
        <v>-8.2667999999999893</v>
      </c>
      <c r="AF2885">
        <v>15.1742057900122</v>
      </c>
      <c r="AG2885">
        <v>-1.0976949757479999</v>
      </c>
      <c r="AH2885">
        <v>16.794316272940499</v>
      </c>
      <c r="AI2885">
        <v>92.776512465058204</v>
      </c>
      <c r="AJ2885">
        <v>47.901170953619904</v>
      </c>
      <c r="AK2885">
        <v>22.6607703905444</v>
      </c>
      <c r="AL2885">
        <v>95.496436378014195</v>
      </c>
      <c r="AM2885">
        <v>68.935020832102396</v>
      </c>
      <c r="AN2885">
        <v>0.99999998183109695</v>
      </c>
    </row>
    <row r="2886" spans="1:40" x14ac:dyDescent="0.25">
      <c r="A2886" t="str">
        <f>"20190305135644092"</f>
        <v>20190305135644092</v>
      </c>
      <c r="B2886" t="str">
        <f>"1551765404084820"</f>
        <v>1551765404084820</v>
      </c>
      <c r="C2886" t="s">
        <v>40</v>
      </c>
      <c r="D2886">
        <v>4.3253269999999997</v>
      </c>
      <c r="E2886">
        <v>0.64629630000000005</v>
      </c>
      <c r="F2886" t="s">
        <v>42</v>
      </c>
      <c r="G2886">
        <v>-215.29349999999999</v>
      </c>
      <c r="H2886" s="1">
        <v>-2.5100039999999998E-6</v>
      </c>
      <c r="I2886">
        <v>140.76159999999999</v>
      </c>
      <c r="J2886">
        <v>-195.11940000000001</v>
      </c>
      <c r="K2886">
        <v>1.097464</v>
      </c>
      <c r="L2886">
        <v>148.2825</v>
      </c>
      <c r="M2886">
        <v>-0.46116869999999999</v>
      </c>
      <c r="N2886">
        <v>-1.325491E-2</v>
      </c>
      <c r="O2886">
        <v>-0.88721360000000005</v>
      </c>
      <c r="P2886">
        <v>-0.74824969999999902</v>
      </c>
      <c r="Q2886">
        <v>-9.9547060000000007E-2</v>
      </c>
      <c r="R2886">
        <v>-0.65590609999999905</v>
      </c>
      <c r="S2886">
        <v>-3.0095369999999999</v>
      </c>
      <c r="T2886">
        <v>-0.16274759999999999</v>
      </c>
      <c r="U2886">
        <v>-1.14627099999999</v>
      </c>
      <c r="V2886">
        <v>0.35885209999999901</v>
      </c>
      <c r="W2886">
        <v>-9.7220290000000001E-2</v>
      </c>
      <c r="X2886">
        <v>0.92831750000000002</v>
      </c>
      <c r="Y2886">
        <v>0.66386619999999996</v>
      </c>
      <c r="Z2886">
        <v>4.4213679999999998E-2</v>
      </c>
      <c r="AA2886">
        <v>0.74654330000000002</v>
      </c>
      <c r="AB2886">
        <v>25</v>
      </c>
      <c r="AC2886">
        <v>-20.1740999999999</v>
      </c>
      <c r="AD2886">
        <v>-1.097466510004</v>
      </c>
      <c r="AE2886">
        <v>-7.5209000000000099</v>
      </c>
      <c r="AF2886">
        <v>14.394198843000099</v>
      </c>
      <c r="AG2886">
        <v>-1.097466510004</v>
      </c>
      <c r="AH2886">
        <v>15.936303761616401</v>
      </c>
      <c r="AI2886">
        <v>92.925573577432104</v>
      </c>
      <c r="AJ2886">
        <v>47.910604136621501</v>
      </c>
      <c r="AK2886">
        <v>21.5026317146278</v>
      </c>
      <c r="AL2886">
        <v>95.579124745765</v>
      </c>
      <c r="AM2886">
        <v>68.865401437173503</v>
      </c>
      <c r="AN2886">
        <v>0.99999999763417102</v>
      </c>
    </row>
    <row r="2887" spans="1:40" x14ac:dyDescent="0.25">
      <c r="A2887" t="str">
        <f>"20190305135644111"</f>
        <v>20190305135644111</v>
      </c>
      <c r="B2887" t="str">
        <f>"1551765404105315"</f>
        <v>1551765404105315</v>
      </c>
      <c r="C2887" t="s">
        <v>40</v>
      </c>
      <c r="D2887">
        <v>4.3696910000000004</v>
      </c>
      <c r="E2887">
        <v>0.63400140000000005</v>
      </c>
      <c r="F2887" t="s">
        <v>42</v>
      </c>
      <c r="G2887">
        <v>-214.31790000000001</v>
      </c>
      <c r="H2887" s="1">
        <v>-3.104841E-6</v>
      </c>
      <c r="I2887">
        <v>141.26400000000001</v>
      </c>
      <c r="J2887">
        <v>-195.2355</v>
      </c>
      <c r="K2887">
        <v>1.097289</v>
      </c>
      <c r="L2887">
        <v>148.0932</v>
      </c>
      <c r="M2887">
        <v>-0.47438950000000002</v>
      </c>
      <c r="N2887">
        <v>-1.3196970000000001E-2</v>
      </c>
      <c r="O2887">
        <v>-0.88021609999999995</v>
      </c>
      <c r="P2887">
        <v>-0.75901010000000002</v>
      </c>
      <c r="Q2887">
        <v>-9.9169489999999999E-2</v>
      </c>
      <c r="R2887">
        <v>-0.643482</v>
      </c>
      <c r="S2887">
        <v>-3.0189509999999999</v>
      </c>
      <c r="T2887">
        <v>-0.17257600000000001</v>
      </c>
      <c r="U2887">
        <v>-1.103653</v>
      </c>
      <c r="V2887">
        <v>0.36027979999999998</v>
      </c>
      <c r="W2887">
        <v>-9.7086160000000005E-2</v>
      </c>
      <c r="X2887">
        <v>0.9277784</v>
      </c>
      <c r="Y2887">
        <v>0.66255010000000003</v>
      </c>
      <c r="Z2887">
        <v>4.7618050000000002E-2</v>
      </c>
      <c r="AA2887">
        <v>0.74750240000000001</v>
      </c>
      <c r="AB2887">
        <v>25</v>
      </c>
      <c r="AC2887">
        <v>-19.0824</v>
      </c>
      <c r="AD2887">
        <v>-1.097292104841</v>
      </c>
      <c r="AE2887">
        <v>-6.8291999999999797</v>
      </c>
      <c r="AF2887">
        <v>13.5184911723199</v>
      </c>
      <c r="AG2887">
        <v>-1.097292104841</v>
      </c>
      <c r="AH2887">
        <v>15.020945558029901</v>
      </c>
      <c r="AI2887">
        <v>93.108044474355594</v>
      </c>
      <c r="AJ2887">
        <v>48.013545818429698</v>
      </c>
      <c r="AK2887">
        <v>20.238143664791401</v>
      </c>
      <c r="AL2887">
        <v>95.571403076608107</v>
      </c>
      <c r="AM2887">
        <v>68.777550449545302</v>
      </c>
      <c r="AN2887">
        <v>1.0000000081290701</v>
      </c>
    </row>
    <row r="2888" spans="1:40" x14ac:dyDescent="0.25">
      <c r="A2888" t="str">
        <f>"20190305135644135"</f>
        <v>20190305135644135</v>
      </c>
      <c r="B2888" t="str">
        <f>"1551765404124835"</f>
        <v>1551765404124835</v>
      </c>
      <c r="C2888" t="s">
        <v>40</v>
      </c>
      <c r="D2888">
        <v>4.3277769999999904</v>
      </c>
      <c r="E2888">
        <v>0.63331130000000002</v>
      </c>
      <c r="F2888" t="s">
        <v>73</v>
      </c>
      <c r="G2888">
        <v>-208.14930000000001</v>
      </c>
      <c r="H2888" s="1">
        <v>-7.144143E-6</v>
      </c>
      <c r="I2888">
        <v>143.2347</v>
      </c>
      <c r="J2888">
        <v>-195.38980000000001</v>
      </c>
      <c r="K2888">
        <v>1.0971010000000001</v>
      </c>
      <c r="L2888">
        <v>147.85210000000001</v>
      </c>
      <c r="M2888">
        <v>-0.49149530000000002</v>
      </c>
      <c r="N2888">
        <v>-1.3130630000000001E-2</v>
      </c>
      <c r="O2888">
        <v>-0.87078140000000004</v>
      </c>
      <c r="P2888">
        <v>-0.77185570000000003</v>
      </c>
      <c r="Q2888">
        <v>-9.7047389999999997E-2</v>
      </c>
      <c r="R2888">
        <v>-0.62834769999999995</v>
      </c>
      <c r="S2888">
        <v>-2.9716490000000002</v>
      </c>
      <c r="T2888">
        <v>-0.25250430000000001</v>
      </c>
      <c r="U2888">
        <v>-1.1180270000000001</v>
      </c>
      <c r="V2888">
        <v>0.36074909999999999</v>
      </c>
      <c r="W2888">
        <v>-9.5205109999999996E-2</v>
      </c>
      <c r="X2888">
        <v>0.92779100000000003</v>
      </c>
      <c r="Y2888">
        <v>0.63894019999999996</v>
      </c>
      <c r="Z2888">
        <v>7.4108820000000006E-2</v>
      </c>
      <c r="AA2888">
        <v>0.76567830000000003</v>
      </c>
      <c r="AB2888">
        <v>25</v>
      </c>
      <c r="AC2888">
        <v>-12.759499999999999</v>
      </c>
      <c r="AD2888">
        <v>-1.097108144143</v>
      </c>
      <c r="AE2888">
        <v>-4.6173999999999999</v>
      </c>
      <c r="AF2888">
        <v>8.7846397417103894</v>
      </c>
      <c r="AG2888">
        <v>-1.097108144143</v>
      </c>
      <c r="AH2888">
        <v>10.226017605829201</v>
      </c>
      <c r="AI2888">
        <v>94.652530220526302</v>
      </c>
      <c r="AJ2888">
        <v>49.335839708280901</v>
      </c>
      <c r="AK2888">
        <v>13.525715424564799</v>
      </c>
      <c r="AL2888">
        <v>95.463125077903598</v>
      </c>
      <c r="AM2888">
        <v>68.752633239446098</v>
      </c>
      <c r="AN2888">
        <v>1.00000003290096</v>
      </c>
    </row>
    <row r="2889" spans="1:40" x14ac:dyDescent="0.25">
      <c r="A2889" t="str">
        <f>"20190305135644153"</f>
        <v>20190305135644153</v>
      </c>
      <c r="B2889" t="str">
        <f>"1551765404145332"</f>
        <v>1551765404145332</v>
      </c>
      <c r="C2889" t="s">
        <v>40</v>
      </c>
      <c r="D2889">
        <v>4.3042999999999996</v>
      </c>
      <c r="E2889">
        <v>0.63179680000000005</v>
      </c>
      <c r="F2889" t="s">
        <v>73</v>
      </c>
      <c r="G2889">
        <v>-209.87799999999999</v>
      </c>
      <c r="H2889" s="1">
        <v>-6.233427E-6</v>
      </c>
      <c r="I2889">
        <v>142.68889999999999</v>
      </c>
      <c r="J2889">
        <v>-195.50069999999999</v>
      </c>
      <c r="K2889">
        <v>1.0969799999999901</v>
      </c>
      <c r="L2889">
        <v>147.68459999999999</v>
      </c>
      <c r="M2889">
        <v>-0.50349709999999903</v>
      </c>
      <c r="N2889">
        <v>-1.308936E-2</v>
      </c>
      <c r="O2889">
        <v>-0.863897899999999</v>
      </c>
      <c r="P2889">
        <v>-0.78025809999999995</v>
      </c>
      <c r="Q2889">
        <v>-9.5009869999999996E-2</v>
      </c>
      <c r="R2889">
        <v>-0.61819930000000001</v>
      </c>
      <c r="S2889">
        <v>-2.990631</v>
      </c>
      <c r="T2889">
        <v>-0.22646330000000001</v>
      </c>
      <c r="U2889">
        <v>-1.0657810000000001</v>
      </c>
      <c r="V2889">
        <v>0.36029250000000002</v>
      </c>
      <c r="W2889">
        <v>-9.3295500000000003E-2</v>
      </c>
      <c r="X2889">
        <v>0.9281623</v>
      </c>
      <c r="Y2889">
        <v>0.6423508</v>
      </c>
      <c r="Z2889">
        <v>6.5662979999999996E-2</v>
      </c>
      <c r="AA2889">
        <v>0.76359279999999996</v>
      </c>
      <c r="AB2889">
        <v>25</v>
      </c>
      <c r="AC2889">
        <v>-14.3772999999999</v>
      </c>
      <c r="AD2889">
        <v>-1.09698623342699</v>
      </c>
      <c r="AE2889">
        <v>-4.9956999999999896</v>
      </c>
      <c r="AF2889">
        <v>9.8548551561674493</v>
      </c>
      <c r="AG2889">
        <v>-1.09698623342699</v>
      </c>
      <c r="AH2889">
        <v>11.4959762468426</v>
      </c>
      <c r="AI2889">
        <v>94.143685263620796</v>
      </c>
      <c r="AJ2889">
        <v>49.395369166250902</v>
      </c>
      <c r="AK2889">
        <v>15.1815354563804</v>
      </c>
      <c r="AL2889">
        <v>95.353223447085796</v>
      </c>
      <c r="AM2889">
        <v>68.784866324050498</v>
      </c>
      <c r="AN2889">
        <v>0.99999999550889496</v>
      </c>
    </row>
    <row r="2890" spans="1:40" x14ac:dyDescent="0.25">
      <c r="A2890" t="str">
        <f>"20190305135644176"</f>
        <v>20190305135644176</v>
      </c>
      <c r="B2890" t="str">
        <f>"1551765404164851"</f>
        <v>1551765404164851</v>
      </c>
      <c r="C2890" t="s">
        <v>40</v>
      </c>
      <c r="D2890">
        <v>4.2988619999999997</v>
      </c>
      <c r="E2890">
        <v>0.63036669999999995</v>
      </c>
      <c r="F2890" t="s">
        <v>42</v>
      </c>
      <c r="G2890">
        <v>-211.34520000000001</v>
      </c>
      <c r="H2890" s="1">
        <v>-4.6530339999999998E-6</v>
      </c>
      <c r="I2890">
        <v>142.20009999999999</v>
      </c>
      <c r="J2890">
        <v>-195.65549999999999</v>
      </c>
      <c r="K2890">
        <v>1.096827</v>
      </c>
      <c r="L2890">
        <v>147.4599</v>
      </c>
      <c r="M2890">
        <v>-0.51980550000000003</v>
      </c>
      <c r="N2890">
        <v>-1.304551E-2</v>
      </c>
      <c r="O2890">
        <v>-0.85418519999999898</v>
      </c>
      <c r="P2890">
        <v>-0.79077679999999995</v>
      </c>
      <c r="Q2890">
        <v>-9.4374050000000001E-2</v>
      </c>
      <c r="R2890">
        <v>-0.60478589999999999</v>
      </c>
      <c r="S2890">
        <v>-2.9975130000000001</v>
      </c>
      <c r="T2890">
        <v>-0.20753160000000001</v>
      </c>
      <c r="U2890">
        <v>-1.037582</v>
      </c>
      <c r="V2890">
        <v>0.35857329999999998</v>
      </c>
      <c r="W2890">
        <v>-9.2773330000000001E-2</v>
      </c>
      <c r="X2890">
        <v>0.92888009999999999</v>
      </c>
      <c r="Y2890">
        <v>0.63517429999999997</v>
      </c>
      <c r="Z2890">
        <v>5.9280560000000003E-2</v>
      </c>
      <c r="AA2890">
        <v>0.77009050000000001</v>
      </c>
      <c r="AB2890">
        <v>25</v>
      </c>
      <c r="AC2890">
        <v>-15.6897</v>
      </c>
      <c r="AD2890">
        <v>-1.0968316530339901</v>
      </c>
      <c r="AE2890">
        <v>-5.25980000000001</v>
      </c>
      <c r="AF2890">
        <v>10.622076375804699</v>
      </c>
      <c r="AG2890">
        <v>-1.0968316530339901</v>
      </c>
      <c r="AH2890">
        <v>12.5941796073653</v>
      </c>
      <c r="AI2890">
        <v>93.808761839361097</v>
      </c>
      <c r="AJ2890">
        <v>49.855330240170701</v>
      </c>
      <c r="AK2890">
        <v>16.511962517856599</v>
      </c>
      <c r="AL2890">
        <v>95.323175115788601</v>
      </c>
      <c r="AM2890">
        <v>68.892038414043498</v>
      </c>
      <c r="AN2890">
        <v>0.99999997120409301</v>
      </c>
    </row>
    <row r="2891" spans="1:40" x14ac:dyDescent="0.25">
      <c r="A2891" t="str">
        <f>"20190305135644198"</f>
        <v>20190305135644198</v>
      </c>
      <c r="B2891" t="str">
        <f>"1551765404195107"</f>
        <v>1551765404195107</v>
      </c>
      <c r="C2891" t="s">
        <v>40</v>
      </c>
      <c r="D2891">
        <v>4.306959</v>
      </c>
      <c r="E2891">
        <v>0.62839840000000002</v>
      </c>
      <c r="F2891" t="s">
        <v>42</v>
      </c>
      <c r="G2891">
        <v>-212.58019999999999</v>
      </c>
      <c r="H2891" s="1">
        <v>-4.0829420000000002E-6</v>
      </c>
      <c r="I2891">
        <v>141.8528</v>
      </c>
      <c r="J2891">
        <v>-195.79470000000001</v>
      </c>
      <c r="K2891">
        <v>1.0967070000000001</v>
      </c>
      <c r="L2891">
        <v>147.26519999999999</v>
      </c>
      <c r="M2891">
        <v>-0.53405950000000002</v>
      </c>
      <c r="N2891">
        <v>-1.301516E-2</v>
      </c>
      <c r="O2891">
        <v>-0.84534690000000001</v>
      </c>
      <c r="P2891">
        <v>-0.79998939999999996</v>
      </c>
      <c r="Q2891">
        <v>-9.4834539999999995E-2</v>
      </c>
      <c r="R2891">
        <v>-0.59247249999999996</v>
      </c>
      <c r="S2891">
        <v>-3.0082550000000001</v>
      </c>
      <c r="T2891">
        <v>-0.19495499999999999</v>
      </c>
      <c r="U2891">
        <v>-0.99661250000000001</v>
      </c>
      <c r="V2891">
        <v>0.35728720000000003</v>
      </c>
      <c r="W2891">
        <v>-9.3321230000000005E-2</v>
      </c>
      <c r="X2891">
        <v>0.9293207</v>
      </c>
      <c r="Y2891">
        <v>0.63275400000000004</v>
      </c>
      <c r="Z2891">
        <v>5.5133149999999999E-2</v>
      </c>
      <c r="AA2891">
        <v>0.77238769999999901</v>
      </c>
      <c r="AB2891">
        <v>25</v>
      </c>
      <c r="AC2891">
        <v>-16.7854999999999</v>
      </c>
      <c r="AD2891">
        <v>-1.0967110829419999</v>
      </c>
      <c r="AE2891">
        <v>-5.4123999999999901</v>
      </c>
      <c r="AF2891">
        <v>11.256454908176</v>
      </c>
      <c r="AG2891">
        <v>-1.0967110829419999</v>
      </c>
      <c r="AH2891">
        <v>13.488796751566801</v>
      </c>
      <c r="AI2891">
        <v>93.572027075004996</v>
      </c>
      <c r="AJ2891">
        <v>50.154866722890198</v>
      </c>
      <c r="AK2891">
        <v>17.602789270576601</v>
      </c>
      <c r="AL2891">
        <v>95.354704214101702</v>
      </c>
      <c r="AM2891">
        <v>68.970214704918007</v>
      </c>
      <c r="AN2891">
        <v>0.99999997935052098</v>
      </c>
    </row>
    <row r="2892" spans="1:40" x14ac:dyDescent="0.25">
      <c r="A2892" t="str">
        <f>"20190305135644219"</f>
        <v>20190305135644219</v>
      </c>
      <c r="B2892" t="str">
        <f>"1551765404214627"</f>
        <v>1551765404214627</v>
      </c>
      <c r="C2892" t="s">
        <v>40</v>
      </c>
      <c r="D2892">
        <v>4.2968989999999998</v>
      </c>
      <c r="E2892">
        <v>0.62725600000000004</v>
      </c>
      <c r="F2892" t="s">
        <v>42</v>
      </c>
      <c r="G2892">
        <v>-212.952</v>
      </c>
      <c r="H2892" s="1">
        <v>-3.8884349999999998E-6</v>
      </c>
      <c r="I2892">
        <v>141.78229999999999</v>
      </c>
      <c r="J2892">
        <v>-195.947</v>
      </c>
      <c r="K2892">
        <v>1.0965929999999999</v>
      </c>
      <c r="L2892">
        <v>147.06020000000001</v>
      </c>
      <c r="M2892">
        <v>-0.54920069999999999</v>
      </c>
      <c r="N2892">
        <v>-1.298819E-2</v>
      </c>
      <c r="O2892">
        <v>-0.83558960000000004</v>
      </c>
      <c r="P2892">
        <v>-0.80982500000000002</v>
      </c>
      <c r="Q2892">
        <v>-9.4200370000000005E-2</v>
      </c>
      <c r="R2892">
        <v>-0.57905969999999996</v>
      </c>
      <c r="S2892">
        <v>-3.0139010000000002</v>
      </c>
      <c r="T2892">
        <v>-0.19265199999999999</v>
      </c>
      <c r="U2892">
        <v>-0.96314999999999995</v>
      </c>
      <c r="V2892">
        <v>0.35609010000000002</v>
      </c>
      <c r="W2892">
        <v>-9.2762999999999998E-2</v>
      </c>
      <c r="X2892">
        <v>0.92983590000000005</v>
      </c>
      <c r="Y2892">
        <v>0.62703989999999998</v>
      </c>
      <c r="Z2892">
        <v>5.426421E-2</v>
      </c>
      <c r="AA2892">
        <v>0.77709479999999997</v>
      </c>
      <c r="AB2892">
        <v>25</v>
      </c>
      <c r="AC2892">
        <v>-17.0049999999999</v>
      </c>
      <c r="AD2892">
        <v>-1.0965968884349999</v>
      </c>
      <c r="AE2892">
        <v>-5.2779000000000096</v>
      </c>
      <c r="AF2892">
        <v>11.2687843718327</v>
      </c>
      <c r="AG2892">
        <v>-1.0965968884349999</v>
      </c>
      <c r="AH2892">
        <v>13.6985151702852</v>
      </c>
      <c r="AI2892">
        <v>93.537641972692498</v>
      </c>
      <c r="AJ2892">
        <v>50.558323470450503</v>
      </c>
      <c r="AK2892">
        <v>17.771813183384499</v>
      </c>
      <c r="AL2892">
        <v>95.322580708366701</v>
      </c>
      <c r="AM2892">
        <v>69.045151103208198</v>
      </c>
      <c r="AN2892">
        <v>0.99999996720790896</v>
      </c>
    </row>
    <row r="2893" spans="1:40" x14ac:dyDescent="0.25">
      <c r="A2893" t="str">
        <f>"20190305135644241"</f>
        <v>20190305135644241</v>
      </c>
      <c r="B2893" t="str">
        <f>"1551765404235124"</f>
        <v>1551765404235124</v>
      </c>
      <c r="C2893" t="s">
        <v>40</v>
      </c>
      <c r="D2893">
        <v>4.2895440000000002</v>
      </c>
      <c r="E2893">
        <v>0.62609869999999901</v>
      </c>
      <c r="F2893" t="s">
        <v>42</v>
      </c>
      <c r="G2893">
        <v>-213.03200000000001</v>
      </c>
      <c r="H2893" s="1">
        <v>-3.8723969999999997E-6</v>
      </c>
      <c r="I2893">
        <v>141.86420000000001</v>
      </c>
      <c r="J2893">
        <v>-196.1028</v>
      </c>
      <c r="K2893">
        <v>1.0964989999999999</v>
      </c>
      <c r="L2893">
        <v>146.85820000000001</v>
      </c>
      <c r="M2893">
        <v>-0.56421750000000004</v>
      </c>
      <c r="N2893">
        <v>-1.2964679999999999E-2</v>
      </c>
      <c r="O2893">
        <v>-0.82552440000000005</v>
      </c>
      <c r="P2893">
        <v>-0.81960010000000005</v>
      </c>
      <c r="Q2893">
        <v>-9.348236E-2</v>
      </c>
      <c r="R2893">
        <v>-0.56525800000000004</v>
      </c>
      <c r="S2893">
        <v>-3.0242610000000001</v>
      </c>
      <c r="T2893">
        <v>-0.19411149999999999</v>
      </c>
      <c r="U2893">
        <v>-0.91975399999999996</v>
      </c>
      <c r="V2893">
        <v>0.35510160000000002</v>
      </c>
      <c r="W2893">
        <v>-9.2107469999999997E-2</v>
      </c>
      <c r="X2893">
        <v>0.93027899999999997</v>
      </c>
      <c r="Y2893">
        <v>0.62387749999999997</v>
      </c>
      <c r="Z2893">
        <v>5.4624779999999998E-2</v>
      </c>
      <c r="AA2893">
        <v>0.77961080000000005</v>
      </c>
      <c r="AB2893">
        <v>25</v>
      </c>
      <c r="AC2893">
        <v>-16.929200000000002</v>
      </c>
      <c r="AD2893">
        <v>-1.0965028723969901</v>
      </c>
      <c r="AE2893">
        <v>-4.9939999999999998</v>
      </c>
      <c r="AF2893">
        <v>11.1158040400305</v>
      </c>
      <c r="AG2893">
        <v>-1.0965028723969901</v>
      </c>
      <c r="AH2893">
        <v>13.6229938386897</v>
      </c>
      <c r="AI2893">
        <v>93.568517083158795</v>
      </c>
      <c r="AJ2893">
        <v>50.786966038748702</v>
      </c>
      <c r="AK2893">
        <v>17.616735768425201</v>
      </c>
      <c r="AL2893">
        <v>95.284860069038899</v>
      </c>
      <c r="AM2893">
        <v>69.107386211907794</v>
      </c>
      <c r="AN2893">
        <v>0.99999997509668004</v>
      </c>
    </row>
    <row r="2894" spans="1:40" x14ac:dyDescent="0.25">
      <c r="A2894" t="str">
        <f>"20190305135644265"</f>
        <v>20190305135644265</v>
      </c>
      <c r="B2894" t="str">
        <f>"1551765404255620"</f>
        <v>1551765404255620</v>
      </c>
      <c r="C2894" t="s">
        <v>40</v>
      </c>
      <c r="D2894">
        <v>4.3186429999999998</v>
      </c>
      <c r="E2894">
        <v>0.61497650000000004</v>
      </c>
      <c r="F2894" t="s">
        <v>42</v>
      </c>
      <c r="G2894">
        <v>-213.3021</v>
      </c>
      <c r="H2894" s="1">
        <v>-3.7527020000000001E-6</v>
      </c>
      <c r="I2894">
        <v>141.89429999999999</v>
      </c>
      <c r="J2894">
        <v>-196.2724</v>
      </c>
      <c r="K2894">
        <v>1.0964160000000001</v>
      </c>
      <c r="L2894">
        <v>146.6465</v>
      </c>
      <c r="M2894">
        <v>-0.5800324</v>
      </c>
      <c r="N2894">
        <v>-1.29427E-2</v>
      </c>
      <c r="O2894">
        <v>-0.81449050000000001</v>
      </c>
      <c r="P2894">
        <v>-0.82952109999999901</v>
      </c>
      <c r="Q2894">
        <v>-9.4043310000000005E-2</v>
      </c>
      <c r="R2894">
        <v>-0.5505004</v>
      </c>
      <c r="S2894">
        <v>-3.0342859999999998</v>
      </c>
      <c r="T2894">
        <v>-0.1934439</v>
      </c>
      <c r="U2894">
        <v>-0.87573239999999997</v>
      </c>
      <c r="V2894">
        <v>0.35372569999999998</v>
      </c>
      <c r="W2894">
        <v>-9.2705540000000003E-2</v>
      </c>
      <c r="X2894">
        <v>0.93074369999999995</v>
      </c>
      <c r="Y2894">
        <v>0.61994989999999905</v>
      </c>
      <c r="Z2894">
        <v>5.4238799999999997E-2</v>
      </c>
      <c r="AA2894">
        <v>0.78276449999999997</v>
      </c>
      <c r="AB2894">
        <v>25</v>
      </c>
      <c r="AC2894">
        <v>-17.029699999999899</v>
      </c>
      <c r="AD2894">
        <v>-1.0964197527020001</v>
      </c>
      <c r="AE2894">
        <v>-4.75220000000001</v>
      </c>
      <c r="AF2894">
        <v>11.0724495214364</v>
      </c>
      <c r="AG2894">
        <v>-1.0964197527020001</v>
      </c>
      <c r="AH2894">
        <v>13.6968782680744</v>
      </c>
      <c r="AI2894">
        <v>93.562181046292096</v>
      </c>
      <c r="AJ2894">
        <v>51.048196048400499</v>
      </c>
      <c r="AK2894">
        <v>17.646692295422501</v>
      </c>
      <c r="AL2894">
        <v>95.319274008376695</v>
      </c>
      <c r="AM2894">
        <v>69.190890926566595</v>
      </c>
      <c r="AN2894">
        <v>1.00000001153843</v>
      </c>
    </row>
    <row r="2895" spans="1:40" x14ac:dyDescent="0.25">
      <c r="A2895" t="str">
        <f>"20190305135644290"</f>
        <v>20190305135644290</v>
      </c>
      <c r="B2895" t="str">
        <f>"1551765404284900"</f>
        <v>1551765404284900</v>
      </c>
      <c r="C2895" t="s">
        <v>40</v>
      </c>
      <c r="D2895">
        <v>4.2944250000000004</v>
      </c>
      <c r="E2895">
        <v>0.611357699999999</v>
      </c>
      <c r="F2895" t="s">
        <v>42</v>
      </c>
      <c r="G2895">
        <v>-217.72929999999999</v>
      </c>
      <c r="H2895" s="1">
        <v>-1.2112290000000001E-6</v>
      </c>
      <c r="I2895">
        <v>140.20779999999999</v>
      </c>
      <c r="J2895">
        <v>-196.46129999999999</v>
      </c>
      <c r="K2895">
        <v>1.0963350000000001</v>
      </c>
      <c r="L2895">
        <v>146.42009999999999</v>
      </c>
      <c r="M2895">
        <v>-0.5970261</v>
      </c>
      <c r="N2895">
        <v>-1.2922090000000001E-2</v>
      </c>
      <c r="O2895">
        <v>-0.80211779999999999</v>
      </c>
      <c r="P2895">
        <v>-0.83942700000000003</v>
      </c>
      <c r="Q2895">
        <v>-9.6402020000000005E-2</v>
      </c>
      <c r="R2895">
        <v>-0.5348543</v>
      </c>
      <c r="S2895">
        <v>-3.0014340000000002</v>
      </c>
      <c r="T2895">
        <v>-0.1533688</v>
      </c>
      <c r="U2895">
        <v>-0.9006653</v>
      </c>
      <c r="V2895">
        <v>0.3513095</v>
      </c>
      <c r="W2895">
        <v>-9.5055260000000003E-2</v>
      </c>
      <c r="X2895">
        <v>0.93142159999999996</v>
      </c>
      <c r="Y2895">
        <v>0.59563299999999997</v>
      </c>
      <c r="Z2895">
        <v>4.1064679999999999E-2</v>
      </c>
      <c r="AA2895">
        <v>0.80220639999999999</v>
      </c>
      <c r="AB2895">
        <v>25</v>
      </c>
      <c r="AC2895">
        <v>-21.268000000000001</v>
      </c>
      <c r="AD2895">
        <v>-1.096336211229</v>
      </c>
      <c r="AE2895">
        <v>-6.2122999999999902</v>
      </c>
      <c r="AF2895">
        <v>13.3190402899526</v>
      </c>
      <c r="AG2895">
        <v>-1.096336211229</v>
      </c>
      <c r="AH2895">
        <v>17.638836543251699</v>
      </c>
      <c r="AI2895">
        <v>92.839664458593901</v>
      </c>
      <c r="AJ2895">
        <v>52.943639753411802</v>
      </c>
      <c r="AK2895">
        <v>22.1297840462347</v>
      </c>
      <c r="AL2895">
        <v>95.454500194784501</v>
      </c>
      <c r="AM2895">
        <v>69.334748512078306</v>
      </c>
      <c r="AN2895">
        <v>1.00000003209523</v>
      </c>
    </row>
    <row r="2896" spans="1:40" x14ac:dyDescent="0.25">
      <c r="A2896" t="str">
        <f>"20190305135644310"</f>
        <v>20190305135644310</v>
      </c>
      <c r="B2896" t="str">
        <f>"1551765404305395"</f>
        <v>1551765404305395</v>
      </c>
      <c r="C2896" t="s">
        <v>40</v>
      </c>
      <c r="D2896">
        <v>4.3189580000000003</v>
      </c>
      <c r="E2896">
        <v>0.60961469999999995</v>
      </c>
      <c r="F2896" t="s">
        <v>42</v>
      </c>
      <c r="G2896">
        <v>-212.24080000000001</v>
      </c>
      <c r="H2896" s="1">
        <v>-4.2509710000000003E-6</v>
      </c>
      <c r="I2896">
        <v>141.88130000000001</v>
      </c>
      <c r="J2896">
        <v>-196.60820000000001</v>
      </c>
      <c r="K2896">
        <v>1.0962860000000001</v>
      </c>
      <c r="L2896">
        <v>146.25069999999999</v>
      </c>
      <c r="M2896">
        <v>-0.60979309999999998</v>
      </c>
      <c r="N2896">
        <v>-1.290899E-2</v>
      </c>
      <c r="O2896">
        <v>-0.79245559999999904</v>
      </c>
      <c r="P2896">
        <v>-0.84591419999999995</v>
      </c>
      <c r="Q2896">
        <v>-9.8214480000000007E-2</v>
      </c>
      <c r="R2896">
        <v>-0.52419749999999998</v>
      </c>
      <c r="S2896">
        <v>-3.000092</v>
      </c>
      <c r="T2896">
        <v>-0.20844260000000001</v>
      </c>
      <c r="U2896">
        <v>-0.86294559999999998</v>
      </c>
      <c r="V2896">
        <v>0.34794770000000003</v>
      </c>
      <c r="W2896">
        <v>-9.6795290000000006E-2</v>
      </c>
      <c r="X2896">
        <v>0.93250359999999999</v>
      </c>
      <c r="Y2896">
        <v>0.59092210000000001</v>
      </c>
      <c r="Z2896">
        <v>5.849944E-2</v>
      </c>
      <c r="AA2896">
        <v>0.80460489999999996</v>
      </c>
      <c r="AB2896">
        <v>25</v>
      </c>
      <c r="AC2896">
        <v>-15.632599999999901</v>
      </c>
      <c r="AD2896">
        <v>-1.096290250971</v>
      </c>
      <c r="AE2896">
        <v>-4.3693999999999802</v>
      </c>
      <c r="AF2896">
        <v>9.6803627803055896</v>
      </c>
      <c r="AG2896">
        <v>-1.096290250971</v>
      </c>
      <c r="AH2896">
        <v>12.9372740052694</v>
      </c>
      <c r="AI2896">
        <v>93.881452191845099</v>
      </c>
      <c r="AJ2896">
        <v>53.194192673195303</v>
      </c>
      <c r="AK2896">
        <v>16.1951947984616</v>
      </c>
      <c r="AL2896">
        <v>95.554658929684507</v>
      </c>
      <c r="AM2896">
        <v>69.537804225425702</v>
      </c>
      <c r="AN2896">
        <v>0.99999994705721496</v>
      </c>
    </row>
    <row r="2897" spans="1:40" x14ac:dyDescent="0.25">
      <c r="A2897" t="str">
        <f>"20190305135644330"</f>
        <v>20190305135644330</v>
      </c>
      <c r="B2897" t="str">
        <f>"1551765404324915"</f>
        <v>1551765404324915</v>
      </c>
      <c r="C2897" t="s">
        <v>40</v>
      </c>
      <c r="D2897">
        <v>4.3083</v>
      </c>
      <c r="E2897">
        <v>0.60793699999999995</v>
      </c>
      <c r="F2897" t="s">
        <v>42</v>
      </c>
      <c r="G2897">
        <v>-211.3888</v>
      </c>
      <c r="H2897" s="1">
        <v>-4.624948E-6</v>
      </c>
      <c r="I2897">
        <v>142.1362</v>
      </c>
      <c r="J2897">
        <v>-196.77209999999999</v>
      </c>
      <c r="K2897">
        <v>1.096247</v>
      </c>
      <c r="L2897">
        <v>146.06809999999999</v>
      </c>
      <c r="M2897">
        <v>-0.62358769999999997</v>
      </c>
      <c r="N2897">
        <v>-1.2896700000000001E-2</v>
      </c>
      <c r="O2897">
        <v>-0.78164709999999904</v>
      </c>
      <c r="P2897">
        <v>-0.85186419999999996</v>
      </c>
      <c r="Q2897">
        <v>-9.8243380000000005E-2</v>
      </c>
      <c r="R2897">
        <v>-0.5144668</v>
      </c>
      <c r="S2897">
        <v>-3.00264</v>
      </c>
      <c r="T2897">
        <v>-0.22270770000000001</v>
      </c>
      <c r="U2897">
        <v>-0.83583069999999904</v>
      </c>
      <c r="V2897">
        <v>0.34228629999999999</v>
      </c>
      <c r="W2897">
        <v>-9.6663349999999995E-2</v>
      </c>
      <c r="X2897">
        <v>0.93461019999999995</v>
      </c>
      <c r="Y2897">
        <v>0.58337419999999995</v>
      </c>
      <c r="Z2897">
        <v>6.2611349999999996E-2</v>
      </c>
      <c r="AA2897">
        <v>0.80978660000000002</v>
      </c>
      <c r="AB2897">
        <v>25</v>
      </c>
      <c r="AC2897">
        <v>-14.6167</v>
      </c>
      <c r="AD2897">
        <v>-1.0962516249480001</v>
      </c>
      <c r="AE2897">
        <v>-3.9318999999999802</v>
      </c>
      <c r="AF2897">
        <v>8.9271357938691107</v>
      </c>
      <c r="AG2897">
        <v>-1.0962516249480001</v>
      </c>
      <c r="AH2897">
        <v>12.125561748311</v>
      </c>
      <c r="AI2897">
        <v>94.164084253727395</v>
      </c>
      <c r="AJ2897">
        <v>53.638588770854597</v>
      </c>
      <c r="AK2897">
        <v>15.0971775116902</v>
      </c>
      <c r="AL2897">
        <v>95.547063579416502</v>
      </c>
      <c r="AM2897">
        <v>69.885537222523794</v>
      </c>
      <c r="AN2897">
        <v>0.99999997017247499</v>
      </c>
    </row>
    <row r="2898" spans="1:40" x14ac:dyDescent="0.25">
      <c r="A2898" t="str">
        <f>"20190305135644366"</f>
        <v>20190305135644366</v>
      </c>
      <c r="B2898" t="str">
        <f>"1551765404355175"</f>
        <v>1551765404355175</v>
      </c>
      <c r="C2898" t="s">
        <v>40</v>
      </c>
      <c r="D2898">
        <v>4.3213939999999997</v>
      </c>
      <c r="E2898">
        <v>0.6069177</v>
      </c>
      <c r="F2898" t="s">
        <v>42</v>
      </c>
      <c r="G2898">
        <v>-211.142</v>
      </c>
      <c r="H2898" s="1">
        <v>-4.7283990000000001E-6</v>
      </c>
      <c r="I2898">
        <v>142.18510000000001</v>
      </c>
      <c r="J2898">
        <v>-197.053</v>
      </c>
      <c r="K2898">
        <v>1.0961939999999999</v>
      </c>
      <c r="L2898">
        <v>145.7697</v>
      </c>
      <c r="M2898">
        <v>-0.64621059999999997</v>
      </c>
      <c r="N2898">
        <v>-1.288013E-2</v>
      </c>
      <c r="O2898">
        <v>-0.76305059999999902</v>
      </c>
      <c r="P2898">
        <v>-0.86250559999999998</v>
      </c>
      <c r="Q2898">
        <v>-9.5744889999999999E-2</v>
      </c>
      <c r="R2898">
        <v>-0.4969076</v>
      </c>
      <c r="S2898">
        <v>-3.0048680000000001</v>
      </c>
      <c r="T2898">
        <v>-0.22923479999999999</v>
      </c>
      <c r="U2898">
        <v>-0.81196590000000002</v>
      </c>
      <c r="V2898">
        <v>0.33434229999999998</v>
      </c>
      <c r="W2898">
        <v>-9.393311E-2</v>
      </c>
      <c r="X2898">
        <v>0.93775889999999995</v>
      </c>
      <c r="Y2898">
        <v>0.56551130000000005</v>
      </c>
      <c r="Z2898">
        <v>6.3597719999999996E-2</v>
      </c>
      <c r="AA2898">
        <v>0.82228480000000004</v>
      </c>
      <c r="AB2898">
        <v>25</v>
      </c>
      <c r="AC2898">
        <v>-14.089</v>
      </c>
      <c r="AD2898">
        <v>-1.096198728399</v>
      </c>
      <c r="AE2898">
        <v>-3.5845999999999898</v>
      </c>
      <c r="AF2898">
        <v>8.3872254292055199</v>
      </c>
      <c r="AG2898">
        <v>-1.096198728399</v>
      </c>
      <c r="AH2898">
        <v>11.773732058102899</v>
      </c>
      <c r="AI2898">
        <v>94.336540287922006</v>
      </c>
      <c r="AJ2898">
        <v>54.535159191801</v>
      </c>
      <c r="AK2898">
        <v>14.4971710560528</v>
      </c>
      <c r="AL2898">
        <v>95.389917039229204</v>
      </c>
      <c r="AM2898">
        <v>70.377154831116499</v>
      </c>
      <c r="AN2898">
        <v>0.99999997862638501</v>
      </c>
    </row>
    <row r="2899" spans="1:40" x14ac:dyDescent="0.25">
      <c r="A2899" t="str">
        <f>"20190305135644387"</f>
        <v>20190305135644387</v>
      </c>
      <c r="B2899" t="str">
        <f>"1551765404374691"</f>
        <v>1551765404374691</v>
      </c>
      <c r="C2899" t="s">
        <v>40</v>
      </c>
      <c r="D2899">
        <v>4.2952279999999998</v>
      </c>
      <c r="E2899">
        <v>0.60561719999999997</v>
      </c>
      <c r="F2899" t="s">
        <v>42</v>
      </c>
      <c r="G2899">
        <v>-211.68960000000001</v>
      </c>
      <c r="H2899" s="1">
        <v>-4.502912E-6</v>
      </c>
      <c r="I2899">
        <v>142.0994</v>
      </c>
      <c r="J2899">
        <v>-197.22399999999999</v>
      </c>
      <c r="K2899">
        <v>1.0961650000000001</v>
      </c>
      <c r="L2899">
        <v>145.596</v>
      </c>
      <c r="M2899">
        <v>-0.65939340000000002</v>
      </c>
      <c r="N2899">
        <v>-1.287188E-2</v>
      </c>
      <c r="O2899">
        <v>-0.75168819999999903</v>
      </c>
      <c r="P2899">
        <v>-0.86897440000000004</v>
      </c>
      <c r="Q2899">
        <v>-9.5682669999999997E-2</v>
      </c>
      <c r="R2899">
        <v>-0.48551929999999999</v>
      </c>
      <c r="S2899">
        <v>-3.017242</v>
      </c>
      <c r="T2899">
        <v>-0.22597439999999999</v>
      </c>
      <c r="U2899">
        <v>-0.75660709999999998</v>
      </c>
      <c r="V2899">
        <v>0.33036179999999998</v>
      </c>
      <c r="W2899">
        <v>-9.3757300000000002E-2</v>
      </c>
      <c r="X2899">
        <v>0.93918619999999997</v>
      </c>
      <c r="Y2899">
        <v>0.56623880000000004</v>
      </c>
      <c r="Z2899">
        <v>6.2342290000000002E-2</v>
      </c>
      <c r="AA2899">
        <v>0.82188030000000001</v>
      </c>
      <c r="AB2899">
        <v>25</v>
      </c>
      <c r="AC2899">
        <v>-14.465599999999901</v>
      </c>
      <c r="AD2899">
        <v>-1.096169502912</v>
      </c>
      <c r="AE2899">
        <v>-3.4965999999999999</v>
      </c>
      <c r="AF2899">
        <v>8.5224570149550498</v>
      </c>
      <c r="AG2899">
        <v>-1.096169502912</v>
      </c>
      <c r="AH2899">
        <v>12.102221386366001</v>
      </c>
      <c r="AI2899">
        <v>94.235366866037197</v>
      </c>
      <c r="AJ2899">
        <v>54.846563259593196</v>
      </c>
      <c r="AK2899">
        <v>14.842426473979501</v>
      </c>
      <c r="AL2899">
        <v>95.379798915977503</v>
      </c>
      <c r="AM2899">
        <v>70.620511492947998</v>
      </c>
      <c r="AN2899">
        <v>1.0000000342364801</v>
      </c>
    </row>
    <row r="2900" spans="1:40" x14ac:dyDescent="0.25">
      <c r="A2900" t="str">
        <f>"20190305135644409"</f>
        <v>20190305135644409</v>
      </c>
      <c r="B2900" t="str">
        <f>"1551765404404948"</f>
        <v>1551765404404948</v>
      </c>
      <c r="C2900" t="s">
        <v>40</v>
      </c>
      <c r="D2900">
        <v>4.3520250000000003</v>
      </c>
      <c r="E2900">
        <v>0.60389569999999904</v>
      </c>
      <c r="F2900" t="s">
        <v>42</v>
      </c>
      <c r="G2900">
        <v>-211.48240000000001</v>
      </c>
      <c r="H2900" s="1">
        <v>-4.5957010000000001E-6</v>
      </c>
      <c r="I2900">
        <v>142.17400000000001</v>
      </c>
      <c r="J2900">
        <v>-197.40940000000001</v>
      </c>
      <c r="K2900">
        <v>1.0961430000000001</v>
      </c>
      <c r="L2900">
        <v>145.41419999999999</v>
      </c>
      <c r="M2900">
        <v>-0.67320630000000004</v>
      </c>
      <c r="N2900">
        <v>-1.286288E-2</v>
      </c>
      <c r="O2900">
        <v>-0.73934299999999997</v>
      </c>
      <c r="P2900">
        <v>-0.87612630000000002</v>
      </c>
      <c r="Q2900">
        <v>-9.6480609999999994E-2</v>
      </c>
      <c r="R2900">
        <v>-0.47232859999999999</v>
      </c>
      <c r="S2900">
        <v>-3.0215909999999999</v>
      </c>
      <c r="T2900">
        <v>-0.23229559999999999</v>
      </c>
      <c r="U2900">
        <v>-0.72518919999999998</v>
      </c>
      <c r="V2900">
        <v>0.32706849999999998</v>
      </c>
      <c r="W2900">
        <v>-9.4463489999999997E-2</v>
      </c>
      <c r="X2900">
        <v>0.94026739999999998</v>
      </c>
      <c r="Y2900">
        <v>0.55917779999999995</v>
      </c>
      <c r="Z2900">
        <v>6.3695100000000004E-2</v>
      </c>
      <c r="AA2900">
        <v>0.82659729999999998</v>
      </c>
      <c r="AB2900">
        <v>25</v>
      </c>
      <c r="AC2900">
        <v>-14.073</v>
      </c>
      <c r="AD2900">
        <v>-1.0961475957009901</v>
      </c>
      <c r="AE2900">
        <v>-3.2401999999999802</v>
      </c>
      <c r="AF2900">
        <v>8.1770188904114107</v>
      </c>
      <c r="AG2900">
        <v>-1.0961475957009901</v>
      </c>
      <c r="AH2900">
        <v>11.8026318008448</v>
      </c>
      <c r="AI2900">
        <v>94.365578813303003</v>
      </c>
      <c r="AJ2900">
        <v>55.285272511679501</v>
      </c>
      <c r="AK2900">
        <v>14.4002532933285</v>
      </c>
      <c r="AL2900">
        <v>95.420441355288801</v>
      </c>
      <c r="AM2900">
        <v>70.8199608122125</v>
      </c>
      <c r="AN2900">
        <v>0.99999996906899402</v>
      </c>
    </row>
    <row r="2901" spans="1:40" x14ac:dyDescent="0.25">
      <c r="A2901" t="str">
        <f>"20190305135644432"</f>
        <v>20190305135644432</v>
      </c>
      <c r="B2901" t="str">
        <f>"1551765404425444"</f>
        <v>1551765404425444</v>
      </c>
      <c r="C2901" t="s">
        <v>40</v>
      </c>
      <c r="D2901">
        <v>4.2830120000000003</v>
      </c>
      <c r="E2901">
        <v>0.6026106</v>
      </c>
      <c r="F2901" t="s">
        <v>42</v>
      </c>
      <c r="G2901">
        <v>-211.05930000000001</v>
      </c>
      <c r="H2901" s="1">
        <v>-4.7802469999999998E-6</v>
      </c>
      <c r="I2901">
        <v>142.29839999999999</v>
      </c>
      <c r="J2901">
        <v>-197.5986</v>
      </c>
      <c r="K2901">
        <v>1.0961270000000001</v>
      </c>
      <c r="L2901">
        <v>145.23580000000001</v>
      </c>
      <c r="M2901">
        <v>-0.68676479999999995</v>
      </c>
      <c r="N2901">
        <v>-1.2851120000000001E-2</v>
      </c>
      <c r="O2901">
        <v>-0.72676619999999903</v>
      </c>
      <c r="P2901">
        <v>-0.88313059999999999</v>
      </c>
      <c r="Q2901">
        <v>-9.8117049999999997E-2</v>
      </c>
      <c r="R2901">
        <v>-0.4587522</v>
      </c>
      <c r="S2901">
        <v>-3.0251619999999999</v>
      </c>
      <c r="T2901">
        <v>-0.2429335</v>
      </c>
      <c r="U2901">
        <v>-0.69052119999999995</v>
      </c>
      <c r="V2901">
        <v>0.32401000000000002</v>
      </c>
      <c r="W2901">
        <v>-9.6009460000000005E-2</v>
      </c>
      <c r="X2901">
        <v>0.94116929999999999</v>
      </c>
      <c r="Y2901">
        <v>0.55280689999999999</v>
      </c>
      <c r="Z2901">
        <v>6.6322549999999994E-2</v>
      </c>
      <c r="AA2901">
        <v>0.83066589999999996</v>
      </c>
      <c r="AB2901">
        <v>25</v>
      </c>
      <c r="AC2901">
        <v>-13.460699999999999</v>
      </c>
      <c r="AD2901">
        <v>-1.0961317802470001</v>
      </c>
      <c r="AE2901">
        <v>-2.9374000000000202</v>
      </c>
      <c r="AF2901">
        <v>7.71727121647461</v>
      </c>
      <c r="AG2901">
        <v>-1.0961317802470001</v>
      </c>
      <c r="AH2901">
        <v>11.3084969419355</v>
      </c>
      <c r="AI2901">
        <v>94.577525252441106</v>
      </c>
      <c r="AJ2901">
        <v>55.689152578228097</v>
      </c>
      <c r="AK2901">
        <v>13.7346235111873</v>
      </c>
      <c r="AL2901">
        <v>95.509423348861503</v>
      </c>
      <c r="AM2901">
        <v>71.003297038891006</v>
      </c>
      <c r="AN2901">
        <v>0.99999997388599005</v>
      </c>
    </row>
    <row r="2902" spans="1:40" x14ac:dyDescent="0.25">
      <c r="A2902" t="str">
        <f>"20190305135644454"</f>
        <v>20190305135644454</v>
      </c>
      <c r="B2902" t="str">
        <f>"1551765404444964"</f>
        <v>1551765404444964</v>
      </c>
      <c r="C2902" t="s">
        <v>40</v>
      </c>
      <c r="D2902">
        <v>4.3098910000000004</v>
      </c>
      <c r="E2902">
        <v>0.60204979999999997</v>
      </c>
      <c r="F2902" t="s">
        <v>42</v>
      </c>
      <c r="G2902">
        <v>-210.8047</v>
      </c>
      <c r="H2902" s="1">
        <v>-4.8945649999999998E-6</v>
      </c>
      <c r="I2902">
        <v>142.39179999999999</v>
      </c>
      <c r="J2902">
        <v>-197.7989</v>
      </c>
      <c r="K2902">
        <v>1.096141</v>
      </c>
      <c r="L2902">
        <v>145.0538</v>
      </c>
      <c r="M2902">
        <v>-0.70057259999999999</v>
      </c>
      <c r="N2902">
        <v>-1.283455E-2</v>
      </c>
      <c r="O2902">
        <v>-0.71346599999999905</v>
      </c>
      <c r="P2902">
        <v>-0.89035140000000002</v>
      </c>
      <c r="Q2902">
        <v>-9.8581569999999993E-2</v>
      </c>
      <c r="R2902">
        <v>-0.4444728</v>
      </c>
      <c r="S2902">
        <v>-3.0300750000000001</v>
      </c>
      <c r="T2902">
        <v>-0.25150040000000001</v>
      </c>
      <c r="U2902">
        <v>-0.65254209999999901</v>
      </c>
      <c r="V2902">
        <v>0.32107550000000001</v>
      </c>
      <c r="W2902">
        <v>-9.6375730000000007E-2</v>
      </c>
      <c r="X2902">
        <v>0.94213709999999995</v>
      </c>
      <c r="Y2902">
        <v>0.54685869999999903</v>
      </c>
      <c r="Z2902">
        <v>6.8210499999999993E-2</v>
      </c>
      <c r="AA2902">
        <v>0.83444169999999995</v>
      </c>
      <c r="AB2902">
        <v>25</v>
      </c>
      <c r="AC2902">
        <v>-13.005799999999899</v>
      </c>
      <c r="AD2902">
        <v>-1.096145894565</v>
      </c>
      <c r="AE2902">
        <v>-2.6619999999999999</v>
      </c>
      <c r="AF2902">
        <v>7.3646707002514598</v>
      </c>
      <c r="AG2902">
        <v>-1.096145894565</v>
      </c>
      <c r="AH2902">
        <v>10.937092172282499</v>
      </c>
      <c r="AI2902">
        <v>94.752211033713706</v>
      </c>
      <c r="AJ2902">
        <v>56.044998751345702</v>
      </c>
      <c r="AK2902">
        <v>13.231020199905901</v>
      </c>
      <c r="AL2902">
        <v>95.530506496339896</v>
      </c>
      <c r="AM2902">
        <v>71.1811526552071</v>
      </c>
      <c r="AN2902">
        <v>1.00000003661484</v>
      </c>
    </row>
    <row r="2903" spans="1:40" x14ac:dyDescent="0.25">
      <c r="A2903" t="str">
        <f>"20190305135644479"</f>
        <v>20190305135644479</v>
      </c>
      <c r="B2903" t="str">
        <f>"1551765404475220"</f>
        <v>1551765404475220</v>
      </c>
      <c r="C2903" t="s">
        <v>40</v>
      </c>
      <c r="D2903">
        <v>4.3121260000000001</v>
      </c>
      <c r="E2903">
        <v>0.58560970000000001</v>
      </c>
      <c r="F2903" t="s">
        <v>42</v>
      </c>
      <c r="G2903">
        <v>-210.9203</v>
      </c>
      <c r="H2903" s="1">
        <v>-4.8569510000000004E-6</v>
      </c>
      <c r="I2903">
        <v>142.4298</v>
      </c>
      <c r="J2903">
        <v>-198.0136</v>
      </c>
      <c r="K2903">
        <v>1.096168</v>
      </c>
      <c r="L2903">
        <v>144.86619999999999</v>
      </c>
      <c r="M2903">
        <v>-0.71477259999999998</v>
      </c>
      <c r="N2903">
        <v>-1.281406E-2</v>
      </c>
      <c r="O2903">
        <v>-0.69923939999999996</v>
      </c>
      <c r="P2903">
        <v>-0.89783679999999999</v>
      </c>
      <c r="Q2903">
        <v>-9.8298800000000006E-2</v>
      </c>
      <c r="R2903">
        <v>-0.4292164</v>
      </c>
      <c r="S2903">
        <v>-3.038071</v>
      </c>
      <c r="T2903">
        <v>-0.25379740000000001</v>
      </c>
      <c r="U2903">
        <v>-0.60754390000000003</v>
      </c>
      <c r="V2903">
        <v>0.3182528</v>
      </c>
      <c r="W2903">
        <v>-9.5989469999999993E-2</v>
      </c>
      <c r="X2903">
        <v>0.94313369999999996</v>
      </c>
      <c r="Y2903">
        <v>0.54231739999999995</v>
      </c>
      <c r="Z2903">
        <v>6.8154389999999995E-2</v>
      </c>
      <c r="AA2903">
        <v>0.83740479999999995</v>
      </c>
      <c r="AB2903">
        <v>25</v>
      </c>
      <c r="AC2903">
        <v>-12.906700000000001</v>
      </c>
      <c r="AD2903">
        <v>-1.0961728569509901</v>
      </c>
      <c r="AE2903">
        <v>-2.4363999999999901</v>
      </c>
      <c r="AF2903">
        <v>7.2336177742705798</v>
      </c>
      <c r="AG2903">
        <v>-1.0961728569509901</v>
      </c>
      <c r="AH2903">
        <v>10.8542807254178</v>
      </c>
      <c r="AI2903">
        <v>94.803727727618394</v>
      </c>
      <c r="AJ2903">
        <v>56.319323128280701</v>
      </c>
      <c r="AK2903">
        <v>13.0897758232421</v>
      </c>
      <c r="AL2903">
        <v>95.508272549860806</v>
      </c>
      <c r="AM2903">
        <v>71.353451286755401</v>
      </c>
      <c r="AN2903">
        <v>0.99999999956720498</v>
      </c>
    </row>
    <row r="2904" spans="1:40" x14ac:dyDescent="0.25">
      <c r="A2904" t="str">
        <f>"20190305135644501"</f>
        <v>20190305135644501</v>
      </c>
      <c r="B2904" t="str">
        <f>"1551765404495716"</f>
        <v>1551765404495716</v>
      </c>
      <c r="C2904" t="s">
        <v>40</v>
      </c>
      <c r="D2904">
        <v>4.3083720000000003</v>
      </c>
      <c r="E2904">
        <v>0.584866</v>
      </c>
      <c r="F2904" t="s">
        <v>73</v>
      </c>
      <c r="G2904">
        <v>-208.8527</v>
      </c>
      <c r="H2904" s="1">
        <v>-6.6231189999999996E-6</v>
      </c>
      <c r="I2904">
        <v>142.4427</v>
      </c>
      <c r="J2904">
        <v>-198.2115</v>
      </c>
      <c r="K2904">
        <v>1.0962080000000001</v>
      </c>
      <c r="L2904">
        <v>144.6995</v>
      </c>
      <c r="M2904">
        <v>-0.72733990000000004</v>
      </c>
      <c r="N2904">
        <v>-1.2793179999999999E-2</v>
      </c>
      <c r="O2904">
        <v>-0.68615819999999905</v>
      </c>
      <c r="P2904">
        <v>-0.90408270000000002</v>
      </c>
      <c r="Q2904">
        <v>-9.8265130000000006E-2</v>
      </c>
      <c r="R2904">
        <v>-0.41590660000000002</v>
      </c>
      <c r="S2904">
        <v>-2.988785</v>
      </c>
      <c r="T2904">
        <v>-0.30225970000000002</v>
      </c>
      <c r="U2904">
        <v>-0.66827389999999998</v>
      </c>
      <c r="V2904">
        <v>0.31509199999999998</v>
      </c>
      <c r="W2904">
        <v>-9.5832589999999995E-2</v>
      </c>
      <c r="X2904">
        <v>0.94421040000000001</v>
      </c>
      <c r="Y2904">
        <v>0.50638989999999995</v>
      </c>
      <c r="Z2904">
        <v>8.0775189999999997E-2</v>
      </c>
      <c r="AA2904">
        <v>0.85851309999999903</v>
      </c>
      <c r="AB2904">
        <v>25</v>
      </c>
      <c r="AC2904">
        <v>-10.6411999999999</v>
      </c>
      <c r="AD2904">
        <v>-1.096214623119</v>
      </c>
      <c r="AE2904">
        <v>-2.2567999999999899</v>
      </c>
      <c r="AF2904">
        <v>5.6036410398551304</v>
      </c>
      <c r="AG2904">
        <v>-1.096214623119</v>
      </c>
      <c r="AH2904">
        <v>9.1956641708490903</v>
      </c>
      <c r="AI2904">
        <v>95.812576813370995</v>
      </c>
      <c r="AJ2904">
        <v>58.642763995234198</v>
      </c>
      <c r="AK2904">
        <v>10.824172898957499</v>
      </c>
      <c r="AL2904">
        <v>95.499241988094994</v>
      </c>
      <c r="AM2904">
        <v>71.545654814552506</v>
      </c>
      <c r="AN2904">
        <v>1.00000006661913</v>
      </c>
    </row>
    <row r="2905" spans="1:40" x14ac:dyDescent="0.25">
      <c r="A2905" t="str">
        <f>"20190305135644521"</f>
        <v>20190305135644521</v>
      </c>
      <c r="B2905" t="str">
        <f>"1551765404515236"</f>
        <v>1551765404515236</v>
      </c>
      <c r="C2905" t="s">
        <v>40</v>
      </c>
      <c r="D2905">
        <v>4.340274</v>
      </c>
      <c r="E2905">
        <v>0.58419330000000003</v>
      </c>
      <c r="F2905" t="s">
        <v>73</v>
      </c>
      <c r="G2905">
        <v>-209.64320000000001</v>
      </c>
      <c r="H2905" s="1">
        <v>-6.2325500000000002E-6</v>
      </c>
      <c r="I2905">
        <v>142.2911</v>
      </c>
      <c r="J2905">
        <v>-198.3853</v>
      </c>
      <c r="K2905">
        <v>1.0962529999999999</v>
      </c>
      <c r="L2905">
        <v>144.55789999999999</v>
      </c>
      <c r="M2905">
        <v>-0.73796209999999995</v>
      </c>
      <c r="N2905">
        <v>-1.2771340000000001E-2</v>
      </c>
      <c r="O2905">
        <v>-0.67472129999999997</v>
      </c>
      <c r="P2905">
        <v>-0.90910749999999996</v>
      </c>
      <c r="Q2905">
        <v>-9.8634630000000001E-2</v>
      </c>
      <c r="R2905">
        <v>-0.40471570000000001</v>
      </c>
      <c r="S2905">
        <v>-2.9966279999999998</v>
      </c>
      <c r="T2905">
        <v>-0.28735280000000002</v>
      </c>
      <c r="U2905">
        <v>-0.63131709999999996</v>
      </c>
      <c r="V2905">
        <v>0.31198490000000001</v>
      </c>
      <c r="W2905">
        <v>-9.6076030000000007E-2</v>
      </c>
      <c r="X2905">
        <v>0.94521679999999997</v>
      </c>
      <c r="Y2905">
        <v>0.5040386</v>
      </c>
      <c r="Z2905">
        <v>7.5790300000000005E-2</v>
      </c>
      <c r="AA2905">
        <v>0.86034929999999998</v>
      </c>
      <c r="AB2905">
        <v>25</v>
      </c>
      <c r="AC2905">
        <v>-11.257899999999999</v>
      </c>
      <c r="AD2905">
        <v>-1.09625923255</v>
      </c>
      <c r="AE2905">
        <v>-2.2667999999999799</v>
      </c>
      <c r="AF2905">
        <v>5.8701222877150503</v>
      </c>
      <c r="AG2905">
        <v>-1.09625923255</v>
      </c>
      <c r="AH2905">
        <v>9.7493205162944001</v>
      </c>
      <c r="AI2905">
        <v>95.502376418283305</v>
      </c>
      <c r="AJ2905">
        <v>58.947610716843002</v>
      </c>
      <c r="AK2905">
        <v>11.4328198843119</v>
      </c>
      <c r="AL2905">
        <v>95.513255152903994</v>
      </c>
      <c r="AM2905">
        <v>71.733646855167194</v>
      </c>
      <c r="AN2905">
        <v>0.99999999018540497</v>
      </c>
    </row>
    <row r="2906" spans="1:40" x14ac:dyDescent="0.25">
      <c r="A2906" t="str">
        <f>"20190305135644544"</f>
        <v>20190305135644544</v>
      </c>
      <c r="B2906" t="str">
        <f>"1551765404534756"</f>
        <v>1551765404534756</v>
      </c>
      <c r="C2906" t="s">
        <v>40</v>
      </c>
      <c r="D2906">
        <v>4.3391769999999896</v>
      </c>
      <c r="E2906">
        <v>0.58378289999999999</v>
      </c>
      <c r="F2906" t="s">
        <v>42</v>
      </c>
      <c r="G2906">
        <v>-210.10329999999999</v>
      </c>
      <c r="H2906" s="1">
        <v>-5.1326949999999997E-6</v>
      </c>
      <c r="I2906">
        <v>142.2157</v>
      </c>
      <c r="J2906">
        <v>-198.608</v>
      </c>
      <c r="K2906">
        <v>1.09633</v>
      </c>
      <c r="L2906">
        <v>144.3826</v>
      </c>
      <c r="M2906">
        <v>-0.751021099999999</v>
      </c>
      <c r="N2906">
        <v>-1.273358E-2</v>
      </c>
      <c r="O2906">
        <v>-0.66015539999999995</v>
      </c>
      <c r="P2906">
        <v>-0.91552900000000004</v>
      </c>
      <c r="Q2906">
        <v>-9.8643170000000002E-2</v>
      </c>
      <c r="R2906">
        <v>-0.38996940000000002</v>
      </c>
      <c r="S2906">
        <v>-3.0022890000000002</v>
      </c>
      <c r="T2906">
        <v>-0.28087250000000002</v>
      </c>
      <c r="U2906">
        <v>-0.60009769999999996</v>
      </c>
      <c r="V2906">
        <v>0.30879179999999901</v>
      </c>
      <c r="W2906">
        <v>-9.5944199999999993E-2</v>
      </c>
      <c r="X2906">
        <v>0.94627819999999996</v>
      </c>
      <c r="Y2906">
        <v>0.49631360000000002</v>
      </c>
      <c r="Z2906">
        <v>7.2837550000000001E-2</v>
      </c>
      <c r="AA2906">
        <v>0.86508240000000003</v>
      </c>
      <c r="AB2906">
        <v>25</v>
      </c>
      <c r="AC2906">
        <v>-11.495299999999901</v>
      </c>
      <c r="AD2906">
        <v>-1.0963351326949999</v>
      </c>
      <c r="AE2906">
        <v>-2.1668999999999898</v>
      </c>
      <c r="AF2906">
        <v>5.9098690883490601</v>
      </c>
      <c r="AG2906">
        <v>-1.0963351326949999</v>
      </c>
      <c r="AH2906">
        <v>9.9768847714727809</v>
      </c>
      <c r="AI2906">
        <v>95.400981028971202</v>
      </c>
      <c r="AJ2906">
        <v>59.359359204796398</v>
      </c>
      <c r="AK2906">
        <v>11.6476063252434</v>
      </c>
      <c r="AL2906">
        <v>95.5056664725074</v>
      </c>
      <c r="AM2906">
        <v>71.927334084340501</v>
      </c>
      <c r="AN2906">
        <v>1.00000004852805</v>
      </c>
    </row>
    <row r="2907" spans="1:40" x14ac:dyDescent="0.25">
      <c r="A2907" t="str">
        <f>"20190305135644566"</f>
        <v>20190305135644566</v>
      </c>
      <c r="B2907" t="str">
        <f>"1551765404555255"</f>
        <v>1551765404555255</v>
      </c>
      <c r="C2907" t="s">
        <v>40</v>
      </c>
      <c r="D2907">
        <v>4.3322279999999997</v>
      </c>
      <c r="E2907">
        <v>0.58316539999999994</v>
      </c>
      <c r="F2907" t="s">
        <v>42</v>
      </c>
      <c r="G2907">
        <v>-210.89940000000001</v>
      </c>
      <c r="H2907" s="1">
        <v>-4.8087640000000003E-6</v>
      </c>
      <c r="I2907">
        <v>142.1129</v>
      </c>
      <c r="J2907">
        <v>-198.81659999999999</v>
      </c>
      <c r="K2907">
        <v>1.0964160000000001</v>
      </c>
      <c r="L2907">
        <v>144.2243</v>
      </c>
      <c r="M2907">
        <v>-0.76270389999999999</v>
      </c>
      <c r="N2907">
        <v>-1.2687800000000001E-2</v>
      </c>
      <c r="O2907">
        <v>-0.64662350000000002</v>
      </c>
      <c r="P2907">
        <v>-0.92129099999999997</v>
      </c>
      <c r="Q2907">
        <v>-9.817903E-2</v>
      </c>
      <c r="R2907">
        <v>-0.37627630000000001</v>
      </c>
      <c r="S2907">
        <v>-3.0110169999999998</v>
      </c>
      <c r="T2907">
        <v>-0.26856780000000002</v>
      </c>
      <c r="U2907">
        <v>-0.55601499999999904</v>
      </c>
      <c r="V2907">
        <v>0.3060541</v>
      </c>
      <c r="W2907">
        <v>-9.5352839999999994E-2</v>
      </c>
      <c r="X2907">
        <v>0.94722689999999998</v>
      </c>
      <c r="Y2907">
        <v>0.49389559999999999</v>
      </c>
      <c r="Z2907">
        <v>6.8605589999999994E-2</v>
      </c>
      <c r="AA2907">
        <v>0.86681039999999998</v>
      </c>
      <c r="AB2907">
        <v>25</v>
      </c>
      <c r="AC2907">
        <v>-12.082800000000001</v>
      </c>
      <c r="AD2907">
        <v>-1.0964208087639999</v>
      </c>
      <c r="AE2907">
        <v>-2.1114000000000002</v>
      </c>
      <c r="AF2907">
        <v>6.1539768337793799</v>
      </c>
      <c r="AG2907">
        <v>-1.0964208087639999</v>
      </c>
      <c r="AH2907">
        <v>10.497850717819199</v>
      </c>
      <c r="AI2907">
        <v>95.148562428248596</v>
      </c>
      <c r="AJ2907">
        <v>59.6206126239844</v>
      </c>
      <c r="AK2907">
        <v>12.217955604527299</v>
      </c>
      <c r="AL2907">
        <v>95.471628037723406</v>
      </c>
      <c r="AM2907">
        <v>72.094076554258905</v>
      </c>
      <c r="AN2907">
        <v>1.0000000381532399</v>
      </c>
    </row>
    <row r="2908" spans="1:40" x14ac:dyDescent="0.25">
      <c r="A2908" t="str">
        <f>"20190305135644588"</f>
        <v>20190305135644588</v>
      </c>
      <c r="B2908" t="str">
        <f>"1551765404585508"</f>
        <v>1551765404585508</v>
      </c>
      <c r="C2908" t="s">
        <v>40</v>
      </c>
      <c r="D2908">
        <v>4.5244759999999999</v>
      </c>
      <c r="E2908">
        <v>0.58239560000000001</v>
      </c>
      <c r="F2908" t="s">
        <v>42</v>
      </c>
      <c r="G2908">
        <v>-211.65819999999999</v>
      </c>
      <c r="H2908" s="1">
        <v>-4.5017800000000001E-6</v>
      </c>
      <c r="I2908">
        <v>142.02510000000001</v>
      </c>
      <c r="J2908">
        <v>-199.02029999999999</v>
      </c>
      <c r="K2908">
        <v>1.0965229999999999</v>
      </c>
      <c r="L2908">
        <v>144.07509999999999</v>
      </c>
      <c r="M2908">
        <v>-0.77360249999999997</v>
      </c>
      <c r="N2908">
        <v>-1.26382E-2</v>
      </c>
      <c r="O2908">
        <v>-0.63354549999999998</v>
      </c>
      <c r="P2908">
        <v>-0.92637849999999999</v>
      </c>
      <c r="Q2908">
        <v>-9.7648090000000007E-2</v>
      </c>
      <c r="R2908">
        <v>-0.36371419999999999</v>
      </c>
      <c r="S2908">
        <v>-3.0177459999999998</v>
      </c>
      <c r="T2908">
        <v>-0.2576562</v>
      </c>
      <c r="U2908">
        <v>-0.51683040000000002</v>
      </c>
      <c r="V2908">
        <v>0.3028882</v>
      </c>
      <c r="W2908">
        <v>-9.4674179999999997E-2</v>
      </c>
      <c r="X2908">
        <v>0.94831189999999999</v>
      </c>
      <c r="Y2908">
        <v>0.49069249999999998</v>
      </c>
      <c r="Z2908">
        <v>6.4827170000000003E-2</v>
      </c>
      <c r="AA2908">
        <v>0.86891790000000002</v>
      </c>
      <c r="AB2908">
        <v>25</v>
      </c>
      <c r="AC2908">
        <v>-12.6379</v>
      </c>
      <c r="AD2908">
        <v>-1.09652750177999</v>
      </c>
      <c r="AE2908">
        <v>-2.0499999999999798</v>
      </c>
      <c r="AF2908">
        <v>6.3745525589304401</v>
      </c>
      <c r="AG2908">
        <v>-1.09652750177999</v>
      </c>
      <c r="AH2908">
        <v>10.995706131551</v>
      </c>
      <c r="AI2908">
        <v>94.930914089814294</v>
      </c>
      <c r="AJ2908">
        <v>59.897797787734497</v>
      </c>
      <c r="AK2908">
        <v>12.7570704403541</v>
      </c>
      <c r="AL2908">
        <v>95.4325673929104</v>
      </c>
      <c r="AM2908">
        <v>72.286661699460794</v>
      </c>
      <c r="AN2908">
        <v>0.99999996086975995</v>
      </c>
    </row>
    <row r="2909" spans="1:40" x14ac:dyDescent="0.25">
      <c r="A2909" t="str">
        <f>"20190305135644611"</f>
        <v>20190305135644611</v>
      </c>
      <c r="B2909" t="str">
        <f>"1551765404605028"</f>
        <v>1551765404605028</v>
      </c>
      <c r="C2909" t="s">
        <v>40</v>
      </c>
      <c r="D2909">
        <v>4.3349289999999998</v>
      </c>
      <c r="E2909">
        <v>0.58354629999999996</v>
      </c>
      <c r="F2909" t="s">
        <v>42</v>
      </c>
      <c r="G2909">
        <v>-212.23570000000001</v>
      </c>
      <c r="H2909" s="1">
        <v>-4.2698000000000002E-6</v>
      </c>
      <c r="I2909">
        <v>141.9676</v>
      </c>
      <c r="J2909">
        <v>-199.24340000000001</v>
      </c>
      <c r="K2909">
        <v>1.096657</v>
      </c>
      <c r="L2909">
        <v>143.91749999999999</v>
      </c>
      <c r="M2909">
        <v>-0.784979599999999</v>
      </c>
      <c r="N2909">
        <v>-1.2574780000000001E-2</v>
      </c>
      <c r="O2909">
        <v>-0.61939409999999995</v>
      </c>
      <c r="P2909">
        <v>-0.93177540000000003</v>
      </c>
      <c r="Q2909">
        <v>-9.7163920000000001E-2</v>
      </c>
      <c r="R2909">
        <v>-0.34979169999999998</v>
      </c>
      <c r="S2909">
        <v>-3.0227200000000001</v>
      </c>
      <c r="T2909">
        <v>-0.25080419999999998</v>
      </c>
      <c r="U2909">
        <v>-0.48205569999999998</v>
      </c>
      <c r="V2909">
        <v>0.29995870000000002</v>
      </c>
      <c r="W2909">
        <v>-9.4045740000000003E-2</v>
      </c>
      <c r="X2909">
        <v>0.94930510000000001</v>
      </c>
      <c r="Y2909">
        <v>0.4850662</v>
      </c>
      <c r="Z2909">
        <v>6.2057460000000002E-2</v>
      </c>
      <c r="AA2909">
        <v>0.87227269999999901</v>
      </c>
      <c r="AB2909">
        <v>25</v>
      </c>
      <c r="AC2909">
        <v>-12.9923</v>
      </c>
      <c r="AD2909">
        <v>-1.0966612698</v>
      </c>
      <c r="AE2909">
        <v>-1.94989999999998</v>
      </c>
      <c r="AF2909">
        <v>6.4721400983068298</v>
      </c>
      <c r="AG2909">
        <v>-1.0966612698</v>
      </c>
      <c r="AH2909">
        <v>11.3284133238599</v>
      </c>
      <c r="AI2909">
        <v>94.804721115099099</v>
      </c>
      <c r="AJ2909">
        <v>60.259842686544097</v>
      </c>
      <c r="AK2909">
        <v>13.0929069281423</v>
      </c>
      <c r="AL2909">
        <v>95.396398852873702</v>
      </c>
      <c r="AM2909">
        <v>72.464655277474805</v>
      </c>
      <c r="AN2909">
        <v>0.99999999790192295</v>
      </c>
    </row>
    <row r="2910" spans="1:40" x14ac:dyDescent="0.25">
      <c r="A2910" t="str">
        <f>"20190305135644634"</f>
        <v>20190305135644634</v>
      </c>
      <c r="B2910" t="str">
        <f>"1551765404625524"</f>
        <v>1551765404625524</v>
      </c>
      <c r="C2910" t="s">
        <v>40</v>
      </c>
      <c r="D2910">
        <v>5.2266719999999998</v>
      </c>
      <c r="E2910">
        <v>0.40125519999999998</v>
      </c>
      <c r="F2910" t="s">
        <v>42</v>
      </c>
      <c r="G2910">
        <v>-212.3347</v>
      </c>
      <c r="H2910" s="1">
        <v>-4.2502959999999997E-6</v>
      </c>
      <c r="I2910">
        <v>142.0719</v>
      </c>
      <c r="J2910">
        <v>-199.46780000000001</v>
      </c>
      <c r="K2910">
        <v>1.0968020000000001</v>
      </c>
      <c r="L2910">
        <v>143.76480000000001</v>
      </c>
      <c r="M2910">
        <v>-0.79585539999999999</v>
      </c>
      <c r="N2910">
        <v>-1.2504299999999999E-2</v>
      </c>
      <c r="O2910">
        <v>-0.605357699999999</v>
      </c>
      <c r="P2910">
        <v>-0.93703449999999999</v>
      </c>
      <c r="Q2910">
        <v>-9.7617239999999994E-2</v>
      </c>
      <c r="R2910">
        <v>-0.33531620000000001</v>
      </c>
      <c r="S2910">
        <v>-3.0326689999999998</v>
      </c>
      <c r="T2910">
        <v>-0.25404680000000002</v>
      </c>
      <c r="U2910">
        <v>-0.42755130000000002</v>
      </c>
      <c r="V2910">
        <v>0.29780020000000001</v>
      </c>
      <c r="W2910">
        <v>-9.4383649999999999E-2</v>
      </c>
      <c r="X2910">
        <v>0.94995090000000004</v>
      </c>
      <c r="Y2910">
        <v>0.48527579999999998</v>
      </c>
      <c r="Z2910">
        <v>6.2208340000000001E-2</v>
      </c>
      <c r="AA2910">
        <v>0.87214539999999996</v>
      </c>
      <c r="AB2910">
        <v>26</v>
      </c>
      <c r="AC2910">
        <v>-12.8668999999999</v>
      </c>
      <c r="AD2910">
        <v>-1.0968062502959901</v>
      </c>
      <c r="AE2910">
        <v>-1.6929000000000001</v>
      </c>
      <c r="AF2910">
        <v>6.3965881800887798</v>
      </c>
      <c r="AG2910">
        <v>-1.0968062502959901</v>
      </c>
      <c r="AH2910">
        <v>11.1859846180416</v>
      </c>
      <c r="AI2910">
        <v>94.865161362344494</v>
      </c>
      <c r="AJ2910">
        <v>60.2373716643189</v>
      </c>
      <c r="AK2910">
        <v>12.932346120151699</v>
      </c>
      <c r="AL2910">
        <v>95.415846311643094</v>
      </c>
      <c r="AM2910">
        <v>72.594308559183403</v>
      </c>
      <c r="AN2910">
        <v>0.99999997245908501</v>
      </c>
    </row>
    <row r="2911" spans="1:40" x14ac:dyDescent="0.25">
      <c r="A2911" t="str">
        <f>"20190305135644656"</f>
        <v>20190305135644656</v>
      </c>
      <c r="B2911" t="str">
        <f>"1551765404645047"</f>
        <v>1551765404645047</v>
      </c>
      <c r="C2911" t="s">
        <v>40</v>
      </c>
      <c r="D2911">
        <v>5.1651889999999998</v>
      </c>
      <c r="E2911">
        <v>0.40219899999999997</v>
      </c>
      <c r="F2911" t="s">
        <v>52</v>
      </c>
      <c r="G2911">
        <v>-234.1317</v>
      </c>
      <c r="H2911">
        <v>4.4737549999999997</v>
      </c>
      <c r="I2911">
        <v>119.3841</v>
      </c>
      <c r="J2911">
        <v>-199.685</v>
      </c>
      <c r="K2911">
        <v>1.096924</v>
      </c>
      <c r="L2911">
        <v>143.62200000000001</v>
      </c>
      <c r="M2911">
        <v>-0.8058999</v>
      </c>
      <c r="N2911">
        <v>-1.243767E-2</v>
      </c>
      <c r="O2911">
        <v>-0.59192140000000004</v>
      </c>
      <c r="P2911">
        <v>-0.94206060000000003</v>
      </c>
      <c r="Q2911">
        <v>-9.8294069999999997E-2</v>
      </c>
      <c r="R2911">
        <v>-0.32071870000000002</v>
      </c>
      <c r="S2911">
        <v>-2.5787049999999998</v>
      </c>
      <c r="T2911">
        <v>0.25121710000000003</v>
      </c>
      <c r="U2911">
        <v>-1.8137209999999999</v>
      </c>
      <c r="V2911">
        <v>0.29659200000000002</v>
      </c>
      <c r="W2911">
        <v>-9.4984750000000007E-2</v>
      </c>
      <c r="X2911">
        <v>0.95026900000000003</v>
      </c>
      <c r="Y2911">
        <v>1.8449469999999999E-2</v>
      </c>
      <c r="Z2911">
        <v>-5.4910760000000003E-2</v>
      </c>
      <c r="AA2911">
        <v>0.99832080000000001</v>
      </c>
      <c r="AB2911">
        <v>26</v>
      </c>
      <c r="AC2911">
        <v>-34.4466999999999</v>
      </c>
      <c r="AD2911">
        <v>3.3768310000000001</v>
      </c>
      <c r="AE2911">
        <v>-24.2379</v>
      </c>
      <c r="AF2911">
        <v>0.85101380618973699</v>
      </c>
      <c r="AG2911">
        <v>3.3768310000000001</v>
      </c>
      <c r="AH2911">
        <v>41.841830165399998</v>
      </c>
      <c r="AI2911">
        <v>85.386913186761504</v>
      </c>
      <c r="AJ2911">
        <v>88.834831615547401</v>
      </c>
      <c r="AK2911">
        <v>41.986497397271201</v>
      </c>
      <c r="AL2911">
        <v>95.450441837883403</v>
      </c>
      <c r="AM2911">
        <v>72.6661403290192</v>
      </c>
      <c r="AN2911">
        <v>1.00000004477878</v>
      </c>
    </row>
    <row r="2912" spans="1:40" x14ac:dyDescent="0.25">
      <c r="A2912" t="str">
        <f>"20190305135644679"</f>
        <v>20190305135644679</v>
      </c>
      <c r="B2912" t="str">
        <f>"1551765404675300"</f>
        <v>1551765404675300</v>
      </c>
      <c r="C2912" t="s">
        <v>40</v>
      </c>
      <c r="D2912">
        <v>4.2297310000000001</v>
      </c>
      <c r="E2912">
        <v>0.40292470000000002</v>
      </c>
      <c r="F2912" t="s">
        <v>52</v>
      </c>
      <c r="G2912">
        <v>-235.42519999999999</v>
      </c>
      <c r="H2912">
        <v>5.0552000000000001</v>
      </c>
      <c r="I2912">
        <v>119.3841</v>
      </c>
      <c r="J2912">
        <v>-199.90610000000001</v>
      </c>
      <c r="K2912">
        <v>1.0970470000000001</v>
      </c>
      <c r="L2912">
        <v>143.48159999999999</v>
      </c>
      <c r="M2912">
        <v>-0.81564639999999999</v>
      </c>
      <c r="N2912">
        <v>-1.237218E-2</v>
      </c>
      <c r="O2912">
        <v>-0.5784184</v>
      </c>
      <c r="P2912">
        <v>-0.94698309999999997</v>
      </c>
      <c r="Q2912">
        <v>-9.9050449999999998E-2</v>
      </c>
      <c r="R2912">
        <v>-0.30563319999999999</v>
      </c>
      <c r="S2912">
        <v>-2.6116790000000001</v>
      </c>
      <c r="T2912">
        <v>0.2892478</v>
      </c>
      <c r="U2912">
        <v>-1.771164</v>
      </c>
      <c r="V2912">
        <v>0.29590509999999998</v>
      </c>
      <c r="W2912">
        <v>-9.5684160000000004E-2</v>
      </c>
      <c r="X2912">
        <v>0.9504129</v>
      </c>
      <c r="Y2912">
        <v>1.829335E-2</v>
      </c>
      <c r="Z2912">
        <v>-6.0596459999999998E-2</v>
      </c>
      <c r="AA2912">
        <v>0.99799470000000001</v>
      </c>
      <c r="AB2912">
        <v>26</v>
      </c>
      <c r="AC2912">
        <v>-35.519099999999902</v>
      </c>
      <c r="AD2912">
        <v>3.9581529999999998</v>
      </c>
      <c r="AE2912">
        <v>-24.097499999999901</v>
      </c>
      <c r="AF2912">
        <v>0.88242580402649295</v>
      </c>
      <c r="AG2912">
        <v>3.9581529999999998</v>
      </c>
      <c r="AH2912">
        <v>42.550893753352902</v>
      </c>
      <c r="AI2912">
        <v>84.686683229222297</v>
      </c>
      <c r="AJ2912">
        <v>88.811963187896197</v>
      </c>
      <c r="AK2912">
        <v>42.743703743126297</v>
      </c>
      <c r="AL2912">
        <v>95.490698771900099</v>
      </c>
      <c r="AM2912">
        <v>72.706350386228294</v>
      </c>
      <c r="AN2912">
        <v>0.99999998358366204</v>
      </c>
    </row>
    <row r="2913" spans="1:40" x14ac:dyDescent="0.25">
      <c r="A2913" t="str">
        <f>"20190305135644703"</f>
        <v>20190305135644703</v>
      </c>
      <c r="B2913" t="str">
        <f>"1551765404694820"</f>
        <v>1551765404694820</v>
      </c>
      <c r="C2913" t="s">
        <v>40</v>
      </c>
      <c r="D2913">
        <v>4.219805</v>
      </c>
      <c r="E2913">
        <v>0.40292470000000002</v>
      </c>
      <c r="F2913" t="s">
        <v>52</v>
      </c>
      <c r="G2913">
        <v>-236.43950000000001</v>
      </c>
      <c r="H2913">
        <v>5.8692880000000001</v>
      </c>
      <c r="I2913">
        <v>119.5971</v>
      </c>
      <c r="J2913">
        <v>-200.1508</v>
      </c>
      <c r="K2913">
        <v>1.0971820000000001</v>
      </c>
      <c r="L2913">
        <v>143.33160000000001</v>
      </c>
      <c r="M2913">
        <v>-0.82590200000000003</v>
      </c>
      <c r="N2913">
        <v>-1.229563E-2</v>
      </c>
      <c r="O2913">
        <v>-0.5636795</v>
      </c>
      <c r="P2913">
        <v>-0.95252630000000005</v>
      </c>
      <c r="Q2913">
        <v>-9.8564970000000002E-2</v>
      </c>
      <c r="R2913">
        <v>-0.28805969999999997</v>
      </c>
      <c r="S2913">
        <v>-2.6458279999999998</v>
      </c>
      <c r="T2913">
        <v>0.345616799999999</v>
      </c>
      <c r="U2913">
        <v>-1.7297669999999901</v>
      </c>
      <c r="V2913">
        <v>0.29649720000000002</v>
      </c>
      <c r="W2913">
        <v>-9.5181810000000006E-2</v>
      </c>
      <c r="X2913">
        <v>0.95027879999999998</v>
      </c>
      <c r="Y2913">
        <v>1.6332579999999999E-2</v>
      </c>
      <c r="Z2913">
        <v>-6.8943829999999998E-2</v>
      </c>
      <c r="AA2913">
        <v>0.99748680000000001</v>
      </c>
      <c r="AB2913">
        <v>26</v>
      </c>
      <c r="AC2913">
        <v>-36.288699999999999</v>
      </c>
      <c r="AD2913">
        <v>4.772106</v>
      </c>
      <c r="AE2913">
        <v>-23.734500000000001</v>
      </c>
      <c r="AF2913">
        <v>0.842683174494542</v>
      </c>
      <c r="AG2913">
        <v>4.772106</v>
      </c>
      <c r="AH2913">
        <v>42.834033775431799</v>
      </c>
      <c r="AI2913">
        <v>83.644156890821804</v>
      </c>
      <c r="AJ2913">
        <v>88.872953173353295</v>
      </c>
      <c r="AK2913">
        <v>43.107279664607098</v>
      </c>
      <c r="AL2913">
        <v>95.4617842742081</v>
      </c>
      <c r="AM2913">
        <v>72.671516993463797</v>
      </c>
      <c r="AN2913">
        <v>0.99999998214607699</v>
      </c>
    </row>
    <row r="2914" spans="1:40" x14ac:dyDescent="0.25">
      <c r="A2914" t="str">
        <f>"20190305135644725"</f>
        <v>20190305135644725</v>
      </c>
      <c r="B2914" t="str">
        <f>"1551765404715316"</f>
        <v>1551765404715316</v>
      </c>
      <c r="C2914" t="s">
        <v>40</v>
      </c>
      <c r="D2914">
        <v>4.2514849999999997</v>
      </c>
      <c r="E2914">
        <v>0.40292470000000002</v>
      </c>
      <c r="F2914" t="s">
        <v>52</v>
      </c>
      <c r="G2914">
        <v>-238.3657</v>
      </c>
      <c r="H2914">
        <v>6.0923309999999997</v>
      </c>
      <c r="I2914">
        <v>119.3841</v>
      </c>
      <c r="J2914">
        <v>-200.3817</v>
      </c>
      <c r="K2914">
        <v>1.0973120000000001</v>
      </c>
      <c r="L2914">
        <v>143.1953</v>
      </c>
      <c r="M2914">
        <v>-0.83509029999999995</v>
      </c>
      <c r="N2914">
        <v>-1.221765E-2</v>
      </c>
      <c r="O2914">
        <v>-0.54997739999999995</v>
      </c>
      <c r="P2914">
        <v>-0.95660440000000002</v>
      </c>
      <c r="Q2914">
        <v>-9.9972119999999998E-2</v>
      </c>
      <c r="R2914">
        <v>-0.27370339999999999</v>
      </c>
      <c r="S2914">
        <v>-2.678207</v>
      </c>
      <c r="T2914">
        <v>0.35007460000000001</v>
      </c>
      <c r="U2914">
        <v>-1.6783140000000001</v>
      </c>
      <c r="V2914">
        <v>0.29502240000000002</v>
      </c>
      <c r="W2914">
        <v>-9.6517459999999999E-2</v>
      </c>
      <c r="X2914">
        <v>0.95060310000000003</v>
      </c>
      <c r="Y2914">
        <v>1.9018719999999999E-2</v>
      </c>
      <c r="Z2914">
        <v>-6.8146419999999999E-2</v>
      </c>
      <c r="AA2914">
        <v>0.99749399999999999</v>
      </c>
      <c r="AB2914">
        <v>26</v>
      </c>
      <c r="AC2914">
        <v>-37.984000000000002</v>
      </c>
      <c r="AD2914">
        <v>4.9950189999999903</v>
      </c>
      <c r="AE2914">
        <v>-23.811199999999999</v>
      </c>
      <c r="AF2914">
        <v>0.99357954599468801</v>
      </c>
      <c r="AG2914">
        <v>4.9950189999999903</v>
      </c>
      <c r="AH2914">
        <v>44.269447270310401</v>
      </c>
      <c r="AI2914">
        <v>83.564025539406799</v>
      </c>
      <c r="AJ2914">
        <v>88.714274465945095</v>
      </c>
      <c r="AK2914">
        <v>44.561433737519899</v>
      </c>
      <c r="AL2914">
        <v>95.538665013326707</v>
      </c>
      <c r="AM2914">
        <v>72.758120305127093</v>
      </c>
      <c r="AN2914">
        <v>1.0000000451580999</v>
      </c>
    </row>
    <row r="2915" spans="1:40" x14ac:dyDescent="0.25">
      <c r="A2915" t="str">
        <f>"20190305135644745"</f>
        <v>20190305135644745</v>
      </c>
      <c r="B2915" t="str">
        <f>"1551765404734835"</f>
        <v>1551765404734835</v>
      </c>
      <c r="C2915" t="s">
        <v>40</v>
      </c>
      <c r="D2915">
        <v>4.2990120000000003</v>
      </c>
      <c r="E2915">
        <v>0.61611530000000003</v>
      </c>
      <c r="F2915" t="s">
        <v>52</v>
      </c>
      <c r="G2915">
        <v>-239.6763</v>
      </c>
      <c r="H2915">
        <v>6.1214589999999998</v>
      </c>
      <c r="I2915">
        <v>119.3841</v>
      </c>
      <c r="J2915">
        <v>-200.59289999999999</v>
      </c>
      <c r="K2915">
        <v>1.097434</v>
      </c>
      <c r="L2915">
        <v>143.07470000000001</v>
      </c>
      <c r="M2915">
        <v>-0.84310620000000003</v>
      </c>
      <c r="N2915">
        <v>-1.2147349999999999E-2</v>
      </c>
      <c r="O2915">
        <v>-0.53761040000000004</v>
      </c>
      <c r="P2915">
        <v>-0.95914860000000002</v>
      </c>
      <c r="Q2915">
        <v>-0.10167320000000001</v>
      </c>
      <c r="R2915">
        <v>-0.2640014</v>
      </c>
      <c r="S2915">
        <v>-2.7034760000000002</v>
      </c>
      <c r="T2915">
        <v>0.34566259999999999</v>
      </c>
      <c r="U2915">
        <v>-1.6382139999999901</v>
      </c>
      <c r="V2915">
        <v>0.29052830000000002</v>
      </c>
      <c r="W2915">
        <v>-9.8058090000000001E-2</v>
      </c>
      <c r="X2915">
        <v>0.95182869999999997</v>
      </c>
      <c r="Y2915">
        <v>1.9402490000000001E-2</v>
      </c>
      <c r="Z2915">
        <v>-6.5859260000000003E-2</v>
      </c>
      <c r="AA2915">
        <v>0.99764030000000004</v>
      </c>
      <c r="AB2915">
        <v>26</v>
      </c>
      <c r="AC2915">
        <v>-39.083399999999997</v>
      </c>
      <c r="AD2915">
        <v>5.024025</v>
      </c>
      <c r="AE2915">
        <v>-23.6906</v>
      </c>
      <c r="AF2915">
        <v>1.02563296807114</v>
      </c>
      <c r="AG2915">
        <v>5.024025</v>
      </c>
      <c r="AH2915">
        <v>45.145582549910998</v>
      </c>
      <c r="AI2915">
        <v>83.651592980382006</v>
      </c>
      <c r="AJ2915">
        <v>88.698558523047893</v>
      </c>
      <c r="AK2915">
        <v>45.435848995662496</v>
      </c>
      <c r="AL2915">
        <v>95.627357724004895</v>
      </c>
      <c r="AM2915">
        <v>73.0261488811677</v>
      </c>
      <c r="AN2915">
        <v>0.99999997812951302</v>
      </c>
    </row>
    <row r="2916" spans="1:40" x14ac:dyDescent="0.25">
      <c r="A2916" t="str">
        <f>"20190305135644768"</f>
        <v>20190305135644768</v>
      </c>
      <c r="B2916" t="str">
        <f>"1551765404765092"</f>
        <v>1551765404765092</v>
      </c>
      <c r="C2916" t="s">
        <v>40</v>
      </c>
      <c r="D2916">
        <v>4.2995559999999999</v>
      </c>
      <c r="E2916">
        <v>0.61344500000000002</v>
      </c>
      <c r="F2916" t="s">
        <v>73</v>
      </c>
      <c r="G2916">
        <v>-299.79829999999998</v>
      </c>
      <c r="H2916" s="1">
        <v>-9.5899880000000002E-6</v>
      </c>
      <c r="I2916">
        <v>145.4014</v>
      </c>
      <c r="J2916">
        <v>-200.8253</v>
      </c>
      <c r="K2916">
        <v>1.0975649999999999</v>
      </c>
      <c r="L2916">
        <v>142.94630000000001</v>
      </c>
      <c r="M2916">
        <v>-0.85154099999999999</v>
      </c>
      <c r="N2916">
        <v>-1.207536E-2</v>
      </c>
      <c r="O2916">
        <v>-0.52414939999999999</v>
      </c>
      <c r="P2916">
        <v>-0.96168089999999995</v>
      </c>
      <c r="Q2916">
        <v>-0.1004005</v>
      </c>
      <c r="R2916">
        <v>-0.25512679999999999</v>
      </c>
      <c r="S2916">
        <v>-3.1443940000000001</v>
      </c>
      <c r="T2916">
        <v>-3.4784320000000001E-2</v>
      </c>
      <c r="U2916">
        <v>7.3745729999999995E-2</v>
      </c>
      <c r="V2916">
        <v>0.28433969999999997</v>
      </c>
      <c r="W2916">
        <v>-9.6572069999999996E-2</v>
      </c>
      <c r="X2916">
        <v>0.95384729999999995</v>
      </c>
      <c r="Y2916">
        <v>0.54394639999999905</v>
      </c>
      <c r="Z2916">
        <v>5.2943859999999999E-3</v>
      </c>
      <c r="AA2916">
        <v>0.8391033</v>
      </c>
      <c r="AB2916">
        <v>26</v>
      </c>
      <c r="AC2916">
        <v>-98.9729999999999</v>
      </c>
      <c r="AD2916">
        <v>-1.0975745899879901</v>
      </c>
      <c r="AE2916">
        <v>2.4550999999999799</v>
      </c>
      <c r="AF2916">
        <v>53.964546401277701</v>
      </c>
      <c r="AG2916">
        <v>-1.0975745899879901</v>
      </c>
      <c r="AH2916">
        <v>82.988559939657605</v>
      </c>
      <c r="AI2916">
        <v>90.635246008143397</v>
      </c>
      <c r="AJ2916">
        <v>56.965464629402</v>
      </c>
      <c r="AK2916">
        <v>98.997363697900497</v>
      </c>
      <c r="AL2916">
        <v>95.541809145673199</v>
      </c>
      <c r="AM2916">
        <v>73.400801565308996</v>
      </c>
      <c r="AN2916">
        <v>0.99999995070873104</v>
      </c>
    </row>
    <row r="2917" spans="1:40" x14ac:dyDescent="0.25">
      <c r="A2917" t="str">
        <f>"20190305135644789"</f>
        <v>20190305135644789</v>
      </c>
      <c r="B2917" t="str">
        <f>"1551765404785588"</f>
        <v>1551765404785588</v>
      </c>
      <c r="C2917" t="s">
        <v>40</v>
      </c>
      <c r="D2917">
        <v>4.3189799999999998</v>
      </c>
      <c r="E2917">
        <v>0.61088900000000002</v>
      </c>
      <c r="F2917" t="s">
        <v>42</v>
      </c>
      <c r="G2917">
        <v>-237.73169999999999</v>
      </c>
      <c r="H2917" s="1">
        <v>-2.119837E-6</v>
      </c>
      <c r="I2917">
        <v>143.99260000000001</v>
      </c>
      <c r="J2917">
        <v>-201.04150000000001</v>
      </c>
      <c r="K2917">
        <v>1.097666</v>
      </c>
      <c r="L2917">
        <v>142.83109999999999</v>
      </c>
      <c r="M2917">
        <v>-0.85904959999999997</v>
      </c>
      <c r="N2917">
        <v>-1.201521E-2</v>
      </c>
      <c r="O2917">
        <v>-0.51175130000000002</v>
      </c>
      <c r="P2917">
        <v>-0.964171</v>
      </c>
      <c r="Q2917">
        <v>-9.7814960000000006E-2</v>
      </c>
      <c r="R2917">
        <v>-0.2465897</v>
      </c>
      <c r="S2917">
        <v>-3.1334080000000002</v>
      </c>
      <c r="T2917">
        <v>-9.3185069999999995E-2</v>
      </c>
      <c r="U2917">
        <v>8.8836670000000006E-2</v>
      </c>
      <c r="V2917">
        <v>0.27920060000000002</v>
      </c>
      <c r="W2917">
        <v>-9.3817899999999996E-2</v>
      </c>
      <c r="X2917">
        <v>0.9556386</v>
      </c>
      <c r="Y2917">
        <v>0.53554069999999898</v>
      </c>
      <c r="Z2917">
        <v>1.9473819999999999E-2</v>
      </c>
      <c r="AA2917">
        <v>0.8442849</v>
      </c>
      <c r="AB2917">
        <v>26</v>
      </c>
      <c r="AC2917">
        <v>-36.690199999999898</v>
      </c>
      <c r="AD2917">
        <v>-1.097668119837</v>
      </c>
      <c r="AE2917">
        <v>1.16150000000001</v>
      </c>
      <c r="AF2917">
        <v>19.7578051150732</v>
      </c>
      <c r="AG2917">
        <v>-1.097668119837</v>
      </c>
      <c r="AH2917">
        <v>30.898907308598702</v>
      </c>
      <c r="AI2917">
        <v>91.714291305185299</v>
      </c>
      <c r="AJ2917">
        <v>57.4037778748881</v>
      </c>
      <c r="AK2917">
        <v>36.692209133982303</v>
      </c>
      <c r="AL2917">
        <v>95.383286847524104</v>
      </c>
      <c r="AM2917">
        <v>73.713681118441599</v>
      </c>
      <c r="AN2917">
        <v>0.99999995360536398</v>
      </c>
    </row>
    <row r="2918" spans="1:40" x14ac:dyDescent="0.25">
      <c r="A2918" t="str">
        <f>"20190305135644813"</f>
        <v>20190305135644813</v>
      </c>
      <c r="B2918" t="str">
        <f>"1551765404805412"</f>
        <v>1551765404805412</v>
      </c>
      <c r="C2918" t="s">
        <v>40</v>
      </c>
      <c r="D2918">
        <v>4.3170580000000003</v>
      </c>
      <c r="E2918">
        <v>0.60886649999999998</v>
      </c>
      <c r="F2918" t="s">
        <v>42</v>
      </c>
      <c r="G2918">
        <v>-229.0839</v>
      </c>
      <c r="H2918" s="1">
        <v>-1.4723690000000001E-6</v>
      </c>
      <c r="I2918">
        <v>143.73929999999999</v>
      </c>
      <c r="J2918">
        <v>-201.29409999999999</v>
      </c>
      <c r="K2918">
        <v>1.0977490000000001</v>
      </c>
      <c r="L2918">
        <v>142.70160000000001</v>
      </c>
      <c r="M2918">
        <v>-0.86744969999999999</v>
      </c>
      <c r="N2918">
        <v>-1.195508E-2</v>
      </c>
      <c r="O2918">
        <v>-0.49738120000000002</v>
      </c>
      <c r="P2918">
        <v>-0.96694760000000002</v>
      </c>
      <c r="Q2918">
        <v>-9.6947749999999999E-2</v>
      </c>
      <c r="R2918">
        <v>-0.2358246</v>
      </c>
      <c r="S2918">
        <v>-3.1249389999999999</v>
      </c>
      <c r="T2918">
        <v>-0.1223202</v>
      </c>
      <c r="U2918">
        <v>0.1012115</v>
      </c>
      <c r="V2918">
        <v>0.27403329999999998</v>
      </c>
      <c r="W2918">
        <v>-9.2801320000000007E-2</v>
      </c>
      <c r="X2918">
        <v>0.95723230000000004</v>
      </c>
      <c r="Y2918">
        <v>0.52456409999999998</v>
      </c>
      <c r="Z2918">
        <v>2.6061069999999999E-2</v>
      </c>
      <c r="AA2918">
        <v>0.85097199999999995</v>
      </c>
      <c r="AB2918">
        <v>26</v>
      </c>
      <c r="AC2918">
        <v>-27.7898</v>
      </c>
      <c r="AD2918">
        <v>-1.0977504723689999</v>
      </c>
      <c r="AE2918">
        <v>1.0376999999999701</v>
      </c>
      <c r="AF2918">
        <v>14.700422460872</v>
      </c>
      <c r="AG2918">
        <v>-1.0977504723689999</v>
      </c>
      <c r="AH2918">
        <v>23.5551033574828</v>
      </c>
      <c r="AI2918">
        <v>92.264062185555105</v>
      </c>
      <c r="AJ2918">
        <v>58.032268991912602</v>
      </c>
      <c r="AK2918">
        <v>27.787593829070499</v>
      </c>
      <c r="AL2918">
        <v>95.324785590905293</v>
      </c>
      <c r="AM2918">
        <v>74.024816779545404</v>
      </c>
      <c r="AN2918">
        <v>1.0000000053329601</v>
      </c>
    </row>
    <row r="2919" spans="1:40" x14ac:dyDescent="0.25">
      <c r="A2919" t="str">
        <f>"20190305135644835"</f>
        <v>20190305135644835</v>
      </c>
      <c r="B2919" t="str">
        <f>"1551765404824932"</f>
        <v>1551765404824932</v>
      </c>
      <c r="C2919" t="s">
        <v>40</v>
      </c>
      <c r="D2919">
        <v>4.2650759999999996</v>
      </c>
      <c r="E2919">
        <v>0.60765609999999903</v>
      </c>
      <c r="F2919" t="s">
        <v>42</v>
      </c>
      <c r="G2919">
        <v>-225.6009</v>
      </c>
      <c r="H2919" s="1">
        <v>-2.9452120000000001E-6</v>
      </c>
      <c r="I2919">
        <v>143.6592</v>
      </c>
      <c r="J2919">
        <v>-201.53270000000001</v>
      </c>
      <c r="K2919">
        <v>1.0977840000000001</v>
      </c>
      <c r="L2919">
        <v>142.5838</v>
      </c>
      <c r="M2919">
        <v>-0.87505840000000001</v>
      </c>
      <c r="N2919">
        <v>-1.190751E-2</v>
      </c>
      <c r="O2919">
        <v>-0.4838712</v>
      </c>
      <c r="P2919">
        <v>-0.96908490000000003</v>
      </c>
      <c r="Q2919">
        <v>-9.6303260000000002E-2</v>
      </c>
      <c r="R2919">
        <v>-0.22715750000000001</v>
      </c>
      <c r="S2919">
        <v>-3.1184080000000001</v>
      </c>
      <c r="T2919">
        <v>-0.14083419999999999</v>
      </c>
      <c r="U2919">
        <v>0.1228638</v>
      </c>
      <c r="V2919">
        <v>0.26782</v>
      </c>
      <c r="W2919">
        <v>-9.1991379999999998E-2</v>
      </c>
      <c r="X2919">
        <v>0.95906729999999996</v>
      </c>
      <c r="Y2919">
        <v>0.5170884</v>
      </c>
      <c r="Z2919">
        <v>2.9969969999999999E-2</v>
      </c>
      <c r="AA2919">
        <v>0.85540709999999998</v>
      </c>
      <c r="AB2919">
        <v>26</v>
      </c>
      <c r="AC2919">
        <v>-24.068199999999901</v>
      </c>
      <c r="AD2919">
        <v>-1.0977869452119999</v>
      </c>
      <c r="AE2919">
        <v>1.0753999999999999</v>
      </c>
      <c r="AF2919">
        <v>12.561755448416999</v>
      </c>
      <c r="AG2919">
        <v>-1.0977869452119999</v>
      </c>
      <c r="AH2919">
        <v>20.499615848066298</v>
      </c>
      <c r="AI2919">
        <v>92.614346966664598</v>
      </c>
      <c r="AJ2919">
        <v>58.500864186982803</v>
      </c>
      <c r="AK2919">
        <v>24.067344806629698</v>
      </c>
      <c r="AL2919">
        <v>95.278179971917993</v>
      </c>
      <c r="AM2919">
        <v>74.397583769438995</v>
      </c>
      <c r="AN2919">
        <v>1.0000000261617901</v>
      </c>
    </row>
    <row r="2920" spans="1:40" x14ac:dyDescent="0.25">
      <c r="A2920" t="str">
        <f>"20190305135644859"</f>
        <v>20190305135644859</v>
      </c>
      <c r="B2920" t="str">
        <f>"1551765404855188"</f>
        <v>1551765404855188</v>
      </c>
      <c r="C2920" t="s">
        <v>40</v>
      </c>
      <c r="D2920">
        <v>4.2491940000000001</v>
      </c>
      <c r="E2920">
        <v>0.60614219999999996</v>
      </c>
      <c r="F2920" t="s">
        <v>42</v>
      </c>
      <c r="G2920">
        <v>-224.86259999999999</v>
      </c>
      <c r="H2920" s="1">
        <v>-3.2591260000000001E-6</v>
      </c>
      <c r="I2920">
        <v>143.64859999999999</v>
      </c>
      <c r="J2920">
        <v>-201.78479999999999</v>
      </c>
      <c r="K2920">
        <v>1.0978000000000001</v>
      </c>
      <c r="L2920">
        <v>142.46430000000001</v>
      </c>
      <c r="M2920">
        <v>-0.88277729999999999</v>
      </c>
      <c r="N2920">
        <v>-1.186511E-2</v>
      </c>
      <c r="O2920">
        <v>-0.4696417</v>
      </c>
      <c r="P2920">
        <v>-0.97127240000000004</v>
      </c>
      <c r="Q2920">
        <v>-9.515883E-2</v>
      </c>
      <c r="R2920">
        <v>-0.21811639999999999</v>
      </c>
      <c r="S2920">
        <v>-3.114471</v>
      </c>
      <c r="T2920">
        <v>-0.14655109999999999</v>
      </c>
      <c r="U2920">
        <v>0.1421509</v>
      </c>
      <c r="V2920">
        <v>0.2613201</v>
      </c>
      <c r="W2920">
        <v>-9.068495E-2</v>
      </c>
      <c r="X2920">
        <v>0.96098289999999997</v>
      </c>
      <c r="Y2920">
        <v>0.50848179999999998</v>
      </c>
      <c r="Z2920">
        <v>3.0692290000000001E-2</v>
      </c>
      <c r="AA2920">
        <v>0.86052549999999906</v>
      </c>
      <c r="AB2920">
        <v>26</v>
      </c>
      <c r="AC2920">
        <v>-23.0778</v>
      </c>
      <c r="AD2920">
        <v>-1.0978032591259901</v>
      </c>
      <c r="AE2920">
        <v>1.1842999999999699</v>
      </c>
      <c r="AF2920">
        <v>11.857845431446</v>
      </c>
      <c r="AG2920">
        <v>-1.0978032591259901</v>
      </c>
      <c r="AH2920">
        <v>19.773131075810198</v>
      </c>
      <c r="AI2920">
        <v>92.726043770104894</v>
      </c>
      <c r="AJ2920">
        <v>59.049099752291497</v>
      </c>
      <c r="AK2920">
        <v>23.082252550671601</v>
      </c>
      <c r="AL2920">
        <v>95.203012744085299</v>
      </c>
      <c r="AM2920">
        <v>74.787406661102196</v>
      </c>
      <c r="AN2920">
        <v>1.0000000444564601</v>
      </c>
    </row>
    <row r="2921" spans="1:40" x14ac:dyDescent="0.25">
      <c r="A2921" t="str">
        <f>"20190305135644882"</f>
        <v>20190305135644882</v>
      </c>
      <c r="B2921" t="str">
        <f>"1551765404875684"</f>
        <v>1551765404875684</v>
      </c>
      <c r="C2921" t="s">
        <v>40</v>
      </c>
      <c r="D2921">
        <v>4.271941</v>
      </c>
      <c r="E2921">
        <v>0.60506729999999997</v>
      </c>
      <c r="F2921" t="s">
        <v>42</v>
      </c>
      <c r="G2921">
        <v>-224.34289999999999</v>
      </c>
      <c r="H2921" s="1">
        <v>-3.4761710000000001E-6</v>
      </c>
      <c r="I2921">
        <v>143.62639999999999</v>
      </c>
      <c r="J2921">
        <v>-202.0403</v>
      </c>
      <c r="K2921">
        <v>1.0978000000000001</v>
      </c>
      <c r="L2921">
        <v>142.34790000000001</v>
      </c>
      <c r="M2921">
        <v>-0.89029139999999996</v>
      </c>
      <c r="N2921">
        <v>-1.1828780000000001E-2</v>
      </c>
      <c r="O2921">
        <v>-0.45523789999999997</v>
      </c>
      <c r="P2921">
        <v>-0.9736939</v>
      </c>
      <c r="Q2921">
        <v>-9.3692979999999995E-2</v>
      </c>
      <c r="R2921">
        <v>-0.2077069</v>
      </c>
      <c r="S2921">
        <v>-3.1098789999999998</v>
      </c>
      <c r="T2921">
        <v>-0.15134420000000001</v>
      </c>
      <c r="U2921">
        <v>0.16021729999999901</v>
      </c>
      <c r="V2921">
        <v>0.25609920000000003</v>
      </c>
      <c r="W2921">
        <v>-8.9100490000000004E-2</v>
      </c>
      <c r="X2921">
        <v>0.96253529999999998</v>
      </c>
      <c r="Y2921">
        <v>0.49946839999999998</v>
      </c>
      <c r="Z2921">
        <v>3.1126600000000001E-2</v>
      </c>
      <c r="AA2921">
        <v>0.86577269999999995</v>
      </c>
      <c r="AB2921">
        <v>26</v>
      </c>
      <c r="AC2921">
        <v>-22.302599999999899</v>
      </c>
      <c r="AD2921">
        <v>-1.097803476171</v>
      </c>
      <c r="AE2921">
        <v>1.27849999999997</v>
      </c>
      <c r="AF2921">
        <v>11.2648107081506</v>
      </c>
      <c r="AG2921">
        <v>-1.097803476171</v>
      </c>
      <c r="AH2921">
        <v>19.2287006098666</v>
      </c>
      <c r="AI2921">
        <v>92.820174277208693</v>
      </c>
      <c r="AJ2921">
        <v>59.636812964690499</v>
      </c>
      <c r="AK2921">
        <v>22.312419409527099</v>
      </c>
      <c r="AL2921">
        <v>95.111861315638507</v>
      </c>
      <c r="AM2921">
        <v>75.100647116165604</v>
      </c>
      <c r="AN2921">
        <v>0.99999995065248304</v>
      </c>
    </row>
    <row r="2922" spans="1:40" x14ac:dyDescent="0.25">
      <c r="A2922" t="str">
        <f>"20190305135644905"</f>
        <v>20190305135644905</v>
      </c>
      <c r="B2922" t="str">
        <f>"1551765404895204"</f>
        <v>1551765404895204</v>
      </c>
      <c r="C2922" t="s">
        <v>40</v>
      </c>
      <c r="D2922">
        <v>4.2773779999999997</v>
      </c>
      <c r="E2922">
        <v>0.60408470000000003</v>
      </c>
      <c r="F2922" t="s">
        <v>42</v>
      </c>
      <c r="G2922">
        <v>-223.559</v>
      </c>
      <c r="H2922" s="1">
        <v>-3.778481E-6</v>
      </c>
      <c r="I2922">
        <v>143.63929999999999</v>
      </c>
      <c r="J2922">
        <v>-202.29069999999999</v>
      </c>
      <c r="K2922">
        <v>1.097799</v>
      </c>
      <c r="L2922">
        <v>142.23869999999999</v>
      </c>
      <c r="M2922">
        <v>-0.89736899999999997</v>
      </c>
      <c r="N2922">
        <v>-1.1798950000000001E-2</v>
      </c>
      <c r="O2922">
        <v>-0.4411234</v>
      </c>
      <c r="P2922">
        <v>-0.97611519999999996</v>
      </c>
      <c r="Q2922">
        <v>-9.2627150000000005E-2</v>
      </c>
      <c r="R2922">
        <v>-0.1965181</v>
      </c>
      <c r="S2922">
        <v>-3.1055450000000002</v>
      </c>
      <c r="T2922">
        <v>-0.1584332</v>
      </c>
      <c r="U2922">
        <v>0.1863708</v>
      </c>
      <c r="V2922">
        <v>0.25202020000000003</v>
      </c>
      <c r="W2922">
        <v>-8.7949990000000006E-2</v>
      </c>
      <c r="X2922">
        <v>0.96371709999999999</v>
      </c>
      <c r="Y2922">
        <v>0.49302879999999899</v>
      </c>
      <c r="Z2922">
        <v>3.208577E-2</v>
      </c>
      <c r="AA2922">
        <v>0.86942109999999995</v>
      </c>
      <c r="AB2922">
        <v>26</v>
      </c>
      <c r="AC2922">
        <v>-21.2683</v>
      </c>
      <c r="AD2922">
        <v>-1.0978027784810001</v>
      </c>
      <c r="AE2922">
        <v>1.4005999999999901</v>
      </c>
      <c r="AF2922">
        <v>10.6113895849539</v>
      </c>
      <c r="AG2922">
        <v>-1.0978027784810001</v>
      </c>
      <c r="AH2922">
        <v>18.420094783917499</v>
      </c>
      <c r="AI2922">
        <v>92.956238370254994</v>
      </c>
      <c r="AJ2922">
        <v>60.054752721713598</v>
      </c>
      <c r="AK2922">
        <v>21.2863019736312</v>
      </c>
      <c r="AL2922">
        <v>95.045682365137907</v>
      </c>
      <c r="AM2922">
        <v>75.344856396382198</v>
      </c>
      <c r="AN2922">
        <v>1.00000001539072</v>
      </c>
    </row>
    <row r="2923" spans="1:40" x14ac:dyDescent="0.25">
      <c r="A2923" t="str">
        <f>"20190305135644927"</f>
        <v>20190305135644927</v>
      </c>
      <c r="B2923" t="str">
        <f>"1551765404915526"</f>
        <v>1551765404915526</v>
      </c>
      <c r="C2923" t="s">
        <v>40</v>
      </c>
      <c r="D2923">
        <v>4.2810160000000002</v>
      </c>
      <c r="E2923">
        <v>0.60306539999999997</v>
      </c>
      <c r="F2923" t="s">
        <v>42</v>
      </c>
      <c r="G2923">
        <v>-223.77549999999999</v>
      </c>
      <c r="H2923" s="1">
        <v>-3.7200559999999998E-6</v>
      </c>
      <c r="I2923">
        <v>143.7253</v>
      </c>
      <c r="J2923">
        <v>-202.53450000000001</v>
      </c>
      <c r="K2923">
        <v>1.09778</v>
      </c>
      <c r="L2923">
        <v>142.13669999999999</v>
      </c>
      <c r="M2923">
        <v>-0.90400060000000004</v>
      </c>
      <c r="N2923">
        <v>-1.177482E-2</v>
      </c>
      <c r="O2923">
        <v>-0.4273692</v>
      </c>
      <c r="P2923">
        <v>-0.97804429999999998</v>
      </c>
      <c r="Q2923">
        <v>-9.3594949999999996E-2</v>
      </c>
      <c r="R2923">
        <v>-0.18619730000000001</v>
      </c>
      <c r="S2923">
        <v>-3.1015779999999999</v>
      </c>
      <c r="T2923">
        <v>-0.1584806</v>
      </c>
      <c r="U2923">
        <v>0.2146149</v>
      </c>
      <c r="V2923">
        <v>0.24741740000000001</v>
      </c>
      <c r="W2923">
        <v>-8.8817069999999998E-2</v>
      </c>
      <c r="X2923">
        <v>0.96482959999999995</v>
      </c>
      <c r="Y2923">
        <v>0.48770599999999997</v>
      </c>
      <c r="Z2923">
        <v>3.1510570000000002E-2</v>
      </c>
      <c r="AA2923">
        <v>0.87243909999999902</v>
      </c>
      <c r="AB2923">
        <v>26</v>
      </c>
      <c r="AC2923">
        <v>-21.2409999999999</v>
      </c>
      <c r="AD2923">
        <v>-1.0977837200559999</v>
      </c>
      <c r="AE2923">
        <v>1.58860000000001</v>
      </c>
      <c r="AF2923">
        <v>10.4867177470906</v>
      </c>
      <c r="AG2923">
        <v>-1.0977837200559999</v>
      </c>
      <c r="AH2923">
        <v>18.475166926560799</v>
      </c>
      <c r="AI2923">
        <v>92.958142998951701</v>
      </c>
      <c r="AJ2923">
        <v>60.4202562492979</v>
      </c>
      <c r="AK2923">
        <v>21.272239448808602</v>
      </c>
      <c r="AL2923">
        <v>95.095557657949101</v>
      </c>
      <c r="AM2923">
        <v>75.617201536505704</v>
      </c>
      <c r="AN2923">
        <v>0.99999999939115203</v>
      </c>
    </row>
    <row r="2924" spans="1:40" x14ac:dyDescent="0.25">
      <c r="A2924" t="str">
        <f>"20190305135644971"</f>
        <v>20190305135644971</v>
      </c>
      <c r="B2924" t="str">
        <f>"1551765404965302"</f>
        <v>1551765404965302</v>
      </c>
      <c r="C2924" t="s">
        <v>40</v>
      </c>
      <c r="D2924">
        <v>4.3540260000000002</v>
      </c>
      <c r="E2924">
        <v>0.60053269999999903</v>
      </c>
      <c r="F2924" t="s">
        <v>42</v>
      </c>
      <c r="G2924">
        <v>-223.18950000000001</v>
      </c>
      <c r="H2924" s="1">
        <v>-3.9211670000000004E-6</v>
      </c>
      <c r="I2924">
        <v>143.73480000000001</v>
      </c>
      <c r="J2924">
        <v>-203.01240000000001</v>
      </c>
      <c r="K2924">
        <v>1.0977779999999999</v>
      </c>
      <c r="L2924">
        <v>141.94929999999999</v>
      </c>
      <c r="M2924">
        <v>-0.91627840000000005</v>
      </c>
      <c r="N2924">
        <v>-1.173883E-2</v>
      </c>
      <c r="O2924">
        <v>-0.40037</v>
      </c>
      <c r="P2924">
        <v>-0.98105220000000004</v>
      </c>
      <c r="Q2924">
        <v>-9.4527849999999997E-2</v>
      </c>
      <c r="R2924">
        <v>-0.16911860000000001</v>
      </c>
      <c r="S2924">
        <v>-3.097229</v>
      </c>
      <c r="T2924">
        <v>-0.1646137</v>
      </c>
      <c r="U2924">
        <v>0.2396393</v>
      </c>
      <c r="V2924">
        <v>0.23554890000000001</v>
      </c>
      <c r="W2924">
        <v>-8.9457499999999995E-2</v>
      </c>
      <c r="X2924">
        <v>0.96773659999999995</v>
      </c>
      <c r="Y2924">
        <v>0.46876990000000002</v>
      </c>
      <c r="Z2924">
        <v>3.126429E-2</v>
      </c>
      <c r="AA2924">
        <v>0.88276679999999996</v>
      </c>
      <c r="AB2924">
        <v>26</v>
      </c>
      <c r="AC2924">
        <v>-20.177099999999999</v>
      </c>
      <c r="AD2924">
        <v>-1.0977819211669999</v>
      </c>
      <c r="AE2924">
        <v>1.7855000000000101</v>
      </c>
      <c r="AF2924">
        <v>9.6865389072808803</v>
      </c>
      <c r="AG2924">
        <v>-1.0977819211669999</v>
      </c>
      <c r="AH2924">
        <v>17.722151840390801</v>
      </c>
      <c r="AI2924">
        <v>93.111234397065303</v>
      </c>
      <c r="AJ2924">
        <v>61.339952888152197</v>
      </c>
      <c r="AK2924">
        <v>20.226438811678499</v>
      </c>
      <c r="AL2924">
        <v>95.132398098055802</v>
      </c>
      <c r="AM2924">
        <v>76.320112141432006</v>
      </c>
      <c r="AN2924">
        <v>1.0000000277884999</v>
      </c>
    </row>
    <row r="2925" spans="1:40" x14ac:dyDescent="0.25">
      <c r="A2925" t="str">
        <f>"20190305135644990"</f>
        <v>20190305135644990</v>
      </c>
      <c r="B2925" t="str">
        <f>"1551765404985798"</f>
        <v>1551765404985798</v>
      </c>
      <c r="C2925" t="s">
        <v>40</v>
      </c>
      <c r="D2925">
        <v>4.2883769999999997</v>
      </c>
      <c r="E2925">
        <v>0.59967609999999905</v>
      </c>
      <c r="F2925" t="s">
        <v>42</v>
      </c>
      <c r="G2925">
        <v>-222.6574</v>
      </c>
      <c r="H2925" s="1">
        <v>-4.0944959999999901E-6</v>
      </c>
      <c r="I2925">
        <v>143.69110000000001</v>
      </c>
      <c r="J2925">
        <v>-203.25370000000001</v>
      </c>
      <c r="K2925">
        <v>1.0977760000000001</v>
      </c>
      <c r="L2925">
        <v>141.86099999999999</v>
      </c>
      <c r="M2925">
        <v>-0.92212329999999998</v>
      </c>
      <c r="N2925">
        <v>-1.172494E-2</v>
      </c>
      <c r="O2925">
        <v>-0.38671840000000002</v>
      </c>
      <c r="P2925">
        <v>-0.98260919999999896</v>
      </c>
      <c r="Q2925">
        <v>-9.1509649999999998E-2</v>
      </c>
      <c r="R2925">
        <v>-0.1615722</v>
      </c>
      <c r="S2925">
        <v>-3.0885009999999999</v>
      </c>
      <c r="T2925">
        <v>-0.17258860000000001</v>
      </c>
      <c r="U2925">
        <v>0.27383420000000003</v>
      </c>
      <c r="V2925">
        <v>0.22880700000000001</v>
      </c>
      <c r="W2925">
        <v>-8.6259890000000006E-2</v>
      </c>
      <c r="X2925">
        <v>0.96964249999999996</v>
      </c>
      <c r="Y2925">
        <v>0.465451</v>
      </c>
      <c r="Z2925">
        <v>3.2318430000000002E-2</v>
      </c>
      <c r="AA2925">
        <v>0.88448349999999898</v>
      </c>
      <c r="AB2925">
        <v>26</v>
      </c>
      <c r="AC2925">
        <v>-19.403699999999901</v>
      </c>
      <c r="AD2925">
        <v>-1.0977800944959999</v>
      </c>
      <c r="AE2925">
        <v>1.8301000000000101</v>
      </c>
      <c r="AF2925">
        <v>9.1629073932180702</v>
      </c>
      <c r="AG2925">
        <v>-1.0977800944959999</v>
      </c>
      <c r="AH2925">
        <v>17.131700070491998</v>
      </c>
      <c r="AI2925">
        <v>93.234032615255501</v>
      </c>
      <c r="AJ2925">
        <v>61.859855259801201</v>
      </c>
      <c r="AK2925">
        <v>19.4591659723087</v>
      </c>
      <c r="AL2925">
        <v>94.948477397036598</v>
      </c>
      <c r="AM2925">
        <v>76.722766191317604</v>
      </c>
      <c r="AN2925">
        <v>0.99999999483903101</v>
      </c>
    </row>
    <row r="2926" spans="1:40" x14ac:dyDescent="0.25">
      <c r="A2926" t="str">
        <f>"20190305135645015"</f>
        <v>20190305135645015</v>
      </c>
      <c r="B2926" t="str">
        <f>"1551765405005318"</f>
        <v>1551765405005318</v>
      </c>
      <c r="C2926" t="s">
        <v>40</v>
      </c>
      <c r="D2926">
        <v>4.2968820000000001</v>
      </c>
      <c r="E2926">
        <v>0.59889099999999995</v>
      </c>
      <c r="F2926" t="s">
        <v>42</v>
      </c>
      <c r="G2926">
        <v>-223.3014</v>
      </c>
      <c r="H2926" s="1">
        <v>-3.886702E-6</v>
      </c>
      <c r="I2926">
        <v>143.7551</v>
      </c>
      <c r="J2926">
        <v>-203.52279999999999</v>
      </c>
      <c r="K2926">
        <v>1.0977669999999999</v>
      </c>
      <c r="L2926">
        <v>141.76730000000001</v>
      </c>
      <c r="M2926">
        <v>-0.92836280000000004</v>
      </c>
      <c r="N2926">
        <v>-1.171145E-2</v>
      </c>
      <c r="O2926">
        <v>-0.37149070000000001</v>
      </c>
      <c r="P2926">
        <v>-0.98411669999999996</v>
      </c>
      <c r="Q2926">
        <v>-9.0340809999999994E-2</v>
      </c>
      <c r="R2926">
        <v>-0.15281629999999999</v>
      </c>
      <c r="S2926">
        <v>-3.0853120000000001</v>
      </c>
      <c r="T2926">
        <v>-0.16894719999999999</v>
      </c>
      <c r="U2926">
        <v>0.29150389999999998</v>
      </c>
      <c r="V2926">
        <v>0.22155440000000001</v>
      </c>
      <c r="W2926">
        <v>-8.4899050000000004E-2</v>
      </c>
      <c r="X2926">
        <v>0.97144520000000001</v>
      </c>
      <c r="Y2926">
        <v>0.45605059999999897</v>
      </c>
      <c r="Z2926">
        <v>3.0722719999999999E-2</v>
      </c>
      <c r="AA2926">
        <v>0.88942339999999998</v>
      </c>
      <c r="AB2926">
        <v>26</v>
      </c>
      <c r="AC2926">
        <v>-19.778600000000001</v>
      </c>
      <c r="AD2926">
        <v>-1.097770886702</v>
      </c>
      <c r="AE2926">
        <v>1.98779999999999</v>
      </c>
      <c r="AF2926">
        <v>9.1656429662863292</v>
      </c>
      <c r="AG2926">
        <v>-1.097770886702</v>
      </c>
      <c r="AH2926">
        <v>17.570888855314202</v>
      </c>
      <c r="AI2926">
        <v>93.170555213868298</v>
      </c>
      <c r="AJ2926">
        <v>62.451744066907899</v>
      </c>
      <c r="AK2926">
        <v>19.8481799435346</v>
      </c>
      <c r="AL2926">
        <v>94.870219932142504</v>
      </c>
      <c r="AM2926">
        <v>77.152478873074998</v>
      </c>
      <c r="AN2926">
        <v>0.99999998872665097</v>
      </c>
    </row>
    <row r="2927" spans="1:40" x14ac:dyDescent="0.25">
      <c r="A2927" t="str">
        <f>"20190305135645036"</f>
        <v>20190305135645036</v>
      </c>
      <c r="B2927" t="str">
        <f>"1551765405024838"</f>
        <v>1551765405024838</v>
      </c>
      <c r="C2927" t="s">
        <v>40</v>
      </c>
      <c r="D2927">
        <v>4.2876099999999999</v>
      </c>
      <c r="E2927">
        <v>0.598611</v>
      </c>
      <c r="F2927" t="s">
        <v>42</v>
      </c>
      <c r="G2927">
        <v>-223.3663</v>
      </c>
      <c r="H2927" s="1">
        <v>-3.8700250000000003E-6</v>
      </c>
      <c r="I2927">
        <v>143.78569999999999</v>
      </c>
      <c r="J2927">
        <v>-203.77440000000001</v>
      </c>
      <c r="K2927">
        <v>1.0977570000000001</v>
      </c>
      <c r="L2927">
        <v>141.684</v>
      </c>
      <c r="M2927">
        <v>-0.9339172</v>
      </c>
      <c r="N2927">
        <v>-1.169654E-2</v>
      </c>
      <c r="O2927">
        <v>-0.35729850000000002</v>
      </c>
      <c r="P2927">
        <v>-0.98515269999999999</v>
      </c>
      <c r="Q2927">
        <v>-9.0802250000000001E-2</v>
      </c>
      <c r="R2927">
        <v>-0.1457032</v>
      </c>
      <c r="S2927">
        <v>-3.0814210000000002</v>
      </c>
      <c r="T2927">
        <v>-0.17046900000000001</v>
      </c>
      <c r="U2927">
        <v>0.31343080000000001</v>
      </c>
      <c r="V2927">
        <v>0.21374270000000001</v>
      </c>
      <c r="W2927">
        <v>-8.5144919999999999E-2</v>
      </c>
      <c r="X2927">
        <v>0.97317229999999999</v>
      </c>
      <c r="Y2927">
        <v>0.44885459999999999</v>
      </c>
      <c r="Z2927">
        <v>3.0244139999999999E-2</v>
      </c>
      <c r="AA2927">
        <v>0.89309289999999997</v>
      </c>
      <c r="AB2927">
        <v>26</v>
      </c>
      <c r="AC2927">
        <v>-19.5918999999999</v>
      </c>
      <c r="AD2927">
        <v>-1.0977608700249999</v>
      </c>
      <c r="AE2927">
        <v>2.1016999999999899</v>
      </c>
      <c r="AF2927">
        <v>8.9358467554027996</v>
      </c>
      <c r="AG2927">
        <v>-1.0977608700249999</v>
      </c>
      <c r="AH2927">
        <v>17.493180045640599</v>
      </c>
      <c r="AI2927">
        <v>93.198626996044794</v>
      </c>
      <c r="AJ2927">
        <v>62.941196601804499</v>
      </c>
      <c r="AK2927">
        <v>19.673987503122</v>
      </c>
      <c r="AL2927">
        <v>94.884358569282696</v>
      </c>
      <c r="AM2927">
        <v>77.612530394119901</v>
      </c>
      <c r="AN2927">
        <v>0.99999996234619204</v>
      </c>
    </row>
    <row r="2928" spans="1:40" x14ac:dyDescent="0.25">
      <c r="A2928" t="str">
        <f>"20190305135645059"</f>
        <v>20190305135645059</v>
      </c>
      <c r="B2928" t="str">
        <f>"1551765405055094"</f>
        <v>1551765405055094</v>
      </c>
      <c r="C2928" t="s">
        <v>40</v>
      </c>
      <c r="D2928">
        <v>4.2789169999999999</v>
      </c>
      <c r="E2928">
        <v>0.58604149999999999</v>
      </c>
      <c r="F2928" t="s">
        <v>42</v>
      </c>
      <c r="G2928">
        <v>-223.1276</v>
      </c>
      <c r="H2928" s="1">
        <v>-3.9507339999999998E-6</v>
      </c>
      <c r="I2928">
        <v>143.78270000000001</v>
      </c>
      <c r="J2928">
        <v>-204.04259999999999</v>
      </c>
      <c r="K2928">
        <v>1.0977809999999999</v>
      </c>
      <c r="L2928">
        <v>141.59970000000001</v>
      </c>
      <c r="M2928">
        <v>-0.93953279999999995</v>
      </c>
      <c r="N2928">
        <v>-1.167324E-2</v>
      </c>
      <c r="O2928">
        <v>-0.34226040000000002</v>
      </c>
      <c r="P2928">
        <v>-0.98584439999999995</v>
      </c>
      <c r="Q2928">
        <v>-9.3203830000000001E-2</v>
      </c>
      <c r="R2928">
        <v>-0.1393694</v>
      </c>
      <c r="S2928">
        <v>-3.0784910000000001</v>
      </c>
      <c r="T2928">
        <v>-0.17461960000000001</v>
      </c>
      <c r="U2928">
        <v>0.33383180000000001</v>
      </c>
      <c r="V2928">
        <v>0.20424439999999999</v>
      </c>
      <c r="W2928">
        <v>-8.7275619999999998E-2</v>
      </c>
      <c r="X2928">
        <v>0.97502169999999999</v>
      </c>
      <c r="Y2928">
        <v>0.4404072</v>
      </c>
      <c r="Z2928">
        <v>3.013016E-2</v>
      </c>
      <c r="AA2928">
        <v>0.89729239999999999</v>
      </c>
      <c r="AB2928">
        <v>26</v>
      </c>
      <c r="AC2928">
        <v>-19.085000000000001</v>
      </c>
      <c r="AD2928">
        <v>-1.0977849507339901</v>
      </c>
      <c r="AE2928">
        <v>2.1829999999999901</v>
      </c>
      <c r="AF2928">
        <v>8.5556811349956199</v>
      </c>
      <c r="AG2928">
        <v>-1.0977849507339901</v>
      </c>
      <c r="AH2928">
        <v>17.129055055358201</v>
      </c>
      <c r="AI2928">
        <v>93.2814514016777</v>
      </c>
      <c r="AJ2928">
        <v>63.458626283902603</v>
      </c>
      <c r="AK2928">
        <v>19.178355992401201</v>
      </c>
      <c r="AL2928">
        <v>95.006894421488994</v>
      </c>
      <c r="AM2928">
        <v>78.168936338872797</v>
      </c>
      <c r="AN2928">
        <v>1.0000000621243099</v>
      </c>
    </row>
    <row r="2929" spans="1:40" x14ac:dyDescent="0.25">
      <c r="A2929" t="str">
        <f>"20190305135645081"</f>
        <v>20190305135645081</v>
      </c>
      <c r="B2929" t="str">
        <f>"1551765405075591"</f>
        <v>1551765405075591</v>
      </c>
      <c r="C2929" t="s">
        <v>40</v>
      </c>
      <c r="D2929">
        <v>4.3108110000000002</v>
      </c>
      <c r="E2929">
        <v>0.5857694</v>
      </c>
      <c r="F2929" t="s">
        <v>42</v>
      </c>
      <c r="G2929">
        <v>-218.12629999999999</v>
      </c>
      <c r="H2929" s="1">
        <v>-1.7125609999999999E-6</v>
      </c>
      <c r="I2929">
        <v>142.79730000000001</v>
      </c>
      <c r="J2929">
        <v>-204.28919999999999</v>
      </c>
      <c r="K2929">
        <v>1.0978429999999999</v>
      </c>
      <c r="L2929">
        <v>141.52610000000001</v>
      </c>
      <c r="M2929">
        <v>-0.94440480000000004</v>
      </c>
      <c r="N2929">
        <v>-1.1643280000000001E-2</v>
      </c>
      <c r="O2929">
        <v>-0.32857910000000001</v>
      </c>
      <c r="P2929">
        <v>-0.98642649999999998</v>
      </c>
      <c r="Q2929">
        <v>-9.5390440000000007E-2</v>
      </c>
      <c r="R2929">
        <v>-0.13365360000000001</v>
      </c>
      <c r="S2929">
        <v>-3.057312</v>
      </c>
      <c r="T2929">
        <v>-0.23830779999999999</v>
      </c>
      <c r="U2929">
        <v>0.25997920000000002</v>
      </c>
      <c r="V2929">
        <v>0.1956283</v>
      </c>
      <c r="W2929">
        <v>-8.9206809999999997E-2</v>
      </c>
      <c r="X2929">
        <v>0.97661240000000005</v>
      </c>
      <c r="Y2929">
        <v>0.40534199999999998</v>
      </c>
      <c r="Z2929">
        <v>3.9509599999999999E-2</v>
      </c>
      <c r="AA2929">
        <v>0.91331090000000004</v>
      </c>
      <c r="AB2929">
        <v>26</v>
      </c>
      <c r="AC2929">
        <v>-13.8370999999999</v>
      </c>
      <c r="AD2929">
        <v>-1.097844712561</v>
      </c>
      <c r="AE2929">
        <v>1.2711999999999899</v>
      </c>
      <c r="AF2929">
        <v>5.7118434232369104</v>
      </c>
      <c r="AG2929">
        <v>-1.097844712561</v>
      </c>
      <c r="AH2929">
        <v>12.5725092489941</v>
      </c>
      <c r="AI2929">
        <v>94.545519523021198</v>
      </c>
      <c r="AJ2929">
        <v>65.567125701466395</v>
      </c>
      <c r="AK2929">
        <v>13.8527400582164</v>
      </c>
      <c r="AL2929">
        <v>95.117976934032399</v>
      </c>
      <c r="AM2929">
        <v>78.672816823804396</v>
      </c>
      <c r="AN2929">
        <v>1.0000000332725101</v>
      </c>
    </row>
    <row r="2930" spans="1:40" x14ac:dyDescent="0.25">
      <c r="A2930" t="str">
        <f>"20190305135645105"</f>
        <v>20190305135645105</v>
      </c>
      <c r="B2930" t="str">
        <f>"1551765405095111"</f>
        <v>1551765405095111</v>
      </c>
      <c r="C2930" t="s">
        <v>40</v>
      </c>
      <c r="D2930">
        <v>4.4766389999999996</v>
      </c>
      <c r="E2930">
        <v>0.5854665</v>
      </c>
      <c r="F2930" t="s">
        <v>42</v>
      </c>
      <c r="G2930">
        <v>-217.9573</v>
      </c>
      <c r="H2930" s="1">
        <v>-1.7822069999999901E-6</v>
      </c>
      <c r="I2930">
        <v>142.75880000000001</v>
      </c>
      <c r="J2930">
        <v>-204.57390000000001</v>
      </c>
      <c r="K2930">
        <v>1.0979810000000001</v>
      </c>
      <c r="L2930">
        <v>141.44550000000001</v>
      </c>
      <c r="M2930">
        <v>-0.9496772</v>
      </c>
      <c r="N2930">
        <v>-1.159875E-2</v>
      </c>
      <c r="O2930">
        <v>-0.3130153</v>
      </c>
      <c r="P2930">
        <v>-0.98733510000000002</v>
      </c>
      <c r="Q2930">
        <v>-9.7394679999999997E-2</v>
      </c>
      <c r="R2930">
        <v>-0.1252344</v>
      </c>
      <c r="S2930">
        <v>-3.0549010000000001</v>
      </c>
      <c r="T2930">
        <v>-0.24537439999999999</v>
      </c>
      <c r="U2930">
        <v>0.2755127</v>
      </c>
      <c r="V2930">
        <v>0.1878329</v>
      </c>
      <c r="W2930">
        <v>-9.0965050000000006E-2</v>
      </c>
      <c r="X2930">
        <v>0.97797970000000001</v>
      </c>
      <c r="Y2930">
        <v>0.39491660000000001</v>
      </c>
      <c r="Z2930">
        <v>3.9265660000000001E-2</v>
      </c>
      <c r="AA2930">
        <v>0.91787750000000001</v>
      </c>
      <c r="AB2930">
        <v>26</v>
      </c>
      <c r="AC2930">
        <v>-13.3833999999999</v>
      </c>
      <c r="AD2930">
        <v>-1.0979827822070001</v>
      </c>
      <c r="AE2930">
        <v>1.3132999999999899</v>
      </c>
      <c r="AF2930">
        <v>5.4007818710760001</v>
      </c>
      <c r="AG2930">
        <v>-1.0979827822070001</v>
      </c>
      <c r="AH2930">
        <v>12.2182025412702</v>
      </c>
      <c r="AI2930">
        <v>94.698737737044596</v>
      </c>
      <c r="AJ2930">
        <v>66.153251863818696</v>
      </c>
      <c r="AK2930">
        <v>13.403674285376599</v>
      </c>
      <c r="AL2930">
        <v>95.219127783892006</v>
      </c>
      <c r="AM2930">
        <v>79.128039456628301</v>
      </c>
      <c r="AN2930">
        <v>1.00000006612799</v>
      </c>
    </row>
    <row r="2931" spans="1:40" x14ac:dyDescent="0.25">
      <c r="A2931" t="str">
        <f>"20190305135645128"</f>
        <v>20190305135645128</v>
      </c>
      <c r="B2931" t="str">
        <f>"1551765405125366"</f>
        <v>1551765405125366</v>
      </c>
      <c r="C2931" t="s">
        <v>40</v>
      </c>
      <c r="D2931">
        <v>4.2635209999999999</v>
      </c>
      <c r="E2931">
        <v>0.56026430000000005</v>
      </c>
      <c r="F2931" t="s">
        <v>42</v>
      </c>
      <c r="G2931">
        <v>-217.99299999999999</v>
      </c>
      <c r="H2931" s="1">
        <v>-1.765565E-6</v>
      </c>
      <c r="I2931">
        <v>142.75970000000001</v>
      </c>
      <c r="J2931">
        <v>-204.83500000000001</v>
      </c>
      <c r="K2931">
        <v>1.0981639999999999</v>
      </c>
      <c r="L2931">
        <v>141.37569999999999</v>
      </c>
      <c r="M2931">
        <v>-0.95417110000000005</v>
      </c>
      <c r="N2931">
        <v>-1.1548559999999999E-2</v>
      </c>
      <c r="O2931">
        <v>-0.29903869999999999</v>
      </c>
      <c r="P2931">
        <v>-0.98807420000000001</v>
      </c>
      <c r="Q2931">
        <v>-9.820537E-2</v>
      </c>
      <c r="R2931">
        <v>-0.1185976</v>
      </c>
      <c r="S2931">
        <v>-3.051758</v>
      </c>
      <c r="T2931">
        <v>-0.2497009</v>
      </c>
      <c r="U2931">
        <v>0.29887390000000003</v>
      </c>
      <c r="V2931">
        <v>0.1800474</v>
      </c>
      <c r="W2931">
        <v>-9.1520989999999997E-2</v>
      </c>
      <c r="X2931">
        <v>0.97939100000000001</v>
      </c>
      <c r="Y2931">
        <v>0.38845449999999998</v>
      </c>
      <c r="Z2931">
        <v>3.8785109999999998E-2</v>
      </c>
      <c r="AA2931">
        <v>0.92065129999999995</v>
      </c>
      <c r="AB2931">
        <v>26</v>
      </c>
      <c r="AC2931">
        <v>-13.1579999999999</v>
      </c>
      <c r="AD2931">
        <v>-1.0981657655649999</v>
      </c>
      <c r="AE2931">
        <v>1.3840000000000101</v>
      </c>
      <c r="AF2931">
        <v>5.21971411338951</v>
      </c>
      <c r="AG2931">
        <v>-1.0981657655649999</v>
      </c>
      <c r="AH2931">
        <v>12.0588459832724</v>
      </c>
      <c r="AI2931">
        <v>94.777328467688505</v>
      </c>
      <c r="AJ2931">
        <v>66.594455649004004</v>
      </c>
      <c r="AK2931">
        <v>13.1858693275211</v>
      </c>
      <c r="AL2931">
        <v>95.251114865479593</v>
      </c>
      <c r="AM2931">
        <v>79.583276229061497</v>
      </c>
      <c r="AN2931">
        <v>0.99999994436916795</v>
      </c>
    </row>
    <row r="2932" spans="1:40" x14ac:dyDescent="0.25">
      <c r="A2932" t="str">
        <f>"20190305135645171"</f>
        <v>20190305135645171</v>
      </c>
      <c r="B2932" t="str">
        <f>"1551765405165382"</f>
        <v>1551765405165382</v>
      </c>
      <c r="C2932" t="s">
        <v>40</v>
      </c>
      <c r="D2932">
        <v>4.2291559999999997</v>
      </c>
      <c r="E2932">
        <v>0.55271569999999903</v>
      </c>
      <c r="F2932" t="s">
        <v>42</v>
      </c>
      <c r="G2932">
        <v>-351.411</v>
      </c>
      <c r="H2932" s="1">
        <v>-4.9230229999999997E-6</v>
      </c>
      <c r="I2932">
        <v>145.9708</v>
      </c>
      <c r="J2932">
        <v>-205.3279</v>
      </c>
      <c r="K2932">
        <v>1.098697</v>
      </c>
      <c r="L2932">
        <v>141.25380000000001</v>
      </c>
      <c r="M2932">
        <v>-0.96174199999999999</v>
      </c>
      <c r="N2932">
        <v>-1.142898E-2</v>
      </c>
      <c r="O2932">
        <v>-0.27371839999999997</v>
      </c>
      <c r="P2932">
        <v>-0.98960959999999998</v>
      </c>
      <c r="Q2932">
        <v>-9.3003459999999996E-2</v>
      </c>
      <c r="R2932">
        <v>-0.10965080000000001</v>
      </c>
      <c r="S2932">
        <v>-3.0453950000000001</v>
      </c>
      <c r="T2932">
        <v>-2.281654E-2</v>
      </c>
      <c r="U2932">
        <v>9.5474240000000002E-2</v>
      </c>
      <c r="V2932">
        <v>0.16339629999999999</v>
      </c>
      <c r="W2932">
        <v>-8.5766140000000005E-2</v>
      </c>
      <c r="X2932">
        <v>0.98282550000000002</v>
      </c>
      <c r="Y2932">
        <v>0.30371679999999901</v>
      </c>
      <c r="Z2932">
        <v>1.751254E-3</v>
      </c>
      <c r="AA2932">
        <v>0.95276079999999996</v>
      </c>
      <c r="AB2932">
        <v>26</v>
      </c>
      <c r="AC2932">
        <v>-146.0831</v>
      </c>
      <c r="AD2932">
        <v>-1.098701923023</v>
      </c>
      <c r="AE2932">
        <v>4.7169999999999801</v>
      </c>
      <c r="AF2932">
        <v>44.522560305058398</v>
      </c>
      <c r="AG2932">
        <v>-1.098701923023</v>
      </c>
      <c r="AH2932">
        <v>139.204345231334</v>
      </c>
      <c r="AI2932">
        <v>90.430717594571504</v>
      </c>
      <c r="AJ2932">
        <v>72.263852708480002</v>
      </c>
      <c r="AK2932">
        <v>146.155106832836</v>
      </c>
      <c r="AL2932">
        <v>94.920081990661402</v>
      </c>
      <c r="AM2932">
        <v>80.560818846218297</v>
      </c>
      <c r="AN2932">
        <v>1.00000007253721</v>
      </c>
    </row>
    <row r="2933" spans="1:40" x14ac:dyDescent="0.25">
      <c r="A2933" t="str">
        <f>"20190305135645193"</f>
        <v>20190305135645193</v>
      </c>
      <c r="B2933" t="str">
        <f>"1551765405184902"</f>
        <v>1551765405184902</v>
      </c>
      <c r="C2933" t="s">
        <v>40</v>
      </c>
      <c r="D2933">
        <v>4.2499099999999999</v>
      </c>
      <c r="E2933">
        <v>0.5517225</v>
      </c>
      <c r="F2933" t="s">
        <v>42</v>
      </c>
      <c r="G2933">
        <v>-328.04880000000003</v>
      </c>
      <c r="H2933" s="1">
        <v>-1.9603480000000002E-6</v>
      </c>
      <c r="I2933">
        <v>143.90440000000001</v>
      </c>
      <c r="J2933">
        <v>-205.60679999999999</v>
      </c>
      <c r="K2933">
        <v>1.0990009999999999</v>
      </c>
      <c r="L2933">
        <v>141.19030000000001</v>
      </c>
      <c r="M2933">
        <v>-0.96552910000000003</v>
      </c>
      <c r="N2933">
        <v>-1.135531E-2</v>
      </c>
      <c r="O2933">
        <v>-0.2600478</v>
      </c>
      <c r="P2933">
        <v>-0.99078489999999997</v>
      </c>
      <c r="Q2933">
        <v>-8.9885140000000002E-2</v>
      </c>
      <c r="R2933">
        <v>-0.1013222</v>
      </c>
      <c r="S2933">
        <v>-3.0362239999999998</v>
      </c>
      <c r="T2933">
        <v>-2.718282E-2</v>
      </c>
      <c r="U2933">
        <v>6.5582280000000007E-2</v>
      </c>
      <c r="V2933">
        <v>0.15793509999999999</v>
      </c>
      <c r="W2933">
        <v>-8.2456689999999999E-2</v>
      </c>
      <c r="X2933">
        <v>0.98400069999999995</v>
      </c>
      <c r="Y2933">
        <v>0.28082990000000002</v>
      </c>
      <c r="Z2933">
        <v>2.1843510000000002E-3</v>
      </c>
      <c r="AA2933">
        <v>0.95975509999999997</v>
      </c>
      <c r="AB2933">
        <v>27</v>
      </c>
      <c r="AC2933">
        <v>-122.44199999999999</v>
      </c>
      <c r="AD2933">
        <v>-1.0990029603479901</v>
      </c>
      <c r="AE2933">
        <v>2.7141000000000002</v>
      </c>
      <c r="AF2933">
        <v>34.460758129703997</v>
      </c>
      <c r="AG2933">
        <v>-1.0990029603479901</v>
      </c>
      <c r="AH2933">
        <v>117.513618481698</v>
      </c>
      <c r="AI2933">
        <v>90.514171170138496</v>
      </c>
      <c r="AJ2933">
        <v>73.6562745225458</v>
      </c>
      <c r="AK2933">
        <v>122.46714737856399</v>
      </c>
      <c r="AL2933">
        <v>94.729790464532499</v>
      </c>
      <c r="AM2933">
        <v>80.881622856089606</v>
      </c>
      <c r="AN2933">
        <v>0.99999998956912795</v>
      </c>
    </row>
    <row r="2934" spans="1:40" x14ac:dyDescent="0.25">
      <c r="A2934" t="str">
        <f>"20190305135645215"</f>
        <v>20190305135645215</v>
      </c>
      <c r="B2934" t="str">
        <f>"1551765405205398"</f>
        <v>1551765405205398</v>
      </c>
      <c r="C2934" t="s">
        <v>40</v>
      </c>
      <c r="D2934">
        <v>4.270194</v>
      </c>
      <c r="E2934">
        <v>0.55022530000000003</v>
      </c>
      <c r="F2934" t="s">
        <v>42</v>
      </c>
      <c r="G2934">
        <v>-336.70100000000002</v>
      </c>
      <c r="H2934" s="1">
        <v>-2.9328140000000001E-6</v>
      </c>
      <c r="I2934">
        <v>144.85120000000001</v>
      </c>
      <c r="J2934">
        <v>-205.87110000000001</v>
      </c>
      <c r="K2934">
        <v>1.0992470000000001</v>
      </c>
      <c r="L2934">
        <v>141.1335</v>
      </c>
      <c r="M2934">
        <v>-0.96883770000000002</v>
      </c>
      <c r="N2934">
        <v>-1.1292379999999999E-2</v>
      </c>
      <c r="O2934">
        <v>-0.24743850000000001</v>
      </c>
      <c r="P2934">
        <v>-0.99177689999999996</v>
      </c>
      <c r="Q2934">
        <v>-8.7550740000000002E-2</v>
      </c>
      <c r="R2934">
        <v>-9.3343949999999995E-2</v>
      </c>
      <c r="S2934">
        <v>-3.0342410000000002</v>
      </c>
      <c r="T2934">
        <v>-2.5437000000000001E-2</v>
      </c>
      <c r="U2934">
        <v>8.4732059999999998E-2</v>
      </c>
      <c r="V2934">
        <v>0.15318409999999999</v>
      </c>
      <c r="W2934">
        <v>-7.9968460000000005E-2</v>
      </c>
      <c r="X2934">
        <v>0.98495670000000002</v>
      </c>
      <c r="Y2934">
        <v>0.27438089999999998</v>
      </c>
      <c r="Z2934">
        <v>1.9454310000000001E-3</v>
      </c>
      <c r="AA2934">
        <v>0.96161909999999895</v>
      </c>
      <c r="AB2934">
        <v>27</v>
      </c>
      <c r="AC2934">
        <v>-130.82989999999899</v>
      </c>
      <c r="AD2934">
        <v>-1.099249932814</v>
      </c>
      <c r="AE2934">
        <v>3.7176999999999998</v>
      </c>
      <c r="AF2934">
        <v>35.973961735601002</v>
      </c>
      <c r="AG2934">
        <v>-1.099249932814</v>
      </c>
      <c r="AH2934">
        <v>125.832196433181</v>
      </c>
      <c r="AI2934">
        <v>90.481235014710506</v>
      </c>
      <c r="AJ2934">
        <v>74.045382919518005</v>
      </c>
      <c r="AK2934">
        <v>130.87809569430601</v>
      </c>
      <c r="AL2934">
        <v>94.586752763474394</v>
      </c>
      <c r="AM2934">
        <v>81.159968102050698</v>
      </c>
      <c r="AN2934">
        <v>1.00000001198123</v>
      </c>
    </row>
    <row r="2935" spans="1:40" x14ac:dyDescent="0.25">
      <c r="A2935" t="str">
        <f>"20190305135645238"</f>
        <v>20190305135645238</v>
      </c>
      <c r="B2935" t="str">
        <f>"1551765405235654"</f>
        <v>1551765405235654</v>
      </c>
      <c r="C2935" t="s">
        <v>40</v>
      </c>
      <c r="D2935">
        <v>4.3692549999999999</v>
      </c>
      <c r="E2935">
        <v>0.54710530000000002</v>
      </c>
      <c r="F2935" t="s">
        <v>73</v>
      </c>
      <c r="G2935">
        <v>-309.76400000000001</v>
      </c>
      <c r="H2935" s="1">
        <v>-1.092368E-5</v>
      </c>
      <c r="I2935">
        <v>144.541</v>
      </c>
      <c r="J2935">
        <v>-206.14109999999999</v>
      </c>
      <c r="K2935">
        <v>1.0995280000000001</v>
      </c>
      <c r="L2935">
        <v>141.07859999999999</v>
      </c>
      <c r="M2935">
        <v>-0.97191289999999997</v>
      </c>
      <c r="N2935">
        <v>-1.1222960000000001E-2</v>
      </c>
      <c r="O2935">
        <v>-0.2350738</v>
      </c>
      <c r="P2935">
        <v>-0.99267229999999995</v>
      </c>
      <c r="Q2935">
        <v>-8.522739E-2</v>
      </c>
      <c r="R2935">
        <v>-8.5664130000000005E-2</v>
      </c>
      <c r="S2935">
        <v>-3.0314030000000001</v>
      </c>
      <c r="T2935">
        <v>-3.2074329999999998E-2</v>
      </c>
      <c r="U2935">
        <v>9.9426269999999997E-2</v>
      </c>
      <c r="V2935">
        <v>0.14841460000000001</v>
      </c>
      <c r="W2935">
        <v>-7.7490000000000003E-2</v>
      </c>
      <c r="X2935">
        <v>0.9858846</v>
      </c>
      <c r="Y2935">
        <v>0.26679429999999998</v>
      </c>
      <c r="Z2935">
        <v>2.7260919999999998E-3</v>
      </c>
      <c r="AA2935">
        <v>0.96374959999999998</v>
      </c>
      <c r="AB2935">
        <v>27</v>
      </c>
      <c r="AC2935">
        <v>-103.6229</v>
      </c>
      <c r="AD2935">
        <v>-1.0995389236799999</v>
      </c>
      <c r="AE2935">
        <v>3.4624000000000001</v>
      </c>
      <c r="AF2935">
        <v>27.722803760789201</v>
      </c>
      <c r="AG2935">
        <v>-1.0995389236799999</v>
      </c>
      <c r="AH2935">
        <v>99.893554376512597</v>
      </c>
      <c r="AI2935">
        <v>90.607669941069403</v>
      </c>
      <c r="AJ2935">
        <v>74.489418009570997</v>
      </c>
      <c r="AK2935">
        <v>103.674900724221</v>
      </c>
      <c r="AL2935">
        <v>94.444305246995299</v>
      </c>
      <c r="AM2935">
        <v>81.439004471596306</v>
      </c>
      <c r="AN2935">
        <v>1.0000000190551599</v>
      </c>
    </row>
    <row r="2936" spans="1:40" x14ac:dyDescent="0.25">
      <c r="A2936" t="str">
        <f>"20190305135645261"</f>
        <v>20190305135645261</v>
      </c>
      <c r="B2936" t="str">
        <f>"1551765405255174"</f>
        <v>1551765405255174</v>
      </c>
      <c r="C2936" t="s">
        <v>40</v>
      </c>
      <c r="D2936">
        <v>4.3508930000000001</v>
      </c>
      <c r="E2936">
        <v>0.54534269999999996</v>
      </c>
      <c r="F2936" t="s">
        <v>42</v>
      </c>
      <c r="G2936">
        <v>-271.67200000000003</v>
      </c>
      <c r="H2936" s="1">
        <v>-4.3548159999999998E-6</v>
      </c>
      <c r="I2936">
        <v>143.268</v>
      </c>
      <c r="J2936">
        <v>-206.4109</v>
      </c>
      <c r="K2936">
        <v>1.099877</v>
      </c>
      <c r="L2936">
        <v>141.02670000000001</v>
      </c>
      <c r="M2936">
        <v>-0.97467990000000004</v>
      </c>
      <c r="N2936">
        <v>-1.113693E-2</v>
      </c>
      <c r="O2936">
        <v>-0.223327</v>
      </c>
      <c r="P2936">
        <v>-0.99327580000000004</v>
      </c>
      <c r="Q2936">
        <v>-8.5537630000000003E-2</v>
      </c>
      <c r="R2936">
        <v>-7.8014520000000004E-2</v>
      </c>
      <c r="S2936">
        <v>-3.0265049999999998</v>
      </c>
      <c r="T2936">
        <v>-5.078125E-2</v>
      </c>
      <c r="U2936">
        <v>0.10112</v>
      </c>
      <c r="V2936">
        <v>0.1441665</v>
      </c>
      <c r="W2936">
        <v>-7.7658119999999997E-2</v>
      </c>
      <c r="X2936">
        <v>0.98650150000000003</v>
      </c>
      <c r="Y2936">
        <v>0.25570290000000001</v>
      </c>
      <c r="Z2936">
        <v>4.7942439999999996E-3</v>
      </c>
      <c r="AA2936">
        <v>0.96674349999999998</v>
      </c>
      <c r="AB2936">
        <v>27</v>
      </c>
      <c r="AC2936">
        <v>-65.261099999999999</v>
      </c>
      <c r="AD2936">
        <v>-1.099881354816</v>
      </c>
      <c r="AE2936">
        <v>2.2412999999999901</v>
      </c>
      <c r="AF2936">
        <v>16.755402470063</v>
      </c>
      <c r="AG2936">
        <v>-1.099881354816</v>
      </c>
      <c r="AH2936">
        <v>63.094156926168097</v>
      </c>
      <c r="AI2936">
        <v>90.965250907079593</v>
      </c>
      <c r="AJ2936">
        <v>75.127696599811202</v>
      </c>
      <c r="AK2936">
        <v>65.290320026420403</v>
      </c>
      <c r="AL2936">
        <v>94.453967073537299</v>
      </c>
      <c r="AM2936">
        <v>81.685698132426197</v>
      </c>
      <c r="AN2936">
        <v>0.99999998641321697</v>
      </c>
    </row>
    <row r="2937" spans="1:40" x14ac:dyDescent="0.25">
      <c r="A2937" t="str">
        <f>"20190305135645281"</f>
        <v>20190305135645281</v>
      </c>
      <c r="B2937" t="str">
        <f>"1551765405275670"</f>
        <v>1551765405275670</v>
      </c>
      <c r="C2937" t="s">
        <v>40</v>
      </c>
      <c r="D2937">
        <v>4.3488199999999999</v>
      </c>
      <c r="E2937">
        <v>0.54453530000000006</v>
      </c>
      <c r="F2937" t="s">
        <v>42</v>
      </c>
      <c r="G2937">
        <v>-255.26410000000001</v>
      </c>
      <c r="H2937" s="1">
        <v>-2.8712749999999999E-6</v>
      </c>
      <c r="I2937">
        <v>142.8382</v>
      </c>
      <c r="J2937">
        <v>-206.6662</v>
      </c>
      <c r="K2937">
        <v>1.1002609999999999</v>
      </c>
      <c r="L2937">
        <v>140.98009999999999</v>
      </c>
      <c r="M2937">
        <v>-0.97703269999999998</v>
      </c>
      <c r="N2937">
        <v>-1.1042720000000001E-2</v>
      </c>
      <c r="O2937">
        <v>-0.2128034</v>
      </c>
      <c r="P2937">
        <v>-0.99349770000000004</v>
      </c>
      <c r="Q2937">
        <v>-8.7509260000000005E-2</v>
      </c>
      <c r="R2937">
        <v>-7.2834590000000005E-2</v>
      </c>
      <c r="S2937">
        <v>-3.0232700000000001</v>
      </c>
      <c r="T2937">
        <v>-6.8065879999999995E-2</v>
      </c>
      <c r="U2937">
        <v>0.11210630000000001</v>
      </c>
      <c r="V2937">
        <v>0.13867349999999901</v>
      </c>
      <c r="W2937">
        <v>-7.9460080000000002E-2</v>
      </c>
      <c r="X2937">
        <v>0.98714519999999994</v>
      </c>
      <c r="Y2937">
        <v>0.24876999999999999</v>
      </c>
      <c r="Z2937">
        <v>6.5788590000000003E-3</v>
      </c>
      <c r="AA2937">
        <v>0.96854030000000002</v>
      </c>
      <c r="AB2937">
        <v>27</v>
      </c>
      <c r="AC2937">
        <v>-48.597900000000003</v>
      </c>
      <c r="AD2937">
        <v>-1.1002638712749999</v>
      </c>
      <c r="AE2937">
        <v>1.8581000000000001</v>
      </c>
      <c r="AF2937">
        <v>12.1517437467464</v>
      </c>
      <c r="AG2937">
        <v>-1.1002638712749999</v>
      </c>
      <c r="AH2937">
        <v>47.0651063987005</v>
      </c>
      <c r="AI2937">
        <v>91.296680112235407</v>
      </c>
      <c r="AJ2937">
        <v>75.522960845698094</v>
      </c>
      <c r="AK2937">
        <v>48.620980008572701</v>
      </c>
      <c r="AL2937">
        <v>94.557532053031807</v>
      </c>
      <c r="AM2937">
        <v>82.003455522938197</v>
      </c>
      <c r="AN2937">
        <v>0.99999994489944599</v>
      </c>
    </row>
    <row r="2938" spans="1:40" x14ac:dyDescent="0.25">
      <c r="A2938" t="str">
        <f>"20190305135645306"</f>
        <v>20190305135645306</v>
      </c>
      <c r="B2938" t="str">
        <f>"1551765405295191"</f>
        <v>1551765405295191</v>
      </c>
      <c r="C2938" t="s">
        <v>40</v>
      </c>
      <c r="D2938">
        <v>4.358295</v>
      </c>
      <c r="E2938">
        <v>0.52999759999999996</v>
      </c>
      <c r="F2938" t="s">
        <v>42</v>
      </c>
      <c r="G2938">
        <v>-247.77770000000001</v>
      </c>
      <c r="H2938" s="1">
        <v>-1.7396039999999999E-6</v>
      </c>
      <c r="I2938">
        <v>142.6377</v>
      </c>
      <c r="J2938">
        <v>-206.96080000000001</v>
      </c>
      <c r="K2938">
        <v>1.1007670000000001</v>
      </c>
      <c r="L2938">
        <v>140.929</v>
      </c>
      <c r="M2938">
        <v>-0.97945919999999997</v>
      </c>
      <c r="N2938">
        <v>-1.093065E-2</v>
      </c>
      <c r="O2938">
        <v>-0.20134630000000001</v>
      </c>
      <c r="P2938">
        <v>-0.99368860000000003</v>
      </c>
      <c r="Q2938">
        <v>-8.9894740000000001E-2</v>
      </c>
      <c r="R2938">
        <v>-6.7096199999999995E-2</v>
      </c>
      <c r="S2938">
        <v>-3.021423</v>
      </c>
      <c r="T2938">
        <v>-8.0861929999999999E-2</v>
      </c>
      <c r="U2938">
        <v>0.1218262</v>
      </c>
      <c r="V2938">
        <v>0.13282620000000001</v>
      </c>
      <c r="W2938">
        <v>-8.1660839999999998E-2</v>
      </c>
      <c r="X2938">
        <v>0.98776949999999997</v>
      </c>
      <c r="Y2938">
        <v>0.24051220000000001</v>
      </c>
      <c r="Z2938">
        <v>7.6860169999999998E-3</v>
      </c>
      <c r="AA2938">
        <v>0.97061569999999997</v>
      </c>
      <c r="AB2938">
        <v>27</v>
      </c>
      <c r="AC2938">
        <v>-40.816899999999997</v>
      </c>
      <c r="AD2938">
        <v>-1.100768739604</v>
      </c>
      <c r="AE2938">
        <v>1.7086999999999899</v>
      </c>
      <c r="AF2938">
        <v>9.8853470355132291</v>
      </c>
      <c r="AG2938">
        <v>-1.100768739604</v>
      </c>
      <c r="AH2938">
        <v>39.608056607908999</v>
      </c>
      <c r="AI2938">
        <v>91.544573084805705</v>
      </c>
      <c r="AJ2938">
        <v>75.986450665797804</v>
      </c>
      <c r="AK2938">
        <v>40.837849185356802</v>
      </c>
      <c r="AL2938">
        <v>94.684037552833004</v>
      </c>
      <c r="AM2938">
        <v>82.341329964709303</v>
      </c>
      <c r="AN2938">
        <v>0.999999938663095</v>
      </c>
    </row>
    <row r="2939" spans="1:40" x14ac:dyDescent="0.25">
      <c r="A2939" t="str">
        <f>"20190305135645329"</f>
        <v>20190305135645329</v>
      </c>
      <c r="B2939" t="str">
        <f>"1551765405325222"</f>
        <v>1551765405325222</v>
      </c>
      <c r="C2939" t="s">
        <v>40</v>
      </c>
      <c r="D2939">
        <v>4.3171949999999999</v>
      </c>
      <c r="E2939">
        <v>0.52998579999999995</v>
      </c>
      <c r="F2939" t="s">
        <v>42</v>
      </c>
      <c r="G2939">
        <v>-222.7191</v>
      </c>
      <c r="H2939" s="1">
        <v>-3.501322E-6</v>
      </c>
      <c r="I2939">
        <v>141.10290000000001</v>
      </c>
      <c r="J2939">
        <v>-207.23599999999999</v>
      </c>
      <c r="K2939">
        <v>1.1012630000000001</v>
      </c>
      <c r="L2939">
        <v>140.8836</v>
      </c>
      <c r="M2939">
        <v>-0.98146739999999999</v>
      </c>
      <c r="N2939">
        <v>-1.0830920000000001E-2</v>
      </c>
      <c r="O2939">
        <v>-0.19132299999999999</v>
      </c>
      <c r="P2939">
        <v>-0.99394329999999997</v>
      </c>
      <c r="Q2939">
        <v>-9.0116050000000003E-2</v>
      </c>
      <c r="R2939">
        <v>-6.2897690000000006E-2</v>
      </c>
      <c r="S2939">
        <v>-3.002319</v>
      </c>
      <c r="T2939">
        <v>-0.2097224</v>
      </c>
      <c r="U2939">
        <v>3.3142089999999999E-2</v>
      </c>
      <c r="V2939">
        <v>0.12699289999999999</v>
      </c>
      <c r="W2939">
        <v>-8.1707840000000004E-2</v>
      </c>
      <c r="X2939">
        <v>0.98853250000000004</v>
      </c>
      <c r="Y2939">
        <v>0.201262</v>
      </c>
      <c r="Z2939">
        <v>1.932213E-2</v>
      </c>
      <c r="AA2939">
        <v>0.97934690000000002</v>
      </c>
      <c r="AB2939">
        <v>27</v>
      </c>
      <c r="AC2939">
        <v>-15.4831</v>
      </c>
      <c r="AD2939">
        <v>-1.101266501322</v>
      </c>
      <c r="AE2939">
        <v>0.21930000000000399</v>
      </c>
      <c r="AF2939">
        <v>3.16170323546877</v>
      </c>
      <c r="AG2939">
        <v>-1.101266501322</v>
      </c>
      <c r="AH2939">
        <v>15.0788200659245</v>
      </c>
      <c r="AI2939">
        <v>94.088525448177705</v>
      </c>
      <c r="AJ2939">
        <v>78.157868716782204</v>
      </c>
      <c r="AK2939">
        <v>15.446034113539801</v>
      </c>
      <c r="AL2939">
        <v>94.686739497909201</v>
      </c>
      <c r="AM2939">
        <v>82.679531018673501</v>
      </c>
      <c r="AN2939">
        <v>0.99999993566206002</v>
      </c>
    </row>
    <row r="2940" spans="1:40" x14ac:dyDescent="0.25">
      <c r="A2940" t="str">
        <f>"20190305135645349"</f>
        <v>20190305135645349</v>
      </c>
      <c r="B2940" t="str">
        <f>"1551765405344741"</f>
        <v>1551765405344741</v>
      </c>
      <c r="C2940" t="s">
        <v>40</v>
      </c>
      <c r="D2940">
        <v>4.3773309999999999</v>
      </c>
      <c r="E2940">
        <v>0.52990029999999999</v>
      </c>
      <c r="F2940" t="s">
        <v>42</v>
      </c>
      <c r="G2940">
        <v>-223.4676</v>
      </c>
      <c r="H2940" s="1">
        <v>-3.1870920000000001E-6</v>
      </c>
      <c r="I2940">
        <v>141.12870000000001</v>
      </c>
      <c r="J2940">
        <v>-207.483</v>
      </c>
      <c r="K2940">
        <v>1.1016950000000001</v>
      </c>
      <c r="L2940">
        <v>140.84479999999999</v>
      </c>
      <c r="M2940">
        <v>-0.98307069999999996</v>
      </c>
      <c r="N2940">
        <v>-1.074467E-2</v>
      </c>
      <c r="O2940">
        <v>-0.18291189999999999</v>
      </c>
      <c r="P2940">
        <v>-0.99402279999999998</v>
      </c>
      <c r="Q2940">
        <v>-8.9726719999999996E-2</v>
      </c>
      <c r="R2940">
        <v>-6.2194689999999997E-2</v>
      </c>
      <c r="S2940">
        <v>-3.0026860000000002</v>
      </c>
      <c r="T2940">
        <v>-0.20372299999999999</v>
      </c>
      <c r="U2940">
        <v>4.534912E-2</v>
      </c>
      <c r="V2940">
        <v>0.119326</v>
      </c>
      <c r="W2940">
        <v>-8.1133049999999998E-2</v>
      </c>
      <c r="X2940">
        <v>0.98953460000000004</v>
      </c>
      <c r="Y2940">
        <v>0.1969293</v>
      </c>
      <c r="Z2940">
        <v>1.8107430000000001E-2</v>
      </c>
      <c r="AA2940">
        <v>0.98025050000000002</v>
      </c>
      <c r="AB2940">
        <v>27</v>
      </c>
      <c r="AC2940">
        <v>-15.9846</v>
      </c>
      <c r="AD2940">
        <v>-1.101698187092</v>
      </c>
      <c r="AE2940">
        <v>0.28390000000001597</v>
      </c>
      <c r="AF2940">
        <v>3.1879130946618601</v>
      </c>
      <c r="AG2940">
        <v>-1.101698187092</v>
      </c>
      <c r="AH2940">
        <v>15.5889368234521</v>
      </c>
      <c r="AI2940">
        <v>93.960772873568899</v>
      </c>
      <c r="AJ2940">
        <v>78.442455377040304</v>
      </c>
      <c r="AK2940">
        <v>15.9496545442257</v>
      </c>
      <c r="AL2940">
        <v>94.653696468787302</v>
      </c>
      <c r="AM2940">
        <v>83.124017136309902</v>
      </c>
      <c r="AN2940">
        <v>0.99999999533773098</v>
      </c>
    </row>
    <row r="2941" spans="1:40" x14ac:dyDescent="0.25">
      <c r="A2941" t="str">
        <f>"20190305135645373"</f>
        <v>20190305135645373</v>
      </c>
      <c r="B2941" t="str">
        <f>"1551765405365238"</f>
        <v>1551765405365238</v>
      </c>
      <c r="C2941" t="s">
        <v>40</v>
      </c>
      <c r="D2941">
        <v>4.4014410000000002</v>
      </c>
      <c r="E2941">
        <v>0.52979069999999995</v>
      </c>
      <c r="F2941" t="s">
        <v>42</v>
      </c>
      <c r="G2941">
        <v>-223.83510000000001</v>
      </c>
      <c r="H2941" s="1">
        <v>-3.0216769999999998E-6</v>
      </c>
      <c r="I2941">
        <v>141.09950000000001</v>
      </c>
      <c r="J2941">
        <v>-207.76689999999999</v>
      </c>
      <c r="K2941">
        <v>1.10215</v>
      </c>
      <c r="L2941">
        <v>140.8023</v>
      </c>
      <c r="M2941">
        <v>-0.98469989999999996</v>
      </c>
      <c r="N2941">
        <v>-1.063942E-2</v>
      </c>
      <c r="O2941">
        <v>-0.17393400000000001</v>
      </c>
      <c r="P2941">
        <v>-0.9941295</v>
      </c>
      <c r="Q2941">
        <v>-8.8438199999999995E-2</v>
      </c>
      <c r="R2941">
        <v>-6.2330610000000002E-2</v>
      </c>
      <c r="S2941">
        <v>-3.0026860000000002</v>
      </c>
      <c r="T2941">
        <v>-0.20230210000000001</v>
      </c>
      <c r="U2941">
        <v>4.6783449999999997E-2</v>
      </c>
      <c r="V2941">
        <v>0.11029129999999999</v>
      </c>
      <c r="W2941">
        <v>-7.9663100000000001E-2</v>
      </c>
      <c r="X2941">
        <v>0.99070159999999996</v>
      </c>
      <c r="Y2941">
        <v>0.18849250000000001</v>
      </c>
      <c r="Z2941">
        <v>1.7154630000000001E-2</v>
      </c>
      <c r="AA2941">
        <v>0.98192480000000004</v>
      </c>
      <c r="AB2941">
        <v>27</v>
      </c>
      <c r="AC2941">
        <v>-16.068200000000001</v>
      </c>
      <c r="AD2941">
        <v>-1.1021530216769999</v>
      </c>
      <c r="AE2941">
        <v>0.29720000000000302</v>
      </c>
      <c r="AF2941">
        <v>3.0731796515807499</v>
      </c>
      <c r="AG2941">
        <v>-1.1021530216769999</v>
      </c>
      <c r="AH2941">
        <v>15.6977226466089</v>
      </c>
      <c r="AI2941">
        <v>93.941621923198795</v>
      </c>
      <c r="AJ2941">
        <v>78.923167258666396</v>
      </c>
      <c r="AK2941">
        <v>16.033641842823499</v>
      </c>
      <c r="AL2941">
        <v>94.569200889466899</v>
      </c>
      <c r="AM2941">
        <v>83.647620547188893</v>
      </c>
      <c r="AN2941">
        <v>1.00000002029992</v>
      </c>
    </row>
    <row r="2942" spans="1:40" x14ac:dyDescent="0.25">
      <c r="A2942" t="str">
        <f>"20190305135645394"</f>
        <v>20190305135645394</v>
      </c>
      <c r="B2942" t="str">
        <f>"1551765405384758"</f>
        <v>1551765405384758</v>
      </c>
      <c r="C2942" t="s">
        <v>40</v>
      </c>
      <c r="D2942">
        <v>4.4145779999999997</v>
      </c>
      <c r="E2942">
        <v>0.52946070000000001</v>
      </c>
      <c r="F2942" t="s">
        <v>42</v>
      </c>
      <c r="G2942">
        <v>-224.4975</v>
      </c>
      <c r="H2942" s="1">
        <v>-2.7256019999999998E-6</v>
      </c>
      <c r="I2942">
        <v>141.0547</v>
      </c>
      <c r="J2942">
        <v>-208.02950000000001</v>
      </c>
      <c r="K2942">
        <v>1.1025400000000001</v>
      </c>
      <c r="L2942">
        <v>140.7647</v>
      </c>
      <c r="M2942">
        <v>-0.98603870000000005</v>
      </c>
      <c r="N2942">
        <v>-1.0538240000000001E-2</v>
      </c>
      <c r="O2942">
        <v>-0.1661822</v>
      </c>
      <c r="P2942">
        <v>-0.99427710000000002</v>
      </c>
      <c r="Q2942">
        <v>-8.59626E-2</v>
      </c>
      <c r="R2942">
        <v>-6.343066E-2</v>
      </c>
      <c r="S2942">
        <v>-3.0029750000000002</v>
      </c>
      <c r="T2942">
        <v>-0.19782659999999999</v>
      </c>
      <c r="U2942">
        <v>4.5318600000000001E-2</v>
      </c>
      <c r="V2942">
        <v>0.1015501</v>
      </c>
      <c r="W2942">
        <v>-7.7042890000000003E-2</v>
      </c>
      <c r="X2942">
        <v>0.99184269999999997</v>
      </c>
      <c r="Y2942">
        <v>0.18034710000000001</v>
      </c>
      <c r="Z2942">
        <v>1.6030119999999998E-2</v>
      </c>
      <c r="AA2942">
        <v>0.98347240000000002</v>
      </c>
      <c r="AB2942">
        <v>27</v>
      </c>
      <c r="AC2942">
        <v>-16.4679999999999</v>
      </c>
      <c r="AD2942">
        <v>-1.102542725602</v>
      </c>
      <c r="AE2942">
        <v>0.28999999999999199</v>
      </c>
      <c r="AF2942">
        <v>3.0093229409059998</v>
      </c>
      <c r="AG2942">
        <v>-1.102542725602</v>
      </c>
      <c r="AH2942">
        <v>16.118565157098701</v>
      </c>
      <c r="AI2942">
        <v>93.846788946331998</v>
      </c>
      <c r="AJ2942">
        <v>79.424676291769401</v>
      </c>
      <c r="AK2942">
        <v>16.4341038011836</v>
      </c>
      <c r="AL2942">
        <v>94.418611065570403</v>
      </c>
      <c r="AM2942">
        <v>84.154125293691294</v>
      </c>
      <c r="AN2942">
        <v>0.999999985626425</v>
      </c>
    </row>
    <row r="2943" spans="1:40" x14ac:dyDescent="0.25">
      <c r="A2943" t="str">
        <f>"20190305135645416"</f>
        <v>20190305135645416</v>
      </c>
      <c r="B2943" t="str">
        <f>"1551765405405038"</f>
        <v>1551765405405038</v>
      </c>
      <c r="C2943" t="s">
        <v>40</v>
      </c>
      <c r="D2943">
        <v>4.4548230000000002</v>
      </c>
      <c r="E2943">
        <v>0.52921719999999906</v>
      </c>
      <c r="F2943" t="s">
        <v>42</v>
      </c>
      <c r="G2943">
        <v>-225.38200000000001</v>
      </c>
      <c r="H2943" s="1">
        <v>-2.3296519999999998E-6</v>
      </c>
      <c r="I2943">
        <v>140.99279999999999</v>
      </c>
      <c r="J2943">
        <v>-208.3004</v>
      </c>
      <c r="K2943">
        <v>1.1028830000000001</v>
      </c>
      <c r="L2943">
        <v>140.7276</v>
      </c>
      <c r="M2943">
        <v>-0.98728260000000001</v>
      </c>
      <c r="N2943">
        <v>-1.0436050000000001E-2</v>
      </c>
      <c r="O2943">
        <v>-0.15863269999999999</v>
      </c>
      <c r="P2943">
        <v>-0.99458270000000004</v>
      </c>
      <c r="Q2943">
        <v>-8.2425139999999994E-2</v>
      </c>
      <c r="R2943">
        <v>-6.333627E-2</v>
      </c>
      <c r="S2943">
        <v>-3.0032960000000002</v>
      </c>
      <c r="T2943">
        <v>-0.1908232</v>
      </c>
      <c r="U2943">
        <v>3.9489749999999997E-2</v>
      </c>
      <c r="V2943">
        <v>9.4217350000000005E-2</v>
      </c>
      <c r="W2943">
        <v>-7.3409580000000002E-2</v>
      </c>
      <c r="X2943">
        <v>0.99284139999999999</v>
      </c>
      <c r="Y2943">
        <v>0.170986</v>
      </c>
      <c r="Z2943">
        <v>1.469986E-2</v>
      </c>
      <c r="AA2943">
        <v>0.98516380000000003</v>
      </c>
      <c r="AB2943">
        <v>27</v>
      </c>
      <c r="AC2943">
        <v>-17.081600000000002</v>
      </c>
      <c r="AD2943">
        <v>-1.102885329652</v>
      </c>
      <c r="AE2943">
        <v>0.265199999999993</v>
      </c>
      <c r="AF2943">
        <v>2.9593554635136199</v>
      </c>
      <c r="AG2943">
        <v>-1.102885329652</v>
      </c>
      <c r="AH2943">
        <v>16.7533882237271</v>
      </c>
      <c r="AI2943">
        <v>93.709121786633006</v>
      </c>
      <c r="AJ2943">
        <v>79.982484441943299</v>
      </c>
      <c r="AK2943">
        <v>17.0484649685744</v>
      </c>
      <c r="AL2943">
        <v>94.209846185507303</v>
      </c>
      <c r="AM2943">
        <v>84.579054560303803</v>
      </c>
      <c r="AN2943">
        <v>0.99999996051537798</v>
      </c>
    </row>
    <row r="2944" spans="1:40" x14ac:dyDescent="0.25">
      <c r="A2944" t="str">
        <f>"20190305135645439"</f>
        <v>20190305135645439</v>
      </c>
      <c r="B2944" t="str">
        <f>"1551765405435294"</f>
        <v>1551765405435294</v>
      </c>
      <c r="C2944" t="s">
        <v>40</v>
      </c>
      <c r="D2944">
        <v>4.431012</v>
      </c>
      <c r="E2944">
        <v>0.52909390000000001</v>
      </c>
      <c r="F2944" t="s">
        <v>42</v>
      </c>
      <c r="G2944">
        <v>-226.73140000000001</v>
      </c>
      <c r="H2944" s="1">
        <v>-1.742138E-6</v>
      </c>
      <c r="I2944">
        <v>140.96029999999999</v>
      </c>
      <c r="J2944">
        <v>-208.56790000000001</v>
      </c>
      <c r="K2944">
        <v>1.103183</v>
      </c>
      <c r="L2944">
        <v>140.6926</v>
      </c>
      <c r="M2944">
        <v>-0.98838689999999996</v>
      </c>
      <c r="N2944">
        <v>-1.032544E-2</v>
      </c>
      <c r="O2944">
        <v>-0.1516073</v>
      </c>
      <c r="P2944">
        <v>-0.99482429999999999</v>
      </c>
      <c r="Q2944">
        <v>-7.9925599999999999E-2</v>
      </c>
      <c r="R2944">
        <v>-6.2741240000000004E-2</v>
      </c>
      <c r="S2944">
        <v>-3.0038909999999999</v>
      </c>
      <c r="T2944">
        <v>-0.17974899999999999</v>
      </c>
      <c r="U2944">
        <v>3.7933349999999998E-2</v>
      </c>
      <c r="V2944">
        <v>8.7870809999999994E-2</v>
      </c>
      <c r="W2944">
        <v>-7.0856600000000006E-2</v>
      </c>
      <c r="X2944">
        <v>0.99360859999999995</v>
      </c>
      <c r="Y2944">
        <v>0.16355729999999999</v>
      </c>
      <c r="Z2944">
        <v>1.320522E-2</v>
      </c>
      <c r="AA2944">
        <v>0.98644540000000003</v>
      </c>
      <c r="AB2944">
        <v>27</v>
      </c>
      <c r="AC2944">
        <v>-18.163499999999999</v>
      </c>
      <c r="AD2944">
        <v>-1.1031847421379899</v>
      </c>
      <c r="AE2944">
        <v>0.26769999999999</v>
      </c>
      <c r="AF2944">
        <v>3.0073796716460501</v>
      </c>
      <c r="AG2944">
        <v>-1.1031847421379899</v>
      </c>
      <c r="AH2944">
        <v>17.8471126358554</v>
      </c>
      <c r="AI2944">
        <v>93.488076207002507</v>
      </c>
      <c r="AJ2944">
        <v>80.435064228783403</v>
      </c>
      <c r="AK2944">
        <v>18.132313104003799</v>
      </c>
      <c r="AL2944">
        <v>94.063188986345693</v>
      </c>
      <c r="AM2944">
        <v>84.946136089507306</v>
      </c>
      <c r="AN2944">
        <v>0.99999999350378799</v>
      </c>
    </row>
    <row r="2945" spans="1:40" x14ac:dyDescent="0.25">
      <c r="A2945" t="str">
        <f>"20190305135645460"</f>
        <v>20190305135645460</v>
      </c>
      <c r="B2945" t="str">
        <f>"1551765405454815"</f>
        <v>1551765405454815</v>
      </c>
      <c r="C2945" t="s">
        <v>40</v>
      </c>
      <c r="D2945">
        <v>4.4366529999999997</v>
      </c>
      <c r="E2945">
        <v>0.52904329999999999</v>
      </c>
      <c r="F2945" t="s">
        <v>42</v>
      </c>
      <c r="G2945">
        <v>-227.3623</v>
      </c>
      <c r="H2945" s="1">
        <v>-1.4656439999999999E-6</v>
      </c>
      <c r="I2945">
        <v>140.9383</v>
      </c>
      <c r="J2945">
        <v>-208.83439999999999</v>
      </c>
      <c r="K2945">
        <v>1.103483</v>
      </c>
      <c r="L2945">
        <v>140.6592</v>
      </c>
      <c r="M2945">
        <v>-0.98936900000000005</v>
      </c>
      <c r="N2945">
        <v>-1.0196449999999999E-2</v>
      </c>
      <c r="O2945">
        <v>-0.1450698</v>
      </c>
      <c r="P2945">
        <v>-0.99473710000000004</v>
      </c>
      <c r="Q2945">
        <v>-8.0927659999999998E-2</v>
      </c>
      <c r="R2945">
        <v>-6.2841599999999997E-2</v>
      </c>
      <c r="S2945">
        <v>-3.0039220000000002</v>
      </c>
      <c r="T2945">
        <v>-0.17632339999999999</v>
      </c>
      <c r="U2945">
        <v>3.9276119999999998E-2</v>
      </c>
      <c r="V2945">
        <v>8.1234219999999996E-2</v>
      </c>
      <c r="W2945">
        <v>-7.1829149999999994E-2</v>
      </c>
      <c r="X2945">
        <v>0.99410339999999997</v>
      </c>
      <c r="Y2945">
        <v>0.15751309999999999</v>
      </c>
      <c r="Z2945">
        <v>1.2427819999999999E-2</v>
      </c>
      <c r="AA2945">
        <v>0.9874387</v>
      </c>
      <c r="AB2945">
        <v>27</v>
      </c>
      <c r="AC2945">
        <v>-18.527899999999999</v>
      </c>
      <c r="AD2945">
        <v>-1.1034844656439999</v>
      </c>
      <c r="AE2945">
        <v>0.27909999999999902</v>
      </c>
      <c r="AF2945">
        <v>2.9536507038240898</v>
      </c>
      <c r="AG2945">
        <v>-1.1034844656439999</v>
      </c>
      <c r="AH2945">
        <v>18.226751239750001</v>
      </c>
      <c r="AI2945">
        <v>93.420066800296198</v>
      </c>
      <c r="AJ2945">
        <v>80.795217972422506</v>
      </c>
      <c r="AK2945">
        <v>18.497464453320301</v>
      </c>
      <c r="AL2945">
        <v>94.1190543357569</v>
      </c>
      <c r="AM2945">
        <v>85.328394033970298</v>
      </c>
      <c r="AN2945">
        <v>0.99999999759014502</v>
      </c>
    </row>
    <row r="2946" spans="1:40" x14ac:dyDescent="0.25">
      <c r="A2946" t="str">
        <f>"20190305135645484"</f>
        <v>20190305135645484</v>
      </c>
      <c r="B2946" t="str">
        <f>"1551765405475310"</f>
        <v>1551765405475310</v>
      </c>
      <c r="C2946" t="s">
        <v>40</v>
      </c>
      <c r="D2946">
        <v>4.4093929999999997</v>
      </c>
      <c r="E2946">
        <v>0.52888049999999998</v>
      </c>
      <c r="F2946" t="s">
        <v>42</v>
      </c>
      <c r="G2946">
        <v>-227.02680000000001</v>
      </c>
      <c r="H2946" s="1">
        <v>-1.5980420000000001E-6</v>
      </c>
      <c r="I2946">
        <v>140.89500000000001</v>
      </c>
      <c r="J2946">
        <v>-209.1284</v>
      </c>
      <c r="K2946">
        <v>1.1038680000000001</v>
      </c>
      <c r="L2946">
        <v>140.62379999999999</v>
      </c>
      <c r="M2946">
        <v>-0.99032050000000005</v>
      </c>
      <c r="N2946">
        <v>-1.003804E-2</v>
      </c>
      <c r="O2946">
        <v>-0.138436</v>
      </c>
      <c r="P2946">
        <v>-0.99446520000000005</v>
      </c>
      <c r="Q2946">
        <v>-8.2581180000000004E-2</v>
      </c>
      <c r="R2946">
        <v>-6.4956600000000003E-2</v>
      </c>
      <c r="S2946">
        <v>-3.0035249999999998</v>
      </c>
      <c r="T2946">
        <v>-0.1821836</v>
      </c>
      <c r="U2946">
        <v>3.8925170000000002E-2</v>
      </c>
      <c r="V2946">
        <v>7.2493769999999999E-2</v>
      </c>
      <c r="W2946">
        <v>-7.3450989999999994E-2</v>
      </c>
      <c r="X2946">
        <v>0.99466060000000001</v>
      </c>
      <c r="Y2946">
        <v>0.15076639999999999</v>
      </c>
      <c r="Z2946">
        <v>1.230464E-2</v>
      </c>
      <c r="AA2946">
        <v>0.98849279999999995</v>
      </c>
      <c r="AB2946">
        <v>27</v>
      </c>
      <c r="AC2946">
        <v>-17.898399999999999</v>
      </c>
      <c r="AD2946">
        <v>-1.1038695980419999</v>
      </c>
      <c r="AE2946">
        <v>0.27120000000002098</v>
      </c>
      <c r="AF2946">
        <v>2.7360913205235802</v>
      </c>
      <c r="AG2946">
        <v>-1.1038695980419999</v>
      </c>
      <c r="AH2946">
        <v>17.621488346197399</v>
      </c>
      <c r="AI2946">
        <v>93.542182811621501</v>
      </c>
      <c r="AJ2946">
        <v>81.174151745735799</v>
      </c>
      <c r="AK2946">
        <v>17.8667729413819</v>
      </c>
      <c r="AL2946">
        <v>94.212224840747595</v>
      </c>
      <c r="AM2946">
        <v>85.831486734563995</v>
      </c>
      <c r="AN2946">
        <v>1.0000000519065699</v>
      </c>
    </row>
    <row r="2947" spans="1:40" x14ac:dyDescent="0.25">
      <c r="A2947" t="str">
        <f>"20190305135645507"</f>
        <v>20190305135645507</v>
      </c>
      <c r="B2947" t="str">
        <f>"1551765405495806"</f>
        <v>1551765405495806</v>
      </c>
      <c r="C2947" t="s">
        <v>40</v>
      </c>
      <c r="D2947">
        <v>4.4461219999999999</v>
      </c>
      <c r="E2947">
        <v>0.52881619999999996</v>
      </c>
      <c r="F2947" t="s">
        <v>42</v>
      </c>
      <c r="G2947">
        <v>-226.58</v>
      </c>
      <c r="H2947" s="1">
        <v>-1.766081E-6</v>
      </c>
      <c r="I2947">
        <v>140.80629999999999</v>
      </c>
      <c r="J2947">
        <v>-209.40950000000001</v>
      </c>
      <c r="K2947">
        <v>1.104306</v>
      </c>
      <c r="L2947">
        <v>140.59110000000001</v>
      </c>
      <c r="M2947">
        <v>-0.99110509999999996</v>
      </c>
      <c r="N2947">
        <v>-9.8805939999999995E-3</v>
      </c>
      <c r="O2947">
        <v>-0.13271450000000001</v>
      </c>
      <c r="P2947">
        <v>-0.99415900000000001</v>
      </c>
      <c r="Q2947">
        <v>-8.3003709999999994E-2</v>
      </c>
      <c r="R2947">
        <v>-6.8982150000000006E-2</v>
      </c>
      <c r="S2947">
        <v>-3.0029599999999999</v>
      </c>
      <c r="T2947">
        <v>-0.189947</v>
      </c>
      <c r="U2947">
        <v>3.1402590000000001E-2</v>
      </c>
      <c r="V2947">
        <v>6.2798309999999996E-2</v>
      </c>
      <c r="W2947">
        <v>-7.3839899999999903E-2</v>
      </c>
      <c r="X2947">
        <v>0.99529089999999998</v>
      </c>
      <c r="Y2947">
        <v>0.14256079999999999</v>
      </c>
      <c r="Z2947">
        <v>1.2265180000000001E-2</v>
      </c>
      <c r="AA2947">
        <v>0.98970999999999998</v>
      </c>
      <c r="AB2947">
        <v>27</v>
      </c>
      <c r="AC2947">
        <v>-17.170500000000001</v>
      </c>
      <c r="AD2947">
        <v>-1.1043077660809999</v>
      </c>
      <c r="AE2947">
        <v>0.21519999999998099</v>
      </c>
      <c r="AF2947">
        <v>2.4819172917704999</v>
      </c>
      <c r="AG2947">
        <v>-1.1043077660809999</v>
      </c>
      <c r="AH2947">
        <v>16.9200627618184</v>
      </c>
      <c r="AI2947">
        <v>93.694754034531798</v>
      </c>
      <c r="AJ2947">
        <v>81.655087125240996</v>
      </c>
      <c r="AK2947">
        <v>17.1367421918312</v>
      </c>
      <c r="AL2947">
        <v>94.234568775389903</v>
      </c>
      <c r="AM2947">
        <v>86.389683854094997</v>
      </c>
      <c r="AN2947">
        <v>0.99999996709683703</v>
      </c>
    </row>
    <row r="2948" spans="1:40" x14ac:dyDescent="0.25">
      <c r="A2948" t="str">
        <f>"20190305135645530"</f>
        <v>20190305135645530</v>
      </c>
      <c r="B2948" t="str">
        <f>"1551765405525085"</f>
        <v>1551765405525085</v>
      </c>
      <c r="C2948" t="s">
        <v>40</v>
      </c>
      <c r="D2948">
        <v>4.4033040000000003</v>
      </c>
      <c r="E2948">
        <v>0.52887229999999996</v>
      </c>
      <c r="F2948" t="s">
        <v>42</v>
      </c>
      <c r="G2948">
        <v>-226.60839999999999</v>
      </c>
      <c r="H2948" s="1">
        <v>-1.7253720000000001E-6</v>
      </c>
      <c r="I2948">
        <v>140.69899999999899</v>
      </c>
      <c r="J2948">
        <v>-209.6841</v>
      </c>
      <c r="K2948">
        <v>1.104797</v>
      </c>
      <c r="L2948">
        <v>140.56</v>
      </c>
      <c r="M2948">
        <v>-0.99175559999999996</v>
      </c>
      <c r="N2948">
        <v>-9.7269269999999998E-3</v>
      </c>
      <c r="O2948">
        <v>-0.1277742</v>
      </c>
      <c r="P2948">
        <v>-0.99421510000000002</v>
      </c>
      <c r="Q2948">
        <v>-8.0949839999999995E-2</v>
      </c>
      <c r="R2948">
        <v>-7.0593610000000001E-2</v>
      </c>
      <c r="S2948">
        <v>-3.0028380000000001</v>
      </c>
      <c r="T2948">
        <v>-0.19280600000000001</v>
      </c>
      <c r="U2948">
        <v>1.88446E-2</v>
      </c>
      <c r="V2948">
        <v>5.6358390000000001E-2</v>
      </c>
      <c r="W2948">
        <v>-7.1796189999999996E-2</v>
      </c>
      <c r="X2948">
        <v>0.99582579999999998</v>
      </c>
      <c r="Y2948">
        <v>0.1334969</v>
      </c>
      <c r="Z2948">
        <v>1.1866700000000001E-2</v>
      </c>
      <c r="AA2948">
        <v>0.99097820000000003</v>
      </c>
      <c r="AB2948">
        <v>27</v>
      </c>
      <c r="AC2948">
        <v>-16.924299999999899</v>
      </c>
      <c r="AD2948">
        <v>-1.104798725372</v>
      </c>
      <c r="AE2948">
        <v>0.138999999999981</v>
      </c>
      <c r="AF2948">
        <v>2.29069099082747</v>
      </c>
      <c r="AG2948">
        <v>-1.104798725372</v>
      </c>
      <c r="AH2948">
        <v>16.696656565752999</v>
      </c>
      <c r="AI2948">
        <v>93.7506461086614</v>
      </c>
      <c r="AJ2948">
        <v>82.188098074126401</v>
      </c>
      <c r="AK2948">
        <v>16.889232839704299</v>
      </c>
      <c r="AL2948">
        <v>94.117160999530796</v>
      </c>
      <c r="AM2948">
        <v>86.760822074410001</v>
      </c>
      <c r="AN2948">
        <v>0.99999999248377403</v>
      </c>
    </row>
    <row r="2949" spans="1:40" x14ac:dyDescent="0.25">
      <c r="A2949" t="str">
        <f>"20190305135645551"</f>
        <v>20190305135645551</v>
      </c>
      <c r="B2949" t="str">
        <f>"1551765405545582"</f>
        <v>1551765405545582</v>
      </c>
      <c r="C2949" t="s">
        <v>40</v>
      </c>
      <c r="D2949">
        <v>4.4360559999999998</v>
      </c>
      <c r="E2949">
        <v>0.52898970000000001</v>
      </c>
      <c r="F2949" t="s">
        <v>41</v>
      </c>
      <c r="G2949">
        <v>-210.6694</v>
      </c>
      <c r="H2949">
        <v>1.0425040000000001</v>
      </c>
      <c r="I2949">
        <v>140.565</v>
      </c>
      <c r="J2949">
        <v>-209.94489999999999</v>
      </c>
      <c r="K2949">
        <v>1.1052879999999901</v>
      </c>
      <c r="L2949">
        <v>140.53100000000001</v>
      </c>
      <c r="M2949">
        <v>-0.99226440000000005</v>
      </c>
      <c r="N2949">
        <v>-9.5879850000000003E-3</v>
      </c>
      <c r="O2949">
        <v>-0.123771699999999</v>
      </c>
      <c r="P2949">
        <v>-0.99436939999999996</v>
      </c>
      <c r="Q2949">
        <v>-7.8527299999999994E-2</v>
      </c>
      <c r="R2949">
        <v>-7.1156780000000003E-2</v>
      </c>
      <c r="S2949">
        <v>-3.0030359999999998</v>
      </c>
      <c r="T2949">
        <v>-0.18983069999999999</v>
      </c>
      <c r="U2949">
        <v>1.478577E-2</v>
      </c>
      <c r="V2949">
        <v>5.1909549999999999E-2</v>
      </c>
      <c r="W2949">
        <v>-6.9402050000000007E-2</v>
      </c>
      <c r="X2949">
        <v>0.99623729999999999</v>
      </c>
      <c r="Y2949">
        <v>0.1281901</v>
      </c>
      <c r="Z2949">
        <v>1.127652E-2</v>
      </c>
      <c r="AA2949">
        <v>0.9916855</v>
      </c>
      <c r="AB2949">
        <v>27</v>
      </c>
      <c r="AC2949">
        <v>-0.72450000000000603</v>
      </c>
      <c r="AD2949">
        <v>-6.2783999999999701E-2</v>
      </c>
      <c r="AE2949">
        <v>3.3999999999991801E-2</v>
      </c>
      <c r="AF2949">
        <v>0.12249736497682701</v>
      </c>
      <c r="AG2949">
        <v>-6.2783999999999701E-2</v>
      </c>
      <c r="AH2949">
        <v>0.70940448098582498</v>
      </c>
      <c r="AI2949">
        <v>94.984254164176406</v>
      </c>
      <c r="AJ2949">
        <v>80.202985386851793</v>
      </c>
      <c r="AK2949">
        <v>0.72263556010276297</v>
      </c>
      <c r="AL2949">
        <v>93.979643672506</v>
      </c>
      <c r="AM2949">
        <v>87.017266002891006</v>
      </c>
      <c r="AN2949">
        <v>1.0000000019183399</v>
      </c>
    </row>
    <row r="2950" spans="1:40" x14ac:dyDescent="0.25">
      <c r="A2950" t="str">
        <f>"20190305135645572"</f>
        <v>20190305135645572</v>
      </c>
      <c r="B2950" t="str">
        <f>"1551765405565102"</f>
        <v>1551765405565102</v>
      </c>
      <c r="C2950" t="s">
        <v>40</v>
      </c>
      <c r="D2950">
        <v>4.4618149999999996</v>
      </c>
      <c r="E2950">
        <v>0.52913339999999998</v>
      </c>
      <c r="F2950" t="s">
        <v>41</v>
      </c>
      <c r="G2950">
        <v>-210.917</v>
      </c>
      <c r="H2950">
        <v>1.0452669999999999</v>
      </c>
      <c r="I2950">
        <v>140.53579999999999</v>
      </c>
      <c r="J2950">
        <v>-210.21610000000001</v>
      </c>
      <c r="K2950">
        <v>1.1057410000000001</v>
      </c>
      <c r="L2950">
        <v>140.50139999999999</v>
      </c>
      <c r="M2950">
        <v>-0.99270590000000003</v>
      </c>
      <c r="N2950">
        <v>-9.4548549999999999E-3</v>
      </c>
      <c r="O2950">
        <v>-0.1201919</v>
      </c>
      <c r="P2950">
        <v>-0.99421199999999998</v>
      </c>
      <c r="Q2950">
        <v>-7.934687E-2</v>
      </c>
      <c r="R2950">
        <v>-7.2437039999999994E-2</v>
      </c>
      <c r="S2950">
        <v>-3.0033569999999998</v>
      </c>
      <c r="T2950">
        <v>-0.1854664</v>
      </c>
      <c r="U2950">
        <v>1.44043E-2</v>
      </c>
      <c r="V2950">
        <v>4.7100990000000002E-2</v>
      </c>
      <c r="W2950">
        <v>-7.0259150000000006E-2</v>
      </c>
      <c r="X2950">
        <v>0.99641619999999997</v>
      </c>
      <c r="Y2950">
        <v>0.1245202</v>
      </c>
      <c r="Z2950">
        <v>1.0695049999999999E-2</v>
      </c>
      <c r="AA2950">
        <v>0.99215940000000002</v>
      </c>
      <c r="AB2950">
        <v>28</v>
      </c>
      <c r="AC2950">
        <v>-0.70089999999998998</v>
      </c>
      <c r="AD2950">
        <v>-6.0474000000000097E-2</v>
      </c>
      <c r="AE2950">
        <v>3.4400000000005003E-2</v>
      </c>
      <c r="AF2950">
        <v>0.117524063886214</v>
      </c>
      <c r="AG2950">
        <v>-6.0474000000000097E-2</v>
      </c>
      <c r="AH2950">
        <v>0.68658483339279497</v>
      </c>
      <c r="AI2950">
        <v>94.961792563110293</v>
      </c>
      <c r="AJ2950">
        <v>80.286705693532397</v>
      </c>
      <c r="AK2950">
        <v>0.69919077776622796</v>
      </c>
      <c r="AL2950">
        <v>94.028871875722302</v>
      </c>
      <c r="AM2950">
        <v>87.293620312180295</v>
      </c>
      <c r="AN2950">
        <v>1.0000000475200701</v>
      </c>
    </row>
    <row r="2951" spans="1:40" x14ac:dyDescent="0.25">
      <c r="A2951" t="str">
        <f>"20190305135645595"</f>
        <v>20190305135645595</v>
      </c>
      <c r="B2951" t="str">
        <f>"1551765405585598"</f>
        <v>1551765405585598</v>
      </c>
      <c r="C2951" t="s">
        <v>40</v>
      </c>
      <c r="D2951">
        <v>4.4439859999999998</v>
      </c>
      <c r="E2951">
        <v>0.52914410000000001</v>
      </c>
      <c r="F2951" t="s">
        <v>41</v>
      </c>
      <c r="G2951">
        <v>-211.1627</v>
      </c>
      <c r="H2951">
        <v>1.0457270000000001</v>
      </c>
      <c r="I2951">
        <v>140.50540000000001</v>
      </c>
      <c r="J2951">
        <v>-210.4907</v>
      </c>
      <c r="K2951">
        <v>1.1061350000000001</v>
      </c>
      <c r="L2951">
        <v>140.4717</v>
      </c>
      <c r="M2951">
        <v>-0.99306870000000003</v>
      </c>
      <c r="N2951">
        <v>-9.3305660000000002E-3</v>
      </c>
      <c r="O2951">
        <v>-0.11716459999999999</v>
      </c>
      <c r="P2951">
        <v>-0.99388299999999996</v>
      </c>
      <c r="Q2951">
        <v>-8.0772049999999998E-2</v>
      </c>
      <c r="R2951">
        <v>-7.5314359999999997E-2</v>
      </c>
      <c r="S2951">
        <v>-3.0031430000000001</v>
      </c>
      <c r="T2951">
        <v>-0.1903918</v>
      </c>
      <c r="U2951">
        <v>1.191711E-2</v>
      </c>
      <c r="V2951">
        <v>4.1231740000000003E-2</v>
      </c>
      <c r="W2951">
        <v>-7.1722949999999994E-2</v>
      </c>
      <c r="X2951">
        <v>0.99657200000000001</v>
      </c>
      <c r="Y2951">
        <v>0.1206615</v>
      </c>
      <c r="Z2951">
        <v>1.069849E-2</v>
      </c>
      <c r="AA2951">
        <v>0.99263610000000002</v>
      </c>
      <c r="AB2951">
        <v>28</v>
      </c>
      <c r="AC2951">
        <v>-0.67199999999999704</v>
      </c>
      <c r="AD2951">
        <v>-6.0408000000000003E-2</v>
      </c>
      <c r="AE2951">
        <v>3.3700000000010201E-2</v>
      </c>
      <c r="AF2951">
        <v>0.11130870942733299</v>
      </c>
      <c r="AG2951">
        <v>-6.0408000000000003E-2</v>
      </c>
      <c r="AH2951">
        <v>0.65811785437428505</v>
      </c>
      <c r="AI2951">
        <v>95.171391371810998</v>
      </c>
      <c r="AJ2951">
        <v>80.400304166996705</v>
      </c>
      <c r="AK2951">
        <v>0.670192409315855</v>
      </c>
      <c r="AL2951">
        <v>94.112953801737305</v>
      </c>
      <c r="AM2951">
        <v>87.630820351632295</v>
      </c>
      <c r="AN2951">
        <v>0.99999999456206501</v>
      </c>
    </row>
    <row r="2952" spans="1:40" x14ac:dyDescent="0.25">
      <c r="A2952" t="str">
        <f>"20190305135645619"</f>
        <v>20190305135645619</v>
      </c>
      <c r="B2952" t="str">
        <f>"1551765405615386"</f>
        <v>1551765405615386</v>
      </c>
      <c r="C2952" t="s">
        <v>40</v>
      </c>
      <c r="D2952">
        <v>4.4305709999999996</v>
      </c>
      <c r="E2952">
        <v>0.52933280000000005</v>
      </c>
      <c r="F2952" t="s">
        <v>41</v>
      </c>
      <c r="G2952">
        <v>-211.4084</v>
      </c>
      <c r="H2952">
        <v>1.0460609999999999</v>
      </c>
      <c r="I2952">
        <v>140.4727</v>
      </c>
      <c r="J2952">
        <v>-210.7833</v>
      </c>
      <c r="K2952">
        <v>1.1065309999999999</v>
      </c>
      <c r="L2952">
        <v>140.44030000000001</v>
      </c>
      <c r="M2952">
        <v>-0.99336840000000004</v>
      </c>
      <c r="N2952">
        <v>-9.2093509999999993E-3</v>
      </c>
      <c r="O2952">
        <v>-0.1146051</v>
      </c>
      <c r="P2952">
        <v>-0.99378529999999998</v>
      </c>
      <c r="Q2952">
        <v>-8.0494960000000004E-2</v>
      </c>
      <c r="R2952">
        <v>-7.6885800000000004E-2</v>
      </c>
      <c r="S2952">
        <v>-3.0027469999999998</v>
      </c>
      <c r="T2952">
        <v>-0.19653019999999999</v>
      </c>
      <c r="U2952">
        <v>3.2653809999999999E-3</v>
      </c>
      <c r="V2952">
        <v>3.7166780000000003E-2</v>
      </c>
      <c r="W2952">
        <v>-7.1502510000000005E-2</v>
      </c>
      <c r="X2952">
        <v>0.99674770000000001</v>
      </c>
      <c r="Y2952">
        <v>0.1152287</v>
      </c>
      <c r="Z2952">
        <v>1.0722489999999999E-2</v>
      </c>
      <c r="AA2952">
        <v>0.99328110000000003</v>
      </c>
      <c r="AB2952">
        <v>28</v>
      </c>
      <c r="AC2952">
        <v>-0.62510000000000299</v>
      </c>
      <c r="AD2952">
        <v>-6.0469999999999802E-2</v>
      </c>
      <c r="AE2952">
        <v>3.2399999999995502E-2</v>
      </c>
      <c r="AF2952">
        <v>0.10286912606274901</v>
      </c>
      <c r="AG2952">
        <v>-6.0469999999999802E-2</v>
      </c>
      <c r="AH2952">
        <v>0.61155996617333297</v>
      </c>
      <c r="AI2952">
        <v>95.569217293537207</v>
      </c>
      <c r="AJ2952">
        <v>80.451788155744296</v>
      </c>
      <c r="AK2952">
        <v>0.62309250534960003</v>
      </c>
      <c r="AL2952">
        <v>94.100291076617196</v>
      </c>
      <c r="AM2952">
        <v>87.864541344442898</v>
      </c>
      <c r="AN2952">
        <v>0.99999997796357898</v>
      </c>
    </row>
    <row r="2953" spans="1:40" x14ac:dyDescent="0.25">
      <c r="A2953" t="str">
        <f>"20190305135645638"</f>
        <v>20190305135645638</v>
      </c>
      <c r="B2953" t="str">
        <f>"1551765405634907"</f>
        <v>1551765405634907</v>
      </c>
      <c r="C2953" t="s">
        <v>40</v>
      </c>
      <c r="D2953">
        <v>4.429551</v>
      </c>
      <c r="E2953">
        <v>0.52945710000000001</v>
      </c>
      <c r="F2953" t="s">
        <v>41</v>
      </c>
      <c r="G2953">
        <v>-211.6574</v>
      </c>
      <c r="H2953">
        <v>1.049296</v>
      </c>
      <c r="I2953">
        <v>140.44059999999999</v>
      </c>
      <c r="J2953">
        <v>-211.03229999999999</v>
      </c>
      <c r="K2953">
        <v>1.1068629999999999</v>
      </c>
      <c r="L2953">
        <v>140.41370000000001</v>
      </c>
      <c r="M2953">
        <v>-0.99356069999999996</v>
      </c>
      <c r="N2953">
        <v>-9.1158149999999993E-3</v>
      </c>
      <c r="O2953">
        <v>-0.112934199999999</v>
      </c>
      <c r="P2953">
        <v>-0.99382939999999997</v>
      </c>
      <c r="Q2953">
        <v>-7.9339679999999996E-2</v>
      </c>
      <c r="R2953">
        <v>-7.7513250000000006E-2</v>
      </c>
      <c r="S2953">
        <v>-3.0028380000000001</v>
      </c>
      <c r="T2953">
        <v>-0.19670770000000001</v>
      </c>
      <c r="U2953">
        <v>1.5258789999999999E-4</v>
      </c>
      <c r="V2953">
        <v>3.4938650000000002E-2</v>
      </c>
      <c r="W2953">
        <v>-7.0397669999999996E-2</v>
      </c>
      <c r="X2953">
        <v>0.99690690000000004</v>
      </c>
      <c r="Y2953">
        <v>0.1125361</v>
      </c>
      <c r="Z2953">
        <v>1.05436E-2</v>
      </c>
      <c r="AA2953">
        <v>0.99359169999999997</v>
      </c>
      <c r="AB2953">
        <v>28</v>
      </c>
      <c r="AC2953">
        <v>-0.62510000000000299</v>
      </c>
      <c r="AD2953">
        <v>-5.7566999999999903E-2</v>
      </c>
      <c r="AE2953">
        <v>2.6899999999983399E-2</v>
      </c>
      <c r="AF2953">
        <v>9.6509008344432295E-2</v>
      </c>
      <c r="AG2953">
        <v>-5.7566999999999903E-2</v>
      </c>
      <c r="AH2953">
        <v>0.61287432135598896</v>
      </c>
      <c r="AI2953">
        <v>95.301078834270299</v>
      </c>
      <c r="AJ2953">
        <v>81.051146992742005</v>
      </c>
      <c r="AK2953">
        <v>0.62309139133692804</v>
      </c>
      <c r="AL2953">
        <v>94.036828564610701</v>
      </c>
      <c r="AM2953">
        <v>87.992773272817203</v>
      </c>
      <c r="AN2953">
        <v>0.99999995423642896</v>
      </c>
    </row>
    <row r="2954" spans="1:40" x14ac:dyDescent="0.25">
      <c r="A2954" t="str">
        <f>"20190305135645662"</f>
        <v>20190305135645662</v>
      </c>
      <c r="B2954" t="str">
        <f>"1551765405655402"</f>
        <v>1551765405655402</v>
      </c>
      <c r="C2954" t="s">
        <v>40</v>
      </c>
      <c r="D2954">
        <v>4.4354469999999999</v>
      </c>
      <c r="E2954">
        <v>0.5296611</v>
      </c>
      <c r="F2954" t="s">
        <v>41</v>
      </c>
      <c r="G2954">
        <v>-211.9059</v>
      </c>
      <c r="H2954">
        <v>1.0503070000000001</v>
      </c>
      <c r="I2954">
        <v>140.4136</v>
      </c>
      <c r="J2954">
        <v>-211.31829999999999</v>
      </c>
      <c r="K2954">
        <v>1.107248</v>
      </c>
      <c r="L2954">
        <v>140.38310000000001</v>
      </c>
      <c r="M2954">
        <v>-0.99371889999999996</v>
      </c>
      <c r="N2954">
        <v>-9.0200139999999998E-3</v>
      </c>
      <c r="O2954">
        <v>-0.1115416</v>
      </c>
      <c r="P2954">
        <v>-0.99357519999999999</v>
      </c>
      <c r="Q2954">
        <v>-8.1373230000000005E-2</v>
      </c>
      <c r="R2954">
        <v>-7.8658099999999995E-2</v>
      </c>
      <c r="S2954">
        <v>-3.0030670000000002</v>
      </c>
      <c r="T2954">
        <v>-0.19443920000000001</v>
      </c>
      <c r="U2954">
        <v>-5.4931640000000002E-4</v>
      </c>
      <c r="V2954">
        <v>3.2439080000000002E-2</v>
      </c>
      <c r="W2954">
        <v>-7.2485010000000002E-2</v>
      </c>
      <c r="X2954">
        <v>0.9968418</v>
      </c>
      <c r="Y2954">
        <v>0.1109275</v>
      </c>
      <c r="Z2954">
        <v>1.028453E-2</v>
      </c>
      <c r="AA2954">
        <v>0.99377530000000003</v>
      </c>
      <c r="AB2954">
        <v>28</v>
      </c>
      <c r="AC2954">
        <v>-0.587600000000009</v>
      </c>
      <c r="AD2954">
        <v>-5.6941000000000103E-2</v>
      </c>
      <c r="AE2954">
        <v>3.04999999999893E-2</v>
      </c>
      <c r="AF2954">
        <v>9.4964796866705697E-2</v>
      </c>
      <c r="AG2954">
        <v>-5.6941000000000103E-2</v>
      </c>
      <c r="AH2954">
        <v>0.57514442709851199</v>
      </c>
      <c r="AI2954">
        <v>95.578975095196199</v>
      </c>
      <c r="AJ2954">
        <v>80.624217630473296</v>
      </c>
      <c r="AK2954">
        <v>0.58570615682901095</v>
      </c>
      <c r="AL2954">
        <v>94.156730662698493</v>
      </c>
      <c r="AM2954">
        <v>88.136146863693298</v>
      </c>
      <c r="AN2954">
        <v>0.999999972406592</v>
      </c>
    </row>
    <row r="2955" spans="1:40" x14ac:dyDescent="0.25">
      <c r="A2955" t="str">
        <f>"20190305135645684"</f>
        <v>20190305135645684</v>
      </c>
      <c r="B2955" t="str">
        <f>"1551765405674921"</f>
        <v>1551765405674921</v>
      </c>
      <c r="C2955" t="s">
        <v>40</v>
      </c>
      <c r="D2955">
        <v>4.4845160000000002</v>
      </c>
      <c r="E2955">
        <v>0.52984730000000002</v>
      </c>
      <c r="F2955" t="s">
        <v>41</v>
      </c>
      <c r="G2955">
        <v>-212.1542</v>
      </c>
      <c r="H2955">
        <v>1.051318</v>
      </c>
      <c r="I2955">
        <v>140.38249999999999</v>
      </c>
      <c r="J2955">
        <v>-211.6035</v>
      </c>
      <c r="K2955">
        <v>1.1076090000000001</v>
      </c>
      <c r="L2955">
        <v>140.35249999999999</v>
      </c>
      <c r="M2955">
        <v>-0.99382360000000003</v>
      </c>
      <c r="N2955">
        <v>-8.9358089999999994E-3</v>
      </c>
      <c r="O2955">
        <v>-0.1106109</v>
      </c>
      <c r="P2955">
        <v>-0.99302710000000005</v>
      </c>
      <c r="Q2955">
        <v>-8.4770890000000002E-2</v>
      </c>
      <c r="R2955">
        <v>-8.1921289999999994E-2</v>
      </c>
      <c r="S2955">
        <v>-3.0027469999999998</v>
      </c>
      <c r="T2955">
        <v>-0.20096359999999999</v>
      </c>
      <c r="U2955">
        <v>-2.380371E-3</v>
      </c>
      <c r="V2955">
        <v>2.8260839999999999E-2</v>
      </c>
      <c r="W2955">
        <v>-7.592894E-2</v>
      </c>
      <c r="X2955">
        <v>0.99671270000000001</v>
      </c>
      <c r="Y2955">
        <v>0.10936510000000001</v>
      </c>
      <c r="Z2955">
        <v>1.053896E-2</v>
      </c>
      <c r="AA2955">
        <v>0.99394579999999999</v>
      </c>
      <c r="AB2955">
        <v>28</v>
      </c>
      <c r="AC2955">
        <v>-0.55070000000000596</v>
      </c>
      <c r="AD2955">
        <v>-5.6291000000000001E-2</v>
      </c>
      <c r="AE2955">
        <v>3.0000000000001099E-2</v>
      </c>
      <c r="AF2955">
        <v>8.9796307264625799E-2</v>
      </c>
      <c r="AG2955">
        <v>-5.6291000000000001E-2</v>
      </c>
      <c r="AH2955">
        <v>0.53839337894765404</v>
      </c>
      <c r="AI2955">
        <v>95.888047121958706</v>
      </c>
      <c r="AJ2955">
        <v>80.531043104538895</v>
      </c>
      <c r="AK2955">
        <v>0.54872532652870598</v>
      </c>
      <c r="AL2955">
        <v>94.354598665547996</v>
      </c>
      <c r="AM2955">
        <v>88.375867850615805</v>
      </c>
      <c r="AN2955">
        <v>1.00000004267415</v>
      </c>
    </row>
    <row r="2956" spans="1:40" x14ac:dyDescent="0.25">
      <c r="A2956" t="str">
        <f>"20190305135645708"</f>
        <v>20190305135645708</v>
      </c>
      <c r="B2956" t="str">
        <f>"1551765405705685"</f>
        <v>1551765405705685</v>
      </c>
      <c r="C2956" t="s">
        <v>40</v>
      </c>
      <c r="D2956">
        <v>4.4835820000000002</v>
      </c>
      <c r="E2956">
        <v>0.53014559999999999</v>
      </c>
      <c r="F2956" t="s">
        <v>41</v>
      </c>
      <c r="G2956">
        <v>-212.40180000000001</v>
      </c>
      <c r="H2956">
        <v>1.051337</v>
      </c>
      <c r="I2956">
        <v>140.34970000000001</v>
      </c>
      <c r="J2956">
        <v>-211.89930000000001</v>
      </c>
      <c r="K2956">
        <v>1.107918</v>
      </c>
      <c r="L2956">
        <v>140.32060000000001</v>
      </c>
      <c r="M2956">
        <v>-0.99389209999999995</v>
      </c>
      <c r="N2956">
        <v>-8.8583269999999992E-3</v>
      </c>
      <c r="O2956">
        <v>-0.1100009</v>
      </c>
      <c r="P2956">
        <v>-0.99254500000000001</v>
      </c>
      <c r="Q2956">
        <v>-8.7096209999999993E-2</v>
      </c>
      <c r="R2956">
        <v>-8.5259130000000002E-2</v>
      </c>
      <c r="S2956">
        <v>-3.0020899999999999</v>
      </c>
      <c r="T2956">
        <v>-0.21166209999999999</v>
      </c>
      <c r="U2956">
        <v>-1.081848E-2</v>
      </c>
      <c r="V2956">
        <v>2.4334229999999998E-2</v>
      </c>
      <c r="W2956">
        <v>-7.8304840000000001E-2</v>
      </c>
      <c r="X2956">
        <v>0.99663250000000003</v>
      </c>
      <c r="Y2956">
        <v>0.105918899999999</v>
      </c>
      <c r="Z2956">
        <v>1.0957919999999999E-2</v>
      </c>
      <c r="AA2956">
        <v>0.99431440000000004</v>
      </c>
      <c r="AB2956">
        <v>28</v>
      </c>
      <c r="AC2956">
        <v>-0.50249999999999695</v>
      </c>
      <c r="AD2956">
        <v>-5.6580999999999701E-2</v>
      </c>
      <c r="AE2956">
        <v>2.9099999999999598E-2</v>
      </c>
      <c r="AF2956">
        <v>8.3150308187949107E-2</v>
      </c>
      <c r="AG2956">
        <v>-5.6580999999999701E-2</v>
      </c>
      <c r="AH2956">
        <v>0.49005674650278902</v>
      </c>
      <c r="AI2956">
        <v>96.494089376053594</v>
      </c>
      <c r="AJ2956">
        <v>80.370061735007695</v>
      </c>
      <c r="AK2956">
        <v>0.50027092470545398</v>
      </c>
      <c r="AL2956">
        <v>94.491134201032907</v>
      </c>
      <c r="AM2956">
        <v>88.601318229934705</v>
      </c>
      <c r="AN2956">
        <v>1.0000000713866799</v>
      </c>
    </row>
    <row r="2957" spans="1:40" x14ac:dyDescent="0.25">
      <c r="A2957" t="str">
        <f>"20190305135645731"</f>
        <v>20190305135645731</v>
      </c>
      <c r="B2957" t="str">
        <f>"1551765405725205"</f>
        <v>1551765405725205</v>
      </c>
      <c r="C2957" t="s">
        <v>40</v>
      </c>
      <c r="D2957">
        <v>4.4527970000000003</v>
      </c>
      <c r="E2957">
        <v>0.53605789999999998</v>
      </c>
      <c r="F2957" t="s">
        <v>41</v>
      </c>
      <c r="G2957">
        <v>-212.65129999999999</v>
      </c>
      <c r="H2957">
        <v>1.0529999999999999</v>
      </c>
      <c r="I2957">
        <v>140.31620000000001</v>
      </c>
      <c r="J2957">
        <v>-212.17310000000001</v>
      </c>
      <c r="K2957">
        <v>1.1081019999999999</v>
      </c>
      <c r="L2957">
        <v>140.29089999999999</v>
      </c>
      <c r="M2957">
        <v>-0.99393229999999999</v>
      </c>
      <c r="N2957">
        <v>-8.7947830000000005E-3</v>
      </c>
      <c r="O2957">
        <v>-0.1096424</v>
      </c>
      <c r="P2957">
        <v>-0.99236089999999999</v>
      </c>
      <c r="Q2957">
        <v>-8.7786260000000005E-2</v>
      </c>
      <c r="R2957">
        <v>-8.6679270000000003E-2</v>
      </c>
      <c r="S2957">
        <v>-3.0016940000000001</v>
      </c>
      <c r="T2957">
        <v>-0.2193069</v>
      </c>
      <c r="U2957">
        <v>-1.8630979999999998E-2</v>
      </c>
      <c r="V2957">
        <v>2.2577420000000001E-2</v>
      </c>
      <c r="W2957">
        <v>-7.9045740000000003E-2</v>
      </c>
      <c r="X2957">
        <v>0.99661529999999998</v>
      </c>
      <c r="Y2957">
        <v>0.102942699999999</v>
      </c>
      <c r="Z2957">
        <v>1.123124E-2</v>
      </c>
      <c r="AA2957">
        <v>0.99462390000000001</v>
      </c>
      <c r="AB2957">
        <v>28</v>
      </c>
      <c r="AC2957">
        <v>-0.47819999999998603</v>
      </c>
      <c r="AD2957">
        <v>-5.5102000000000199E-2</v>
      </c>
      <c r="AE2957">
        <v>2.5300000000015602E-2</v>
      </c>
      <c r="AF2957">
        <v>7.6566699738218502E-2</v>
      </c>
      <c r="AG2957">
        <v>-5.5102000000000199E-2</v>
      </c>
      <c r="AH2957">
        <v>0.466367792758762</v>
      </c>
      <c r="AI2957">
        <v>96.650121977071194</v>
      </c>
      <c r="AJ2957">
        <v>80.676545418521201</v>
      </c>
      <c r="AK2957">
        <v>0.47581257658397602</v>
      </c>
      <c r="AL2957">
        <v>94.533716902298195</v>
      </c>
      <c r="AM2957">
        <v>88.702237811693294</v>
      </c>
      <c r="AN2957">
        <v>1.0000000125500399</v>
      </c>
    </row>
    <row r="2958" spans="1:40" x14ac:dyDescent="0.25">
      <c r="A2958" t="str">
        <f>"20190305135645752"</f>
        <v>20190305135645752</v>
      </c>
      <c r="B2958" t="str">
        <f>"1551765405744725"</f>
        <v>1551765405744725</v>
      </c>
      <c r="C2958" t="s">
        <v>40</v>
      </c>
      <c r="D2958">
        <v>4.4967009999999998</v>
      </c>
      <c r="E2958">
        <v>0.53547999999999996</v>
      </c>
      <c r="F2958" t="s">
        <v>41</v>
      </c>
      <c r="G2958">
        <v>-213.14250000000001</v>
      </c>
      <c r="H2958">
        <v>1.031172</v>
      </c>
      <c r="I2958">
        <v>140.29910000000001</v>
      </c>
      <c r="J2958">
        <v>-212.44239999999999</v>
      </c>
      <c r="K2958">
        <v>1.1081730000000001</v>
      </c>
      <c r="L2958">
        <v>140.26169999999999</v>
      </c>
      <c r="M2958">
        <v>-0.99396859999999998</v>
      </c>
      <c r="N2958">
        <v>-8.7400310000000005E-3</v>
      </c>
      <c r="O2958">
        <v>-0.109316899999999</v>
      </c>
      <c r="P2958">
        <v>-0.99227169999999998</v>
      </c>
      <c r="Q2958">
        <v>-8.7619730000000007E-2</v>
      </c>
      <c r="R2958">
        <v>-8.7864650000000002E-2</v>
      </c>
      <c r="S2958">
        <v>-3.0042110000000002</v>
      </c>
      <c r="T2958">
        <v>-0.23842079999999999</v>
      </c>
      <c r="U2958">
        <v>2.528381E-2</v>
      </c>
      <c r="V2958">
        <v>2.107498E-2</v>
      </c>
      <c r="W2958">
        <v>-7.8928860000000003E-2</v>
      </c>
      <c r="X2958">
        <v>0.99665740000000003</v>
      </c>
      <c r="Y2958">
        <v>0.117003</v>
      </c>
      <c r="Z2958">
        <v>1.2842050000000001E-2</v>
      </c>
      <c r="AA2958">
        <v>0.9930485</v>
      </c>
      <c r="AB2958">
        <v>28</v>
      </c>
      <c r="AC2958">
        <v>-0.70010000000002004</v>
      </c>
      <c r="AD2958">
        <v>-7.7000999999999806E-2</v>
      </c>
      <c r="AE2958">
        <v>3.7400000000019397E-2</v>
      </c>
      <c r="AF2958">
        <v>0.112356232315224</v>
      </c>
      <c r="AG2958">
        <v>-7.7000999999999806E-2</v>
      </c>
      <c r="AH2958">
        <v>0.68356982058299398</v>
      </c>
      <c r="AI2958">
        <v>96.342614558655697</v>
      </c>
      <c r="AJ2958">
        <v>80.665932698168106</v>
      </c>
      <c r="AK2958">
        <v>0.69700844797817196</v>
      </c>
      <c r="AL2958">
        <v>94.526999483295299</v>
      </c>
      <c r="AM2958">
        <v>88.788623371441403</v>
      </c>
      <c r="AN2958">
        <v>0.99999994634882805</v>
      </c>
    </row>
    <row r="2959" spans="1:40" x14ac:dyDescent="0.25">
      <c r="A2959" t="str">
        <f>"20190305135645774"</f>
        <v>20190305135645774</v>
      </c>
      <c r="B2959" t="str">
        <f>"1551765405765221"</f>
        <v>1551765405765221</v>
      </c>
      <c r="C2959" t="s">
        <v>40</v>
      </c>
      <c r="D2959">
        <v>4.4519609999999998</v>
      </c>
      <c r="E2959">
        <v>0.53534380000000004</v>
      </c>
      <c r="F2959" t="s">
        <v>41</v>
      </c>
      <c r="G2959">
        <v>-213.3937</v>
      </c>
      <c r="H2959">
        <v>1.033075</v>
      </c>
      <c r="I2959">
        <v>140.267</v>
      </c>
      <c r="J2959">
        <v>-212.72219999999999</v>
      </c>
      <c r="K2959">
        <v>1.108169</v>
      </c>
      <c r="L2959">
        <v>140.23150000000001</v>
      </c>
      <c r="M2959">
        <v>-0.99401320000000004</v>
      </c>
      <c r="N2959">
        <v>-8.6912889999999996E-3</v>
      </c>
      <c r="O2959">
        <v>-0.10891439999999999</v>
      </c>
      <c r="P2959">
        <v>-0.99231659999999999</v>
      </c>
      <c r="Q2959">
        <v>-8.6457599999999996E-2</v>
      </c>
      <c r="R2959">
        <v>-8.8503059999999995E-2</v>
      </c>
      <c r="S2959">
        <v>-3.0039220000000002</v>
      </c>
      <c r="T2959">
        <v>-0.23708580000000001</v>
      </c>
      <c r="U2959">
        <v>1.698303E-2</v>
      </c>
      <c r="V2959">
        <v>2.003624E-2</v>
      </c>
      <c r="W2959">
        <v>-7.7815120000000002E-2</v>
      </c>
      <c r="X2959">
        <v>0.99676640000000005</v>
      </c>
      <c r="Y2959">
        <v>0.1138762</v>
      </c>
      <c r="Z2959">
        <v>1.260648E-2</v>
      </c>
      <c r="AA2959">
        <v>0.99341489999999999</v>
      </c>
      <c r="AB2959">
        <v>28</v>
      </c>
      <c r="AC2959">
        <v>-0.67150000000000798</v>
      </c>
      <c r="AD2959">
        <v>-7.5093999999999994E-2</v>
      </c>
      <c r="AE2959">
        <v>3.5499999999984697E-2</v>
      </c>
      <c r="AF2959">
        <v>0.107092016558513</v>
      </c>
      <c r="AG2959">
        <v>-7.5093999999999994E-2</v>
      </c>
      <c r="AH2959">
        <v>0.65546403901531103</v>
      </c>
      <c r="AI2959">
        <v>96.450864669347794</v>
      </c>
      <c r="AJ2959">
        <v>80.7208015024883</v>
      </c>
      <c r="AK2959">
        <v>0.66838680065425804</v>
      </c>
      <c r="AL2959">
        <v>94.462989977374804</v>
      </c>
      <c r="AM2959">
        <v>88.848438904402698</v>
      </c>
      <c r="AN2959">
        <v>0.99999994999145403</v>
      </c>
    </row>
    <row r="2960" spans="1:40" x14ac:dyDescent="0.25">
      <c r="A2960" t="str">
        <f>"20190305135645796"</f>
        <v>20190305135645796</v>
      </c>
      <c r="B2960" t="str">
        <f>"1551765405784741"</f>
        <v>1551765405784741</v>
      </c>
      <c r="C2960" t="s">
        <v>40</v>
      </c>
      <c r="D2960">
        <v>4.4283530000000004</v>
      </c>
      <c r="E2960">
        <v>0.53550109999999995</v>
      </c>
      <c r="F2960" t="s">
        <v>41</v>
      </c>
      <c r="G2960">
        <v>-213.6463</v>
      </c>
      <c r="H2960">
        <v>1.0361819999999999</v>
      </c>
      <c r="I2960">
        <v>140.23589999999999</v>
      </c>
      <c r="J2960">
        <v>-212.99770000000001</v>
      </c>
      <c r="K2960">
        <v>1.1080779999999999</v>
      </c>
      <c r="L2960">
        <v>140.202</v>
      </c>
      <c r="M2960">
        <v>-0.99407939999999995</v>
      </c>
      <c r="N2960">
        <v>-8.6494109999999992E-3</v>
      </c>
      <c r="O2960">
        <v>-0.1083128</v>
      </c>
      <c r="P2960">
        <v>-0.99243219999999999</v>
      </c>
      <c r="Q2960">
        <v>-8.4194469999999993E-2</v>
      </c>
      <c r="R2960">
        <v>-8.9386140000000003E-2</v>
      </c>
      <c r="S2960">
        <v>-3.004089</v>
      </c>
      <c r="T2960">
        <v>-0.2340525</v>
      </c>
      <c r="U2960">
        <v>1.3992310000000001E-2</v>
      </c>
      <c r="V2960">
        <v>1.8547939999999999E-2</v>
      </c>
      <c r="W2960">
        <v>-7.5595999999999997E-2</v>
      </c>
      <c r="X2960">
        <v>0.99696600000000002</v>
      </c>
      <c r="Y2960">
        <v>0.1123093</v>
      </c>
      <c r="Z2960">
        <v>1.233212E-2</v>
      </c>
      <c r="AA2960">
        <v>0.99359679999999995</v>
      </c>
      <c r="AB2960">
        <v>28</v>
      </c>
      <c r="AC2960">
        <v>-0.64859999999998696</v>
      </c>
      <c r="AD2960">
        <v>-7.1896000000000099E-2</v>
      </c>
      <c r="AE2960">
        <v>3.3899999999988398E-2</v>
      </c>
      <c r="AF2960">
        <v>0.1026964238461</v>
      </c>
      <c r="AG2960">
        <v>-7.1896000000000099E-2</v>
      </c>
      <c r="AH2960">
        <v>0.63335101490508305</v>
      </c>
      <c r="AI2960">
        <v>96.393513658604604</v>
      </c>
      <c r="AJ2960">
        <v>80.789779661515894</v>
      </c>
      <c r="AK2960">
        <v>0.64563851989180199</v>
      </c>
      <c r="AL2960">
        <v>94.335467839598095</v>
      </c>
      <c r="AM2960">
        <v>88.934170176716194</v>
      </c>
      <c r="AN2960">
        <v>0.99999999322512101</v>
      </c>
    </row>
    <row r="2961" spans="1:40" x14ac:dyDescent="0.25">
      <c r="A2961" t="str">
        <f>"20190305135645818"</f>
        <v>20190305135645818</v>
      </c>
      <c r="B2961" t="str">
        <f>"1551765405814997"</f>
        <v>1551765405814997</v>
      </c>
      <c r="C2961" t="s">
        <v>40</v>
      </c>
      <c r="D2961">
        <v>4.5314680000000003</v>
      </c>
      <c r="E2961">
        <v>0.535516199999999</v>
      </c>
      <c r="F2961" t="s">
        <v>41</v>
      </c>
      <c r="G2961">
        <v>-213.8999</v>
      </c>
      <c r="H2961">
        <v>1.0396240000000001</v>
      </c>
      <c r="I2961">
        <v>140.20590000000001</v>
      </c>
      <c r="J2961">
        <v>-213.28229999999999</v>
      </c>
      <c r="K2961">
        <v>1.1079000000000001</v>
      </c>
      <c r="L2961">
        <v>140.172</v>
      </c>
      <c r="M2961">
        <v>-0.99418600000000001</v>
      </c>
      <c r="N2961">
        <v>-8.6095890000000008E-3</v>
      </c>
      <c r="O2961">
        <v>-0.10733230000000001</v>
      </c>
      <c r="P2961">
        <v>-0.99274810000000002</v>
      </c>
      <c r="Q2961">
        <v>-8.0095689999999997E-2</v>
      </c>
      <c r="R2961">
        <v>-8.9644420000000002E-2</v>
      </c>
      <c r="S2961">
        <v>-3.0046840000000001</v>
      </c>
      <c r="T2961">
        <v>-0.22795460000000001</v>
      </c>
      <c r="U2961">
        <v>1.2634279999999999E-2</v>
      </c>
      <c r="V2961">
        <v>1.7310200000000001E-2</v>
      </c>
      <c r="W2961">
        <v>-7.1541549999999995E-2</v>
      </c>
      <c r="X2961">
        <v>0.99728740000000005</v>
      </c>
      <c r="Y2961">
        <v>0.1109194</v>
      </c>
      <c r="Z2961">
        <v>1.187538E-2</v>
      </c>
      <c r="AA2961">
        <v>0.99375840000000004</v>
      </c>
      <c r="AB2961">
        <v>28</v>
      </c>
      <c r="AC2961">
        <v>-0.61760000000001003</v>
      </c>
      <c r="AD2961">
        <v>-6.8276000000000198E-2</v>
      </c>
      <c r="AE2961">
        <v>3.3900000000016903E-2</v>
      </c>
      <c r="AF2961">
        <v>9.8791289707861496E-2</v>
      </c>
      <c r="AG2961">
        <v>-6.8276000000000198E-2</v>
      </c>
      <c r="AH2961">
        <v>0.60304535568866902</v>
      </c>
      <c r="AI2961">
        <v>96.375180177919603</v>
      </c>
      <c r="AJ2961">
        <v>80.696407531487395</v>
      </c>
      <c r="AK2961">
        <v>0.61488619444236703</v>
      </c>
      <c r="AL2961">
        <v>94.102533567614003</v>
      </c>
      <c r="AM2961">
        <v>89.005600773881497</v>
      </c>
      <c r="AN2961">
        <v>0.99999999729960098</v>
      </c>
    </row>
    <row r="2962" spans="1:40" x14ac:dyDescent="0.25">
      <c r="A2962" t="str">
        <f>"20190305135645840"</f>
        <v>20190305135645840</v>
      </c>
      <c r="B2962" t="str">
        <f>"1551765405835493"</f>
        <v>1551765405835493</v>
      </c>
      <c r="C2962" t="s">
        <v>40</v>
      </c>
      <c r="D2962">
        <v>4.4301360000000001</v>
      </c>
      <c r="E2962">
        <v>0.53559419999999902</v>
      </c>
      <c r="F2962" t="s">
        <v>41</v>
      </c>
      <c r="G2962">
        <v>-214.155</v>
      </c>
      <c r="H2962">
        <v>1.044845</v>
      </c>
      <c r="I2962">
        <v>140.1756</v>
      </c>
      <c r="J2962">
        <v>-213.547</v>
      </c>
      <c r="K2962">
        <v>1.107658</v>
      </c>
      <c r="L2962">
        <v>140.1447</v>
      </c>
      <c r="M2962">
        <v>-0.99432799999999999</v>
      </c>
      <c r="N2962">
        <v>-8.5772390000000004E-3</v>
      </c>
      <c r="O2962">
        <v>-0.1060103</v>
      </c>
      <c r="P2962">
        <v>-0.99308470000000004</v>
      </c>
      <c r="Q2962">
        <v>-7.6168130000000001E-2</v>
      </c>
      <c r="R2962">
        <v>-8.9336289999999999E-2</v>
      </c>
      <c r="S2962">
        <v>-3.005493</v>
      </c>
      <c r="T2962">
        <v>-0.2171179</v>
      </c>
      <c r="U2962">
        <v>1.196289E-2</v>
      </c>
      <c r="V2962">
        <v>1.6289459999999999E-2</v>
      </c>
      <c r="W2962">
        <v>-6.7652630000000005E-2</v>
      </c>
      <c r="X2962">
        <v>0.99757589999999996</v>
      </c>
      <c r="Y2962">
        <v>0.10943840000000001</v>
      </c>
      <c r="Z2962">
        <v>1.1146140000000001E-2</v>
      </c>
      <c r="AA2962">
        <v>0.99393109999999996</v>
      </c>
      <c r="AB2962">
        <v>28</v>
      </c>
      <c r="AC2962">
        <v>-0.60800000000000398</v>
      </c>
      <c r="AD2962">
        <v>-6.2812999999999994E-2</v>
      </c>
      <c r="AE2962">
        <v>3.0900000000002498E-2</v>
      </c>
      <c r="AF2962">
        <v>9.4179897594279305E-2</v>
      </c>
      <c r="AG2962">
        <v>-6.2812999999999994E-2</v>
      </c>
      <c r="AH2962">
        <v>0.59496407631401604</v>
      </c>
      <c r="AI2962">
        <v>95.953064832087307</v>
      </c>
      <c r="AJ2962">
        <v>81.004993659959496</v>
      </c>
      <c r="AK2962">
        <v>0.60563815780056296</v>
      </c>
      <c r="AL2962">
        <v>93.879173294288194</v>
      </c>
      <c r="AM2962">
        <v>89.064497880007494</v>
      </c>
      <c r="AN2962">
        <v>0.99999995055690705</v>
      </c>
    </row>
    <row r="2963" spans="1:40" x14ac:dyDescent="0.25">
      <c r="A2963" t="str">
        <f>"20190305135645864"</f>
        <v>20190305135645864</v>
      </c>
      <c r="B2963" t="str">
        <f>"1551765405855014"</f>
        <v>1551765405855014</v>
      </c>
      <c r="C2963" t="s">
        <v>40</v>
      </c>
      <c r="D2963">
        <v>4.5978289999999999</v>
      </c>
      <c r="E2963">
        <v>0.53548560000000001</v>
      </c>
      <c r="F2963" t="s">
        <v>41</v>
      </c>
      <c r="G2963">
        <v>-214.4111</v>
      </c>
      <c r="H2963">
        <v>1.0476369999999999</v>
      </c>
      <c r="I2963">
        <v>140.14879999999999</v>
      </c>
      <c r="J2963">
        <v>-213.8656</v>
      </c>
      <c r="K2963">
        <v>1.1072919999999999</v>
      </c>
      <c r="L2963">
        <v>140.1129</v>
      </c>
      <c r="M2963">
        <v>-0.99455590000000005</v>
      </c>
      <c r="N2963">
        <v>-8.5358009999999904E-3</v>
      </c>
      <c r="O2963">
        <v>-0.1038549</v>
      </c>
      <c r="P2963">
        <v>-0.99338009999999999</v>
      </c>
      <c r="Q2963">
        <v>-7.3268639999999996E-2</v>
      </c>
      <c r="R2963">
        <v>-8.8475129999999999E-2</v>
      </c>
      <c r="S2963">
        <v>-3.006119</v>
      </c>
      <c r="T2963">
        <v>-0.20879259999999999</v>
      </c>
      <c r="U2963">
        <v>1.3870240000000001E-2</v>
      </c>
      <c r="V2963">
        <v>1.496161E-2</v>
      </c>
      <c r="W2963">
        <v>-6.4803630000000001E-2</v>
      </c>
      <c r="X2963">
        <v>0.9977859</v>
      </c>
      <c r="Y2963">
        <v>0.10796269999999999</v>
      </c>
      <c r="Z2963">
        <v>1.051475E-2</v>
      </c>
      <c r="AA2963">
        <v>0.99409930000000002</v>
      </c>
      <c r="AB2963">
        <v>28</v>
      </c>
      <c r="AC2963">
        <v>-0.54550000000000398</v>
      </c>
      <c r="AD2963">
        <v>-5.9654999999999701E-2</v>
      </c>
      <c r="AE2963">
        <v>3.5899999999998003E-2</v>
      </c>
      <c r="AF2963">
        <v>9.12739024091231E-2</v>
      </c>
      <c r="AG2963">
        <v>-5.9654999999999701E-2</v>
      </c>
      <c r="AH2963">
        <v>0.53248083176857597</v>
      </c>
      <c r="AI2963">
        <v>96.301171622907006</v>
      </c>
      <c r="AJ2963">
        <v>80.273312660024501</v>
      </c>
      <c r="AK2963">
        <v>0.54353056996543003</v>
      </c>
      <c r="AL2963">
        <v>93.715578082539494</v>
      </c>
      <c r="AM2963">
        <v>89.140925054075595</v>
      </c>
      <c r="AN2963">
        <v>1.00000003123688</v>
      </c>
    </row>
    <row r="2964" spans="1:40" x14ac:dyDescent="0.25">
      <c r="A2964" t="str">
        <f>"20190305135645888"</f>
        <v>20190305135645888</v>
      </c>
      <c r="B2964" t="str">
        <f>"1551765405885271"</f>
        <v>1551765405885271</v>
      </c>
      <c r="C2964" t="s">
        <v>40</v>
      </c>
      <c r="D2964">
        <v>4.4445810000000003</v>
      </c>
      <c r="E2964">
        <v>0.5310916</v>
      </c>
      <c r="F2964" t="s">
        <v>41</v>
      </c>
      <c r="G2964">
        <v>-214.67</v>
      </c>
      <c r="H2964">
        <v>1.0537399999999999</v>
      </c>
      <c r="I2964">
        <v>140.1172</v>
      </c>
      <c r="J2964">
        <v>-214.15860000000001</v>
      </c>
      <c r="K2964">
        <v>1.1069150000000001</v>
      </c>
      <c r="L2964">
        <v>140.0847</v>
      </c>
      <c r="M2964">
        <v>-0.99481779999999997</v>
      </c>
      <c r="N2964">
        <v>-8.4960539999999994E-3</v>
      </c>
      <c r="O2964">
        <v>-0.1013184</v>
      </c>
      <c r="P2964">
        <v>-0.99351509999999998</v>
      </c>
      <c r="Q2964">
        <v>-7.0972549999999995E-2</v>
      </c>
      <c r="R2964">
        <v>-8.8828690000000002E-2</v>
      </c>
      <c r="S2964">
        <v>-3.0066380000000001</v>
      </c>
      <c r="T2964">
        <v>-0.20009279999999999</v>
      </c>
      <c r="U2964">
        <v>1.5625E-2</v>
      </c>
      <c r="V2964">
        <v>1.2029659999999999E-2</v>
      </c>
      <c r="W2964">
        <v>-6.2547309999999995E-2</v>
      </c>
      <c r="X2964">
        <v>0.99796949999999995</v>
      </c>
      <c r="Y2964">
        <v>0.1060562</v>
      </c>
      <c r="Z2964">
        <v>9.8422040000000002E-3</v>
      </c>
      <c r="AA2964">
        <v>0.99431150000000001</v>
      </c>
      <c r="AB2964">
        <v>28</v>
      </c>
      <c r="AC2964">
        <v>-0.51139999999997998</v>
      </c>
      <c r="AD2964">
        <v>-5.3174999999999903E-2</v>
      </c>
      <c r="AE2964">
        <v>3.2499999999998801E-2</v>
      </c>
      <c r="AF2964">
        <v>8.3252364948378996E-2</v>
      </c>
      <c r="AG2964">
        <v>-5.3174999999999903E-2</v>
      </c>
      <c r="AH2964">
        <v>0.50009013415998105</v>
      </c>
      <c r="AI2964">
        <v>95.987708858332496</v>
      </c>
      <c r="AJ2964">
        <v>80.5483786351069</v>
      </c>
      <c r="AK2964">
        <v>0.50975354749000601</v>
      </c>
      <c r="AL2964">
        <v>93.586037672717197</v>
      </c>
      <c r="AM2964">
        <v>89.309382334059904</v>
      </c>
      <c r="AN2964">
        <v>1.0000000008190999</v>
      </c>
    </row>
    <row r="2965" spans="1:40" x14ac:dyDescent="0.25">
      <c r="A2965" t="str">
        <f>"20190305135645936"</f>
        <v>20190305135645936</v>
      </c>
      <c r="B2965" t="str">
        <f>"1551765405925286"</f>
        <v>1551765405925286</v>
      </c>
      <c r="C2965" t="s">
        <v>40</v>
      </c>
      <c r="D2965">
        <v>4.4565299999999999</v>
      </c>
      <c r="E2965">
        <v>0.52846910000000002</v>
      </c>
      <c r="F2965" t="s">
        <v>42</v>
      </c>
      <c r="G2965">
        <v>-232.1574</v>
      </c>
      <c r="H2965" s="1">
        <v>-3.4380329999999998E-6</v>
      </c>
      <c r="I2965">
        <v>139.95939999999999</v>
      </c>
      <c r="J2965">
        <v>-214.7714</v>
      </c>
      <c r="K2965">
        <v>1.106163</v>
      </c>
      <c r="L2965">
        <v>140.03020000000001</v>
      </c>
      <c r="M2965">
        <v>-0.99549759999999998</v>
      </c>
      <c r="N2965">
        <v>-8.4082840000000002E-3</v>
      </c>
      <c r="O2965">
        <v>-9.4413670000000005E-2</v>
      </c>
      <c r="P2965">
        <v>-0.99395500000000003</v>
      </c>
      <c r="Q2965">
        <v>-6.5482589999999993E-2</v>
      </c>
      <c r="R2965">
        <v>-8.8123149999999997E-2</v>
      </c>
      <c r="S2965">
        <v>-3.0045169999999999</v>
      </c>
      <c r="T2965">
        <v>-0.18477669999999999</v>
      </c>
      <c r="U2965">
        <v>-2.0919799999999999E-2</v>
      </c>
      <c r="V2965">
        <v>5.7739260000000004E-3</v>
      </c>
      <c r="W2965">
        <v>-5.7125889999999999E-2</v>
      </c>
      <c r="X2965">
        <v>0.99835030000000002</v>
      </c>
      <c r="Y2965">
        <v>8.7163550000000006E-2</v>
      </c>
      <c r="Z2965">
        <v>8.0442659999999996E-3</v>
      </c>
      <c r="AA2965">
        <v>0.99616150000000003</v>
      </c>
      <c r="AB2965">
        <v>29</v>
      </c>
      <c r="AC2965">
        <v>-17.3859999999999</v>
      </c>
      <c r="AD2965">
        <v>-1.1061664380329901</v>
      </c>
      <c r="AE2965">
        <v>-7.0800000000019694E-2</v>
      </c>
      <c r="AF2965">
        <v>1.5647164026129201</v>
      </c>
      <c r="AG2965">
        <v>-1.1061664380329901</v>
      </c>
      <c r="AH2965">
        <v>17.245209256119001</v>
      </c>
      <c r="AI2965">
        <v>93.655144686732697</v>
      </c>
      <c r="AJ2965">
        <v>84.815555307339693</v>
      </c>
      <c r="AK2965">
        <v>17.351345305092899</v>
      </c>
      <c r="AL2965">
        <v>93.274855179197601</v>
      </c>
      <c r="AM2965">
        <v>89.668635445293503</v>
      </c>
      <c r="AN2965">
        <v>1.0000000135199101</v>
      </c>
    </row>
    <row r="2966" spans="1:40" x14ac:dyDescent="0.25">
      <c r="A2966" t="str">
        <f>"20190305135645976"</f>
        <v>20190305135645976</v>
      </c>
      <c r="B2966" t="str">
        <f>"1551765405965302"</f>
        <v>1551765405965302</v>
      </c>
      <c r="C2966" t="s">
        <v>40</v>
      </c>
      <c r="D2966">
        <v>4.4775799999999997</v>
      </c>
      <c r="E2966">
        <v>0.52627829999999998</v>
      </c>
      <c r="F2966" t="s">
        <v>41</v>
      </c>
      <c r="G2966">
        <v>-215.69450000000001</v>
      </c>
      <c r="H2966">
        <v>1.0526690000000001</v>
      </c>
      <c r="I2966">
        <v>140.01830000000001</v>
      </c>
      <c r="J2966">
        <v>-215.28899999999999</v>
      </c>
      <c r="K2966">
        <v>1.1057459999999999</v>
      </c>
      <c r="L2966">
        <v>139.9888</v>
      </c>
      <c r="M2966">
        <v>-0.99612869999999998</v>
      </c>
      <c r="N2966">
        <v>-8.3285219999999997E-3</v>
      </c>
      <c r="O2966">
        <v>-8.7510580000000004E-2</v>
      </c>
      <c r="P2966">
        <v>-0.99480740000000001</v>
      </c>
      <c r="Q2966">
        <v>-5.6664140000000002E-2</v>
      </c>
      <c r="R2966">
        <v>-8.4540519999999994E-2</v>
      </c>
      <c r="S2966">
        <v>-3.0032809999999999</v>
      </c>
      <c r="T2966">
        <v>-0.1739628</v>
      </c>
      <c r="U2966">
        <v>-3.9352419999999999E-2</v>
      </c>
      <c r="V2966">
        <v>2.504811E-3</v>
      </c>
      <c r="W2966">
        <v>-4.8365760000000001E-2</v>
      </c>
      <c r="X2966">
        <v>0.99882660000000001</v>
      </c>
      <c r="Y2966">
        <v>7.420496E-2</v>
      </c>
      <c r="Z2966">
        <v>6.7863979999999999E-3</v>
      </c>
      <c r="AA2966">
        <v>0.99721990000000005</v>
      </c>
      <c r="AB2966">
        <v>29</v>
      </c>
      <c r="AC2966">
        <v>-0.40549999999998898</v>
      </c>
      <c r="AD2966">
        <v>-5.3076999999999798E-2</v>
      </c>
      <c r="AE2966">
        <v>2.9500000000012901E-2</v>
      </c>
      <c r="AF2966">
        <v>6.3786497050232593E-2</v>
      </c>
      <c r="AG2966">
        <v>-5.3076999999999798E-2</v>
      </c>
      <c r="AH2966">
        <v>0.39463689479709402</v>
      </c>
      <c r="AI2966">
        <v>97.563074824608506</v>
      </c>
      <c r="AJ2966">
        <v>80.818496351765504</v>
      </c>
      <c r="AK2966">
        <v>0.40326686433431602</v>
      </c>
      <c r="AL2966">
        <v>92.772235326445198</v>
      </c>
      <c r="AM2966">
        <v>89.856316603971294</v>
      </c>
      <c r="AN2966">
        <v>1.0000000488430401</v>
      </c>
    </row>
    <row r="2967" spans="1:40" x14ac:dyDescent="0.25">
      <c r="A2967" t="str">
        <f>"20190305135645998"</f>
        <v>20190305135645998</v>
      </c>
      <c r="B2967" t="str">
        <f>"1551765405995559"</f>
        <v>1551765405995559</v>
      </c>
      <c r="C2967" t="s">
        <v>40</v>
      </c>
      <c r="D2967">
        <v>4.4896979999999997</v>
      </c>
      <c r="E2967">
        <v>0.52498449999999997</v>
      </c>
      <c r="F2967" t="s">
        <v>42</v>
      </c>
      <c r="G2967">
        <v>-237.32900000000001</v>
      </c>
      <c r="H2967" s="1">
        <v>-1.1380360000000001E-6</v>
      </c>
      <c r="I2967">
        <v>139.6534</v>
      </c>
      <c r="J2967">
        <v>-215.5737</v>
      </c>
      <c r="K2967">
        <v>1.10561</v>
      </c>
      <c r="L2967">
        <v>139.96780000000001</v>
      </c>
      <c r="M2967">
        <v>-0.9964731</v>
      </c>
      <c r="N2967">
        <v>-8.2820129999999995E-3</v>
      </c>
      <c r="O2967">
        <v>-8.3503859999999999E-2</v>
      </c>
      <c r="P2967">
        <v>-0.9954577</v>
      </c>
      <c r="Q2967">
        <v>-5.11198E-2</v>
      </c>
      <c r="R2967">
        <v>-8.0318589999999995E-2</v>
      </c>
      <c r="S2967">
        <v>-3.0031889999999999</v>
      </c>
      <c r="T2967">
        <v>-0.15066979999999999</v>
      </c>
      <c r="U2967">
        <v>-4.5684809999999999E-2</v>
      </c>
      <c r="V2967">
        <v>2.776153E-3</v>
      </c>
      <c r="W2967">
        <v>-4.286835E-2</v>
      </c>
      <c r="X2967">
        <v>0.99907679999999999</v>
      </c>
      <c r="Y2967">
        <v>6.8167039999999998E-2</v>
      </c>
      <c r="Z2967">
        <v>5.4815810000000001E-3</v>
      </c>
      <c r="AA2967">
        <v>0.99765879999999996</v>
      </c>
      <c r="AB2967">
        <v>29</v>
      </c>
      <c r="AC2967">
        <v>-21.755299999999998</v>
      </c>
      <c r="AD2967">
        <v>-1.1056111380360001</v>
      </c>
      <c r="AE2967">
        <v>-0.31440000000000601</v>
      </c>
      <c r="AF2967">
        <v>1.4995397913183399</v>
      </c>
      <c r="AG2967">
        <v>-1.1056111380360001</v>
      </c>
      <c r="AH2967">
        <v>21.649664905486201</v>
      </c>
      <c r="AI2967">
        <v>92.916481806093302</v>
      </c>
      <c r="AJ2967">
        <v>86.037800117725695</v>
      </c>
      <c r="AK2967">
        <v>21.729679843341799</v>
      </c>
      <c r="AL2967">
        <v>92.456928614777397</v>
      </c>
      <c r="AM2967">
        <v>89.840791577987105</v>
      </c>
      <c r="AN2967">
        <v>0.99999992737771803</v>
      </c>
    </row>
    <row r="2968" spans="1:40" x14ac:dyDescent="0.25">
      <c r="A2968" t="str">
        <f>"20190305135646018"</f>
        <v>20190305135646018</v>
      </c>
      <c r="B2968" t="str">
        <f>"1551765406015078"</f>
        <v>1551765406015078</v>
      </c>
      <c r="C2968" t="s">
        <v>40</v>
      </c>
      <c r="D2968">
        <v>4.4860439999999997</v>
      </c>
      <c r="E2968">
        <v>0.52422820000000003</v>
      </c>
      <c r="F2968" t="s">
        <v>42</v>
      </c>
      <c r="G2968">
        <v>-239.58420000000001</v>
      </c>
      <c r="H2968" s="1">
        <v>-1.6270290000000001E-7</v>
      </c>
      <c r="I2968">
        <v>139.62379999999999</v>
      </c>
      <c r="J2968">
        <v>-215.84790000000001</v>
      </c>
      <c r="K2968">
        <v>1.1055379999999999</v>
      </c>
      <c r="L2968">
        <v>139.9486</v>
      </c>
      <c r="M2968">
        <v>-0.99679240000000002</v>
      </c>
      <c r="N2968">
        <v>-8.2385569999999901E-3</v>
      </c>
      <c r="O2968">
        <v>-7.9607369999999997E-2</v>
      </c>
      <c r="P2968">
        <v>-0.99605679999999996</v>
      </c>
      <c r="Q2968">
        <v>-4.5613880000000002E-2</v>
      </c>
      <c r="R2968">
        <v>-7.6097769999999995E-2</v>
      </c>
      <c r="S2968">
        <v>-3.003098</v>
      </c>
      <c r="T2968">
        <v>-0.13828379999999901</v>
      </c>
      <c r="U2968">
        <v>-4.3014530000000002E-2</v>
      </c>
      <c r="V2968">
        <v>3.159874E-3</v>
      </c>
      <c r="W2968">
        <v>-3.740711E-2</v>
      </c>
      <c r="X2968">
        <v>0.99929509999999999</v>
      </c>
      <c r="Y2968">
        <v>6.5187350000000005E-2</v>
      </c>
      <c r="Z2968">
        <v>4.772648E-3</v>
      </c>
      <c r="AA2968">
        <v>0.99786160000000002</v>
      </c>
      <c r="AB2968">
        <v>29</v>
      </c>
      <c r="AC2968">
        <v>-23.7363</v>
      </c>
      <c r="AD2968">
        <v>-1.1055381627029</v>
      </c>
      <c r="AE2968">
        <v>-0.32480000000001003</v>
      </c>
      <c r="AF2968">
        <v>1.56249026558607</v>
      </c>
      <c r="AG2968">
        <v>-1.1055381627029</v>
      </c>
      <c r="AH2968">
        <v>23.6355570550107</v>
      </c>
      <c r="AI2968">
        <v>92.672197595596302</v>
      </c>
      <c r="AJ2968">
        <v>86.217816013129905</v>
      </c>
      <c r="AK2968">
        <v>23.7129320785075</v>
      </c>
      <c r="AL2968">
        <v>92.143769713406897</v>
      </c>
      <c r="AM2968">
        <v>89.818825449487406</v>
      </c>
      <c r="AN2968">
        <v>0.99999998678312896</v>
      </c>
    </row>
    <row r="2969" spans="1:40" x14ac:dyDescent="0.25">
      <c r="A2969" t="str">
        <f>"20190305135646040"</f>
        <v>20190305135646040</v>
      </c>
      <c r="B2969" t="str">
        <f>"1551765406035574"</f>
        <v>1551765406035574</v>
      </c>
      <c r="C2969" t="s">
        <v>40</v>
      </c>
      <c r="D2969">
        <v>4.4796569999999996</v>
      </c>
      <c r="E2969">
        <v>0.52358870000000002</v>
      </c>
      <c r="F2969" t="s">
        <v>42</v>
      </c>
      <c r="G2969">
        <v>-242.5197</v>
      </c>
      <c r="H2969" s="1">
        <v>-3.194374E-6</v>
      </c>
      <c r="I2969">
        <v>139.6277</v>
      </c>
      <c r="J2969">
        <v>-216.1361</v>
      </c>
      <c r="K2969">
        <v>1.105523</v>
      </c>
      <c r="L2969">
        <v>139.9297</v>
      </c>
      <c r="M2969">
        <v>-0.99710810000000005</v>
      </c>
      <c r="N2969">
        <v>-8.1962240000000002E-3</v>
      </c>
      <c r="O2969">
        <v>-7.5555090000000005E-2</v>
      </c>
      <c r="P2969">
        <v>-0.99655459999999996</v>
      </c>
      <c r="Q2969">
        <v>-3.8845860000000003E-2</v>
      </c>
      <c r="R2969">
        <v>-7.3280860000000003E-2</v>
      </c>
      <c r="S2969">
        <v>-3.0034329999999998</v>
      </c>
      <c r="T2969">
        <v>-0.12449200000000001</v>
      </c>
      <c r="U2969">
        <v>-3.6132810000000001E-2</v>
      </c>
      <c r="V2969">
        <v>1.9940610000000001E-3</v>
      </c>
      <c r="W2969">
        <v>-3.0670490000000002E-2</v>
      </c>
      <c r="X2969">
        <v>0.99952759999999996</v>
      </c>
      <c r="Y2969">
        <v>6.3450030000000004E-2</v>
      </c>
      <c r="Z2969">
        <v>4.082703E-3</v>
      </c>
      <c r="AA2969">
        <v>0.99797670000000005</v>
      </c>
      <c r="AB2969">
        <v>29</v>
      </c>
      <c r="AC2969">
        <v>-26.383600000000001</v>
      </c>
      <c r="AD2969">
        <v>-1.105526194374</v>
      </c>
      <c r="AE2969">
        <v>-0.301999999999992</v>
      </c>
      <c r="AF2969">
        <v>1.68937941773378</v>
      </c>
      <c r="AG2969">
        <v>-1.105526194374</v>
      </c>
      <c r="AH2969">
        <v>26.2848548714164</v>
      </c>
      <c r="AI2969">
        <v>92.403455484911206</v>
      </c>
      <c r="AJ2969">
        <v>86.322545496876899</v>
      </c>
      <c r="AK2969">
        <v>26.362279616811101</v>
      </c>
      <c r="AL2969">
        <v>91.757565187934105</v>
      </c>
      <c r="AM2969">
        <v>89.885694874441498</v>
      </c>
      <c r="AN2969">
        <v>1.0000000391989301</v>
      </c>
    </row>
    <row r="2970" spans="1:40" x14ac:dyDescent="0.25">
      <c r="A2970" t="str">
        <f>"20190305135646064"</f>
        <v>20190305135646064</v>
      </c>
      <c r="B2970" t="str">
        <f>"1551765406055094"</f>
        <v>1551765406055094</v>
      </c>
      <c r="C2970" t="s">
        <v>40</v>
      </c>
      <c r="D2970">
        <v>4.4537060000000004</v>
      </c>
      <c r="E2970">
        <v>0.52372200000000002</v>
      </c>
      <c r="F2970" t="s">
        <v>42</v>
      </c>
      <c r="G2970">
        <v>-247.0814</v>
      </c>
      <c r="H2970" s="1">
        <v>-1.238221E-6</v>
      </c>
      <c r="I2970">
        <v>139.59460000000001</v>
      </c>
      <c r="J2970">
        <v>-216.45429999999999</v>
      </c>
      <c r="K2970">
        <v>1.1055649999999999</v>
      </c>
      <c r="L2970">
        <v>139.91</v>
      </c>
      <c r="M2970">
        <v>-0.99742819999999999</v>
      </c>
      <c r="N2970">
        <v>-8.1524359999999903E-3</v>
      </c>
      <c r="O2970">
        <v>-7.1208720000000003E-2</v>
      </c>
      <c r="P2970">
        <v>-0.99694769999999999</v>
      </c>
      <c r="Q2970">
        <v>-3.0090180000000001E-2</v>
      </c>
      <c r="R2970">
        <v>-7.2042590000000004E-2</v>
      </c>
      <c r="S2970">
        <v>-3.0037989999999999</v>
      </c>
      <c r="T2970">
        <v>-0.1073114</v>
      </c>
      <c r="U2970">
        <v>-3.251648E-2</v>
      </c>
      <c r="V2970">
        <v>-1.030499E-3</v>
      </c>
      <c r="W2970">
        <v>-2.1933319999999999E-2</v>
      </c>
      <c r="X2970">
        <v>0.99975890000000001</v>
      </c>
      <c r="Y2970">
        <v>6.0335670000000001E-2</v>
      </c>
      <c r="Z2970">
        <v>3.2838260000000001E-3</v>
      </c>
      <c r="AA2970">
        <v>0.99817279999999997</v>
      </c>
      <c r="AB2970">
        <v>29</v>
      </c>
      <c r="AC2970">
        <v>-30.627099999999999</v>
      </c>
      <c r="AD2970">
        <v>-1.1055662382210001</v>
      </c>
      <c r="AE2970">
        <v>-0.31539999999998197</v>
      </c>
      <c r="AF2970">
        <v>1.8639610511906699</v>
      </c>
      <c r="AG2970">
        <v>-1.1055662382210001</v>
      </c>
      <c r="AH2970">
        <v>30.532025753124799</v>
      </c>
      <c r="AI2970">
        <v>92.069926725593405</v>
      </c>
      <c r="AJ2970">
        <v>86.506464403740694</v>
      </c>
      <c r="AK2970">
        <v>30.608842253455499</v>
      </c>
      <c r="AL2970">
        <v>91.256787453599401</v>
      </c>
      <c r="AM2970">
        <v>90.059057461336394</v>
      </c>
      <c r="AN2970">
        <v>0.99999999529181005</v>
      </c>
    </row>
    <row r="2971" spans="1:40" x14ac:dyDescent="0.25">
      <c r="A2971" t="str">
        <f>"20190305135646086"</f>
        <v>20190305135646086</v>
      </c>
      <c r="B2971" t="str">
        <f>"1551765406075590"</f>
        <v>1551765406075590</v>
      </c>
      <c r="C2971" t="s">
        <v>40</v>
      </c>
      <c r="D2971">
        <v>4.3219390000000004</v>
      </c>
      <c r="E2971">
        <v>0.55442939999999996</v>
      </c>
      <c r="F2971" t="s">
        <v>42</v>
      </c>
      <c r="G2971">
        <v>-256.5179</v>
      </c>
      <c r="H2971" s="1">
        <v>-1.489152E-6</v>
      </c>
      <c r="I2971">
        <v>139.5427</v>
      </c>
      <c r="J2971">
        <v>-216.73580000000001</v>
      </c>
      <c r="K2971">
        <v>1.1056549999999901</v>
      </c>
      <c r="L2971">
        <v>139.89359999999999</v>
      </c>
      <c r="M2971">
        <v>-0.99768409999999996</v>
      </c>
      <c r="N2971">
        <v>-8.1163150000000007E-3</v>
      </c>
      <c r="O2971">
        <v>-6.7532320000000007E-2</v>
      </c>
      <c r="P2971">
        <v>-0.99708799999999997</v>
      </c>
      <c r="Q2971">
        <v>-2.2681400000000001E-2</v>
      </c>
      <c r="R2971">
        <v>-7.2810659999999999E-2</v>
      </c>
      <c r="S2971">
        <v>-3.004715</v>
      </c>
      <c r="T2971">
        <v>-8.2915900000000001E-2</v>
      </c>
      <c r="U2971">
        <v>-2.7542110000000002E-2</v>
      </c>
      <c r="V2971">
        <v>-5.4132370000000004E-3</v>
      </c>
      <c r="W2971">
        <v>-1.452725E-2</v>
      </c>
      <c r="X2971">
        <v>0.99987979999999999</v>
      </c>
      <c r="Y2971">
        <v>5.8345210000000002E-2</v>
      </c>
      <c r="Z2971">
        <v>2.3552730000000002E-3</v>
      </c>
      <c r="AA2971">
        <v>0.99829369999999995</v>
      </c>
      <c r="AB2971">
        <v>29</v>
      </c>
      <c r="AC2971">
        <v>-39.7820999999999</v>
      </c>
      <c r="AD2971">
        <v>-1.10565648915199</v>
      </c>
      <c r="AE2971">
        <v>-0.35089999999999499</v>
      </c>
      <c r="AF2971">
        <v>2.3347637314988701</v>
      </c>
      <c r="AG2971">
        <v>-1.10565648915199</v>
      </c>
      <c r="AH2971">
        <v>39.684321422065601</v>
      </c>
      <c r="AI2971">
        <v>91.593168148817796</v>
      </c>
      <c r="AJ2971">
        <v>86.632975491420595</v>
      </c>
      <c r="AK2971">
        <v>39.7683160906235</v>
      </c>
      <c r="AL2971">
        <v>90.832379409619406</v>
      </c>
      <c r="AM2971">
        <v>90.310189888242704</v>
      </c>
      <c r="AN2971">
        <v>0.99999997928771001</v>
      </c>
    </row>
    <row r="2972" spans="1:40" x14ac:dyDescent="0.25">
      <c r="A2972" t="str">
        <f>"20190305135646176"</f>
        <v>20190305135646176</v>
      </c>
      <c r="B2972" t="str">
        <f>"1551765406165382"</f>
        <v>1551765406165382</v>
      </c>
      <c r="C2972" t="s">
        <v>40</v>
      </c>
      <c r="D2972">
        <v>4.2554429999999996</v>
      </c>
      <c r="E2972">
        <v>0.54472359999999997</v>
      </c>
      <c r="F2972" t="s">
        <v>42</v>
      </c>
      <c r="G2972">
        <v>-355.11770000000001</v>
      </c>
      <c r="H2972">
        <v>8.5778250000000007E-3</v>
      </c>
      <c r="I2972">
        <v>149.6163</v>
      </c>
      <c r="J2972">
        <v>-217.9211</v>
      </c>
      <c r="K2972">
        <v>1.1062320000000001</v>
      </c>
      <c r="L2972">
        <v>139.83330000000001</v>
      </c>
      <c r="M2972">
        <v>-0.99848979999999998</v>
      </c>
      <c r="N2972">
        <v>-7.9960659999999996E-3</v>
      </c>
      <c r="O2972">
        <v>-5.4351389999999999E-2</v>
      </c>
      <c r="P2972">
        <v>-0.99699819999999995</v>
      </c>
      <c r="Q2972">
        <v>-5.346801E-3</v>
      </c>
      <c r="R2972">
        <v>-7.7240660000000003E-2</v>
      </c>
      <c r="S2972">
        <v>-3.0237270000000001</v>
      </c>
      <c r="T2972">
        <v>-2.3971800000000001E-2</v>
      </c>
      <c r="U2972">
        <v>0.2124481</v>
      </c>
      <c r="V2972">
        <v>-2.292025E-2</v>
      </c>
      <c r="W2972">
        <v>2.7845510000000001E-3</v>
      </c>
      <c r="X2972">
        <v>0.99973339999999999</v>
      </c>
      <c r="Y2972">
        <v>0.1241956</v>
      </c>
      <c r="Z2972">
        <v>9.8524279999999994E-4</v>
      </c>
      <c r="AA2972">
        <v>0.99225719999999995</v>
      </c>
      <c r="AB2972">
        <v>30</v>
      </c>
      <c r="AC2972">
        <v>-137.19659999999999</v>
      </c>
      <c r="AD2972">
        <v>-1.097654175</v>
      </c>
      <c r="AE2972">
        <v>9.7829999999999799</v>
      </c>
      <c r="AF2972">
        <v>17.2245062941359</v>
      </c>
      <c r="AG2972">
        <v>-1.097654175</v>
      </c>
      <c r="AH2972">
        <v>136.45336589575899</v>
      </c>
      <c r="AI2972">
        <v>90.457258664244193</v>
      </c>
      <c r="AJ2972">
        <v>82.805605452448305</v>
      </c>
      <c r="AK2972">
        <v>137.54057410832101</v>
      </c>
      <c r="AL2972">
        <v>89.840456770706197</v>
      </c>
      <c r="AM2972">
        <v>91.313353716580394</v>
      </c>
      <c r="AN2972">
        <v>0.99999998132994605</v>
      </c>
    </row>
    <row r="2973" spans="1:40" x14ac:dyDescent="0.25">
      <c r="A2973" t="str">
        <f>"20190305135646198"</f>
        <v>20190305135646198</v>
      </c>
      <c r="B2973" t="str">
        <f>"1551765406194662"</f>
        <v>1551765406194662</v>
      </c>
      <c r="C2973" t="s">
        <v>40</v>
      </c>
      <c r="D2973">
        <v>4.1486669999999997</v>
      </c>
      <c r="E2973">
        <v>0.54282640000000004</v>
      </c>
      <c r="F2973" t="s">
        <v>42</v>
      </c>
      <c r="G2973">
        <v>-259.07780000000002</v>
      </c>
      <c r="H2973" s="1">
        <v>-9.0049339999999998E-7</v>
      </c>
      <c r="I2973">
        <v>141.58019999999999</v>
      </c>
      <c r="J2973">
        <v>-218.2234</v>
      </c>
      <c r="K2973">
        <v>1.1063540000000001</v>
      </c>
      <c r="L2973">
        <v>139.81979999999999</v>
      </c>
      <c r="M2973">
        <v>-0.99864180000000002</v>
      </c>
      <c r="N2973">
        <v>-7.9680900000000006E-3</v>
      </c>
      <c r="O2973">
        <v>-5.1491799999999997E-2</v>
      </c>
      <c r="P2973">
        <v>-0.99671860000000001</v>
      </c>
      <c r="Q2973">
        <v>-2.009187E-3</v>
      </c>
      <c r="R2973">
        <v>-8.0921140000000003E-2</v>
      </c>
      <c r="S2973">
        <v>-3.0185390000000001</v>
      </c>
      <c r="T2973">
        <v>-8.1133960000000005E-2</v>
      </c>
      <c r="U2973">
        <v>0.12812809999999999</v>
      </c>
      <c r="V2973">
        <v>-2.945449E-2</v>
      </c>
      <c r="W2973">
        <v>6.1242830000000003E-3</v>
      </c>
      <c r="X2973">
        <v>0.99954739999999997</v>
      </c>
      <c r="Y2973">
        <v>9.3746659999999996E-2</v>
      </c>
      <c r="Z2973">
        <v>2.6058309999999999E-3</v>
      </c>
      <c r="AA2973">
        <v>0.9955927</v>
      </c>
      <c r="AB2973">
        <v>30</v>
      </c>
      <c r="AC2973">
        <v>-40.854399999999998</v>
      </c>
      <c r="AD2973">
        <v>-1.1063549004933999</v>
      </c>
      <c r="AE2973">
        <v>1.7604</v>
      </c>
      <c r="AF2973">
        <v>3.8589728237606802</v>
      </c>
      <c r="AG2973">
        <v>-1.1063549004933999</v>
      </c>
      <c r="AH2973">
        <v>40.679773588721197</v>
      </c>
      <c r="AI2973">
        <v>91.5509119714945</v>
      </c>
      <c r="AJ2973">
        <v>84.581012335171806</v>
      </c>
      <c r="AK2973">
        <v>40.8773735904105</v>
      </c>
      <c r="AL2973">
        <v>89.649102251824502</v>
      </c>
      <c r="AM2973">
        <v>91.687893677120499</v>
      </c>
      <c r="AN2973">
        <v>1.0000000393350901</v>
      </c>
    </row>
    <row r="2974" spans="1:40" x14ac:dyDescent="0.25">
      <c r="A2974" t="str">
        <f>"20190305135646220"</f>
        <v>20190305135646220</v>
      </c>
      <c r="B2974" t="str">
        <f>"1551765406215158"</f>
        <v>1551765406215158</v>
      </c>
      <c r="C2974" t="s">
        <v>40</v>
      </c>
      <c r="D2974">
        <v>4.2622999999999998</v>
      </c>
      <c r="E2974">
        <v>0.54031879999999999</v>
      </c>
      <c r="F2974" t="s">
        <v>42</v>
      </c>
      <c r="G2974">
        <v>-242.7876</v>
      </c>
      <c r="H2974" s="1">
        <v>-3.3583539999999999E-6</v>
      </c>
      <c r="I2974">
        <v>140.67590000000001</v>
      </c>
      <c r="J2974">
        <v>-218.50710000000001</v>
      </c>
      <c r="K2974">
        <v>1.106436</v>
      </c>
      <c r="L2974">
        <v>139.80789999999999</v>
      </c>
      <c r="M2974">
        <v>-0.99877130000000003</v>
      </c>
      <c r="N2974">
        <v>-7.94107199999999E-3</v>
      </c>
      <c r="O2974">
        <v>-4.8919200000000003E-2</v>
      </c>
      <c r="P2974">
        <v>-0.99641009999999997</v>
      </c>
      <c r="Q2974">
        <v>2.7884519999999999E-3</v>
      </c>
      <c r="R2974">
        <v>-8.4612699999999999E-2</v>
      </c>
      <c r="S2974">
        <v>-3.0181580000000001</v>
      </c>
      <c r="T2974">
        <v>-0.13593629999999901</v>
      </c>
      <c r="U2974">
        <v>0.1051941</v>
      </c>
      <c r="V2974">
        <v>-3.5706639999999998E-2</v>
      </c>
      <c r="W2974">
        <v>1.092252E-2</v>
      </c>
      <c r="X2974">
        <v>0.99930260000000004</v>
      </c>
      <c r="Y2974">
        <v>8.3548780000000003E-2</v>
      </c>
      <c r="Z2974">
        <v>4.0250999999999898E-3</v>
      </c>
      <c r="AA2974">
        <v>0.99649549999999998</v>
      </c>
      <c r="AB2974">
        <v>30</v>
      </c>
      <c r="AC2974">
        <v>-24.2804999999999</v>
      </c>
      <c r="AD2974">
        <v>-1.106439358354</v>
      </c>
      <c r="AE2974">
        <v>0.86800000000002298</v>
      </c>
      <c r="AF2974">
        <v>2.0505280816082498</v>
      </c>
      <c r="AG2974">
        <v>-1.106439358354</v>
      </c>
      <c r="AH2974">
        <v>24.158862107593102</v>
      </c>
      <c r="AI2974">
        <v>92.612846127861005</v>
      </c>
      <c r="AJ2974">
        <v>85.148542594524301</v>
      </c>
      <c r="AK2974">
        <v>24.270959845067502</v>
      </c>
      <c r="AL2974">
        <v>89.374173243223794</v>
      </c>
      <c r="AM2974">
        <v>92.046396924737607</v>
      </c>
      <c r="AN2974">
        <v>0.99999997597499901</v>
      </c>
    </row>
    <row r="2975" spans="1:40" x14ac:dyDescent="0.25">
      <c r="A2975" t="str">
        <f>"20190305135646242"</f>
        <v>20190305135646242</v>
      </c>
      <c r="B2975" t="str">
        <f>"1551765406235654"</f>
        <v>1551765406235654</v>
      </c>
      <c r="C2975" t="s">
        <v>40</v>
      </c>
      <c r="D2975">
        <v>4.210858</v>
      </c>
      <c r="E2975">
        <v>0.53887969999999996</v>
      </c>
      <c r="F2975" t="s">
        <v>41</v>
      </c>
      <c r="G2975">
        <v>-219.3809</v>
      </c>
      <c r="H2975">
        <v>1.0559160000000001</v>
      </c>
      <c r="I2975">
        <v>139.83009999999999</v>
      </c>
      <c r="J2975">
        <v>-218.80789999999999</v>
      </c>
      <c r="K2975">
        <v>1.1064989999999999</v>
      </c>
      <c r="L2975">
        <v>139.79589999999999</v>
      </c>
      <c r="M2975">
        <v>-0.99889799999999995</v>
      </c>
      <c r="N2975">
        <v>-7.9113250000000003E-3</v>
      </c>
      <c r="O2975">
        <v>-4.6264189999999997E-2</v>
      </c>
      <c r="P2975">
        <v>-0.99615520000000002</v>
      </c>
      <c r="Q2975">
        <v>7.6033209999999997E-3</v>
      </c>
      <c r="R2975">
        <v>-8.7276149999999997E-2</v>
      </c>
      <c r="S2975">
        <v>-3.017792</v>
      </c>
      <c r="T2975">
        <v>-0.17444289999999901</v>
      </c>
      <c r="U2975">
        <v>7.6416020000000001E-2</v>
      </c>
      <c r="V2975">
        <v>-4.1010310000000001E-2</v>
      </c>
      <c r="W2975">
        <v>1.572956E-2</v>
      </c>
      <c r="X2975">
        <v>0.99903489999999995</v>
      </c>
      <c r="Y2975">
        <v>7.1344580000000005E-2</v>
      </c>
      <c r="Z2975">
        <v>4.6480849999999997E-3</v>
      </c>
      <c r="AA2975">
        <v>0.99744089999999996</v>
      </c>
      <c r="AB2975">
        <v>30</v>
      </c>
      <c r="AC2975">
        <v>-0.57300000000000695</v>
      </c>
      <c r="AD2975">
        <v>-5.0582999999999802E-2</v>
      </c>
      <c r="AE2975">
        <v>3.4199999999998398E-2</v>
      </c>
      <c r="AF2975">
        <v>6.0206070534250498E-2</v>
      </c>
      <c r="AG2975">
        <v>-5.0582999999999802E-2</v>
      </c>
      <c r="AH2975">
        <v>0.56640584702249996</v>
      </c>
      <c r="AI2975">
        <v>95.074835896689706</v>
      </c>
      <c r="AJ2975">
        <v>83.932531936850793</v>
      </c>
      <c r="AK2975">
        <v>0.57183825891544704</v>
      </c>
      <c r="AL2975">
        <v>89.098725428577197</v>
      </c>
      <c r="AM2975">
        <v>92.350667808146198</v>
      </c>
      <c r="AN2975">
        <v>0.999999998001049</v>
      </c>
    </row>
    <row r="2976" spans="1:40" x14ac:dyDescent="0.25">
      <c r="A2976" t="str">
        <f>"20190305135646266"</f>
        <v>20190305135646266</v>
      </c>
      <c r="B2976" t="str">
        <f>"1551765406255174"</f>
        <v>1551765406255174</v>
      </c>
      <c r="C2976" t="s">
        <v>40</v>
      </c>
      <c r="D2976">
        <v>4.1960610000000003</v>
      </c>
      <c r="E2976">
        <v>0.53706659999999995</v>
      </c>
      <c r="F2976" t="s">
        <v>41</v>
      </c>
      <c r="G2976">
        <v>-219.65110000000001</v>
      </c>
      <c r="H2976">
        <v>1.0550919999999999</v>
      </c>
      <c r="I2976">
        <v>139.81200000000001</v>
      </c>
      <c r="J2976">
        <v>-219.13419999999999</v>
      </c>
      <c r="K2976">
        <v>1.1065400000000001</v>
      </c>
      <c r="L2976">
        <v>139.78380000000001</v>
      </c>
      <c r="M2976">
        <v>-0.99902570000000002</v>
      </c>
      <c r="N2976">
        <v>-7.8773950000000006E-3</v>
      </c>
      <c r="O2976">
        <v>-4.3424459999999998E-2</v>
      </c>
      <c r="P2976">
        <v>-0.99600270000000002</v>
      </c>
      <c r="Q2976">
        <v>1.114251E-2</v>
      </c>
      <c r="R2976">
        <v>-8.8625670000000004E-2</v>
      </c>
      <c r="S2976">
        <v>-3.0180210000000001</v>
      </c>
      <c r="T2976">
        <v>-0.18398059999999999</v>
      </c>
      <c r="U2976">
        <v>5.7449340000000002E-2</v>
      </c>
      <c r="V2976">
        <v>-4.5188319999999997E-2</v>
      </c>
      <c r="W2976">
        <v>1.9251890000000001E-2</v>
      </c>
      <c r="X2976">
        <v>0.99879289999999998</v>
      </c>
      <c r="Y2976">
        <v>6.2240429999999999E-2</v>
      </c>
      <c r="Z2976">
        <v>4.4429329999999996E-3</v>
      </c>
      <c r="AA2976">
        <v>0.99805129999999997</v>
      </c>
      <c r="AB2976">
        <v>30</v>
      </c>
      <c r="AC2976">
        <v>-0.51690000000002101</v>
      </c>
      <c r="AD2976">
        <v>-5.1447999999999897E-2</v>
      </c>
      <c r="AE2976">
        <v>2.8199999999998199E-2</v>
      </c>
      <c r="AF2976">
        <v>5.0125101577175001E-2</v>
      </c>
      <c r="AG2976">
        <v>-5.1447999999999897E-2</v>
      </c>
      <c r="AH2976">
        <v>0.51014894114202003</v>
      </c>
      <c r="AI2976">
        <v>95.731336156974095</v>
      </c>
      <c r="AJ2976">
        <v>84.388368666005803</v>
      </c>
      <c r="AK2976">
        <v>0.51518090479019796</v>
      </c>
      <c r="AL2976">
        <v>88.896879737592997</v>
      </c>
      <c r="AM2976">
        <v>92.590462570337607</v>
      </c>
      <c r="AN2976">
        <v>0.99999993831169998</v>
      </c>
    </row>
    <row r="2977" spans="1:40" x14ac:dyDescent="0.25">
      <c r="A2977" t="str">
        <f>"20190305135646288"</f>
        <v>20190305135646288</v>
      </c>
      <c r="B2977" t="str">
        <f>"1551765406285429"</f>
        <v>1551765406285429</v>
      </c>
      <c r="C2977" t="s">
        <v>40</v>
      </c>
      <c r="D2977">
        <v>4.2130269999999896</v>
      </c>
      <c r="E2977">
        <v>0.53539559999999997</v>
      </c>
      <c r="F2977" t="s">
        <v>42</v>
      </c>
      <c r="G2977">
        <v>-236.43279999999999</v>
      </c>
      <c r="H2977" s="1">
        <v>-1.6178439999999999E-6</v>
      </c>
      <c r="I2977">
        <v>140.01159999999999</v>
      </c>
      <c r="J2977">
        <v>-219.42160000000001</v>
      </c>
      <c r="K2977">
        <v>1.106538</v>
      </c>
      <c r="L2977">
        <v>139.77379999999999</v>
      </c>
      <c r="M2977">
        <v>-0.99913129999999994</v>
      </c>
      <c r="N2977">
        <v>-7.8470840000000007E-3</v>
      </c>
      <c r="O2977">
        <v>-4.093099E-2</v>
      </c>
      <c r="P2977">
        <v>-0.99595659999999997</v>
      </c>
      <c r="Q2977">
        <v>1.0873549999999999E-2</v>
      </c>
      <c r="R2977">
        <v>-8.9176069999999996E-2</v>
      </c>
      <c r="S2977">
        <v>-3.0177459999999998</v>
      </c>
      <c r="T2977">
        <v>-0.1930366</v>
      </c>
      <c r="U2977">
        <v>3.9764399999999998E-2</v>
      </c>
      <c r="V2977">
        <v>-4.8235020000000003E-2</v>
      </c>
      <c r="W2977">
        <v>1.8965840000000001E-2</v>
      </c>
      <c r="X2977">
        <v>0.99865590000000004</v>
      </c>
      <c r="Y2977">
        <v>5.3905309999999998E-2</v>
      </c>
      <c r="Z2977">
        <v>4.2281460000000003E-3</v>
      </c>
      <c r="AA2977">
        <v>0.99853709999999996</v>
      </c>
      <c r="AB2977">
        <v>30</v>
      </c>
      <c r="AC2977">
        <v>-17.011199999999899</v>
      </c>
      <c r="AD2977">
        <v>-1.1065396178439999</v>
      </c>
      <c r="AE2977">
        <v>0.23779999999999199</v>
      </c>
      <c r="AF2977">
        <v>0.92997316662173002</v>
      </c>
      <c r="AG2977">
        <v>-1.1065396178439999</v>
      </c>
      <c r="AH2977">
        <v>16.915650048195399</v>
      </c>
      <c r="AI2977">
        <v>93.737051745354407</v>
      </c>
      <c r="AJ2977">
        <v>86.853212753345602</v>
      </c>
      <c r="AK2977">
        <v>16.977293558441801</v>
      </c>
      <c r="AL2977">
        <v>88.913272216797296</v>
      </c>
      <c r="AM2977">
        <v>92.765233722565796</v>
      </c>
      <c r="AN2977">
        <v>0.99999996342305697</v>
      </c>
    </row>
    <row r="2978" spans="1:40" x14ac:dyDescent="0.25">
      <c r="A2978" t="str">
        <f>"20190305135646309"</f>
        <v>20190305135646309</v>
      </c>
      <c r="B2978" t="str">
        <f>"1551765406304950"</f>
        <v>1551765406304950</v>
      </c>
      <c r="C2978" t="s">
        <v>40</v>
      </c>
      <c r="D2978">
        <v>4.1942680000000001</v>
      </c>
      <c r="E2978">
        <v>0.53503599999999996</v>
      </c>
      <c r="F2978" t="s">
        <v>41</v>
      </c>
      <c r="G2978">
        <v>-220.1808</v>
      </c>
      <c r="H2978">
        <v>1.0513760000000001</v>
      </c>
      <c r="I2978">
        <v>139.78030000000001</v>
      </c>
      <c r="J2978">
        <v>-219.71530000000001</v>
      </c>
      <c r="K2978">
        <v>1.1065160000000001</v>
      </c>
      <c r="L2978">
        <v>139.76439999999999</v>
      </c>
      <c r="M2978">
        <v>-0.99923280000000003</v>
      </c>
      <c r="N2978">
        <v>-7.8135419999999997E-3</v>
      </c>
      <c r="O2978">
        <v>-3.8374779999999997E-2</v>
      </c>
      <c r="P2978">
        <v>-0.99596910000000005</v>
      </c>
      <c r="Q2978">
        <v>9.1555790000000005E-3</v>
      </c>
      <c r="R2978">
        <v>-8.9228189999999999E-2</v>
      </c>
      <c r="S2978">
        <v>-3.0168460000000001</v>
      </c>
      <c r="T2978">
        <v>-0.219143</v>
      </c>
      <c r="U2978">
        <v>2.5421139999999998E-2</v>
      </c>
      <c r="V2978">
        <v>-5.0851239999999999E-2</v>
      </c>
      <c r="W2978">
        <v>1.7226620000000002E-2</v>
      </c>
      <c r="X2978">
        <v>0.99855769999999999</v>
      </c>
      <c r="Y2978">
        <v>4.6578040000000001E-2</v>
      </c>
      <c r="Z2978">
        <v>4.3555809999999999E-3</v>
      </c>
      <c r="AA2978">
        <v>0.99890520000000005</v>
      </c>
      <c r="AB2978">
        <v>30</v>
      </c>
      <c r="AC2978">
        <v>-0.46549999999999098</v>
      </c>
      <c r="AD2978">
        <v>-5.5139999999999897E-2</v>
      </c>
      <c r="AE2978">
        <v>1.59000000000162E-2</v>
      </c>
      <c r="AF2978">
        <v>3.3285799494081503E-2</v>
      </c>
      <c r="AG2978">
        <v>-5.5139999999999897E-2</v>
      </c>
      <c r="AH2978">
        <v>0.45812635990103001</v>
      </c>
      <c r="AI2978">
        <v>96.845223162125393</v>
      </c>
      <c r="AJ2978">
        <v>85.844398632777995</v>
      </c>
      <c r="AK2978">
        <v>0.46263173873409102</v>
      </c>
      <c r="AL2978">
        <v>89.0129385972363</v>
      </c>
      <c r="AM2978">
        <v>92.915251410952905</v>
      </c>
      <c r="AN2978">
        <v>1.00000004263772</v>
      </c>
    </row>
    <row r="2979" spans="1:40" x14ac:dyDescent="0.25">
      <c r="A2979" t="str">
        <f>"20190305135646334"</f>
        <v>20190305135646334</v>
      </c>
      <c r="B2979" t="str">
        <f>"1551765406325446"</f>
        <v>1551765406325446</v>
      </c>
      <c r="C2979" t="s">
        <v>40</v>
      </c>
      <c r="D2979">
        <v>4.1701489999999897</v>
      </c>
      <c r="E2979">
        <v>0.53556569999999903</v>
      </c>
      <c r="F2979" t="s">
        <v>41</v>
      </c>
      <c r="G2979">
        <v>-220.44900000000001</v>
      </c>
      <c r="H2979">
        <v>1.0494129999999999</v>
      </c>
      <c r="I2979">
        <v>139.77010000000001</v>
      </c>
      <c r="J2979">
        <v>-220.04089999999999</v>
      </c>
      <c r="K2979">
        <v>1.106474</v>
      </c>
      <c r="L2979">
        <v>139.75479999999999</v>
      </c>
      <c r="M2979">
        <v>-0.99933919999999998</v>
      </c>
      <c r="N2979">
        <v>-7.776275E-3</v>
      </c>
      <c r="O2979">
        <v>-3.5509300000000001E-2</v>
      </c>
      <c r="P2979">
        <v>-0.99598399999999998</v>
      </c>
      <c r="Q2979">
        <v>6.7519659999999999E-3</v>
      </c>
      <c r="R2979">
        <v>-8.9278330000000003E-2</v>
      </c>
      <c r="S2979">
        <v>-3.0162960000000001</v>
      </c>
      <c r="T2979">
        <v>-0.2346994</v>
      </c>
      <c r="U2979">
        <v>2.2460939999999999E-2</v>
      </c>
      <c r="V2979">
        <v>-5.3776669999999999E-2</v>
      </c>
      <c r="W2979">
        <v>1.480127E-2</v>
      </c>
      <c r="X2979">
        <v>0.99844330000000003</v>
      </c>
      <c r="Y2979">
        <v>4.2722019999999999E-2</v>
      </c>
      <c r="Z2979">
        <v>4.30862E-3</v>
      </c>
      <c r="AA2979">
        <v>0.99907769999999996</v>
      </c>
      <c r="AB2979">
        <v>30</v>
      </c>
      <c r="AC2979">
        <v>-0.408100000000018</v>
      </c>
      <c r="AD2979">
        <v>-5.7061000000000001E-2</v>
      </c>
      <c r="AE2979">
        <v>1.53000000000247E-2</v>
      </c>
      <c r="AF2979">
        <v>2.9211843931149901E-2</v>
      </c>
      <c r="AG2979">
        <v>-5.7061000000000001E-2</v>
      </c>
      <c r="AH2979">
        <v>0.39950006345790801</v>
      </c>
      <c r="AI2979">
        <v>98.107279602613701</v>
      </c>
      <c r="AJ2979">
        <v>85.817918157474196</v>
      </c>
      <c r="AK2979">
        <v>0.40461041787098201</v>
      </c>
      <c r="AL2979">
        <v>89.151918742917701</v>
      </c>
      <c r="AM2979">
        <v>93.083001259323893</v>
      </c>
      <c r="AN2979">
        <v>1.00000001557239</v>
      </c>
    </row>
    <row r="2980" spans="1:40" x14ac:dyDescent="0.25">
      <c r="A2980" t="str">
        <f>"20190305135646377"</f>
        <v>20190305135646377</v>
      </c>
      <c r="B2980" t="str">
        <f>"1551765406365462"</f>
        <v>1551765406365462</v>
      </c>
      <c r="C2980" t="s">
        <v>40</v>
      </c>
      <c r="D2980">
        <v>4.1266230000000004</v>
      </c>
      <c r="E2980">
        <v>0.5364968</v>
      </c>
      <c r="F2980" t="s">
        <v>41</v>
      </c>
      <c r="G2980">
        <v>-220.9795</v>
      </c>
      <c r="H2980">
        <v>1.030027</v>
      </c>
      <c r="I2980">
        <v>139.76320000000001</v>
      </c>
      <c r="J2980">
        <v>-220.6277</v>
      </c>
      <c r="K2980">
        <v>1.1063810000000001</v>
      </c>
      <c r="L2980">
        <v>139.74</v>
      </c>
      <c r="M2980">
        <v>-0.99951299999999998</v>
      </c>
      <c r="N2980">
        <v>-7.7073159999999996E-3</v>
      </c>
      <c r="O2980">
        <v>-3.0241049999999998E-2</v>
      </c>
      <c r="P2980">
        <v>-0.99589430000000001</v>
      </c>
      <c r="Q2980">
        <v>-2.086256E-4</v>
      </c>
      <c r="R2980">
        <v>-9.0525919999999996E-2</v>
      </c>
      <c r="S2980">
        <v>-3.0161289999999998</v>
      </c>
      <c r="T2980">
        <v>-0.24558820000000001</v>
      </c>
      <c r="U2980">
        <v>2.6382450000000002E-2</v>
      </c>
      <c r="V2980">
        <v>-6.03251E-2</v>
      </c>
      <c r="W2980">
        <v>7.8108159999999999E-3</v>
      </c>
      <c r="X2980">
        <v>0.99814820000000004</v>
      </c>
      <c r="Y2980">
        <v>3.8761110000000001E-2</v>
      </c>
      <c r="Z2980">
        <v>3.9503849999999998E-3</v>
      </c>
      <c r="AA2980">
        <v>0.99924069999999998</v>
      </c>
      <c r="AB2980">
        <v>30</v>
      </c>
      <c r="AC2980">
        <v>-0.351799999999997</v>
      </c>
      <c r="AD2980">
        <v>-7.6354000000000005E-2</v>
      </c>
      <c r="AE2980">
        <v>2.3200000000002701E-2</v>
      </c>
      <c r="AF2980">
        <v>3.23129760509622E-2</v>
      </c>
      <c r="AG2980">
        <v>-7.6354000000000005E-2</v>
      </c>
      <c r="AH2980">
        <v>0.33521535327720597</v>
      </c>
      <c r="AI2980">
        <v>102.77442373331399</v>
      </c>
      <c r="AJ2980">
        <v>84.494003514137901</v>
      </c>
      <c r="AK2980">
        <v>0.34531636916026998</v>
      </c>
      <c r="AL2980">
        <v>89.552468648093196</v>
      </c>
      <c r="AM2980">
        <v>93.458579136163706</v>
      </c>
      <c r="AN2980">
        <v>0.99999997784991701</v>
      </c>
    </row>
    <row r="2981" spans="1:40" x14ac:dyDescent="0.25">
      <c r="A2981" t="str">
        <f>"20190305135646398"</f>
        <v>20190305135646398</v>
      </c>
      <c r="B2981" t="str">
        <f>"1551765406394742"</f>
        <v>1551765406394742</v>
      </c>
      <c r="C2981" t="s">
        <v>40</v>
      </c>
      <c r="D2981">
        <v>4.1722489999999999</v>
      </c>
      <c r="E2981">
        <v>0.53707019999999905</v>
      </c>
      <c r="F2981" t="s">
        <v>41</v>
      </c>
      <c r="G2981">
        <v>-221.52269999999999</v>
      </c>
      <c r="H2981">
        <v>1.026356</v>
      </c>
      <c r="I2981">
        <v>139.74930000000001</v>
      </c>
      <c r="J2981">
        <v>-220.91990000000001</v>
      </c>
      <c r="K2981">
        <v>1.106325</v>
      </c>
      <c r="L2981">
        <v>139.7338</v>
      </c>
      <c r="M2981">
        <v>-0.99959070000000005</v>
      </c>
      <c r="N2981">
        <v>-7.6771130000000002E-3</v>
      </c>
      <c r="O2981">
        <v>-2.7563379999999998E-2</v>
      </c>
      <c r="P2981">
        <v>-0.99588810000000005</v>
      </c>
      <c r="Q2981">
        <v>-3.8370769999999999E-3</v>
      </c>
      <c r="R2981">
        <v>-9.0510820000000006E-2</v>
      </c>
      <c r="S2981">
        <v>-3.0151370000000002</v>
      </c>
      <c r="T2981">
        <v>-0.26957910000000002</v>
      </c>
      <c r="U2981">
        <v>3.125E-2</v>
      </c>
      <c r="V2981">
        <v>-6.3003980000000001E-2</v>
      </c>
      <c r="W2981">
        <v>4.171185E-3</v>
      </c>
      <c r="X2981">
        <v>0.99800460000000002</v>
      </c>
      <c r="Y2981">
        <v>3.7667539999999999E-2</v>
      </c>
      <c r="Z2981">
        <v>4.0734630000000003E-3</v>
      </c>
      <c r="AA2981">
        <v>0.999282</v>
      </c>
      <c r="AB2981">
        <v>30</v>
      </c>
      <c r="AC2981">
        <v>-0.60279999999997302</v>
      </c>
      <c r="AD2981">
        <v>-7.9968999999999901E-2</v>
      </c>
      <c r="AE2981">
        <v>1.55000000000029E-2</v>
      </c>
      <c r="AF2981">
        <v>3.15548258692862E-2</v>
      </c>
      <c r="AG2981">
        <v>-7.9968999999999901E-2</v>
      </c>
      <c r="AH2981">
        <v>0.59173641217907402</v>
      </c>
      <c r="AI2981">
        <v>97.685701896239493</v>
      </c>
      <c r="AJ2981">
        <v>86.947547087875904</v>
      </c>
      <c r="AK2981">
        <v>0.59794876828638399</v>
      </c>
      <c r="AL2981">
        <v>89.761008020686901</v>
      </c>
      <c r="AM2981">
        <v>93.6122859666023</v>
      </c>
      <c r="AN2981">
        <v>1.00000004095065</v>
      </c>
    </row>
    <row r="2982" spans="1:40" x14ac:dyDescent="0.25">
      <c r="A2982" t="str">
        <f>"20190305135646421"</f>
        <v>20190305135646421</v>
      </c>
      <c r="B2982" t="str">
        <f>"1551765406415238"</f>
        <v>1551765406415238</v>
      </c>
      <c r="C2982" t="s">
        <v>40</v>
      </c>
      <c r="D2982">
        <v>4.1830299999999996</v>
      </c>
      <c r="E2982">
        <v>0.53743019999999997</v>
      </c>
      <c r="F2982" t="s">
        <v>41</v>
      </c>
      <c r="G2982">
        <v>-221.79560000000001</v>
      </c>
      <c r="H2982">
        <v>1.024945</v>
      </c>
      <c r="I2982">
        <v>139.74459999999999</v>
      </c>
      <c r="J2982">
        <v>-221.22810000000001</v>
      </c>
      <c r="K2982">
        <v>1.106271</v>
      </c>
      <c r="L2982">
        <v>139.72810000000001</v>
      </c>
      <c r="M2982">
        <v>-0.99966600000000005</v>
      </c>
      <c r="N2982">
        <v>-7.6485859999999998E-3</v>
      </c>
      <c r="O2982">
        <v>-2.4686030000000001E-2</v>
      </c>
      <c r="P2982">
        <v>-0.99593980000000004</v>
      </c>
      <c r="Q2982">
        <v>-5.4304409999999899E-3</v>
      </c>
      <c r="R2982">
        <v>-8.9858980000000005E-2</v>
      </c>
      <c r="S2982">
        <v>-3.0146480000000002</v>
      </c>
      <c r="T2982">
        <v>-0.28016340000000001</v>
      </c>
      <c r="U2982">
        <v>3.7033080000000003E-2</v>
      </c>
      <c r="V2982">
        <v>-6.5231799999999895E-2</v>
      </c>
      <c r="W2982">
        <v>2.5680680000000002E-3</v>
      </c>
      <c r="X2982">
        <v>0.99786680000000005</v>
      </c>
      <c r="Y2982">
        <v>3.6703810000000003E-2</v>
      </c>
      <c r="Z2982">
        <v>3.9431090000000002E-3</v>
      </c>
      <c r="AA2982">
        <v>0.99931840000000005</v>
      </c>
      <c r="AB2982">
        <v>30</v>
      </c>
      <c r="AC2982">
        <v>-0.56749999999999501</v>
      </c>
      <c r="AD2982">
        <v>-8.1325999999999996E-2</v>
      </c>
      <c r="AE2982">
        <v>1.6499999999979299E-2</v>
      </c>
      <c r="AF2982">
        <v>2.9891356828241199E-2</v>
      </c>
      <c r="AG2982">
        <v>-8.1325999999999996E-2</v>
      </c>
      <c r="AH2982">
        <v>0.55552087890107205</v>
      </c>
      <c r="AI2982">
        <v>98.316843571894196</v>
      </c>
      <c r="AJ2982">
        <v>86.920010291010797</v>
      </c>
      <c r="AK2982">
        <v>0.56223736836326699</v>
      </c>
      <c r="AL2982">
        <v>89.852860375455705</v>
      </c>
      <c r="AM2982">
        <v>93.740175026415798</v>
      </c>
      <c r="AN2982">
        <v>0.99999996662336499</v>
      </c>
    </row>
    <row r="2983" spans="1:40" x14ac:dyDescent="0.25">
      <c r="A2983" t="str">
        <f>"20190305135646444"</f>
        <v>20190305135646444</v>
      </c>
      <c r="B2983" t="str">
        <f>"1551765406434758"</f>
        <v>1551765406434758</v>
      </c>
      <c r="C2983" t="s">
        <v>40</v>
      </c>
      <c r="D2983">
        <v>4.2032550000000004</v>
      </c>
      <c r="E2983">
        <v>0.53693959999999996</v>
      </c>
      <c r="F2983" t="s">
        <v>41</v>
      </c>
      <c r="G2983">
        <v>-222.07089999999999</v>
      </c>
      <c r="H2983">
        <v>1.026918</v>
      </c>
      <c r="I2983">
        <v>139.74029999999999</v>
      </c>
      <c r="J2983">
        <v>-221.5487</v>
      </c>
      <c r="K2983">
        <v>1.1062050000000001</v>
      </c>
      <c r="L2983">
        <v>139.72329999999999</v>
      </c>
      <c r="M2983">
        <v>-0.9997374</v>
      </c>
      <c r="N2983">
        <v>-7.6228310000000001E-3</v>
      </c>
      <c r="O2983">
        <v>-2.1616239999999998E-2</v>
      </c>
      <c r="P2983">
        <v>-0.99609479999999995</v>
      </c>
      <c r="Q2983">
        <v>-4.1122340000000002E-3</v>
      </c>
      <c r="R2983">
        <v>-8.8196150000000001E-2</v>
      </c>
      <c r="S2983">
        <v>-3.0145569999999999</v>
      </c>
      <c r="T2983">
        <v>-0.28377770000000002</v>
      </c>
      <c r="U2983">
        <v>4.3060300000000003E-2</v>
      </c>
      <c r="V2983">
        <v>-6.662179E-2</v>
      </c>
      <c r="W2983">
        <v>3.8774550000000001E-3</v>
      </c>
      <c r="X2983">
        <v>0.99777079999999996</v>
      </c>
      <c r="Y2983">
        <v>3.5642930000000003E-2</v>
      </c>
      <c r="Z2983">
        <v>3.6758260000000001E-3</v>
      </c>
      <c r="AA2983">
        <v>0.99935779999999996</v>
      </c>
      <c r="AB2983">
        <v>30</v>
      </c>
      <c r="AC2983">
        <v>-0.522199999999998</v>
      </c>
      <c r="AD2983">
        <v>-7.9286999999999802E-2</v>
      </c>
      <c r="AE2983">
        <v>1.69999999999959E-2</v>
      </c>
      <c r="AF2983">
        <v>2.7647663818969499E-2</v>
      </c>
      <c r="AG2983">
        <v>-7.9286999999999802E-2</v>
      </c>
      <c r="AH2983">
        <v>0.50996660062162602</v>
      </c>
      <c r="AI2983">
        <v>98.824547022188298</v>
      </c>
      <c r="AJ2983">
        <v>86.896767015384896</v>
      </c>
      <c r="AK2983">
        <v>0.51683339233569603</v>
      </c>
      <c r="AL2983">
        <v>89.777837643987098</v>
      </c>
      <c r="AM2983">
        <v>93.820005387567505</v>
      </c>
      <c r="AN2983">
        <v>1.0000000334463599</v>
      </c>
    </row>
    <row r="2984" spans="1:40" x14ac:dyDescent="0.25">
      <c r="A2984" t="str">
        <f>"20190305135646466"</f>
        <v>20190305135646466</v>
      </c>
      <c r="B2984" t="str">
        <f>"1551765406455257"</f>
        <v>1551765406455257</v>
      </c>
      <c r="C2984" t="s">
        <v>40</v>
      </c>
      <c r="D2984">
        <v>4.2176049999999998</v>
      </c>
      <c r="E2984">
        <v>0.53614410000000001</v>
      </c>
      <c r="F2984" t="s">
        <v>41</v>
      </c>
      <c r="G2984">
        <v>-222.34899999999999</v>
      </c>
      <c r="H2984">
        <v>1.0331239999999999</v>
      </c>
      <c r="I2984">
        <v>139.7353</v>
      </c>
      <c r="J2984">
        <v>-221.85589999999999</v>
      </c>
      <c r="K2984">
        <v>1.1061350000000001</v>
      </c>
      <c r="L2984">
        <v>139.71960000000001</v>
      </c>
      <c r="M2984">
        <v>-0.99979810000000002</v>
      </c>
      <c r="N2984">
        <v>-7.5975269999999998E-3</v>
      </c>
      <c r="O2984">
        <v>-1.8601059999999999E-2</v>
      </c>
      <c r="P2984">
        <v>-0.99630300000000005</v>
      </c>
      <c r="Q2984">
        <v>-1.0964049999999999E-3</v>
      </c>
      <c r="R2984">
        <v>-8.5901359999999996E-2</v>
      </c>
      <c r="S2984">
        <v>-3.0145870000000001</v>
      </c>
      <c r="T2984">
        <v>-0.27520020000000001</v>
      </c>
      <c r="U2984">
        <v>4.4708249999999998E-2</v>
      </c>
      <c r="V2984">
        <v>-6.7314369999999998E-2</v>
      </c>
      <c r="W2984">
        <v>6.8833920000000003E-3</v>
      </c>
      <c r="X2984">
        <v>0.99770809999999999</v>
      </c>
      <c r="Y2984">
        <v>3.321139E-2</v>
      </c>
      <c r="Z2984">
        <v>3.1925550000000001E-3</v>
      </c>
      <c r="AA2984">
        <v>0.99944319999999998</v>
      </c>
      <c r="AB2984">
        <v>31</v>
      </c>
      <c r="AC2984">
        <v>-0.49310000000002602</v>
      </c>
      <c r="AD2984">
        <v>-7.3011000000000104E-2</v>
      </c>
      <c r="AE2984">
        <v>1.5699999999981101E-2</v>
      </c>
      <c r="AF2984">
        <v>2.43367292021467E-2</v>
      </c>
      <c r="AG2984">
        <v>-7.3011000000000104E-2</v>
      </c>
      <c r="AH2984">
        <v>0.48216272729737503</v>
      </c>
      <c r="AI2984">
        <v>98.599758131862302</v>
      </c>
      <c r="AJ2984">
        <v>87.110499288665906</v>
      </c>
      <c r="AK2984">
        <v>0.48826609354336797</v>
      </c>
      <c r="AL2984">
        <v>89.605607586663794</v>
      </c>
      <c r="AM2984">
        <v>93.859839418624105</v>
      </c>
      <c r="AN2984">
        <v>1.0000000291497599</v>
      </c>
    </row>
    <row r="2985" spans="1:40" x14ac:dyDescent="0.25">
      <c r="A2985" t="str">
        <f>"20190305135646487"</f>
        <v>20190305135646487</v>
      </c>
      <c r="B2985" t="str">
        <f>"1551765406474774"</f>
        <v>1551765406474774</v>
      </c>
      <c r="C2985" t="s">
        <v>40</v>
      </c>
      <c r="D2985">
        <v>4.2097829999999998</v>
      </c>
      <c r="E2985">
        <v>0.53557259999999995</v>
      </c>
      <c r="F2985" t="s">
        <v>41</v>
      </c>
      <c r="G2985">
        <v>-222.62790000000001</v>
      </c>
      <c r="H2985">
        <v>1.0395939999999999</v>
      </c>
      <c r="I2985">
        <v>139.7312</v>
      </c>
      <c r="J2985">
        <v>-222.14760000000001</v>
      </c>
      <c r="K2985">
        <v>1.1060760000000001</v>
      </c>
      <c r="L2985">
        <v>139.71700000000001</v>
      </c>
      <c r="M2985">
        <v>-0.99984839999999997</v>
      </c>
      <c r="N2985">
        <v>-7.5732179999999996E-3</v>
      </c>
      <c r="O2985">
        <v>-1.5684489999999999E-2</v>
      </c>
      <c r="P2985">
        <v>-0.99647609999999998</v>
      </c>
      <c r="Q2985">
        <v>1.7737579999999901E-3</v>
      </c>
      <c r="R2985">
        <v>-8.3859340000000004E-2</v>
      </c>
      <c r="S2985">
        <v>-3.0147249999999999</v>
      </c>
      <c r="T2985">
        <v>-0.2598047</v>
      </c>
      <c r="U2985">
        <v>4.4891359999999998E-2</v>
      </c>
      <c r="V2985">
        <v>-6.8161440000000004E-2</v>
      </c>
      <c r="W2985">
        <v>9.7438390000000007E-3</v>
      </c>
      <c r="X2985">
        <v>0.99762669999999998</v>
      </c>
      <c r="Y2985">
        <v>3.0399470000000001E-2</v>
      </c>
      <c r="Z2985">
        <v>2.6532600000000002E-3</v>
      </c>
      <c r="AA2985">
        <v>0.99953429999999999</v>
      </c>
      <c r="AB2985">
        <v>31</v>
      </c>
      <c r="AC2985">
        <v>-0.48029999999999901</v>
      </c>
      <c r="AD2985">
        <v>-6.6481999999999902E-2</v>
      </c>
      <c r="AE2985">
        <v>1.4199999999988199E-2</v>
      </c>
      <c r="AF2985">
        <v>2.13235386528931E-2</v>
      </c>
      <c r="AG2985">
        <v>-6.6481999999999902E-2</v>
      </c>
      <c r="AH2985">
        <v>0.47100193335975998</v>
      </c>
      <c r="AI2985">
        <v>98.026119140951906</v>
      </c>
      <c r="AJ2985">
        <v>87.407834233683801</v>
      </c>
      <c r="AK2985">
        <v>0.47614847563896801</v>
      </c>
      <c r="AL2985">
        <v>89.441710302536094</v>
      </c>
      <c r="AM2985">
        <v>93.908579140396299</v>
      </c>
      <c r="AN2985">
        <v>0.99999997842710997</v>
      </c>
    </row>
    <row r="2986" spans="1:40" x14ac:dyDescent="0.25">
      <c r="A2986" t="str">
        <f>"20190305135646510"</f>
        <v>20190305135646510</v>
      </c>
      <c r="B2986" t="str">
        <f>"1551765406505030"</f>
        <v>1551765406505030</v>
      </c>
      <c r="C2986" t="s">
        <v>40</v>
      </c>
      <c r="D2986">
        <v>4.2392830000000004</v>
      </c>
      <c r="E2986">
        <v>0.5347674</v>
      </c>
      <c r="F2986" t="s">
        <v>41</v>
      </c>
      <c r="G2986">
        <v>-222.9083</v>
      </c>
      <c r="H2986">
        <v>1.044365</v>
      </c>
      <c r="I2986">
        <v>139.7286</v>
      </c>
      <c r="J2986">
        <v>-222.46449999999999</v>
      </c>
      <c r="K2986">
        <v>1.1060129999999999</v>
      </c>
      <c r="L2986">
        <v>139.71520000000001</v>
      </c>
      <c r="M2986">
        <v>-0.9998937</v>
      </c>
      <c r="N2986">
        <v>-7.5491480000000003E-3</v>
      </c>
      <c r="O2986">
        <v>-1.2474570000000001E-2</v>
      </c>
      <c r="P2986">
        <v>-0.99670740000000002</v>
      </c>
      <c r="Q2986">
        <v>3.556352E-3</v>
      </c>
      <c r="R2986">
        <v>-8.1007410000000002E-2</v>
      </c>
      <c r="S2986">
        <v>-3.0148769999999998</v>
      </c>
      <c r="T2986">
        <v>-0.2445562</v>
      </c>
      <c r="U2986">
        <v>4.560852E-2</v>
      </c>
      <c r="V2986">
        <v>-6.8496950000000001E-2</v>
      </c>
      <c r="W2986">
        <v>1.151376E-2</v>
      </c>
      <c r="X2986">
        <v>0.9975849</v>
      </c>
      <c r="Y2986">
        <v>2.74661E-2</v>
      </c>
      <c r="Z2986">
        <v>2.132105E-3</v>
      </c>
      <c r="AA2986">
        <v>0.99962039999999996</v>
      </c>
      <c r="AB2986">
        <v>31</v>
      </c>
      <c r="AC2986">
        <v>-0.44380000000001002</v>
      </c>
      <c r="AD2986">
        <v>-6.1647999999999897E-2</v>
      </c>
      <c r="AE2986">
        <v>1.339999999999E-2</v>
      </c>
      <c r="AF2986">
        <v>1.8577193360556001E-2</v>
      </c>
      <c r="AG2986">
        <v>-6.1647999999999897E-2</v>
      </c>
      <c r="AH2986">
        <v>0.435208247776524</v>
      </c>
      <c r="AI2986">
        <v>98.055168225401005</v>
      </c>
      <c r="AJ2986">
        <v>87.555770099936396</v>
      </c>
      <c r="AK2986">
        <v>0.43994523176171402</v>
      </c>
      <c r="AL2986">
        <v>89.340295579725606</v>
      </c>
      <c r="AM2986">
        <v>93.927922269724604</v>
      </c>
      <c r="AN2986">
        <v>1.00000001576832</v>
      </c>
    </row>
    <row r="2987" spans="1:40" x14ac:dyDescent="0.25">
      <c r="A2987" t="str">
        <f>"20190305135646535"</f>
        <v>20190305135646535</v>
      </c>
      <c r="B2987" t="str">
        <f>"1551765406525526"</f>
        <v>1551765406525526</v>
      </c>
      <c r="C2987" t="s">
        <v>40</v>
      </c>
      <c r="D2987">
        <v>4.2668229999999996</v>
      </c>
      <c r="E2987">
        <v>0.53429230000000005</v>
      </c>
      <c r="F2987" t="s">
        <v>41</v>
      </c>
      <c r="G2987">
        <v>-223.45519999999999</v>
      </c>
      <c r="H2987">
        <v>1.029873</v>
      </c>
      <c r="I2987">
        <v>139.73089999999999</v>
      </c>
      <c r="J2987">
        <v>-222.8075</v>
      </c>
      <c r="K2987">
        <v>1.1059570000000001</v>
      </c>
      <c r="L2987">
        <v>139.71449999999999</v>
      </c>
      <c r="M2987">
        <v>-0.99993160000000003</v>
      </c>
      <c r="N2987">
        <v>-7.52629199999999E-3</v>
      </c>
      <c r="O2987">
        <v>-8.9627230000000006E-3</v>
      </c>
      <c r="P2987">
        <v>-0.99702760000000001</v>
      </c>
      <c r="Q2987">
        <v>4.5997720000000002E-3</v>
      </c>
      <c r="R2987">
        <v>-7.6910590000000001E-2</v>
      </c>
      <c r="S2987">
        <v>-3.0145719999999998</v>
      </c>
      <c r="T2987">
        <v>-0.23165259999999999</v>
      </c>
      <c r="U2987">
        <v>4.7119139999999997E-2</v>
      </c>
      <c r="V2987">
        <v>-6.7893410000000001E-2</v>
      </c>
      <c r="W2987">
        <v>1.253745E-2</v>
      </c>
      <c r="X2987">
        <v>0.9976138</v>
      </c>
      <c r="Y2987">
        <v>2.4489029999999998E-2</v>
      </c>
      <c r="Z2987">
        <v>1.6521109999999999E-3</v>
      </c>
      <c r="AA2987">
        <v>0.9996988</v>
      </c>
      <c r="AB2987">
        <v>31</v>
      </c>
      <c r="AC2987">
        <v>-0.64769999999998595</v>
      </c>
      <c r="AD2987">
        <v>-7.6083999999999999E-2</v>
      </c>
      <c r="AE2987">
        <v>1.6400000000004401E-2</v>
      </c>
      <c r="AF2987">
        <v>2.19026262085429E-2</v>
      </c>
      <c r="AG2987">
        <v>-7.6083999999999999E-2</v>
      </c>
      <c r="AH2987">
        <v>0.63871912910857498</v>
      </c>
      <c r="AI2987">
        <v>96.789090802435595</v>
      </c>
      <c r="AJ2987">
        <v>88.036012326544096</v>
      </c>
      <c r="AK2987">
        <v>0.64360750926325205</v>
      </c>
      <c r="AL2987">
        <v>89.281638207528204</v>
      </c>
      <c r="AM2987">
        <v>93.893307052714306</v>
      </c>
      <c r="AN2987">
        <v>0.99999999836218501</v>
      </c>
    </row>
    <row r="2988" spans="1:40" x14ac:dyDescent="0.25">
      <c r="A2988" t="str">
        <f>"20190305135646558"</f>
        <v>20190305135646558</v>
      </c>
      <c r="B2988" t="str">
        <f>"1551765406554806"</f>
        <v>1551765406554806</v>
      </c>
      <c r="C2988" t="s">
        <v>40</v>
      </c>
      <c r="D2988">
        <v>4.2086990000000002</v>
      </c>
      <c r="E2988">
        <v>0.53348329999999999</v>
      </c>
      <c r="F2988" t="s">
        <v>41</v>
      </c>
      <c r="G2988">
        <v>-223.7372</v>
      </c>
      <c r="H2988">
        <v>1.036619</v>
      </c>
      <c r="I2988">
        <v>139.73179999999999</v>
      </c>
      <c r="J2988">
        <v>-223.13</v>
      </c>
      <c r="K2988">
        <v>1.105918</v>
      </c>
      <c r="L2988">
        <v>139.715</v>
      </c>
      <c r="M2988">
        <v>-0.99995599999999996</v>
      </c>
      <c r="N2988">
        <v>-7.5048939999999998E-3</v>
      </c>
      <c r="O2988">
        <v>-5.6496250000000001E-3</v>
      </c>
      <c r="P2988">
        <v>-0.99734040000000002</v>
      </c>
      <c r="Q2988">
        <v>4.289195E-3</v>
      </c>
      <c r="R2988">
        <v>-7.2757959999999997E-2</v>
      </c>
      <c r="S2988">
        <v>-3.0142519999999999</v>
      </c>
      <c r="T2988">
        <v>-0.22477710000000001</v>
      </c>
      <c r="U2988">
        <v>5.5404660000000001E-2</v>
      </c>
      <c r="V2988">
        <v>-6.7045489999999999E-2</v>
      </c>
      <c r="W2988">
        <v>1.2204649999999999E-2</v>
      </c>
      <c r="X2988">
        <v>0.99767530000000004</v>
      </c>
      <c r="Y2988">
        <v>2.3940489999999998E-2</v>
      </c>
      <c r="Z2988">
        <v>1.3596490000000001E-3</v>
      </c>
      <c r="AA2988">
        <v>0.9997125</v>
      </c>
      <c r="AB2988">
        <v>31</v>
      </c>
      <c r="AC2988">
        <v>-0.60720000000000596</v>
      </c>
      <c r="AD2988">
        <v>-6.9298999999999999E-2</v>
      </c>
      <c r="AE2988">
        <v>1.6799999999989199E-2</v>
      </c>
      <c r="AF2988">
        <v>1.9970357834225901E-2</v>
      </c>
      <c r="AG2988">
        <v>-6.9298999999999999E-2</v>
      </c>
      <c r="AH2988">
        <v>0.59929531439276595</v>
      </c>
      <c r="AI2988">
        <v>96.592426331683498</v>
      </c>
      <c r="AJ2988">
        <v>88.091435139572496</v>
      </c>
      <c r="AK2988">
        <v>0.60361911868839202</v>
      </c>
      <c r="AL2988">
        <v>89.300707722881597</v>
      </c>
      <c r="AM2988">
        <v>93.844594045799397</v>
      </c>
      <c r="AN2988">
        <v>1.0000000277205201</v>
      </c>
    </row>
    <row r="2989" spans="1:40" x14ac:dyDescent="0.25">
      <c r="A2989" t="str">
        <f>"20190305135646579"</f>
        <v>20190305135646579</v>
      </c>
      <c r="B2989" t="str">
        <f>"1551765406575303"</f>
        <v>1551765406575303</v>
      </c>
      <c r="C2989" t="s">
        <v>40</v>
      </c>
      <c r="D2989">
        <v>4.2102729999999999</v>
      </c>
      <c r="E2989">
        <v>0.53293480000000004</v>
      </c>
      <c r="F2989" t="s">
        <v>41</v>
      </c>
      <c r="G2989">
        <v>-224.01900000000001</v>
      </c>
      <c r="H2989">
        <v>1.040691</v>
      </c>
      <c r="I2989">
        <v>139.73310000000001</v>
      </c>
      <c r="J2989">
        <v>-223.4187</v>
      </c>
      <c r="K2989">
        <v>1.1058950000000001</v>
      </c>
      <c r="L2989">
        <v>139.71619999999999</v>
      </c>
      <c r="M2989">
        <v>-0.99996830000000003</v>
      </c>
      <c r="N2989">
        <v>-7.4832669999999896E-3</v>
      </c>
      <c r="O2989">
        <v>-2.7034759999999998E-3</v>
      </c>
      <c r="P2989">
        <v>-0.9976429</v>
      </c>
      <c r="Q2989">
        <v>3.6806870000000002E-3</v>
      </c>
      <c r="R2989">
        <v>-6.8521310000000002E-2</v>
      </c>
      <c r="S2989">
        <v>-3.0133969999999999</v>
      </c>
      <c r="T2989">
        <v>-0.2210937</v>
      </c>
      <c r="U2989">
        <v>6.1050420000000001E-2</v>
      </c>
      <c r="V2989">
        <v>-6.5750989999999995E-2</v>
      </c>
      <c r="W2989">
        <v>1.156811E-2</v>
      </c>
      <c r="X2989">
        <v>0.99776900000000002</v>
      </c>
      <c r="Y2989">
        <v>2.28848E-2</v>
      </c>
      <c r="Z2989">
        <v>1.101947E-3</v>
      </c>
      <c r="AA2989">
        <v>0.99973749999999995</v>
      </c>
      <c r="AB2989">
        <v>31</v>
      </c>
      <c r="AC2989">
        <v>-0.60030000000000405</v>
      </c>
      <c r="AD2989">
        <v>-6.5203999999999998E-2</v>
      </c>
      <c r="AE2989">
        <v>1.6900000000020999E-2</v>
      </c>
      <c r="AF2989">
        <v>1.8307063026287498E-2</v>
      </c>
      <c r="AG2989">
        <v>-6.5203999999999998E-2</v>
      </c>
      <c r="AH2989">
        <v>0.59325834245633802</v>
      </c>
      <c r="AI2989">
        <v>96.269145313583607</v>
      </c>
      <c r="AJ2989">
        <v>88.232499033074902</v>
      </c>
      <c r="AK2989">
        <v>0.59711152314009996</v>
      </c>
      <c r="AL2989">
        <v>89.337181333390305</v>
      </c>
      <c r="AM2989">
        <v>93.770226605641497</v>
      </c>
      <c r="AN2989">
        <v>0.99999999560797603</v>
      </c>
    </row>
    <row r="2990" spans="1:40" x14ac:dyDescent="0.25">
      <c r="A2990" t="str">
        <f>"20190305135646600"</f>
        <v>20190305135646600</v>
      </c>
      <c r="B2990" t="str">
        <f>"1551765406595799"</f>
        <v>1551765406595799</v>
      </c>
      <c r="C2990" t="s">
        <v>40</v>
      </c>
      <c r="D2990">
        <v>4.1832089999999997</v>
      </c>
      <c r="E2990">
        <v>0.53235980000000005</v>
      </c>
      <c r="F2990" t="s">
        <v>41</v>
      </c>
      <c r="G2990">
        <v>-224.29949999999999</v>
      </c>
      <c r="H2990">
        <v>1.041088</v>
      </c>
      <c r="I2990">
        <v>139.73660000000001</v>
      </c>
      <c r="J2990">
        <v>-223.72239999999999</v>
      </c>
      <c r="K2990">
        <v>1.105901</v>
      </c>
      <c r="L2990">
        <v>139.7184</v>
      </c>
      <c r="M2990">
        <v>-0.99997219999999998</v>
      </c>
      <c r="N2990">
        <v>-7.4610850000000001E-3</v>
      </c>
      <c r="O2990">
        <v>3.461216E-4</v>
      </c>
      <c r="P2990">
        <v>-0.99789559999999999</v>
      </c>
      <c r="Q2990">
        <v>3.330015E-3</v>
      </c>
      <c r="R2990">
        <v>-6.4757380000000003E-2</v>
      </c>
      <c r="S2990">
        <v>-3.0126650000000001</v>
      </c>
      <c r="T2990">
        <v>-0.2216399</v>
      </c>
      <c r="U2990">
        <v>6.9290160000000003E-2</v>
      </c>
      <c r="V2990">
        <v>-6.5032850000000003E-2</v>
      </c>
      <c r="W2990">
        <v>1.118953E-2</v>
      </c>
      <c r="X2990">
        <v>0.99782040000000005</v>
      </c>
      <c r="Y2990">
        <v>2.258106E-2</v>
      </c>
      <c r="Z2990">
        <v>8.9093720000000003E-4</v>
      </c>
      <c r="AA2990">
        <v>0.99974459999999998</v>
      </c>
      <c r="AB2990">
        <v>31</v>
      </c>
      <c r="AC2990">
        <v>-0.57710000000000095</v>
      </c>
      <c r="AD2990">
        <v>-6.4812999999999996E-2</v>
      </c>
      <c r="AE2990">
        <v>1.8200000000007301E-2</v>
      </c>
      <c r="AF2990">
        <v>1.7776255547320801E-2</v>
      </c>
      <c r="AG2990">
        <v>-6.4812999999999996E-2</v>
      </c>
      <c r="AH2990">
        <v>0.56992488362666904</v>
      </c>
      <c r="AI2990">
        <v>96.484791221158602</v>
      </c>
      <c r="AJ2990">
        <v>88.213493818701195</v>
      </c>
      <c r="AK2990">
        <v>0.57387376068884299</v>
      </c>
      <c r="AL2990">
        <v>89.358873785944098</v>
      </c>
      <c r="AM2990">
        <v>93.728973029211602</v>
      </c>
      <c r="AN2990">
        <v>1.0000000139084499</v>
      </c>
    </row>
    <row r="2991" spans="1:40" x14ac:dyDescent="0.25">
      <c r="A2991" t="str">
        <f>"20190305135646622"</f>
        <v>20190305135646622</v>
      </c>
      <c r="B2991" t="str">
        <f>"1551765406615318"</f>
        <v>1551765406615318</v>
      </c>
      <c r="C2991" t="s">
        <v>40</v>
      </c>
      <c r="D2991">
        <v>4.1870570000000003</v>
      </c>
      <c r="E2991">
        <v>0.53185839999999995</v>
      </c>
      <c r="F2991" t="s">
        <v>41</v>
      </c>
      <c r="G2991">
        <v>-224.58189999999999</v>
      </c>
      <c r="H2991">
        <v>1.042813</v>
      </c>
      <c r="I2991">
        <v>139.74019999999999</v>
      </c>
      <c r="J2991">
        <v>-224.0273</v>
      </c>
      <c r="K2991">
        <v>1.1059219999999901</v>
      </c>
      <c r="L2991">
        <v>139.72139999999999</v>
      </c>
      <c r="M2991">
        <v>-0.99996689999999999</v>
      </c>
      <c r="N2991">
        <v>-7.4406289999999998E-3</v>
      </c>
      <c r="O2991">
        <v>3.338115E-3</v>
      </c>
      <c r="P2991">
        <v>-0.99807639999999997</v>
      </c>
      <c r="Q2991">
        <v>3.8760679999999999E-3</v>
      </c>
      <c r="R2991">
        <v>-6.1876260000000002E-2</v>
      </c>
      <c r="S2991">
        <v>-3.0120089999999999</v>
      </c>
      <c r="T2991">
        <v>-0.22098090000000001</v>
      </c>
      <c r="U2991">
        <v>7.6126100000000002E-2</v>
      </c>
      <c r="V2991">
        <v>-6.5135230000000002E-2</v>
      </c>
      <c r="W2991">
        <v>1.1710679999999999E-2</v>
      </c>
      <c r="X2991">
        <v>0.99780769999999996</v>
      </c>
      <c r="Y2991">
        <v>2.1871359999999999E-2</v>
      </c>
      <c r="Z2991">
        <v>6.628812E-4</v>
      </c>
      <c r="AA2991">
        <v>0.9997606</v>
      </c>
      <c r="AB2991">
        <v>31</v>
      </c>
      <c r="AC2991">
        <v>-0.55459999999999299</v>
      </c>
      <c r="AD2991">
        <v>-6.3108999999999804E-2</v>
      </c>
      <c r="AE2991">
        <v>1.87999999999988E-2</v>
      </c>
      <c r="AF2991">
        <v>1.6732116865703701E-2</v>
      </c>
      <c r="AG2991">
        <v>-6.3108999999999804E-2</v>
      </c>
      <c r="AH2991">
        <v>0.54757744416757104</v>
      </c>
      <c r="AI2991">
        <v>96.571364917252694</v>
      </c>
      <c r="AJ2991">
        <v>88.249779130557698</v>
      </c>
      <c r="AK2991">
        <v>0.55145604265154002</v>
      </c>
      <c r="AL2991">
        <v>89.329012104969806</v>
      </c>
      <c r="AM2991">
        <v>93.734874281456996</v>
      </c>
      <c r="AN2991">
        <v>0.99999997219625203</v>
      </c>
    </row>
    <row r="2992" spans="1:40" x14ac:dyDescent="0.25">
      <c r="A2992" t="str">
        <f>"20190305135646645"</f>
        <v>20190305135646645</v>
      </c>
      <c r="B2992" t="str">
        <f>"1551765406635814"</f>
        <v>1551765406635814</v>
      </c>
      <c r="C2992" t="s">
        <v>40</v>
      </c>
      <c r="D2992">
        <v>4.1984139999999996</v>
      </c>
      <c r="E2992">
        <v>0.53129359999999903</v>
      </c>
      <c r="F2992" t="s">
        <v>41</v>
      </c>
      <c r="G2992">
        <v>-224.8657</v>
      </c>
      <c r="H2992">
        <v>1.045247</v>
      </c>
      <c r="I2992">
        <v>139.74420000000001</v>
      </c>
      <c r="J2992">
        <v>-224.35120000000001</v>
      </c>
      <c r="K2992">
        <v>1.105963</v>
      </c>
      <c r="L2992">
        <v>139.72550000000001</v>
      </c>
      <c r="M2992">
        <v>-0.99995199999999995</v>
      </c>
      <c r="N2992">
        <v>-7.417051E-3</v>
      </c>
      <c r="O2992">
        <v>6.434693E-3</v>
      </c>
      <c r="P2992">
        <v>-0.9982162</v>
      </c>
      <c r="Q2992">
        <v>3.8815529999999998E-3</v>
      </c>
      <c r="R2992">
        <v>-5.9578249999999999E-2</v>
      </c>
      <c r="S2992">
        <v>-3.0116580000000002</v>
      </c>
      <c r="T2992">
        <v>-0.217865</v>
      </c>
      <c r="U2992">
        <v>8.0841060000000006E-2</v>
      </c>
      <c r="V2992">
        <v>-6.5929329999999994E-2</v>
      </c>
      <c r="W2992">
        <v>1.169065E-2</v>
      </c>
      <c r="X2992">
        <v>0.99775579999999997</v>
      </c>
      <c r="Y2992">
        <v>2.0354859999999999E-2</v>
      </c>
      <c r="Z2992">
        <v>3.9363579999999998E-4</v>
      </c>
      <c r="AA2992">
        <v>0.99979280000000004</v>
      </c>
      <c r="AB2992">
        <v>31</v>
      </c>
      <c r="AC2992">
        <v>-0.51449999999999796</v>
      </c>
      <c r="AD2992">
        <v>-6.0715999999999902E-2</v>
      </c>
      <c r="AE2992">
        <v>1.8699999999995401E-2</v>
      </c>
      <c r="AF2992">
        <v>1.5177781531506E-2</v>
      </c>
      <c r="AG2992">
        <v>-6.0715999999999902E-2</v>
      </c>
      <c r="AH2992">
        <v>0.50755070483422104</v>
      </c>
      <c r="AI2992">
        <v>96.818599684479807</v>
      </c>
      <c r="AJ2992">
        <v>88.287139126195001</v>
      </c>
      <c r="AK2992">
        <v>0.51139467702150798</v>
      </c>
      <c r="AL2992">
        <v>89.330159831393701</v>
      </c>
      <c r="AM2992">
        <v>93.780473052042495</v>
      </c>
      <c r="AN2992">
        <v>0.999999992142655</v>
      </c>
    </row>
    <row r="2993" spans="1:40" x14ac:dyDescent="0.25">
      <c r="A2993" t="str">
        <f>"20190305135646668"</f>
        <v>20190305135646668</v>
      </c>
      <c r="B2993" t="str">
        <f>"1551765406665094"</f>
        <v>1551765406665094</v>
      </c>
      <c r="C2993" t="s">
        <v>40</v>
      </c>
      <c r="D2993">
        <v>4.1463479999999997</v>
      </c>
      <c r="E2993">
        <v>0.53057799999999999</v>
      </c>
      <c r="F2993" t="s">
        <v>41</v>
      </c>
      <c r="G2993">
        <v>-225.1507</v>
      </c>
      <c r="H2993">
        <v>1.048114</v>
      </c>
      <c r="I2993">
        <v>139.74780000000001</v>
      </c>
      <c r="J2993">
        <v>-224.67500000000001</v>
      </c>
      <c r="K2993">
        <v>1.1060030000000001</v>
      </c>
      <c r="L2993">
        <v>139.73050000000001</v>
      </c>
      <c r="M2993">
        <v>-0.99992809999999999</v>
      </c>
      <c r="N2993">
        <v>-7.3875969999999897E-3</v>
      </c>
      <c r="O2993">
        <v>9.4534279999999998E-3</v>
      </c>
      <c r="P2993">
        <v>-0.99825719999999996</v>
      </c>
      <c r="Q2993">
        <v>3.260743E-3</v>
      </c>
      <c r="R2993">
        <v>-5.8927309999999997E-2</v>
      </c>
      <c r="S2993">
        <v>-3.011215</v>
      </c>
      <c r="T2993">
        <v>-0.21781110000000001</v>
      </c>
      <c r="U2993">
        <v>8.3557129999999993E-2</v>
      </c>
      <c r="V2993">
        <v>-6.8296109999999993E-2</v>
      </c>
      <c r="W2993">
        <v>1.104697E-2</v>
      </c>
      <c r="X2993">
        <v>0.99760400000000005</v>
      </c>
      <c r="Y2993">
        <v>1.8254030000000001E-2</v>
      </c>
      <c r="Z2993">
        <v>1.137394E-4</v>
      </c>
      <c r="AA2993">
        <v>0.99983330000000004</v>
      </c>
      <c r="AB2993">
        <v>31</v>
      </c>
      <c r="AC2993">
        <v>-0.47569999999998902</v>
      </c>
      <c r="AD2993">
        <v>-5.7889000000000003E-2</v>
      </c>
      <c r="AE2993">
        <v>1.73000000000058E-2</v>
      </c>
      <c r="AF2993">
        <v>1.2615532152559899E-2</v>
      </c>
      <c r="AG2993">
        <v>-5.7889000000000003E-2</v>
      </c>
      <c r="AH2993">
        <v>0.46890741231526301</v>
      </c>
      <c r="AI2993">
        <v>97.035323792827995</v>
      </c>
      <c r="AJ2993">
        <v>88.458880353754594</v>
      </c>
      <c r="AK2993">
        <v>0.47263564116207801</v>
      </c>
      <c r="AL2993">
        <v>89.367042410986201</v>
      </c>
      <c r="AM2993">
        <v>93.916366346816304</v>
      </c>
      <c r="AN2993">
        <v>1.00000006750165</v>
      </c>
    </row>
    <row r="2994" spans="1:40" x14ac:dyDescent="0.25">
      <c r="A2994" t="str">
        <f>"20190305135646689"</f>
        <v>20190305135646689</v>
      </c>
      <c r="B2994" t="str">
        <f>"1551765406685590"</f>
        <v>1551765406685590</v>
      </c>
      <c r="C2994" t="s">
        <v>40</v>
      </c>
      <c r="D2994">
        <v>4.1792989999999897</v>
      </c>
      <c r="E2994">
        <v>0.51318450000000004</v>
      </c>
      <c r="F2994" t="s">
        <v>42</v>
      </c>
      <c r="G2994">
        <v>-239.94399999999999</v>
      </c>
      <c r="H2994" s="1">
        <v>-1.4465709999999999E-7</v>
      </c>
      <c r="I2994">
        <v>140.136</v>
      </c>
      <c r="J2994">
        <v>-224.97569999999999</v>
      </c>
      <c r="K2994">
        <v>1.1060350000000001</v>
      </c>
      <c r="L2994">
        <v>139.73599999999999</v>
      </c>
      <c r="M2994">
        <v>-0.99989859999999997</v>
      </c>
      <c r="N2994">
        <v>-7.3599069999999997E-3</v>
      </c>
      <c r="O2994">
        <v>1.219782E-2</v>
      </c>
      <c r="P2994">
        <v>-0.9982666</v>
      </c>
      <c r="Q2994">
        <v>3.7753539999999999E-3</v>
      </c>
      <c r="R2994">
        <v>-5.873565E-2</v>
      </c>
      <c r="S2994">
        <v>-3.0106959999999998</v>
      </c>
      <c r="T2994">
        <v>-0.21807850000000001</v>
      </c>
      <c r="U2994">
        <v>7.9971310000000004E-2</v>
      </c>
      <c r="V2994">
        <v>-7.0839959999999993E-2</v>
      </c>
      <c r="W2994">
        <v>1.154284E-2</v>
      </c>
      <c r="X2994">
        <v>0.99742090000000005</v>
      </c>
      <c r="Y2994">
        <v>1.4341609999999999E-2</v>
      </c>
      <c r="Z2994">
        <v>-2.2101480000000001E-4</v>
      </c>
      <c r="AA2994">
        <v>0.99989709999999998</v>
      </c>
      <c r="AB2994">
        <v>31</v>
      </c>
      <c r="AC2994">
        <v>-14.968299999999999</v>
      </c>
      <c r="AD2994">
        <v>-1.1060351446571</v>
      </c>
      <c r="AE2994">
        <v>0.40000000000000502</v>
      </c>
      <c r="AF2994">
        <v>0.21620504286226799</v>
      </c>
      <c r="AG2994">
        <v>-1.1060351446571</v>
      </c>
      <c r="AH2994">
        <v>14.8908197120784</v>
      </c>
      <c r="AI2994">
        <v>94.247472627962495</v>
      </c>
      <c r="AJ2994">
        <v>89.168160898501299</v>
      </c>
      <c r="AK2994">
        <v>14.933404503307299</v>
      </c>
      <c r="AL2994">
        <v>89.338629293636501</v>
      </c>
      <c r="AM2994">
        <v>94.062504280687705</v>
      </c>
      <c r="AN2994">
        <v>0.99999999442243803</v>
      </c>
    </row>
    <row r="2995" spans="1:40" x14ac:dyDescent="0.25">
      <c r="A2995" t="str">
        <f>"20190305135646712"</f>
        <v>20190305135646712</v>
      </c>
      <c r="B2995" t="str">
        <f>"1551765406705110"</f>
        <v>1551765406705110</v>
      </c>
      <c r="C2995" t="s">
        <v>40</v>
      </c>
      <c r="D2995">
        <v>4.158957</v>
      </c>
      <c r="E2995">
        <v>0.51454690000000003</v>
      </c>
      <c r="F2995" t="s">
        <v>42</v>
      </c>
      <c r="G2995">
        <v>-238.57769999999999</v>
      </c>
      <c r="H2995" s="1">
        <v>-6.1670589999999997E-7</v>
      </c>
      <c r="I2995">
        <v>139.47970000000001</v>
      </c>
      <c r="J2995">
        <v>-225.31299999999999</v>
      </c>
      <c r="K2995">
        <v>1.1060589999999999</v>
      </c>
      <c r="L2995">
        <v>139.7431</v>
      </c>
      <c r="M2995">
        <v>-0.99985729999999995</v>
      </c>
      <c r="N2995">
        <v>-7.3254569999999996E-3</v>
      </c>
      <c r="O2995">
        <v>1.522422E-2</v>
      </c>
      <c r="P2995">
        <v>-0.99829500000000004</v>
      </c>
      <c r="Q2995">
        <v>5.1958100000000004E-3</v>
      </c>
      <c r="R2995">
        <v>-5.8141209999999999E-2</v>
      </c>
      <c r="S2995">
        <v>-3.002777</v>
      </c>
      <c r="T2995">
        <v>-0.24416969999999999</v>
      </c>
      <c r="U2995">
        <v>-5.6564330000000003E-2</v>
      </c>
      <c r="V2995">
        <v>-7.3257450000000002E-2</v>
      </c>
      <c r="W2995">
        <v>1.293892E-2</v>
      </c>
      <c r="X2995">
        <v>0.99722909999999998</v>
      </c>
      <c r="Y2995">
        <v>-3.3890219999999999E-2</v>
      </c>
      <c r="Z2995">
        <v>-2.6243239999999999E-3</v>
      </c>
      <c r="AA2995">
        <v>0.99942209999999998</v>
      </c>
      <c r="AB2995">
        <v>32</v>
      </c>
      <c r="AC2995">
        <v>-13.264699999999999</v>
      </c>
      <c r="AD2995">
        <v>-1.10605961670589</v>
      </c>
      <c r="AE2995">
        <v>-0.26339999999998998</v>
      </c>
      <c r="AF2995">
        <v>-0.462107899546088</v>
      </c>
      <c r="AG2995">
        <v>-1.10605961670589</v>
      </c>
      <c r="AH2995">
        <v>13.1676360609813</v>
      </c>
      <c r="AI2995">
        <v>94.798538869032996</v>
      </c>
      <c r="AJ2995">
        <v>92.009925742716504</v>
      </c>
      <c r="AK2995">
        <v>13.222085728847301</v>
      </c>
      <c r="AL2995">
        <v>89.258633786055299</v>
      </c>
      <c r="AM2995">
        <v>94.201458531331397</v>
      </c>
      <c r="AN2995">
        <v>0.99999997375903904</v>
      </c>
    </row>
    <row r="2996" spans="1:40" x14ac:dyDescent="0.25">
      <c r="A2996" t="str">
        <f>"20190305135646735"</f>
        <v>20190305135646735</v>
      </c>
      <c r="B2996" t="str">
        <f>"1551765406725607"</f>
        <v>1551765406725607</v>
      </c>
      <c r="C2996" t="s">
        <v>40</v>
      </c>
      <c r="D2996">
        <v>4.1501340000000004</v>
      </c>
      <c r="E2996">
        <v>0.51511379999999996</v>
      </c>
      <c r="F2996" t="s">
        <v>42</v>
      </c>
      <c r="G2996">
        <v>-240.4265</v>
      </c>
      <c r="H2996" s="1">
        <v>-4.1072549999999999E-6</v>
      </c>
      <c r="I2996">
        <v>139.51499999999999</v>
      </c>
      <c r="J2996">
        <v>-225.63339999999999</v>
      </c>
      <c r="K2996">
        <v>1.1060719999999999</v>
      </c>
      <c r="L2996">
        <v>139.7508</v>
      </c>
      <c r="M2996">
        <v>-0.99981019999999998</v>
      </c>
      <c r="N2996">
        <v>-7.2882219999999996E-3</v>
      </c>
      <c r="O2996">
        <v>1.8070289999999999E-2</v>
      </c>
      <c r="P2996">
        <v>-0.99834509999999999</v>
      </c>
      <c r="Q2996">
        <v>6.8168959999999898E-3</v>
      </c>
      <c r="R2996">
        <v>-5.7103019999999997E-2</v>
      </c>
      <c r="S2996">
        <v>-3.0036160000000001</v>
      </c>
      <c r="T2996">
        <v>-0.21981529999999999</v>
      </c>
      <c r="U2996">
        <v>-4.5333859999999997E-2</v>
      </c>
      <c r="V2996">
        <v>-7.5049340000000006E-2</v>
      </c>
      <c r="W2996">
        <v>1.45314E-2</v>
      </c>
      <c r="X2996">
        <v>0.99707389999999996</v>
      </c>
      <c r="Y2996">
        <v>-3.3021330000000002E-2</v>
      </c>
      <c r="Z2996">
        <v>-2.516206E-3</v>
      </c>
      <c r="AA2996">
        <v>0.99945150000000005</v>
      </c>
      <c r="AB2996">
        <v>32</v>
      </c>
      <c r="AC2996">
        <v>-14.793100000000001</v>
      </c>
      <c r="AD2996">
        <v>-1.1060761072550001</v>
      </c>
      <c r="AE2996">
        <v>-0.235800000000011</v>
      </c>
      <c r="AF2996">
        <v>-0.50028803510633202</v>
      </c>
      <c r="AG2996">
        <v>-1.1060761072550001</v>
      </c>
      <c r="AH2996">
        <v>14.704239993171401</v>
      </c>
      <c r="AI2996">
        <v>94.299299122592203</v>
      </c>
      <c r="AJ2996">
        <v>91.948644751153495</v>
      </c>
      <c r="AK2996">
        <v>14.7542660356214</v>
      </c>
      <c r="AL2996">
        <v>89.167382774676994</v>
      </c>
      <c r="AM2996">
        <v>94.304512780282494</v>
      </c>
      <c r="AN2996">
        <v>0.99999996354080201</v>
      </c>
    </row>
    <row r="2997" spans="1:40" x14ac:dyDescent="0.25">
      <c r="A2997" t="str">
        <f>"20190305135646758"</f>
        <v>20190305135646758</v>
      </c>
      <c r="B2997" t="str">
        <f>"1551765406755862"</f>
        <v>1551765406755862</v>
      </c>
      <c r="C2997" t="s">
        <v>40</v>
      </c>
      <c r="D2997">
        <v>4.1515269999999997</v>
      </c>
      <c r="E2997">
        <v>0.5153605</v>
      </c>
      <c r="F2997" t="s">
        <v>42</v>
      </c>
      <c r="G2997">
        <v>-241.38040000000001</v>
      </c>
      <c r="H2997" s="1">
        <v>-3.6921549999999998E-6</v>
      </c>
      <c r="I2997">
        <v>139.54830000000001</v>
      </c>
      <c r="J2997">
        <v>-225.9675</v>
      </c>
      <c r="K2997">
        <v>1.106074</v>
      </c>
      <c r="L2997">
        <v>139.75980000000001</v>
      </c>
      <c r="M2997">
        <v>-0.99975270000000005</v>
      </c>
      <c r="N2997">
        <v>-7.2487489999999996E-3</v>
      </c>
      <c r="O2997">
        <v>2.102246E-2</v>
      </c>
      <c r="P2997">
        <v>-0.99838839999999995</v>
      </c>
      <c r="Q2997">
        <v>8.1060190000000008E-3</v>
      </c>
      <c r="R2997">
        <v>-5.6170869999999998E-2</v>
      </c>
      <c r="S2997">
        <v>-3.0042110000000002</v>
      </c>
      <c r="T2997">
        <v>-0.2110176</v>
      </c>
      <c r="U2997">
        <v>-3.8620000000000002E-2</v>
      </c>
      <c r="V2997">
        <v>-7.7055009999999993E-2</v>
      </c>
      <c r="W2997">
        <v>1.5792009999999999E-2</v>
      </c>
      <c r="X2997">
        <v>0.99690179999999995</v>
      </c>
      <c r="Y2997">
        <v>-3.37393E-2</v>
      </c>
      <c r="Z2997">
        <v>-2.6283880000000002E-3</v>
      </c>
      <c r="AA2997">
        <v>0.99942719999999896</v>
      </c>
      <c r="AB2997">
        <v>32</v>
      </c>
      <c r="AC2997">
        <v>-15.4129</v>
      </c>
      <c r="AD2997">
        <v>-1.106077692155</v>
      </c>
      <c r="AE2997">
        <v>-0.21149999999999999</v>
      </c>
      <c r="AF2997">
        <v>-0.53273580842098101</v>
      </c>
      <c r="AG2997">
        <v>-1.106077692155</v>
      </c>
      <c r="AH2997">
        <v>15.3261333830686</v>
      </c>
      <c r="AI2997">
        <v>94.125361964285304</v>
      </c>
      <c r="AJ2997">
        <v>91.990797558955606</v>
      </c>
      <c r="AK2997">
        <v>15.375226169987499</v>
      </c>
      <c r="AL2997">
        <v>89.095146892053506</v>
      </c>
      <c r="AM2997">
        <v>94.419859621271996</v>
      </c>
      <c r="AN2997">
        <v>1.00000003049458</v>
      </c>
    </row>
    <row r="2998" spans="1:40" x14ac:dyDescent="0.25">
      <c r="A2998" t="str">
        <f>"20190305135646800"</f>
        <v>20190305135646800</v>
      </c>
      <c r="B2998" t="str">
        <f>"1551765406794903"</f>
        <v>1551765406794903</v>
      </c>
      <c r="C2998" t="s">
        <v>40</v>
      </c>
      <c r="D2998">
        <v>4.5747770000000001</v>
      </c>
      <c r="E2998">
        <v>0.51547989999999999</v>
      </c>
      <c r="F2998" t="s">
        <v>42</v>
      </c>
      <c r="G2998">
        <v>-242.4194</v>
      </c>
      <c r="H2998" s="1">
        <v>-3.2423639999999999E-6</v>
      </c>
      <c r="I2998">
        <v>139.5712</v>
      </c>
      <c r="J2998">
        <v>-226.56489999999999</v>
      </c>
      <c r="K2998">
        <v>1.1060620000000001</v>
      </c>
      <c r="L2998">
        <v>139.7782</v>
      </c>
      <c r="M2998">
        <v>-0.99962850000000003</v>
      </c>
      <c r="N2998">
        <v>-7.1692319999999898E-3</v>
      </c>
      <c r="O2998">
        <v>2.6292449999999998E-2</v>
      </c>
      <c r="P2998">
        <v>-0.99835390000000002</v>
      </c>
      <c r="Q2998">
        <v>8.0039710000000003E-3</v>
      </c>
      <c r="R2998">
        <v>-5.6792710000000003E-2</v>
      </c>
      <c r="S2998">
        <v>-3.0045169999999999</v>
      </c>
      <c r="T2998">
        <v>-0.20199719999999999</v>
      </c>
      <c r="U2998">
        <v>-3.4423830000000002E-2</v>
      </c>
      <c r="V2998">
        <v>-8.2930710000000005E-2</v>
      </c>
      <c r="W2998">
        <v>1.564374E-2</v>
      </c>
      <c r="X2998">
        <v>0.99643250000000005</v>
      </c>
      <c r="Y2998">
        <v>-3.7602740000000003E-2</v>
      </c>
      <c r="Z2998">
        <v>-2.9747599999999999E-3</v>
      </c>
      <c r="AA2998">
        <v>0.99928830000000002</v>
      </c>
      <c r="AB2998">
        <v>32</v>
      </c>
      <c r="AC2998">
        <v>-15.8545</v>
      </c>
      <c r="AD2998">
        <v>-1.1060652423639901</v>
      </c>
      <c r="AE2998">
        <v>-0.206999999999993</v>
      </c>
      <c r="AF2998">
        <v>-0.62077208412013696</v>
      </c>
      <c r="AG2998">
        <v>-1.1060652423639901</v>
      </c>
      <c r="AH2998">
        <v>15.7668527228267</v>
      </c>
      <c r="AI2998">
        <v>94.009703051906996</v>
      </c>
      <c r="AJ2998">
        <v>92.254683274533093</v>
      </c>
      <c r="AK2998">
        <v>15.817786921187601</v>
      </c>
      <c r="AL2998">
        <v>89.103643139692096</v>
      </c>
      <c r="AM2998">
        <v>94.757626741136605</v>
      </c>
      <c r="AN2998">
        <v>0.99999997815927</v>
      </c>
    </row>
    <row r="2999" spans="1:40" x14ac:dyDescent="0.25">
      <c r="A2999" t="str">
        <f>"20190305135646834"</f>
        <v>20190305135646834</v>
      </c>
      <c r="B2999" t="str">
        <f>"1551765406825158"</f>
        <v>1551765406825158</v>
      </c>
      <c r="C2999" t="s">
        <v>40</v>
      </c>
      <c r="D2999">
        <v>4.203119</v>
      </c>
      <c r="E2999">
        <v>0.51539829999999998</v>
      </c>
      <c r="F2999" t="s">
        <v>42</v>
      </c>
      <c r="G2999">
        <v>-243.0001</v>
      </c>
      <c r="H2999" s="1">
        <v>-2.9903599999999999E-6</v>
      </c>
      <c r="I2999">
        <v>139.5874</v>
      </c>
      <c r="J2999">
        <v>-227.06200000000001</v>
      </c>
      <c r="K2999">
        <v>1.1060410000000001</v>
      </c>
      <c r="L2999">
        <v>139.79580000000001</v>
      </c>
      <c r="M2999">
        <v>-0.99950439999999996</v>
      </c>
      <c r="N2999">
        <v>-7.1055179999999999E-3</v>
      </c>
      <c r="O2999">
        <v>3.0666570000000001E-2</v>
      </c>
      <c r="P2999">
        <v>-0.99838289999999996</v>
      </c>
      <c r="Q2999">
        <v>9.4227379999999999E-3</v>
      </c>
      <c r="R2999">
        <v>-5.6062380000000002E-2</v>
      </c>
      <c r="S2999">
        <v>-3.004562</v>
      </c>
      <c r="T2999">
        <v>-0.20220270000000001</v>
      </c>
      <c r="U2999">
        <v>-3.4866330000000001E-2</v>
      </c>
      <c r="V2999">
        <v>-8.6553030000000003E-2</v>
      </c>
      <c r="W2999">
        <v>1.701971E-2</v>
      </c>
      <c r="X2999">
        <v>0.99610189999999998</v>
      </c>
      <c r="Y2999">
        <v>-4.2102720000000003E-2</v>
      </c>
      <c r="Z2999">
        <v>-3.4084240000000002E-3</v>
      </c>
      <c r="AA2999">
        <v>0.99910750000000004</v>
      </c>
      <c r="AB2999">
        <v>32</v>
      </c>
      <c r="AC2999">
        <v>-15.938099999999899</v>
      </c>
      <c r="AD2999">
        <v>-1.1060439903599999</v>
      </c>
      <c r="AE2999">
        <v>-0.20840000000001099</v>
      </c>
      <c r="AF2999">
        <v>-0.69374081232511497</v>
      </c>
      <c r="AG2999">
        <v>-1.1060439903599999</v>
      </c>
      <c r="AH2999">
        <v>15.8479045165426</v>
      </c>
      <c r="AI2999">
        <v>93.988459467499595</v>
      </c>
      <c r="AJ2999">
        <v>92.506518165128497</v>
      </c>
      <c r="AK2999">
        <v>15.901593856867001</v>
      </c>
      <c r="AL2999">
        <v>89.024795408470297</v>
      </c>
      <c r="AM2999">
        <v>94.966056996254693</v>
      </c>
      <c r="AN2999">
        <v>1.0000000463571299</v>
      </c>
    </row>
    <row r="3000" spans="1:40" x14ac:dyDescent="0.25">
      <c r="A3000" t="str">
        <f>"20190305135646859"</f>
        <v>20190305135646859</v>
      </c>
      <c r="B3000" t="str">
        <f>"1551765406855414"</f>
        <v>1551765406855414</v>
      </c>
      <c r="C3000" t="s">
        <v>40</v>
      </c>
      <c r="D3000">
        <v>4.1862349999999999</v>
      </c>
      <c r="E3000">
        <v>0.51517559999999996</v>
      </c>
      <c r="F3000" t="s">
        <v>42</v>
      </c>
      <c r="G3000">
        <v>-243.7277</v>
      </c>
      <c r="H3000" s="1">
        <v>-2.6737010000000002E-6</v>
      </c>
      <c r="I3000">
        <v>139.613</v>
      </c>
      <c r="J3000">
        <v>-227.4134</v>
      </c>
      <c r="K3000">
        <v>1.1060479999999999</v>
      </c>
      <c r="L3000">
        <v>139.80959999999999</v>
      </c>
      <c r="M3000">
        <v>-0.99940709999999999</v>
      </c>
      <c r="N3000">
        <v>-7.0592240000000002E-3</v>
      </c>
      <c r="O3000">
        <v>3.3699659999999999E-2</v>
      </c>
      <c r="P3000">
        <v>-0.9984691</v>
      </c>
      <c r="Q3000">
        <v>1.124518E-2</v>
      </c>
      <c r="R3000">
        <v>-5.4158020000000001E-2</v>
      </c>
      <c r="S3000">
        <v>-3.0048680000000001</v>
      </c>
      <c r="T3000">
        <v>-0.19942280000000001</v>
      </c>
      <c r="U3000">
        <v>-3.2958979999999999E-2</v>
      </c>
      <c r="V3000">
        <v>-8.7665900000000005E-2</v>
      </c>
      <c r="W3000">
        <v>1.879755E-2</v>
      </c>
      <c r="X3000">
        <v>0.99597259999999999</v>
      </c>
      <c r="Y3000">
        <v>-4.4492629999999998E-2</v>
      </c>
      <c r="Z3000">
        <v>-3.6281E-3</v>
      </c>
      <c r="AA3000">
        <v>0.99900310000000003</v>
      </c>
      <c r="AB3000">
        <v>32</v>
      </c>
      <c r="AC3000">
        <v>-16.314299999999999</v>
      </c>
      <c r="AD3000">
        <v>-1.1060506737010001</v>
      </c>
      <c r="AE3000">
        <v>-0.19659999999998901</v>
      </c>
      <c r="AF3000">
        <v>-0.74287435954473802</v>
      </c>
      <c r="AG3000">
        <v>-1.1060506737010001</v>
      </c>
      <c r="AH3000">
        <v>16.2238479144807</v>
      </c>
      <c r="AI3000">
        <v>93.895999672858494</v>
      </c>
      <c r="AJ3000">
        <v>92.6216873046356</v>
      </c>
      <c r="AK3000">
        <v>16.278465884691499</v>
      </c>
      <c r="AL3000">
        <v>88.922916324522106</v>
      </c>
      <c r="AM3000">
        <v>95.030233052622194</v>
      </c>
      <c r="AN3000">
        <v>1.0000000389297801</v>
      </c>
    </row>
    <row r="3001" spans="1:40" x14ac:dyDescent="0.25">
      <c r="A3001" t="str">
        <f>"20190305135646881"</f>
        <v>20190305135646881</v>
      </c>
      <c r="B3001" t="str">
        <f>"1551765406874935"</f>
        <v>1551765406874935</v>
      </c>
      <c r="C3001" t="s">
        <v>40</v>
      </c>
      <c r="D3001">
        <v>4.1813750000000001</v>
      </c>
      <c r="E3001">
        <v>0.51520820000000001</v>
      </c>
      <c r="F3001" t="s">
        <v>42</v>
      </c>
      <c r="G3001">
        <v>-244.32679999999999</v>
      </c>
      <c r="H3001" s="1">
        <v>-2.4241280000000001E-6</v>
      </c>
      <c r="I3001">
        <v>139.6464</v>
      </c>
      <c r="J3001">
        <v>-227.73490000000001</v>
      </c>
      <c r="K3001">
        <v>1.106077</v>
      </c>
      <c r="L3001">
        <v>139.82310000000001</v>
      </c>
      <c r="M3001">
        <v>-0.99931309999999995</v>
      </c>
      <c r="N3001">
        <v>-7.0183479999999998E-3</v>
      </c>
      <c r="O3001">
        <v>3.6390100000000002E-2</v>
      </c>
      <c r="P3001">
        <v>-0.99853709999999996</v>
      </c>
      <c r="Q3001">
        <v>1.185975E-2</v>
      </c>
      <c r="R3001">
        <v>-5.2758340000000001E-2</v>
      </c>
      <c r="S3001">
        <v>-3.0052340000000002</v>
      </c>
      <c r="T3001">
        <v>-0.1965276</v>
      </c>
      <c r="U3001">
        <v>-2.8991699999999999E-2</v>
      </c>
      <c r="V3001">
        <v>-8.8949509999999996E-2</v>
      </c>
      <c r="W3001">
        <v>1.9368699999999999E-2</v>
      </c>
      <c r="X3001">
        <v>0.99584779999999995</v>
      </c>
      <c r="Y3001">
        <v>-4.5859129999999998E-2</v>
      </c>
      <c r="Z3001">
        <v>-3.7806379999999998E-3</v>
      </c>
      <c r="AA3001">
        <v>0.99894079999999996</v>
      </c>
      <c r="AB3001">
        <v>32</v>
      </c>
      <c r="AC3001">
        <v>-16.5918999999999</v>
      </c>
      <c r="AD3001">
        <v>-1.1060794241280001</v>
      </c>
      <c r="AE3001">
        <v>-0.17670000000000999</v>
      </c>
      <c r="AF3001">
        <v>-0.77692635957802303</v>
      </c>
      <c r="AG3001">
        <v>-1.1060794241280001</v>
      </c>
      <c r="AH3001">
        <v>16.501155819133501</v>
      </c>
      <c r="AI3001">
        <v>93.830592842439799</v>
      </c>
      <c r="AJ3001">
        <v>92.695674891202898</v>
      </c>
      <c r="AK3001">
        <v>16.556423817600599</v>
      </c>
      <c r="AL3001">
        <v>88.890185838939104</v>
      </c>
      <c r="AM3001">
        <v>95.104136083946301</v>
      </c>
      <c r="AN3001">
        <v>1.0000000013168799</v>
      </c>
    </row>
    <row r="3002" spans="1:40" x14ac:dyDescent="0.25">
      <c r="A3002" t="str">
        <f>"20190305135646902"</f>
        <v>20190305135646902</v>
      </c>
      <c r="B3002" t="str">
        <f>"1551765406895430"</f>
        <v>1551765406895430</v>
      </c>
      <c r="C3002" t="s">
        <v>40</v>
      </c>
      <c r="D3002">
        <v>4.1994290000000003</v>
      </c>
      <c r="E3002">
        <v>0.51510630000000002</v>
      </c>
      <c r="F3002" t="s">
        <v>42</v>
      </c>
      <c r="G3002">
        <v>-244.81559999999999</v>
      </c>
      <c r="H3002" s="1">
        <v>-2.2244619999999998E-6</v>
      </c>
      <c r="I3002">
        <v>139.6841</v>
      </c>
      <c r="J3002">
        <v>-228.04470000000001</v>
      </c>
      <c r="K3002">
        <v>1.106141</v>
      </c>
      <c r="L3002">
        <v>139.83670000000001</v>
      </c>
      <c r="M3002">
        <v>-0.99922160000000004</v>
      </c>
      <c r="N3002">
        <v>-6.9816380000000001E-3</v>
      </c>
      <c r="O3002">
        <v>3.88294E-2</v>
      </c>
      <c r="P3002">
        <v>-0.99860380000000004</v>
      </c>
      <c r="Q3002">
        <v>1.03736E-2</v>
      </c>
      <c r="R3002">
        <v>-5.1798219999999999E-2</v>
      </c>
      <c r="S3002">
        <v>-3.005417</v>
      </c>
      <c r="T3002">
        <v>-0.19461980000000001</v>
      </c>
      <c r="U3002">
        <v>-2.444458E-2</v>
      </c>
      <c r="V3002">
        <v>-9.0436390000000005E-2</v>
      </c>
      <c r="W3002">
        <v>1.7834969999999999E-2</v>
      </c>
      <c r="X3002">
        <v>0.99574249999999997</v>
      </c>
      <c r="Y3002">
        <v>-4.6782890000000001E-2</v>
      </c>
      <c r="Z3002">
        <v>-3.9171630000000004E-3</v>
      </c>
      <c r="AA3002">
        <v>0.99889740000000005</v>
      </c>
      <c r="AB3002">
        <v>32</v>
      </c>
      <c r="AC3002">
        <v>-16.770899999999902</v>
      </c>
      <c r="AD3002">
        <v>-1.106143224462</v>
      </c>
      <c r="AE3002">
        <v>-0.15260000000000601</v>
      </c>
      <c r="AF3002">
        <v>-0.80022382772956102</v>
      </c>
      <c r="AG3002">
        <v>-1.106143224462</v>
      </c>
      <c r="AH3002">
        <v>16.679771713992899</v>
      </c>
      <c r="AI3002">
        <v>93.789751000191799</v>
      </c>
      <c r="AJ3002">
        <v>92.746699447569597</v>
      </c>
      <c r="AK3002">
        <v>16.7355518414663</v>
      </c>
      <c r="AL3002">
        <v>88.978077285829599</v>
      </c>
      <c r="AM3002">
        <v>95.189540588955694</v>
      </c>
      <c r="AN3002">
        <v>0.99999997654869099</v>
      </c>
    </row>
    <row r="3003" spans="1:40" x14ac:dyDescent="0.25">
      <c r="A3003" t="str">
        <f>"20190305135646926"</f>
        <v>20190305135646926</v>
      </c>
      <c r="B3003" t="str">
        <f>"1551765406914950"</f>
        <v>1551765406914950</v>
      </c>
      <c r="C3003" t="s">
        <v>40</v>
      </c>
      <c r="D3003">
        <v>4.1933389999999999</v>
      </c>
      <c r="E3003">
        <v>0.51511459999999998</v>
      </c>
      <c r="F3003" t="s">
        <v>42</v>
      </c>
      <c r="G3003">
        <v>-244.6542</v>
      </c>
      <c r="H3003" s="1">
        <v>-2.3012169999999999E-6</v>
      </c>
      <c r="I3003">
        <v>139.7124</v>
      </c>
      <c r="J3003">
        <v>-228.38929999999999</v>
      </c>
      <c r="K3003">
        <v>1.106277</v>
      </c>
      <c r="L3003">
        <v>139.85249999999999</v>
      </c>
      <c r="M3003">
        <v>-0.99912290000000004</v>
      </c>
      <c r="N3003">
        <v>-6.9435879999999997E-3</v>
      </c>
      <c r="O3003">
        <v>4.1294980000000002E-2</v>
      </c>
      <c r="P3003">
        <v>-0.99867249999999996</v>
      </c>
      <c r="Q3003">
        <v>9.6640419999999994E-3</v>
      </c>
      <c r="R3003">
        <v>-5.0595010000000003E-2</v>
      </c>
      <c r="S3003">
        <v>-3.0051269999999999</v>
      </c>
      <c r="T3003">
        <v>-0.20013210000000001</v>
      </c>
      <c r="U3003">
        <v>-2.2476200000000002E-2</v>
      </c>
      <c r="V3003">
        <v>-9.1705300000000003E-2</v>
      </c>
      <c r="W3003">
        <v>1.705833E-2</v>
      </c>
      <c r="X3003">
        <v>0.99564010000000003</v>
      </c>
      <c r="Y3003">
        <v>-4.8575319999999998E-2</v>
      </c>
      <c r="Z3003">
        <v>-4.2445809999999999E-3</v>
      </c>
      <c r="AA3003">
        <v>0.99881050000000005</v>
      </c>
      <c r="AB3003">
        <v>33</v>
      </c>
      <c r="AC3003">
        <v>-16.264900000000001</v>
      </c>
      <c r="AD3003">
        <v>-1.106279301217</v>
      </c>
      <c r="AE3003">
        <v>-0.14009999999998901</v>
      </c>
      <c r="AF3003">
        <v>-0.807918047875956</v>
      </c>
      <c r="AG3003">
        <v>-1.106279301217</v>
      </c>
      <c r="AH3003">
        <v>16.170437245823098</v>
      </c>
      <c r="AI3003">
        <v>93.908856815955204</v>
      </c>
      <c r="AJ3003">
        <v>92.860271096590594</v>
      </c>
      <c r="AK3003">
        <v>16.228358702761199</v>
      </c>
      <c r="AL3003">
        <v>89.022582307023498</v>
      </c>
      <c r="AM3003">
        <v>95.262487075143198</v>
      </c>
      <c r="AN3003">
        <v>1.0000000286992401</v>
      </c>
    </row>
    <row r="3004" spans="1:40" x14ac:dyDescent="0.25">
      <c r="A3004" t="str">
        <f>"20190305135646949"</f>
        <v>20190305135646949</v>
      </c>
      <c r="B3004" t="str">
        <f>"1551765406945206"</f>
        <v>1551765406945206</v>
      </c>
      <c r="C3004" t="s">
        <v>40</v>
      </c>
      <c r="D3004">
        <v>4.0586370000000001</v>
      </c>
      <c r="E3004">
        <v>0.51501949999999996</v>
      </c>
      <c r="F3004" t="s">
        <v>42</v>
      </c>
      <c r="G3004">
        <v>-244.7861</v>
      </c>
      <c r="H3004" s="1">
        <v>-2.2545720000000001E-6</v>
      </c>
      <c r="I3004">
        <v>139.74969999999999</v>
      </c>
      <c r="J3004">
        <v>-228.7183</v>
      </c>
      <c r="K3004">
        <v>1.1064799999999999</v>
      </c>
      <c r="L3004">
        <v>139.8681</v>
      </c>
      <c r="M3004">
        <v>-0.99903690000000001</v>
      </c>
      <c r="N3004">
        <v>-6.9108199999999998E-3</v>
      </c>
      <c r="O3004">
        <v>4.3329350000000003E-2</v>
      </c>
      <c r="P3004">
        <v>-0.99874689999999999</v>
      </c>
      <c r="Q3004">
        <v>8.9243819999999998E-3</v>
      </c>
      <c r="R3004">
        <v>-4.9246110000000003E-2</v>
      </c>
      <c r="S3004">
        <v>-3.0049739999999998</v>
      </c>
      <c r="T3004">
        <v>-0.20274400000000001</v>
      </c>
      <c r="U3004">
        <v>-1.8829350000000002E-2</v>
      </c>
      <c r="V3004">
        <v>-9.2400170000000004E-2</v>
      </c>
      <c r="W3004">
        <v>1.6240660000000001E-2</v>
      </c>
      <c r="X3004">
        <v>0.99558950000000002</v>
      </c>
      <c r="Y3004">
        <v>-4.9386470000000002E-2</v>
      </c>
      <c r="Z3004">
        <v>-4.4552740000000004E-3</v>
      </c>
      <c r="AA3004">
        <v>0.99876980000000004</v>
      </c>
      <c r="AB3004">
        <v>33</v>
      </c>
      <c r="AC3004">
        <v>-16.067799999999998</v>
      </c>
      <c r="AD3004">
        <v>-1.1064822545719999</v>
      </c>
      <c r="AE3004">
        <v>-0.118400000000008</v>
      </c>
      <c r="AF3004">
        <v>-0.81066867155840305</v>
      </c>
      <c r="AG3004">
        <v>-1.1064822545719999</v>
      </c>
      <c r="AH3004">
        <v>15.9718418740175</v>
      </c>
      <c r="AI3004">
        <v>93.957872859691506</v>
      </c>
      <c r="AJ3004">
        <v>92.905617853701898</v>
      </c>
      <c r="AK3004">
        <v>16.030633784206699</v>
      </c>
      <c r="AL3004">
        <v>89.069437816450204</v>
      </c>
      <c r="AM3004">
        <v>95.302403554941293</v>
      </c>
      <c r="AN3004">
        <v>1.0000000014817501</v>
      </c>
    </row>
    <row r="3005" spans="1:40" x14ac:dyDescent="0.25">
      <c r="A3005" t="str">
        <f>"20190305135646972"</f>
        <v>20190305135646972</v>
      </c>
      <c r="B3005" t="str">
        <f>"1551765406965702"</f>
        <v>1551765406965702</v>
      </c>
      <c r="C3005" t="s">
        <v>40</v>
      </c>
      <c r="D3005">
        <v>4.2143300000000004</v>
      </c>
      <c r="E3005">
        <v>0.50951429999999998</v>
      </c>
      <c r="F3005" t="s">
        <v>42</v>
      </c>
      <c r="G3005">
        <v>-244.85230000000001</v>
      </c>
      <c r="H3005" s="1">
        <v>-2.2350830000000002E-6</v>
      </c>
      <c r="I3005">
        <v>139.78319999999999</v>
      </c>
      <c r="J3005">
        <v>-229.0625</v>
      </c>
      <c r="K3005">
        <v>1.1067530000000001</v>
      </c>
      <c r="L3005">
        <v>139.88480000000001</v>
      </c>
      <c r="M3005">
        <v>-0.99896229999999997</v>
      </c>
      <c r="N3005">
        <v>-6.881117E-3</v>
      </c>
      <c r="O3005">
        <v>4.502395E-2</v>
      </c>
      <c r="P3005">
        <v>-0.99881359999999997</v>
      </c>
      <c r="Q3005">
        <v>9.2571140000000003E-3</v>
      </c>
      <c r="R3005">
        <v>-4.7810470000000001E-2</v>
      </c>
      <c r="S3005">
        <v>-3.0048219999999999</v>
      </c>
      <c r="T3005">
        <v>-0.20607300000000001</v>
      </c>
      <c r="U3005">
        <v>-1.5792850000000001E-2</v>
      </c>
      <c r="V3005">
        <v>-9.2668009999999995E-2</v>
      </c>
      <c r="W3005">
        <v>1.6480479999999999E-2</v>
      </c>
      <c r="X3005">
        <v>0.99556060000000002</v>
      </c>
      <c r="Y3005">
        <v>-5.0059869999999999E-2</v>
      </c>
      <c r="Z3005">
        <v>-4.66089E-3</v>
      </c>
      <c r="AA3005">
        <v>0.99873540000000005</v>
      </c>
      <c r="AB3005">
        <v>33</v>
      </c>
      <c r="AC3005">
        <v>-15.7898</v>
      </c>
      <c r="AD3005">
        <v>-1.1067552350830001</v>
      </c>
      <c r="AE3005">
        <v>-0.10160000000001899</v>
      </c>
      <c r="AF3005">
        <v>-0.80846106213163904</v>
      </c>
      <c r="AG3005">
        <v>-1.1067552350830001</v>
      </c>
      <c r="AH3005">
        <v>15.6921196390111</v>
      </c>
      <c r="AI3005">
        <v>94.0290283068679</v>
      </c>
      <c r="AJ3005">
        <v>92.949282115219205</v>
      </c>
      <c r="AK3005">
        <v>15.751861325075399</v>
      </c>
      <c r="AL3005">
        <v>89.055695242628005</v>
      </c>
      <c r="AM3005">
        <v>95.3178391061452</v>
      </c>
      <c r="AN3005">
        <v>0.99999993728537295</v>
      </c>
    </row>
    <row r="3006" spans="1:40" x14ac:dyDescent="0.25">
      <c r="A3006" t="str">
        <f>"20190305135647001"</f>
        <v>20190305135647001</v>
      </c>
      <c r="B3006" t="str">
        <f>"1551765406994983"</f>
        <v>1551765406994983</v>
      </c>
      <c r="C3006" t="s">
        <v>40</v>
      </c>
      <c r="D3006">
        <v>4.1127979999999997</v>
      </c>
      <c r="E3006">
        <v>0.5126423</v>
      </c>
      <c r="F3006" t="s">
        <v>41</v>
      </c>
      <c r="G3006">
        <v>-230.04669999999999</v>
      </c>
      <c r="H3006">
        <v>1.0025959999999901</v>
      </c>
      <c r="I3006">
        <v>139.86859999999999</v>
      </c>
      <c r="J3006">
        <v>-229.5103</v>
      </c>
      <c r="K3006">
        <v>1.1071660000000001</v>
      </c>
      <c r="L3006">
        <v>139.9066</v>
      </c>
      <c r="M3006">
        <v>-0.99889430000000001</v>
      </c>
      <c r="N3006">
        <v>-6.8506340000000004E-3</v>
      </c>
      <c r="O3006">
        <v>4.6510259999999998E-2</v>
      </c>
      <c r="P3006">
        <v>-0.9988397</v>
      </c>
      <c r="Q3006">
        <v>8.6701199999999999E-3</v>
      </c>
      <c r="R3006">
        <v>-4.7373560000000002E-2</v>
      </c>
      <c r="S3006">
        <v>-3.0041199999999999</v>
      </c>
      <c r="T3006">
        <v>-0.31797520000000001</v>
      </c>
      <c r="U3006">
        <v>-4.9865720000000002E-2</v>
      </c>
      <c r="V3006">
        <v>-9.3732880000000005E-2</v>
      </c>
      <c r="W3006">
        <v>1.577009E-2</v>
      </c>
      <c r="X3006">
        <v>0.99547249999999998</v>
      </c>
      <c r="Y3006">
        <v>-6.2484980000000002E-2</v>
      </c>
      <c r="Z3006">
        <v>-8.1023540000000008E-3</v>
      </c>
      <c r="AA3006">
        <v>0.99801300000000004</v>
      </c>
      <c r="AB3006">
        <v>33</v>
      </c>
      <c r="AC3006">
        <v>-0.536399999999986</v>
      </c>
      <c r="AD3006">
        <v>-0.10457</v>
      </c>
      <c r="AE3006">
        <v>-3.80000000000109E-2</v>
      </c>
      <c r="AF3006">
        <v>-6.0615401210312399E-2</v>
      </c>
      <c r="AG3006">
        <v>-0.10457</v>
      </c>
      <c r="AH3006">
        <v>0.51459279911674904</v>
      </c>
      <c r="AI3006">
        <v>101.409831200239</v>
      </c>
      <c r="AJ3006">
        <v>96.718081210838506</v>
      </c>
      <c r="AK3006">
        <v>0.52859706834856601</v>
      </c>
      <c r="AL3006">
        <v>89.096402965503302</v>
      </c>
      <c r="AM3006">
        <v>95.379064511345604</v>
      </c>
      <c r="AN3006">
        <v>1.0000000233939701</v>
      </c>
    </row>
    <row r="3007" spans="1:40" x14ac:dyDescent="0.25">
      <c r="A3007" t="str">
        <f>"20190305135647024"</f>
        <v>20190305135647024</v>
      </c>
      <c r="B3007" t="str">
        <f>"1551765407015479"</f>
        <v>1551765407015479</v>
      </c>
      <c r="C3007" t="s">
        <v>40</v>
      </c>
      <c r="D3007">
        <v>4.198709</v>
      </c>
      <c r="E3007">
        <v>0.51280420000000004</v>
      </c>
      <c r="F3007" t="s">
        <v>42</v>
      </c>
      <c r="G3007">
        <v>-245.6506</v>
      </c>
      <c r="H3007" s="1">
        <v>-1.8833620000000001E-6</v>
      </c>
      <c r="I3007">
        <v>139.7484</v>
      </c>
      <c r="J3007">
        <v>-229.84970000000001</v>
      </c>
      <c r="K3007">
        <v>1.1074569999999999</v>
      </c>
      <c r="L3007">
        <v>139.92310000000001</v>
      </c>
      <c r="M3007">
        <v>-0.99886180000000002</v>
      </c>
      <c r="N3007">
        <v>-6.8318390000000001E-3</v>
      </c>
      <c r="O3007">
        <v>4.7206379999999999E-2</v>
      </c>
      <c r="P3007">
        <v>-0.99883750000000004</v>
      </c>
      <c r="Q3007">
        <v>8.350896E-3</v>
      </c>
      <c r="R3007">
        <v>-4.748024E-2</v>
      </c>
      <c r="S3007">
        <v>-3.003876</v>
      </c>
      <c r="T3007">
        <v>-0.20605589999999999</v>
      </c>
      <c r="U3007">
        <v>-2.9434200000000001E-2</v>
      </c>
      <c r="V3007">
        <v>-9.4545630000000005E-2</v>
      </c>
      <c r="W3007">
        <v>1.536482E-2</v>
      </c>
      <c r="X3007">
        <v>0.99540200000000001</v>
      </c>
      <c r="Y3007">
        <v>-5.6756010000000003E-2</v>
      </c>
      <c r="Z3007">
        <v>-5.0498110000000004E-3</v>
      </c>
      <c r="AA3007">
        <v>0.99837529999999997</v>
      </c>
      <c r="AB3007">
        <v>33</v>
      </c>
      <c r="AC3007">
        <v>-15.800899999999899</v>
      </c>
      <c r="AD3007">
        <v>-1.1074588833619901</v>
      </c>
      <c r="AE3007">
        <v>-0.17470000000000099</v>
      </c>
      <c r="AF3007">
        <v>-0.91592709296200203</v>
      </c>
      <c r="AG3007">
        <v>-1.1074588833619901</v>
      </c>
      <c r="AH3007">
        <v>15.697931801149901</v>
      </c>
      <c r="AI3007">
        <v>94.028592087406807</v>
      </c>
      <c r="AJ3007">
        <v>93.339250443137999</v>
      </c>
      <c r="AK3007">
        <v>15.763579874238999</v>
      </c>
      <c r="AL3007">
        <v>89.1196260612804</v>
      </c>
      <c r="AM3007">
        <v>95.425810776070605</v>
      </c>
      <c r="AN3007">
        <v>1.0000000477248601</v>
      </c>
    </row>
    <row r="3008" spans="1:40" x14ac:dyDescent="0.25">
      <c r="A3008" t="str">
        <f>"20190305135647046"</f>
        <v>20190305135647046</v>
      </c>
      <c r="B3008" t="str">
        <f>"1551765407034998"</f>
        <v>1551765407034998</v>
      </c>
      <c r="C3008" t="s">
        <v>40</v>
      </c>
      <c r="D3008">
        <v>4.1695029999999997</v>
      </c>
      <c r="E3008">
        <v>0.51241979999999998</v>
      </c>
      <c r="F3008" t="s">
        <v>42</v>
      </c>
      <c r="G3008">
        <v>-245.94</v>
      </c>
      <c r="H3008" s="1">
        <v>-1.765514E-6</v>
      </c>
      <c r="I3008">
        <v>139.77209999999999</v>
      </c>
      <c r="J3008">
        <v>-230.1797</v>
      </c>
      <c r="K3008">
        <v>1.107739</v>
      </c>
      <c r="L3008">
        <v>139.9391</v>
      </c>
      <c r="M3008">
        <v>-0.99884859999999998</v>
      </c>
      <c r="N3008">
        <v>-6.816651E-3</v>
      </c>
      <c r="O3008">
        <v>4.7487849999999998E-2</v>
      </c>
      <c r="P3008">
        <v>-0.99883310000000003</v>
      </c>
      <c r="Q3008">
        <v>8.7472219999999903E-3</v>
      </c>
      <c r="R3008">
        <v>-4.7499979999999997E-2</v>
      </c>
      <c r="S3008">
        <v>-3.00386</v>
      </c>
      <c r="T3008">
        <v>-0.2067494</v>
      </c>
      <c r="U3008">
        <v>-2.818298E-2</v>
      </c>
      <c r="V3008">
        <v>-9.4855579999999995E-2</v>
      </c>
      <c r="W3008">
        <v>1.5679970000000001E-2</v>
      </c>
      <c r="X3008">
        <v>0.99536749999999996</v>
      </c>
      <c r="Y3008">
        <v>-5.6619750000000003E-2</v>
      </c>
      <c r="Z3008">
        <v>-5.079783E-3</v>
      </c>
      <c r="AA3008">
        <v>0.99838289999999996</v>
      </c>
      <c r="AB3008">
        <v>33</v>
      </c>
      <c r="AC3008">
        <v>-15.760300000000001</v>
      </c>
      <c r="AD3008">
        <v>-1.1077407655139999</v>
      </c>
      <c r="AE3008">
        <v>-0.16700000000000101</v>
      </c>
      <c r="AF3008">
        <v>-0.91075287765730295</v>
      </c>
      <c r="AG3008">
        <v>-1.1077407655139999</v>
      </c>
      <c r="AH3008">
        <v>15.657246256188699</v>
      </c>
      <c r="AI3008">
        <v>94.040092296841493</v>
      </c>
      <c r="AJ3008">
        <v>93.329037616921198</v>
      </c>
      <c r="AK3008">
        <v>15.7227834919481</v>
      </c>
      <c r="AL3008">
        <v>89.101567034768905</v>
      </c>
      <c r="AM3008">
        <v>95.443679142647198</v>
      </c>
      <c r="AN3008">
        <v>0.99999995128629204</v>
      </c>
    </row>
    <row r="3009" spans="1:40" x14ac:dyDescent="0.25">
      <c r="A3009" t="str">
        <f>"20190305135647068"</f>
        <v>20190305135647068</v>
      </c>
      <c r="B3009" t="str">
        <f>"1551765407065255"</f>
        <v>1551765407065255</v>
      </c>
      <c r="C3009" t="s">
        <v>40</v>
      </c>
      <c r="D3009">
        <v>4.1967309999999998</v>
      </c>
      <c r="E3009">
        <v>0.50894830000000002</v>
      </c>
      <c r="F3009" t="s">
        <v>42</v>
      </c>
      <c r="G3009">
        <v>-246.07579999999999</v>
      </c>
      <c r="H3009" s="1">
        <v>-1.708008E-6</v>
      </c>
      <c r="I3009">
        <v>139.7749</v>
      </c>
      <c r="J3009">
        <v>-230.49950000000001</v>
      </c>
      <c r="K3009">
        <v>1.1080209999999999</v>
      </c>
      <c r="L3009">
        <v>139.95439999999999</v>
      </c>
      <c r="M3009">
        <v>-0.99885349999999995</v>
      </c>
      <c r="N3009">
        <v>-6.8051140000000001E-3</v>
      </c>
      <c r="O3009">
        <v>4.7383420000000002E-2</v>
      </c>
      <c r="P3009">
        <v>-0.99881799999999998</v>
      </c>
      <c r="Q3009">
        <v>9.7790580000000002E-3</v>
      </c>
      <c r="R3009">
        <v>-4.761526E-2</v>
      </c>
      <c r="S3009">
        <v>-3.00386</v>
      </c>
      <c r="T3009">
        <v>-0.2093284</v>
      </c>
      <c r="U3009">
        <v>-3.1021119999999999E-2</v>
      </c>
      <c r="V3009">
        <v>-9.4875459999999995E-2</v>
      </c>
      <c r="W3009">
        <v>1.6634949999999999E-2</v>
      </c>
      <c r="X3009">
        <v>0.99535010000000002</v>
      </c>
      <c r="Y3009">
        <v>-5.7450469999999997E-2</v>
      </c>
      <c r="Z3009">
        <v>-5.1700369999999997E-3</v>
      </c>
      <c r="AA3009">
        <v>0.99833490000000003</v>
      </c>
      <c r="AB3009">
        <v>33</v>
      </c>
      <c r="AC3009">
        <v>-15.5762999999999</v>
      </c>
      <c r="AD3009">
        <v>-1.1080227080079901</v>
      </c>
      <c r="AE3009">
        <v>-0.17949999999999</v>
      </c>
      <c r="AF3009">
        <v>-0.91275577157635202</v>
      </c>
      <c r="AG3009">
        <v>-1.1080227080079901</v>
      </c>
      <c r="AH3009">
        <v>15.4720166845068</v>
      </c>
      <c r="AI3009">
        <v>94.089137411329403</v>
      </c>
      <c r="AJ3009">
        <v>93.376192726200699</v>
      </c>
      <c r="AK3009">
        <v>15.538472824111899</v>
      </c>
      <c r="AL3009">
        <v>89.046843559772</v>
      </c>
      <c r="AM3009">
        <v>95.444907793245093</v>
      </c>
      <c r="AN3009">
        <v>0.99999994802086001</v>
      </c>
    </row>
    <row r="3010" spans="1:40" x14ac:dyDescent="0.25">
      <c r="A3010" t="str">
        <f>"20190305135647091"</f>
        <v>20190305135647091</v>
      </c>
      <c r="B3010" t="str">
        <f>"1551765407085751"</f>
        <v>1551765407085751</v>
      </c>
      <c r="C3010" t="s">
        <v>40</v>
      </c>
      <c r="D3010">
        <v>4.2493230000000004</v>
      </c>
      <c r="E3010">
        <v>0.50919639999999999</v>
      </c>
      <c r="F3010" t="s">
        <v>42</v>
      </c>
      <c r="G3010">
        <v>-241.2672</v>
      </c>
      <c r="H3010" s="1">
        <v>-3.7676569999999998E-6</v>
      </c>
      <c r="I3010">
        <v>139.7628</v>
      </c>
      <c r="J3010">
        <v>-230.8246</v>
      </c>
      <c r="K3010">
        <v>1.1083209999999999</v>
      </c>
      <c r="L3010">
        <v>139.96960000000001</v>
      </c>
      <c r="M3010">
        <v>-0.99887479999999995</v>
      </c>
      <c r="N3010">
        <v>-6.7963579999999997E-3</v>
      </c>
      <c r="O3010">
        <v>4.6935459999999998E-2</v>
      </c>
      <c r="P3010">
        <v>-0.99880210000000003</v>
      </c>
      <c r="Q3010">
        <v>1.091455E-2</v>
      </c>
      <c r="R3010">
        <v>-4.7697679999999999E-2</v>
      </c>
      <c r="S3010">
        <v>-3.004013</v>
      </c>
      <c r="T3010">
        <v>-0.30912230000000002</v>
      </c>
      <c r="U3010">
        <v>-5.342102E-2</v>
      </c>
      <c r="V3010">
        <v>-9.4522519999999999E-2</v>
      </c>
      <c r="W3010">
        <v>1.7695280000000001E-2</v>
      </c>
      <c r="X3010">
        <v>0.99536539999999996</v>
      </c>
      <c r="Y3010">
        <v>-6.4112920000000004E-2</v>
      </c>
      <c r="Z3010">
        <v>-8.0059039999999995E-3</v>
      </c>
      <c r="AA3010">
        <v>0.99791059999999998</v>
      </c>
      <c r="AB3010">
        <v>33</v>
      </c>
      <c r="AC3010">
        <v>-10.442600000000001</v>
      </c>
      <c r="AD3010">
        <v>-1.1083247676569901</v>
      </c>
      <c r="AE3010">
        <v>-0.206800000000015</v>
      </c>
      <c r="AF3010">
        <v>-0.68895387073897896</v>
      </c>
      <c r="AG3010">
        <v>-1.1083247676569901</v>
      </c>
      <c r="AH3010">
        <v>10.3053441095257</v>
      </c>
      <c r="AI3010">
        <v>96.124914979469096</v>
      </c>
      <c r="AJ3010">
        <v>93.824762807604301</v>
      </c>
      <c r="AK3010">
        <v>10.387644508854899</v>
      </c>
      <c r="AL3010">
        <v>88.986082174500396</v>
      </c>
      <c r="AM3010">
        <v>95.424690715875798</v>
      </c>
      <c r="AN3010">
        <v>0.99999995461929303</v>
      </c>
    </row>
    <row r="3011" spans="1:40" x14ac:dyDescent="0.25">
      <c r="A3011" t="str">
        <f>"20190305135647114"</f>
        <v>20190305135647114</v>
      </c>
      <c r="B3011" t="str">
        <f>"1551765407105271"</f>
        <v>1551765407105271</v>
      </c>
      <c r="C3011" t="s">
        <v>40</v>
      </c>
      <c r="D3011">
        <v>4.4018129999999998</v>
      </c>
      <c r="E3011">
        <v>0.51514959999999999</v>
      </c>
      <c r="F3011" t="s">
        <v>42</v>
      </c>
      <c r="G3011">
        <v>-246.05840000000001</v>
      </c>
      <c r="H3011" s="1">
        <v>-1.691245E-6</v>
      </c>
      <c r="I3011">
        <v>139.68389999999999</v>
      </c>
      <c r="J3011">
        <v>-231.18299999999999</v>
      </c>
      <c r="K3011">
        <v>1.108622</v>
      </c>
      <c r="L3011">
        <v>139.98580000000001</v>
      </c>
      <c r="M3011">
        <v>-0.99891350000000001</v>
      </c>
      <c r="N3011">
        <v>-6.7891669999999996E-3</v>
      </c>
      <c r="O3011">
        <v>4.6106929999999997E-2</v>
      </c>
      <c r="P3011">
        <v>-0.99880899999999995</v>
      </c>
      <c r="Q3011">
        <v>1.153735E-2</v>
      </c>
      <c r="R3011">
        <v>-4.7412059999999999E-2</v>
      </c>
      <c r="S3011">
        <v>-3.0032960000000002</v>
      </c>
      <c r="T3011">
        <v>-0.21850320000000001</v>
      </c>
      <c r="U3011">
        <v>-5.6304930000000003E-2</v>
      </c>
      <c r="V3011">
        <v>-9.3424690000000005E-2</v>
      </c>
      <c r="W3011">
        <v>1.8244509999999999E-2</v>
      </c>
      <c r="X3011">
        <v>0.99545919999999999</v>
      </c>
      <c r="Y3011">
        <v>-6.453776E-2</v>
      </c>
      <c r="Z3011">
        <v>-5.6003750000000003E-3</v>
      </c>
      <c r="AA3011">
        <v>0.99789950000000005</v>
      </c>
      <c r="AB3011">
        <v>33</v>
      </c>
      <c r="AC3011">
        <v>-14.875400000000001</v>
      </c>
      <c r="AD3011">
        <v>-1.108623691245</v>
      </c>
      <c r="AE3011">
        <v>-0.30190000000001699</v>
      </c>
      <c r="AF3011">
        <v>-0.98200160252731505</v>
      </c>
      <c r="AG3011">
        <v>-1.108623691245</v>
      </c>
      <c r="AH3011">
        <v>14.7636909095762</v>
      </c>
      <c r="AI3011">
        <v>94.284918256880999</v>
      </c>
      <c r="AJ3011">
        <v>93.805402866615097</v>
      </c>
      <c r="AK3011">
        <v>14.8377876689775</v>
      </c>
      <c r="AL3011">
        <v>88.954608605117798</v>
      </c>
      <c r="AM3011">
        <v>95.361552807776704</v>
      </c>
      <c r="AN3011">
        <v>1.0000000268556799</v>
      </c>
    </row>
    <row r="3012" spans="1:40" x14ac:dyDescent="0.25">
      <c r="A3012" t="str">
        <f>"20190305135647138"</f>
        <v>20190305135647138</v>
      </c>
      <c r="B3012" t="str">
        <f>"1551765407135182"</f>
        <v>1551765407135182</v>
      </c>
      <c r="C3012" t="s">
        <v>40</v>
      </c>
      <c r="D3012">
        <v>4.2694929999999998</v>
      </c>
      <c r="E3012">
        <v>0.5603553</v>
      </c>
      <c r="F3012" t="s">
        <v>42</v>
      </c>
      <c r="G3012">
        <v>-248.10730000000001</v>
      </c>
      <c r="H3012" s="1">
        <v>-8.7875969999999999E-7</v>
      </c>
      <c r="I3012">
        <v>139.93369999999999</v>
      </c>
      <c r="J3012">
        <v>-231.53450000000001</v>
      </c>
      <c r="K3012">
        <v>1.1088750000000001</v>
      </c>
      <c r="L3012">
        <v>140.00120000000001</v>
      </c>
      <c r="M3012">
        <v>-0.99896070000000003</v>
      </c>
      <c r="N3012">
        <v>-6.7828709999999898E-3</v>
      </c>
      <c r="O3012">
        <v>4.5072920000000002E-2</v>
      </c>
      <c r="P3012">
        <v>-0.99879980000000002</v>
      </c>
      <c r="Q3012">
        <v>1.1420609999999999E-2</v>
      </c>
      <c r="R3012">
        <v>-4.7628719999999999E-2</v>
      </c>
      <c r="S3012">
        <v>-3.005417</v>
      </c>
      <c r="T3012">
        <v>-0.19686890000000001</v>
      </c>
      <c r="U3012">
        <v>-9.2315669999999996E-3</v>
      </c>
      <c r="V3012">
        <v>-9.2620839999999996E-2</v>
      </c>
      <c r="W3012">
        <v>1.8068109999999998E-2</v>
      </c>
      <c r="X3012">
        <v>0.99553749999999996</v>
      </c>
      <c r="Y3012">
        <v>-4.7951250000000001E-2</v>
      </c>
      <c r="Z3012">
        <v>-4.3747630000000003E-3</v>
      </c>
      <c r="AA3012">
        <v>0.99884010000000001</v>
      </c>
      <c r="AB3012">
        <v>34</v>
      </c>
      <c r="AC3012">
        <v>-16.572800000000001</v>
      </c>
      <c r="AD3012">
        <v>-1.1088758787597</v>
      </c>
      <c r="AE3012">
        <v>-6.7500000000023805E-2</v>
      </c>
      <c r="AF3012">
        <v>-0.81080325106530404</v>
      </c>
      <c r="AG3012">
        <v>-1.1088758787597</v>
      </c>
      <c r="AH3012">
        <v>16.4791401107707</v>
      </c>
      <c r="AI3012">
        <v>93.844973606326107</v>
      </c>
      <c r="AJ3012">
        <v>92.816783613324802</v>
      </c>
      <c r="AK3012">
        <v>16.536295426027099</v>
      </c>
      <c r="AL3012">
        <v>88.964717213947196</v>
      </c>
      <c r="AM3012">
        <v>95.315270343141805</v>
      </c>
      <c r="AN3012">
        <v>0.99999999525376304</v>
      </c>
    </row>
    <row r="3013" spans="1:40" x14ac:dyDescent="0.25">
      <c r="A3013" t="str">
        <f>"20190305135647161"</f>
        <v>20190305135647161</v>
      </c>
      <c r="B3013" t="str">
        <f>"1551765407155678"</f>
        <v>1551765407155678</v>
      </c>
      <c r="C3013" t="s">
        <v>40</v>
      </c>
      <c r="D3013">
        <v>4.278003</v>
      </c>
      <c r="E3013">
        <v>0.56257330000000005</v>
      </c>
      <c r="F3013" t="s">
        <v>41</v>
      </c>
      <c r="G3013">
        <v>-232.43440000000001</v>
      </c>
      <c r="H3013">
        <v>1.036036</v>
      </c>
      <c r="I3013">
        <v>140.10640000000001</v>
      </c>
      <c r="J3013">
        <v>-231.88679999999999</v>
      </c>
      <c r="K3013">
        <v>1.1090739999999999</v>
      </c>
      <c r="L3013">
        <v>140.01609999999999</v>
      </c>
      <c r="M3013">
        <v>-0.99901390000000001</v>
      </c>
      <c r="N3013">
        <v>-6.7771690000000004E-3</v>
      </c>
      <c r="O3013">
        <v>4.3878979999999998E-2</v>
      </c>
      <c r="P3013">
        <v>-0.99873809999999996</v>
      </c>
      <c r="Q3013">
        <v>1.241654E-2</v>
      </c>
      <c r="R3013">
        <v>-4.8667729999999999E-2</v>
      </c>
      <c r="S3013">
        <v>-3.023209</v>
      </c>
      <c r="T3013">
        <v>-0.2447501</v>
      </c>
      <c r="U3013">
        <v>0.352829</v>
      </c>
      <c r="V3013">
        <v>-9.2475879999999996E-2</v>
      </c>
      <c r="W3013">
        <v>1.9016379999999999E-2</v>
      </c>
      <c r="X3013">
        <v>0.99553329999999995</v>
      </c>
      <c r="Y3013">
        <v>7.2090730000000006E-2</v>
      </c>
      <c r="Z3013" s="1">
        <v>-8.6180869999999998E-5</v>
      </c>
      <c r="AA3013">
        <v>0.99739809999999995</v>
      </c>
      <c r="AB3013">
        <v>34</v>
      </c>
      <c r="AC3013">
        <v>-0.54760000000001696</v>
      </c>
      <c r="AD3013">
        <v>-7.3037999999999895E-2</v>
      </c>
      <c r="AE3013">
        <v>9.03000000000133E-2</v>
      </c>
      <c r="AF3013">
        <v>6.5057620297708799E-2</v>
      </c>
      <c r="AG3013">
        <v>-7.3037999999999895E-2</v>
      </c>
      <c r="AH3013">
        <v>0.54165409389296104</v>
      </c>
      <c r="AI3013">
        <v>97.6254315003318</v>
      </c>
      <c r="AJ3013">
        <v>83.151060828865695</v>
      </c>
      <c r="AK3013">
        <v>0.55041457178549202</v>
      </c>
      <c r="AL3013">
        <v>88.910375985089502</v>
      </c>
      <c r="AM3013">
        <v>95.307021260921104</v>
      </c>
      <c r="AN3013">
        <v>0.99999998124948397</v>
      </c>
    </row>
    <row r="3014" spans="1:40" x14ac:dyDescent="0.25">
      <c r="A3014" t="str">
        <f>"20190305135647204"</f>
        <v>20190305135647204</v>
      </c>
      <c r="B3014" t="str">
        <f>"1551765407195693"</f>
        <v>1551765407195693</v>
      </c>
      <c r="C3014" t="s">
        <v>40</v>
      </c>
      <c r="D3014">
        <v>4.2456370000000003</v>
      </c>
      <c r="E3014">
        <v>0.56339839999999997</v>
      </c>
      <c r="F3014" t="s">
        <v>41</v>
      </c>
      <c r="G3014">
        <v>-232.745</v>
      </c>
      <c r="H3014">
        <v>1.0521400000000001</v>
      </c>
      <c r="I3014">
        <v>140.1199</v>
      </c>
      <c r="J3014">
        <v>-232.53</v>
      </c>
      <c r="K3014">
        <v>1.109307</v>
      </c>
      <c r="L3014">
        <v>140.0421</v>
      </c>
      <c r="M3014">
        <v>-0.99911649999999996</v>
      </c>
      <c r="N3014">
        <v>-6.7698000000000003E-3</v>
      </c>
      <c r="O3014">
        <v>4.1480110000000001E-2</v>
      </c>
      <c r="P3014">
        <v>-0.99846889999999999</v>
      </c>
      <c r="Q3014">
        <v>1.6963140000000002E-2</v>
      </c>
      <c r="R3014">
        <v>-5.2651009999999998E-2</v>
      </c>
      <c r="S3014">
        <v>-3.0240779999999998</v>
      </c>
      <c r="T3014">
        <v>-0.20070640000000001</v>
      </c>
      <c r="U3014">
        <v>0.3652802</v>
      </c>
      <c r="V3014">
        <v>-9.4073180000000006E-2</v>
      </c>
      <c r="W3014">
        <v>2.3502869999999999E-2</v>
      </c>
      <c r="X3014">
        <v>0.99528779999999994</v>
      </c>
      <c r="Y3014">
        <v>7.8518710000000005E-2</v>
      </c>
      <c r="Z3014">
        <v>4.0242199999999999E-4</v>
      </c>
      <c r="AA3014">
        <v>0.99691249999999998</v>
      </c>
      <c r="AB3014">
        <v>34</v>
      </c>
      <c r="AC3014">
        <v>-0.21500000000000299</v>
      </c>
      <c r="AD3014">
        <v>-5.71670000000001E-2</v>
      </c>
      <c r="AE3014">
        <v>7.7799999999996303E-2</v>
      </c>
      <c r="AF3014">
        <v>6.47658742679567E-2</v>
      </c>
      <c r="AG3014">
        <v>-5.71670000000001E-2</v>
      </c>
      <c r="AH3014">
        <v>0.20521357397426501</v>
      </c>
      <c r="AI3014">
        <v>104.87738607717</v>
      </c>
      <c r="AJ3014">
        <v>72.484184359229303</v>
      </c>
      <c r="AK3014">
        <v>0.22265510392080301</v>
      </c>
      <c r="AL3014">
        <v>88.653260705033205</v>
      </c>
      <c r="AM3014">
        <v>95.3994740956242</v>
      </c>
      <c r="AN3014">
        <v>0.99999997646119398</v>
      </c>
    </row>
    <row r="3015" spans="1:40" x14ac:dyDescent="0.25">
      <c r="A3015" t="str">
        <f>"20190305135647225"</f>
        <v>20190305135647225</v>
      </c>
      <c r="B3015" t="str">
        <f>"1551765407215852"</f>
        <v>1551765407215852</v>
      </c>
      <c r="C3015" t="s">
        <v>40</v>
      </c>
      <c r="D3015">
        <v>4.2014250000000004</v>
      </c>
      <c r="E3015">
        <v>0.56311299999999997</v>
      </c>
      <c r="F3015" t="s">
        <v>42</v>
      </c>
      <c r="G3015">
        <v>-253.8417</v>
      </c>
      <c r="H3015" s="1">
        <v>-3.4085550000000001E-6</v>
      </c>
      <c r="I3015">
        <v>142.5641</v>
      </c>
      <c r="J3015">
        <v>-232.8604</v>
      </c>
      <c r="K3015">
        <v>1.10937</v>
      </c>
      <c r="L3015">
        <v>140.0548</v>
      </c>
      <c r="M3015">
        <v>-0.99916799999999995</v>
      </c>
      <c r="N3015">
        <v>-6.7677269999999899E-3</v>
      </c>
      <c r="O3015">
        <v>4.0217370000000002E-2</v>
      </c>
      <c r="P3015">
        <v>-0.99829579999999996</v>
      </c>
      <c r="Q3015">
        <v>1.8261179999999998E-2</v>
      </c>
      <c r="R3015">
        <v>-5.5425990000000001E-2</v>
      </c>
      <c r="S3015">
        <v>-3.0261689999999999</v>
      </c>
      <c r="T3015">
        <v>-0.157517299999999</v>
      </c>
      <c r="U3015">
        <v>0.35812379999999999</v>
      </c>
      <c r="V3015">
        <v>-9.558738E-2</v>
      </c>
      <c r="W3015">
        <v>2.4779470000000001E-2</v>
      </c>
      <c r="X3015">
        <v>0.99511260000000001</v>
      </c>
      <c r="Y3015">
        <v>7.7411259999999996E-2</v>
      </c>
      <c r="Z3015">
        <v>4.5764969999999999E-4</v>
      </c>
      <c r="AA3015">
        <v>0.99699910000000003</v>
      </c>
      <c r="AB3015">
        <v>34</v>
      </c>
      <c r="AC3015">
        <v>-20.981300000000001</v>
      </c>
      <c r="AD3015">
        <v>-1.109373408555</v>
      </c>
      <c r="AE3015">
        <v>2.5092999999999899</v>
      </c>
      <c r="AF3015">
        <v>1.6588654172128701</v>
      </c>
      <c r="AG3015">
        <v>-1.109373408555</v>
      </c>
      <c r="AH3015">
        <v>21.007342103284198</v>
      </c>
      <c r="AI3015">
        <v>93.013552055602105</v>
      </c>
      <c r="AJ3015">
        <v>85.484951618888005</v>
      </c>
      <c r="AK3015">
        <v>21.101918540181298</v>
      </c>
      <c r="AL3015">
        <v>88.580095656139605</v>
      </c>
      <c r="AM3015">
        <v>95.486817847332603</v>
      </c>
      <c r="AN3015">
        <v>1.00000002801375</v>
      </c>
    </row>
    <row r="3016" spans="1:40" x14ac:dyDescent="0.25">
      <c r="A3016" t="str">
        <f>"20190305135647248"</f>
        <v>20190305135647248</v>
      </c>
      <c r="B3016" t="str">
        <f>"1551765407245132"</f>
        <v>1551765407245132</v>
      </c>
      <c r="C3016" t="s">
        <v>40</v>
      </c>
      <c r="D3016">
        <v>4.1828589999999997</v>
      </c>
      <c r="E3016">
        <v>0.56301829999999997</v>
      </c>
      <c r="F3016" t="s">
        <v>42</v>
      </c>
      <c r="G3016">
        <v>-253.68289999999999</v>
      </c>
      <c r="H3016" s="1">
        <v>-3.4451770000000001E-6</v>
      </c>
      <c r="I3016">
        <v>142.44569999999999</v>
      </c>
      <c r="J3016">
        <v>-233.19800000000001</v>
      </c>
      <c r="K3016">
        <v>1.1094059999999999</v>
      </c>
      <c r="L3016">
        <v>140.06729999999999</v>
      </c>
      <c r="M3016">
        <v>-0.9992183</v>
      </c>
      <c r="N3016">
        <v>-6.7666150000000001E-3</v>
      </c>
      <c r="O3016">
        <v>3.894794E-2</v>
      </c>
      <c r="P3016">
        <v>-0.99812140000000005</v>
      </c>
      <c r="Q3016">
        <v>1.8477440000000001E-2</v>
      </c>
      <c r="R3016">
        <v>-5.841495E-2</v>
      </c>
      <c r="S3016">
        <v>-3.0273590000000001</v>
      </c>
      <c r="T3016">
        <v>-0.16129099999999999</v>
      </c>
      <c r="U3016">
        <v>0.34762569999999998</v>
      </c>
      <c r="V3016">
        <v>-9.7306359999999995E-2</v>
      </c>
      <c r="W3016">
        <v>2.4979680000000001E-2</v>
      </c>
      <c r="X3016">
        <v>0.99494090000000002</v>
      </c>
      <c r="Y3016">
        <v>7.522007E-2</v>
      </c>
      <c r="Z3016">
        <v>4.4879700000000002E-4</v>
      </c>
      <c r="AA3016">
        <v>0.99716689999999997</v>
      </c>
      <c r="AB3016">
        <v>34</v>
      </c>
      <c r="AC3016">
        <v>-20.4849</v>
      </c>
      <c r="AD3016">
        <v>-1.10940944517699</v>
      </c>
      <c r="AE3016">
        <v>2.3783999999999899</v>
      </c>
      <c r="AF3016">
        <v>1.57417664925922</v>
      </c>
      <c r="AG3016">
        <v>-1.10940944517699</v>
      </c>
      <c r="AH3016">
        <v>20.5026571081459</v>
      </c>
      <c r="AI3016">
        <v>93.088212386857407</v>
      </c>
      <c r="AJ3016">
        <v>85.609492455040694</v>
      </c>
      <c r="AK3016">
        <v>20.592905815700899</v>
      </c>
      <c r="AL3016">
        <v>88.568620809518293</v>
      </c>
      <c r="AM3016">
        <v>95.585828482485098</v>
      </c>
      <c r="AN3016">
        <v>0.99999995330107905</v>
      </c>
    </row>
    <row r="3017" spans="1:40" x14ac:dyDescent="0.25">
      <c r="A3017" t="str">
        <f>"20190305135647269"</f>
        <v>20190305135647269</v>
      </c>
      <c r="B3017" t="str">
        <f>"1551765407265627"</f>
        <v>1551765407265627</v>
      </c>
      <c r="C3017" t="s">
        <v>40</v>
      </c>
      <c r="D3017">
        <v>4.1713529999999999</v>
      </c>
      <c r="E3017">
        <v>0.56278869999999903</v>
      </c>
      <c r="F3017" t="s">
        <v>42</v>
      </c>
      <c r="G3017">
        <v>-253.80789999999999</v>
      </c>
      <c r="H3017" s="1">
        <v>-3.3706049999999999E-6</v>
      </c>
      <c r="I3017">
        <v>142.36689999999999</v>
      </c>
      <c r="J3017">
        <v>-233.53030000000001</v>
      </c>
      <c r="K3017">
        <v>1.109426</v>
      </c>
      <c r="L3017">
        <v>140.07929999999999</v>
      </c>
      <c r="M3017">
        <v>-0.99926499999999996</v>
      </c>
      <c r="N3017">
        <v>-6.7666100000000002E-3</v>
      </c>
      <c r="O3017">
        <v>3.7731170000000001E-2</v>
      </c>
      <c r="P3017">
        <v>-0.99796300000000004</v>
      </c>
      <c r="Q3017">
        <v>1.8231750000000001E-2</v>
      </c>
      <c r="R3017">
        <v>-6.1137299999999999E-2</v>
      </c>
      <c r="S3017">
        <v>-3.0284420000000001</v>
      </c>
      <c r="T3017">
        <v>-0.1630182</v>
      </c>
      <c r="U3017">
        <v>0.33792109999999997</v>
      </c>
      <c r="V3017">
        <v>-9.8809380000000002E-2</v>
      </c>
      <c r="W3017">
        <v>2.4722270000000001E-2</v>
      </c>
      <c r="X3017">
        <v>0.99479930000000005</v>
      </c>
      <c r="Y3017">
        <v>7.3239219999999994E-2</v>
      </c>
      <c r="Z3017">
        <v>4.4511859999999998E-4</v>
      </c>
      <c r="AA3017">
        <v>0.99731429999999999</v>
      </c>
      <c r="AB3017">
        <v>34</v>
      </c>
      <c r="AC3017">
        <v>-20.2775999999999</v>
      </c>
      <c r="AD3017">
        <v>-1.109429370605</v>
      </c>
      <c r="AE3017">
        <v>2.2875999999999901</v>
      </c>
      <c r="AF3017">
        <v>1.5163737983812799</v>
      </c>
      <c r="AG3017">
        <v>-1.109429370605</v>
      </c>
      <c r="AH3017">
        <v>20.2895044388417</v>
      </c>
      <c r="AI3017">
        <v>93.121127103106105</v>
      </c>
      <c r="AJ3017">
        <v>85.725839596383395</v>
      </c>
      <c r="AK3017">
        <v>20.376315010289598</v>
      </c>
      <c r="AL3017">
        <v>88.583374032411896</v>
      </c>
      <c r="AM3017">
        <v>95.672352433846299</v>
      </c>
      <c r="AN3017">
        <v>1.0000000657452099</v>
      </c>
    </row>
    <row r="3018" spans="1:40" x14ac:dyDescent="0.25">
      <c r="A3018" t="str">
        <f>"20190305135647291"</f>
        <v>20190305135647291</v>
      </c>
      <c r="B3018" t="str">
        <f>"1551765407285148"</f>
        <v>1551765407285148</v>
      </c>
      <c r="C3018" t="s">
        <v>40</v>
      </c>
      <c r="D3018">
        <v>4.1247749999999996</v>
      </c>
      <c r="E3018">
        <v>0.56286530000000001</v>
      </c>
      <c r="F3018" t="s">
        <v>42</v>
      </c>
      <c r="G3018">
        <v>-253.44149999999999</v>
      </c>
      <c r="H3018" s="1">
        <v>-3.492514E-6</v>
      </c>
      <c r="I3018">
        <v>142.23439999999999</v>
      </c>
      <c r="J3018">
        <v>-233.87110000000001</v>
      </c>
      <c r="K3018">
        <v>1.109429</v>
      </c>
      <c r="L3018">
        <v>140.09110000000001</v>
      </c>
      <c r="M3018">
        <v>-0.99931009999999998</v>
      </c>
      <c r="N3018">
        <v>-6.7675069999999999E-3</v>
      </c>
      <c r="O3018">
        <v>3.6516409999999999E-2</v>
      </c>
      <c r="P3018">
        <v>-0.99782720000000003</v>
      </c>
      <c r="Q3018">
        <v>1.8503390000000002E-2</v>
      </c>
      <c r="R3018">
        <v>-6.3234579999999999E-2</v>
      </c>
      <c r="S3018">
        <v>-3.0292970000000001</v>
      </c>
      <c r="T3018">
        <v>-0.168789299999999</v>
      </c>
      <c r="U3018">
        <v>0.32789610000000002</v>
      </c>
      <c r="V3018">
        <v>-9.9692890000000006E-2</v>
      </c>
      <c r="W3018">
        <v>2.49873E-2</v>
      </c>
      <c r="X3018">
        <v>0.99470449999999999</v>
      </c>
      <c r="Y3018">
        <v>7.1156899999999995E-2</v>
      </c>
      <c r="Z3018">
        <v>4.3735870000000002E-4</v>
      </c>
      <c r="AA3018">
        <v>0.99746500000000005</v>
      </c>
      <c r="AB3018">
        <v>34</v>
      </c>
      <c r="AC3018">
        <v>-19.5703999999999</v>
      </c>
      <c r="AD3018">
        <v>-1.109432492514</v>
      </c>
      <c r="AE3018">
        <v>2.14329999999998</v>
      </c>
      <c r="AF3018">
        <v>1.4226954277366</v>
      </c>
      <c r="AG3018">
        <v>-1.109432492514</v>
      </c>
      <c r="AH3018">
        <v>19.573457138158101</v>
      </c>
      <c r="AI3018">
        <v>93.235562438243605</v>
      </c>
      <c r="AJ3018">
        <v>85.842770817134394</v>
      </c>
      <c r="AK3018">
        <v>19.6564271187533</v>
      </c>
      <c r="AL3018">
        <v>88.568184203356907</v>
      </c>
      <c r="AM3018">
        <v>95.723278720746805</v>
      </c>
      <c r="AN3018">
        <v>1.0000000398990401</v>
      </c>
    </row>
    <row r="3019" spans="1:40" x14ac:dyDescent="0.25">
      <c r="A3019" t="str">
        <f>"20190305135647314"</f>
        <v>20190305135647314</v>
      </c>
      <c r="B3019" t="str">
        <f>"1551765407305644"</f>
        <v>1551765407305644</v>
      </c>
      <c r="C3019" t="s">
        <v>40</v>
      </c>
      <c r="D3019">
        <v>4.1272219999999997</v>
      </c>
      <c r="E3019">
        <v>0.56290879999999999</v>
      </c>
      <c r="F3019" t="s">
        <v>41</v>
      </c>
      <c r="G3019">
        <v>-234.87909999999999</v>
      </c>
      <c r="H3019">
        <v>1.0538099999999999</v>
      </c>
      <c r="I3019">
        <v>140.19820000000001</v>
      </c>
      <c r="J3019">
        <v>-234.22</v>
      </c>
      <c r="K3019">
        <v>1.1094269999999999</v>
      </c>
      <c r="L3019">
        <v>140.1027</v>
      </c>
      <c r="M3019">
        <v>-0.99935390000000002</v>
      </c>
      <c r="N3019">
        <v>-6.7695100000000003E-3</v>
      </c>
      <c r="O3019">
        <v>3.5297740000000001E-2</v>
      </c>
      <c r="P3019">
        <v>-0.99775389999999997</v>
      </c>
      <c r="Q3019">
        <v>1.8050009999999998E-2</v>
      </c>
      <c r="R3019">
        <v>-6.4507060000000005E-2</v>
      </c>
      <c r="S3019">
        <v>-3.0300289999999999</v>
      </c>
      <c r="T3019">
        <v>-0.1671581</v>
      </c>
      <c r="U3019">
        <v>0.32194519999999999</v>
      </c>
      <c r="V3019">
        <v>-9.974856E-2</v>
      </c>
      <c r="W3019">
        <v>2.453207E-2</v>
      </c>
      <c r="X3019">
        <v>0.99471019999999999</v>
      </c>
      <c r="Y3019">
        <v>7.0411860000000007E-2</v>
      </c>
      <c r="Z3019">
        <v>4.7363359999999998E-4</v>
      </c>
      <c r="AA3019">
        <v>0.99751789999999996</v>
      </c>
      <c r="AB3019">
        <v>34</v>
      </c>
      <c r="AC3019">
        <v>-0.65909999999999502</v>
      </c>
      <c r="AD3019">
        <v>-5.5616999999999799E-2</v>
      </c>
      <c r="AE3019">
        <v>9.5500000000015406E-2</v>
      </c>
      <c r="AF3019">
        <v>7.1675339646585304E-2</v>
      </c>
      <c r="AG3019">
        <v>-5.5616999999999799E-2</v>
      </c>
      <c r="AH3019">
        <v>0.65747496208624401</v>
      </c>
      <c r="AI3019">
        <v>94.806897769278606</v>
      </c>
      <c r="AJ3019">
        <v>83.778408231805599</v>
      </c>
      <c r="AK3019">
        <v>0.66370470148459904</v>
      </c>
      <c r="AL3019">
        <v>88.594274888445497</v>
      </c>
      <c r="AM3019">
        <v>95.726420854002995</v>
      </c>
      <c r="AN3019">
        <v>0.99999998983229899</v>
      </c>
    </row>
    <row r="3020" spans="1:40" x14ac:dyDescent="0.25">
      <c r="A3020" t="str">
        <f>"20190305135647337"</f>
        <v>20190305135647337</v>
      </c>
      <c r="B3020" t="str">
        <f>"1551765407325165"</f>
        <v>1551765407325165</v>
      </c>
      <c r="C3020" t="s">
        <v>40</v>
      </c>
      <c r="D3020">
        <v>4.1261960000000002</v>
      </c>
      <c r="E3020">
        <v>0.56293740000000003</v>
      </c>
      <c r="F3020" t="s">
        <v>41</v>
      </c>
      <c r="G3020">
        <v>-235.1875</v>
      </c>
      <c r="H3020">
        <v>1.054157</v>
      </c>
      <c r="I3020">
        <v>140.2045</v>
      </c>
      <c r="J3020">
        <v>-234.57689999999999</v>
      </c>
      <c r="K3020">
        <v>1.1094299999999999</v>
      </c>
      <c r="L3020">
        <v>140.11429999999999</v>
      </c>
      <c r="M3020">
        <v>-0.99939650000000002</v>
      </c>
      <c r="N3020">
        <v>-6.7725249999999997E-3</v>
      </c>
      <c r="O3020">
        <v>3.4069729999999999E-2</v>
      </c>
      <c r="P3020">
        <v>-0.997726</v>
      </c>
      <c r="Q3020">
        <v>1.6688430000000001E-2</v>
      </c>
      <c r="R3020">
        <v>-6.5302609999999997E-2</v>
      </c>
      <c r="S3020">
        <v>-3.0304869999999999</v>
      </c>
      <c r="T3020">
        <v>-0.17320820000000001</v>
      </c>
      <c r="U3020">
        <v>0.31834410000000002</v>
      </c>
      <c r="V3020">
        <v>-9.9317310000000006E-2</v>
      </c>
      <c r="W3020">
        <v>2.3172040000000001E-2</v>
      </c>
      <c r="X3020">
        <v>0.99478599999999995</v>
      </c>
      <c r="Y3020">
        <v>7.0443049999999993E-2</v>
      </c>
      <c r="Z3020">
        <v>5.3623539999999995E-4</v>
      </c>
      <c r="AA3020">
        <v>0.99751570000000001</v>
      </c>
      <c r="AB3020">
        <v>34</v>
      </c>
      <c r="AC3020">
        <v>-0.61060000000000503</v>
      </c>
      <c r="AD3020">
        <v>-5.5272999999999899E-2</v>
      </c>
      <c r="AE3020">
        <v>9.0200000000009994E-2</v>
      </c>
      <c r="AF3020">
        <v>6.8792509647389102E-2</v>
      </c>
      <c r="AG3020">
        <v>-5.5272999999999899E-2</v>
      </c>
      <c r="AH3020">
        <v>0.60843939959920901</v>
      </c>
      <c r="AI3020">
        <v>95.1580385200959</v>
      </c>
      <c r="AJ3020">
        <v>83.549312008472995</v>
      </c>
      <c r="AK3020">
        <v>0.61480567409323095</v>
      </c>
      <c r="AL3020">
        <v>88.672221101559003</v>
      </c>
      <c r="AM3020">
        <v>95.701395294251597</v>
      </c>
      <c r="AN3020">
        <v>1.00000002864969</v>
      </c>
    </row>
    <row r="3021" spans="1:40" x14ac:dyDescent="0.25">
      <c r="A3021" t="str">
        <f>"20190305135647361"</f>
        <v>20190305135647361</v>
      </c>
      <c r="B3021" t="str">
        <f>"1551765407355420"</f>
        <v>1551765407355420</v>
      </c>
      <c r="C3021" t="s">
        <v>40</v>
      </c>
      <c r="D3021">
        <v>4.1061399999999999</v>
      </c>
      <c r="E3021">
        <v>0.56292189999999998</v>
      </c>
      <c r="F3021" t="s">
        <v>41</v>
      </c>
      <c r="G3021">
        <v>-235.49680000000001</v>
      </c>
      <c r="H3021">
        <v>1.054648</v>
      </c>
      <c r="I3021">
        <v>140.2106</v>
      </c>
      <c r="J3021">
        <v>-234.94200000000001</v>
      </c>
      <c r="K3021">
        <v>1.1094250000000001</v>
      </c>
      <c r="L3021">
        <v>140.12559999999999</v>
      </c>
      <c r="M3021">
        <v>-0.99943820000000005</v>
      </c>
      <c r="N3021">
        <v>-6.7762159999999998E-3</v>
      </c>
      <c r="O3021">
        <v>3.282355E-2</v>
      </c>
      <c r="P3021">
        <v>-0.99770139999999996</v>
      </c>
      <c r="Q3021">
        <v>1.5824600000000001E-2</v>
      </c>
      <c r="R3021">
        <v>-6.5891989999999998E-2</v>
      </c>
      <c r="S3021">
        <v>-3.030548</v>
      </c>
      <c r="T3021">
        <v>-0.18060680000000001</v>
      </c>
      <c r="U3021">
        <v>0.31636049999999999</v>
      </c>
      <c r="V3021">
        <v>-9.8663200000000006E-2</v>
      </c>
      <c r="W3021">
        <v>2.2311089999999999E-2</v>
      </c>
      <c r="X3021">
        <v>0.9948707</v>
      </c>
      <c r="Y3021">
        <v>7.1029789999999995E-2</v>
      </c>
      <c r="Z3021">
        <v>6.2422930000000001E-4</v>
      </c>
      <c r="AA3021">
        <v>0.99747399999999997</v>
      </c>
      <c r="AB3021">
        <v>35</v>
      </c>
      <c r="AC3021">
        <v>-0.55479999999999996</v>
      </c>
      <c r="AD3021">
        <v>-5.4776999999999999E-2</v>
      </c>
      <c r="AE3021">
        <v>8.5000000000007903E-2</v>
      </c>
      <c r="AF3021">
        <v>6.6113567150906605E-2</v>
      </c>
      <c r="AG3021">
        <v>-5.4776999999999999E-2</v>
      </c>
      <c r="AH3021">
        <v>0.552033202937116</v>
      </c>
      <c r="AI3021">
        <v>95.6268305644967</v>
      </c>
      <c r="AJ3021">
        <v>83.1705708689869</v>
      </c>
      <c r="AK3021">
        <v>0.55867001050300602</v>
      </c>
      <c r="AL3021">
        <v>88.721562577071595</v>
      </c>
      <c r="AM3021">
        <v>95.663611427511697</v>
      </c>
      <c r="AN3021">
        <v>0.99999996074485797</v>
      </c>
    </row>
    <row r="3022" spans="1:40" x14ac:dyDescent="0.25">
      <c r="A3022" t="str">
        <f>"20190305135647381"</f>
        <v>20190305135647381</v>
      </c>
      <c r="B3022" t="str">
        <f>"1551765407374940"</f>
        <v>1551765407374940</v>
      </c>
      <c r="C3022" t="s">
        <v>40</v>
      </c>
      <c r="D3022">
        <v>4.1370889999999996</v>
      </c>
      <c r="E3022">
        <v>0.56296059999999903</v>
      </c>
      <c r="F3022" t="s">
        <v>41</v>
      </c>
      <c r="G3022">
        <v>-235.80789999999999</v>
      </c>
      <c r="H3022">
        <v>1.056236</v>
      </c>
      <c r="I3022">
        <v>140.21549999999999</v>
      </c>
      <c r="J3022">
        <v>-235.25749999999999</v>
      </c>
      <c r="K3022">
        <v>1.1094280000000001</v>
      </c>
      <c r="L3022">
        <v>140.13499999999999</v>
      </c>
      <c r="M3022">
        <v>-0.9994729</v>
      </c>
      <c r="N3022">
        <v>-6.7798709999999998E-3</v>
      </c>
      <c r="O3022">
        <v>3.1749960000000001E-2</v>
      </c>
      <c r="P3022">
        <v>-0.99769079999999999</v>
      </c>
      <c r="Q3022">
        <v>1.508866E-2</v>
      </c>
      <c r="R3022">
        <v>-6.622256E-2</v>
      </c>
      <c r="S3022">
        <v>-3.03064</v>
      </c>
      <c r="T3022">
        <v>-0.1861864</v>
      </c>
      <c r="U3022">
        <v>0.31477359999999999</v>
      </c>
      <c r="V3022">
        <v>-9.7923270000000007E-2</v>
      </c>
      <c r="W3022">
        <v>2.157885E-2</v>
      </c>
      <c r="X3022">
        <v>0.99495999999999996</v>
      </c>
      <c r="Y3022">
        <v>7.1573659999999997E-2</v>
      </c>
      <c r="Z3022">
        <v>7.0630849999999995E-4</v>
      </c>
      <c r="AA3022">
        <v>0.99743510000000002</v>
      </c>
      <c r="AB3022">
        <v>35</v>
      </c>
      <c r="AC3022">
        <v>-0.550399999999996</v>
      </c>
      <c r="AD3022">
        <v>-5.31920000000001E-2</v>
      </c>
      <c r="AE3022">
        <v>8.0500000000000599E-2</v>
      </c>
      <c r="AF3022">
        <v>6.2413119397433499E-2</v>
      </c>
      <c r="AG3022">
        <v>-5.31920000000001E-2</v>
      </c>
      <c r="AH3022">
        <v>0.54767044497900097</v>
      </c>
      <c r="AI3022">
        <v>95.511946842064106</v>
      </c>
      <c r="AJ3022">
        <v>83.498558872275296</v>
      </c>
      <c r="AK3022">
        <v>0.55377585956812403</v>
      </c>
      <c r="AL3022">
        <v>88.763527005030895</v>
      </c>
      <c r="AM3022">
        <v>95.620908629887495</v>
      </c>
      <c r="AN3022">
        <v>1.0000000075874</v>
      </c>
    </row>
    <row r="3023" spans="1:40" x14ac:dyDescent="0.25">
      <c r="A3023" t="str">
        <f>"20190305135647404"</f>
        <v>20190305135647404</v>
      </c>
      <c r="B3023" t="str">
        <f>"1551765407395436"</f>
        <v>1551765407395436</v>
      </c>
      <c r="C3023" t="s">
        <v>40</v>
      </c>
      <c r="D3023">
        <v>4.1339079999999999</v>
      </c>
      <c r="E3023">
        <v>0.56284069999999997</v>
      </c>
      <c r="F3023" t="s">
        <v>41</v>
      </c>
      <c r="G3023">
        <v>-236.11789999999999</v>
      </c>
      <c r="H3023">
        <v>1.0557609999999999</v>
      </c>
      <c r="I3023">
        <v>140.2244</v>
      </c>
      <c r="J3023">
        <v>-235.60550000000001</v>
      </c>
      <c r="K3023">
        <v>1.109434</v>
      </c>
      <c r="L3023">
        <v>140.14500000000001</v>
      </c>
      <c r="M3023">
        <v>-0.9995098</v>
      </c>
      <c r="N3023">
        <v>-6.7843909999999999E-3</v>
      </c>
      <c r="O3023">
        <v>3.0565559999999999E-2</v>
      </c>
      <c r="P3023">
        <v>-0.9977258</v>
      </c>
      <c r="Q3023">
        <v>1.5236319999999999E-2</v>
      </c>
      <c r="R3023">
        <v>-6.5656569999999997E-2</v>
      </c>
      <c r="S3023">
        <v>-3.0306700000000002</v>
      </c>
      <c r="T3023">
        <v>-0.1892209</v>
      </c>
      <c r="U3023">
        <v>0.31430049999999998</v>
      </c>
      <c r="V3023">
        <v>-9.6180189999999999E-2</v>
      </c>
      <c r="W3023">
        <v>2.1735210000000001E-2</v>
      </c>
      <c r="X3023">
        <v>0.99512659999999997</v>
      </c>
      <c r="Y3023">
        <v>7.2593610000000003E-2</v>
      </c>
      <c r="Z3023">
        <v>8.1142429999999895E-4</v>
      </c>
      <c r="AA3023">
        <v>0.99736130000000001</v>
      </c>
      <c r="AB3023">
        <v>35</v>
      </c>
      <c r="AC3023">
        <v>-0.51239999999998498</v>
      </c>
      <c r="AD3023">
        <v>-5.3672999999999998E-2</v>
      </c>
      <c r="AE3023">
        <v>7.9399999999992504E-2</v>
      </c>
      <c r="AF3023">
        <v>6.3025435369328003E-2</v>
      </c>
      <c r="AG3023">
        <v>-5.3672999999999998E-2</v>
      </c>
      <c r="AH3023">
        <v>0.50913223176760003</v>
      </c>
      <c r="AI3023">
        <v>95.972669751293907</v>
      </c>
      <c r="AJ3023">
        <v>82.943259928877694</v>
      </c>
      <c r="AK3023">
        <v>0.51581840395351397</v>
      </c>
      <c r="AL3023">
        <v>88.754566124822603</v>
      </c>
      <c r="AM3023">
        <v>95.520559010815404</v>
      </c>
      <c r="AN3023">
        <v>0.99999999916487003</v>
      </c>
    </row>
    <row r="3024" spans="1:40" x14ac:dyDescent="0.25">
      <c r="A3024" t="str">
        <f>"20190305135647426"</f>
        <v>20190305135647426</v>
      </c>
      <c r="B3024" t="str">
        <f>"1551765407414965"</f>
        <v>1551765407414965</v>
      </c>
      <c r="C3024" t="s">
        <v>40</v>
      </c>
      <c r="D3024">
        <v>4.1214139999999997</v>
      </c>
      <c r="E3024">
        <v>0.56292749999999903</v>
      </c>
      <c r="F3024" t="s">
        <v>41</v>
      </c>
      <c r="G3024">
        <v>-236.43090000000001</v>
      </c>
      <c r="H3024">
        <v>1.0577730000000001</v>
      </c>
      <c r="I3024">
        <v>140.23079999999999</v>
      </c>
      <c r="J3024">
        <v>-235.95869999999999</v>
      </c>
      <c r="K3024">
        <v>1.109451</v>
      </c>
      <c r="L3024">
        <v>140.15469999999999</v>
      </c>
      <c r="M3024">
        <v>-0.99954589999999999</v>
      </c>
      <c r="N3024">
        <v>-6.7893569999999898E-3</v>
      </c>
      <c r="O3024">
        <v>2.9360799999999999E-2</v>
      </c>
      <c r="P3024">
        <v>-0.99775329999999995</v>
      </c>
      <c r="Q3024">
        <v>1.5237000000000001E-2</v>
      </c>
      <c r="R3024">
        <v>-6.5240549999999994E-2</v>
      </c>
      <c r="S3024">
        <v>-3.0304570000000002</v>
      </c>
      <c r="T3024">
        <v>-0.18969449999999999</v>
      </c>
      <c r="U3024">
        <v>0.31492609999999999</v>
      </c>
      <c r="V3024">
        <v>-9.4565759999999999E-2</v>
      </c>
      <c r="W3024">
        <v>2.174427E-2</v>
      </c>
      <c r="X3024">
        <v>0.99528110000000003</v>
      </c>
      <c r="Y3024">
        <v>7.4001220000000006E-2</v>
      </c>
      <c r="Z3024">
        <v>9.2825899999999996E-4</v>
      </c>
      <c r="AA3024">
        <v>0.99725770000000002</v>
      </c>
      <c r="AB3024">
        <v>35</v>
      </c>
      <c r="AC3024">
        <v>-0.472200000000015</v>
      </c>
      <c r="AD3024">
        <v>-5.1678000000000099E-2</v>
      </c>
      <c r="AE3024">
        <v>7.6099999999996698E-2</v>
      </c>
      <c r="AF3024">
        <v>6.1484920499350199E-2</v>
      </c>
      <c r="AG3024">
        <v>-5.1678000000000099E-2</v>
      </c>
      <c r="AH3024">
        <v>0.46875848731138797</v>
      </c>
      <c r="AI3024">
        <v>96.238127941376305</v>
      </c>
      <c r="AJ3024">
        <v>82.527431756246102</v>
      </c>
      <c r="AK3024">
        <v>0.47558966616114801</v>
      </c>
      <c r="AL3024">
        <v>88.754046881120402</v>
      </c>
      <c r="AM3024">
        <v>95.427614399417095</v>
      </c>
      <c r="AN3024">
        <v>0.99999998212970997</v>
      </c>
    </row>
    <row r="3025" spans="1:40" x14ac:dyDescent="0.25">
      <c r="A3025" t="str">
        <f>"20190305135647448"</f>
        <v>20190305135647448</v>
      </c>
      <c r="B3025" t="str">
        <f>"1551765407445212"</f>
        <v>1551765407445212</v>
      </c>
      <c r="C3025" t="s">
        <v>40</v>
      </c>
      <c r="D3025">
        <v>4.0862249999999998</v>
      </c>
      <c r="E3025">
        <v>0.56296709999999905</v>
      </c>
      <c r="F3025" t="s">
        <v>42</v>
      </c>
      <c r="G3025">
        <v>-253.726</v>
      </c>
      <c r="H3025" s="1">
        <v>-3.3117080000000002E-6</v>
      </c>
      <c r="I3025">
        <v>142.01349999999999</v>
      </c>
      <c r="J3025">
        <v>-236.291</v>
      </c>
      <c r="K3025">
        <v>1.1094580000000001</v>
      </c>
      <c r="L3025">
        <v>140.1635</v>
      </c>
      <c r="M3025">
        <v>-0.99957839999999998</v>
      </c>
      <c r="N3025">
        <v>-6.7942790000000003E-3</v>
      </c>
      <c r="O3025">
        <v>2.8232030000000002E-2</v>
      </c>
      <c r="P3025">
        <v>-0.99771469999999995</v>
      </c>
      <c r="Q3025">
        <v>1.6464889999999999E-2</v>
      </c>
      <c r="R3025">
        <v>-6.5532759999999995E-2</v>
      </c>
      <c r="S3025">
        <v>-3.0303800000000001</v>
      </c>
      <c r="T3025">
        <v>-0.1892288</v>
      </c>
      <c r="U3025">
        <v>0.31704710000000003</v>
      </c>
      <c r="V3025">
        <v>-9.3736399999999998E-2</v>
      </c>
      <c r="W3025">
        <v>2.2978970000000001E-2</v>
      </c>
      <c r="X3025">
        <v>0.99533179999999999</v>
      </c>
      <c r="Y3025">
        <v>7.5815190000000005E-2</v>
      </c>
      <c r="Z3025">
        <v>1.0525300000000001E-3</v>
      </c>
      <c r="AA3025">
        <v>0.99712129999999999</v>
      </c>
      <c r="AB3025">
        <v>35</v>
      </c>
      <c r="AC3025">
        <v>-17.434999999999999</v>
      </c>
      <c r="AD3025">
        <v>-1.1094613117080001</v>
      </c>
      <c r="AE3025">
        <v>1.8499999999999901</v>
      </c>
      <c r="AF3025">
        <v>1.3516136322474299</v>
      </c>
      <c r="AG3025">
        <v>-1.1094613117080001</v>
      </c>
      <c r="AH3025">
        <v>17.410564743082599</v>
      </c>
      <c r="AI3025">
        <v>93.6352466337203</v>
      </c>
      <c r="AJ3025">
        <v>85.560928364034595</v>
      </c>
      <c r="AK3025">
        <v>17.498157859789899</v>
      </c>
      <c r="AL3025">
        <v>88.683286065091096</v>
      </c>
      <c r="AM3025">
        <v>95.380021280098205</v>
      </c>
      <c r="AN3025">
        <v>0.99999996891922904</v>
      </c>
    </row>
    <row r="3026" spans="1:40" x14ac:dyDescent="0.25">
      <c r="A3026" t="str">
        <f>"20190305135647470"</f>
        <v>20190305135647470</v>
      </c>
      <c r="B3026" t="str">
        <f>"1551765407465708"</f>
        <v>1551765407465708</v>
      </c>
      <c r="C3026" t="s">
        <v>40</v>
      </c>
      <c r="D3026">
        <v>4.2612949999999996</v>
      </c>
      <c r="E3026">
        <v>0.56294809999999995</v>
      </c>
      <c r="F3026" t="s">
        <v>42</v>
      </c>
      <c r="G3026">
        <v>-254.197</v>
      </c>
      <c r="H3026" s="1">
        <v>-3.1153270000000002E-6</v>
      </c>
      <c r="I3026">
        <v>142.03479999999999</v>
      </c>
      <c r="J3026">
        <v>-236.6353</v>
      </c>
      <c r="K3026">
        <v>1.109456</v>
      </c>
      <c r="L3026">
        <v>140.1722</v>
      </c>
      <c r="M3026">
        <v>-0.99960990000000005</v>
      </c>
      <c r="N3026">
        <v>-6.7994589999999999E-3</v>
      </c>
      <c r="O3026">
        <v>2.708957E-2</v>
      </c>
      <c r="P3026">
        <v>-0.997668</v>
      </c>
      <c r="Q3026">
        <v>1.8099250000000001E-2</v>
      </c>
      <c r="R3026">
        <v>-6.5811599999999998E-2</v>
      </c>
      <c r="S3026">
        <v>-3.0307620000000002</v>
      </c>
      <c r="T3026">
        <v>-0.18778819999999999</v>
      </c>
      <c r="U3026">
        <v>0.31675720000000002</v>
      </c>
      <c r="V3026">
        <v>-9.2879379999999997E-2</v>
      </c>
      <c r="W3026">
        <v>2.462311E-2</v>
      </c>
      <c r="X3026">
        <v>0.99537279999999995</v>
      </c>
      <c r="Y3026">
        <v>7.6845150000000001E-2</v>
      </c>
      <c r="Z3026">
        <v>1.146235E-3</v>
      </c>
      <c r="AA3026">
        <v>0.9970424</v>
      </c>
      <c r="AB3026">
        <v>35</v>
      </c>
      <c r="AC3026">
        <v>-17.561699999999998</v>
      </c>
      <c r="AD3026">
        <v>-1.1094591153269999</v>
      </c>
      <c r="AE3026">
        <v>1.86259999999998</v>
      </c>
      <c r="AF3026">
        <v>1.38071727738119</v>
      </c>
      <c r="AG3026">
        <v>-1.1094591153269999</v>
      </c>
      <c r="AH3026">
        <v>17.536502044682901</v>
      </c>
      <c r="AI3026">
        <v>93.6088941967446</v>
      </c>
      <c r="AJ3026">
        <v>85.498166569501507</v>
      </c>
      <c r="AK3026">
        <v>17.625725054357599</v>
      </c>
      <c r="AL3026">
        <v>88.589057039611106</v>
      </c>
      <c r="AM3026">
        <v>95.330898807098094</v>
      </c>
      <c r="AN3026">
        <v>0.99999994387754598</v>
      </c>
    </row>
    <row r="3027" spans="1:40" x14ac:dyDescent="0.25">
      <c r="A3027" t="str">
        <f>"20190305135647494"</f>
        <v>20190305135647494</v>
      </c>
      <c r="B3027" t="str">
        <f>"1551765407485229"</f>
        <v>1551765407485229</v>
      </c>
      <c r="C3027" t="s">
        <v>40</v>
      </c>
      <c r="D3027">
        <v>4.0411010000000003</v>
      </c>
      <c r="E3027">
        <v>0.56075989999999998</v>
      </c>
      <c r="F3027" t="s">
        <v>41</v>
      </c>
      <c r="G3027">
        <v>-237.67429999999999</v>
      </c>
      <c r="H3027">
        <v>1.046419</v>
      </c>
      <c r="I3027">
        <v>140.28049999999999</v>
      </c>
      <c r="J3027">
        <v>-237.0067</v>
      </c>
      <c r="K3027">
        <v>1.109423</v>
      </c>
      <c r="L3027">
        <v>140.18119999999999</v>
      </c>
      <c r="M3027">
        <v>-0.99964059999999999</v>
      </c>
      <c r="N3027">
        <v>-6.8048680000000004E-3</v>
      </c>
      <c r="O3027">
        <v>2.593293E-2</v>
      </c>
      <c r="P3027">
        <v>-0.99761200000000005</v>
      </c>
      <c r="Q3027">
        <v>1.9009350000000001E-2</v>
      </c>
      <c r="R3027">
        <v>-6.640103E-2</v>
      </c>
      <c r="S3027">
        <v>-3.031174</v>
      </c>
      <c r="T3027">
        <v>-0.18397949999999999</v>
      </c>
      <c r="U3027">
        <v>0.31565860000000001</v>
      </c>
      <c r="V3027">
        <v>-9.2315240000000007E-2</v>
      </c>
      <c r="W3027">
        <v>2.554932E-2</v>
      </c>
      <c r="X3027">
        <v>0.99540200000000001</v>
      </c>
      <c r="Y3027">
        <v>7.7628359999999993E-2</v>
      </c>
      <c r="Z3027">
        <v>1.2207139999999999E-3</v>
      </c>
      <c r="AA3027">
        <v>0.99698160000000002</v>
      </c>
      <c r="AB3027">
        <v>35</v>
      </c>
      <c r="AC3027">
        <v>-0.66759999999999298</v>
      </c>
      <c r="AD3027">
        <v>-6.3004000000000004E-2</v>
      </c>
      <c r="AE3027">
        <v>9.92999999999995E-2</v>
      </c>
      <c r="AF3027">
        <v>8.1245434741646902E-2</v>
      </c>
      <c r="AG3027">
        <v>-6.3004000000000004E-2</v>
      </c>
      <c r="AH3027">
        <v>0.66416337996424402</v>
      </c>
      <c r="AI3027">
        <v>95.379128300135804</v>
      </c>
      <c r="AJ3027">
        <v>83.025801087883593</v>
      </c>
      <c r="AK3027">
        <v>0.67207389472281098</v>
      </c>
      <c r="AL3027">
        <v>88.535972496216999</v>
      </c>
      <c r="AM3027">
        <v>95.298549771569299</v>
      </c>
      <c r="AN3027">
        <v>1.0000000064463599</v>
      </c>
    </row>
    <row r="3028" spans="1:40" x14ac:dyDescent="0.25">
      <c r="A3028" t="str">
        <f>"20190305135647516"</f>
        <v>20190305135647516</v>
      </c>
      <c r="B3028" t="str">
        <f>"1551765407505724"</f>
        <v>1551765407505724</v>
      </c>
      <c r="C3028" t="s">
        <v>40</v>
      </c>
      <c r="D3028">
        <v>4.388198</v>
      </c>
      <c r="E3028">
        <v>0.5580792</v>
      </c>
      <c r="F3028" t="s">
        <v>41</v>
      </c>
      <c r="G3028">
        <v>-237.9948</v>
      </c>
      <c r="H3028">
        <v>1.0531459999999999</v>
      </c>
      <c r="I3028">
        <v>140.27789999999999</v>
      </c>
      <c r="J3028">
        <v>-237.37459999999999</v>
      </c>
      <c r="K3028">
        <v>1.10937</v>
      </c>
      <c r="L3028">
        <v>140.18969999999999</v>
      </c>
      <c r="M3028">
        <v>-0.9996678</v>
      </c>
      <c r="N3028">
        <v>-6.8102589999999999E-3</v>
      </c>
      <c r="O3028">
        <v>2.4864859999999999E-2</v>
      </c>
      <c r="P3028">
        <v>-0.99756809999999996</v>
      </c>
      <c r="Q3028">
        <v>1.938086E-2</v>
      </c>
      <c r="R3028">
        <v>-6.695131E-2</v>
      </c>
      <c r="S3028">
        <v>-3.0301670000000001</v>
      </c>
      <c r="T3028">
        <v>-0.17273269999999999</v>
      </c>
      <c r="U3028">
        <v>0.29594419999999999</v>
      </c>
      <c r="V3028">
        <v>-9.1798370000000004E-2</v>
      </c>
      <c r="W3028">
        <v>2.5939719999999999E-2</v>
      </c>
      <c r="X3028">
        <v>0.99543970000000004</v>
      </c>
      <c r="Y3028">
        <v>7.2326470000000004E-2</v>
      </c>
      <c r="Z3028">
        <v>1.058518E-3</v>
      </c>
      <c r="AA3028">
        <v>0.99738039999999994</v>
      </c>
      <c r="AB3028">
        <v>35</v>
      </c>
      <c r="AC3028">
        <v>-0.62020000000001096</v>
      </c>
      <c r="AD3028">
        <v>-5.6224000000000003E-2</v>
      </c>
      <c r="AE3028">
        <v>8.82000000000005E-2</v>
      </c>
      <c r="AF3028">
        <v>7.2169835004621805E-2</v>
      </c>
      <c r="AG3028">
        <v>-5.6224000000000003E-2</v>
      </c>
      <c r="AH3028">
        <v>0.61722937264798305</v>
      </c>
      <c r="AI3028">
        <v>95.169735734346702</v>
      </c>
      <c r="AJ3028">
        <v>83.330946124577096</v>
      </c>
      <c r="AK3028">
        <v>0.623972532824977</v>
      </c>
      <c r="AL3028">
        <v>88.5135968025685</v>
      </c>
      <c r="AM3028">
        <v>95.268852378700799</v>
      </c>
      <c r="AN3028">
        <v>1.00000000307221</v>
      </c>
    </row>
    <row r="3029" spans="1:40" x14ac:dyDescent="0.25">
      <c r="A3029" t="str">
        <f>"20190305135647540"</f>
        <v>20190305135647540</v>
      </c>
      <c r="B3029" t="str">
        <f>"1551765407535513"</f>
        <v>1551765407535513</v>
      </c>
      <c r="C3029" t="s">
        <v>40</v>
      </c>
      <c r="D3029">
        <v>4.0274000000000001</v>
      </c>
      <c r="E3029">
        <v>0.55485359999999995</v>
      </c>
      <c r="F3029" t="s">
        <v>41</v>
      </c>
      <c r="G3029">
        <v>-238.31530000000001</v>
      </c>
      <c r="H3029">
        <v>1.0579989999999999</v>
      </c>
      <c r="I3029">
        <v>140.27420000000001</v>
      </c>
      <c r="J3029">
        <v>-237.7466</v>
      </c>
      <c r="K3029">
        <v>1.1092839999999999</v>
      </c>
      <c r="L3029">
        <v>140.19810000000001</v>
      </c>
      <c r="M3029">
        <v>-0.99969079999999999</v>
      </c>
      <c r="N3029">
        <v>-6.8158200000000002E-3</v>
      </c>
      <c r="O3029">
        <v>2.3915289999999999E-2</v>
      </c>
      <c r="P3029">
        <v>-0.99754419999999999</v>
      </c>
      <c r="Q3029">
        <v>1.9216250000000001E-2</v>
      </c>
      <c r="R3029">
        <v>-6.7353590000000005E-2</v>
      </c>
      <c r="S3029">
        <v>-3.028778</v>
      </c>
      <c r="T3029">
        <v>-0.16534079999999901</v>
      </c>
      <c r="U3029">
        <v>0.27221679999999998</v>
      </c>
      <c r="V3029">
        <v>-9.1248570000000001E-2</v>
      </c>
      <c r="W3029">
        <v>2.5800050000000001E-2</v>
      </c>
      <c r="X3029">
        <v>0.99549390000000004</v>
      </c>
      <c r="Y3029">
        <v>6.5588530000000006E-2</v>
      </c>
      <c r="Z3029">
        <v>8.7059609999999999E-4</v>
      </c>
      <c r="AA3029">
        <v>0.99784640000000002</v>
      </c>
      <c r="AB3029">
        <v>35</v>
      </c>
      <c r="AC3029">
        <v>-0.56870000000000598</v>
      </c>
      <c r="AD3029">
        <v>-5.1284999999999997E-2</v>
      </c>
      <c r="AE3029">
        <v>7.6099999999996698E-2</v>
      </c>
      <c r="AF3029">
        <v>6.1982101721561898E-2</v>
      </c>
      <c r="AG3029">
        <v>-5.1284999999999997E-2</v>
      </c>
      <c r="AH3029">
        <v>0.56583671728387197</v>
      </c>
      <c r="AI3029">
        <v>95.148263761471398</v>
      </c>
      <c r="AJ3029">
        <v>83.748708982356703</v>
      </c>
      <c r="AK3029">
        <v>0.57152700967269299</v>
      </c>
      <c r="AL3029">
        <v>88.521602014979294</v>
      </c>
      <c r="AM3029">
        <v>95.237188548669494</v>
      </c>
      <c r="AN3029">
        <v>1.0000000245221199</v>
      </c>
    </row>
    <row r="3030" spans="1:40" x14ac:dyDescent="0.25">
      <c r="A3030" t="str">
        <f>"20190305135647560"</f>
        <v>20190305135647560</v>
      </c>
      <c r="B3030" t="str">
        <f>"1551765407555032"</f>
        <v>1551765407555032</v>
      </c>
      <c r="C3030" t="s">
        <v>40</v>
      </c>
      <c r="D3030">
        <v>4.0098050000000001</v>
      </c>
      <c r="E3030">
        <v>0.55305019999999905</v>
      </c>
      <c r="F3030" t="s">
        <v>42</v>
      </c>
      <c r="G3030">
        <v>-259.0333</v>
      </c>
      <c r="H3030" s="1">
        <v>-1.009537E-6</v>
      </c>
      <c r="I3030">
        <v>141.91820000000001</v>
      </c>
      <c r="J3030">
        <v>-238.06899999999999</v>
      </c>
      <c r="K3030">
        <v>1.109186</v>
      </c>
      <c r="L3030">
        <v>140.20519999999999</v>
      </c>
      <c r="M3030">
        <v>-0.9997066</v>
      </c>
      <c r="N3030">
        <v>-6.8207759999999997E-3</v>
      </c>
      <c r="O3030">
        <v>2.325122E-2</v>
      </c>
      <c r="P3030">
        <v>-0.99751310000000004</v>
      </c>
      <c r="Q3030">
        <v>1.8510559999999999E-2</v>
      </c>
      <c r="R3030">
        <v>-6.8009910000000007E-2</v>
      </c>
      <c r="S3030">
        <v>-3.0269469999999998</v>
      </c>
      <c r="T3030">
        <v>-0.15773960000000001</v>
      </c>
      <c r="U3030">
        <v>0.24461359999999999</v>
      </c>
      <c r="V3030">
        <v>-9.123494E-2</v>
      </c>
      <c r="W3030">
        <v>2.512269E-2</v>
      </c>
      <c r="X3030">
        <v>0.99551239999999996</v>
      </c>
      <c r="Y3030">
        <v>5.7287739999999997E-2</v>
      </c>
      <c r="Z3030">
        <v>6.3487210000000001E-4</v>
      </c>
      <c r="AA3030">
        <v>0.99835750000000001</v>
      </c>
      <c r="AB3030">
        <v>35</v>
      </c>
      <c r="AC3030">
        <v>-20.964299999999898</v>
      </c>
      <c r="AD3030">
        <v>-1.109187009537</v>
      </c>
      <c r="AE3030">
        <v>1.7130000000000201</v>
      </c>
      <c r="AF3030">
        <v>1.22168291893702</v>
      </c>
      <c r="AG3030">
        <v>-1.109187009537</v>
      </c>
      <c r="AH3030">
        <v>20.940233239687799</v>
      </c>
      <c r="AI3030">
        <v>93.026939456726495</v>
      </c>
      <c r="AJ3030">
        <v>86.661067759653307</v>
      </c>
      <c r="AK3030">
        <v>21.0051463481946</v>
      </c>
      <c r="AL3030">
        <v>88.560424364372096</v>
      </c>
      <c r="AM3030">
        <v>95.236313838092698</v>
      </c>
      <c r="AN3030">
        <v>0.99999995119169804</v>
      </c>
    </row>
    <row r="3031" spans="1:40" x14ac:dyDescent="0.25">
      <c r="A3031" t="str">
        <f>"20190305135647604"</f>
        <v>20190305135647604</v>
      </c>
      <c r="B3031" t="str">
        <f>"1551765407595048"</f>
        <v>1551765407595048</v>
      </c>
      <c r="C3031" t="s">
        <v>40</v>
      </c>
      <c r="D3031">
        <v>3.9987680000000001</v>
      </c>
      <c r="E3031">
        <v>0.54981340000000001</v>
      </c>
      <c r="F3031" t="s">
        <v>42</v>
      </c>
      <c r="G3031">
        <v>-259.798</v>
      </c>
      <c r="H3031" s="1">
        <v>-6.614877E-7</v>
      </c>
      <c r="I3031">
        <v>141.84309999999999</v>
      </c>
      <c r="J3031">
        <v>-238.76900000000001</v>
      </c>
      <c r="K3031">
        <v>1.108849</v>
      </c>
      <c r="L3031">
        <v>140.22049999999999</v>
      </c>
      <c r="M3031">
        <v>-0.99972430000000001</v>
      </c>
      <c r="N3031">
        <v>-6.8327079999999998E-3</v>
      </c>
      <c r="O3031">
        <v>2.2462349999999999E-2</v>
      </c>
      <c r="P3031">
        <v>-0.997367</v>
      </c>
      <c r="Q3031">
        <v>1.839234E-2</v>
      </c>
      <c r="R3031">
        <v>-7.0149729999999993E-2</v>
      </c>
      <c r="S3031">
        <v>-3.0258940000000001</v>
      </c>
      <c r="T3031">
        <v>-0.1544613</v>
      </c>
      <c r="U3031">
        <v>0.22810359999999999</v>
      </c>
      <c r="V3031">
        <v>-9.2564569999999999E-2</v>
      </c>
      <c r="W3031">
        <v>2.5087890000000002E-2</v>
      </c>
      <c r="X3031">
        <v>0.99539060000000001</v>
      </c>
      <c r="Y3031">
        <v>5.2696720000000002E-2</v>
      </c>
      <c r="Z3031">
        <v>5.3191079999999997E-4</v>
      </c>
      <c r="AA3031">
        <v>0.99861040000000001</v>
      </c>
      <c r="AB3031">
        <v>35</v>
      </c>
      <c r="AC3031">
        <v>-21.029</v>
      </c>
      <c r="AD3031">
        <v>-1.1088496614876999</v>
      </c>
      <c r="AE3031">
        <v>1.6226</v>
      </c>
      <c r="AF3031">
        <v>1.14664949668502</v>
      </c>
      <c r="AG3031">
        <v>-1.1088496614876999</v>
      </c>
      <c r="AH3031">
        <v>21.0020934510773</v>
      </c>
      <c r="AI3031">
        <v>93.017758942255597</v>
      </c>
      <c r="AJ3031">
        <v>86.874929864389202</v>
      </c>
      <c r="AK3031">
        <v>21.062580135581999</v>
      </c>
      <c r="AL3031">
        <v>88.562418991231198</v>
      </c>
      <c r="AM3031">
        <v>95.312839101390907</v>
      </c>
      <c r="AN3031">
        <v>1.00000002420614</v>
      </c>
    </row>
    <row r="3032" spans="1:40" x14ac:dyDescent="0.25">
      <c r="A3032" t="str">
        <f>"20190305135647627"</f>
        <v>20190305135647627</v>
      </c>
      <c r="B3032" t="str">
        <f>"1551765407615544"</f>
        <v>1551765407615544</v>
      </c>
      <c r="C3032" t="s">
        <v>40</v>
      </c>
      <c r="D3032">
        <v>4.1415369999999996</v>
      </c>
      <c r="E3032">
        <v>0.54812989999999995</v>
      </c>
      <c r="F3032" t="s">
        <v>42</v>
      </c>
      <c r="G3032">
        <v>-261.72250000000003</v>
      </c>
      <c r="H3032" s="1">
        <v>-4.0604699999999999E-6</v>
      </c>
      <c r="I3032">
        <v>141.7056</v>
      </c>
      <c r="J3032">
        <v>-239.12700000000001</v>
      </c>
      <c r="K3032">
        <v>1.108657</v>
      </c>
      <c r="L3032">
        <v>140.22839999999999</v>
      </c>
      <c r="M3032">
        <v>-0.99972530000000004</v>
      </c>
      <c r="N3032">
        <v>-6.8396730000000001E-3</v>
      </c>
      <c r="O3032">
        <v>2.242181E-2</v>
      </c>
      <c r="P3032">
        <v>-0.99730419999999997</v>
      </c>
      <c r="Q3032">
        <v>1.8568020000000001E-2</v>
      </c>
      <c r="R3032">
        <v>-7.0991589999999993E-2</v>
      </c>
      <c r="S3032">
        <v>-3.0243679999999999</v>
      </c>
      <c r="T3032">
        <v>-0.14610339999999999</v>
      </c>
      <c r="U3032">
        <v>0.19569400000000001</v>
      </c>
      <c r="V3032">
        <v>-9.3352379999999999E-2</v>
      </c>
      <c r="W3032">
        <v>2.531431E-2</v>
      </c>
      <c r="X3032">
        <v>0.99531130000000001</v>
      </c>
      <c r="Y3032">
        <v>4.2142230000000003E-2</v>
      </c>
      <c r="Z3032">
        <v>2.326471E-4</v>
      </c>
      <c r="AA3032">
        <v>0.99911159999999999</v>
      </c>
      <c r="AB3032">
        <v>36</v>
      </c>
      <c r="AC3032">
        <v>-22.595500000000001</v>
      </c>
      <c r="AD3032">
        <v>-1.10866106047</v>
      </c>
      <c r="AE3032">
        <v>1.4772000000000101</v>
      </c>
      <c r="AF3032">
        <v>0.96786465443381797</v>
      </c>
      <c r="AG3032">
        <v>-1.10866106047</v>
      </c>
      <c r="AH3032">
        <v>22.568839814836199</v>
      </c>
      <c r="AI3032">
        <v>92.809731810054302</v>
      </c>
      <c r="AJ3032">
        <v>87.544375260848895</v>
      </c>
      <c r="AK3032">
        <v>22.6167730218977</v>
      </c>
      <c r="AL3032">
        <v>88.549441971708603</v>
      </c>
      <c r="AM3032">
        <v>95.358218624806895</v>
      </c>
      <c r="AN3032">
        <v>1.00000003252506</v>
      </c>
    </row>
    <row r="3033" spans="1:40" x14ac:dyDescent="0.25">
      <c r="A3033" t="str">
        <f>"20190305135647659"</f>
        <v>20190305135647659</v>
      </c>
      <c r="B3033" t="str">
        <f>"1551765407655561"</f>
        <v>1551765407655561</v>
      </c>
      <c r="C3033" t="s">
        <v>40</v>
      </c>
      <c r="D3033">
        <v>4.0005850000000001</v>
      </c>
      <c r="E3033">
        <v>0.5452361</v>
      </c>
      <c r="F3033" t="s">
        <v>42</v>
      </c>
      <c r="G3033">
        <v>-262.13369999999998</v>
      </c>
      <c r="H3033" s="1">
        <v>-3.8835780000000002E-6</v>
      </c>
      <c r="I3033">
        <v>141.59549999999999</v>
      </c>
      <c r="J3033">
        <v>-239.64230000000001</v>
      </c>
      <c r="K3033">
        <v>1.1083130000000001</v>
      </c>
      <c r="L3033">
        <v>140.24039999999999</v>
      </c>
      <c r="M3033">
        <v>-0.99971279999999996</v>
      </c>
      <c r="N3033">
        <v>-6.8518939999999999E-3</v>
      </c>
      <c r="O3033">
        <v>2.296424E-2</v>
      </c>
      <c r="P3033">
        <v>-0.99726300000000001</v>
      </c>
      <c r="Q3033">
        <v>1.8653739999999999E-2</v>
      </c>
      <c r="R3033">
        <v>-7.1545529999999996E-2</v>
      </c>
      <c r="S3033">
        <v>-3.0236049999999999</v>
      </c>
      <c r="T3033">
        <v>-0.145703799999999</v>
      </c>
      <c r="U3033">
        <v>0.1796722</v>
      </c>
      <c r="V3033">
        <v>-9.4424019999999997E-2</v>
      </c>
      <c r="W3033">
        <v>2.549069E-2</v>
      </c>
      <c r="X3033">
        <v>0.99520569999999997</v>
      </c>
      <c r="Y3033">
        <v>3.635008E-2</v>
      </c>
      <c r="Z3033" s="1">
        <v>5.1710060000000002E-5</v>
      </c>
      <c r="AA3033">
        <v>0.99933910000000004</v>
      </c>
      <c r="AB3033">
        <v>36</v>
      </c>
      <c r="AC3033">
        <v>-22.491399999999899</v>
      </c>
      <c r="AD3033">
        <v>-1.108316883578</v>
      </c>
      <c r="AE3033">
        <v>1.35509999999999</v>
      </c>
      <c r="AF3033">
        <v>0.83620940180772796</v>
      </c>
      <c r="AG3033">
        <v>-1.108316883578</v>
      </c>
      <c r="AH3033">
        <v>22.462241172888199</v>
      </c>
      <c r="AI3033">
        <v>92.822806985476802</v>
      </c>
      <c r="AJ3033">
        <v>87.868015282757995</v>
      </c>
      <c r="AK3033">
        <v>22.505108108762599</v>
      </c>
      <c r="AL3033">
        <v>88.539332873767606</v>
      </c>
      <c r="AM3033">
        <v>95.419935842108302</v>
      </c>
      <c r="AN3033">
        <v>1.0000000280710599</v>
      </c>
    </row>
    <row r="3034" spans="1:40" x14ac:dyDescent="0.25">
      <c r="A3034" t="str">
        <f>"20190305135647682"</f>
        <v>20190305135647682</v>
      </c>
      <c r="B3034" t="str">
        <f>"1551765407675080"</f>
        <v>1551765407675080</v>
      </c>
      <c r="C3034" t="s">
        <v>40</v>
      </c>
      <c r="D3034">
        <v>4.0108379999999997</v>
      </c>
      <c r="E3034">
        <v>0.5439678</v>
      </c>
      <c r="F3034" t="s">
        <v>42</v>
      </c>
      <c r="G3034">
        <v>-262.78739999999999</v>
      </c>
      <c r="H3034" s="1">
        <v>-3.5585549999999999E-6</v>
      </c>
      <c r="I3034">
        <v>141.428</v>
      </c>
      <c r="J3034">
        <v>-240.0247</v>
      </c>
      <c r="K3034">
        <v>1.108017</v>
      </c>
      <c r="L3034">
        <v>140.24979999999999</v>
      </c>
      <c r="M3034">
        <v>-0.99969300000000005</v>
      </c>
      <c r="N3034">
        <v>-6.8629850000000003E-3</v>
      </c>
      <c r="O3034">
        <v>2.3809779999999999E-2</v>
      </c>
      <c r="P3034">
        <v>-0.99723709999999999</v>
      </c>
      <c r="Q3034">
        <v>1.875694E-2</v>
      </c>
      <c r="R3034">
        <v>-7.1876609999999994E-2</v>
      </c>
      <c r="S3034">
        <v>-3.0220639999999999</v>
      </c>
      <c r="T3034">
        <v>-0.14471329999999999</v>
      </c>
      <c r="U3034">
        <v>0.15507509999999999</v>
      </c>
      <c r="V3034">
        <v>-9.5577640000000005E-2</v>
      </c>
      <c r="W3034">
        <v>2.567231E-2</v>
      </c>
      <c r="X3034">
        <v>0.9950909</v>
      </c>
      <c r="Y3034">
        <v>2.7437380000000001E-2</v>
      </c>
      <c r="Z3034">
        <v>-2.2483679999999999E-4</v>
      </c>
      <c r="AA3034">
        <v>0.9996235</v>
      </c>
      <c r="AB3034">
        <v>36</v>
      </c>
      <c r="AC3034">
        <v>-22.762699999999899</v>
      </c>
      <c r="AD3034">
        <v>-1.108020558555</v>
      </c>
      <c r="AE3034">
        <v>1.1781999999999999</v>
      </c>
      <c r="AF3034">
        <v>0.63437924128736201</v>
      </c>
      <c r="AG3034">
        <v>-1.108020558555</v>
      </c>
      <c r="AH3034">
        <v>22.730584830372798</v>
      </c>
      <c r="AI3034">
        <v>92.789635174463299</v>
      </c>
      <c r="AJ3034">
        <v>88.401368862021997</v>
      </c>
      <c r="AK3034">
        <v>22.766414590592198</v>
      </c>
      <c r="AL3034">
        <v>88.5289234049432</v>
      </c>
      <c r="AM3034">
        <v>95.4863810814592</v>
      </c>
      <c r="AN3034">
        <v>1.00000002601575</v>
      </c>
    </row>
    <row r="3035" spans="1:40" x14ac:dyDescent="0.25">
      <c r="A3035" t="str">
        <f>"20190305135647705"</f>
        <v>20190305135647705</v>
      </c>
      <c r="B3035" t="str">
        <f>"1551765407695577"</f>
        <v>1551765407695577</v>
      </c>
      <c r="C3035" t="s">
        <v>40</v>
      </c>
      <c r="D3035">
        <v>3.9253089999999999</v>
      </c>
      <c r="E3035">
        <v>0.54290130000000003</v>
      </c>
      <c r="F3035" t="s">
        <v>42</v>
      </c>
      <c r="G3035">
        <v>-263.21129999999999</v>
      </c>
      <c r="H3035" s="1">
        <v>-3.3570979999999898E-6</v>
      </c>
      <c r="I3035">
        <v>141.35419999999999</v>
      </c>
      <c r="J3035">
        <v>-240.3921</v>
      </c>
      <c r="K3035">
        <v>1.1077319999999999</v>
      </c>
      <c r="L3035">
        <v>140.2595</v>
      </c>
      <c r="M3035">
        <v>-0.99966500000000003</v>
      </c>
      <c r="N3035">
        <v>-6.8741619999999996E-3</v>
      </c>
      <c r="O3035">
        <v>2.495151E-2</v>
      </c>
      <c r="P3035">
        <v>-0.99722679999999997</v>
      </c>
      <c r="Q3035">
        <v>1.9070299999999998E-2</v>
      </c>
      <c r="R3035">
        <v>-7.1937639999999997E-2</v>
      </c>
      <c r="S3035">
        <v>-3.0214080000000001</v>
      </c>
      <c r="T3035">
        <v>-0.1443845</v>
      </c>
      <c r="U3035">
        <v>0.14392089999999999</v>
      </c>
      <c r="V3035">
        <v>-9.6757120000000002E-2</v>
      </c>
      <c r="W3035">
        <v>2.6063650000000001E-2</v>
      </c>
      <c r="X3035">
        <v>0.99496669999999998</v>
      </c>
      <c r="Y3035">
        <v>2.263244E-2</v>
      </c>
      <c r="Z3035">
        <v>-4.0131619999999999E-4</v>
      </c>
      <c r="AA3035">
        <v>0.99974379999999996</v>
      </c>
      <c r="AB3035">
        <v>36</v>
      </c>
      <c r="AC3035">
        <v>-22.819199999999899</v>
      </c>
      <c r="AD3035">
        <v>-1.107735357098</v>
      </c>
      <c r="AE3035">
        <v>1.09469999999998</v>
      </c>
      <c r="AF3035">
        <v>0.52374082476913797</v>
      </c>
      <c r="AG3035">
        <v>-1.107735357098</v>
      </c>
      <c r="AH3035">
        <v>22.785838254614301</v>
      </c>
      <c r="AI3035">
        <v>92.782513850957201</v>
      </c>
      <c r="AJ3035">
        <v>88.683267411379106</v>
      </c>
      <c r="AK3035">
        <v>22.818759980295599</v>
      </c>
      <c r="AL3035">
        <v>88.506493721696799</v>
      </c>
      <c r="AM3035">
        <v>95.554354199313806</v>
      </c>
      <c r="AN3035">
        <v>0.99999999411545304</v>
      </c>
    </row>
    <row r="3036" spans="1:40" x14ac:dyDescent="0.25">
      <c r="A3036" t="str">
        <f>"20190305135647728"</f>
        <v>20190305135647728</v>
      </c>
      <c r="B3036" t="str">
        <f>"1551765407725833"</f>
        <v>1551765407725833</v>
      </c>
      <c r="C3036" t="s">
        <v>40</v>
      </c>
      <c r="D3036">
        <v>4.0674080000000004</v>
      </c>
      <c r="E3036">
        <v>0.54161700000000002</v>
      </c>
      <c r="F3036" t="s">
        <v>42</v>
      </c>
      <c r="G3036">
        <v>-263.89210000000003</v>
      </c>
      <c r="H3036" s="1">
        <v>-3.0534700000000001E-6</v>
      </c>
      <c r="I3036">
        <v>141.3108</v>
      </c>
      <c r="J3036">
        <v>-240.76320000000001</v>
      </c>
      <c r="K3036">
        <v>1.1074520000000001</v>
      </c>
      <c r="L3036">
        <v>140.27000000000001</v>
      </c>
      <c r="M3036">
        <v>-0.99962709999999999</v>
      </c>
      <c r="N3036">
        <v>-6.8856560000000004E-3</v>
      </c>
      <c r="O3036">
        <v>2.642926E-2</v>
      </c>
      <c r="P3036">
        <v>-0.99726340000000002</v>
      </c>
      <c r="Q3036">
        <v>1.9310259999999999E-2</v>
      </c>
      <c r="R3036">
        <v>-7.1365049999999999E-2</v>
      </c>
      <c r="S3036">
        <v>-3.0208279999999998</v>
      </c>
      <c r="T3036">
        <v>-0.14239499999999999</v>
      </c>
      <c r="U3036">
        <v>0.13514709999999999</v>
      </c>
      <c r="V3036">
        <v>-9.7637769999999999E-2</v>
      </c>
      <c r="W3036">
        <v>2.6383980000000001E-2</v>
      </c>
      <c r="X3036">
        <v>0.99487219999999998</v>
      </c>
      <c r="Y3036">
        <v>1.8272770000000001E-2</v>
      </c>
      <c r="Z3036">
        <v>-5.6916269999999895E-4</v>
      </c>
      <c r="AA3036">
        <v>0.99983290000000002</v>
      </c>
      <c r="AB3036">
        <v>36</v>
      </c>
      <c r="AC3036">
        <v>-23.128900000000002</v>
      </c>
      <c r="AD3036">
        <v>-1.1074550534700001</v>
      </c>
      <c r="AE3036">
        <v>1.04079999999999</v>
      </c>
      <c r="AF3036">
        <v>0.42816263886880601</v>
      </c>
      <c r="AG3036">
        <v>-1.1074550534700001</v>
      </c>
      <c r="AH3036">
        <v>23.095485189796499</v>
      </c>
      <c r="AI3036">
        <v>92.744824737512602</v>
      </c>
      <c r="AJ3036">
        <v>88.937926521332102</v>
      </c>
      <c r="AK3036">
        <v>23.125985732350699</v>
      </c>
      <c r="AL3036">
        <v>88.488133816134706</v>
      </c>
      <c r="AM3036">
        <v>95.605116564748997</v>
      </c>
      <c r="AN3036">
        <v>0.99999997143202601</v>
      </c>
    </row>
    <row r="3037" spans="1:40" x14ac:dyDescent="0.25">
      <c r="A3037" t="str">
        <f>"20190305135647750"</f>
        <v>20190305135647750</v>
      </c>
      <c r="B3037" t="str">
        <f>"1551765407745352"</f>
        <v>1551765407745352</v>
      </c>
      <c r="C3037" t="s">
        <v>40</v>
      </c>
      <c r="D3037">
        <v>3.9698989999999998</v>
      </c>
      <c r="E3037">
        <v>0.54082980000000003</v>
      </c>
      <c r="F3037" t="s">
        <v>42</v>
      </c>
      <c r="G3037">
        <v>-264.96030000000002</v>
      </c>
      <c r="H3037" s="1">
        <v>-2.587862E-6</v>
      </c>
      <c r="I3037">
        <v>141.28309999999999</v>
      </c>
      <c r="J3037">
        <v>-241.11879999999999</v>
      </c>
      <c r="K3037">
        <v>1.1071899999999999</v>
      </c>
      <c r="L3037">
        <v>140.2807</v>
      </c>
      <c r="M3037">
        <v>-0.99958040000000004</v>
      </c>
      <c r="N3037">
        <v>-6.8968619999999897E-3</v>
      </c>
      <c r="O3037">
        <v>2.8134889999999999E-2</v>
      </c>
      <c r="P3037">
        <v>-0.99735490000000004</v>
      </c>
      <c r="Q3037">
        <v>1.9575700000000001E-2</v>
      </c>
      <c r="R3037">
        <v>-7.0002079999999994E-2</v>
      </c>
      <c r="S3037">
        <v>-3.0199280000000002</v>
      </c>
      <c r="T3037">
        <v>-0.1382166</v>
      </c>
      <c r="U3037">
        <v>0.1264496</v>
      </c>
      <c r="V3037">
        <v>-9.7958030000000001E-2</v>
      </c>
      <c r="W3037">
        <v>2.6723839999999999E-2</v>
      </c>
      <c r="X3037">
        <v>0.99483169999999999</v>
      </c>
      <c r="Y3037">
        <v>1.371228E-2</v>
      </c>
      <c r="Z3037">
        <v>-7.3138079999999996E-4</v>
      </c>
      <c r="AA3037">
        <v>0.99990570000000001</v>
      </c>
      <c r="AB3037">
        <v>36</v>
      </c>
      <c r="AC3037">
        <v>-23.8415</v>
      </c>
      <c r="AD3037">
        <v>-1.1071925878619999</v>
      </c>
      <c r="AE3037">
        <v>1.00239999999999</v>
      </c>
      <c r="AF3037">
        <v>0.33049776191927799</v>
      </c>
      <c r="AG3037">
        <v>-1.1071925878619999</v>
      </c>
      <c r="AH3037">
        <v>23.809007603613999</v>
      </c>
      <c r="AI3037">
        <v>92.662256919795198</v>
      </c>
      <c r="AJ3037">
        <v>89.204716504857601</v>
      </c>
      <c r="AK3037">
        <v>23.837028910210201</v>
      </c>
      <c r="AL3037">
        <v>88.468654485584906</v>
      </c>
      <c r="AM3037">
        <v>95.623611626665806</v>
      </c>
      <c r="AN3037">
        <v>1.00000002529535</v>
      </c>
    </row>
    <row r="3038" spans="1:40" x14ac:dyDescent="0.25">
      <c r="A3038" t="str">
        <f>"20190305135647775"</f>
        <v>20190305135647775</v>
      </c>
      <c r="B3038" t="str">
        <f>"1551765407764873"</f>
        <v>1551765407764873</v>
      </c>
      <c r="C3038" t="s">
        <v>40</v>
      </c>
      <c r="D3038">
        <v>4.4042890000000003</v>
      </c>
      <c r="E3038">
        <v>0.54015069999999998</v>
      </c>
      <c r="F3038" t="s">
        <v>42</v>
      </c>
      <c r="G3038">
        <v>-265.60610000000003</v>
      </c>
      <c r="H3038" s="1">
        <v>-2.312237E-6</v>
      </c>
      <c r="I3038">
        <v>141.2885</v>
      </c>
      <c r="J3038">
        <v>-241.5164</v>
      </c>
      <c r="K3038">
        <v>1.1069180000000001</v>
      </c>
      <c r="L3038">
        <v>140.2938</v>
      </c>
      <c r="M3038">
        <v>-0.99951619999999997</v>
      </c>
      <c r="N3038">
        <v>-6.9088179999999997E-3</v>
      </c>
      <c r="O3038">
        <v>3.0327170000000001E-2</v>
      </c>
      <c r="P3038">
        <v>-0.99752909999999995</v>
      </c>
      <c r="Q3038">
        <v>1.9034430000000001E-2</v>
      </c>
      <c r="R3038">
        <v>-6.7630109999999993E-2</v>
      </c>
      <c r="S3038">
        <v>-3.0193940000000001</v>
      </c>
      <c r="T3038">
        <v>-0.136521799999999</v>
      </c>
      <c r="U3038">
        <v>0.12426760000000001</v>
      </c>
      <c r="V3038">
        <v>-9.7758600000000001E-2</v>
      </c>
      <c r="W3038">
        <v>2.6256709999999999E-2</v>
      </c>
      <c r="X3038">
        <v>0.99486370000000002</v>
      </c>
      <c r="Y3038">
        <v>1.080997E-2</v>
      </c>
      <c r="Z3038">
        <v>-8.7864849999999995E-4</v>
      </c>
      <c r="AA3038">
        <v>0.99994119999999997</v>
      </c>
      <c r="AB3038">
        <v>36</v>
      </c>
      <c r="AC3038">
        <v>-24.089700000000001</v>
      </c>
      <c r="AD3038">
        <v>-1.1069203122369999</v>
      </c>
      <c r="AE3038">
        <v>0.99469999999999403</v>
      </c>
      <c r="AF3038">
        <v>0.26309805681079201</v>
      </c>
      <c r="AG3038">
        <v>-1.1069203122369999</v>
      </c>
      <c r="AH3038">
        <v>24.058076286783699</v>
      </c>
      <c r="AI3038">
        <v>92.634183230607206</v>
      </c>
      <c r="AJ3038">
        <v>89.373440869716305</v>
      </c>
      <c r="AK3038">
        <v>24.084964766132501</v>
      </c>
      <c r="AL3038">
        <v>88.495428375385998</v>
      </c>
      <c r="AM3038">
        <v>95.612056472895205</v>
      </c>
      <c r="AN3038">
        <v>0.99999997013583597</v>
      </c>
    </row>
    <row r="3039" spans="1:40" x14ac:dyDescent="0.25">
      <c r="A3039" t="str">
        <f>"20190305135647796"</f>
        <v>20190305135647796</v>
      </c>
      <c r="B3039" t="str">
        <f>"1551765407785369"</f>
        <v>1551765407785369</v>
      </c>
      <c r="C3039" t="s">
        <v>40</v>
      </c>
      <c r="D3039">
        <v>4.1024099999999999</v>
      </c>
      <c r="E3039">
        <v>0.53934139999999997</v>
      </c>
      <c r="F3039" t="s">
        <v>42</v>
      </c>
      <c r="G3039">
        <v>-265.86680000000001</v>
      </c>
      <c r="H3039" s="1">
        <v>-2.2056550000000001E-6</v>
      </c>
      <c r="I3039">
        <v>141.3083</v>
      </c>
      <c r="J3039">
        <v>-241.8665</v>
      </c>
      <c r="K3039">
        <v>1.106708</v>
      </c>
      <c r="L3039">
        <v>140.30619999999999</v>
      </c>
      <c r="M3039">
        <v>-0.99945059999999997</v>
      </c>
      <c r="N3039">
        <v>-6.9179699999999998E-3</v>
      </c>
      <c r="O3039">
        <v>3.241252E-2</v>
      </c>
      <c r="P3039">
        <v>-0.99770669999999995</v>
      </c>
      <c r="Q3039">
        <v>1.8240360000000001E-2</v>
      </c>
      <c r="R3039">
        <v>-6.5182110000000001E-2</v>
      </c>
      <c r="S3039">
        <v>-3.01857</v>
      </c>
      <c r="T3039">
        <v>-0.13721849999999999</v>
      </c>
      <c r="U3039">
        <v>0.12576289999999901</v>
      </c>
      <c r="V3039">
        <v>-9.7384250000000006E-2</v>
      </c>
      <c r="W3039">
        <v>2.5517379999999999E-2</v>
      </c>
      <c r="X3039">
        <v>0.99491969999999996</v>
      </c>
      <c r="Y3039">
        <v>9.2329309999999998E-3</v>
      </c>
      <c r="Z3039">
        <v>-1.0058420000000001E-3</v>
      </c>
      <c r="AA3039">
        <v>0.99995679999999998</v>
      </c>
      <c r="AB3039">
        <v>36</v>
      </c>
      <c r="AC3039">
        <v>-24.000299999999999</v>
      </c>
      <c r="AD3039">
        <v>-1.106710205655</v>
      </c>
      <c r="AE3039">
        <v>1.00210000000001</v>
      </c>
      <c r="AF3039">
        <v>0.22317088856681799</v>
      </c>
      <c r="AG3039">
        <v>-1.106710205655</v>
      </c>
      <c r="AH3039">
        <v>23.969292058511002</v>
      </c>
      <c r="AI3039">
        <v>92.643468931771395</v>
      </c>
      <c r="AJ3039">
        <v>89.466551597673401</v>
      </c>
      <c r="AK3039">
        <v>23.9958657795672</v>
      </c>
      <c r="AL3039">
        <v>88.537803138803</v>
      </c>
      <c r="AM3039">
        <v>95.590389776559903</v>
      </c>
      <c r="AN3039">
        <v>1.0000000191391001</v>
      </c>
    </row>
    <row r="3040" spans="1:40" x14ac:dyDescent="0.25">
      <c r="A3040" t="str">
        <f>"20190305135647817"</f>
        <v>20190305135647817</v>
      </c>
      <c r="B3040" t="str">
        <f>"1551765407805869"</f>
        <v>1551765407805869</v>
      </c>
      <c r="C3040" t="s">
        <v>40</v>
      </c>
      <c r="D3040">
        <v>4.1240170000000003</v>
      </c>
      <c r="E3040">
        <v>0.53855169999999997</v>
      </c>
      <c r="F3040" t="s">
        <v>42</v>
      </c>
      <c r="G3040">
        <v>-266.0188</v>
      </c>
      <c r="H3040" s="1">
        <v>-2.1428850000000001E-6</v>
      </c>
      <c r="I3040">
        <v>141.31739999999999</v>
      </c>
      <c r="J3040">
        <v>-242.22030000000001</v>
      </c>
      <c r="K3040">
        <v>1.106527</v>
      </c>
      <c r="L3040">
        <v>140.3194</v>
      </c>
      <c r="M3040">
        <v>-0.9993765</v>
      </c>
      <c r="N3040">
        <v>-6.9260060000000002E-3</v>
      </c>
      <c r="O3040">
        <v>3.4625330000000003E-2</v>
      </c>
      <c r="P3040">
        <v>-0.99790299999999998</v>
      </c>
      <c r="Q3040">
        <v>1.7203860000000001E-2</v>
      </c>
      <c r="R3040">
        <v>-6.2399639999999999E-2</v>
      </c>
      <c r="S3040">
        <v>-3.0176699999999999</v>
      </c>
      <c r="T3040">
        <v>-0.1382765</v>
      </c>
      <c r="U3040">
        <v>0.126358</v>
      </c>
      <c r="V3040">
        <v>-9.6807870000000004E-2</v>
      </c>
      <c r="W3040">
        <v>2.452491E-2</v>
      </c>
      <c r="X3040">
        <v>0.99500089999999997</v>
      </c>
      <c r="Y3040">
        <v>7.2325230000000003E-3</v>
      </c>
      <c r="Z3040">
        <v>-1.154256E-3</v>
      </c>
      <c r="AA3040">
        <v>0.99997320000000001</v>
      </c>
      <c r="AB3040">
        <v>37</v>
      </c>
      <c r="AC3040">
        <v>-23.798499999999901</v>
      </c>
      <c r="AD3040">
        <v>-1.1065291428849999</v>
      </c>
      <c r="AE3040">
        <v>0.99799999999999001</v>
      </c>
      <c r="AF3040">
        <v>0.17297766911892801</v>
      </c>
      <c r="AG3040">
        <v>-1.1065291428849999</v>
      </c>
      <c r="AH3040">
        <v>23.767494099479599</v>
      </c>
      <c r="AI3040">
        <v>92.665490419558395</v>
      </c>
      <c r="AJ3040">
        <v>89.583013868940597</v>
      </c>
      <c r="AK3040">
        <v>23.793866936394899</v>
      </c>
      <c r="AL3040">
        <v>88.594685282193595</v>
      </c>
      <c r="AM3040">
        <v>95.557059459812393</v>
      </c>
      <c r="AN3040">
        <v>1.0000000129526201</v>
      </c>
    </row>
    <row r="3041" spans="1:40" x14ac:dyDescent="0.25">
      <c r="A3041" t="str">
        <f>"20190305135647839"</f>
        <v>20190305135647839</v>
      </c>
      <c r="B3041" t="str">
        <f>"1551765407835145"</f>
        <v>1551765407835145</v>
      </c>
      <c r="C3041" t="s">
        <v>40</v>
      </c>
      <c r="D3041">
        <v>4.4391990000000003</v>
      </c>
      <c r="E3041">
        <v>0.53750640000000005</v>
      </c>
      <c r="F3041" t="s">
        <v>42</v>
      </c>
      <c r="G3041">
        <v>-266.1386</v>
      </c>
      <c r="H3041" s="1">
        <v>-2.0968929999999998E-6</v>
      </c>
      <c r="I3041">
        <v>141.33770000000001</v>
      </c>
      <c r="J3041">
        <v>-242.57249999999999</v>
      </c>
      <c r="K3041">
        <v>1.1063769999999999</v>
      </c>
      <c r="L3041">
        <v>140.33349999999999</v>
      </c>
      <c r="M3041">
        <v>-0.99929509999999999</v>
      </c>
      <c r="N3041">
        <v>-6.9333290000000002E-3</v>
      </c>
      <c r="O3041">
        <v>3.6894469999999999E-2</v>
      </c>
      <c r="P3041">
        <v>-0.99814550000000002</v>
      </c>
      <c r="Q3041">
        <v>1.5878489999999999E-2</v>
      </c>
      <c r="R3041">
        <v>-5.8768090000000002E-2</v>
      </c>
      <c r="S3041">
        <v>-3.0167079999999999</v>
      </c>
      <c r="T3041">
        <v>-0.13956199999999999</v>
      </c>
      <c r="U3041">
        <v>0.1284332</v>
      </c>
      <c r="V3041">
        <v>-9.5446210000000004E-2</v>
      </c>
      <c r="W3041">
        <v>2.3230199999999999E-2</v>
      </c>
      <c r="X3041">
        <v>0.99516349999999998</v>
      </c>
      <c r="Y3041">
        <v>5.6659880000000003E-3</v>
      </c>
      <c r="Z3041">
        <v>-1.2982779999999999E-3</v>
      </c>
      <c r="AA3041">
        <v>0.99998310000000001</v>
      </c>
      <c r="AB3041">
        <v>37</v>
      </c>
      <c r="AC3041">
        <v>-23.566099999999999</v>
      </c>
      <c r="AD3041">
        <v>-1.1063790968929901</v>
      </c>
      <c r="AE3041">
        <v>1.00420000000002</v>
      </c>
      <c r="AF3041">
        <v>0.13374234562772999</v>
      </c>
      <c r="AG3041">
        <v>-1.1063790968929901</v>
      </c>
      <c r="AH3041">
        <v>23.535324643790599</v>
      </c>
      <c r="AI3041">
        <v>92.691409575493793</v>
      </c>
      <c r="AJ3041">
        <v>89.674413266840901</v>
      </c>
      <c r="AK3041">
        <v>23.5616949265046</v>
      </c>
      <c r="AL3041">
        <v>88.668887852336894</v>
      </c>
      <c r="AM3041">
        <v>95.478485360661097</v>
      </c>
      <c r="AN3041">
        <v>1.0000000064638199</v>
      </c>
    </row>
    <row r="3042" spans="1:40" x14ac:dyDescent="0.25">
      <c r="A3042" t="str">
        <f>"20190305135647862"</f>
        <v>20190305135647862</v>
      </c>
      <c r="B3042" t="str">
        <f>"1551765407855641"</f>
        <v>1551765407855641</v>
      </c>
      <c r="C3042" t="s">
        <v>40</v>
      </c>
      <c r="D3042">
        <v>4.0995869999999996</v>
      </c>
      <c r="E3042">
        <v>0.53679569999999999</v>
      </c>
      <c r="F3042" t="s">
        <v>42</v>
      </c>
      <c r="G3042">
        <v>-266.16899999999998</v>
      </c>
      <c r="H3042" s="1">
        <v>-2.0893590000000002E-6</v>
      </c>
      <c r="I3042">
        <v>141.35839999999999</v>
      </c>
      <c r="J3042">
        <v>-242.96549999999999</v>
      </c>
      <c r="K3042">
        <v>1.1062559999999999</v>
      </c>
      <c r="L3042">
        <v>140.3501</v>
      </c>
      <c r="M3042">
        <v>-0.99919729999999995</v>
      </c>
      <c r="N3042">
        <v>-6.9411209999999997E-3</v>
      </c>
      <c r="O3042">
        <v>3.9458439999999997E-2</v>
      </c>
      <c r="P3042">
        <v>-0.99839330000000004</v>
      </c>
      <c r="Q3042">
        <v>1.3835490000000001E-2</v>
      </c>
      <c r="R3042">
        <v>-5.4956449999999997E-2</v>
      </c>
      <c r="S3042">
        <v>-3.015533</v>
      </c>
      <c r="T3042">
        <v>-0.141391299999999</v>
      </c>
      <c r="U3042">
        <v>0.1309814</v>
      </c>
      <c r="V3042">
        <v>-9.4204720000000006E-2</v>
      </c>
      <c r="W3042">
        <v>2.1214150000000001E-2</v>
      </c>
      <c r="X3042">
        <v>0.99532679999999996</v>
      </c>
      <c r="Y3042">
        <v>3.9650340000000001E-3</v>
      </c>
      <c r="Z3042">
        <v>-1.467091E-3</v>
      </c>
      <c r="AA3042">
        <v>0.99999110000000002</v>
      </c>
      <c r="AB3042">
        <v>37</v>
      </c>
      <c r="AC3042">
        <v>-23.203499999999998</v>
      </c>
      <c r="AD3042">
        <v>-1.1062580893589999</v>
      </c>
      <c r="AE3042">
        <v>1.00829999999999</v>
      </c>
      <c r="AF3042">
        <v>9.1710852366804804E-2</v>
      </c>
      <c r="AG3042">
        <v>-1.1062580893589999</v>
      </c>
      <c r="AH3042">
        <v>23.1726425068228</v>
      </c>
      <c r="AI3042">
        <v>92.733194430944394</v>
      </c>
      <c r="AJ3042">
        <v>89.773240477886603</v>
      </c>
      <c r="AK3042">
        <v>23.199215042533801</v>
      </c>
      <c r="AL3042">
        <v>88.784427556346003</v>
      </c>
      <c r="AM3042">
        <v>95.406768714560002</v>
      </c>
      <c r="AN3042">
        <v>1.00000000411437</v>
      </c>
    </row>
    <row r="3043" spans="1:40" x14ac:dyDescent="0.25">
      <c r="A3043" t="str">
        <f>"20190305135647884"</f>
        <v>20190305135647884</v>
      </c>
      <c r="B3043" t="str">
        <f>"1551765407875161"</f>
        <v>1551765407875161</v>
      </c>
      <c r="C3043" t="s">
        <v>40</v>
      </c>
      <c r="D3043">
        <v>4.4949050000000002</v>
      </c>
      <c r="E3043">
        <v>0.53614519999999899</v>
      </c>
      <c r="F3043" t="s">
        <v>42</v>
      </c>
      <c r="G3043">
        <v>-265.82960000000003</v>
      </c>
      <c r="H3043" s="1">
        <v>-2.2425499999999998E-6</v>
      </c>
      <c r="I3043">
        <v>141.3869</v>
      </c>
      <c r="J3043">
        <v>-243.34450000000001</v>
      </c>
      <c r="K3043">
        <v>1.1061749999999999</v>
      </c>
      <c r="L3043">
        <v>140.36709999999999</v>
      </c>
      <c r="M3043">
        <v>-0.99909700000000001</v>
      </c>
      <c r="N3043">
        <v>-6.9481619999999999E-3</v>
      </c>
      <c r="O3043">
        <v>4.1915910000000001E-2</v>
      </c>
      <c r="P3043">
        <v>-0.99861529999999998</v>
      </c>
      <c r="Q3043">
        <v>1.1593600000000001E-2</v>
      </c>
      <c r="R3043">
        <v>-5.1313619999999997E-2</v>
      </c>
      <c r="S3043">
        <v>-3.0143740000000001</v>
      </c>
      <c r="T3043">
        <v>-0.14584820000000001</v>
      </c>
      <c r="U3043">
        <v>0.13670350000000001</v>
      </c>
      <c r="V3043">
        <v>-9.3030829999999995E-2</v>
      </c>
      <c r="W3043">
        <v>1.898967E-2</v>
      </c>
      <c r="X3043">
        <v>0.99548210000000004</v>
      </c>
      <c r="Y3043">
        <v>3.4215629999999999E-3</v>
      </c>
      <c r="Z3043">
        <v>-1.63925299999999E-3</v>
      </c>
      <c r="AA3043">
        <v>0.99999280000000002</v>
      </c>
      <c r="AB3043">
        <v>37</v>
      </c>
      <c r="AC3043">
        <v>-22.485099999999999</v>
      </c>
      <c r="AD3043">
        <v>-1.1061772425499901</v>
      </c>
      <c r="AE3043">
        <v>1.0198</v>
      </c>
      <c r="AF3043">
        <v>7.6213458644450893E-2</v>
      </c>
      <c r="AG3043">
        <v>-1.1061772425499901</v>
      </c>
      <c r="AH3043">
        <v>22.453852389266899</v>
      </c>
      <c r="AI3043">
        <v>92.820350068522302</v>
      </c>
      <c r="AJ3043">
        <v>89.805525899184403</v>
      </c>
      <c r="AK3043">
        <v>22.4812126830872</v>
      </c>
      <c r="AL3043">
        <v>88.911906627332101</v>
      </c>
      <c r="AM3043">
        <v>95.338958347262306</v>
      </c>
      <c r="AN3043">
        <v>0.99999997715880296</v>
      </c>
    </row>
    <row r="3044" spans="1:40" x14ac:dyDescent="0.25">
      <c r="A3044" t="str">
        <f>"20190305135647929"</f>
        <v>20190305135647929</v>
      </c>
      <c r="B3044" t="str">
        <f>"1551765407924937"</f>
        <v>1551765407924937</v>
      </c>
      <c r="C3044" t="s">
        <v>40</v>
      </c>
      <c r="D3044">
        <v>4.1198790000000001</v>
      </c>
      <c r="E3044">
        <v>0.53450240000000004</v>
      </c>
      <c r="F3044" t="s">
        <v>42</v>
      </c>
      <c r="G3044">
        <v>-265.22930000000002</v>
      </c>
      <c r="H3044" s="1">
        <v>-2.5041310000000001E-6</v>
      </c>
      <c r="I3044">
        <v>141.40219999999999</v>
      </c>
      <c r="J3044">
        <v>-244.0633</v>
      </c>
      <c r="K3044">
        <v>1.106131</v>
      </c>
      <c r="L3044">
        <v>140.4016</v>
      </c>
      <c r="M3044">
        <v>-0.99889870000000003</v>
      </c>
      <c r="N3044">
        <v>-6.9565089999999996E-3</v>
      </c>
      <c r="O3044">
        <v>4.6400799999999999E-2</v>
      </c>
      <c r="P3044">
        <v>-0.99890020000000002</v>
      </c>
      <c r="Q3044">
        <v>9.9732469999999993E-3</v>
      </c>
      <c r="R3044">
        <v>-4.5820470000000002E-2</v>
      </c>
      <c r="S3044">
        <v>-3.013245</v>
      </c>
      <c r="T3044">
        <v>-0.15230579999999999</v>
      </c>
      <c r="U3044">
        <v>0.142532299999999</v>
      </c>
      <c r="V3044">
        <v>-9.2031890000000005E-2</v>
      </c>
      <c r="W3044">
        <v>1.738253E-2</v>
      </c>
      <c r="X3044">
        <v>0.9956043</v>
      </c>
      <c r="Y3044">
        <v>8.90726E-4</v>
      </c>
      <c r="Z3044">
        <v>-1.9930780000000001E-3</v>
      </c>
      <c r="AA3044">
        <v>0.99999760000000004</v>
      </c>
      <c r="AB3044">
        <v>37</v>
      </c>
      <c r="AC3044">
        <v>-21.166</v>
      </c>
      <c r="AD3044">
        <v>-1.1061335041310001</v>
      </c>
      <c r="AE3044">
        <v>1.0005999999999899</v>
      </c>
      <c r="AF3044">
        <v>1.73318970065468E-2</v>
      </c>
      <c r="AG3044">
        <v>-1.1061335041310001</v>
      </c>
      <c r="AH3044">
        <v>21.13204579524</v>
      </c>
      <c r="AI3044">
        <v>92.996348485798705</v>
      </c>
      <c r="AJ3044">
        <v>89.9530076578299</v>
      </c>
      <c r="AK3044">
        <v>21.1609827563782</v>
      </c>
      <c r="AL3044">
        <v>89.004004204132002</v>
      </c>
      <c r="AM3044">
        <v>95.281311408277801</v>
      </c>
      <c r="AN3044">
        <v>0.99999997165233101</v>
      </c>
    </row>
    <row r="3045" spans="1:40" x14ac:dyDescent="0.25">
      <c r="A3045" t="str">
        <f>"20190305135647952"</f>
        <v>20190305135647952</v>
      </c>
      <c r="B3045" t="str">
        <f>"1551765407945432"</f>
        <v>1551765407945432</v>
      </c>
      <c r="C3045" t="s">
        <v>40</v>
      </c>
      <c r="D3045">
        <v>4.0688339999999998</v>
      </c>
      <c r="E3045">
        <v>0.53383879999999995</v>
      </c>
      <c r="F3045" t="s">
        <v>42</v>
      </c>
      <c r="G3045">
        <v>-265.85520000000002</v>
      </c>
      <c r="H3045" s="1">
        <v>-2.250288E-6</v>
      </c>
      <c r="I3045">
        <v>141.4573</v>
      </c>
      <c r="J3045">
        <v>-244.4494</v>
      </c>
      <c r="K3045">
        <v>1.106142</v>
      </c>
      <c r="L3045">
        <v>140.42150000000001</v>
      </c>
      <c r="M3045">
        <v>-0.99878979999999995</v>
      </c>
      <c r="N3045">
        <v>-6.9554969999999997E-3</v>
      </c>
      <c r="O3045">
        <v>4.8689410000000002E-2</v>
      </c>
      <c r="P3045">
        <v>-0.99899979999999999</v>
      </c>
      <c r="Q3045">
        <v>1.1208259999999999E-2</v>
      </c>
      <c r="R3045">
        <v>-4.3289689999999999E-2</v>
      </c>
      <c r="S3045">
        <v>-3.0115050000000001</v>
      </c>
      <c r="T3045">
        <v>-0.15286079999999999</v>
      </c>
      <c r="U3045">
        <v>0.145889299999999</v>
      </c>
      <c r="V3045">
        <v>-9.1784420000000005E-2</v>
      </c>
      <c r="W3045">
        <v>1.8613520000000001E-2</v>
      </c>
      <c r="X3045">
        <v>0.99560490000000001</v>
      </c>
      <c r="Y3045">
        <v>-2.5683660000000002E-4</v>
      </c>
      <c r="Z3045">
        <v>-2.1358560000000002E-3</v>
      </c>
      <c r="AA3045">
        <v>0.99999769999999999</v>
      </c>
      <c r="AB3045">
        <v>37</v>
      </c>
      <c r="AC3045">
        <v>-21.405799999999999</v>
      </c>
      <c r="AD3045">
        <v>-1.1061442502879999</v>
      </c>
      <c r="AE3045">
        <v>1.0357999999999901</v>
      </c>
      <c r="AF3045">
        <v>-7.6690524934252997E-3</v>
      </c>
      <c r="AG3045">
        <v>-1.1061442502879999</v>
      </c>
      <c r="AH3045">
        <v>21.373903025267602</v>
      </c>
      <c r="AI3045">
        <v>92.962533463844906</v>
      </c>
      <c r="AJ3045">
        <v>90.020557982384403</v>
      </c>
      <c r="AK3045">
        <v>21.402507900953001</v>
      </c>
      <c r="AL3045">
        <v>88.933462248623897</v>
      </c>
      <c r="AM3045">
        <v>95.267187002984798</v>
      </c>
      <c r="AN3045">
        <v>0.99999997989276801</v>
      </c>
    </row>
    <row r="3046" spans="1:40" x14ac:dyDescent="0.25">
      <c r="A3046" t="str">
        <f>"20190305135647974"</f>
        <v>20190305135647974</v>
      </c>
      <c r="B3046" t="str">
        <f>"1551765407964954"</f>
        <v>1551765407964954</v>
      </c>
      <c r="C3046" t="s">
        <v>40</v>
      </c>
      <c r="D3046">
        <v>4.0992329999999999</v>
      </c>
      <c r="E3046">
        <v>0.53313060000000001</v>
      </c>
      <c r="F3046" t="s">
        <v>42</v>
      </c>
      <c r="G3046">
        <v>-267.20409999999998</v>
      </c>
      <c r="H3046" s="1">
        <v>-1.6937580000000001E-6</v>
      </c>
      <c r="I3046">
        <v>141.54050000000001</v>
      </c>
      <c r="J3046">
        <v>-244.82339999999999</v>
      </c>
      <c r="K3046">
        <v>1.1061639999999999</v>
      </c>
      <c r="L3046">
        <v>140.44149999999999</v>
      </c>
      <c r="M3046">
        <v>-0.99868349999999995</v>
      </c>
      <c r="N3046">
        <v>-6.9547169999999896E-3</v>
      </c>
      <c r="O3046">
        <v>5.0823970000000003E-2</v>
      </c>
      <c r="P3046">
        <v>-0.9990696</v>
      </c>
      <c r="Q3046">
        <v>1.269731E-2</v>
      </c>
      <c r="R3046">
        <v>-4.1221899999999999E-2</v>
      </c>
      <c r="S3046">
        <v>-3.011047</v>
      </c>
      <c r="T3046">
        <v>-0.146372</v>
      </c>
      <c r="U3046">
        <v>0.14808650000000001</v>
      </c>
      <c r="V3046">
        <v>-9.1843969999999997E-2</v>
      </c>
      <c r="W3046">
        <v>2.0097159999999999E-2</v>
      </c>
      <c r="X3046">
        <v>0.99557059999999997</v>
      </c>
      <c r="Y3046">
        <v>-1.6594960000000001E-3</v>
      </c>
      <c r="Z3046">
        <v>-2.1588839999999998E-3</v>
      </c>
      <c r="AA3046">
        <v>0.99999629999999995</v>
      </c>
      <c r="AB3046">
        <v>37</v>
      </c>
      <c r="AC3046">
        <v>-22.380699999999901</v>
      </c>
      <c r="AD3046">
        <v>-1.106165693758</v>
      </c>
      <c r="AE3046">
        <v>1.09900000000001</v>
      </c>
      <c r="AF3046">
        <v>-3.9826764932243401E-2</v>
      </c>
      <c r="AG3046">
        <v>-1.106165693758</v>
      </c>
      <c r="AH3046">
        <v>22.353157692835602</v>
      </c>
      <c r="AI3046">
        <v>92.833016575533506</v>
      </c>
      <c r="AJ3046">
        <v>90.102084151108201</v>
      </c>
      <c r="AK3046">
        <v>22.380546185337501</v>
      </c>
      <c r="AL3046">
        <v>88.848440041966995</v>
      </c>
      <c r="AM3046">
        <v>95.270765692300003</v>
      </c>
      <c r="AN3046">
        <v>1.00000001512489</v>
      </c>
    </row>
    <row r="3047" spans="1:40" x14ac:dyDescent="0.25">
      <c r="A3047" t="str">
        <f>"20190305135647997"</f>
        <v>20190305135647997</v>
      </c>
      <c r="B3047" t="str">
        <f>"1551765407985449"</f>
        <v>1551765407985449</v>
      </c>
      <c r="C3047" t="s">
        <v>40</v>
      </c>
      <c r="D3047">
        <v>4.0694480000000004</v>
      </c>
      <c r="E3047">
        <v>0.53277890000000006</v>
      </c>
      <c r="F3047" t="s">
        <v>42</v>
      </c>
      <c r="G3047">
        <v>-268.9871</v>
      </c>
      <c r="H3047" s="1">
        <v>-9.5322329999999996E-7</v>
      </c>
      <c r="I3047">
        <v>141.63200000000001</v>
      </c>
      <c r="J3047">
        <v>-245.20189999999999</v>
      </c>
      <c r="K3047">
        <v>1.1061810000000001</v>
      </c>
      <c r="L3047">
        <v>140.4624</v>
      </c>
      <c r="M3047">
        <v>-0.99857490000000004</v>
      </c>
      <c r="N3047">
        <v>-6.9547970000000004E-3</v>
      </c>
      <c r="O3047">
        <v>5.291328E-2</v>
      </c>
      <c r="P3047">
        <v>-0.99912849999999997</v>
      </c>
      <c r="Q3047">
        <v>1.3178570000000001E-2</v>
      </c>
      <c r="R3047">
        <v>-3.9605590000000003E-2</v>
      </c>
      <c r="S3047">
        <v>-3.0106809999999999</v>
      </c>
      <c r="T3047">
        <v>-0.13782320000000001</v>
      </c>
      <c r="U3047">
        <v>0.148345899999999</v>
      </c>
      <c r="V3047">
        <v>-9.2314450000000006E-2</v>
      </c>
      <c r="W3047">
        <v>2.0575329999999999E-2</v>
      </c>
      <c r="X3047">
        <v>0.99551730000000005</v>
      </c>
      <c r="Y3047">
        <v>-3.661788E-3</v>
      </c>
      <c r="Z3047">
        <v>-2.1465009999999999E-3</v>
      </c>
      <c r="AA3047">
        <v>0.99999099999999996</v>
      </c>
      <c r="AB3047">
        <v>37</v>
      </c>
      <c r="AC3047">
        <v>-23.7852</v>
      </c>
      <c r="AD3047">
        <v>-1.1061819532232999</v>
      </c>
      <c r="AE3047">
        <v>1.1696</v>
      </c>
      <c r="AF3047">
        <v>-9.0426821633830395E-2</v>
      </c>
      <c r="AG3047">
        <v>-1.1061819532232999</v>
      </c>
      <c r="AH3047">
        <v>23.762494548418399</v>
      </c>
      <c r="AI3047">
        <v>92.665266327410706</v>
      </c>
      <c r="AJ3047">
        <v>90.218034778054303</v>
      </c>
      <c r="AK3047">
        <v>23.788399750452299</v>
      </c>
      <c r="AL3047">
        <v>88.821037232348402</v>
      </c>
      <c r="AM3047">
        <v>95.297894510207001</v>
      </c>
      <c r="AN3047">
        <v>0.99999999824135</v>
      </c>
    </row>
    <row r="3048" spans="1:40" x14ac:dyDescent="0.25">
      <c r="A3048" t="str">
        <f>"20190305135648021"</f>
        <v>20190305135648021</v>
      </c>
      <c r="B3048" t="str">
        <f>"1551765408015705"</f>
        <v>1551765408015705</v>
      </c>
      <c r="C3048" t="s">
        <v>40</v>
      </c>
      <c r="D3048">
        <v>4.0503830000000001</v>
      </c>
      <c r="E3048">
        <v>0.50335319999999995</v>
      </c>
      <c r="F3048" t="s">
        <v>42</v>
      </c>
      <c r="G3048">
        <v>-269.97210000000001</v>
      </c>
      <c r="H3048" s="1">
        <v>-4.6546500000000004E-6</v>
      </c>
      <c r="I3048">
        <v>141.69720000000001</v>
      </c>
      <c r="J3048">
        <v>-245.57650000000001</v>
      </c>
      <c r="K3048">
        <v>1.106204</v>
      </c>
      <c r="L3048">
        <v>140.48400000000001</v>
      </c>
      <c r="M3048">
        <v>-0.99846670000000004</v>
      </c>
      <c r="N3048">
        <v>-6.9554980000000001E-3</v>
      </c>
      <c r="O3048">
        <v>5.4919200000000001E-2</v>
      </c>
      <c r="P3048">
        <v>-0.99915310000000002</v>
      </c>
      <c r="Q3048">
        <v>1.338221E-2</v>
      </c>
      <c r="R3048">
        <v>-3.8915079999999998E-2</v>
      </c>
      <c r="S3048">
        <v>-3.0103610000000001</v>
      </c>
      <c r="T3048">
        <v>-0.13443620000000001</v>
      </c>
      <c r="U3048">
        <v>0.15007019999999999</v>
      </c>
      <c r="V3048">
        <v>-9.3626059999999997E-2</v>
      </c>
      <c r="W3048">
        <v>2.0780320000000001E-2</v>
      </c>
      <c r="X3048">
        <v>0.99539049999999996</v>
      </c>
      <c r="Y3048">
        <v>-5.0934580000000004E-3</v>
      </c>
      <c r="Z3048">
        <v>-2.1975380000000002E-3</v>
      </c>
      <c r="AA3048">
        <v>0.9999846</v>
      </c>
      <c r="AB3048">
        <v>37</v>
      </c>
      <c r="AC3048">
        <v>-24.395600000000002</v>
      </c>
      <c r="AD3048">
        <v>-1.1062086546500001</v>
      </c>
      <c r="AE3048">
        <v>1.2132000000000001</v>
      </c>
      <c r="AF3048">
        <v>-0.12818720664528599</v>
      </c>
      <c r="AG3048">
        <v>-1.1062086546500001</v>
      </c>
      <c r="AH3048">
        <v>24.375414572011099</v>
      </c>
      <c r="AI3048">
        <v>92.598386752451603</v>
      </c>
      <c r="AJ3048">
        <v>90.301308443436298</v>
      </c>
      <c r="AK3048">
        <v>24.400839434432999</v>
      </c>
      <c r="AL3048">
        <v>88.809289606219593</v>
      </c>
      <c r="AM3048">
        <v>95.373410342826304</v>
      </c>
      <c r="AN3048">
        <v>0.99999995415033605</v>
      </c>
    </row>
    <row r="3049" spans="1:40" x14ac:dyDescent="0.25">
      <c r="A3049" t="str">
        <f>"20190305135648040"</f>
        <v>20190305135648040</v>
      </c>
      <c r="B3049" t="str">
        <f>"1551765408035224"</f>
        <v>1551765408035224</v>
      </c>
      <c r="C3049" t="s">
        <v>40</v>
      </c>
      <c r="D3049">
        <v>4.0422129999999896</v>
      </c>
      <c r="E3049">
        <v>0.50292570000000003</v>
      </c>
      <c r="F3049" t="s">
        <v>47</v>
      </c>
      <c r="G3049">
        <v>0</v>
      </c>
      <c r="H3049">
        <v>0</v>
      </c>
      <c r="I3049">
        <v>0</v>
      </c>
      <c r="J3049">
        <v>-245.9255</v>
      </c>
      <c r="K3049">
        <v>1.1062259999999999</v>
      </c>
      <c r="L3049">
        <v>140.50470000000001</v>
      </c>
      <c r="M3049">
        <v>-0.99836480000000005</v>
      </c>
      <c r="N3049">
        <v>-6.9566539999999996E-3</v>
      </c>
      <c r="O3049">
        <v>5.6740529999999997E-2</v>
      </c>
      <c r="P3049">
        <v>-0.99916300000000002</v>
      </c>
      <c r="Q3049">
        <v>1.312108E-2</v>
      </c>
      <c r="R3049">
        <v>-3.8750329999999999E-2</v>
      </c>
      <c r="S3049">
        <v>-2.998383</v>
      </c>
      <c r="T3049">
        <v>4.8617479999999998E-2</v>
      </c>
      <c r="U3049">
        <v>-9.0423580000000003E-2</v>
      </c>
      <c r="V3049">
        <v>-9.5280539999999997E-2</v>
      </c>
      <c r="W3049">
        <v>2.0522410000000001E-2</v>
      </c>
      <c r="X3049">
        <v>0.99523890000000004</v>
      </c>
      <c r="Y3049">
        <v>-8.6789580000000005E-2</v>
      </c>
      <c r="Z3049">
        <v>1.7157120000000001E-3</v>
      </c>
      <c r="AA3049">
        <v>0.99622520000000003</v>
      </c>
      <c r="AB3049">
        <v>38</v>
      </c>
      <c r="AC3049">
        <v>-2.998383</v>
      </c>
      <c r="AD3049">
        <v>4.8617479999999998E-2</v>
      </c>
      <c r="AE3049">
        <v>-9.0423580000000003E-2</v>
      </c>
      <c r="AF3049">
        <v>-0.260343455656871</v>
      </c>
      <c r="AG3049">
        <v>4.8617479999999998E-2</v>
      </c>
      <c r="AH3049">
        <v>2.9876366691484999</v>
      </c>
      <c r="AI3049">
        <v>89.071233395209603</v>
      </c>
      <c r="AJ3049">
        <v>94.980189355675193</v>
      </c>
      <c r="AK3049">
        <v>2.9993524703018299</v>
      </c>
      <c r="AL3049">
        <v>88.824069978426294</v>
      </c>
      <c r="AM3049">
        <v>95.468622002189306</v>
      </c>
      <c r="AN3049">
        <v>1.00000000934405</v>
      </c>
    </row>
    <row r="3050" spans="1:40" x14ac:dyDescent="0.25">
      <c r="A3050" t="str">
        <f>"20190305135648062"</f>
        <v>20190305135648062</v>
      </c>
      <c r="B3050" t="str">
        <f>"1551765408055721"</f>
        <v>1551765408055721</v>
      </c>
      <c r="C3050" t="s">
        <v>40</v>
      </c>
      <c r="D3050">
        <v>4.0339799999999997</v>
      </c>
      <c r="E3050">
        <v>0.50278420000000001</v>
      </c>
      <c r="F3050" t="s">
        <v>47</v>
      </c>
      <c r="G3050">
        <v>0</v>
      </c>
      <c r="H3050">
        <v>0</v>
      </c>
      <c r="I3050">
        <v>0</v>
      </c>
      <c r="J3050">
        <v>-246.31389999999999</v>
      </c>
      <c r="K3050">
        <v>1.106252</v>
      </c>
      <c r="L3050">
        <v>140.5284</v>
      </c>
      <c r="M3050">
        <v>-0.99824999999999997</v>
      </c>
      <c r="N3050">
        <v>-6.9585609999999899E-3</v>
      </c>
      <c r="O3050">
        <v>5.8723909999999997E-2</v>
      </c>
      <c r="P3050">
        <v>-0.99919069999999999</v>
      </c>
      <c r="Q3050">
        <v>1.3687110000000001E-2</v>
      </c>
      <c r="R3050">
        <v>-3.7822809999999998E-2</v>
      </c>
      <c r="S3050">
        <v>-2.998383</v>
      </c>
      <c r="T3050">
        <v>3.9501550000000003E-2</v>
      </c>
      <c r="U3050">
        <v>-9.3002319999999999E-2</v>
      </c>
      <c r="V3050">
        <v>-9.6332420000000002E-2</v>
      </c>
      <c r="W3050">
        <v>2.1089719999999999E-2</v>
      </c>
      <c r="X3050">
        <v>0.99512579999999995</v>
      </c>
      <c r="Y3050">
        <v>-8.9630630000000003E-2</v>
      </c>
      <c r="Z3050">
        <v>1.460172E-3</v>
      </c>
      <c r="AA3050">
        <v>0.99597400000000003</v>
      </c>
      <c r="AB3050">
        <v>38</v>
      </c>
      <c r="AC3050">
        <v>-2.998383</v>
      </c>
      <c r="AD3050">
        <v>3.9501550000000003E-2</v>
      </c>
      <c r="AE3050">
        <v>-9.3002319999999999E-2</v>
      </c>
      <c r="AF3050">
        <v>-0.26887623097428698</v>
      </c>
      <c r="AG3050">
        <v>3.9501550000000003E-2</v>
      </c>
      <c r="AH3050">
        <v>2.9872287634563701</v>
      </c>
      <c r="AI3050">
        <v>89.245444761126606</v>
      </c>
      <c r="AJ3050">
        <v>95.143252430628493</v>
      </c>
      <c r="AK3050">
        <v>2.99956504934572</v>
      </c>
      <c r="AL3050">
        <v>88.791558502425303</v>
      </c>
      <c r="AM3050">
        <v>95.529247033494499</v>
      </c>
      <c r="AN3050">
        <v>1.00000003462918</v>
      </c>
    </row>
    <row r="3051" spans="1:40" x14ac:dyDescent="0.25">
      <c r="A3051" t="str">
        <f>"20190305135648085"</f>
        <v>20190305135648085</v>
      </c>
      <c r="B3051" t="str">
        <f>"1551765408075241"</f>
        <v>1551765408075241</v>
      </c>
      <c r="C3051" t="s">
        <v>40</v>
      </c>
      <c r="D3051">
        <v>4.0338750000000001</v>
      </c>
      <c r="E3051">
        <v>0.50271220000000005</v>
      </c>
      <c r="F3051" t="s">
        <v>47</v>
      </c>
      <c r="G3051">
        <v>0</v>
      </c>
      <c r="H3051">
        <v>0</v>
      </c>
      <c r="I3051">
        <v>0</v>
      </c>
      <c r="J3051">
        <v>-246.69409999999999</v>
      </c>
      <c r="K3051">
        <v>1.106279</v>
      </c>
      <c r="L3051">
        <v>140.55240000000001</v>
      </c>
      <c r="M3051">
        <v>-0.99813640000000003</v>
      </c>
      <c r="N3051">
        <v>-6.9609989999999998E-3</v>
      </c>
      <c r="O3051">
        <v>6.0624549999999999E-2</v>
      </c>
      <c r="P3051">
        <v>-0.99920819999999999</v>
      </c>
      <c r="Q3051">
        <v>1.3790520000000001E-2</v>
      </c>
      <c r="R3051">
        <v>-3.7325039999999997E-2</v>
      </c>
      <c r="S3051">
        <v>-2.9984890000000002</v>
      </c>
      <c r="T3051">
        <v>3.6223650000000003E-2</v>
      </c>
      <c r="U3051">
        <v>-9.1140750000000006E-2</v>
      </c>
      <c r="V3051">
        <v>-9.773192E-2</v>
      </c>
      <c r="W3051">
        <v>2.1195080000000002E-2</v>
      </c>
      <c r="X3051">
        <v>0.99498710000000001</v>
      </c>
      <c r="Y3051">
        <v>-9.0909879999999998E-2</v>
      </c>
      <c r="Z3051">
        <v>1.3864909999999999E-3</v>
      </c>
      <c r="AA3051">
        <v>0.99585809999999997</v>
      </c>
      <c r="AB3051">
        <v>38</v>
      </c>
      <c r="AC3051">
        <v>-2.9984890000000002</v>
      </c>
      <c r="AD3051">
        <v>3.6223650000000003E-2</v>
      </c>
      <c r="AE3051">
        <v>-9.1140750000000006E-2</v>
      </c>
      <c r="AF3051">
        <v>-0.27271978156799598</v>
      </c>
      <c r="AG3051">
        <v>3.6223650000000003E-2</v>
      </c>
      <c r="AH3051">
        <v>2.9870124051275901</v>
      </c>
      <c r="AI3051">
        <v>89.308082906363595</v>
      </c>
      <c r="AJ3051">
        <v>95.216747537782297</v>
      </c>
      <c r="AK3051">
        <v>2.9996552035965598</v>
      </c>
      <c r="AL3051">
        <v>88.7855204814974</v>
      </c>
      <c r="AM3051">
        <v>95.609843230525001</v>
      </c>
      <c r="AN3051">
        <v>1.0000000443847501</v>
      </c>
    </row>
    <row r="3052" spans="1:40" x14ac:dyDescent="0.25">
      <c r="A3052" t="str">
        <f>"20190305135648108"</f>
        <v>20190305135648108</v>
      </c>
      <c r="B3052" t="str">
        <f>"1551765408095737"</f>
        <v>1551765408095737</v>
      </c>
      <c r="C3052" t="s">
        <v>40</v>
      </c>
      <c r="D3052">
        <v>4.03681</v>
      </c>
      <c r="E3052">
        <v>0.50272139999999998</v>
      </c>
      <c r="F3052" t="s">
        <v>47</v>
      </c>
      <c r="G3052">
        <v>0</v>
      </c>
      <c r="H3052">
        <v>0</v>
      </c>
      <c r="I3052">
        <v>0</v>
      </c>
      <c r="J3052">
        <v>-247.07050000000001</v>
      </c>
      <c r="K3052">
        <v>1.106311</v>
      </c>
      <c r="L3052">
        <v>140.57669999999999</v>
      </c>
      <c r="M3052">
        <v>-0.99802290000000005</v>
      </c>
      <c r="N3052">
        <v>-6.9639430000000002E-3</v>
      </c>
      <c r="O3052">
        <v>6.2463730000000002E-2</v>
      </c>
      <c r="P3052">
        <v>-0.99920799999999999</v>
      </c>
      <c r="Q3052">
        <v>1.452175E-2</v>
      </c>
      <c r="R3052">
        <v>-3.7048869999999998E-2</v>
      </c>
      <c r="S3052">
        <v>-2.9985810000000002</v>
      </c>
      <c r="T3052">
        <v>3.2876009999999997E-2</v>
      </c>
      <c r="U3052">
        <v>-9.0118409999999996E-2</v>
      </c>
      <c r="V3052">
        <v>-9.9287829999999994E-2</v>
      </c>
      <c r="W3052">
        <v>2.192829E-2</v>
      </c>
      <c r="X3052">
        <v>0.99481710000000001</v>
      </c>
      <c r="Y3052">
        <v>-9.2406470000000004E-2</v>
      </c>
      <c r="Z3052">
        <v>1.3040839999999901E-3</v>
      </c>
      <c r="AA3052">
        <v>0.99572050000000001</v>
      </c>
      <c r="AB3052">
        <v>38</v>
      </c>
      <c r="AC3052">
        <v>-2.9985810000000002</v>
      </c>
      <c r="AD3052">
        <v>3.2876009999999997E-2</v>
      </c>
      <c r="AE3052">
        <v>-9.0118409999999996E-2</v>
      </c>
      <c r="AF3052">
        <v>-0.27721623141073598</v>
      </c>
      <c r="AG3052">
        <v>3.2876009999999997E-2</v>
      </c>
      <c r="AH3052">
        <v>2.9867372210676901</v>
      </c>
      <c r="AI3052">
        <v>89.372050566749706</v>
      </c>
      <c r="AJ3052">
        <v>95.302757782767998</v>
      </c>
      <c r="AK3052">
        <v>2.9997548064303898</v>
      </c>
      <c r="AL3052">
        <v>88.743500810334993</v>
      </c>
      <c r="AM3052">
        <v>95.699537102553805</v>
      </c>
      <c r="AN3052">
        <v>0.99999999277042095</v>
      </c>
    </row>
    <row r="3053" spans="1:40" x14ac:dyDescent="0.25">
      <c r="A3053" t="str">
        <f>"20190305135648128"</f>
        <v>20190305135648128</v>
      </c>
      <c r="B3053" t="str">
        <f>"1551765408125017"</f>
        <v>1551765408125017</v>
      </c>
      <c r="C3053" t="s">
        <v>40</v>
      </c>
      <c r="D3053">
        <v>4.3073629999999996</v>
      </c>
      <c r="E3053">
        <v>0.50298739999999997</v>
      </c>
      <c r="F3053" t="s">
        <v>47</v>
      </c>
      <c r="G3053">
        <v>0</v>
      </c>
      <c r="H3053">
        <v>0</v>
      </c>
      <c r="I3053">
        <v>0</v>
      </c>
      <c r="J3053">
        <v>-247.43469999999999</v>
      </c>
      <c r="K3053">
        <v>1.106363</v>
      </c>
      <c r="L3053">
        <v>140.601</v>
      </c>
      <c r="M3053">
        <v>-0.99791370000000001</v>
      </c>
      <c r="N3053">
        <v>-6.9669149999999997E-3</v>
      </c>
      <c r="O3053">
        <v>6.4185140000000002E-2</v>
      </c>
      <c r="P3053">
        <v>-0.99923119999999999</v>
      </c>
      <c r="Q3053">
        <v>1.5470090000000001E-2</v>
      </c>
      <c r="R3053">
        <v>-3.6025479999999999E-2</v>
      </c>
      <c r="S3053">
        <v>-2.998596</v>
      </c>
      <c r="T3053">
        <v>3.1706930000000001E-2</v>
      </c>
      <c r="U3053">
        <v>-8.9080809999999996E-2</v>
      </c>
      <c r="V3053">
        <v>-9.998158E-2</v>
      </c>
      <c r="W3053">
        <v>2.287266E-2</v>
      </c>
      <c r="X3053">
        <v>0.99472640000000001</v>
      </c>
      <c r="Y3053">
        <v>-9.3779920000000003E-2</v>
      </c>
      <c r="Z3053">
        <v>1.294445E-3</v>
      </c>
      <c r="AA3053">
        <v>0.99559209999999998</v>
      </c>
      <c r="AB3053">
        <v>38</v>
      </c>
      <c r="AC3053">
        <v>-2.998596</v>
      </c>
      <c r="AD3053">
        <v>3.1706930000000001E-2</v>
      </c>
      <c r="AE3053">
        <v>-8.9080809999999996E-2</v>
      </c>
      <c r="AF3053">
        <v>-0.28133566232423002</v>
      </c>
      <c r="AG3053">
        <v>3.1706930000000001E-2</v>
      </c>
      <c r="AH3053">
        <v>2.9863612114201001</v>
      </c>
      <c r="AI3053">
        <v>89.394380778239295</v>
      </c>
      <c r="AJ3053">
        <v>95.381771074662197</v>
      </c>
      <c r="AK3053">
        <v>2.9997513845950601</v>
      </c>
      <c r="AL3053">
        <v>88.689378877917406</v>
      </c>
      <c r="AM3053">
        <v>95.739616128227894</v>
      </c>
      <c r="AN3053">
        <v>1.00000004288586</v>
      </c>
    </row>
    <row r="3054" spans="1:40" x14ac:dyDescent="0.25">
      <c r="A3054" t="str">
        <f>"20190305135648154"</f>
        <v>20190305135648154</v>
      </c>
      <c r="B3054" t="str">
        <f>"1551765408145513"</f>
        <v>1551765408145513</v>
      </c>
      <c r="C3054" t="s">
        <v>40</v>
      </c>
      <c r="D3054">
        <v>4.2348339999999904</v>
      </c>
      <c r="E3054">
        <v>0.5033687</v>
      </c>
      <c r="F3054" t="s">
        <v>47</v>
      </c>
      <c r="G3054">
        <v>0</v>
      </c>
      <c r="H3054">
        <v>0</v>
      </c>
      <c r="I3054">
        <v>0</v>
      </c>
      <c r="J3054">
        <v>-247.8486</v>
      </c>
      <c r="K3054">
        <v>1.1064449999999999</v>
      </c>
      <c r="L3054">
        <v>140.6292</v>
      </c>
      <c r="M3054">
        <v>-0.99779399999999996</v>
      </c>
      <c r="N3054">
        <v>-6.9700719999999999E-3</v>
      </c>
      <c r="O3054">
        <v>6.6020350000000005E-2</v>
      </c>
      <c r="P3054">
        <v>-0.99926530000000002</v>
      </c>
      <c r="Q3054">
        <v>1.7047799999999998E-2</v>
      </c>
      <c r="R3054">
        <v>-3.4329440000000003E-2</v>
      </c>
      <c r="S3054">
        <v>-2.998901</v>
      </c>
      <c r="T3054">
        <v>2.6104209999999999E-2</v>
      </c>
      <c r="U3054">
        <v>-8.3465579999999998E-2</v>
      </c>
      <c r="V3054">
        <v>-0.10011829999999999</v>
      </c>
      <c r="W3054">
        <v>2.4434819999999999E-2</v>
      </c>
      <c r="X3054">
        <v>0.99467550000000005</v>
      </c>
      <c r="Y3054">
        <v>-9.3748170000000006E-2</v>
      </c>
      <c r="Z3054">
        <v>1.115738E-3</v>
      </c>
      <c r="AA3054">
        <v>0.99559529999999996</v>
      </c>
      <c r="AB3054">
        <v>38</v>
      </c>
      <c r="AC3054">
        <v>-2.998901</v>
      </c>
      <c r="AD3054">
        <v>2.6104209999999999E-2</v>
      </c>
      <c r="AE3054">
        <v>-8.3465579999999998E-2</v>
      </c>
      <c r="AF3054">
        <v>-0.28125546793858403</v>
      </c>
      <c r="AG3054">
        <v>2.6104209999999999E-2</v>
      </c>
      <c r="AH3054">
        <v>2.9866212293829699</v>
      </c>
      <c r="AI3054">
        <v>89.501431502383497</v>
      </c>
      <c r="AJ3054">
        <v>95.379780350062703</v>
      </c>
      <c r="AK3054">
        <v>2.9999487388663999</v>
      </c>
      <c r="AL3054">
        <v>88.599848647418696</v>
      </c>
      <c r="AM3054">
        <v>95.747704408031893</v>
      </c>
      <c r="AN3054">
        <v>1.0000000423617801</v>
      </c>
    </row>
    <row r="3055" spans="1:40" x14ac:dyDescent="0.25">
      <c r="A3055" t="str">
        <f>"20190305135648175"</f>
        <v>20190305135648175</v>
      </c>
      <c r="B3055" t="str">
        <f>"1551765408165033"</f>
        <v>1551765408165033</v>
      </c>
      <c r="C3055" t="s">
        <v>40</v>
      </c>
      <c r="D3055">
        <v>4.0159900000000004</v>
      </c>
      <c r="E3055">
        <v>0.50301509999999905</v>
      </c>
      <c r="F3055" t="s">
        <v>47</v>
      </c>
      <c r="G3055">
        <v>0</v>
      </c>
      <c r="H3055">
        <v>0</v>
      </c>
      <c r="I3055">
        <v>0</v>
      </c>
      <c r="J3055">
        <v>-248.22739999999999</v>
      </c>
      <c r="K3055">
        <v>1.1065370000000001</v>
      </c>
      <c r="L3055">
        <v>140.65559999999999</v>
      </c>
      <c r="M3055">
        <v>-0.9976912</v>
      </c>
      <c r="N3055">
        <v>-6.9728460000000004E-3</v>
      </c>
      <c r="O3055">
        <v>6.755622E-2</v>
      </c>
      <c r="P3055">
        <v>-0.99928079999999997</v>
      </c>
      <c r="Q3055">
        <v>1.7679199999999999E-2</v>
      </c>
      <c r="R3055">
        <v>-3.3555910000000001E-2</v>
      </c>
      <c r="S3055">
        <v>-2.9992070000000002</v>
      </c>
      <c r="T3055">
        <v>2.503526E-2</v>
      </c>
      <c r="U3055">
        <v>-7.5057979999999996E-2</v>
      </c>
      <c r="V3055">
        <v>-0.10088179999999999</v>
      </c>
      <c r="W3055">
        <v>2.5046889999999999E-2</v>
      </c>
      <c r="X3055">
        <v>0.99458310000000005</v>
      </c>
      <c r="Y3055">
        <v>-9.248924E-2</v>
      </c>
      <c r="Z3055">
        <v>1.0981949999999999E-3</v>
      </c>
      <c r="AA3055">
        <v>0.99571310000000002</v>
      </c>
      <c r="AB3055">
        <v>38</v>
      </c>
      <c r="AC3055">
        <v>-2.9992070000000002</v>
      </c>
      <c r="AD3055">
        <v>2.503526E-2</v>
      </c>
      <c r="AE3055">
        <v>-7.5057979999999996E-2</v>
      </c>
      <c r="AF3055">
        <v>-0.277487171024137</v>
      </c>
      <c r="AG3055">
        <v>2.503526E-2</v>
      </c>
      <c r="AH3055">
        <v>2.98707612918732</v>
      </c>
      <c r="AI3055">
        <v>89.52186283735</v>
      </c>
      <c r="AJ3055">
        <v>95.307312103402396</v>
      </c>
      <c r="AK3055">
        <v>3.0000416156925098</v>
      </c>
      <c r="AL3055">
        <v>88.564768841232805</v>
      </c>
      <c r="AM3055">
        <v>95.791773834335302</v>
      </c>
      <c r="AN3055">
        <v>1.00000001353776</v>
      </c>
    </row>
    <row r="3056" spans="1:40" x14ac:dyDescent="0.25">
      <c r="A3056" t="str">
        <f>"20190305135648217"</f>
        <v>20190305135648217</v>
      </c>
      <c r="B3056" t="str">
        <f>"1551765408205049"</f>
        <v>1551765408205049</v>
      </c>
      <c r="C3056" t="s">
        <v>40</v>
      </c>
      <c r="D3056">
        <v>4.0732089999999896</v>
      </c>
      <c r="E3056">
        <v>0.50256469999999998</v>
      </c>
      <c r="F3056" t="s">
        <v>47</v>
      </c>
      <c r="G3056">
        <v>0</v>
      </c>
      <c r="H3056">
        <v>0</v>
      </c>
      <c r="I3056">
        <v>0</v>
      </c>
      <c r="J3056">
        <v>-248.95089999999999</v>
      </c>
      <c r="K3056">
        <v>1.106765</v>
      </c>
      <c r="L3056">
        <v>140.7071</v>
      </c>
      <c r="M3056">
        <v>-0.99752099999999999</v>
      </c>
      <c r="N3056">
        <v>-6.9790219999999997E-3</v>
      </c>
      <c r="O3056">
        <v>7.0023740000000001E-2</v>
      </c>
      <c r="P3056">
        <v>-0.99932120000000002</v>
      </c>
      <c r="Q3056">
        <v>1.525404E-2</v>
      </c>
      <c r="R3056">
        <v>-3.3534840000000003E-2</v>
      </c>
      <c r="S3056">
        <v>-2.9991910000000002</v>
      </c>
      <c r="T3056">
        <v>2.397144E-2</v>
      </c>
      <c r="U3056">
        <v>-7.5469969999999997E-2</v>
      </c>
      <c r="V3056">
        <v>-0.10334889999999999</v>
      </c>
      <c r="W3056">
        <v>2.2570900000000001E-2</v>
      </c>
      <c r="X3056">
        <v>0.99438910000000003</v>
      </c>
      <c r="Y3056">
        <v>-9.5088779999999998E-2</v>
      </c>
      <c r="Z3056">
        <v>1.0962280000000001E-3</v>
      </c>
      <c r="AA3056">
        <v>0.99546820000000003</v>
      </c>
      <c r="AB3056">
        <v>38</v>
      </c>
      <c r="AC3056">
        <v>-2.9991910000000002</v>
      </c>
      <c r="AD3056">
        <v>2.397144E-2</v>
      </c>
      <c r="AE3056">
        <v>-7.5469969999999997E-2</v>
      </c>
      <c r="AF3056">
        <v>-0.28528616060909001</v>
      </c>
      <c r="AG3056">
        <v>2.397144E-2</v>
      </c>
      <c r="AH3056">
        <v>2.98635313176342</v>
      </c>
      <c r="AI3056">
        <v>89.5421811604878</v>
      </c>
      <c r="AJ3056">
        <v>95.456903219314498</v>
      </c>
      <c r="AK3056">
        <v>3.00004464149518</v>
      </c>
      <c r="AL3056">
        <v>88.706672940506095</v>
      </c>
      <c r="AM3056">
        <v>95.933564616483693</v>
      </c>
      <c r="AN3056">
        <v>1.0000000614284099</v>
      </c>
    </row>
    <row r="3057" spans="1:40" x14ac:dyDescent="0.25">
      <c r="A3057" t="str">
        <f>"20190305135648240"</f>
        <v>20190305135648240</v>
      </c>
      <c r="B3057" t="str">
        <f>"1551765408235305"</f>
        <v>1551765408235305</v>
      </c>
      <c r="C3057" t="s">
        <v>40</v>
      </c>
      <c r="D3057">
        <v>4.0997779999999997</v>
      </c>
      <c r="E3057">
        <v>0.53849069999999899</v>
      </c>
      <c r="F3057" t="s">
        <v>47</v>
      </c>
      <c r="G3057">
        <v>0</v>
      </c>
      <c r="H3057">
        <v>0</v>
      </c>
      <c r="I3057">
        <v>0</v>
      </c>
      <c r="J3057">
        <v>-249.3381</v>
      </c>
      <c r="K3057">
        <v>1.1069420000000001</v>
      </c>
      <c r="L3057">
        <v>140.73509999999999</v>
      </c>
      <c r="M3057">
        <v>-0.99745269999999997</v>
      </c>
      <c r="N3057">
        <v>-6.9828619999999899E-3</v>
      </c>
      <c r="O3057">
        <v>7.0990399999999995E-2</v>
      </c>
      <c r="P3057">
        <v>-0.99935010000000002</v>
      </c>
      <c r="Q3057">
        <v>1.401729E-2</v>
      </c>
      <c r="R3057">
        <v>-3.3220050000000001E-2</v>
      </c>
      <c r="S3057">
        <v>-2.9991460000000001</v>
      </c>
      <c r="T3057">
        <v>1.6647099999999901E-2</v>
      </c>
      <c r="U3057">
        <v>-7.8964229999999996E-2</v>
      </c>
      <c r="V3057">
        <v>-0.1040147</v>
      </c>
      <c r="W3057">
        <v>2.1291379999999999E-2</v>
      </c>
      <c r="X3057">
        <v>0.9943478</v>
      </c>
      <c r="Y3057">
        <v>-9.7215739999999995E-2</v>
      </c>
      <c r="Z3057">
        <v>8.1990779999999998E-4</v>
      </c>
      <c r="AA3057">
        <v>0.99526300000000001</v>
      </c>
      <c r="AB3057">
        <v>38</v>
      </c>
      <c r="AC3057">
        <v>-2.9991460000000001</v>
      </c>
      <c r="AD3057">
        <v>1.6647099999999901E-2</v>
      </c>
      <c r="AE3057">
        <v>-7.8964229999999996E-2</v>
      </c>
      <c r="AF3057">
        <v>-0.29167174824079201</v>
      </c>
      <c r="AG3057">
        <v>1.6647099999999901E-2</v>
      </c>
      <c r="AH3057">
        <v>2.9858810163722498</v>
      </c>
      <c r="AI3057">
        <v>89.682076925492893</v>
      </c>
      <c r="AJ3057">
        <v>95.579160026314</v>
      </c>
      <c r="AK3057">
        <v>3.0001391598711602</v>
      </c>
      <c r="AL3057">
        <v>88.780001554720698</v>
      </c>
      <c r="AM3057">
        <v>95.971761049661396</v>
      </c>
      <c r="AN3057">
        <v>0.99999996402161595</v>
      </c>
    </row>
    <row r="3058" spans="1:40" x14ac:dyDescent="0.25">
      <c r="A3058" t="str">
        <f>"20190305135648262"</f>
        <v>20190305135648262</v>
      </c>
      <c r="B3058" t="str">
        <f>"1551765408254825"</f>
        <v>1551765408254825</v>
      </c>
      <c r="C3058" t="s">
        <v>40</v>
      </c>
      <c r="D3058">
        <v>4.0106710000000003</v>
      </c>
      <c r="E3058">
        <v>0.54242919999999994</v>
      </c>
      <c r="F3058" t="s">
        <v>42</v>
      </c>
      <c r="G3058">
        <v>-276.48270000000002</v>
      </c>
      <c r="H3058" s="1">
        <v>-2.3024050000000001E-6</v>
      </c>
      <c r="I3058">
        <v>142.66489999999999</v>
      </c>
      <c r="J3058">
        <v>-249.73929999999999</v>
      </c>
      <c r="K3058">
        <v>1.107165</v>
      </c>
      <c r="L3058">
        <v>140.76429999999999</v>
      </c>
      <c r="M3058">
        <v>-0.99740269999999998</v>
      </c>
      <c r="N3058">
        <v>-6.9879599999999997E-3</v>
      </c>
      <c r="O3058">
        <v>7.1688080000000001E-2</v>
      </c>
      <c r="P3058">
        <v>-0.99939820000000001</v>
      </c>
      <c r="Q3058">
        <v>1.3130849999999999E-2</v>
      </c>
      <c r="R3058">
        <v>-3.2107759999999999E-2</v>
      </c>
      <c r="S3058">
        <v>-3.0108030000000001</v>
      </c>
      <c r="T3058">
        <v>-0.12277929999999999</v>
      </c>
      <c r="U3058">
        <v>0.2140503</v>
      </c>
      <c r="V3058">
        <v>-0.1036194</v>
      </c>
      <c r="W3058">
        <v>2.035031E-2</v>
      </c>
      <c r="X3058">
        <v>0.99440879999999998</v>
      </c>
      <c r="Y3058">
        <v>-7.3543529999999999E-4</v>
      </c>
      <c r="Z3058">
        <v>-2.4315270000000002E-3</v>
      </c>
      <c r="AA3058">
        <v>0.99999680000000002</v>
      </c>
      <c r="AB3058">
        <v>38</v>
      </c>
      <c r="AC3058">
        <v>-26.743400000000001</v>
      </c>
      <c r="AD3058">
        <v>-1.1071673024049999</v>
      </c>
      <c r="AE3058">
        <v>1.9005999999999901</v>
      </c>
      <c r="AF3058">
        <v>-2.1483314903060598E-2</v>
      </c>
      <c r="AG3058">
        <v>-1.1071673024049999</v>
      </c>
      <c r="AH3058">
        <v>26.765199056276401</v>
      </c>
      <c r="AI3058">
        <v>92.368741871810101</v>
      </c>
      <c r="AJ3058">
        <v>90.045988935369607</v>
      </c>
      <c r="AK3058">
        <v>26.788097384667498</v>
      </c>
      <c r="AL3058">
        <v>88.8339326172715</v>
      </c>
      <c r="AM3058">
        <v>95.948866577317403</v>
      </c>
      <c r="AN3058">
        <v>0.99999998834544801</v>
      </c>
    </row>
    <row r="3059" spans="1:40" x14ac:dyDescent="0.25">
      <c r="A3059" t="str">
        <f>"20190305135648285"</f>
        <v>20190305135648285</v>
      </c>
      <c r="B3059" t="str">
        <f>"1551765408275321"</f>
        <v>1551765408275321</v>
      </c>
      <c r="C3059" t="s">
        <v>40</v>
      </c>
      <c r="D3059">
        <v>4.0238639999999997</v>
      </c>
      <c r="E3059">
        <v>0.54300999999999999</v>
      </c>
      <c r="F3059" t="s">
        <v>42</v>
      </c>
      <c r="G3059">
        <v>-272.18869999999998</v>
      </c>
      <c r="H3059" s="1">
        <v>-4.0649200000000004E-6</v>
      </c>
      <c r="I3059">
        <v>142.625</v>
      </c>
      <c r="J3059">
        <v>-250.12540000000001</v>
      </c>
      <c r="K3059">
        <v>1.1074379999999999</v>
      </c>
      <c r="L3059">
        <v>140.79230000000001</v>
      </c>
      <c r="M3059">
        <v>-0.99738159999999998</v>
      </c>
      <c r="N3059">
        <v>-6.9943959999999999E-3</v>
      </c>
      <c r="O3059">
        <v>7.1979719999999997E-2</v>
      </c>
      <c r="P3059">
        <v>-0.99942730000000002</v>
      </c>
      <c r="Q3059">
        <v>1.2553409999999999E-2</v>
      </c>
      <c r="R3059">
        <v>-3.1432389999999998E-2</v>
      </c>
      <c r="S3059">
        <v>-3.0117799999999999</v>
      </c>
      <c r="T3059">
        <v>-0.14853629999999901</v>
      </c>
      <c r="U3059">
        <v>0.24964900000000001</v>
      </c>
      <c r="V3059">
        <v>-0.10325280000000001</v>
      </c>
      <c r="W3059">
        <v>1.9708139999999999E-2</v>
      </c>
      <c r="X3059">
        <v>0.99445989999999995</v>
      </c>
      <c r="Y3059">
        <v>1.0706830000000001E-2</v>
      </c>
      <c r="Z3059">
        <v>-2.7327919999999999E-3</v>
      </c>
      <c r="AA3059">
        <v>0.99993900000000002</v>
      </c>
      <c r="AB3059">
        <v>39</v>
      </c>
      <c r="AC3059">
        <v>-22.063299999999899</v>
      </c>
      <c r="AD3059">
        <v>-1.1074420649200001</v>
      </c>
      <c r="AE3059">
        <v>1.83269999999998</v>
      </c>
      <c r="AF3059">
        <v>0.239198448414153</v>
      </c>
      <c r="AG3059">
        <v>-1.1074420649200001</v>
      </c>
      <c r="AH3059">
        <v>22.082733072717801</v>
      </c>
      <c r="AI3059">
        <v>92.870791854220897</v>
      </c>
      <c r="AJ3059">
        <v>89.379400840222701</v>
      </c>
      <c r="AK3059">
        <v>22.111778394913902</v>
      </c>
      <c r="AL3059">
        <v>88.870733669654598</v>
      </c>
      <c r="AM3059">
        <v>95.927667500406201</v>
      </c>
      <c r="AN3059">
        <v>1.0000000220990499</v>
      </c>
    </row>
    <row r="3060" spans="1:40" x14ac:dyDescent="0.25">
      <c r="A3060" t="str">
        <f>"20190305135648308"</f>
        <v>20190305135648308</v>
      </c>
      <c r="B3060" t="str">
        <f>"1551765408305577"</f>
        <v>1551765408305577</v>
      </c>
      <c r="C3060" t="s">
        <v>40</v>
      </c>
      <c r="D3060">
        <v>4.06454</v>
      </c>
      <c r="E3060">
        <v>0.54292839999999998</v>
      </c>
      <c r="F3060" t="s">
        <v>42</v>
      </c>
      <c r="G3060">
        <v>-271.10300000000001</v>
      </c>
      <c r="H3060" s="1">
        <v>-4.4263110000000004E-6</v>
      </c>
      <c r="I3060">
        <v>142.5795</v>
      </c>
      <c r="J3060">
        <v>-250.5179</v>
      </c>
      <c r="K3060">
        <v>1.1077760000000001</v>
      </c>
      <c r="L3060">
        <v>140.82060000000001</v>
      </c>
      <c r="M3060">
        <v>-0.99739129999999998</v>
      </c>
      <c r="N3060">
        <v>-7.0031210000000002E-3</v>
      </c>
      <c r="O3060">
        <v>7.1845489999999998E-2</v>
      </c>
      <c r="P3060">
        <v>-0.99942699999999995</v>
      </c>
      <c r="Q3060">
        <v>1.275069E-2</v>
      </c>
      <c r="R3060">
        <v>-3.135901E-2</v>
      </c>
      <c r="S3060">
        <v>-3.0117950000000002</v>
      </c>
      <c r="T3060">
        <v>-0.15899739999999901</v>
      </c>
      <c r="U3060">
        <v>0.25660709999999998</v>
      </c>
      <c r="V3060">
        <v>-0.1030624</v>
      </c>
      <c r="W3060">
        <v>1.982923E-2</v>
      </c>
      <c r="X3060">
        <v>0.99447719999999995</v>
      </c>
      <c r="Y3060">
        <v>1.313976E-2</v>
      </c>
      <c r="Z3060">
        <v>-2.883282E-3</v>
      </c>
      <c r="AA3060">
        <v>0.99990950000000001</v>
      </c>
      <c r="AB3060">
        <v>39</v>
      </c>
      <c r="AC3060">
        <v>-20.585100000000001</v>
      </c>
      <c r="AD3060">
        <v>-1.107780426311</v>
      </c>
      <c r="AE3060">
        <v>1.7588999999999799</v>
      </c>
      <c r="AF3060">
        <v>0.27458225144546999</v>
      </c>
      <c r="AG3060">
        <v>-1.107780426311</v>
      </c>
      <c r="AH3060">
        <v>20.5990500980948</v>
      </c>
      <c r="AI3060">
        <v>93.078027313677694</v>
      </c>
      <c r="AJ3060">
        <v>89.236301074182606</v>
      </c>
      <c r="AK3060">
        <v>20.630643175372601</v>
      </c>
      <c r="AL3060">
        <v>88.863794318797801</v>
      </c>
      <c r="AM3060">
        <v>95.916712194214995</v>
      </c>
      <c r="AN3060">
        <v>0.99999997898799597</v>
      </c>
    </row>
    <row r="3061" spans="1:40" x14ac:dyDescent="0.25">
      <c r="A3061" t="str">
        <f>"20190305135648329"</f>
        <v>20190305135648329</v>
      </c>
      <c r="B3061" t="str">
        <f>"1551765408325097"</f>
        <v>1551765408325097</v>
      </c>
      <c r="C3061" t="s">
        <v>40</v>
      </c>
      <c r="D3061">
        <v>4.0408839999999904</v>
      </c>
      <c r="E3061">
        <v>0.54307159999999999</v>
      </c>
      <c r="F3061" t="s">
        <v>42</v>
      </c>
      <c r="G3061">
        <v>-270.36270000000002</v>
      </c>
      <c r="H3061" s="1">
        <v>-4.6661799999999998E-6</v>
      </c>
      <c r="I3061">
        <v>142.51150000000001</v>
      </c>
      <c r="J3061">
        <v>-250.8828</v>
      </c>
      <c r="K3061">
        <v>1.108131</v>
      </c>
      <c r="L3061">
        <v>140.84649999999999</v>
      </c>
      <c r="M3061">
        <v>-0.99743009999999999</v>
      </c>
      <c r="N3061">
        <v>-7.013526E-3</v>
      </c>
      <c r="O3061">
        <v>7.1302290000000004E-2</v>
      </c>
      <c r="P3061">
        <v>-0.99940530000000005</v>
      </c>
      <c r="Q3061">
        <v>1.326457E-2</v>
      </c>
      <c r="R3061">
        <v>-3.1832529999999998E-2</v>
      </c>
      <c r="S3061">
        <v>-3.0119319999999998</v>
      </c>
      <c r="T3061">
        <v>-0.16813310000000001</v>
      </c>
      <c r="U3061">
        <v>0.25665280000000001</v>
      </c>
      <c r="V3061">
        <v>-0.1030083</v>
      </c>
      <c r="W3061">
        <v>2.026497E-2</v>
      </c>
      <c r="X3061">
        <v>0.99447410000000003</v>
      </c>
      <c r="Y3061">
        <v>1.370176E-2</v>
      </c>
      <c r="Z3061">
        <v>-3.0352880000000001E-3</v>
      </c>
      <c r="AA3061">
        <v>0.9999015</v>
      </c>
      <c r="AB3061">
        <v>39</v>
      </c>
      <c r="AC3061">
        <v>-19.479900000000001</v>
      </c>
      <c r="AD3061">
        <v>-1.1081356661799999</v>
      </c>
      <c r="AE3061">
        <v>1.66500000000002</v>
      </c>
      <c r="AF3061">
        <v>0.27089605053976801</v>
      </c>
      <c r="AG3061">
        <v>-1.1081356661799999</v>
      </c>
      <c r="AH3061">
        <v>19.486436289602501</v>
      </c>
      <c r="AI3061">
        <v>93.254421332156596</v>
      </c>
      <c r="AJ3061">
        <v>89.203538276798298</v>
      </c>
      <c r="AK3061">
        <v>19.519798887119599</v>
      </c>
      <c r="AL3061">
        <v>88.838823327697796</v>
      </c>
      <c r="AM3061">
        <v>95.913646685179501</v>
      </c>
      <c r="AN3061">
        <v>1.0000000572243899</v>
      </c>
    </row>
    <row r="3062" spans="1:40" x14ac:dyDescent="0.25">
      <c r="A3062" t="str">
        <f>"20190305135648353"</f>
        <v>20190305135648353</v>
      </c>
      <c r="B3062" t="str">
        <f>"1551765408345593"</f>
        <v>1551765408345593</v>
      </c>
      <c r="C3062" t="s">
        <v>40</v>
      </c>
      <c r="D3062">
        <v>4.0709600000000004</v>
      </c>
      <c r="E3062">
        <v>0.54299430000000004</v>
      </c>
      <c r="F3062" t="s">
        <v>42</v>
      </c>
      <c r="G3062">
        <v>-270.44959999999998</v>
      </c>
      <c r="H3062" s="1">
        <v>-4.6368969999999997E-6</v>
      </c>
      <c r="I3062">
        <v>142.51310000000001</v>
      </c>
      <c r="J3062">
        <v>-251.29409999999999</v>
      </c>
      <c r="K3062">
        <v>1.1085419999999999</v>
      </c>
      <c r="L3062">
        <v>140.875</v>
      </c>
      <c r="M3062">
        <v>-0.99750799999999995</v>
      </c>
      <c r="N3062">
        <v>-7.0270050000000002E-3</v>
      </c>
      <c r="O3062">
        <v>7.0202329999999993E-2</v>
      </c>
      <c r="P3062">
        <v>-0.99936559999999997</v>
      </c>
      <c r="Q3062">
        <v>1.3963369999999999E-2</v>
      </c>
      <c r="R3062">
        <v>-3.2766160000000003E-2</v>
      </c>
      <c r="S3062">
        <v>-3.012222</v>
      </c>
      <c r="T3062">
        <v>-0.17059360000000001</v>
      </c>
      <c r="U3062">
        <v>0.25657649999999999</v>
      </c>
      <c r="V3062">
        <v>-0.10286049999999999</v>
      </c>
      <c r="W3062">
        <v>2.0874719999999999E-2</v>
      </c>
      <c r="X3062">
        <v>0.99447669999999999</v>
      </c>
      <c r="Y3062">
        <v>1.476998E-2</v>
      </c>
      <c r="Z3062">
        <v>-2.998134E-3</v>
      </c>
      <c r="AA3062">
        <v>0.99988639999999995</v>
      </c>
      <c r="AB3062">
        <v>39</v>
      </c>
      <c r="AC3062">
        <v>-19.1554999999999</v>
      </c>
      <c r="AD3062">
        <v>-1.1085466368969901</v>
      </c>
      <c r="AE3062">
        <v>1.6380999999999999</v>
      </c>
      <c r="AF3062">
        <v>0.28830573166496598</v>
      </c>
      <c r="AG3062">
        <v>-1.1085466368969901</v>
      </c>
      <c r="AH3062">
        <v>19.159537658976401</v>
      </c>
      <c r="AI3062">
        <v>93.310995605299993</v>
      </c>
      <c r="AJ3062">
        <v>89.137899081211103</v>
      </c>
      <c r="AK3062">
        <v>19.193745834172699</v>
      </c>
      <c r="AL3062">
        <v>88.803879731786694</v>
      </c>
      <c r="AM3062">
        <v>95.905206247111806</v>
      </c>
      <c r="AN3062">
        <v>0.99999997161910803</v>
      </c>
    </row>
    <row r="3063" spans="1:40" x14ac:dyDescent="0.25">
      <c r="A3063" t="str">
        <f>"20190305135648377"</f>
        <v>20190305135648377</v>
      </c>
      <c r="B3063" t="str">
        <f>"1551765408365113"</f>
        <v>1551765408365113</v>
      </c>
      <c r="C3063" t="s">
        <v>40</v>
      </c>
      <c r="D3063">
        <v>4.0955120000000003</v>
      </c>
      <c r="E3063">
        <v>0.54303710000000005</v>
      </c>
      <c r="F3063" t="s">
        <v>41</v>
      </c>
      <c r="G3063">
        <v>-252.32419999999999</v>
      </c>
      <c r="H3063">
        <v>1.0505260000000001</v>
      </c>
      <c r="I3063">
        <v>140.96170000000001</v>
      </c>
      <c r="J3063">
        <v>-251.71770000000001</v>
      </c>
      <c r="K3063">
        <v>1.108951</v>
      </c>
      <c r="L3063">
        <v>140.90360000000001</v>
      </c>
      <c r="M3063">
        <v>-0.99761730000000004</v>
      </c>
      <c r="N3063">
        <v>-7.0407639999999997E-3</v>
      </c>
      <c r="O3063">
        <v>6.8631239999999996E-2</v>
      </c>
      <c r="P3063">
        <v>-0.99930810000000003</v>
      </c>
      <c r="Q3063">
        <v>1.482725E-2</v>
      </c>
      <c r="R3063">
        <v>-3.4111339999999997E-2</v>
      </c>
      <c r="S3063">
        <v>-3.0125890000000002</v>
      </c>
      <c r="T3063">
        <v>-0.16975609999999999</v>
      </c>
      <c r="U3063">
        <v>0.25314330000000002</v>
      </c>
      <c r="V3063">
        <v>-0.102654</v>
      </c>
      <c r="W3063">
        <v>2.1651790000000001E-2</v>
      </c>
      <c r="X3063">
        <v>0.99448139999999996</v>
      </c>
      <c r="Y3063">
        <v>1.519964E-2</v>
      </c>
      <c r="Z3063">
        <v>-2.888926E-3</v>
      </c>
      <c r="AA3063">
        <v>0.99988030000000006</v>
      </c>
      <c r="AB3063">
        <v>39</v>
      </c>
      <c r="AC3063">
        <v>-0.60649999999998205</v>
      </c>
      <c r="AD3063">
        <v>-5.8424999999999901E-2</v>
      </c>
      <c r="AE3063">
        <v>5.8099999999996002E-2</v>
      </c>
      <c r="AF3063">
        <v>1.6188265346032099E-2</v>
      </c>
      <c r="AG3063">
        <v>-5.8424999999999901E-2</v>
      </c>
      <c r="AH3063">
        <v>0.60350796345534596</v>
      </c>
      <c r="AI3063">
        <v>95.527539803023501</v>
      </c>
      <c r="AJ3063">
        <v>88.463488500396195</v>
      </c>
      <c r="AK3063">
        <v>0.606545466155615</v>
      </c>
      <c r="AL3063">
        <v>88.759346801984293</v>
      </c>
      <c r="AM3063">
        <v>95.893406981124897</v>
      </c>
      <c r="AN3063">
        <v>0.99999994933608005</v>
      </c>
    </row>
    <row r="3064" spans="1:40" x14ac:dyDescent="0.25">
      <c r="A3064" t="str">
        <f>"20190305135648399"</f>
        <v>20190305135648399</v>
      </c>
      <c r="B3064" t="str">
        <f>"1551765408395370"</f>
        <v>1551765408395370</v>
      </c>
      <c r="C3064" t="s">
        <v>40</v>
      </c>
      <c r="D3064">
        <v>4.0747730000000004</v>
      </c>
      <c r="E3064">
        <v>0.54302839999999997</v>
      </c>
      <c r="F3064" t="s">
        <v>42</v>
      </c>
      <c r="G3064">
        <v>-271.57100000000003</v>
      </c>
      <c r="H3064" s="1">
        <v>-4.2609850000000002E-6</v>
      </c>
      <c r="I3064">
        <v>142.5453</v>
      </c>
      <c r="J3064">
        <v>-252.0992</v>
      </c>
      <c r="K3064">
        <v>1.1092740000000001</v>
      </c>
      <c r="L3064">
        <v>140.92850000000001</v>
      </c>
      <c r="M3064">
        <v>-0.9977336</v>
      </c>
      <c r="N3064">
        <v>-7.0515119999999898E-3</v>
      </c>
      <c r="O3064">
        <v>6.6917969999999993E-2</v>
      </c>
      <c r="P3064">
        <v>-0.99926930000000003</v>
      </c>
      <c r="Q3064">
        <v>1.552271E-2</v>
      </c>
      <c r="R3064">
        <v>-3.4932530000000003E-2</v>
      </c>
      <c r="S3064">
        <v>-3.0130620000000001</v>
      </c>
      <c r="T3064">
        <v>-0.16830229999999999</v>
      </c>
      <c r="U3064">
        <v>0.24917600000000001</v>
      </c>
      <c r="V3064">
        <v>-0.10178139999999999</v>
      </c>
      <c r="W3064">
        <v>2.2282010000000001E-2</v>
      </c>
      <c r="X3064">
        <v>0.99455720000000003</v>
      </c>
      <c r="Y3064">
        <v>1.559222E-2</v>
      </c>
      <c r="Z3064">
        <v>-2.763096E-3</v>
      </c>
      <c r="AA3064">
        <v>0.99987459999999995</v>
      </c>
      <c r="AB3064">
        <v>39</v>
      </c>
      <c r="AC3064">
        <v>-19.471799999999899</v>
      </c>
      <c r="AD3064">
        <v>-1.10927826098499</v>
      </c>
      <c r="AE3064">
        <v>1.61679999999998</v>
      </c>
      <c r="AF3064">
        <v>0.30913366100703399</v>
      </c>
      <c r="AG3064">
        <v>-1.10927826098499</v>
      </c>
      <c r="AH3064">
        <v>19.473580173411801</v>
      </c>
      <c r="AI3064">
        <v>93.259820300062202</v>
      </c>
      <c r="AJ3064">
        <v>89.090533618663898</v>
      </c>
      <c r="AK3064">
        <v>19.507598177401601</v>
      </c>
      <c r="AL3064">
        <v>88.7232291807682</v>
      </c>
      <c r="AM3064">
        <v>95.843216531153402</v>
      </c>
      <c r="AN3064">
        <v>0.99999998271371904</v>
      </c>
    </row>
    <row r="3065" spans="1:40" x14ac:dyDescent="0.25">
      <c r="A3065" t="str">
        <f>"20190305135648419"</f>
        <v>20190305135648419</v>
      </c>
      <c r="B3065" t="str">
        <f>"1551765408414890"</f>
        <v>1551765408414890</v>
      </c>
      <c r="C3065" t="s">
        <v>40</v>
      </c>
      <c r="D3065">
        <v>4.0960429999999999</v>
      </c>
      <c r="E3065">
        <v>0.54303080000000004</v>
      </c>
      <c r="F3065" t="s">
        <v>42</v>
      </c>
      <c r="G3065">
        <v>-272.03530000000001</v>
      </c>
      <c r="H3065" s="1">
        <v>-4.1054929999999999E-6</v>
      </c>
      <c r="I3065">
        <v>142.55940000000001</v>
      </c>
      <c r="J3065">
        <v>-252.44589999999999</v>
      </c>
      <c r="K3065">
        <v>1.1095219999999999</v>
      </c>
      <c r="L3065">
        <v>140.9504</v>
      </c>
      <c r="M3065">
        <v>-0.99784989999999996</v>
      </c>
      <c r="N3065">
        <v>-7.0598369999999898E-3</v>
      </c>
      <c r="O3065">
        <v>6.5161269999999993E-2</v>
      </c>
      <c r="P3065">
        <v>-0.99922040000000001</v>
      </c>
      <c r="Q3065">
        <v>1.6074939999999999E-2</v>
      </c>
      <c r="R3065">
        <v>-3.606235E-2</v>
      </c>
      <c r="S3065">
        <v>-3.0134280000000002</v>
      </c>
      <c r="T3065">
        <v>-0.1676726</v>
      </c>
      <c r="U3065">
        <v>0.24653630000000001</v>
      </c>
      <c r="V3065">
        <v>-0.10116940000000001</v>
      </c>
      <c r="W3065">
        <v>2.2783040000000001E-2</v>
      </c>
      <c r="X3065">
        <v>0.9946083</v>
      </c>
      <c r="Y3065">
        <v>1.6468529999999999E-2</v>
      </c>
      <c r="Z3065">
        <v>-2.6376920000000001E-3</v>
      </c>
      <c r="AA3065">
        <v>0.99986090000000005</v>
      </c>
      <c r="AB3065">
        <v>39</v>
      </c>
      <c r="AC3065">
        <v>-19.589400000000001</v>
      </c>
      <c r="AD3065">
        <v>-1.1095261054929999</v>
      </c>
      <c r="AE3065">
        <v>1.609</v>
      </c>
      <c r="AF3065">
        <v>0.32803319065313802</v>
      </c>
      <c r="AG3065">
        <v>-1.1095261054929999</v>
      </c>
      <c r="AH3065">
        <v>19.5901886055243</v>
      </c>
      <c r="AI3065">
        <v>93.241134628695093</v>
      </c>
      <c r="AJ3065">
        <v>89.040685037811599</v>
      </c>
      <c r="AK3065">
        <v>19.624325301853201</v>
      </c>
      <c r="AL3065">
        <v>88.694514997998098</v>
      </c>
      <c r="AM3065">
        <v>95.808026497130498</v>
      </c>
      <c r="AN3065">
        <v>0.99999999241844495</v>
      </c>
    </row>
    <row r="3066" spans="1:40" x14ac:dyDescent="0.25">
      <c r="A3066" t="str">
        <f>"20190305135648442"</f>
        <v>20190305135648442</v>
      </c>
      <c r="B3066" t="str">
        <f>"1551765408435385"</f>
        <v>1551765408435385</v>
      </c>
      <c r="C3066" t="s">
        <v>40</v>
      </c>
      <c r="D3066">
        <v>4.0886040000000001</v>
      </c>
      <c r="E3066">
        <v>0.54302229999999996</v>
      </c>
      <c r="F3066" t="s">
        <v>42</v>
      </c>
      <c r="G3066">
        <v>-272.4837</v>
      </c>
      <c r="H3066" s="1">
        <v>-3.9545440000000004E-6</v>
      </c>
      <c r="I3066">
        <v>142.56880000000001</v>
      </c>
      <c r="J3066">
        <v>-252.8323</v>
      </c>
      <c r="K3066">
        <v>1.109761</v>
      </c>
      <c r="L3066">
        <v>140.97409999999999</v>
      </c>
      <c r="M3066">
        <v>-0.99798629999999999</v>
      </c>
      <c r="N3066">
        <v>-7.0678729999999997E-3</v>
      </c>
      <c r="O3066">
        <v>6.3035859999999999E-2</v>
      </c>
      <c r="P3066">
        <v>-0.99914139999999996</v>
      </c>
      <c r="Q3066">
        <v>1.6253179999999999E-2</v>
      </c>
      <c r="R3066">
        <v>-3.8110669999999999E-2</v>
      </c>
      <c r="S3066">
        <v>-3.0138090000000002</v>
      </c>
      <c r="T3066">
        <v>-0.16687939999999901</v>
      </c>
      <c r="U3066">
        <v>0.24342349999999999</v>
      </c>
      <c r="V3066">
        <v>-0.1011032</v>
      </c>
      <c r="W3066">
        <v>2.2911279999999999E-2</v>
      </c>
      <c r="X3066">
        <v>0.9946121</v>
      </c>
      <c r="Y3066">
        <v>1.755694E-2</v>
      </c>
      <c r="Z3066">
        <v>-2.4859869999999998E-3</v>
      </c>
      <c r="AA3066">
        <v>0.99984280000000003</v>
      </c>
      <c r="AB3066">
        <v>39</v>
      </c>
      <c r="AC3066">
        <v>-19.651399999999899</v>
      </c>
      <c r="AD3066">
        <v>-1.109764954544</v>
      </c>
      <c r="AE3066">
        <v>1.59470000000001</v>
      </c>
      <c r="AF3066">
        <v>0.35164054354195101</v>
      </c>
      <c r="AG3066">
        <v>-1.109764954544</v>
      </c>
      <c r="AH3066">
        <v>19.6505836858056</v>
      </c>
      <c r="AI3066">
        <v>93.231824203924205</v>
      </c>
      <c r="AJ3066">
        <v>88.974820837539994</v>
      </c>
      <c r="AK3066">
        <v>19.685036665422899</v>
      </c>
      <c r="AL3066">
        <v>88.687165487387702</v>
      </c>
      <c r="AM3066">
        <v>95.804229958350007</v>
      </c>
      <c r="AN3066">
        <v>1.0000000066339401</v>
      </c>
    </row>
    <row r="3067" spans="1:40" x14ac:dyDescent="0.25">
      <c r="A3067" t="str">
        <f>"20190305135648464"</f>
        <v>20190305135648464</v>
      </c>
      <c r="B3067" t="str">
        <f>"1551765408454905"</f>
        <v>1551765408454905</v>
      </c>
      <c r="C3067" t="s">
        <v>40</v>
      </c>
      <c r="D3067">
        <v>4.0921839999999996</v>
      </c>
      <c r="E3067">
        <v>0.5430102</v>
      </c>
      <c r="F3067" t="s">
        <v>42</v>
      </c>
      <c r="G3067">
        <v>-272.82670000000002</v>
      </c>
      <c r="H3067" s="1">
        <v>-3.8341380000000001E-6</v>
      </c>
      <c r="I3067">
        <v>142.548</v>
      </c>
      <c r="J3067">
        <v>-253.25569999999999</v>
      </c>
      <c r="K3067">
        <v>1.1099749999999999</v>
      </c>
      <c r="L3067">
        <v>140.999</v>
      </c>
      <c r="M3067">
        <v>-0.99813859999999999</v>
      </c>
      <c r="N3067">
        <v>-7.0757469999999899E-3</v>
      </c>
      <c r="O3067">
        <v>6.05768E-2</v>
      </c>
      <c r="P3067">
        <v>-0.99904839999999995</v>
      </c>
      <c r="Q3067">
        <v>1.6701839999999999E-2</v>
      </c>
      <c r="R3067">
        <v>-4.0295959999999999E-2</v>
      </c>
      <c r="S3067">
        <v>-3.0143589999999998</v>
      </c>
      <c r="T3067">
        <v>-0.16730889999999901</v>
      </c>
      <c r="U3067">
        <v>0.23728940000000001</v>
      </c>
      <c r="V3067">
        <v>-0.1008419</v>
      </c>
      <c r="W3067">
        <v>2.3316960000000001E-2</v>
      </c>
      <c r="X3067">
        <v>0.99462919999999999</v>
      </c>
      <c r="Y3067">
        <v>1.7980690000000001E-2</v>
      </c>
      <c r="Z3067">
        <v>-2.3612049999999999E-3</v>
      </c>
      <c r="AA3067">
        <v>0.99983560000000005</v>
      </c>
      <c r="AB3067">
        <v>39</v>
      </c>
      <c r="AC3067">
        <v>-19.571000000000002</v>
      </c>
      <c r="AD3067">
        <v>-1.1099788341379999</v>
      </c>
      <c r="AE3067">
        <v>1.5489999999999999</v>
      </c>
      <c r="AF3067">
        <v>0.35942815872586698</v>
      </c>
      <c r="AG3067">
        <v>-1.1099788341379999</v>
      </c>
      <c r="AH3067">
        <v>19.566346425410899</v>
      </c>
      <c r="AI3067">
        <v>93.246304505030807</v>
      </c>
      <c r="AJ3067">
        <v>88.947611366496304</v>
      </c>
      <c r="AK3067">
        <v>19.6011008377771</v>
      </c>
      <c r="AL3067">
        <v>88.6639155250258</v>
      </c>
      <c r="AM3067">
        <v>95.789232165511905</v>
      </c>
      <c r="AN3067">
        <v>1.0000000074559401</v>
      </c>
    </row>
    <row r="3068" spans="1:40" x14ac:dyDescent="0.25">
      <c r="A3068" t="str">
        <f>"20190305135648487"</f>
        <v>20190305135648487</v>
      </c>
      <c r="B3068" t="str">
        <f>"1551765408475401"</f>
        <v>1551765408475401</v>
      </c>
      <c r="C3068" t="s">
        <v>40</v>
      </c>
      <c r="D3068">
        <v>4.0998109999999999</v>
      </c>
      <c r="E3068">
        <v>0.54310709999999995</v>
      </c>
      <c r="F3068" t="s">
        <v>42</v>
      </c>
      <c r="G3068">
        <v>-273.2527</v>
      </c>
      <c r="H3068" s="1">
        <v>-3.6516540000000001E-6</v>
      </c>
      <c r="I3068">
        <v>142.52799999999999</v>
      </c>
      <c r="J3068">
        <v>-253.63849999999999</v>
      </c>
      <c r="K3068">
        <v>1.1101270000000001</v>
      </c>
      <c r="L3068">
        <v>141.0206</v>
      </c>
      <c r="M3068">
        <v>-0.99827460000000001</v>
      </c>
      <c r="N3068">
        <v>-7.0824549999999997E-3</v>
      </c>
      <c r="O3068">
        <v>5.8288920000000001E-2</v>
      </c>
      <c r="P3068">
        <v>-0.99895889999999998</v>
      </c>
      <c r="Q3068">
        <v>1.6540019999999999E-2</v>
      </c>
      <c r="R3068">
        <v>-4.2515959999999998E-2</v>
      </c>
      <c r="S3068">
        <v>-3.0149840000000001</v>
      </c>
      <c r="T3068">
        <v>-0.167354</v>
      </c>
      <c r="U3068">
        <v>0.23052980000000001</v>
      </c>
      <c r="V3068">
        <v>-0.1007802</v>
      </c>
      <c r="W3068">
        <v>2.3123890000000001E-2</v>
      </c>
      <c r="X3068">
        <v>0.99463990000000002</v>
      </c>
      <c r="Y3068">
        <v>1.8025079999999999E-2</v>
      </c>
      <c r="Z3068">
        <v>-2.2496180000000001E-3</v>
      </c>
      <c r="AA3068">
        <v>0.99983500000000003</v>
      </c>
      <c r="AB3068">
        <v>39</v>
      </c>
      <c r="AC3068">
        <v>-19.6142</v>
      </c>
      <c r="AD3068">
        <v>-1.1101306516539999</v>
      </c>
      <c r="AE3068">
        <v>1.5073999999999901</v>
      </c>
      <c r="AF3068">
        <v>0.36037005593883797</v>
      </c>
      <c r="AG3068">
        <v>-1.1101306516539999</v>
      </c>
      <c r="AH3068">
        <v>19.606278937160202</v>
      </c>
      <c r="AI3068">
        <v>93.240148324087798</v>
      </c>
      <c r="AJ3068">
        <v>88.947002711595999</v>
      </c>
      <c r="AK3068">
        <v>19.640988529162399</v>
      </c>
      <c r="AL3068">
        <v>88.674980524256696</v>
      </c>
      <c r="AM3068">
        <v>95.785652249426406</v>
      </c>
      <c r="AN3068">
        <v>0.99999994683638904</v>
      </c>
    </row>
    <row r="3069" spans="1:40" x14ac:dyDescent="0.25">
      <c r="A3069" t="str">
        <f>"20190305135648509"</f>
        <v>20190305135648509</v>
      </c>
      <c r="B3069" t="str">
        <f>"1551765408505657"</f>
        <v>1551765408505657</v>
      </c>
      <c r="C3069" t="s">
        <v>40</v>
      </c>
      <c r="D3069">
        <v>4.1328809999999896</v>
      </c>
      <c r="E3069">
        <v>0.54321309999999901</v>
      </c>
      <c r="F3069" t="s">
        <v>42</v>
      </c>
      <c r="G3069">
        <v>-273.49779999999998</v>
      </c>
      <c r="H3069" s="1">
        <v>-3.5385550000000001E-6</v>
      </c>
      <c r="I3069">
        <v>142.4982</v>
      </c>
      <c r="J3069">
        <v>-254.0368</v>
      </c>
      <c r="K3069">
        <v>1.1102449999999999</v>
      </c>
      <c r="L3069">
        <v>141.04220000000001</v>
      </c>
      <c r="M3069">
        <v>-0.99841120000000005</v>
      </c>
      <c r="N3069">
        <v>-7.0889990000000003E-3</v>
      </c>
      <c r="O3069">
        <v>5.5903000000000001E-2</v>
      </c>
      <c r="P3069">
        <v>-0.99882020000000005</v>
      </c>
      <c r="Q3069">
        <v>1.6536599999999999E-2</v>
      </c>
      <c r="R3069">
        <v>-4.5664330000000003E-2</v>
      </c>
      <c r="S3069">
        <v>-3.0155029999999998</v>
      </c>
      <c r="T3069">
        <v>-0.168566299999999</v>
      </c>
      <c r="U3069">
        <v>0.22436519999999999</v>
      </c>
      <c r="V3069">
        <v>-0.10154530000000001</v>
      </c>
      <c r="W3069">
        <v>2.309195E-2</v>
      </c>
      <c r="X3069">
        <v>0.99456290000000003</v>
      </c>
      <c r="Y3069">
        <v>1.836639E-2</v>
      </c>
      <c r="Z3069">
        <v>-2.1420710000000002E-3</v>
      </c>
      <c r="AA3069">
        <v>0.99982910000000003</v>
      </c>
      <c r="AB3069">
        <v>40</v>
      </c>
      <c r="AC3069">
        <v>-19.460999999999899</v>
      </c>
      <c r="AD3069">
        <v>-1.1102485385550001</v>
      </c>
      <c r="AE3069">
        <v>1.45599999999998</v>
      </c>
      <c r="AF3069">
        <v>0.36458754012172401</v>
      </c>
      <c r="AG3069">
        <v>-1.1102485385550001</v>
      </c>
      <c r="AH3069">
        <v>19.4490140255547</v>
      </c>
      <c r="AI3069">
        <v>93.266615690347905</v>
      </c>
      <c r="AJ3069">
        <v>88.926069932078406</v>
      </c>
      <c r="AK3069">
        <v>19.484088956325301</v>
      </c>
      <c r="AL3069">
        <v>88.676811142571097</v>
      </c>
      <c r="AM3069">
        <v>95.8297224372496</v>
      </c>
      <c r="AN3069">
        <v>1.00000002408165</v>
      </c>
    </row>
    <row r="3070" spans="1:40" x14ac:dyDescent="0.25">
      <c r="A3070" t="str">
        <f>"20190305135648542"</f>
        <v>20190305135648542</v>
      </c>
      <c r="B3070" t="str">
        <f>"1551765408534937"</f>
        <v>1551765408534937</v>
      </c>
      <c r="C3070" t="s">
        <v>40</v>
      </c>
      <c r="D3070">
        <v>4.0878199999999998</v>
      </c>
      <c r="E3070">
        <v>0.54323269999999901</v>
      </c>
      <c r="F3070" t="s">
        <v>42</v>
      </c>
      <c r="G3070">
        <v>-273.62819999999999</v>
      </c>
      <c r="H3070" s="1">
        <v>-3.46749E-6</v>
      </c>
      <c r="I3070">
        <v>142.44130000000001</v>
      </c>
      <c r="J3070">
        <v>-254.6174</v>
      </c>
      <c r="K3070">
        <v>1.1103270000000001</v>
      </c>
      <c r="L3070">
        <v>141.0719</v>
      </c>
      <c r="M3070">
        <v>-0.99859390000000003</v>
      </c>
      <c r="N3070">
        <v>-7.0973679999999997E-3</v>
      </c>
      <c r="O3070">
        <v>5.2536149999999997E-2</v>
      </c>
      <c r="P3070">
        <v>-0.99854869999999996</v>
      </c>
      <c r="Q3070">
        <v>1.6176280000000001E-2</v>
      </c>
      <c r="R3070">
        <v>-5.1370859999999997E-2</v>
      </c>
      <c r="S3070">
        <v>-3.016235</v>
      </c>
      <c r="T3070">
        <v>-0.170931</v>
      </c>
      <c r="U3070">
        <v>0.2154083</v>
      </c>
      <c r="V3070">
        <v>-0.1038787</v>
      </c>
      <c r="W3070">
        <v>2.2701519999999999E-2</v>
      </c>
      <c r="X3070">
        <v>0.99433090000000002</v>
      </c>
      <c r="Y3070">
        <v>1.8762819999999999E-2</v>
      </c>
      <c r="Z3070">
        <v>-1.9989439999999999E-3</v>
      </c>
      <c r="AA3070">
        <v>0.99982199999999999</v>
      </c>
      <c r="AB3070">
        <v>40</v>
      </c>
      <c r="AC3070">
        <v>-19.0107999999999</v>
      </c>
      <c r="AD3070">
        <v>-1.1103304674900001</v>
      </c>
      <c r="AE3070">
        <v>1.3694000000000099</v>
      </c>
      <c r="AF3070">
        <v>0.36748242166411599</v>
      </c>
      <c r="AG3070">
        <v>-1.1103304674900001</v>
      </c>
      <c r="AH3070">
        <v>18.9920392988206</v>
      </c>
      <c r="AI3070">
        <v>93.345246519855195</v>
      </c>
      <c r="AJ3070">
        <v>88.891505834984898</v>
      </c>
      <c r="AK3070">
        <v>19.028017074966499</v>
      </c>
      <c r="AL3070">
        <v>88.699187021550998</v>
      </c>
      <c r="AM3070">
        <v>95.964109878400194</v>
      </c>
      <c r="AN3070">
        <v>1.0000000410094001</v>
      </c>
    </row>
    <row r="3071" spans="1:40" x14ac:dyDescent="0.25">
      <c r="A3071" t="str">
        <f>"20190305135648565"</f>
        <v>20190305135648565</v>
      </c>
      <c r="B3071" t="str">
        <f>"1551765408555433"</f>
        <v>1551765408555433</v>
      </c>
      <c r="C3071" t="s">
        <v>40</v>
      </c>
      <c r="D3071">
        <v>4.1344320000000003</v>
      </c>
      <c r="E3071">
        <v>0.54347429999999997</v>
      </c>
      <c r="F3071" t="s">
        <v>42</v>
      </c>
      <c r="G3071">
        <v>-273.92700000000002</v>
      </c>
      <c r="H3071" s="1">
        <v>-3.3126639999999999E-6</v>
      </c>
      <c r="I3071">
        <v>142.34119999999999</v>
      </c>
      <c r="J3071">
        <v>-255.02449999999999</v>
      </c>
      <c r="K3071">
        <v>1.1103499999999999</v>
      </c>
      <c r="L3071">
        <v>141.0917</v>
      </c>
      <c r="M3071">
        <v>-0.99870990000000004</v>
      </c>
      <c r="N3071">
        <v>-7.1029689999999998E-3</v>
      </c>
      <c r="O3071">
        <v>5.0279900000000002E-2</v>
      </c>
      <c r="P3071">
        <v>-0.99830560000000002</v>
      </c>
      <c r="Q3071">
        <v>1.5884619999999999E-2</v>
      </c>
      <c r="R3071">
        <v>-5.597883E-2</v>
      </c>
      <c r="S3071">
        <v>-3.0173800000000002</v>
      </c>
      <c r="T3071">
        <v>-0.173504399999999</v>
      </c>
      <c r="U3071">
        <v>0.198349</v>
      </c>
      <c r="V3071">
        <v>-0.10622189999999999</v>
      </c>
      <c r="W3071">
        <v>2.2395470000000001E-2</v>
      </c>
      <c r="X3071">
        <v>0.99409020000000003</v>
      </c>
      <c r="Y3071">
        <v>1.5373100000000001E-2</v>
      </c>
      <c r="Z3071">
        <v>-2.0309669999999998E-3</v>
      </c>
      <c r="AA3071">
        <v>0.99987979999999999</v>
      </c>
      <c r="AB3071">
        <v>40</v>
      </c>
      <c r="AC3071">
        <v>-18.9025</v>
      </c>
      <c r="AD3071">
        <v>-1.1103533126639999</v>
      </c>
      <c r="AE3071">
        <v>1.2494999999999801</v>
      </c>
      <c r="AF3071">
        <v>0.29646122339188702</v>
      </c>
      <c r="AG3071">
        <v>-1.1103533126639999</v>
      </c>
      <c r="AH3071">
        <v>18.876566082438199</v>
      </c>
      <c r="AI3071">
        <v>93.365946930168306</v>
      </c>
      <c r="AJ3071">
        <v>89.100229328588</v>
      </c>
      <c r="AK3071">
        <v>18.911518204538101</v>
      </c>
      <c r="AL3071">
        <v>88.716726784942495</v>
      </c>
      <c r="AM3071">
        <v>96.099105602860007</v>
      </c>
      <c r="AN3071">
        <v>0.99999998742608498</v>
      </c>
    </row>
    <row r="3072" spans="1:40" x14ac:dyDescent="0.25">
      <c r="A3072" t="str">
        <f>"20190305135648588"</f>
        <v>20190305135648588</v>
      </c>
      <c r="B3072" t="str">
        <f>"1551765408585689"</f>
        <v>1551765408585689</v>
      </c>
      <c r="C3072" t="s">
        <v>40</v>
      </c>
      <c r="D3072">
        <v>4.1224800000000004</v>
      </c>
      <c r="E3072">
        <v>0.54366359999999903</v>
      </c>
      <c r="F3072" t="s">
        <v>42</v>
      </c>
      <c r="G3072">
        <v>-274.21949999999998</v>
      </c>
      <c r="H3072" s="1">
        <v>-3.1699790000000002E-6</v>
      </c>
      <c r="I3072">
        <v>142.2764</v>
      </c>
      <c r="J3072">
        <v>-255.4393</v>
      </c>
      <c r="K3072">
        <v>1.1103510000000001</v>
      </c>
      <c r="L3072">
        <v>141.11109999999999</v>
      </c>
      <c r="M3072">
        <v>-0.99881770000000003</v>
      </c>
      <c r="N3072">
        <v>-7.1090550000000004E-3</v>
      </c>
      <c r="O3072">
        <v>4.8089170000000001E-2</v>
      </c>
      <c r="P3072">
        <v>-0.99806280000000003</v>
      </c>
      <c r="Q3072">
        <v>1.6332800000000001E-2</v>
      </c>
      <c r="R3072">
        <v>-6.0034240000000003E-2</v>
      </c>
      <c r="S3072">
        <v>-3.0183110000000002</v>
      </c>
      <c r="T3072">
        <v>-0.17459769999999999</v>
      </c>
      <c r="U3072">
        <v>0.1862946</v>
      </c>
      <c r="V3072">
        <v>-0.1080816</v>
      </c>
      <c r="W3072">
        <v>2.2839290000000002E-2</v>
      </c>
      <c r="X3072">
        <v>0.99387959999999997</v>
      </c>
      <c r="Y3072">
        <v>1.357005E-2</v>
      </c>
      <c r="Z3072">
        <v>-1.9933450000000001E-3</v>
      </c>
      <c r="AA3072">
        <v>0.99990590000000001</v>
      </c>
      <c r="AB3072">
        <v>40</v>
      </c>
      <c r="AC3072">
        <v>-18.780199999999901</v>
      </c>
      <c r="AD3072">
        <v>-1.110354169979</v>
      </c>
      <c r="AE3072">
        <v>1.1653</v>
      </c>
      <c r="AF3072">
        <v>0.259899615711009</v>
      </c>
      <c r="AG3072">
        <v>-1.110354169979</v>
      </c>
      <c r="AH3072">
        <v>18.7492222635213</v>
      </c>
      <c r="AI3072">
        <v>93.38884990711</v>
      </c>
      <c r="AJ3072">
        <v>89.2058231968157</v>
      </c>
      <c r="AK3072">
        <v>18.783869933535001</v>
      </c>
      <c r="AL3072">
        <v>88.691291232191702</v>
      </c>
      <c r="AM3072">
        <v>96.206365524609794</v>
      </c>
      <c r="AN3072">
        <v>0.99999996236121103</v>
      </c>
    </row>
    <row r="3073" spans="1:40" x14ac:dyDescent="0.25">
      <c r="A3073" t="str">
        <f>"20190305135648609"</f>
        <v>20190305135648609</v>
      </c>
      <c r="B3073" t="str">
        <f>"1551765408605208"</f>
        <v>1551765408605208</v>
      </c>
      <c r="C3073" t="s">
        <v>40</v>
      </c>
      <c r="D3073">
        <v>4.0852110000000001</v>
      </c>
      <c r="E3073">
        <v>0.5438752</v>
      </c>
      <c r="F3073" t="s">
        <v>42</v>
      </c>
      <c r="G3073">
        <v>-274.69450000000001</v>
      </c>
      <c r="H3073" s="1">
        <v>-2.953871E-6</v>
      </c>
      <c r="I3073">
        <v>142.2302</v>
      </c>
      <c r="J3073">
        <v>-255.80549999999999</v>
      </c>
      <c r="K3073">
        <v>1.1103270000000001</v>
      </c>
      <c r="L3073">
        <v>141.12739999999999</v>
      </c>
      <c r="M3073">
        <v>-0.99890389999999996</v>
      </c>
      <c r="N3073">
        <v>-7.1148080000000002E-3</v>
      </c>
      <c r="O3073">
        <v>4.6265390000000003E-2</v>
      </c>
      <c r="P3073">
        <v>-0.99789859999999997</v>
      </c>
      <c r="Q3073">
        <v>1.6398389999999999E-2</v>
      </c>
      <c r="R3073">
        <v>-6.2686980000000003E-2</v>
      </c>
      <c r="S3073">
        <v>-3.0192109999999999</v>
      </c>
      <c r="T3073">
        <v>-0.17410300000000001</v>
      </c>
      <c r="U3073">
        <v>0.17549129999999999</v>
      </c>
      <c r="V3073">
        <v>-0.1089079</v>
      </c>
      <c r="W3073">
        <v>2.2913179999999998E-2</v>
      </c>
      <c r="X3073">
        <v>0.99378770000000005</v>
      </c>
      <c r="Y3073">
        <v>1.181303E-2</v>
      </c>
      <c r="Z3073">
        <v>-1.950848E-3</v>
      </c>
      <c r="AA3073">
        <v>0.99992829999999999</v>
      </c>
      <c r="AB3073">
        <v>40</v>
      </c>
      <c r="AC3073">
        <v>-18.888999999999999</v>
      </c>
      <c r="AD3073">
        <v>-1.1103299538709901</v>
      </c>
      <c r="AE3073">
        <v>1.1028</v>
      </c>
      <c r="AF3073">
        <v>0.22690864504445801</v>
      </c>
      <c r="AG3073">
        <v>-1.1103299538709901</v>
      </c>
      <c r="AH3073">
        <v>18.8548671140375</v>
      </c>
      <c r="AI3073">
        <v>93.369912091697898</v>
      </c>
      <c r="AJ3073">
        <v>89.310507995818298</v>
      </c>
      <c r="AK3073">
        <v>18.888894462823199</v>
      </c>
      <c r="AL3073">
        <v>88.687056546857505</v>
      </c>
      <c r="AM3073">
        <v>96.254013311768006</v>
      </c>
      <c r="AN3073">
        <v>0.99999996858570495</v>
      </c>
    </row>
    <row r="3074" spans="1:40" x14ac:dyDescent="0.25">
      <c r="A3074" t="str">
        <f>"20190305135648632"</f>
        <v>20190305135648632</v>
      </c>
      <c r="B3074" t="str">
        <f>"1551765408625705"</f>
        <v>1551765408625705</v>
      </c>
      <c r="C3074" t="s">
        <v>40</v>
      </c>
      <c r="D3074">
        <v>4.068848</v>
      </c>
      <c r="E3074">
        <v>0.54407779999999994</v>
      </c>
      <c r="F3074" t="s">
        <v>42</v>
      </c>
      <c r="G3074">
        <v>-274.94159999999999</v>
      </c>
      <c r="H3074" s="1">
        <v>-2.8388109999999999E-6</v>
      </c>
      <c r="I3074">
        <v>142.196</v>
      </c>
      <c r="J3074">
        <v>-256.21339999999998</v>
      </c>
      <c r="K3074">
        <v>1.110282</v>
      </c>
      <c r="L3074">
        <v>141.14490000000001</v>
      </c>
      <c r="M3074">
        <v>-0.99899079999999996</v>
      </c>
      <c r="N3074">
        <v>-7.1216680000000003E-3</v>
      </c>
      <c r="O3074">
        <v>4.4349649999999997E-2</v>
      </c>
      <c r="P3074">
        <v>-0.997695</v>
      </c>
      <c r="Q3074">
        <v>1.7140059999999999E-2</v>
      </c>
      <c r="R3074">
        <v>-6.5660609999999994E-2</v>
      </c>
      <c r="S3074">
        <v>-3.019806</v>
      </c>
      <c r="T3074">
        <v>-0.1752185</v>
      </c>
      <c r="U3074">
        <v>0.16864009999999999</v>
      </c>
      <c r="V3074">
        <v>-0.10996450000000001</v>
      </c>
      <c r="W3074">
        <v>2.3666860000000001E-2</v>
      </c>
      <c r="X3074">
        <v>0.99365369999999997</v>
      </c>
      <c r="Y3074">
        <v>1.145676E-2</v>
      </c>
      <c r="Z3074">
        <v>-1.879466E-3</v>
      </c>
      <c r="AA3074">
        <v>0.99993259999999995</v>
      </c>
      <c r="AB3074">
        <v>40</v>
      </c>
      <c r="AC3074">
        <v>-18.728200000000001</v>
      </c>
      <c r="AD3074">
        <v>-1.110284838811</v>
      </c>
      <c r="AE3074">
        <v>1.0510999999999899</v>
      </c>
      <c r="AF3074">
        <v>0.218689460953921</v>
      </c>
      <c r="AG3074">
        <v>-1.110284838811</v>
      </c>
      <c r="AH3074">
        <v>18.690904021907599</v>
      </c>
      <c r="AI3074">
        <v>93.399280749316901</v>
      </c>
      <c r="AJ3074">
        <v>89.329651931494197</v>
      </c>
      <c r="AK3074">
        <v>18.725128855625702</v>
      </c>
      <c r="AL3074">
        <v>88.643862178745906</v>
      </c>
      <c r="AM3074">
        <v>96.315045230517796</v>
      </c>
      <c r="AN3074">
        <v>0.99999999352309898</v>
      </c>
    </row>
    <row r="3075" spans="1:40" x14ac:dyDescent="0.25">
      <c r="A3075" t="str">
        <f>"20190305135648654"</f>
        <v>20190305135648654</v>
      </c>
      <c r="B3075" t="str">
        <f>"1551765408645225"</f>
        <v>1551765408645225</v>
      </c>
      <c r="C3075" t="s">
        <v>40</v>
      </c>
      <c r="D3075">
        <v>4.1296920000000004</v>
      </c>
      <c r="E3075">
        <v>0.55266479999999996</v>
      </c>
      <c r="F3075" t="s">
        <v>41</v>
      </c>
      <c r="G3075">
        <v>-257.27080000000001</v>
      </c>
      <c r="H3075">
        <v>1.0494589999999999</v>
      </c>
      <c r="I3075">
        <v>141.2013</v>
      </c>
      <c r="J3075">
        <v>-256.61439999999999</v>
      </c>
      <c r="K3075">
        <v>1.1102369999999999</v>
      </c>
      <c r="L3075">
        <v>141.16139999999999</v>
      </c>
      <c r="M3075">
        <v>-0.99906850000000003</v>
      </c>
      <c r="N3075">
        <v>-7.1289029999999998E-3</v>
      </c>
      <c r="O3075">
        <v>4.2559979999999997E-2</v>
      </c>
      <c r="P3075">
        <v>-0.99755839999999996</v>
      </c>
      <c r="Q3075">
        <v>1.8094519999999999E-2</v>
      </c>
      <c r="R3075">
        <v>-6.7455109999999999E-2</v>
      </c>
      <c r="S3075">
        <v>-3.020508</v>
      </c>
      <c r="T3075">
        <v>-0.17375090000000001</v>
      </c>
      <c r="U3075">
        <v>0.1611176</v>
      </c>
      <c r="V3075">
        <v>-0.1099728</v>
      </c>
      <c r="W3075">
        <v>2.4640269999999999E-2</v>
      </c>
      <c r="X3075">
        <v>0.99362910000000004</v>
      </c>
      <c r="Y3075">
        <v>1.075044E-2</v>
      </c>
      <c r="Z3075">
        <v>-1.792966E-3</v>
      </c>
      <c r="AA3075">
        <v>0.99994059999999996</v>
      </c>
      <c r="AB3075">
        <v>40</v>
      </c>
      <c r="AC3075">
        <v>-0.65640000000001897</v>
      </c>
      <c r="AD3075">
        <v>-6.07780000000002E-2</v>
      </c>
      <c r="AE3075">
        <v>3.9900000000017102E-2</v>
      </c>
      <c r="AF3075">
        <v>1.18257508532899E-2</v>
      </c>
      <c r="AG3075">
        <v>-6.07780000000002E-2</v>
      </c>
      <c r="AH3075">
        <v>0.65193464754066599</v>
      </c>
      <c r="AI3075">
        <v>95.3252557028448</v>
      </c>
      <c r="AJ3075">
        <v>88.960798731611007</v>
      </c>
      <c r="AK3075">
        <v>0.65486838244888301</v>
      </c>
      <c r="AL3075">
        <v>88.588073588129305</v>
      </c>
      <c r="AM3075">
        <v>96.315673126296602</v>
      </c>
      <c r="AN3075">
        <v>0.99999997400616103</v>
      </c>
    </row>
    <row r="3076" spans="1:40" x14ac:dyDescent="0.25">
      <c r="A3076" t="str">
        <f>"20190305135648677"</f>
        <v>20190305135648677</v>
      </c>
      <c r="B3076" t="str">
        <f>"1551765408665721"</f>
        <v>1551765408665721</v>
      </c>
      <c r="C3076" t="s">
        <v>40</v>
      </c>
      <c r="D3076">
        <v>4.068892</v>
      </c>
      <c r="E3076">
        <v>0.55312819999999996</v>
      </c>
      <c r="F3076" t="s">
        <v>41</v>
      </c>
      <c r="G3076">
        <v>-257.62560000000002</v>
      </c>
      <c r="H3076">
        <v>1.046794</v>
      </c>
      <c r="I3076">
        <v>141.23660000000001</v>
      </c>
      <c r="J3076">
        <v>-257.03300000000002</v>
      </c>
      <c r="K3076">
        <v>1.110185</v>
      </c>
      <c r="L3076">
        <v>141.17789999999999</v>
      </c>
      <c r="M3076">
        <v>-0.99914340000000001</v>
      </c>
      <c r="N3076">
        <v>-7.1371100000000003E-3</v>
      </c>
      <c r="O3076">
        <v>4.0764149999999999E-2</v>
      </c>
      <c r="P3076">
        <v>-0.99750459999999996</v>
      </c>
      <c r="Q3076">
        <v>1.894148E-2</v>
      </c>
      <c r="R3076">
        <v>-6.8013970000000007E-2</v>
      </c>
      <c r="S3076">
        <v>-3.0260009999999999</v>
      </c>
      <c r="T3076">
        <v>-0.18993160000000001</v>
      </c>
      <c r="U3076">
        <v>0.22451779999999999</v>
      </c>
      <c r="V3076">
        <v>-0.1087447</v>
      </c>
      <c r="W3076">
        <v>2.5513089999999999E-2</v>
      </c>
      <c r="X3076">
        <v>0.99374229999999997</v>
      </c>
      <c r="Y3076">
        <v>3.3267949999999998E-2</v>
      </c>
      <c r="Z3076">
        <v>-1.1000420000000001E-3</v>
      </c>
      <c r="AA3076">
        <v>0.9994459</v>
      </c>
      <c r="AB3076">
        <v>40</v>
      </c>
      <c r="AC3076">
        <v>-0.59260000000000401</v>
      </c>
      <c r="AD3076">
        <v>-6.3390999999999906E-2</v>
      </c>
      <c r="AE3076">
        <v>5.8700000000015899E-2</v>
      </c>
      <c r="AF3076">
        <v>3.41072675010324E-2</v>
      </c>
      <c r="AG3076">
        <v>-6.3390999999999906E-2</v>
      </c>
      <c r="AH3076">
        <v>0.58783915899364803</v>
      </c>
      <c r="AI3076">
        <v>96.144584032574699</v>
      </c>
      <c r="AJ3076">
        <v>86.679340027472094</v>
      </c>
      <c r="AK3076">
        <v>0.59223019293493195</v>
      </c>
      <c r="AL3076">
        <v>88.538049052888397</v>
      </c>
      <c r="AM3076">
        <v>96.244998723829397</v>
      </c>
      <c r="AN3076">
        <v>1.0000000431743601</v>
      </c>
    </row>
    <row r="3077" spans="1:40" x14ac:dyDescent="0.25">
      <c r="A3077" t="str">
        <f>"20190305135648697"</f>
        <v>20190305135648697</v>
      </c>
      <c r="B3077" t="str">
        <f>"1551765408695001"</f>
        <v>1551765408695001</v>
      </c>
      <c r="C3077" t="s">
        <v>40</v>
      </c>
      <c r="D3077">
        <v>4.1977729999999998</v>
      </c>
      <c r="E3077">
        <v>0.58621899999999905</v>
      </c>
      <c r="F3077" t="s">
        <v>41</v>
      </c>
      <c r="G3077">
        <v>-257.99149999999997</v>
      </c>
      <c r="H3077">
        <v>1.052119</v>
      </c>
      <c r="I3077">
        <v>141.24959999999999</v>
      </c>
      <c r="J3077">
        <v>-257.40559999999999</v>
      </c>
      <c r="K3077">
        <v>1.1101430000000001</v>
      </c>
      <c r="L3077">
        <v>141.19200000000001</v>
      </c>
      <c r="M3077">
        <v>-0.99920560000000003</v>
      </c>
      <c r="N3077">
        <v>-7.1448350000000004E-3</v>
      </c>
      <c r="O3077">
        <v>3.9207819999999997E-2</v>
      </c>
      <c r="P3077">
        <v>-0.99755380000000005</v>
      </c>
      <c r="Q3077">
        <v>1.8304999999999998E-2</v>
      </c>
      <c r="R3077">
        <v>-6.7468260000000002E-2</v>
      </c>
      <c r="S3077">
        <v>-3.0263979999999999</v>
      </c>
      <c r="T3077">
        <v>-0.1833446</v>
      </c>
      <c r="U3077">
        <v>0.2261505</v>
      </c>
      <c r="V3077">
        <v>-0.1066478</v>
      </c>
      <c r="W3077">
        <v>2.4903410000000001E-2</v>
      </c>
      <c r="X3077">
        <v>0.99398489999999995</v>
      </c>
      <c r="Y3077">
        <v>3.5344599999999997E-2</v>
      </c>
      <c r="Z3077">
        <v>-8.9408450000000002E-4</v>
      </c>
      <c r="AA3077">
        <v>0.99937480000000001</v>
      </c>
      <c r="AB3077">
        <v>40</v>
      </c>
      <c r="AC3077">
        <v>-0.58589999999997999</v>
      </c>
      <c r="AD3077">
        <v>-5.8023999999999999E-2</v>
      </c>
      <c r="AE3077">
        <v>5.7599999999979397E-2</v>
      </c>
      <c r="AF3077">
        <v>3.4250556728145698E-2</v>
      </c>
      <c r="AG3077">
        <v>-5.8023999999999999E-2</v>
      </c>
      <c r="AH3077">
        <v>0.58205391328400502</v>
      </c>
      <c r="AI3077">
        <v>95.683147362373305</v>
      </c>
      <c r="AJ3077">
        <v>86.632353213898696</v>
      </c>
      <c r="AK3077">
        <v>0.58594081883873905</v>
      </c>
      <c r="AL3077">
        <v>88.572992124330099</v>
      </c>
      <c r="AM3077">
        <v>96.124018500678801</v>
      </c>
      <c r="AN3077">
        <v>0.99999995725123803</v>
      </c>
    </row>
    <row r="3078" spans="1:40" x14ac:dyDescent="0.25">
      <c r="A3078" t="str">
        <f>"20190305135648719"</f>
        <v>20190305135648719</v>
      </c>
      <c r="B3078" t="str">
        <f>"1551765408715498"</f>
        <v>1551765408715498</v>
      </c>
      <c r="C3078" t="s">
        <v>40</v>
      </c>
      <c r="D3078">
        <v>4.1160110000000003</v>
      </c>
      <c r="E3078">
        <v>0.59323380000000003</v>
      </c>
      <c r="F3078" t="s">
        <v>41</v>
      </c>
      <c r="G3078">
        <v>-258.35770000000002</v>
      </c>
      <c r="H3078">
        <v>1.0522910000000001</v>
      </c>
      <c r="I3078">
        <v>141.34569999999999</v>
      </c>
      <c r="J3078">
        <v>-257.80419999999998</v>
      </c>
      <c r="K3078">
        <v>1.1101019999999999</v>
      </c>
      <c r="L3078">
        <v>141.2064</v>
      </c>
      <c r="M3078">
        <v>-0.9992683</v>
      </c>
      <c r="N3078">
        <v>-7.1534800000000003E-3</v>
      </c>
      <c r="O3078">
        <v>3.7573639999999998E-2</v>
      </c>
      <c r="P3078">
        <v>-0.99762890000000004</v>
      </c>
      <c r="Q3078">
        <v>1.639326E-2</v>
      </c>
      <c r="R3078">
        <v>-6.6844870000000001E-2</v>
      </c>
      <c r="S3078">
        <v>-3.0439759999999998</v>
      </c>
      <c r="T3078">
        <v>-0.1850637</v>
      </c>
      <c r="U3078">
        <v>0.49102780000000001</v>
      </c>
      <c r="V3078">
        <v>-0.104391899999999</v>
      </c>
      <c r="W3078">
        <v>2.3019009999999999E-2</v>
      </c>
      <c r="X3078">
        <v>0.99426979999999998</v>
      </c>
      <c r="Y3078">
        <v>0.1218523</v>
      </c>
      <c r="Z3078">
        <v>2.1176419999999999E-3</v>
      </c>
      <c r="AA3078">
        <v>0.99254600000000004</v>
      </c>
      <c r="AB3078">
        <v>40</v>
      </c>
      <c r="AC3078">
        <v>-0.55350000000004196</v>
      </c>
      <c r="AD3078">
        <v>-5.7811000000000001E-2</v>
      </c>
      <c r="AE3078">
        <v>0.13929999999999099</v>
      </c>
      <c r="AF3078">
        <v>0.117201691296054</v>
      </c>
      <c r="AG3078">
        <v>-5.7811000000000001E-2</v>
      </c>
      <c r="AH3078">
        <v>0.55267327892692797</v>
      </c>
      <c r="AI3078">
        <v>95.842565569327803</v>
      </c>
      <c r="AJ3078">
        <v>78.027045624946197</v>
      </c>
      <c r="AK3078">
        <v>0.56791381511942296</v>
      </c>
      <c r="AL3078">
        <v>88.680991362043301</v>
      </c>
      <c r="AM3078">
        <v>95.993726511359299</v>
      </c>
      <c r="AN3078">
        <v>0.99999998939951495</v>
      </c>
    </row>
    <row r="3079" spans="1:40" x14ac:dyDescent="0.25">
      <c r="A3079" t="str">
        <f>"20190305135648743"</f>
        <v>20190305135648743</v>
      </c>
      <c r="B3079" t="str">
        <f>"1551765408735018"</f>
        <v>1551765408735018</v>
      </c>
      <c r="C3079" t="s">
        <v>40</v>
      </c>
      <c r="D3079">
        <v>4.1290050000000003</v>
      </c>
      <c r="E3079">
        <v>0.5955684</v>
      </c>
      <c r="F3079" t="s">
        <v>42</v>
      </c>
      <c r="G3079">
        <v>-276.12020000000001</v>
      </c>
      <c r="H3079" s="1">
        <v>-2.9472860000000002E-6</v>
      </c>
      <c r="I3079">
        <v>144.50409999999999</v>
      </c>
      <c r="J3079">
        <v>-258.23649999999998</v>
      </c>
      <c r="K3079">
        <v>1.1100719999999999</v>
      </c>
      <c r="L3079">
        <v>141.22130000000001</v>
      </c>
      <c r="M3079">
        <v>-0.99933249999999996</v>
      </c>
      <c r="N3079">
        <v>-7.1630019999999999E-3</v>
      </c>
      <c r="O3079">
        <v>3.582134E-2</v>
      </c>
      <c r="P3079">
        <v>-0.99765029999999999</v>
      </c>
      <c r="Q3079">
        <v>1.4997470000000001E-2</v>
      </c>
      <c r="R3079">
        <v>-6.6849229999999996E-2</v>
      </c>
      <c r="S3079">
        <v>-3.0469360000000001</v>
      </c>
      <c r="T3079">
        <v>-0.18467030000000001</v>
      </c>
      <c r="U3079">
        <v>0.54859919999999995</v>
      </c>
      <c r="V3079">
        <v>-0.1026455</v>
      </c>
      <c r="W3079">
        <v>2.16475E-2</v>
      </c>
      <c r="X3079">
        <v>0.99448239999999999</v>
      </c>
      <c r="Y3079">
        <v>0.14159859999999999</v>
      </c>
      <c r="Z3079">
        <v>2.86952E-3</v>
      </c>
      <c r="AA3079">
        <v>0.98992000000000002</v>
      </c>
      <c r="AB3079">
        <v>41</v>
      </c>
      <c r="AC3079">
        <v>-17.883700000000001</v>
      </c>
      <c r="AD3079">
        <v>-1.1100749472860001</v>
      </c>
      <c r="AE3079">
        <v>3.28279999999998</v>
      </c>
      <c r="AF3079">
        <v>2.6302546533168201</v>
      </c>
      <c r="AG3079">
        <v>-1.1100749472860001</v>
      </c>
      <c r="AH3079">
        <v>17.923014261513899</v>
      </c>
      <c r="AI3079">
        <v>93.506664554024994</v>
      </c>
      <c r="AJ3079">
        <v>81.651270669665195</v>
      </c>
      <c r="AK3079">
        <v>18.148965429145399</v>
      </c>
      <c r="AL3079">
        <v>88.759592694594204</v>
      </c>
      <c r="AM3079">
        <v>95.892916543086997</v>
      </c>
      <c r="AN3079">
        <v>0.99999997841812904</v>
      </c>
    </row>
    <row r="3080" spans="1:40" x14ac:dyDescent="0.25">
      <c r="A3080" t="str">
        <f>"20190305135648766"</f>
        <v>20190305135648766</v>
      </c>
      <c r="B3080" t="str">
        <f>"1551765408755526"</f>
        <v>1551765408755526</v>
      </c>
      <c r="C3080" t="s">
        <v>40</v>
      </c>
      <c r="D3080">
        <v>4.1178439999999998</v>
      </c>
      <c r="E3080">
        <v>0.59607639999999995</v>
      </c>
      <c r="F3080" t="s">
        <v>73</v>
      </c>
      <c r="G3080">
        <v>-293.7192</v>
      </c>
      <c r="H3080" s="1">
        <v>-1.080027E-5</v>
      </c>
      <c r="I3080">
        <v>147.797</v>
      </c>
      <c r="J3080">
        <v>-258.64109999999999</v>
      </c>
      <c r="K3080">
        <v>1.1100509999999999</v>
      </c>
      <c r="L3080">
        <v>141.2346</v>
      </c>
      <c r="M3080">
        <v>-0.99938959999999999</v>
      </c>
      <c r="N3080">
        <v>-7.1719979999999997E-3</v>
      </c>
      <c r="O3080">
        <v>3.4188969999999999E-2</v>
      </c>
      <c r="P3080">
        <v>-0.99767070000000002</v>
      </c>
      <c r="Q3080">
        <v>1.4043999999999999E-2</v>
      </c>
      <c r="R3080">
        <v>-6.6752900000000004E-2</v>
      </c>
      <c r="S3080">
        <v>-3.0462950000000002</v>
      </c>
      <c r="T3080">
        <v>-9.5304009999999995E-2</v>
      </c>
      <c r="U3080">
        <v>0.56454469999999901</v>
      </c>
      <c r="V3080">
        <v>-0.1009202</v>
      </c>
      <c r="W3080">
        <v>2.071692E-2</v>
      </c>
      <c r="X3080">
        <v>0.99467879999999997</v>
      </c>
      <c r="Y3080">
        <v>0.14841799999999999</v>
      </c>
      <c r="Z3080">
        <v>2.0223609999999999E-3</v>
      </c>
      <c r="AA3080">
        <v>0.98892270000000004</v>
      </c>
      <c r="AB3080">
        <v>41</v>
      </c>
      <c r="AC3080">
        <v>-35.078099999999999</v>
      </c>
      <c r="AD3080">
        <v>-1.11006180027</v>
      </c>
      <c r="AE3080">
        <v>6.5623999999999896</v>
      </c>
      <c r="AF3080">
        <v>5.3540678819275103</v>
      </c>
      <c r="AG3080">
        <v>-1.11006180027</v>
      </c>
      <c r="AH3080">
        <v>35.2478545205636</v>
      </c>
      <c r="AI3080">
        <v>91.783378505937804</v>
      </c>
      <c r="AJ3080">
        <v>81.362926740401406</v>
      </c>
      <c r="AK3080">
        <v>35.669448108816098</v>
      </c>
      <c r="AL3080">
        <v>88.812922991085401</v>
      </c>
      <c r="AM3080">
        <v>95.793409782744504</v>
      </c>
      <c r="AN3080">
        <v>0.99999999635588299</v>
      </c>
    </row>
    <row r="3081" spans="1:40" x14ac:dyDescent="0.25">
      <c r="A3081" t="str">
        <f>"20190305135648789"</f>
        <v>20190305135648789</v>
      </c>
      <c r="B3081" t="str">
        <f>"1551765408784793"</f>
        <v>1551765408784793</v>
      </c>
      <c r="C3081" t="s">
        <v>40</v>
      </c>
      <c r="D3081">
        <v>4.1291679999999999</v>
      </c>
      <c r="E3081">
        <v>0.59635199999999999</v>
      </c>
      <c r="F3081" t="s">
        <v>73</v>
      </c>
      <c r="G3081">
        <v>-286.74419999999998</v>
      </c>
      <c r="H3081" s="1">
        <v>-9.1308969999999994E-6</v>
      </c>
      <c r="I3081">
        <v>146.4924</v>
      </c>
      <c r="J3081">
        <v>-259.05939999999998</v>
      </c>
      <c r="K3081">
        <v>1.1100319999999999</v>
      </c>
      <c r="L3081">
        <v>141.24760000000001</v>
      </c>
      <c r="M3081">
        <v>-0.9994459</v>
      </c>
      <c r="N3081">
        <v>-7.1811729999999999E-3</v>
      </c>
      <c r="O3081">
        <v>3.2502999999999997E-2</v>
      </c>
      <c r="P3081">
        <v>-0.99763630000000003</v>
      </c>
      <c r="Q3081">
        <v>1.4461750000000001E-2</v>
      </c>
      <c r="R3081">
        <v>-6.7177420000000002E-2</v>
      </c>
      <c r="S3081">
        <v>-3.0468440000000001</v>
      </c>
      <c r="T3081">
        <v>-0.12034880000000001</v>
      </c>
      <c r="U3081">
        <v>0.57003780000000004</v>
      </c>
      <c r="V3081">
        <v>-9.9666130000000006E-2</v>
      </c>
      <c r="W3081">
        <v>2.1154079999999999E-2</v>
      </c>
      <c r="X3081">
        <v>0.99479600000000001</v>
      </c>
      <c r="Y3081">
        <v>0.15173449999999999</v>
      </c>
      <c r="Z3081">
        <v>2.4799090000000002E-3</v>
      </c>
      <c r="AA3081">
        <v>0.98841820000000002</v>
      </c>
      <c r="AB3081">
        <v>41</v>
      </c>
      <c r="AC3081">
        <v>-27.684799999999999</v>
      </c>
      <c r="AD3081">
        <v>-1.110041130897</v>
      </c>
      <c r="AE3081">
        <v>5.2447999999999899</v>
      </c>
      <c r="AF3081">
        <v>4.3354380570453097</v>
      </c>
      <c r="AG3081">
        <v>-1.110041130897</v>
      </c>
      <c r="AH3081">
        <v>27.797507035892899</v>
      </c>
      <c r="AI3081">
        <v>92.259496827402003</v>
      </c>
      <c r="AJ3081">
        <v>81.135281932934902</v>
      </c>
      <c r="AK3081">
        <v>28.155454389323499</v>
      </c>
      <c r="AL3081">
        <v>88.787870029336204</v>
      </c>
      <c r="AM3081">
        <v>95.721229860533995</v>
      </c>
      <c r="AN3081">
        <v>0.99999995709291001</v>
      </c>
    </row>
    <row r="3082" spans="1:40" x14ac:dyDescent="0.25">
      <c r="A3082" t="str">
        <f>"20190305135648811"</f>
        <v>20190305135648811</v>
      </c>
      <c r="B3082" t="str">
        <f>"1551765408805289"</f>
        <v>1551765408805289</v>
      </c>
      <c r="C3082" t="s">
        <v>40</v>
      </c>
      <c r="D3082">
        <v>4.1577419999999998</v>
      </c>
      <c r="E3082">
        <v>0.59613159999999998</v>
      </c>
      <c r="F3082" t="s">
        <v>73</v>
      </c>
      <c r="G3082">
        <v>-284.291</v>
      </c>
      <c r="H3082" s="1">
        <v>-7.579705E-6</v>
      </c>
      <c r="I3082">
        <v>145.98009999999999</v>
      </c>
      <c r="J3082">
        <v>-259.45</v>
      </c>
      <c r="K3082">
        <v>1.110026</v>
      </c>
      <c r="L3082">
        <v>141.25909999999999</v>
      </c>
      <c r="M3082">
        <v>-0.99949569999999999</v>
      </c>
      <c r="N3082">
        <v>-7.1898680000000003E-3</v>
      </c>
      <c r="O3082">
        <v>3.0928029999999999E-2</v>
      </c>
      <c r="P3082">
        <v>-0.99765979999999999</v>
      </c>
      <c r="Q3082">
        <v>1.6176650000000001E-2</v>
      </c>
      <c r="R3082">
        <v>-6.6433939999999997E-2</v>
      </c>
      <c r="S3082">
        <v>-3.0475460000000001</v>
      </c>
      <c r="T3082">
        <v>-0.13407349999999901</v>
      </c>
      <c r="U3082">
        <v>0.57160949999999999</v>
      </c>
      <c r="V3082">
        <v>-9.7362470000000007E-2</v>
      </c>
      <c r="W3082">
        <v>2.289269E-2</v>
      </c>
      <c r="X3082">
        <v>0.99498560000000003</v>
      </c>
      <c r="Y3082">
        <v>0.15371479999999901</v>
      </c>
      <c r="Z3082">
        <v>2.7815629999999999E-3</v>
      </c>
      <c r="AA3082">
        <v>0.98811130000000003</v>
      </c>
      <c r="AB3082">
        <v>41</v>
      </c>
      <c r="AC3082">
        <v>-24.841000000000001</v>
      </c>
      <c r="AD3082">
        <v>-1.1100335797050001</v>
      </c>
      <c r="AE3082">
        <v>4.7210000000000001</v>
      </c>
      <c r="AF3082">
        <v>3.9428397260210302</v>
      </c>
      <c r="AG3082">
        <v>-1.1100335797050001</v>
      </c>
      <c r="AH3082">
        <v>24.927091556027701</v>
      </c>
      <c r="AI3082">
        <v>92.518496138559797</v>
      </c>
      <c r="AJ3082">
        <v>81.011713447640204</v>
      </c>
      <c r="AK3082">
        <v>25.261394520013202</v>
      </c>
      <c r="AL3082">
        <v>88.6882308013965</v>
      </c>
      <c r="AM3082">
        <v>95.588779565292597</v>
      </c>
      <c r="AN3082">
        <v>0.99999993501364604</v>
      </c>
    </row>
    <row r="3083" spans="1:40" x14ac:dyDescent="0.25">
      <c r="A3083" t="str">
        <f>"20190305135648833"</f>
        <v>20190305135648833</v>
      </c>
      <c r="B3083" t="str">
        <f>"1551765408824809"</f>
        <v>1551765408824809</v>
      </c>
      <c r="C3083" t="s">
        <v>40</v>
      </c>
      <c r="D3083">
        <v>4.1635609999999996</v>
      </c>
      <c r="E3083">
        <v>0.5961883</v>
      </c>
      <c r="F3083" t="s">
        <v>73</v>
      </c>
      <c r="G3083">
        <v>-283.71109999999999</v>
      </c>
      <c r="H3083" s="1">
        <v>-7.2692069999999998E-6</v>
      </c>
      <c r="I3083">
        <v>145.81530000000001</v>
      </c>
      <c r="J3083">
        <v>-259.87540000000001</v>
      </c>
      <c r="K3083">
        <v>1.110017</v>
      </c>
      <c r="L3083">
        <v>141.27090000000001</v>
      </c>
      <c r="M3083">
        <v>-0.99954710000000002</v>
      </c>
      <c r="N3083">
        <v>-7.1996050000000004E-3</v>
      </c>
      <c r="O3083">
        <v>2.9218549999999999E-2</v>
      </c>
      <c r="P3083">
        <v>-0.99765079999999995</v>
      </c>
      <c r="Q3083">
        <v>1.6704960000000001E-2</v>
      </c>
      <c r="R3083">
        <v>-6.6438010000000006E-2</v>
      </c>
      <c r="S3083">
        <v>-3.0473940000000002</v>
      </c>
      <c r="T3083">
        <v>-0.13942889999999999</v>
      </c>
      <c r="U3083">
        <v>0.57229609999999997</v>
      </c>
      <c r="V3083">
        <v>-9.5665910000000007E-2</v>
      </c>
      <c r="W3083">
        <v>2.3442810000000001E-2</v>
      </c>
      <c r="X3083">
        <v>0.99513739999999995</v>
      </c>
      <c r="Y3083">
        <v>0.15561429999999901</v>
      </c>
      <c r="Z3083">
        <v>2.9777419999999998E-3</v>
      </c>
      <c r="AA3083">
        <v>0.98781339999999995</v>
      </c>
      <c r="AB3083">
        <v>41</v>
      </c>
      <c r="AC3083">
        <v>-23.8356999999999</v>
      </c>
      <c r="AD3083">
        <v>-1.1100242692069999</v>
      </c>
      <c r="AE3083">
        <v>4.5443999999999898</v>
      </c>
      <c r="AF3083">
        <v>3.8379653633342001</v>
      </c>
      <c r="AG3083">
        <v>-1.1100242692069999</v>
      </c>
      <c r="AH3083">
        <v>23.908274591632601</v>
      </c>
      <c r="AI3083">
        <v>92.624690177445501</v>
      </c>
      <c r="AJ3083">
        <v>80.880186738905095</v>
      </c>
      <c r="AK3083">
        <v>24.2397963266462</v>
      </c>
      <c r="AL3083">
        <v>88.656702853902303</v>
      </c>
      <c r="AM3083">
        <v>95.491161998196503</v>
      </c>
      <c r="AN3083">
        <v>0.99999998827779102</v>
      </c>
    </row>
    <row r="3084" spans="1:40" x14ac:dyDescent="0.25">
      <c r="A3084" t="str">
        <f>"20190305135648856"</f>
        <v>20190305135648856</v>
      </c>
      <c r="B3084" t="str">
        <f>"1551765408845305"</f>
        <v>1551765408845305</v>
      </c>
      <c r="C3084" t="s">
        <v>40</v>
      </c>
      <c r="D3084">
        <v>4.174417</v>
      </c>
      <c r="E3084">
        <v>0.59634659999999995</v>
      </c>
      <c r="F3084" t="s">
        <v>73</v>
      </c>
      <c r="G3084">
        <v>-283.22899999999998</v>
      </c>
      <c r="H3084" s="1">
        <v>-7.0051489999999999E-6</v>
      </c>
      <c r="I3084">
        <v>145.66</v>
      </c>
      <c r="J3084">
        <v>-260.2901</v>
      </c>
      <c r="K3084">
        <v>1.109999</v>
      </c>
      <c r="L3084">
        <v>141.2818</v>
      </c>
      <c r="M3084">
        <v>-0.99959410000000004</v>
      </c>
      <c r="N3084">
        <v>-7.20888E-3</v>
      </c>
      <c r="O3084">
        <v>2.7563440000000002E-2</v>
      </c>
      <c r="P3084">
        <v>-0.99757510000000005</v>
      </c>
      <c r="Q3084">
        <v>1.6917430000000001E-2</v>
      </c>
      <c r="R3084">
        <v>-6.751501E-2</v>
      </c>
      <c r="S3084">
        <v>-3.0476380000000001</v>
      </c>
      <c r="T3084">
        <v>-0.1448575</v>
      </c>
      <c r="U3084">
        <v>0.57276919999999898</v>
      </c>
      <c r="V3084">
        <v>-9.5092159999999995E-2</v>
      </c>
      <c r="W3084">
        <v>2.3670670000000001E-2</v>
      </c>
      <c r="X3084">
        <v>0.99518700000000004</v>
      </c>
      <c r="Y3084">
        <v>0.15736839999999999</v>
      </c>
      <c r="Z3084">
        <v>3.177919E-3</v>
      </c>
      <c r="AA3084">
        <v>0.98753489999999999</v>
      </c>
      <c r="AB3084">
        <v>41</v>
      </c>
      <c r="AC3084">
        <v>-22.9389</v>
      </c>
      <c r="AD3084">
        <v>-1.1100060051489999</v>
      </c>
      <c r="AE3084">
        <v>4.3781999999999899</v>
      </c>
      <c r="AF3084">
        <v>3.7358048944969098</v>
      </c>
      <c r="AG3084">
        <v>-1.1100060051489999</v>
      </c>
      <c r="AH3084">
        <v>22.998904962638601</v>
      </c>
      <c r="AI3084">
        <v>92.727454252662298</v>
      </c>
      <c r="AJ3084">
        <v>80.773796170653696</v>
      </c>
      <c r="AK3084">
        <v>23.326765335590199</v>
      </c>
      <c r="AL3084">
        <v>88.643643818912594</v>
      </c>
      <c r="AM3084">
        <v>95.458158207653298</v>
      </c>
      <c r="AN3084">
        <v>0.99999999224035696</v>
      </c>
    </row>
    <row r="3085" spans="1:40" x14ac:dyDescent="0.25">
      <c r="A3085" t="str">
        <f>"20190305135648877"</f>
        <v>20190305135648877</v>
      </c>
      <c r="B3085" t="str">
        <f>"1551765408875563"</f>
        <v>1551765408875563</v>
      </c>
      <c r="C3085" t="s">
        <v>40</v>
      </c>
      <c r="D3085">
        <v>4.2123189999999999</v>
      </c>
      <c r="E3085">
        <v>0.59668679999999996</v>
      </c>
      <c r="F3085" t="s">
        <v>73</v>
      </c>
      <c r="G3085">
        <v>-282.81580000000002</v>
      </c>
      <c r="H3085" s="1">
        <v>-6.7691470000000004E-6</v>
      </c>
      <c r="I3085">
        <v>145.49690000000001</v>
      </c>
      <c r="J3085">
        <v>-260.6891</v>
      </c>
      <c r="K3085">
        <v>1.1099779999999999</v>
      </c>
      <c r="L3085">
        <v>141.29159999999999</v>
      </c>
      <c r="M3085">
        <v>-0.99963610000000003</v>
      </c>
      <c r="N3085">
        <v>-7.2175690000000001E-3</v>
      </c>
      <c r="O3085">
        <v>2.5995040000000001E-2</v>
      </c>
      <c r="P3085">
        <v>-0.99750329999999998</v>
      </c>
      <c r="Q3085">
        <v>1.683078E-2</v>
      </c>
      <c r="R3085">
        <v>-6.8586830000000001E-2</v>
      </c>
      <c r="S3085">
        <v>-3.0484619999999998</v>
      </c>
      <c r="T3085">
        <v>-0.15021979999999999</v>
      </c>
      <c r="U3085">
        <v>0.57044980000000001</v>
      </c>
      <c r="V3085">
        <v>-9.4598790000000002E-2</v>
      </c>
      <c r="W3085">
        <v>2.359965E-2</v>
      </c>
      <c r="X3085">
        <v>0.99523569999999995</v>
      </c>
      <c r="Y3085">
        <v>0.15812909999999999</v>
      </c>
      <c r="Z3085">
        <v>3.3539609999999999E-3</v>
      </c>
      <c r="AA3085">
        <v>0.98741279999999998</v>
      </c>
      <c r="AB3085">
        <v>41</v>
      </c>
      <c r="AC3085">
        <v>-22.1267</v>
      </c>
      <c r="AD3085">
        <v>-1.1099847691469999</v>
      </c>
      <c r="AE3085">
        <v>4.2053000000000198</v>
      </c>
      <c r="AF3085">
        <v>3.6198874994019699</v>
      </c>
      <c r="AG3085">
        <v>-1.1099847691469999</v>
      </c>
      <c r="AH3085">
        <v>22.174684471439999</v>
      </c>
      <c r="AI3085">
        <v>92.828253556636895</v>
      </c>
      <c r="AJ3085">
        <v>80.728578958440494</v>
      </c>
      <c r="AK3085">
        <v>22.495605862123099</v>
      </c>
      <c r="AL3085">
        <v>88.647714094543602</v>
      </c>
      <c r="AM3085">
        <v>95.429745032818204</v>
      </c>
      <c r="AN3085">
        <v>0.99999998655203803</v>
      </c>
    </row>
    <row r="3086" spans="1:40" x14ac:dyDescent="0.25">
      <c r="A3086" t="str">
        <f>"20190305135648899"</f>
        <v>20190305135648899</v>
      </c>
      <c r="B3086" t="str">
        <f>"1551765408895082"</f>
        <v>1551765408895082</v>
      </c>
      <c r="C3086" t="s">
        <v>40</v>
      </c>
      <c r="D3086">
        <v>4.1914829999999998</v>
      </c>
      <c r="E3086">
        <v>0.59702270000000002</v>
      </c>
      <c r="F3086" t="s">
        <v>73</v>
      </c>
      <c r="G3086">
        <v>-282.04090000000002</v>
      </c>
      <c r="H3086" s="1">
        <v>-6.3559319999999996E-6</v>
      </c>
      <c r="I3086">
        <v>145.28190000000001</v>
      </c>
      <c r="J3086">
        <v>-261.10430000000002</v>
      </c>
      <c r="K3086">
        <v>1.1099479999999999</v>
      </c>
      <c r="L3086">
        <v>141.30119999999999</v>
      </c>
      <c r="M3086">
        <v>-0.99967589999999995</v>
      </c>
      <c r="N3086">
        <v>-7.2262230000000004E-3</v>
      </c>
      <c r="O3086">
        <v>2.441018E-2</v>
      </c>
      <c r="P3086">
        <v>-0.99741179999999996</v>
      </c>
      <c r="Q3086">
        <v>1.6698540000000001E-2</v>
      </c>
      <c r="R3086">
        <v>-6.9935460000000005E-2</v>
      </c>
      <c r="S3086">
        <v>-3.049347</v>
      </c>
      <c r="T3086">
        <v>-0.1585213</v>
      </c>
      <c r="U3086">
        <v>0.56986999999999999</v>
      </c>
      <c r="V3086">
        <v>-9.4364130000000004E-2</v>
      </c>
      <c r="W3086">
        <v>2.348428E-2</v>
      </c>
      <c r="X3086">
        <v>0.9952607</v>
      </c>
      <c r="Y3086">
        <v>0.1594382</v>
      </c>
      <c r="Z3086">
        <v>3.6058499999999999E-3</v>
      </c>
      <c r="AA3086">
        <v>0.98720129999999995</v>
      </c>
      <c r="AB3086">
        <v>41</v>
      </c>
      <c r="AC3086">
        <v>-20.936599999999999</v>
      </c>
      <c r="AD3086">
        <v>-1.109954355932</v>
      </c>
      <c r="AE3086">
        <v>3.9807000000000099</v>
      </c>
      <c r="AF3086">
        <v>3.45905147555828</v>
      </c>
      <c r="AG3086">
        <v>-1.109954355932</v>
      </c>
      <c r="AH3086">
        <v>20.9706496555721</v>
      </c>
      <c r="AI3086">
        <v>92.989457666985402</v>
      </c>
      <c r="AJ3086">
        <v>80.633555890288804</v>
      </c>
      <c r="AK3086">
        <v>21.282978709747301</v>
      </c>
      <c r="AL3086">
        <v>88.654326133375605</v>
      </c>
      <c r="AM3086">
        <v>95.416221062633596</v>
      </c>
      <c r="AN3086">
        <v>0.99999998070113205</v>
      </c>
    </row>
    <row r="3087" spans="1:40" x14ac:dyDescent="0.25">
      <c r="A3087" t="str">
        <f>"20190305135648922"</f>
        <v>20190305135648922</v>
      </c>
      <c r="B3087" t="str">
        <f>"1551765408915578"</f>
        <v>1551765408915578</v>
      </c>
      <c r="C3087" t="s">
        <v>40</v>
      </c>
      <c r="D3087">
        <v>4.1475819999999999</v>
      </c>
      <c r="E3087">
        <v>0.59712149999999997</v>
      </c>
      <c r="F3087" t="s">
        <v>73</v>
      </c>
      <c r="G3087">
        <v>-282.02629999999999</v>
      </c>
      <c r="H3087" s="1">
        <v>-6.3230869999999999E-6</v>
      </c>
      <c r="I3087">
        <v>145.2004</v>
      </c>
      <c r="J3087">
        <v>-261.5111</v>
      </c>
      <c r="K3087">
        <v>1.1098939999999999</v>
      </c>
      <c r="L3087">
        <v>141.31010000000001</v>
      </c>
      <c r="M3087">
        <v>-0.99971120000000002</v>
      </c>
      <c r="N3087">
        <v>-7.2341690000000004E-3</v>
      </c>
      <c r="O3087">
        <v>2.2926390000000001E-2</v>
      </c>
      <c r="P3087">
        <v>-0.99733179999999999</v>
      </c>
      <c r="Q3087">
        <v>1.6176449999999998E-2</v>
      </c>
      <c r="R3087">
        <v>-7.1190779999999995E-2</v>
      </c>
      <c r="S3087">
        <v>-3.0503849999999999</v>
      </c>
      <c r="T3087">
        <v>-0.161829</v>
      </c>
      <c r="U3087">
        <v>0.56849669999999997</v>
      </c>
      <c r="V3087">
        <v>-9.4135529999999995E-2</v>
      </c>
      <c r="W3087">
        <v>2.2981830000000002E-2</v>
      </c>
      <c r="X3087">
        <v>0.99529409999999896</v>
      </c>
      <c r="Y3087">
        <v>0.16040199999999999</v>
      </c>
      <c r="Z3087">
        <v>3.76129E-3</v>
      </c>
      <c r="AA3087">
        <v>0.98704460000000005</v>
      </c>
      <c r="AB3087">
        <v>41</v>
      </c>
      <c r="AC3087">
        <v>-20.5152</v>
      </c>
      <c r="AD3087">
        <v>-1.1099003230869999</v>
      </c>
      <c r="AE3087">
        <v>3.8902999999999901</v>
      </c>
      <c r="AF3087">
        <v>3.40929324557146</v>
      </c>
      <c r="AG3087">
        <v>-1.1099003230869999</v>
      </c>
      <c r="AH3087">
        <v>20.540964669263101</v>
      </c>
      <c r="AI3087">
        <v>93.0512228958234</v>
      </c>
      <c r="AJ3087">
        <v>80.576222612512296</v>
      </c>
      <c r="AK3087">
        <v>20.851532046960099</v>
      </c>
      <c r="AL3087">
        <v>88.683122202084803</v>
      </c>
      <c r="AM3087">
        <v>95.4029976004079</v>
      </c>
      <c r="AN3087">
        <v>1.0000000040066599</v>
      </c>
    </row>
    <row r="3088" spans="1:40" x14ac:dyDescent="0.25">
      <c r="A3088" t="str">
        <f>"20190305135648944"</f>
        <v>20190305135648944</v>
      </c>
      <c r="B3088" t="str">
        <f>"1551765408935097"</f>
        <v>1551765408935097</v>
      </c>
      <c r="C3088" t="s">
        <v>40</v>
      </c>
      <c r="D3088">
        <v>4.1673730000000004</v>
      </c>
      <c r="E3088">
        <v>0.59737910000000005</v>
      </c>
      <c r="F3088" t="s">
        <v>73</v>
      </c>
      <c r="G3088">
        <v>-282.0249</v>
      </c>
      <c r="H3088" s="1">
        <v>-6.2941749999999998E-6</v>
      </c>
      <c r="I3088">
        <v>145.113</v>
      </c>
      <c r="J3088">
        <v>-261.94490000000002</v>
      </c>
      <c r="K3088">
        <v>1.1098190000000001</v>
      </c>
      <c r="L3088">
        <v>141.31890000000001</v>
      </c>
      <c r="M3088">
        <v>-0.99974390000000002</v>
      </c>
      <c r="N3088">
        <v>-7.2421959999999898E-3</v>
      </c>
      <c r="O3088">
        <v>2.1446010000000001E-2</v>
      </c>
      <c r="P3088">
        <v>-0.99722520000000003</v>
      </c>
      <c r="Q3088">
        <v>1.5552119999999999E-2</v>
      </c>
      <c r="R3088">
        <v>-7.2801340000000006E-2</v>
      </c>
      <c r="S3088">
        <v>-3.0510860000000002</v>
      </c>
      <c r="T3088">
        <v>-0.16507920000000001</v>
      </c>
      <c r="U3088">
        <v>0.56562809999999997</v>
      </c>
      <c r="V3088">
        <v>-9.4262589999999993E-2</v>
      </c>
      <c r="W3088">
        <v>2.2380219999999999E-2</v>
      </c>
      <c r="X3088">
        <v>0.99529579999999995</v>
      </c>
      <c r="Y3088">
        <v>0.1609149</v>
      </c>
      <c r="Z3088">
        <v>3.906306E-3</v>
      </c>
      <c r="AA3088">
        <v>0.98696059999999997</v>
      </c>
      <c r="AB3088">
        <v>41</v>
      </c>
      <c r="AC3088">
        <v>-20.079999999999899</v>
      </c>
      <c r="AD3088">
        <v>-1.109825294175</v>
      </c>
      <c r="AE3088">
        <v>3.7940999999999798</v>
      </c>
      <c r="AF3088">
        <v>3.3526914861669601</v>
      </c>
      <c r="AG3088">
        <v>-1.109825294175</v>
      </c>
      <c r="AH3088">
        <v>20.097474625188401</v>
      </c>
      <c r="AI3088">
        <v>93.117785875804401</v>
      </c>
      <c r="AJ3088">
        <v>80.529044749033602</v>
      </c>
      <c r="AK3088">
        <v>20.405409544900099</v>
      </c>
      <c r="AL3088">
        <v>88.717600806179604</v>
      </c>
      <c r="AM3088">
        <v>95.410237899247605</v>
      </c>
      <c r="AN3088">
        <v>1.0000000198091901</v>
      </c>
    </row>
    <row r="3089" spans="1:40" x14ac:dyDescent="0.25">
      <c r="A3089" t="str">
        <f>"20190305135648968"</f>
        <v>20190305135648968</v>
      </c>
      <c r="B3089" t="str">
        <f>"1551765408955597"</f>
        <v>1551765408955597</v>
      </c>
      <c r="C3089" t="s">
        <v>40</v>
      </c>
      <c r="D3089">
        <v>4.1312639999999998</v>
      </c>
      <c r="E3089">
        <v>0.60884879999999997</v>
      </c>
      <c r="F3089" t="s">
        <v>73</v>
      </c>
      <c r="G3089">
        <v>-281.93729999999999</v>
      </c>
      <c r="H3089" s="1">
        <v>-6.2210670000000002E-6</v>
      </c>
      <c r="I3089">
        <v>145.00710000000001</v>
      </c>
      <c r="J3089">
        <v>-262.35759999999999</v>
      </c>
      <c r="K3089">
        <v>1.109731</v>
      </c>
      <c r="L3089">
        <v>141.32679999999999</v>
      </c>
      <c r="M3089">
        <v>-0.99977059999999995</v>
      </c>
      <c r="N3089">
        <v>-7.2497780000000001E-3</v>
      </c>
      <c r="O3089">
        <v>2.0161439999999999E-2</v>
      </c>
      <c r="P3089">
        <v>-0.99713370000000001</v>
      </c>
      <c r="Q3089">
        <v>1.4830889999999999E-2</v>
      </c>
      <c r="R3089">
        <v>-7.4195440000000001E-2</v>
      </c>
      <c r="S3089">
        <v>-3.052063</v>
      </c>
      <c r="T3089">
        <v>-0.16942689999999999</v>
      </c>
      <c r="U3089">
        <v>0.56304929999999997</v>
      </c>
      <c r="V3089">
        <v>-9.4367969999999995E-2</v>
      </c>
      <c r="W3089">
        <v>2.1686589999999999E-2</v>
      </c>
      <c r="X3089">
        <v>0.99530110000000005</v>
      </c>
      <c r="Y3089">
        <v>0.16130639999999999</v>
      </c>
      <c r="Z3089">
        <v>4.0630459999999998E-3</v>
      </c>
      <c r="AA3089">
        <v>0.986896</v>
      </c>
      <c r="AB3089">
        <v>42</v>
      </c>
      <c r="AC3089">
        <v>-19.579699999999999</v>
      </c>
      <c r="AD3089">
        <v>-1.109737221067</v>
      </c>
      <c r="AE3089">
        <v>3.6803000000000101</v>
      </c>
      <c r="AF3089">
        <v>3.2746262310002199</v>
      </c>
      <c r="AG3089">
        <v>-1.109737221067</v>
      </c>
      <c r="AH3089">
        <v>19.589141530771101</v>
      </c>
      <c r="AI3089">
        <v>93.198094147929197</v>
      </c>
      <c r="AJ3089">
        <v>80.509878309838101</v>
      </c>
      <c r="AK3089">
        <v>19.891937049094999</v>
      </c>
      <c r="AL3089">
        <v>88.757352442296096</v>
      </c>
      <c r="AM3089">
        <v>95.416221606662106</v>
      </c>
      <c r="AN3089">
        <v>0.99999995080447801</v>
      </c>
    </row>
    <row r="3090" spans="1:40" x14ac:dyDescent="0.25">
      <c r="A3090" t="str">
        <f>"20190305135648991"</f>
        <v>20190305135648991</v>
      </c>
      <c r="B3090" t="str">
        <f>"1551765408985849"</f>
        <v>1551765408985849</v>
      </c>
      <c r="C3090" t="s">
        <v>40</v>
      </c>
      <c r="D3090">
        <v>4.4292210000000001</v>
      </c>
      <c r="E3090">
        <v>0.60841669999999903</v>
      </c>
      <c r="F3090" t="s">
        <v>42</v>
      </c>
      <c r="G3090">
        <v>-275.41419999999999</v>
      </c>
      <c r="H3090" s="1">
        <v>-3.1456250000000001E-6</v>
      </c>
      <c r="I3090">
        <v>144.11109999999999</v>
      </c>
      <c r="J3090">
        <v>-262.7944</v>
      </c>
      <c r="K3090">
        <v>1.1096109999999999</v>
      </c>
      <c r="L3090">
        <v>141.3348</v>
      </c>
      <c r="M3090">
        <v>-0.99979379999999995</v>
      </c>
      <c r="N3090">
        <v>-7.2575249999999999E-3</v>
      </c>
      <c r="O3090">
        <v>1.896728E-2</v>
      </c>
      <c r="P3090">
        <v>-0.99699590000000005</v>
      </c>
      <c r="Q3090">
        <v>1.4356829999999999E-2</v>
      </c>
      <c r="R3090">
        <v>-7.6113500000000001E-2</v>
      </c>
      <c r="S3090">
        <v>-3.0610659999999998</v>
      </c>
      <c r="T3090">
        <v>-0.26017390000000001</v>
      </c>
      <c r="U3090">
        <v>0.65278630000000004</v>
      </c>
      <c r="V3090">
        <v>-9.5086450000000003E-2</v>
      </c>
      <c r="W3090">
        <v>2.124419E-2</v>
      </c>
      <c r="X3090">
        <v>0.99524230000000002</v>
      </c>
      <c r="Y3090">
        <v>0.18932109999999999</v>
      </c>
      <c r="Z3090">
        <v>7.1837019999999897E-3</v>
      </c>
      <c r="AA3090">
        <v>0.98188889999999995</v>
      </c>
      <c r="AB3090">
        <v>42</v>
      </c>
      <c r="AC3090">
        <v>-12.6197999999999</v>
      </c>
      <c r="AD3090">
        <v>-1.1096141456249999</v>
      </c>
      <c r="AE3090">
        <v>2.7762999999999902</v>
      </c>
      <c r="AF3090">
        <v>2.51786381357448</v>
      </c>
      <c r="AG3090">
        <v>-1.1096141456249999</v>
      </c>
      <c r="AH3090">
        <v>12.5774417611307</v>
      </c>
      <c r="AI3090">
        <v>94.944131653569002</v>
      </c>
      <c r="AJ3090">
        <v>78.679662835432893</v>
      </c>
      <c r="AK3090">
        <v>12.874895067165101</v>
      </c>
      <c r="AL3090">
        <v>88.782705988588503</v>
      </c>
      <c r="AM3090">
        <v>95.457531010733405</v>
      </c>
      <c r="AN3090">
        <v>0.99999999214582402</v>
      </c>
    </row>
    <row r="3091" spans="1:40" x14ac:dyDescent="0.25">
      <c r="A3091" t="str">
        <f>"20190305135649012"</f>
        <v>20190305135649012</v>
      </c>
      <c r="B3091" t="str">
        <f>"1551765409005370"</f>
        <v>1551765409005370</v>
      </c>
      <c r="C3091" t="s">
        <v>40</v>
      </c>
      <c r="D3091">
        <v>4.1089370000000001</v>
      </c>
      <c r="E3091">
        <v>0.60938429999999999</v>
      </c>
      <c r="F3091" t="s">
        <v>42</v>
      </c>
      <c r="G3091">
        <v>-276.46859999999998</v>
      </c>
      <c r="H3091" s="1">
        <v>-2.7190179999999998E-6</v>
      </c>
      <c r="I3091">
        <v>144.20779999999999</v>
      </c>
      <c r="J3091">
        <v>-263.18920000000003</v>
      </c>
      <c r="K3091">
        <v>1.1094850000000001</v>
      </c>
      <c r="L3091">
        <v>141.3416</v>
      </c>
      <c r="M3091">
        <v>-0.99981059999999999</v>
      </c>
      <c r="N3091">
        <v>-7.26451599999999E-3</v>
      </c>
      <c r="O3091">
        <v>1.8054290000000001E-2</v>
      </c>
      <c r="P3091">
        <v>-0.99684200000000001</v>
      </c>
      <c r="Q3091">
        <v>1.40555E-2</v>
      </c>
      <c r="R3091">
        <v>-7.8157850000000001E-2</v>
      </c>
      <c r="S3091">
        <v>-3.0617369999999999</v>
      </c>
      <c r="T3091">
        <v>-0.24845110000000001</v>
      </c>
      <c r="U3091">
        <v>0.64331050000000001</v>
      </c>
      <c r="V3091">
        <v>-9.6211169999999999E-2</v>
      </c>
      <c r="W3091">
        <v>2.097483E-2</v>
      </c>
      <c r="X3091">
        <v>0.99513989999999997</v>
      </c>
      <c r="Y3091">
        <v>0.18732370000000001</v>
      </c>
      <c r="Z3091">
        <v>6.8787259999999999E-3</v>
      </c>
      <c r="AA3091">
        <v>0.98227419999999999</v>
      </c>
      <c r="AB3091">
        <v>42</v>
      </c>
      <c r="AC3091">
        <v>-13.2793999999999</v>
      </c>
      <c r="AD3091">
        <v>-1.1094877190179999</v>
      </c>
      <c r="AE3091">
        <v>2.8661999999999899</v>
      </c>
      <c r="AF3091">
        <v>2.6085776342489799</v>
      </c>
      <c r="AG3091">
        <v>-1.1094877190179999</v>
      </c>
      <c r="AH3091">
        <v>13.240671325366399</v>
      </c>
      <c r="AI3091">
        <v>94.699921712870903</v>
      </c>
      <c r="AJ3091">
        <v>78.854749843161102</v>
      </c>
      <c r="AK3091">
        <v>13.540717020118899</v>
      </c>
      <c r="AL3091">
        <v>88.798142601051296</v>
      </c>
      <c r="AM3091">
        <v>95.5222528638499</v>
      </c>
      <c r="AN3091">
        <v>0.99999997664915297</v>
      </c>
    </row>
    <row r="3092" spans="1:40" x14ac:dyDescent="0.25">
      <c r="A3092" t="str">
        <f>"20190305135649033"</f>
        <v>20190305135649033</v>
      </c>
      <c r="B3092" t="str">
        <f>"1551765409025866"</f>
        <v>1551765409025866</v>
      </c>
      <c r="C3092" t="s">
        <v>40</v>
      </c>
      <c r="D3092">
        <v>4.0673170000000001</v>
      </c>
      <c r="E3092">
        <v>0.61024699999999998</v>
      </c>
      <c r="F3092" t="s">
        <v>42</v>
      </c>
      <c r="G3092">
        <v>-276.7747</v>
      </c>
      <c r="H3092" s="1">
        <v>-2.585788E-6</v>
      </c>
      <c r="I3092">
        <v>144.20070000000001</v>
      </c>
      <c r="J3092">
        <v>-263.59539999999998</v>
      </c>
      <c r="K3092">
        <v>1.109361</v>
      </c>
      <c r="L3092">
        <v>141.3484</v>
      </c>
      <c r="M3092">
        <v>-0.99982470000000001</v>
      </c>
      <c r="N3092">
        <v>-7.271919E-3</v>
      </c>
      <c r="O3092">
        <v>1.7259030000000002E-2</v>
      </c>
      <c r="P3092">
        <v>-0.99670049999999999</v>
      </c>
      <c r="Q3092">
        <v>1.404437E-2</v>
      </c>
      <c r="R3092">
        <v>-7.9946180000000006E-2</v>
      </c>
      <c r="S3092">
        <v>-3.0635680000000001</v>
      </c>
      <c r="T3092">
        <v>-0.25019339999999901</v>
      </c>
      <c r="U3092">
        <v>0.64474489999999995</v>
      </c>
      <c r="V3092">
        <v>-9.7198549999999995E-2</v>
      </c>
      <c r="W3092">
        <v>2.0997709999999999E-2</v>
      </c>
      <c r="X3092">
        <v>0.99504349999999997</v>
      </c>
      <c r="Y3092">
        <v>0.1884139</v>
      </c>
      <c r="Z3092">
        <v>7.0244399999999999E-3</v>
      </c>
      <c r="AA3092">
        <v>0.98206459999999995</v>
      </c>
      <c r="AB3092">
        <v>42</v>
      </c>
      <c r="AC3092">
        <v>-13.1793</v>
      </c>
      <c r="AD3092">
        <v>-1.109363585788</v>
      </c>
      <c r="AE3092">
        <v>2.8523000000000098</v>
      </c>
      <c r="AF3092">
        <v>2.6067636957440699</v>
      </c>
      <c r="AG3092">
        <v>-1.109363585788</v>
      </c>
      <c r="AH3092">
        <v>13.1376458036987</v>
      </c>
      <c r="AI3092">
        <v>94.734822025596202</v>
      </c>
      <c r="AJ3092">
        <v>78.777172930049304</v>
      </c>
      <c r="AK3092">
        <v>13.439629525934199</v>
      </c>
      <c r="AL3092">
        <v>88.796831430259502</v>
      </c>
      <c r="AM3092">
        <v>95.5791070758073</v>
      </c>
      <c r="AN3092">
        <v>1.00000001441979</v>
      </c>
    </row>
    <row r="3093" spans="1:40" x14ac:dyDescent="0.25">
      <c r="A3093" t="str">
        <f>"20190305135649056"</f>
        <v>20190305135649056</v>
      </c>
      <c r="B3093" t="str">
        <f>"1551765409045385"</f>
        <v>1551765409045385</v>
      </c>
      <c r="C3093" t="s">
        <v>40</v>
      </c>
      <c r="D3093">
        <v>4.0535139999999998</v>
      </c>
      <c r="E3093">
        <v>0.61084099999999997</v>
      </c>
      <c r="F3093" t="s">
        <v>42</v>
      </c>
      <c r="G3093">
        <v>-277.27269999999999</v>
      </c>
      <c r="H3093" s="1">
        <v>-2.3801779999999999E-6</v>
      </c>
      <c r="I3093">
        <v>144.23089999999999</v>
      </c>
      <c r="J3093">
        <v>-264.01780000000002</v>
      </c>
      <c r="K3093">
        <v>1.109226</v>
      </c>
      <c r="L3093">
        <v>141.3552</v>
      </c>
      <c r="M3093">
        <v>-0.9998359</v>
      </c>
      <c r="N3093">
        <v>-7.2798280000000003E-3</v>
      </c>
      <c r="O3093">
        <v>1.658886E-2</v>
      </c>
      <c r="P3093">
        <v>-0.99654169999999997</v>
      </c>
      <c r="Q3093">
        <v>1.497833E-2</v>
      </c>
      <c r="R3093">
        <v>-8.1734249999999994E-2</v>
      </c>
      <c r="S3093">
        <v>-3.0652159999999999</v>
      </c>
      <c r="T3093">
        <v>-0.24862000000000001</v>
      </c>
      <c r="U3093">
        <v>0.64601140000000001</v>
      </c>
      <c r="V3093">
        <v>-9.8311949999999995E-2</v>
      </c>
      <c r="W3093">
        <v>2.1967850000000001E-2</v>
      </c>
      <c r="X3093">
        <v>0.99491320000000005</v>
      </c>
      <c r="Y3093">
        <v>0.189357</v>
      </c>
      <c r="Z3093">
        <v>7.0729879999999997E-3</v>
      </c>
      <c r="AA3093">
        <v>0.98188279999999994</v>
      </c>
      <c r="AB3093">
        <v>42</v>
      </c>
      <c r="AC3093">
        <v>-13.2548999999999</v>
      </c>
      <c r="AD3093">
        <v>-1.1092283801780001</v>
      </c>
      <c r="AE3093">
        <v>2.8756999999999899</v>
      </c>
      <c r="AF3093">
        <v>2.6377726295444401</v>
      </c>
      <c r="AG3093">
        <v>-1.1092283801780001</v>
      </c>
      <c r="AH3093">
        <v>13.212413633325699</v>
      </c>
      <c r="AI3093">
        <v>94.706479506861896</v>
      </c>
      <c r="AJ3093">
        <v>78.709708668696706</v>
      </c>
      <c r="AK3093">
        <v>13.5187316735948</v>
      </c>
      <c r="AL3093">
        <v>88.741233716130097</v>
      </c>
      <c r="AM3093">
        <v>95.643339323707295</v>
      </c>
      <c r="AN3093">
        <v>1.0000000507403299</v>
      </c>
    </row>
    <row r="3094" spans="1:40" x14ac:dyDescent="0.25">
      <c r="A3094" t="str">
        <f>"20190305135649077"</f>
        <v>20190305135649077</v>
      </c>
      <c r="B3094" t="str">
        <f>"1551765409065882"</f>
        <v>1551765409065882</v>
      </c>
      <c r="C3094" t="s">
        <v>40</v>
      </c>
      <c r="D3094">
        <v>4.013719</v>
      </c>
      <c r="E3094">
        <v>0.57441390000000003</v>
      </c>
      <c r="F3094" t="s">
        <v>42</v>
      </c>
      <c r="G3094">
        <v>-277.851</v>
      </c>
      <c r="H3094" s="1">
        <v>-2.1412770000000001E-6</v>
      </c>
      <c r="I3094">
        <v>144.2653</v>
      </c>
      <c r="J3094">
        <v>-264.4194</v>
      </c>
      <c r="K3094">
        <v>1.1090979999999999</v>
      </c>
      <c r="L3094">
        <v>141.36160000000001</v>
      </c>
      <c r="M3094">
        <v>-0.99984399999999996</v>
      </c>
      <c r="N3094">
        <v>-7.287656E-3</v>
      </c>
      <c r="O3094">
        <v>1.6097799999999999E-2</v>
      </c>
      <c r="P3094">
        <v>-0.99644109999999997</v>
      </c>
      <c r="Q3094">
        <v>1.5800870000000002E-2</v>
      </c>
      <c r="R3094">
        <v>-8.2800429999999994E-2</v>
      </c>
      <c r="S3094">
        <v>-3.0670169999999999</v>
      </c>
      <c r="T3094">
        <v>-0.2459326</v>
      </c>
      <c r="U3094">
        <v>0.64521790000000001</v>
      </c>
      <c r="V3094">
        <v>-9.8882620000000004E-2</v>
      </c>
      <c r="W3094">
        <v>2.282785E-2</v>
      </c>
      <c r="X3094">
        <v>0.99483719999999998</v>
      </c>
      <c r="Y3094">
        <v>0.18949079999999999</v>
      </c>
      <c r="Z3094">
        <v>7.044135E-3</v>
      </c>
      <c r="AA3094">
        <v>0.98185719999999999</v>
      </c>
      <c r="AB3094">
        <v>42</v>
      </c>
      <c r="AC3094">
        <v>-13.4316</v>
      </c>
      <c r="AD3094">
        <v>-1.1091001412770001</v>
      </c>
      <c r="AE3094">
        <v>2.9036999999999802</v>
      </c>
      <c r="AF3094">
        <v>2.66970827137275</v>
      </c>
      <c r="AG3094">
        <v>-1.1091001412770001</v>
      </c>
      <c r="AH3094">
        <v>13.3893851761752</v>
      </c>
      <c r="AI3094">
        <v>94.644236900556095</v>
      </c>
      <c r="AJ3094">
        <v>78.723682742023101</v>
      </c>
      <c r="AK3094">
        <v>13.697922498452</v>
      </c>
      <c r="AL3094">
        <v>88.691946875410906</v>
      </c>
      <c r="AM3094">
        <v>95.676314630326502</v>
      </c>
      <c r="AN3094">
        <v>0.99999996888876297</v>
      </c>
    </row>
    <row r="3095" spans="1:40" x14ac:dyDescent="0.25">
      <c r="A3095" t="str">
        <f>"20190305135649100"</f>
        <v>20190305135649100</v>
      </c>
      <c r="B3095" t="str">
        <f>"1551765409095162"</f>
        <v>1551765409095162</v>
      </c>
      <c r="C3095" t="s">
        <v>40</v>
      </c>
      <c r="D3095">
        <v>3.7882690000000001</v>
      </c>
      <c r="E3095">
        <v>0.53698539999999995</v>
      </c>
      <c r="F3095" t="s">
        <v>73</v>
      </c>
      <c r="G3095">
        <v>-303.51650000000001</v>
      </c>
      <c r="H3095" s="1">
        <v>-1.0319709999999999E-5</v>
      </c>
      <c r="I3095">
        <v>145.8278</v>
      </c>
      <c r="J3095">
        <v>-264.84219999999999</v>
      </c>
      <c r="K3095">
        <v>1.108954</v>
      </c>
      <c r="L3095">
        <v>141.3681</v>
      </c>
      <c r="M3095">
        <v>-0.99984980000000001</v>
      </c>
      <c r="N3095">
        <v>-7.2958729999999996E-3</v>
      </c>
      <c r="O3095">
        <v>1.572604E-2</v>
      </c>
      <c r="P3095">
        <v>-0.99638380000000004</v>
      </c>
      <c r="Q3095">
        <v>1.6067959999999999E-2</v>
      </c>
      <c r="R3095">
        <v>-8.3434530000000007E-2</v>
      </c>
      <c r="S3095">
        <v>-3.0409549999999999</v>
      </c>
      <c r="T3095">
        <v>-8.6265919999999996E-2</v>
      </c>
      <c r="U3095">
        <v>0.34738160000000001</v>
      </c>
      <c r="V3095">
        <v>-9.9138550000000006E-2</v>
      </c>
      <c r="W3095">
        <v>2.313629E-2</v>
      </c>
      <c r="X3095">
        <v>0.99480460000000004</v>
      </c>
      <c r="Y3095">
        <v>9.7811930000000005E-2</v>
      </c>
      <c r="Z3095">
        <v>1.410564E-3</v>
      </c>
      <c r="AA3095">
        <v>0.99520390000000003</v>
      </c>
      <c r="AB3095">
        <v>42</v>
      </c>
      <c r="AC3095">
        <v>-38.674300000000002</v>
      </c>
      <c r="AD3095">
        <v>-1.1089643197100001</v>
      </c>
      <c r="AE3095">
        <v>4.45969999999999</v>
      </c>
      <c r="AF3095">
        <v>3.8478164987430699</v>
      </c>
      <c r="AG3095">
        <v>-1.1089643197100001</v>
      </c>
      <c r="AH3095">
        <v>38.708243301929599</v>
      </c>
      <c r="AI3095">
        <v>91.632991499977393</v>
      </c>
      <c r="AJ3095">
        <v>84.323127749723696</v>
      </c>
      <c r="AK3095">
        <v>38.914824851099702</v>
      </c>
      <c r="AL3095">
        <v>88.674269891963903</v>
      </c>
      <c r="AM3095">
        <v>95.691095138712399</v>
      </c>
      <c r="AN3095">
        <v>0.99999996609611197</v>
      </c>
    </row>
    <row r="3096" spans="1:40" x14ac:dyDescent="0.25">
      <c r="A3096" t="str">
        <f>"20190305135649122"</f>
        <v>20190305135649122</v>
      </c>
      <c r="B3096" t="str">
        <f>"1551765409115658"</f>
        <v>1551765409115658</v>
      </c>
      <c r="C3096" t="s">
        <v>40</v>
      </c>
      <c r="D3096">
        <v>3.864306</v>
      </c>
      <c r="E3096">
        <v>0.52965949999999995</v>
      </c>
      <c r="F3096" t="s">
        <v>73</v>
      </c>
      <c r="G3096">
        <v>-313.75869999999998</v>
      </c>
      <c r="H3096" s="1">
        <v>-8.7202690000000004E-6</v>
      </c>
      <c r="I3096">
        <v>142.13409999999999</v>
      </c>
      <c r="J3096">
        <v>-265.26229999999998</v>
      </c>
      <c r="K3096">
        <v>1.1088129999999901</v>
      </c>
      <c r="L3096">
        <v>141.37450000000001</v>
      </c>
      <c r="M3096">
        <v>-0.99985360000000001</v>
      </c>
      <c r="N3096">
        <v>-7.3041460000000001E-3</v>
      </c>
      <c r="O3096">
        <v>1.547603E-2</v>
      </c>
      <c r="P3096">
        <v>-0.99638409999999999</v>
      </c>
      <c r="Q3096">
        <v>1.560754E-2</v>
      </c>
      <c r="R3096">
        <v>-8.3519179999999998E-2</v>
      </c>
      <c r="S3096">
        <v>-3.0159910000000001</v>
      </c>
      <c r="T3096">
        <v>-6.8374039999999997E-2</v>
      </c>
      <c r="U3096">
        <v>4.7225950000000003E-2</v>
      </c>
      <c r="V3096">
        <v>-9.8966349999999995E-2</v>
      </c>
      <c r="W3096">
        <v>2.2715829999999999E-2</v>
      </c>
      <c r="X3096">
        <v>0.99483140000000003</v>
      </c>
      <c r="Y3096">
        <v>1.819387E-4</v>
      </c>
      <c r="Z3096">
        <v>-2.3500450000000001E-4</v>
      </c>
      <c r="AA3096">
        <v>0.99999990000000005</v>
      </c>
      <c r="AB3096">
        <v>42</v>
      </c>
      <c r="AC3096">
        <v>-48.496400000000001</v>
      </c>
      <c r="AD3096">
        <v>-1.1088217202689901</v>
      </c>
      <c r="AE3096">
        <v>0.75959999999997696</v>
      </c>
      <c r="AF3096">
        <v>8.9526129107377894E-3</v>
      </c>
      <c r="AG3096">
        <v>-1.1088217202689901</v>
      </c>
      <c r="AH3096">
        <v>48.477011872924599</v>
      </c>
      <c r="AI3096">
        <v>91.310306171494503</v>
      </c>
      <c r="AJ3096">
        <v>89.989418759330405</v>
      </c>
      <c r="AK3096">
        <v>48.489692161162303</v>
      </c>
      <c r="AL3096">
        <v>88.698366764140005</v>
      </c>
      <c r="AM3096">
        <v>95.681122591986906</v>
      </c>
      <c r="AN3096">
        <v>0.99999993089543304</v>
      </c>
    </row>
    <row r="3097" spans="1:40" x14ac:dyDescent="0.25">
      <c r="A3097" t="str">
        <f>"20190305135649145"</f>
        <v>20190305135649145</v>
      </c>
      <c r="B3097" t="str">
        <f>"1551765409135822"</f>
        <v>1551765409135822</v>
      </c>
      <c r="C3097" t="s">
        <v>40</v>
      </c>
      <c r="D3097">
        <v>3.785514</v>
      </c>
      <c r="E3097">
        <v>0.52669909999999998</v>
      </c>
      <c r="F3097" t="s">
        <v>42</v>
      </c>
      <c r="G3097">
        <v>-321.82279999999997</v>
      </c>
      <c r="H3097" s="1">
        <v>-3.8998180000000004E-6</v>
      </c>
      <c r="I3097">
        <v>141.15549999999999</v>
      </c>
      <c r="J3097">
        <v>-265.7002</v>
      </c>
      <c r="K3097">
        <v>1.108681</v>
      </c>
      <c r="L3097">
        <v>141.38120000000001</v>
      </c>
      <c r="M3097">
        <v>-0.99985610000000003</v>
      </c>
      <c r="N3097">
        <v>-7.3128409999999996E-3</v>
      </c>
      <c r="O3097">
        <v>1.5308550000000001E-2</v>
      </c>
      <c r="P3097">
        <v>-0.99643950000000003</v>
      </c>
      <c r="Q3097">
        <v>1.4953940000000001E-2</v>
      </c>
      <c r="R3097">
        <v>-8.2974049999999994E-2</v>
      </c>
      <c r="S3097">
        <v>-3.010834</v>
      </c>
      <c r="T3097">
        <v>-5.9024689999999998E-2</v>
      </c>
      <c r="U3097">
        <v>-1.165771E-2</v>
      </c>
      <c r="V3097">
        <v>-9.8248059999999998E-2</v>
      </c>
      <c r="W3097">
        <v>2.2101340000000001E-2</v>
      </c>
      <c r="X3097">
        <v>0.99491649999999998</v>
      </c>
      <c r="Y3097">
        <v>-1.9174070000000001E-2</v>
      </c>
      <c r="Z3097">
        <v>-4.4617330000000001E-4</v>
      </c>
      <c r="AA3097">
        <v>0.99981609999999999</v>
      </c>
      <c r="AB3097">
        <v>42</v>
      </c>
      <c r="AC3097">
        <v>-56.122599999999899</v>
      </c>
      <c r="AD3097">
        <v>-1.1086848998179999</v>
      </c>
      <c r="AE3097">
        <v>-0.225700000000017</v>
      </c>
      <c r="AF3097">
        <v>-1.0844289415092201</v>
      </c>
      <c r="AG3097">
        <v>-1.1086848998179999</v>
      </c>
      <c r="AH3097">
        <v>56.090678895808601</v>
      </c>
      <c r="AI3097">
        <v>91.1321458776752</v>
      </c>
      <c r="AJ3097">
        <v>91.107589763963105</v>
      </c>
      <c r="AK3097">
        <v>56.112114800005401</v>
      </c>
      <c r="AL3097">
        <v>88.733583376466001</v>
      </c>
      <c r="AM3097">
        <v>95.639676950781606</v>
      </c>
      <c r="AN3097">
        <v>0.99999999624790403</v>
      </c>
    </row>
    <row r="3098" spans="1:40" x14ac:dyDescent="0.25">
      <c r="A3098" t="str">
        <f>"20190305135649167"</f>
        <v>20190305135649167</v>
      </c>
      <c r="B3098" t="str">
        <f>"1551765409155339"</f>
        <v>1551765409155339</v>
      </c>
      <c r="C3098" t="s">
        <v>40</v>
      </c>
      <c r="D3098">
        <v>3.7547670000000002</v>
      </c>
      <c r="E3098">
        <v>0.52481440000000001</v>
      </c>
      <c r="F3098" t="s">
        <v>42</v>
      </c>
      <c r="G3098">
        <v>-333.29410000000001</v>
      </c>
      <c r="H3098" s="1">
        <v>-3.417596E-6</v>
      </c>
      <c r="I3098">
        <v>140.62049999999999</v>
      </c>
      <c r="J3098">
        <v>-266.1096</v>
      </c>
      <c r="K3098">
        <v>1.1085750000000001</v>
      </c>
      <c r="L3098">
        <v>141.38740000000001</v>
      </c>
      <c r="M3098">
        <v>-0.99985740000000001</v>
      </c>
      <c r="N3098">
        <v>-7.3208780000000003E-3</v>
      </c>
      <c r="O3098">
        <v>1.5212939999999999E-2</v>
      </c>
      <c r="P3098">
        <v>-0.99649569999999998</v>
      </c>
      <c r="Q3098">
        <v>1.436723E-2</v>
      </c>
      <c r="R3098">
        <v>-8.2401600000000005E-2</v>
      </c>
      <c r="S3098">
        <v>-3.0086360000000001</v>
      </c>
      <c r="T3098">
        <v>-4.9348120000000002E-2</v>
      </c>
      <c r="U3098">
        <v>-3.385925E-2</v>
      </c>
      <c r="V3098">
        <v>-9.7575090000000003E-2</v>
      </c>
      <c r="W3098">
        <v>2.1546909999999999E-2</v>
      </c>
      <c r="X3098">
        <v>0.99499490000000002</v>
      </c>
      <c r="Y3098">
        <v>-2.6458619999999999E-2</v>
      </c>
      <c r="Z3098">
        <v>-4.5196340000000002E-4</v>
      </c>
      <c r="AA3098">
        <v>0.99964980000000003</v>
      </c>
      <c r="AB3098">
        <v>42</v>
      </c>
      <c r="AC3098">
        <v>-67.1845</v>
      </c>
      <c r="AD3098">
        <v>-1.1085784175960001</v>
      </c>
      <c r="AE3098">
        <v>-0.76690000000002101</v>
      </c>
      <c r="AF3098">
        <v>-1.78842561623894</v>
      </c>
      <c r="AG3098">
        <v>-1.1085784175960001</v>
      </c>
      <c r="AH3098">
        <v>67.146778186059706</v>
      </c>
      <c r="AI3098">
        <v>90.945519426651202</v>
      </c>
      <c r="AJ3098">
        <v>91.525687788565193</v>
      </c>
      <c r="AK3098">
        <v>67.179738262817594</v>
      </c>
      <c r="AL3098">
        <v>88.765357459886701</v>
      </c>
      <c r="AM3098">
        <v>95.600854795712095</v>
      </c>
      <c r="AN3098">
        <v>1.0000000092725301</v>
      </c>
    </row>
    <row r="3099" spans="1:40" x14ac:dyDescent="0.25">
      <c r="A3099" t="str">
        <f>"20190305135649190"</f>
        <v>20190305135649190</v>
      </c>
      <c r="B3099" t="str">
        <f>"1551765409185595"</f>
        <v>1551765409185595</v>
      </c>
      <c r="C3099" t="s">
        <v>40</v>
      </c>
      <c r="D3099">
        <v>3.7650540000000001</v>
      </c>
      <c r="E3099">
        <v>0.52389249999999998</v>
      </c>
      <c r="F3099" t="s">
        <v>42</v>
      </c>
      <c r="G3099">
        <v>-343.53989999999999</v>
      </c>
      <c r="H3099" s="1">
        <v>-2.9005009999999998E-6</v>
      </c>
      <c r="I3099">
        <v>140.16820000000001</v>
      </c>
      <c r="J3099">
        <v>-266.54410000000001</v>
      </c>
      <c r="K3099">
        <v>1.108481</v>
      </c>
      <c r="L3099">
        <v>141.3939</v>
      </c>
      <c r="M3099">
        <v>-0.99985840000000004</v>
      </c>
      <c r="N3099">
        <v>-7.329576E-3</v>
      </c>
      <c r="O3099">
        <v>1.51532E-2</v>
      </c>
      <c r="P3099">
        <v>-0.99652410000000002</v>
      </c>
      <c r="Q3099">
        <v>1.358407E-2</v>
      </c>
      <c r="R3099">
        <v>-8.2191040000000007E-2</v>
      </c>
      <c r="S3099">
        <v>-3.0072939999999999</v>
      </c>
      <c r="T3099">
        <v>-4.305577E-2</v>
      </c>
      <c r="U3099">
        <v>-4.7348019999999998E-2</v>
      </c>
      <c r="V3099">
        <v>-9.7300510000000007E-2</v>
      </c>
      <c r="W3099">
        <v>2.0793200000000001E-2</v>
      </c>
      <c r="X3099">
        <v>0.99503779999999997</v>
      </c>
      <c r="Y3099">
        <v>-3.088722E-2</v>
      </c>
      <c r="Z3099">
        <v>-4.401629E-4</v>
      </c>
      <c r="AA3099">
        <v>0.99952280000000004</v>
      </c>
      <c r="AB3099">
        <v>42</v>
      </c>
      <c r="AC3099">
        <v>-76.995799999999903</v>
      </c>
      <c r="AD3099">
        <v>-1.1084839005010001</v>
      </c>
      <c r="AE3099">
        <v>-1.22569999999998</v>
      </c>
      <c r="AF3099">
        <v>-2.3918276501682199</v>
      </c>
      <c r="AG3099">
        <v>-1.1084839005010001</v>
      </c>
      <c r="AH3099">
        <v>76.952439916626602</v>
      </c>
      <c r="AI3099">
        <v>90.8248784158489</v>
      </c>
      <c r="AJ3099">
        <v>91.780288242168496</v>
      </c>
      <c r="AK3099">
        <v>76.997581684023103</v>
      </c>
      <c r="AL3099">
        <v>88.808551513726101</v>
      </c>
      <c r="AM3099">
        <v>95.584954294988094</v>
      </c>
      <c r="AN3099">
        <v>0.99999998492066999</v>
      </c>
    </row>
    <row r="3100" spans="1:40" x14ac:dyDescent="0.25">
      <c r="A3100" t="str">
        <f>"20190305135649213"</f>
        <v>20190305135649213</v>
      </c>
      <c r="B3100" t="str">
        <f>"1551765409205116"</f>
        <v>1551765409205116</v>
      </c>
      <c r="C3100" t="s">
        <v>40</v>
      </c>
      <c r="D3100">
        <v>3.779217</v>
      </c>
      <c r="E3100">
        <v>0.52304490000000003</v>
      </c>
      <c r="F3100" t="s">
        <v>42</v>
      </c>
      <c r="G3100">
        <v>-372.0367</v>
      </c>
      <c r="H3100" s="1">
        <v>-3.4215490000000001E-6</v>
      </c>
      <c r="I3100">
        <v>139.48660000000001</v>
      </c>
      <c r="J3100">
        <v>-266.99669999999998</v>
      </c>
      <c r="K3100">
        <v>1.1084069999999999</v>
      </c>
      <c r="L3100">
        <v>141.4007</v>
      </c>
      <c r="M3100">
        <v>-0.99985869999999999</v>
      </c>
      <c r="N3100">
        <v>-7.3387390000000004E-3</v>
      </c>
      <c r="O3100">
        <v>1.5122750000000001E-2</v>
      </c>
      <c r="P3100">
        <v>-0.99655740000000004</v>
      </c>
      <c r="Q3100">
        <v>1.292286E-2</v>
      </c>
      <c r="R3100">
        <v>-8.1892560000000003E-2</v>
      </c>
      <c r="S3100">
        <v>-3.0064090000000001</v>
      </c>
      <c r="T3100">
        <v>-3.1590460000000001E-2</v>
      </c>
      <c r="U3100">
        <v>-5.435181E-2</v>
      </c>
      <c r="V3100">
        <v>-9.6968680000000002E-2</v>
      </c>
      <c r="W3100">
        <v>2.0158180000000001E-2</v>
      </c>
      <c r="X3100">
        <v>0.9950833</v>
      </c>
      <c r="Y3100">
        <v>-3.3191119999999998E-2</v>
      </c>
      <c r="Z3100">
        <v>-3.4408620000000003E-4</v>
      </c>
      <c r="AA3100">
        <v>0.99944900000000003</v>
      </c>
      <c r="AB3100">
        <v>43</v>
      </c>
      <c r="AC3100">
        <v>-105.04</v>
      </c>
      <c r="AD3100">
        <v>-1.1084104215489901</v>
      </c>
      <c r="AE3100">
        <v>-1.9140999999999899</v>
      </c>
      <c r="AF3100">
        <v>-3.5020277356522498</v>
      </c>
      <c r="AG3100">
        <v>-1.1084104215489901</v>
      </c>
      <c r="AH3100">
        <v>104.987353730975</v>
      </c>
      <c r="AI3100">
        <v>90.604545020531404</v>
      </c>
      <c r="AJ3100">
        <v>91.910487616929004</v>
      </c>
      <c r="AK3100">
        <v>105.05159311193999</v>
      </c>
      <c r="AL3100">
        <v>88.844943157165403</v>
      </c>
      <c r="AM3100">
        <v>95.565774478448802</v>
      </c>
      <c r="AN3100">
        <v>1.00000002553037</v>
      </c>
    </row>
    <row r="3101" spans="1:40" x14ac:dyDescent="0.25">
      <c r="A3101" t="str">
        <f>"20190305135649234"</f>
        <v>20190305135649234</v>
      </c>
      <c r="B3101" t="str">
        <f>"1551765409225217"</f>
        <v>1551765409225217</v>
      </c>
      <c r="C3101" t="s">
        <v>40</v>
      </c>
      <c r="D3101">
        <v>3.8751669999999998</v>
      </c>
      <c r="E3101">
        <v>0.52203940000000004</v>
      </c>
      <c r="F3101" t="s">
        <v>42</v>
      </c>
      <c r="G3101">
        <v>-372.43349999999998</v>
      </c>
      <c r="H3101" s="1">
        <v>-3.2867389999999998E-6</v>
      </c>
      <c r="I3101">
        <v>139.2869</v>
      </c>
      <c r="J3101">
        <v>-267.40910000000002</v>
      </c>
      <c r="K3101">
        <v>1.1083459999999901</v>
      </c>
      <c r="L3101">
        <v>141.4068</v>
      </c>
      <c r="M3101">
        <v>-0.99985900000000005</v>
      </c>
      <c r="N3101">
        <v>-7.3471589999999998E-3</v>
      </c>
      <c r="O3101">
        <v>1.510535E-2</v>
      </c>
      <c r="P3101">
        <v>-0.9965659</v>
      </c>
      <c r="Q3101">
        <v>1.327455E-2</v>
      </c>
      <c r="R3101">
        <v>-8.1734940000000006E-2</v>
      </c>
      <c r="S3101">
        <v>-3.0058590000000001</v>
      </c>
      <c r="T3101">
        <v>-3.159928E-2</v>
      </c>
      <c r="U3101">
        <v>-6.0256959999999998E-2</v>
      </c>
      <c r="V3101">
        <v>-9.6791440000000006E-2</v>
      </c>
      <c r="W3101">
        <v>2.0530989999999999E-2</v>
      </c>
      <c r="X3101">
        <v>0.99509289999999995</v>
      </c>
      <c r="Y3101">
        <v>-3.5139549999999999E-2</v>
      </c>
      <c r="Z3101">
        <v>-3.6159560000000002E-4</v>
      </c>
      <c r="AA3101">
        <v>0.9993824</v>
      </c>
      <c r="AB3101">
        <v>43</v>
      </c>
      <c r="AC3101">
        <v>-105.02439999999901</v>
      </c>
      <c r="AD3101">
        <v>-1.1083492867389999</v>
      </c>
      <c r="AE3101">
        <v>-2.1198999999999999</v>
      </c>
      <c r="AF3101">
        <v>-3.7057185844767302</v>
      </c>
      <c r="AG3101">
        <v>-1.1083492867389999</v>
      </c>
      <c r="AH3101">
        <v>104.968708456709</v>
      </c>
      <c r="AI3101">
        <v>90.6045786998625</v>
      </c>
      <c r="AJ3101">
        <v>92.021877736728896</v>
      </c>
      <c r="AK3101">
        <v>105.039947369743</v>
      </c>
      <c r="AL3101">
        <v>88.823578256659303</v>
      </c>
      <c r="AM3101">
        <v>95.555611760885995</v>
      </c>
      <c r="AN3101">
        <v>0.999999992019031</v>
      </c>
    </row>
    <row r="3102" spans="1:40" x14ac:dyDescent="0.25">
      <c r="A3102" t="str">
        <f>"20190305135649257"</f>
        <v>20190305135649257</v>
      </c>
      <c r="B3102" t="str">
        <f>"1551765409245717"</f>
        <v>1551765409245717</v>
      </c>
      <c r="C3102" t="s">
        <v>40</v>
      </c>
      <c r="D3102">
        <v>3.7841830000000001</v>
      </c>
      <c r="E3102">
        <v>0.52194669999999999</v>
      </c>
      <c r="F3102" t="s">
        <v>42</v>
      </c>
      <c r="G3102">
        <v>-363.9502</v>
      </c>
      <c r="H3102" s="1">
        <v>-2.6448789999999999E-6</v>
      </c>
      <c r="I3102">
        <v>139.2372</v>
      </c>
      <c r="J3102">
        <v>-267.83769999999998</v>
      </c>
      <c r="K3102">
        <v>1.108303</v>
      </c>
      <c r="L3102">
        <v>141.41319999999999</v>
      </c>
      <c r="M3102">
        <v>-0.99985930000000001</v>
      </c>
      <c r="N3102">
        <v>-7.3559599999999999E-3</v>
      </c>
      <c r="O3102">
        <v>1.508314E-2</v>
      </c>
      <c r="P3102">
        <v>-0.99650879999999997</v>
      </c>
      <c r="Q3102">
        <v>1.432459E-2</v>
      </c>
      <c r="R3102">
        <v>-8.2252450000000005E-2</v>
      </c>
      <c r="S3102">
        <v>-3.00528</v>
      </c>
      <c r="T3102">
        <v>-3.4502390000000001E-2</v>
      </c>
      <c r="U3102">
        <v>-6.7535399999999995E-2</v>
      </c>
      <c r="V3102">
        <v>-9.7284140000000005E-2</v>
      </c>
      <c r="W3102">
        <v>2.159935E-2</v>
      </c>
      <c r="X3102">
        <v>0.99502219999999997</v>
      </c>
      <c r="Y3102">
        <v>-3.7539580000000003E-2</v>
      </c>
      <c r="Z3102">
        <v>-4.157532E-4</v>
      </c>
      <c r="AA3102">
        <v>0.99929509999999999</v>
      </c>
      <c r="AB3102">
        <v>43</v>
      </c>
      <c r="AC3102">
        <v>-96.112499999999997</v>
      </c>
      <c r="AD3102">
        <v>-1.1083056448790001</v>
      </c>
      <c r="AE3102">
        <v>-2.1759999999999802</v>
      </c>
      <c r="AF3102">
        <v>-3.6249880258652198</v>
      </c>
      <c r="AG3102">
        <v>-1.1083056448790001</v>
      </c>
      <c r="AH3102">
        <v>96.055977955167606</v>
      </c>
      <c r="AI3102">
        <v>90.660586204124002</v>
      </c>
      <c r="AJ3102">
        <v>92.161218950658196</v>
      </c>
      <c r="AK3102">
        <v>96.130743160103506</v>
      </c>
      <c r="AL3102">
        <v>88.762352105310399</v>
      </c>
      <c r="AM3102">
        <v>95.584107605267604</v>
      </c>
      <c r="AN3102">
        <v>0.99999995715440004</v>
      </c>
    </row>
    <row r="3103" spans="1:40" x14ac:dyDescent="0.25">
      <c r="A3103" t="str">
        <f>"20190305135649368"</f>
        <v>20190305135649368</v>
      </c>
      <c r="B3103" t="str">
        <f>"1551765409365762"</f>
        <v>1551765409365762</v>
      </c>
      <c r="C3103" t="s">
        <v>40</v>
      </c>
      <c r="D3103">
        <v>3.7177060000000002</v>
      </c>
      <c r="E3103">
        <v>0.56129869999999904</v>
      </c>
      <c r="F3103" t="s">
        <v>42</v>
      </c>
      <c r="G3103">
        <v>-387.9418</v>
      </c>
      <c r="H3103" s="1">
        <v>-1.0424989999999999E-6</v>
      </c>
      <c r="I3103">
        <v>138.61709999999999</v>
      </c>
      <c r="J3103">
        <v>-269.97879999999998</v>
      </c>
      <c r="K3103">
        <v>1.1083160000000001</v>
      </c>
      <c r="L3103">
        <v>141.44450000000001</v>
      </c>
      <c r="M3103">
        <v>-0.99986810000000004</v>
      </c>
      <c r="N3103">
        <v>-7.4013919999999997E-3</v>
      </c>
      <c r="O3103">
        <v>1.445886E-2</v>
      </c>
      <c r="P3103">
        <v>-0.99596519999999999</v>
      </c>
      <c r="Q3103">
        <v>1.8720359999999998E-2</v>
      </c>
      <c r="R3103">
        <v>-8.7767289999999998E-2</v>
      </c>
      <c r="S3103">
        <v>-3.0051570000000001</v>
      </c>
      <c r="T3103">
        <v>-2.7731180000000001E-2</v>
      </c>
      <c r="U3103">
        <v>-6.9961549999999997E-2</v>
      </c>
      <c r="V3103">
        <v>-0.1021719</v>
      </c>
      <c r="W3103">
        <v>2.6031240000000001E-2</v>
      </c>
      <c r="X3103">
        <v>0.99442609999999998</v>
      </c>
      <c r="Y3103">
        <v>-3.7724170000000001E-2</v>
      </c>
      <c r="Z3103">
        <v>-3.4006640000000001E-4</v>
      </c>
      <c r="AA3103">
        <v>0.99928810000000001</v>
      </c>
      <c r="AB3103">
        <v>43</v>
      </c>
      <c r="AC3103">
        <v>-117.96299999999999</v>
      </c>
      <c r="AD3103">
        <v>-1.1083170424990001</v>
      </c>
      <c r="AE3103">
        <v>-2.8274000000000101</v>
      </c>
      <c r="AF3103">
        <v>-4.5323617318743104</v>
      </c>
      <c r="AG3103">
        <v>-1.1083170424990001</v>
      </c>
      <c r="AH3103">
        <v>117.899384428563</v>
      </c>
      <c r="AI3103">
        <v>90.5381974822361</v>
      </c>
      <c r="AJ3103">
        <v>92.201516055765893</v>
      </c>
      <c r="AK3103">
        <v>117.991675630823</v>
      </c>
      <c r="AL3103">
        <v>88.508351310227397</v>
      </c>
      <c r="AM3103">
        <v>95.866246805743401</v>
      </c>
      <c r="AN3103">
        <v>0.99999999548337803</v>
      </c>
    </row>
    <row r="3104" spans="1:40" x14ac:dyDescent="0.25">
      <c r="A3104" t="str">
        <f>"20190305135649392"</f>
        <v>20190305135649392</v>
      </c>
      <c r="B3104" t="str">
        <f>"1551765409385281"</f>
        <v>1551765409385281</v>
      </c>
      <c r="C3104" t="s">
        <v>40</v>
      </c>
      <c r="D3104">
        <v>3.8581650000000001</v>
      </c>
      <c r="E3104">
        <v>0.55060339999999997</v>
      </c>
      <c r="F3104" t="s">
        <v>66</v>
      </c>
      <c r="G3104">
        <v>-511.93029999999999</v>
      </c>
      <c r="H3104">
        <v>15.27655</v>
      </c>
      <c r="I3104">
        <v>159.02619999999999</v>
      </c>
      <c r="J3104">
        <v>-270.40870000000001</v>
      </c>
      <c r="K3104">
        <v>1.1083529999999999</v>
      </c>
      <c r="L3104">
        <v>141.45050000000001</v>
      </c>
      <c r="M3104">
        <v>-0.99987219999999999</v>
      </c>
      <c r="N3104">
        <v>-7.411089E-3</v>
      </c>
      <c r="O3104">
        <v>1.4164970000000001E-2</v>
      </c>
      <c r="P3104">
        <v>-0.99592639999999999</v>
      </c>
      <c r="Q3104">
        <v>1.7408659999999999E-2</v>
      </c>
      <c r="R3104">
        <v>-8.8473889999999999E-2</v>
      </c>
      <c r="S3104">
        <v>-3.0281980000000002</v>
      </c>
      <c r="T3104">
        <v>0.17732609999999999</v>
      </c>
      <c r="U3104">
        <v>0.22004699999999999</v>
      </c>
      <c r="V3104">
        <v>-0.1025874</v>
      </c>
      <c r="W3104">
        <v>2.4717969999999999E-2</v>
      </c>
      <c r="X3104">
        <v>0.99441679999999999</v>
      </c>
      <c r="Y3104">
        <v>5.828349E-2</v>
      </c>
      <c r="Z3104">
        <v>-5.5406349999999999E-4</v>
      </c>
      <c r="AA3104">
        <v>0.99829990000000002</v>
      </c>
      <c r="AB3104">
        <v>43</v>
      </c>
      <c r="AC3104">
        <v>-241.52160000000001</v>
      </c>
      <c r="AD3104">
        <v>14.168196999999999</v>
      </c>
      <c r="AE3104">
        <v>17.575699999999902</v>
      </c>
      <c r="AF3104">
        <v>14.104415115311699</v>
      </c>
      <c r="AG3104">
        <v>14.168196999999999</v>
      </c>
      <c r="AH3104">
        <v>240.92162718440099</v>
      </c>
      <c r="AI3104">
        <v>86.640147125047804</v>
      </c>
      <c r="AJ3104">
        <v>86.649524075338405</v>
      </c>
      <c r="AK3104">
        <v>241.749669652629</v>
      </c>
      <c r="AL3104">
        <v>88.583620333154499</v>
      </c>
      <c r="AM3104">
        <v>95.889990249666397</v>
      </c>
      <c r="AN3104">
        <v>0.99999996240095901</v>
      </c>
    </row>
    <row r="3105" spans="1:40" x14ac:dyDescent="0.25">
      <c r="A3105" t="str">
        <f>"20190305135649414"</f>
        <v>20190305135649414</v>
      </c>
      <c r="B3105" t="str">
        <f>"1551765409405777"</f>
        <v>1551765409405777</v>
      </c>
      <c r="C3105" t="s">
        <v>40</v>
      </c>
      <c r="D3105">
        <v>3.865764</v>
      </c>
      <c r="E3105">
        <v>0.54586459999999903</v>
      </c>
      <c r="F3105" t="s">
        <v>66</v>
      </c>
      <c r="G3105">
        <v>-510.17590000000001</v>
      </c>
      <c r="H3105">
        <v>6.5098880000000001</v>
      </c>
      <c r="I3105">
        <v>152.25960000000001</v>
      </c>
      <c r="J3105">
        <v>-270.8689</v>
      </c>
      <c r="K3105">
        <v>1.108403</v>
      </c>
      <c r="L3105">
        <v>141.45670000000001</v>
      </c>
      <c r="M3105">
        <v>-0.99987749999999997</v>
      </c>
      <c r="N3105">
        <v>-7.4216350000000002E-3</v>
      </c>
      <c r="O3105">
        <v>1.3778729999999999E-2</v>
      </c>
      <c r="P3105">
        <v>-0.99585330000000005</v>
      </c>
      <c r="Q3105">
        <v>1.6207590000000001E-2</v>
      </c>
      <c r="R3105">
        <v>-8.9519710000000002E-2</v>
      </c>
      <c r="S3105">
        <v>-3.0232239999999999</v>
      </c>
      <c r="T3105">
        <v>6.8108440000000006E-2</v>
      </c>
      <c r="U3105">
        <v>0.13629150000000001</v>
      </c>
      <c r="V3105">
        <v>-0.10325040000000001</v>
      </c>
      <c r="W3105">
        <v>2.3513360000000001E-2</v>
      </c>
      <c r="X3105">
        <v>0.99437739999999997</v>
      </c>
      <c r="Y3105">
        <v>3.1267219999999998E-2</v>
      </c>
      <c r="Z3105">
        <v>1.765084E-4</v>
      </c>
      <c r="AA3105">
        <v>0.99951109999999999</v>
      </c>
      <c r="AB3105">
        <v>43</v>
      </c>
      <c r="AC3105">
        <v>-239.30699999999999</v>
      </c>
      <c r="AD3105">
        <v>5.4014850000000001</v>
      </c>
      <c r="AE3105">
        <v>10.8028999999999</v>
      </c>
      <c r="AF3105">
        <v>7.5006234290750804</v>
      </c>
      <c r="AG3105">
        <v>5.4014850000000001</v>
      </c>
      <c r="AH3105">
        <v>239.311462193046</v>
      </c>
      <c r="AI3105">
        <v>88.707634266347299</v>
      </c>
      <c r="AJ3105">
        <v>88.204793779181003</v>
      </c>
      <c r="AK3105">
        <v>239.48989817736299</v>
      </c>
      <c r="AL3105">
        <v>88.652659495304903</v>
      </c>
      <c r="AM3105">
        <v>95.928018983629102</v>
      </c>
      <c r="AN3105">
        <v>0.99999996841470395</v>
      </c>
    </row>
    <row r="3106" spans="1:40" x14ac:dyDescent="0.25">
      <c r="A3106" t="str">
        <f>"20190305135649436"</f>
        <v>20190305135649436</v>
      </c>
      <c r="B3106" t="str">
        <f>"1551765409425297"</f>
        <v>1551765409425297</v>
      </c>
      <c r="C3106" t="s">
        <v>40</v>
      </c>
      <c r="D3106">
        <v>4.1751630000000004</v>
      </c>
      <c r="E3106">
        <v>0.54469190000000001</v>
      </c>
      <c r="F3106" t="s">
        <v>66</v>
      </c>
      <c r="G3106">
        <v>-550.16330000000005</v>
      </c>
      <c r="H3106">
        <v>4.2417109999999996</v>
      </c>
      <c r="I3106">
        <v>150.37469999999999</v>
      </c>
      <c r="J3106">
        <v>-271.29649999999998</v>
      </c>
      <c r="K3106">
        <v>1.1084449999999999</v>
      </c>
      <c r="L3106">
        <v>141.4623</v>
      </c>
      <c r="M3106">
        <v>-0.99988299999999997</v>
      </c>
      <c r="N3106">
        <v>-7.4311730000000001E-3</v>
      </c>
      <c r="O3106">
        <v>1.337139E-2</v>
      </c>
      <c r="P3106">
        <v>-0.99574240000000003</v>
      </c>
      <c r="Q3106">
        <v>1.546194E-2</v>
      </c>
      <c r="R3106">
        <v>-9.0873510000000005E-2</v>
      </c>
      <c r="S3106">
        <v>-3.0206300000000001</v>
      </c>
      <c r="T3106">
        <v>3.3887859999999999E-2</v>
      </c>
      <c r="U3106">
        <v>9.6450809999999998E-2</v>
      </c>
      <c r="V3106">
        <v>-0.1041991</v>
      </c>
      <c r="W3106">
        <v>2.2764929999999999E-2</v>
      </c>
      <c r="X3106">
        <v>0.99429590000000001</v>
      </c>
      <c r="Y3106">
        <v>1.8548559999999999E-2</v>
      </c>
      <c r="Z3106">
        <v>2.142216E-4</v>
      </c>
      <c r="AA3106">
        <v>0.99982789999999999</v>
      </c>
      <c r="AB3106">
        <v>44</v>
      </c>
      <c r="AC3106">
        <v>-278.86680000000001</v>
      </c>
      <c r="AD3106">
        <v>3.1332659999999999</v>
      </c>
      <c r="AE3106">
        <v>8.9123999999999892</v>
      </c>
      <c r="AF3106">
        <v>5.1820100163787002</v>
      </c>
      <c r="AG3106">
        <v>3.1332659999999999</v>
      </c>
      <c r="AH3106">
        <v>278.92586611890403</v>
      </c>
      <c r="AI3106">
        <v>89.356515766221804</v>
      </c>
      <c r="AJ3106">
        <v>88.935655719266705</v>
      </c>
      <c r="AK3106">
        <v>278.99159373324699</v>
      </c>
      <c r="AL3106">
        <v>88.695552924029997</v>
      </c>
      <c r="AM3106">
        <v>95.982581233937097</v>
      </c>
      <c r="AN3106">
        <v>1.00000001561776</v>
      </c>
    </row>
    <row r="3107" spans="1:40" x14ac:dyDescent="0.25">
      <c r="A3107" t="str">
        <f>"20190305135649457"</f>
        <v>20190305135649457</v>
      </c>
      <c r="B3107" t="str">
        <f>"1551765409445795"</f>
        <v>1551765409445795</v>
      </c>
      <c r="C3107" t="s">
        <v>40</v>
      </c>
      <c r="D3107">
        <v>3.8503210000000001</v>
      </c>
      <c r="E3107">
        <v>0.54204129999999995</v>
      </c>
      <c r="F3107" t="s">
        <v>47</v>
      </c>
      <c r="G3107">
        <v>0</v>
      </c>
      <c r="H3107">
        <v>0</v>
      </c>
      <c r="I3107">
        <v>0</v>
      </c>
      <c r="J3107">
        <v>-271.70460000000003</v>
      </c>
      <c r="K3107">
        <v>1.1084750000000001</v>
      </c>
      <c r="L3107">
        <v>141.4674</v>
      </c>
      <c r="M3107">
        <v>-0.99988849999999996</v>
      </c>
      <c r="N3107">
        <v>-7.4400400000000002E-3</v>
      </c>
      <c r="O3107">
        <v>1.294879E-2</v>
      </c>
      <c r="P3107">
        <v>-0.99564900000000001</v>
      </c>
      <c r="Q3107">
        <v>1.525339E-2</v>
      </c>
      <c r="R3107">
        <v>-9.1927019999999998E-2</v>
      </c>
      <c r="S3107">
        <v>-3.0199579999999999</v>
      </c>
      <c r="T3107">
        <v>2.699578E-2</v>
      </c>
      <c r="U3107">
        <v>8.3175659999999998E-2</v>
      </c>
      <c r="V3107">
        <v>-0.104833</v>
      </c>
      <c r="W3107">
        <v>2.2554689999999999E-2</v>
      </c>
      <c r="X3107">
        <v>0.99423399999999995</v>
      </c>
      <c r="Y3107">
        <v>1.458664E-2</v>
      </c>
      <c r="Z3107">
        <v>2.011359E-4</v>
      </c>
      <c r="AA3107">
        <v>0.99989360000000005</v>
      </c>
      <c r="AB3107">
        <v>44</v>
      </c>
      <c r="AC3107">
        <v>-3.0199579999999999</v>
      </c>
      <c r="AD3107">
        <v>2.699578E-2</v>
      </c>
      <c r="AE3107">
        <v>8.3175659999999998E-2</v>
      </c>
      <c r="AF3107">
        <v>4.4059284659668803E-2</v>
      </c>
      <c r="AG3107">
        <v>2.699578E-2</v>
      </c>
      <c r="AH3107">
        <v>3.02054066714771</v>
      </c>
      <c r="AI3107">
        <v>89.487992800376603</v>
      </c>
      <c r="AJ3107">
        <v>89.164311187053997</v>
      </c>
      <c r="AK3107">
        <v>3.0209826074632802</v>
      </c>
      <c r="AL3107">
        <v>88.707601809575493</v>
      </c>
      <c r="AM3107">
        <v>96.019082156073793</v>
      </c>
      <c r="AN3107">
        <v>0.99999995934299701</v>
      </c>
    </row>
    <row r="3108" spans="1:40" x14ac:dyDescent="0.25">
      <c r="A3108" t="str">
        <f>"20190305135649478"</f>
        <v>20190305135649478</v>
      </c>
      <c r="B3108" t="str">
        <f>"1551765409476049"</f>
        <v>1551765409476049</v>
      </c>
      <c r="C3108" t="s">
        <v>40</v>
      </c>
      <c r="D3108">
        <v>3.9390839999999998</v>
      </c>
      <c r="E3108">
        <v>0.53906709999999902</v>
      </c>
      <c r="F3108" t="s">
        <v>47</v>
      </c>
      <c r="G3108">
        <v>0</v>
      </c>
      <c r="H3108">
        <v>0</v>
      </c>
      <c r="I3108">
        <v>0</v>
      </c>
      <c r="J3108">
        <v>-272.13780000000003</v>
      </c>
      <c r="K3108">
        <v>1.1085069999999999</v>
      </c>
      <c r="L3108">
        <v>141.4727</v>
      </c>
      <c r="M3108">
        <v>-0.99989450000000002</v>
      </c>
      <c r="N3108">
        <v>-7.4495639999999997E-3</v>
      </c>
      <c r="O3108">
        <v>1.247347E-2</v>
      </c>
      <c r="P3108">
        <v>-0.99553020000000003</v>
      </c>
      <c r="Q3108">
        <v>1.566874E-2</v>
      </c>
      <c r="R3108">
        <v>-9.3133779999999999E-2</v>
      </c>
      <c r="S3108">
        <v>-3.0184630000000001</v>
      </c>
      <c r="T3108">
        <v>9.7343919999999997E-3</v>
      </c>
      <c r="U3108">
        <v>5.9463500000000002E-2</v>
      </c>
      <c r="V3108">
        <v>-0.1055677</v>
      </c>
      <c r="W3108">
        <v>2.296896E-2</v>
      </c>
      <c r="X3108">
        <v>0.9941468</v>
      </c>
      <c r="Y3108">
        <v>7.2239319999999997E-3</v>
      </c>
      <c r="Z3108">
        <v>1.4840160000000001E-4</v>
      </c>
      <c r="AA3108">
        <v>0.99997389999999997</v>
      </c>
      <c r="AB3108">
        <v>44</v>
      </c>
      <c r="AC3108">
        <v>-3.0184630000000001</v>
      </c>
      <c r="AD3108">
        <v>9.7343919999999997E-3</v>
      </c>
      <c r="AE3108">
        <v>5.9463500000000002E-2</v>
      </c>
      <c r="AF3108">
        <v>2.18068962949295E-2</v>
      </c>
      <c r="AG3108">
        <v>9.7343919999999997E-3</v>
      </c>
      <c r="AH3108">
        <v>3.0189385114068399</v>
      </c>
      <c r="AI3108">
        <v>89.815258544413695</v>
      </c>
      <c r="AJ3108">
        <v>89.586138840786802</v>
      </c>
      <c r="AK3108">
        <v>3.0190329635114899</v>
      </c>
      <c r="AL3108">
        <v>88.683859769997099</v>
      </c>
      <c r="AM3108">
        <v>96.061480384648107</v>
      </c>
      <c r="AN3108">
        <v>0.99999998617850505</v>
      </c>
    </row>
    <row r="3109" spans="1:40" x14ac:dyDescent="0.25">
      <c r="A3109" t="str">
        <f>"20190305135649503"</f>
        <v>20190305135649503</v>
      </c>
      <c r="B3109" t="str">
        <f>"1551765409495570"</f>
        <v>1551765409495570</v>
      </c>
      <c r="C3109" t="s">
        <v>40</v>
      </c>
      <c r="D3109">
        <v>3.9579930000000001</v>
      </c>
      <c r="E3109">
        <v>0.53735809999999995</v>
      </c>
      <c r="F3109" t="s">
        <v>82</v>
      </c>
      <c r="G3109">
        <v>-612.08069999999998</v>
      </c>
      <c r="H3109">
        <v>-0.1</v>
      </c>
      <c r="I3109">
        <v>145.1833</v>
      </c>
      <c r="J3109">
        <v>-272.60969999999998</v>
      </c>
      <c r="K3109">
        <v>1.108541</v>
      </c>
      <c r="L3109">
        <v>141.47819999999999</v>
      </c>
      <c r="M3109">
        <v>-0.99990109999999999</v>
      </c>
      <c r="N3109">
        <v>-7.4599519999999997E-3</v>
      </c>
      <c r="O3109">
        <v>1.193548E-2</v>
      </c>
      <c r="P3109">
        <v>-0.99540960000000001</v>
      </c>
      <c r="Q3109">
        <v>1.6076469999999999E-2</v>
      </c>
      <c r="R3109">
        <v>-9.434932E-2</v>
      </c>
      <c r="S3109">
        <v>-3.016724</v>
      </c>
      <c r="T3109">
        <v>-1.0724539999999999E-2</v>
      </c>
      <c r="U3109">
        <v>3.2928470000000001E-2</v>
      </c>
      <c r="V3109">
        <v>-0.10624889999999999</v>
      </c>
      <c r="W3109">
        <v>2.337798E-2</v>
      </c>
      <c r="X3109">
        <v>0.99406470000000002</v>
      </c>
      <c r="Y3109">
        <v>-1.0211039999999999E-3</v>
      </c>
      <c r="Z3109" s="1">
        <v>4.0987990000000001E-5</v>
      </c>
      <c r="AA3109">
        <v>0.99999950000000004</v>
      </c>
      <c r="AB3109">
        <v>44</v>
      </c>
      <c r="AC3109">
        <v>-339.471</v>
      </c>
      <c r="AD3109">
        <v>-1.2085410000000001</v>
      </c>
      <c r="AE3109">
        <v>3.7051000000000101</v>
      </c>
      <c r="AF3109">
        <v>-0.34702096918910302</v>
      </c>
      <c r="AG3109">
        <v>-1.2085410000000001</v>
      </c>
      <c r="AH3109">
        <v>339.48673920535703</v>
      </c>
      <c r="AI3109">
        <v>90.203966641371295</v>
      </c>
      <c r="AJ3109">
        <v>90.058567324480904</v>
      </c>
      <c r="AK3109">
        <v>339.489067704967</v>
      </c>
      <c r="AL3109">
        <v>88.660418364259101</v>
      </c>
      <c r="AM3109">
        <v>96.100799528950503</v>
      </c>
      <c r="AN3109">
        <v>0.99999999324308997</v>
      </c>
    </row>
    <row r="3110" spans="1:40" x14ac:dyDescent="0.25">
      <c r="A3110" t="str">
        <f>"20190305135649523"</f>
        <v>20190305135649523</v>
      </c>
      <c r="B3110" t="str">
        <f>"1551765409515089"</f>
        <v>1551765409515089</v>
      </c>
      <c r="C3110" t="s">
        <v>40</v>
      </c>
      <c r="D3110">
        <v>3.9345919999999999</v>
      </c>
      <c r="E3110">
        <v>0.53610679999999999</v>
      </c>
      <c r="F3110" t="s">
        <v>73</v>
      </c>
      <c r="G3110">
        <v>-424.76760000000002</v>
      </c>
      <c r="H3110" s="1">
        <v>-1.151916E-5</v>
      </c>
      <c r="I3110">
        <v>142.2912</v>
      </c>
      <c r="J3110">
        <v>-273.0299</v>
      </c>
      <c r="K3110">
        <v>1.10856</v>
      </c>
      <c r="L3110">
        <v>141.4829</v>
      </c>
      <c r="M3110">
        <v>-0.99990670000000004</v>
      </c>
      <c r="N3110">
        <v>-7.4691979999999998E-3</v>
      </c>
      <c r="O3110">
        <v>1.1445779999999999E-2</v>
      </c>
      <c r="P3110">
        <v>-0.99522980000000005</v>
      </c>
      <c r="Q3110">
        <v>1.6090699999999999E-2</v>
      </c>
      <c r="R3110">
        <v>-9.6222199999999994E-2</v>
      </c>
      <c r="S3110">
        <v>-3.0157470000000002</v>
      </c>
      <c r="T3110">
        <v>-2.1971339999999999E-2</v>
      </c>
      <c r="U3110">
        <v>1.6113280000000001E-2</v>
      </c>
      <c r="V3110">
        <v>-0.1076343</v>
      </c>
      <c r="W3110">
        <v>2.3392280000000001E-2</v>
      </c>
      <c r="X3110">
        <v>0.99391529999999995</v>
      </c>
      <c r="Y3110">
        <v>-6.1029830000000002E-3</v>
      </c>
      <c r="Z3110" s="1">
        <v>-4.2916110000000001E-5</v>
      </c>
      <c r="AA3110">
        <v>0.99998140000000002</v>
      </c>
      <c r="AB3110">
        <v>44</v>
      </c>
      <c r="AC3110">
        <v>-151.73769999999999</v>
      </c>
      <c r="AD3110">
        <v>-1.1085715191600001</v>
      </c>
      <c r="AE3110">
        <v>0.80830000000000202</v>
      </c>
      <c r="AF3110">
        <v>-0.92850799578407905</v>
      </c>
      <c r="AG3110">
        <v>-1.1085715191600001</v>
      </c>
      <c r="AH3110">
        <v>151.72891338904299</v>
      </c>
      <c r="AI3110">
        <v>90.418602813073505</v>
      </c>
      <c r="AJ3110">
        <v>90.350618245048693</v>
      </c>
      <c r="AK3110">
        <v>151.73580400199199</v>
      </c>
      <c r="AL3110">
        <v>88.659598795996601</v>
      </c>
      <c r="AM3110">
        <v>96.180659161815498</v>
      </c>
      <c r="AN3110">
        <v>0.99999998243708899</v>
      </c>
    </row>
    <row r="3111" spans="1:40" x14ac:dyDescent="0.25">
      <c r="A3111" t="str">
        <f>"20190305135649547"</f>
        <v>20190305135649547</v>
      </c>
      <c r="B3111" t="str">
        <f>"1551765409535589"</f>
        <v>1551765409535589</v>
      </c>
      <c r="C3111" t="s">
        <v>40</v>
      </c>
      <c r="D3111">
        <v>3.9327909999999999</v>
      </c>
      <c r="E3111">
        <v>0.53513880000000003</v>
      </c>
      <c r="F3111" t="s">
        <v>42</v>
      </c>
      <c r="G3111">
        <v>-382.02699999999999</v>
      </c>
      <c r="H3111" s="1">
        <v>-3.9093239999999998E-6</v>
      </c>
      <c r="I3111">
        <v>141.52029999999999</v>
      </c>
      <c r="J3111">
        <v>-273.4726</v>
      </c>
      <c r="K3111">
        <v>1.108581</v>
      </c>
      <c r="L3111">
        <v>141.48759999999999</v>
      </c>
      <c r="M3111">
        <v>-0.99991240000000003</v>
      </c>
      <c r="N3111">
        <v>-7.4789549999999998E-3</v>
      </c>
      <c r="O3111">
        <v>1.092515E-2</v>
      </c>
      <c r="P3111">
        <v>-0.99505909999999997</v>
      </c>
      <c r="Q3111">
        <v>1.5929189999999999E-2</v>
      </c>
      <c r="R3111">
        <v>-9.7998920000000003E-2</v>
      </c>
      <c r="S3111">
        <v>-3.015015</v>
      </c>
      <c r="T3111">
        <v>-3.0664440000000001E-2</v>
      </c>
      <c r="U3111">
        <v>1.037598E-3</v>
      </c>
      <c r="V3111">
        <v>-0.1088924</v>
      </c>
      <c r="W3111">
        <v>2.3232099999999999E-2</v>
      </c>
      <c r="X3111">
        <v>0.99378200000000005</v>
      </c>
      <c r="Y3111">
        <v>-1.0580340000000001E-2</v>
      </c>
      <c r="Z3111">
        <v>-1.2276999999999999E-4</v>
      </c>
      <c r="AA3111">
        <v>0.99994400000000006</v>
      </c>
      <c r="AB3111">
        <v>44</v>
      </c>
      <c r="AC3111">
        <v>-108.5544</v>
      </c>
      <c r="AD3111">
        <v>-1.1085849093239999</v>
      </c>
      <c r="AE3111">
        <v>3.2700000000005502E-2</v>
      </c>
      <c r="AF3111">
        <v>-1.1531878986367401</v>
      </c>
      <c r="AG3111">
        <v>-1.1085849093239999</v>
      </c>
      <c r="AH3111">
        <v>108.53695891156001</v>
      </c>
      <c r="AI3111">
        <v>90.585159599673801</v>
      </c>
      <c r="AJ3111">
        <v>90.608735624710107</v>
      </c>
      <c r="AK3111">
        <v>108.548745974334</v>
      </c>
      <c r="AL3111">
        <v>88.668778918258795</v>
      </c>
      <c r="AM3111">
        <v>96.253165860815002</v>
      </c>
      <c r="AN3111">
        <v>0.99999997438608401</v>
      </c>
    </row>
    <row r="3112" spans="1:40" x14ac:dyDescent="0.25">
      <c r="A3112" t="str">
        <f>"20190305135649568"</f>
        <v>20190305135649568</v>
      </c>
      <c r="B3112" t="str">
        <f>"1551765409565843"</f>
        <v>1551765409565843</v>
      </c>
      <c r="C3112" t="s">
        <v>40</v>
      </c>
      <c r="D3112">
        <v>3.9894759999999998</v>
      </c>
      <c r="E3112">
        <v>0.5340435</v>
      </c>
      <c r="F3112" t="s">
        <v>42</v>
      </c>
      <c r="G3112">
        <v>-362.79059999999998</v>
      </c>
      <c r="H3112" s="1">
        <v>-3.4803899999999999E-6</v>
      </c>
      <c r="I3112">
        <v>141.13939999999999</v>
      </c>
      <c r="J3112">
        <v>-273.89229999999998</v>
      </c>
      <c r="K3112">
        <v>1.1085989999999999</v>
      </c>
      <c r="L3112">
        <v>141.49189999999999</v>
      </c>
      <c r="M3112">
        <v>-0.99991759999999996</v>
      </c>
      <c r="N3112">
        <v>-7.4881790000000002E-3</v>
      </c>
      <c r="O3112">
        <v>1.043007E-2</v>
      </c>
      <c r="P3112">
        <v>-0.99486969999999997</v>
      </c>
      <c r="Q3112">
        <v>1.6318619999999999E-2</v>
      </c>
      <c r="R3112">
        <v>-9.9841650000000004E-2</v>
      </c>
      <c r="S3112">
        <v>-3.014313</v>
      </c>
      <c r="T3112">
        <v>-3.7412639999999997E-2</v>
      </c>
      <c r="U3112">
        <v>-1.1749269999999999E-2</v>
      </c>
      <c r="V3112">
        <v>-0.1102423</v>
      </c>
      <c r="W3112">
        <v>2.3622049999999999E-2</v>
      </c>
      <c r="X3112">
        <v>0.99362399999999995</v>
      </c>
      <c r="Y3112">
        <v>-1.432598E-2</v>
      </c>
      <c r="Z3112">
        <v>-1.938884E-4</v>
      </c>
      <c r="AA3112">
        <v>0.99989740000000005</v>
      </c>
      <c r="AB3112">
        <v>44</v>
      </c>
      <c r="AC3112">
        <v>-88.898300000000006</v>
      </c>
      <c r="AD3112">
        <v>-1.1086024803900001</v>
      </c>
      <c r="AE3112">
        <v>-0.35249999999999199</v>
      </c>
      <c r="AF3112">
        <v>-1.2795233044901499</v>
      </c>
      <c r="AG3112">
        <v>-1.1086024803900001</v>
      </c>
      <c r="AH3112">
        <v>88.875966344000801</v>
      </c>
      <c r="AI3112">
        <v>90.714573032417206</v>
      </c>
      <c r="AJ3112">
        <v>90.824814894354603</v>
      </c>
      <c r="AK3112">
        <v>88.892089484533102</v>
      </c>
      <c r="AL3112">
        <v>88.646430342470396</v>
      </c>
      <c r="AM3112">
        <v>96.331057062130398</v>
      </c>
      <c r="AN3112">
        <v>1.00000000966574</v>
      </c>
    </row>
    <row r="3113" spans="1:40" x14ac:dyDescent="0.25">
      <c r="A3113" t="str">
        <f>"20190305135649592"</f>
        <v>20190305135649592</v>
      </c>
      <c r="B3113" t="str">
        <f>"1551765409585361"</f>
        <v>1551765409585361</v>
      </c>
      <c r="C3113" t="s">
        <v>40</v>
      </c>
      <c r="D3113">
        <v>3.9596079999999998</v>
      </c>
      <c r="E3113">
        <v>0.53351179999999998</v>
      </c>
      <c r="F3113" t="s">
        <v>42</v>
      </c>
      <c r="G3113">
        <v>-349.03969999999998</v>
      </c>
      <c r="H3113" s="1">
        <v>-7.2466209999999997E-7</v>
      </c>
      <c r="I3113">
        <v>140.8579</v>
      </c>
      <c r="J3113">
        <v>-274.35390000000001</v>
      </c>
      <c r="K3113">
        <v>1.108616</v>
      </c>
      <c r="L3113">
        <v>141.49639999999999</v>
      </c>
      <c r="M3113">
        <v>-0.99992309999999995</v>
      </c>
      <c r="N3113">
        <v>-7.4982809999999999E-3</v>
      </c>
      <c r="O3113">
        <v>9.8862329999999995E-3</v>
      </c>
      <c r="P3113">
        <v>-0.99474680000000004</v>
      </c>
      <c r="Q3113">
        <v>1.5625739999999999E-2</v>
      </c>
      <c r="R3113">
        <v>-0.1011658</v>
      </c>
      <c r="S3113">
        <v>-3.0136409999999998</v>
      </c>
      <c r="T3113">
        <v>-4.4458270000000001E-2</v>
      </c>
      <c r="U3113">
        <v>-2.5421139999999998E-2</v>
      </c>
      <c r="V3113">
        <v>-0.11102529999999999</v>
      </c>
      <c r="W3113">
        <v>2.2932729999999998E-2</v>
      </c>
      <c r="X3113">
        <v>0.99355289999999996</v>
      </c>
      <c r="Y3113">
        <v>-1.831754E-2</v>
      </c>
      <c r="Z3113">
        <v>-2.7549310000000001E-4</v>
      </c>
      <c r="AA3113">
        <v>0.99983219999999995</v>
      </c>
      <c r="AB3113">
        <v>44</v>
      </c>
      <c r="AC3113">
        <v>-74.685799999999901</v>
      </c>
      <c r="AD3113">
        <v>-1.1086167246620999</v>
      </c>
      <c r="AE3113">
        <v>-0.63849999999999296</v>
      </c>
      <c r="AF3113">
        <v>-1.37654742947909</v>
      </c>
      <c r="AG3113">
        <v>-1.1086167246620999</v>
      </c>
      <c r="AH3113">
        <v>74.659388365321206</v>
      </c>
      <c r="AI3113">
        <v>90.850577555641905</v>
      </c>
      <c r="AJ3113">
        <v>91.056282729654697</v>
      </c>
      <c r="AK3113">
        <v>74.680306540289905</v>
      </c>
      <c r="AL3113">
        <v>88.685936090530603</v>
      </c>
      <c r="AM3113">
        <v>96.376107132711297</v>
      </c>
      <c r="AN3113">
        <v>0.99999994622187505</v>
      </c>
    </row>
    <row r="3114" spans="1:40" x14ac:dyDescent="0.25">
      <c r="A3114" t="str">
        <f>"20190305135649616"</f>
        <v>20190305135649616</v>
      </c>
      <c r="B3114" t="str">
        <f>"1551765409605857"</f>
        <v>1551765409605857</v>
      </c>
      <c r="C3114" t="s">
        <v>40</v>
      </c>
      <c r="D3114">
        <v>3.970307</v>
      </c>
      <c r="E3114">
        <v>0.53306540000000002</v>
      </c>
      <c r="F3114" t="s">
        <v>42</v>
      </c>
      <c r="G3114">
        <v>-338.59570000000002</v>
      </c>
      <c r="H3114" s="1">
        <v>-9.5601150000000004E-7</v>
      </c>
      <c r="I3114">
        <v>140.78790000000001</v>
      </c>
      <c r="J3114">
        <v>-274.84100000000001</v>
      </c>
      <c r="K3114">
        <v>1.1086339999999999</v>
      </c>
      <c r="L3114">
        <v>141.5008</v>
      </c>
      <c r="M3114">
        <v>-0.9999285</v>
      </c>
      <c r="N3114">
        <v>-7.5087000000000001E-3</v>
      </c>
      <c r="O3114">
        <v>9.314035E-3</v>
      </c>
      <c r="P3114">
        <v>-0.99454319999999896</v>
      </c>
      <c r="Q3114">
        <v>1.4924969999999999E-2</v>
      </c>
      <c r="R3114">
        <v>-0.103254</v>
      </c>
      <c r="S3114">
        <v>-3.013306</v>
      </c>
      <c r="T3114">
        <v>-5.2000400000000002E-2</v>
      </c>
      <c r="U3114">
        <v>-3.3233640000000002E-2</v>
      </c>
      <c r="V3114">
        <v>-0.112543</v>
      </c>
      <c r="W3114">
        <v>2.2233869999999999E-2</v>
      </c>
      <c r="X3114">
        <v>0.99339809999999995</v>
      </c>
      <c r="Y3114">
        <v>-2.0336759999999999E-2</v>
      </c>
      <c r="Z3114">
        <v>-3.426026E-4</v>
      </c>
      <c r="AA3114">
        <v>0.99979309999999999</v>
      </c>
      <c r="AB3114">
        <v>44</v>
      </c>
      <c r="AC3114">
        <v>-63.7547</v>
      </c>
      <c r="AD3114">
        <v>-1.1086349560115001</v>
      </c>
      <c r="AE3114">
        <v>-0.71289999999998999</v>
      </c>
      <c r="AF3114">
        <v>-1.3063043315309</v>
      </c>
      <c r="AG3114">
        <v>-1.1086349560115001</v>
      </c>
      <c r="AH3114">
        <v>63.726027170320599</v>
      </c>
      <c r="AI3114">
        <v>90.996458786457694</v>
      </c>
      <c r="AJ3114">
        <v>91.174327783397402</v>
      </c>
      <c r="AK3114">
        <v>63.749055219545802</v>
      </c>
      <c r="AL3114">
        <v>88.725988141411705</v>
      </c>
      <c r="AM3114">
        <v>96.463533672751794</v>
      </c>
      <c r="AN3114">
        <v>1.0000000284538899</v>
      </c>
    </row>
    <row r="3115" spans="1:40" x14ac:dyDescent="0.25">
      <c r="A3115" t="str">
        <f>"20190305135649636"</f>
        <v>20190305135649636</v>
      </c>
      <c r="B3115" t="str">
        <f>"1551765409625378"</f>
        <v>1551765409625378</v>
      </c>
      <c r="C3115" t="s">
        <v>40</v>
      </c>
      <c r="D3115">
        <v>4.0262880000000001</v>
      </c>
      <c r="E3115">
        <v>0.53280329999999998</v>
      </c>
      <c r="F3115" t="s">
        <v>42</v>
      </c>
      <c r="G3115">
        <v>-330.61110000000002</v>
      </c>
      <c r="H3115" s="1">
        <v>-4.6710919999999998E-6</v>
      </c>
      <c r="I3115">
        <v>140.71279999999999</v>
      </c>
      <c r="J3115">
        <v>-275.23989999999998</v>
      </c>
      <c r="K3115">
        <v>1.1086419999999999</v>
      </c>
      <c r="L3115">
        <v>141.5042</v>
      </c>
      <c r="M3115">
        <v>-0.99993259999999995</v>
      </c>
      <c r="N3115">
        <v>-7.5173100000000001E-3</v>
      </c>
      <c r="O3115">
        <v>8.8458519999999995E-3</v>
      </c>
      <c r="P3115">
        <v>-0.99432989999999999</v>
      </c>
      <c r="Q3115">
        <v>1.433077E-2</v>
      </c>
      <c r="R3115">
        <v>-0.1053694</v>
      </c>
      <c r="S3115">
        <v>-3.0129389999999998</v>
      </c>
      <c r="T3115">
        <v>-5.9893370000000001E-2</v>
      </c>
      <c r="U3115">
        <v>-4.2572020000000002E-2</v>
      </c>
      <c r="V3115">
        <v>-0.114190899999999</v>
      </c>
      <c r="W3115">
        <v>2.1641299999999999E-2</v>
      </c>
      <c r="X3115">
        <v>0.99322310000000003</v>
      </c>
      <c r="Y3115">
        <v>-2.296606E-2</v>
      </c>
      <c r="Z3115">
        <v>-4.2390169999999999E-4</v>
      </c>
      <c r="AA3115">
        <v>0.99973610000000002</v>
      </c>
      <c r="AB3115">
        <v>44</v>
      </c>
      <c r="AC3115">
        <v>-55.371200000000002</v>
      </c>
      <c r="AD3115">
        <v>-1.108646671092</v>
      </c>
      <c r="AE3115">
        <v>-0.79140000000000998</v>
      </c>
      <c r="AF3115">
        <v>-1.2806750267415501</v>
      </c>
      <c r="AG3115">
        <v>-1.108646671092</v>
      </c>
      <c r="AH3115">
        <v>55.339852340582702</v>
      </c>
      <c r="AI3115">
        <v>91.147369953419798</v>
      </c>
      <c r="AJ3115">
        <v>91.325702471945405</v>
      </c>
      <c r="AK3115">
        <v>55.365769958006901</v>
      </c>
      <c r="AL3115">
        <v>88.759948059452</v>
      </c>
      <c r="AM3115">
        <v>96.558502245157001</v>
      </c>
      <c r="AN3115">
        <v>1.0000000169410499</v>
      </c>
    </row>
    <row r="3116" spans="1:40" x14ac:dyDescent="0.25">
      <c r="A3116" t="str">
        <f>"20190305135649657"</f>
        <v>20190305135649657</v>
      </c>
      <c r="B3116" t="str">
        <f>"1551765409655634"</f>
        <v>1551765409655634</v>
      </c>
      <c r="C3116" t="s">
        <v>40</v>
      </c>
      <c r="D3116">
        <v>4.066821</v>
      </c>
      <c r="E3116">
        <v>0.5325143</v>
      </c>
      <c r="F3116" t="s">
        <v>42</v>
      </c>
      <c r="G3116">
        <v>-325.04829999999998</v>
      </c>
      <c r="H3116" s="1">
        <v>-2.3869029999999998E-6</v>
      </c>
      <c r="I3116">
        <v>140.66990000000001</v>
      </c>
      <c r="J3116">
        <v>-275.66680000000002</v>
      </c>
      <c r="K3116">
        <v>1.1086530000000001</v>
      </c>
      <c r="L3116">
        <v>141.5077</v>
      </c>
      <c r="M3116">
        <v>-0.99993690000000002</v>
      </c>
      <c r="N3116">
        <v>-7.52654E-3</v>
      </c>
      <c r="O3116">
        <v>8.3445989999999994E-3</v>
      </c>
      <c r="P3116">
        <v>-0.99421329999999997</v>
      </c>
      <c r="Q3116">
        <v>1.400034E-2</v>
      </c>
      <c r="R3116">
        <v>-0.1065079</v>
      </c>
      <c r="S3116">
        <v>-3.0126650000000001</v>
      </c>
      <c r="T3116">
        <v>-6.7056539999999998E-2</v>
      </c>
      <c r="U3116">
        <v>-5.0460820000000003E-2</v>
      </c>
      <c r="V3116">
        <v>-0.1148306</v>
      </c>
      <c r="W3116">
        <v>2.1316169999999999E-2</v>
      </c>
      <c r="X3116">
        <v>0.99315640000000005</v>
      </c>
      <c r="Y3116">
        <v>-2.5081079999999999E-2</v>
      </c>
      <c r="Z3116">
        <v>-4.9639110000000003E-4</v>
      </c>
      <c r="AA3116">
        <v>0.9996853</v>
      </c>
      <c r="AB3116">
        <v>44</v>
      </c>
      <c r="AC3116">
        <v>-49.381499999999903</v>
      </c>
      <c r="AD3116">
        <v>-1.108655386903</v>
      </c>
      <c r="AE3116">
        <v>-0.837799999999987</v>
      </c>
      <c r="AF3116">
        <v>-1.2492218229599401</v>
      </c>
      <c r="AG3116">
        <v>-1.108655386903</v>
      </c>
      <c r="AH3116">
        <v>49.347923149623099</v>
      </c>
      <c r="AI3116">
        <v>91.286584192074997</v>
      </c>
      <c r="AJ3116">
        <v>91.450108744732105</v>
      </c>
      <c r="AK3116">
        <v>49.376180402203801</v>
      </c>
      <c r="AL3116">
        <v>88.778580963088402</v>
      </c>
      <c r="AM3116">
        <v>96.595359367747804</v>
      </c>
      <c r="AN3116">
        <v>1.0000000403303899</v>
      </c>
    </row>
    <row r="3117" spans="1:40" x14ac:dyDescent="0.25">
      <c r="A3117" t="str">
        <f>"20190305135649681"</f>
        <v>20190305135649681</v>
      </c>
      <c r="B3117" t="str">
        <f>"1551765409675153"</f>
        <v>1551765409675153</v>
      </c>
      <c r="C3117" t="s">
        <v>40</v>
      </c>
      <c r="D3117">
        <v>4.0600480000000001</v>
      </c>
      <c r="E3117">
        <v>0.53232380000000001</v>
      </c>
      <c r="F3117" t="s">
        <v>42</v>
      </c>
      <c r="G3117">
        <v>-320.21159999999998</v>
      </c>
      <c r="H3117" s="1">
        <v>-4.3936620000000002E-6</v>
      </c>
      <c r="I3117">
        <v>140.68549999999999</v>
      </c>
      <c r="J3117">
        <v>-276.11860000000001</v>
      </c>
      <c r="K3117">
        <v>1.10866</v>
      </c>
      <c r="L3117">
        <v>141.5111</v>
      </c>
      <c r="M3117">
        <v>-0.99994110000000003</v>
      </c>
      <c r="N3117">
        <v>-7.5363519999999996E-3</v>
      </c>
      <c r="O3117">
        <v>7.8135589999999994E-3</v>
      </c>
      <c r="P3117">
        <v>-0.99406859999999997</v>
      </c>
      <c r="Q3117">
        <v>1.46391E-2</v>
      </c>
      <c r="R3117">
        <v>-0.10776620000000001</v>
      </c>
      <c r="S3117">
        <v>-3.0125730000000002</v>
      </c>
      <c r="T3117">
        <v>-7.4978829999999996E-2</v>
      </c>
      <c r="U3117">
        <v>-5.5603029999999998E-2</v>
      </c>
      <c r="V3117">
        <v>-0.115561999999999</v>
      </c>
      <c r="W3117">
        <v>2.195975E-2</v>
      </c>
      <c r="X3117">
        <v>0.99305750000000004</v>
      </c>
      <c r="Y3117">
        <v>-2.6253970000000001E-2</v>
      </c>
      <c r="Z3117">
        <v>-5.6114330000000005E-4</v>
      </c>
      <c r="AA3117">
        <v>0.99965510000000002</v>
      </c>
      <c r="AB3117">
        <v>45</v>
      </c>
      <c r="AC3117">
        <v>-44.092999999999897</v>
      </c>
      <c r="AD3117">
        <v>-1.108664393662</v>
      </c>
      <c r="AE3117">
        <v>-0.82560000000000799</v>
      </c>
      <c r="AF3117">
        <v>-1.16936880162652</v>
      </c>
      <c r="AG3117">
        <v>-1.108664393662</v>
      </c>
      <c r="AH3117">
        <v>44.057359157423399</v>
      </c>
      <c r="AI3117">
        <v>91.440986026301303</v>
      </c>
      <c r="AJ3117">
        <v>91.520385508495593</v>
      </c>
      <c r="AK3117">
        <v>44.086817259337202</v>
      </c>
      <c r="AL3117">
        <v>88.741697863047804</v>
      </c>
      <c r="AM3117">
        <v>96.637649212280706</v>
      </c>
      <c r="AN3117">
        <v>1.0000000023851501</v>
      </c>
    </row>
    <row r="3118" spans="1:40" x14ac:dyDescent="0.25">
      <c r="A3118" t="str">
        <f>"20190305135649703"</f>
        <v>20190305135649703</v>
      </c>
      <c r="B3118" t="str">
        <f>"1551765409695650"</f>
        <v>1551765409695650</v>
      </c>
      <c r="C3118" t="s">
        <v>40</v>
      </c>
      <c r="D3118">
        <v>4.0698600000000003</v>
      </c>
      <c r="E3118">
        <v>0.53217230000000004</v>
      </c>
      <c r="F3118" t="s">
        <v>42</v>
      </c>
      <c r="G3118">
        <v>-320.07089999999999</v>
      </c>
      <c r="H3118" s="1">
        <v>-4.4315319999999999E-6</v>
      </c>
      <c r="I3118">
        <v>140.62899999999999</v>
      </c>
      <c r="J3118">
        <v>-276.57889999999998</v>
      </c>
      <c r="K3118">
        <v>1.1086720000000001</v>
      </c>
      <c r="L3118">
        <v>141.51429999999999</v>
      </c>
      <c r="M3118">
        <v>-0.99994499999999997</v>
      </c>
      <c r="N3118">
        <v>-7.5463600000000002E-3</v>
      </c>
      <c r="O3118">
        <v>7.2722840000000004E-3</v>
      </c>
      <c r="P3118">
        <v>-0.99377530000000003</v>
      </c>
      <c r="Q3118">
        <v>1.6382250000000001E-2</v>
      </c>
      <c r="R3118">
        <v>-0.1101925</v>
      </c>
      <c r="S3118">
        <v>-3.012451</v>
      </c>
      <c r="T3118">
        <v>-7.5987100000000002E-2</v>
      </c>
      <c r="U3118">
        <v>-6.045532E-2</v>
      </c>
      <c r="V3118">
        <v>-0.11745120000000001</v>
      </c>
      <c r="W3118">
        <v>2.370595E-2</v>
      </c>
      <c r="X3118">
        <v>0.9927956</v>
      </c>
      <c r="Y3118">
        <v>-2.7322519999999999E-2</v>
      </c>
      <c r="Z3118">
        <v>-5.7615809999999896E-4</v>
      </c>
      <c r="AA3118">
        <v>0.99962649999999997</v>
      </c>
      <c r="AB3118">
        <v>45</v>
      </c>
      <c r="AC3118">
        <v>-43.491999999999997</v>
      </c>
      <c r="AD3118">
        <v>-1.1086764315319999</v>
      </c>
      <c r="AE3118">
        <v>-0.88529999999999998</v>
      </c>
      <c r="AF3118">
        <v>-1.2007918247074401</v>
      </c>
      <c r="AG3118">
        <v>-1.1086764315319999</v>
      </c>
      <c r="AH3118">
        <v>43.456184661698998</v>
      </c>
      <c r="AI3118">
        <v>91.460884862968598</v>
      </c>
      <c r="AJ3118">
        <v>91.582808098993695</v>
      </c>
      <c r="AK3118">
        <v>43.486906647723302</v>
      </c>
      <c r="AL3118">
        <v>88.641621771738102</v>
      </c>
      <c r="AM3118">
        <v>96.746932147268197</v>
      </c>
      <c r="AN3118">
        <v>0.99999992991309805</v>
      </c>
    </row>
    <row r="3119" spans="1:40" x14ac:dyDescent="0.25">
      <c r="A3119" t="str">
        <f>"20190305135649736"</f>
        <v>20190305135649736</v>
      </c>
      <c r="B3119" t="str">
        <f>"1551765409725905"</f>
        <v>1551765409725905</v>
      </c>
      <c r="C3119" t="s">
        <v>40</v>
      </c>
      <c r="D3119">
        <v>4.0752259999999998</v>
      </c>
      <c r="E3119">
        <v>0.53207139999999997</v>
      </c>
      <c r="F3119" t="s">
        <v>42</v>
      </c>
      <c r="G3119">
        <v>-322.16539999999998</v>
      </c>
      <c r="H3119" s="1">
        <v>-3.5733839999999999E-6</v>
      </c>
      <c r="I3119">
        <v>140.48099999999999</v>
      </c>
      <c r="J3119">
        <v>-277.23939999999999</v>
      </c>
      <c r="K3119">
        <v>1.1086780000000001</v>
      </c>
      <c r="L3119">
        <v>141.51849999999999</v>
      </c>
      <c r="M3119">
        <v>-0.99995040000000002</v>
      </c>
      <c r="N3119">
        <v>-7.5607490000000003E-3</v>
      </c>
      <c r="O3119">
        <v>6.495303E-3</v>
      </c>
      <c r="P3119">
        <v>-0.99336259999999998</v>
      </c>
      <c r="Q3119">
        <v>1.7459659999999998E-2</v>
      </c>
      <c r="R3119">
        <v>-0.1136925</v>
      </c>
      <c r="S3119">
        <v>-3.0124209999999998</v>
      </c>
      <c r="T3119">
        <v>-7.3263049999999996E-2</v>
      </c>
      <c r="U3119">
        <v>-6.8283079999999996E-2</v>
      </c>
      <c r="V3119">
        <v>-0.1201787</v>
      </c>
      <c r="W3119">
        <v>2.478853E-2</v>
      </c>
      <c r="X3119">
        <v>0.99244270000000001</v>
      </c>
      <c r="Y3119">
        <v>-2.9142499999999998E-2</v>
      </c>
      <c r="Z3119">
        <v>-5.7331459999999999E-4</v>
      </c>
      <c r="AA3119">
        <v>0.99957510000000005</v>
      </c>
      <c r="AB3119">
        <v>45</v>
      </c>
      <c r="AC3119">
        <v>-44.925999999999902</v>
      </c>
      <c r="AD3119">
        <v>-1.1086815733840001</v>
      </c>
      <c r="AE3119">
        <v>-1.0374999999999901</v>
      </c>
      <c r="AF3119">
        <v>-1.32848579550279</v>
      </c>
      <c r="AG3119">
        <v>-1.1086815733840001</v>
      </c>
      <c r="AH3119">
        <v>44.8909890820917</v>
      </c>
      <c r="AI3119">
        <v>91.414138670322501</v>
      </c>
      <c r="AJ3119">
        <v>91.695093424156696</v>
      </c>
      <c r="AK3119">
        <v>44.924324703978499</v>
      </c>
      <c r="AL3119">
        <v>88.579576288851698</v>
      </c>
      <c r="AM3119">
        <v>96.904548280084498</v>
      </c>
      <c r="AN3119">
        <v>0.99999995196826896</v>
      </c>
    </row>
    <row r="3120" spans="1:40" x14ac:dyDescent="0.25">
      <c r="A3120" t="str">
        <f>"20190305135649758"</f>
        <v>20190305135649758</v>
      </c>
      <c r="B3120" t="str">
        <f>"1551765409755186"</f>
        <v>1551765409755186</v>
      </c>
      <c r="C3120" t="s">
        <v>40</v>
      </c>
      <c r="D3120">
        <v>4.1237000000000004</v>
      </c>
      <c r="E3120">
        <v>0.53208900000000003</v>
      </c>
      <c r="F3120" t="s">
        <v>42</v>
      </c>
      <c r="G3120">
        <v>-322.87650000000002</v>
      </c>
      <c r="H3120" s="1">
        <v>-3.225741E-6</v>
      </c>
      <c r="I3120">
        <v>140.321</v>
      </c>
      <c r="J3120">
        <v>-277.67250000000001</v>
      </c>
      <c r="K3120">
        <v>1.1086819999999999</v>
      </c>
      <c r="L3120">
        <v>141.52099999999999</v>
      </c>
      <c r="M3120">
        <v>-0.99995339999999999</v>
      </c>
      <c r="N3120">
        <v>-7.5702019999999998E-3</v>
      </c>
      <c r="O3120">
        <v>5.9856550000000003E-3</v>
      </c>
      <c r="P3120">
        <v>-0.99306479999999997</v>
      </c>
      <c r="Q3120">
        <v>1.8406659999999998E-2</v>
      </c>
      <c r="R3120">
        <v>-0.11612</v>
      </c>
      <c r="S3120">
        <v>-3.0122990000000001</v>
      </c>
      <c r="T3120">
        <v>-7.3179129999999995E-2</v>
      </c>
      <c r="U3120">
        <v>-7.9040529999999998E-2</v>
      </c>
      <c r="V3120">
        <v>-0.12210020000000001</v>
      </c>
      <c r="W3120">
        <v>2.5738560000000001E-2</v>
      </c>
      <c r="X3120">
        <v>0.99218399999999995</v>
      </c>
      <c r="Y3120">
        <v>-3.2200260000000001E-2</v>
      </c>
      <c r="Z3120">
        <v>-6.1299800000000002E-4</v>
      </c>
      <c r="AA3120">
        <v>0.99948130000000002</v>
      </c>
      <c r="AB3120">
        <v>45</v>
      </c>
      <c r="AC3120">
        <v>-45.204000000000001</v>
      </c>
      <c r="AD3120">
        <v>-1.108685225741</v>
      </c>
      <c r="AE3120">
        <v>-1.2000000000000099</v>
      </c>
      <c r="AF3120">
        <v>-1.46967836786893</v>
      </c>
      <c r="AG3120">
        <v>-1.108685225741</v>
      </c>
      <c r="AH3120">
        <v>45.168855536723598</v>
      </c>
      <c r="AI3120">
        <v>91.405319054924306</v>
      </c>
      <c r="AJ3120">
        <v>91.863599810054694</v>
      </c>
      <c r="AK3120">
        <v>45.206356277985599</v>
      </c>
      <c r="AL3120">
        <v>88.525126282909397</v>
      </c>
      <c r="AM3120">
        <v>97.015662464259805</v>
      </c>
      <c r="AN3120">
        <v>1.0000000110834499</v>
      </c>
    </row>
    <row r="3121" spans="1:40" x14ac:dyDescent="0.25">
      <c r="A3121" t="str">
        <f>"20190305135649782"</f>
        <v>20190305135649782</v>
      </c>
      <c r="B3121" t="str">
        <f>"1551765409775682"</f>
        <v>1551765409775682</v>
      </c>
      <c r="C3121" t="s">
        <v>40</v>
      </c>
      <c r="D3121">
        <v>4.1403449999999999</v>
      </c>
      <c r="E3121">
        <v>0.53226790000000002</v>
      </c>
      <c r="F3121" t="s">
        <v>42</v>
      </c>
      <c r="G3121">
        <v>-323.815</v>
      </c>
      <c r="H3121" s="1">
        <v>-2.7924539999999999E-6</v>
      </c>
      <c r="I3121">
        <v>140.20570000000001</v>
      </c>
      <c r="J3121">
        <v>-278.1508</v>
      </c>
      <c r="K3121">
        <v>1.108671</v>
      </c>
      <c r="L3121">
        <v>141.52350000000001</v>
      </c>
      <c r="M3121">
        <v>-0.99995670000000003</v>
      </c>
      <c r="N3121">
        <v>-7.5806800000000002E-3</v>
      </c>
      <c r="O3121">
        <v>5.4225990000000002E-3</v>
      </c>
      <c r="P3121">
        <v>-0.99275780000000002</v>
      </c>
      <c r="Q3121">
        <v>1.7791189999999998E-2</v>
      </c>
      <c r="R3121">
        <v>-0.1188109</v>
      </c>
      <c r="S3121">
        <v>-3.012238</v>
      </c>
      <c r="T3121">
        <v>-7.2376250000000003E-2</v>
      </c>
      <c r="U3121">
        <v>-8.5861209999999993E-2</v>
      </c>
      <c r="V3121">
        <v>-0.1242299</v>
      </c>
      <c r="W3121">
        <v>2.512698E-2</v>
      </c>
      <c r="X3121">
        <v>0.99193529999999996</v>
      </c>
      <c r="Y3121">
        <v>-3.389909E-2</v>
      </c>
      <c r="Z3121">
        <v>-6.2480689999999998E-4</v>
      </c>
      <c r="AA3121">
        <v>0.99942509999999996</v>
      </c>
      <c r="AB3121">
        <v>45</v>
      </c>
      <c r="AC3121">
        <v>-45.664200000000001</v>
      </c>
      <c r="AD3121">
        <v>-1.108673792454</v>
      </c>
      <c r="AE3121">
        <v>-1.3178000000000001</v>
      </c>
      <c r="AF3121">
        <v>-1.56448491361314</v>
      </c>
      <c r="AG3121">
        <v>-1.108673792454</v>
      </c>
      <c r="AH3121">
        <v>45.629508000757703</v>
      </c>
      <c r="AI3121">
        <v>91.3910417454004</v>
      </c>
      <c r="AJ3121">
        <v>91.963713520640297</v>
      </c>
      <c r="AK3121">
        <v>45.669779625198601</v>
      </c>
      <c r="AL3121">
        <v>88.560178610388704</v>
      </c>
      <c r="AM3121">
        <v>97.1385510047959</v>
      </c>
      <c r="AN3121">
        <v>1.0000000362820001</v>
      </c>
    </row>
    <row r="3122" spans="1:40" x14ac:dyDescent="0.25">
      <c r="A3122" t="str">
        <f>"20190305135649804"</f>
        <v>20190305135649804</v>
      </c>
      <c r="B3122" t="str">
        <f>"1551765409795202"</f>
        <v>1551765409795202</v>
      </c>
      <c r="C3122" t="s">
        <v>40</v>
      </c>
      <c r="D3122">
        <v>4.0754359999999998</v>
      </c>
      <c r="E3122">
        <v>0.53263890000000003</v>
      </c>
      <c r="F3122" t="s">
        <v>42</v>
      </c>
      <c r="G3122">
        <v>-322.4631</v>
      </c>
      <c r="H3122" s="1">
        <v>-3.361433E-6</v>
      </c>
      <c r="I3122">
        <v>140.1645</v>
      </c>
      <c r="J3122">
        <v>-278.61689999999999</v>
      </c>
      <c r="K3122">
        <v>1.108668</v>
      </c>
      <c r="L3122">
        <v>141.5257</v>
      </c>
      <c r="M3122">
        <v>-0.9999593</v>
      </c>
      <c r="N3122">
        <v>-7.5907609999999997E-3</v>
      </c>
      <c r="O3122">
        <v>4.8741560000000001E-3</v>
      </c>
      <c r="P3122">
        <v>-0.9925041</v>
      </c>
      <c r="Q3122">
        <v>1.6370780000000001E-2</v>
      </c>
      <c r="R3122">
        <v>-0.1211097</v>
      </c>
      <c r="S3122">
        <v>-3.0121769999999999</v>
      </c>
      <c r="T3122">
        <v>-7.53633999999999E-2</v>
      </c>
      <c r="U3122">
        <v>-9.2376710000000001E-2</v>
      </c>
      <c r="V3122">
        <v>-0.12598129999999999</v>
      </c>
      <c r="W3122">
        <v>2.3711670000000001E-2</v>
      </c>
      <c r="X3122">
        <v>0.9917492</v>
      </c>
      <c r="Y3122">
        <v>-3.5509779999999998E-2</v>
      </c>
      <c r="Z3122">
        <v>-6.6379809999999998E-4</v>
      </c>
      <c r="AA3122">
        <v>0.99936910000000001</v>
      </c>
      <c r="AB3122">
        <v>45</v>
      </c>
      <c r="AC3122">
        <v>-43.846200000000003</v>
      </c>
      <c r="AD3122">
        <v>-1.1086713614329999</v>
      </c>
      <c r="AE3122">
        <v>-1.36119999999999</v>
      </c>
      <c r="AF3122">
        <v>-1.5738978982496901</v>
      </c>
      <c r="AG3122">
        <v>-1.1086713614329999</v>
      </c>
      <c r="AH3122">
        <v>43.811060409766696</v>
      </c>
      <c r="AI3122">
        <v>91.448668682322506</v>
      </c>
      <c r="AJ3122">
        <v>92.057447188383094</v>
      </c>
      <c r="AK3122">
        <v>43.8533387669628</v>
      </c>
      <c r="AL3122">
        <v>88.641294047671195</v>
      </c>
      <c r="AM3122">
        <v>97.239474469350498</v>
      </c>
      <c r="AN3122">
        <v>1.00000000347225</v>
      </c>
    </row>
    <row r="3123" spans="1:40" x14ac:dyDescent="0.25">
      <c r="A3123" t="str">
        <f>"20190305135649827"</f>
        <v>20190305135649827</v>
      </c>
      <c r="B3123" t="str">
        <f>"1551765409815698"</f>
        <v>1551765409815698</v>
      </c>
      <c r="C3123" t="s">
        <v>40</v>
      </c>
      <c r="D3123">
        <v>4.1242900000000002</v>
      </c>
      <c r="E3123">
        <v>0.53279600000000005</v>
      </c>
      <c r="F3123" t="s">
        <v>73</v>
      </c>
      <c r="G3123">
        <v>-319.61270000000002</v>
      </c>
      <c r="H3123" s="1">
        <v>-5.6979819999999901E-6</v>
      </c>
      <c r="I3123">
        <v>140.2149</v>
      </c>
      <c r="J3123">
        <v>-279.06150000000002</v>
      </c>
      <c r="K3123">
        <v>1.10867</v>
      </c>
      <c r="L3123">
        <v>141.5275</v>
      </c>
      <c r="M3123">
        <v>-0.99996169999999995</v>
      </c>
      <c r="N3123">
        <v>-7.6003729999999997E-3</v>
      </c>
      <c r="O3123">
        <v>4.3508150000000001E-3</v>
      </c>
      <c r="P3123">
        <v>-0.99222359999999998</v>
      </c>
      <c r="Q3123">
        <v>1.5975079999999999E-2</v>
      </c>
      <c r="R3123">
        <v>-0.12344049999999999</v>
      </c>
      <c r="S3123">
        <v>-3.012238</v>
      </c>
      <c r="T3123">
        <v>-8.146167E-2</v>
      </c>
      <c r="U3123">
        <v>-9.6313480000000007E-2</v>
      </c>
      <c r="V3123">
        <v>-0.1277915</v>
      </c>
      <c r="W3123">
        <v>2.3319820000000002E-2</v>
      </c>
      <c r="X3123">
        <v>0.99152680000000004</v>
      </c>
      <c r="Y3123">
        <v>-3.6288349999999997E-2</v>
      </c>
      <c r="Z3123">
        <v>-7.1299709999999997E-4</v>
      </c>
      <c r="AA3123">
        <v>0.99934109999999998</v>
      </c>
      <c r="AB3123">
        <v>45</v>
      </c>
      <c r="AC3123">
        <v>-40.551200000000001</v>
      </c>
      <c r="AD3123">
        <v>-1.1086756979820001</v>
      </c>
      <c r="AE3123">
        <v>-1.3126</v>
      </c>
      <c r="AF3123">
        <v>-1.48791240651056</v>
      </c>
      <c r="AG3123">
        <v>-1.1086756979820001</v>
      </c>
      <c r="AH3123">
        <v>40.514852634248903</v>
      </c>
      <c r="AI3123">
        <v>91.566433627598499</v>
      </c>
      <c r="AJ3123">
        <v>92.103248552398497</v>
      </c>
      <c r="AK3123">
        <v>40.557321522847701</v>
      </c>
      <c r="AL3123">
        <v>88.663751522099105</v>
      </c>
      <c r="AM3123">
        <v>97.343998738602593</v>
      </c>
      <c r="AN3123">
        <v>0.99999993829765899</v>
      </c>
    </row>
    <row r="3124" spans="1:40" x14ac:dyDescent="0.25">
      <c r="A3124" t="str">
        <f>"20190305135649847"</f>
        <v>20190305135649847</v>
      </c>
      <c r="B3124" t="str">
        <f>"1551765409835218"</f>
        <v>1551765409835218</v>
      </c>
      <c r="C3124" t="s">
        <v>40</v>
      </c>
      <c r="D3124">
        <v>4.152984</v>
      </c>
      <c r="E3124">
        <v>0.53289989999999998</v>
      </c>
      <c r="F3124" t="s">
        <v>73</v>
      </c>
      <c r="G3124">
        <v>-315.41059999999999</v>
      </c>
      <c r="H3124" s="1">
        <v>-7.5846719999999996E-6</v>
      </c>
      <c r="I3124">
        <v>140.30289999999999</v>
      </c>
      <c r="J3124">
        <v>-279.47410000000002</v>
      </c>
      <c r="K3124">
        <v>1.108673</v>
      </c>
      <c r="L3124">
        <v>141.529</v>
      </c>
      <c r="M3124">
        <v>-0.99996370000000001</v>
      </c>
      <c r="N3124">
        <v>-7.6094819999999999E-3</v>
      </c>
      <c r="O3124">
        <v>3.86521E-3</v>
      </c>
      <c r="P3124">
        <v>-0.99197369999999996</v>
      </c>
      <c r="Q3124">
        <v>1.59785E-2</v>
      </c>
      <c r="R3124">
        <v>-0.12543219999999999</v>
      </c>
      <c r="S3124">
        <v>-3.0123600000000001</v>
      </c>
      <c r="T3124">
        <v>-9.1879370000000002E-2</v>
      </c>
      <c r="U3124">
        <v>-0.1014862</v>
      </c>
      <c r="V3124">
        <v>-0.12930050000000001</v>
      </c>
      <c r="W3124">
        <v>2.3327919999999999E-2</v>
      </c>
      <c r="X3124">
        <v>0.99133099999999996</v>
      </c>
      <c r="Y3124">
        <v>-3.7510920000000003E-2</v>
      </c>
      <c r="Z3124">
        <v>-8.0299850000000003E-4</v>
      </c>
      <c r="AA3124">
        <v>0.99929590000000001</v>
      </c>
      <c r="AB3124">
        <v>45</v>
      </c>
      <c r="AC3124">
        <v>-35.936499999999903</v>
      </c>
      <c r="AD3124">
        <v>-1.108680584672</v>
      </c>
      <c r="AE3124">
        <v>-1.2261</v>
      </c>
      <c r="AF3124">
        <v>-1.36370051643912</v>
      </c>
      <c r="AG3124">
        <v>-1.108680584672</v>
      </c>
      <c r="AH3124">
        <v>35.897365227948903</v>
      </c>
      <c r="AI3124">
        <v>91.767728318668901</v>
      </c>
      <c r="AJ3124">
        <v>92.1755560473798</v>
      </c>
      <c r="AK3124">
        <v>35.940362853567898</v>
      </c>
      <c r="AL3124">
        <v>88.663287357537797</v>
      </c>
      <c r="AM3124">
        <v>97.4312065953564</v>
      </c>
      <c r="AN3124">
        <v>0.99999998135638801</v>
      </c>
    </row>
    <row r="3125" spans="1:40" x14ac:dyDescent="0.25">
      <c r="A3125" t="str">
        <f>"20190305135649871"</f>
        <v>20190305135649871</v>
      </c>
      <c r="B3125" t="str">
        <f>"1551765409865474"</f>
        <v>1551765409865474</v>
      </c>
      <c r="C3125" t="s">
        <v>40</v>
      </c>
      <c r="D3125">
        <v>4.1212369999999998</v>
      </c>
      <c r="E3125">
        <v>0.5381437</v>
      </c>
      <c r="F3125" t="s">
        <v>73</v>
      </c>
      <c r="G3125">
        <v>-312.68079999999998</v>
      </c>
      <c r="H3125" s="1">
        <v>-8.6573529999999992E-6</v>
      </c>
      <c r="I3125">
        <v>140.3587</v>
      </c>
      <c r="J3125">
        <v>-279.94159999999999</v>
      </c>
      <c r="K3125">
        <v>1.108676</v>
      </c>
      <c r="L3125">
        <v>141.53049999999999</v>
      </c>
      <c r="M3125">
        <v>-0.99996549999999995</v>
      </c>
      <c r="N3125">
        <v>-7.6200259999999898E-3</v>
      </c>
      <c r="O3125">
        <v>3.316056E-3</v>
      </c>
      <c r="P3125">
        <v>-0.99177400000000004</v>
      </c>
      <c r="Q3125">
        <v>1.533282E-2</v>
      </c>
      <c r="R3125">
        <v>-0.12708059999999999</v>
      </c>
      <c r="S3125">
        <v>-3.0124819999999999</v>
      </c>
      <c r="T3125">
        <v>-0.1005785</v>
      </c>
      <c r="U3125">
        <v>-0.10617070000000001</v>
      </c>
      <c r="V3125">
        <v>-0.1304033</v>
      </c>
      <c r="W3125">
        <v>2.2688650000000001E-2</v>
      </c>
      <c r="X3125">
        <v>0.99120140000000001</v>
      </c>
      <c r="Y3125">
        <v>-3.8508189999999998E-2</v>
      </c>
      <c r="Z3125">
        <v>-8.7467320000000003E-4</v>
      </c>
      <c r="AA3125">
        <v>0.99925790000000003</v>
      </c>
      <c r="AB3125">
        <v>45</v>
      </c>
      <c r="AC3125">
        <v>-32.739199999999897</v>
      </c>
      <c r="AD3125">
        <v>-1.108684657353</v>
      </c>
      <c r="AE3125">
        <v>-1.17179999999999</v>
      </c>
      <c r="AF3125">
        <v>-1.2788969896524101</v>
      </c>
      <c r="AG3125">
        <v>-1.108684657353</v>
      </c>
      <c r="AH3125">
        <v>32.697685055391403</v>
      </c>
      <c r="AI3125">
        <v>91.9405088391851</v>
      </c>
      <c r="AJ3125">
        <v>92.239854848879801</v>
      </c>
      <c r="AK3125">
        <v>32.741462507975399</v>
      </c>
      <c r="AL3125">
        <v>88.699924561911502</v>
      </c>
      <c r="AM3125">
        <v>97.494838454491799</v>
      </c>
      <c r="AN3125">
        <v>1.00000000542583</v>
      </c>
    </row>
    <row r="3126" spans="1:40" x14ac:dyDescent="0.25">
      <c r="A3126" t="str">
        <f>"20190305135649894"</f>
        <v>20190305135649894</v>
      </c>
      <c r="B3126" t="str">
        <f>"1551765409885969"</f>
        <v>1551765409885969</v>
      </c>
      <c r="C3126" t="s">
        <v>40</v>
      </c>
      <c r="D3126">
        <v>4.0912169999999897</v>
      </c>
      <c r="E3126">
        <v>0.53830979999999995</v>
      </c>
      <c r="F3126" t="s">
        <v>41</v>
      </c>
      <c r="G3126">
        <v>-281.04410000000001</v>
      </c>
      <c r="H3126">
        <v>1.0063489999999999</v>
      </c>
      <c r="I3126">
        <v>141.50909999999999</v>
      </c>
      <c r="J3126">
        <v>-280.42079999999999</v>
      </c>
      <c r="K3126">
        <v>1.1086800000000001</v>
      </c>
      <c r="L3126">
        <v>141.5317</v>
      </c>
      <c r="M3126">
        <v>-0.99996719999999895</v>
      </c>
      <c r="N3126">
        <v>-7.6309059999999998E-3</v>
      </c>
      <c r="O3126">
        <v>2.7530749999999998E-3</v>
      </c>
      <c r="P3126">
        <v>-0.9915929</v>
      </c>
      <c r="Q3126">
        <v>1.476747E-2</v>
      </c>
      <c r="R3126">
        <v>-0.12855069999999999</v>
      </c>
      <c r="S3126">
        <v>-3.0216669999999999</v>
      </c>
      <c r="T3126">
        <v>-0.28045639999999999</v>
      </c>
      <c r="U3126">
        <v>-5.9036249999999998E-2</v>
      </c>
      <c r="V3126">
        <v>-0.13131419999999999</v>
      </c>
      <c r="W3126">
        <v>2.2131370000000001E-2</v>
      </c>
      <c r="X3126">
        <v>0.99109380000000002</v>
      </c>
      <c r="Y3126">
        <v>-2.2173370000000001E-2</v>
      </c>
      <c r="Z3126">
        <v>-1.345506E-3</v>
      </c>
      <c r="AA3126">
        <v>0.99975320000000001</v>
      </c>
      <c r="AB3126">
        <v>45</v>
      </c>
      <c r="AC3126">
        <v>-0.62330000000002805</v>
      </c>
      <c r="AD3126">
        <v>-0.10233099999999901</v>
      </c>
      <c r="AE3126">
        <v>-2.2600000000011201E-2</v>
      </c>
      <c r="AF3126">
        <v>-2.3678566143791501E-2</v>
      </c>
      <c r="AG3126">
        <v>-0.10233099999999901</v>
      </c>
      <c r="AH3126">
        <v>0.60689866218389299</v>
      </c>
      <c r="AI3126">
        <v>99.563648497478695</v>
      </c>
      <c r="AJ3126">
        <v>92.234300759661295</v>
      </c>
      <c r="AK3126">
        <v>0.61592068825151902</v>
      </c>
      <c r="AL3126">
        <v>88.731862454924396</v>
      </c>
      <c r="AM3126">
        <v>97.547400319035503</v>
      </c>
      <c r="AN3126">
        <v>1.00000006852907</v>
      </c>
    </row>
    <row r="3127" spans="1:40" x14ac:dyDescent="0.25">
      <c r="A3127" t="str">
        <f>"20190305135649917"</f>
        <v>20190305135649917</v>
      </c>
      <c r="B3127" t="str">
        <f>"1551765409905489"</f>
        <v>1551765409905489</v>
      </c>
      <c r="C3127" t="s">
        <v>40</v>
      </c>
      <c r="D3127">
        <v>4.1078710000000003</v>
      </c>
      <c r="E3127">
        <v>0.53810919999999995</v>
      </c>
      <c r="F3127" t="s">
        <v>41</v>
      </c>
      <c r="G3127">
        <v>-281.45429999999999</v>
      </c>
      <c r="H3127">
        <v>1.0130159999999999</v>
      </c>
      <c r="I3127">
        <v>141.51050000000001</v>
      </c>
      <c r="J3127">
        <v>-280.89109999999999</v>
      </c>
      <c r="K3127">
        <v>1.1086830000000001</v>
      </c>
      <c r="L3127">
        <v>141.5326</v>
      </c>
      <c r="M3127">
        <v>-0.99996850000000004</v>
      </c>
      <c r="N3127">
        <v>-7.6416009999999996E-3</v>
      </c>
      <c r="O3127">
        <v>2.2008850000000001E-3</v>
      </c>
      <c r="P3127">
        <v>-0.99143490000000001</v>
      </c>
      <c r="Q3127">
        <v>1.5366289999999999E-2</v>
      </c>
      <c r="R3127">
        <v>-0.12969539999999999</v>
      </c>
      <c r="S3127">
        <v>-3.0214539999999999</v>
      </c>
      <c r="T3127">
        <v>-0.27971299999999999</v>
      </c>
      <c r="U3127">
        <v>-6.2728880000000001E-2</v>
      </c>
      <c r="V3127">
        <v>-0.13191220000000001</v>
      </c>
      <c r="W3127">
        <v>2.2738230000000002E-2</v>
      </c>
      <c r="X3127">
        <v>0.99100060000000001</v>
      </c>
      <c r="Y3127">
        <v>-2.2843459999999999E-2</v>
      </c>
      <c r="Z3127">
        <v>-1.3290070000000001E-3</v>
      </c>
      <c r="AA3127">
        <v>0.99973820000000002</v>
      </c>
      <c r="AB3127">
        <v>45</v>
      </c>
      <c r="AC3127">
        <v>-0.56319999999999404</v>
      </c>
      <c r="AD3127">
        <v>-9.5667000000000099E-2</v>
      </c>
      <c r="AE3127">
        <v>-2.20999999999946E-2</v>
      </c>
      <c r="AF3127">
        <v>-2.2685957247796901E-2</v>
      </c>
      <c r="AG3127">
        <v>-9.5667000000000099E-2</v>
      </c>
      <c r="AH3127">
        <v>0.54738041697294704</v>
      </c>
      <c r="AI3127">
        <v>99.905258469433093</v>
      </c>
      <c r="AJ3127">
        <v>92.373241940172605</v>
      </c>
      <c r="AK3127">
        <v>0.55614040352300098</v>
      </c>
      <c r="AL3127">
        <v>88.697083126257297</v>
      </c>
      <c r="AM3127">
        <v>97.582076712094803</v>
      </c>
      <c r="AN3127">
        <v>1.0000000224063601</v>
      </c>
    </row>
    <row r="3128" spans="1:40" x14ac:dyDescent="0.25">
      <c r="A3128" t="str">
        <f>"20190305135649938"</f>
        <v>20190305135649938</v>
      </c>
      <c r="B3128" t="str">
        <f>"1551765409925986"</f>
        <v>1551765409925986</v>
      </c>
      <c r="C3128" t="s">
        <v>40</v>
      </c>
      <c r="D3128">
        <v>4.083291</v>
      </c>
      <c r="E3128">
        <v>0.53810179999999996</v>
      </c>
      <c r="F3128" t="s">
        <v>41</v>
      </c>
      <c r="G3128">
        <v>-281.86509999999998</v>
      </c>
      <c r="H3128">
        <v>1.0191809999999999</v>
      </c>
      <c r="I3128">
        <v>141.51089999999999</v>
      </c>
      <c r="J3128">
        <v>-281.3175</v>
      </c>
      <c r="K3128">
        <v>1.1086849999999999</v>
      </c>
      <c r="L3128">
        <v>141.5333</v>
      </c>
      <c r="M3128">
        <v>-0.99996929999999995</v>
      </c>
      <c r="N3128">
        <v>-7.651209E-3</v>
      </c>
      <c r="O3128">
        <v>1.700797E-3</v>
      </c>
      <c r="P3128">
        <v>-0.9913362</v>
      </c>
      <c r="Q3128">
        <v>1.6342740000000001E-2</v>
      </c>
      <c r="R3128">
        <v>-0.13032919999999901</v>
      </c>
      <c r="S3128">
        <v>-3.0213320000000001</v>
      </c>
      <c r="T3128">
        <v>-0.2777231</v>
      </c>
      <c r="U3128">
        <v>-6.7947389999999996E-2</v>
      </c>
      <c r="V3128">
        <v>-0.13205140000000001</v>
      </c>
      <c r="W3128">
        <v>2.3722630000000001E-2</v>
      </c>
      <c r="X3128">
        <v>0.99095900000000003</v>
      </c>
      <c r="Y3128">
        <v>-2.4067999999999999E-2</v>
      </c>
      <c r="Z3128">
        <v>-1.3390100000000001E-3</v>
      </c>
      <c r="AA3128">
        <v>0.99970939999999997</v>
      </c>
      <c r="AB3128">
        <v>46</v>
      </c>
      <c r="AC3128">
        <v>-0.54759999999998799</v>
      </c>
      <c r="AD3128">
        <v>-8.9504000000000195E-2</v>
      </c>
      <c r="AE3128">
        <v>-2.24000000000046E-2</v>
      </c>
      <c r="AF3128">
        <v>-2.2725256271077E-2</v>
      </c>
      <c r="AG3128">
        <v>-8.9504000000000195E-2</v>
      </c>
      <c r="AH3128">
        <v>0.53333672679980504</v>
      </c>
      <c r="AI3128">
        <v>99.518067563749995</v>
      </c>
      <c r="AJ3128">
        <v>92.439873474347493</v>
      </c>
      <c r="AK3128">
        <v>0.54127208263692705</v>
      </c>
      <c r="AL3128">
        <v>88.640665955569801</v>
      </c>
      <c r="AM3128">
        <v>97.590299361454399</v>
      </c>
      <c r="AN3128">
        <v>1.0000000375485301</v>
      </c>
    </row>
    <row r="3129" spans="1:40" x14ac:dyDescent="0.25">
      <c r="A3129" t="str">
        <f>"20190305135649960"</f>
        <v>20190305135649960</v>
      </c>
      <c r="B3129" t="str">
        <f>"1551765409955267"</f>
        <v>1551765409955267</v>
      </c>
      <c r="C3129" t="s">
        <v>40</v>
      </c>
      <c r="D3129">
        <v>4.0220919999999998</v>
      </c>
      <c r="E3129">
        <v>0.53849060000000004</v>
      </c>
      <c r="F3129" t="s">
        <v>41</v>
      </c>
      <c r="G3129">
        <v>-282.2747</v>
      </c>
      <c r="H3129">
        <v>1.021474</v>
      </c>
      <c r="I3129">
        <v>141.51140000000001</v>
      </c>
      <c r="J3129">
        <v>-281.7473</v>
      </c>
      <c r="K3129">
        <v>1.1086830000000001</v>
      </c>
      <c r="L3129">
        <v>141.53370000000001</v>
      </c>
      <c r="M3129">
        <v>-0.99997000000000003</v>
      </c>
      <c r="N3129">
        <v>-7.6607740000000004E-3</v>
      </c>
      <c r="O3129">
        <v>1.196538E-3</v>
      </c>
      <c r="P3129">
        <v>-0.99124319999999999</v>
      </c>
      <c r="Q3129">
        <v>1.7598220000000001E-2</v>
      </c>
      <c r="R3129">
        <v>-0.1308714</v>
      </c>
      <c r="S3129">
        <v>-3.0215450000000001</v>
      </c>
      <c r="T3129">
        <v>-0.27538859999999998</v>
      </c>
      <c r="U3129">
        <v>-7.0098880000000002E-2</v>
      </c>
      <c r="V3129">
        <v>-0.13209599999999999</v>
      </c>
      <c r="W3129">
        <v>2.4986830000000002E-2</v>
      </c>
      <c r="X3129">
        <v>0.99092199999999997</v>
      </c>
      <c r="Y3129">
        <v>-2.4276450000000002E-2</v>
      </c>
      <c r="Z3129">
        <v>-1.29674E-3</v>
      </c>
      <c r="AA3129">
        <v>0.99970440000000005</v>
      </c>
      <c r="AB3129">
        <v>46</v>
      </c>
      <c r="AC3129">
        <v>-0.52739999999999998</v>
      </c>
      <c r="AD3129">
        <v>-8.7208999999999995E-2</v>
      </c>
      <c r="AE3129">
        <v>-2.2300000000001301E-2</v>
      </c>
      <c r="AF3129">
        <v>-2.2321806098286601E-2</v>
      </c>
      <c r="AG3129">
        <v>-8.7208999999999995E-2</v>
      </c>
      <c r="AH3129">
        <v>0.513361275002722</v>
      </c>
      <c r="AI3129">
        <v>99.632343910125996</v>
      </c>
      <c r="AJ3129">
        <v>92.489747943239493</v>
      </c>
      <c r="AK3129">
        <v>0.52119427412521502</v>
      </c>
      <c r="AL3129">
        <v>88.568211158809405</v>
      </c>
      <c r="AM3129">
        <v>97.593113261422204</v>
      </c>
      <c r="AN3129">
        <v>1.0000000524867201</v>
      </c>
    </row>
    <row r="3130" spans="1:40" x14ac:dyDescent="0.25">
      <c r="A3130" t="str">
        <f>"20190305135649982"</f>
        <v>20190305135649982</v>
      </c>
      <c r="B3130" t="str">
        <f>"1551765409975762"</f>
        <v>1551765409975762</v>
      </c>
      <c r="C3130" t="s">
        <v>40</v>
      </c>
      <c r="D3130">
        <v>4.0591739999999996</v>
      </c>
      <c r="E3130">
        <v>0.53886239999999996</v>
      </c>
      <c r="F3130" t="s">
        <v>41</v>
      </c>
      <c r="G3130">
        <v>-282.68680000000001</v>
      </c>
      <c r="H3130">
        <v>1.0257259999999999</v>
      </c>
      <c r="I3130">
        <v>141.51240000000001</v>
      </c>
      <c r="J3130">
        <v>-282.23129999999998</v>
      </c>
      <c r="K3130">
        <v>1.1086849999999999</v>
      </c>
      <c r="L3130">
        <v>141.53399999999999</v>
      </c>
      <c r="M3130">
        <v>-0.99997049999999998</v>
      </c>
      <c r="N3130">
        <v>-7.6715400000000001E-3</v>
      </c>
      <c r="O3130">
        <v>6.2945039999999996E-4</v>
      </c>
      <c r="P3130">
        <v>-0.99119939999999995</v>
      </c>
      <c r="Q3130">
        <v>1.736354E-2</v>
      </c>
      <c r="R3130">
        <v>-0.13123589999999999</v>
      </c>
      <c r="S3130">
        <v>-3.0221559999999998</v>
      </c>
      <c r="T3130">
        <v>-0.26694370000000001</v>
      </c>
      <c r="U3130">
        <v>-6.9091799999999995E-2</v>
      </c>
      <c r="V3130">
        <v>-0.1318983</v>
      </c>
      <c r="W3130">
        <v>2.4762309999999999E-2</v>
      </c>
      <c r="X3130">
        <v>0.99095390000000005</v>
      </c>
      <c r="Y3130">
        <v>-2.338411E-2</v>
      </c>
      <c r="Z3130">
        <v>-1.171168E-3</v>
      </c>
      <c r="AA3130">
        <v>0.99972589999999995</v>
      </c>
      <c r="AB3130">
        <v>46</v>
      </c>
      <c r="AC3130">
        <v>-0.45550000000002899</v>
      </c>
      <c r="AD3130">
        <v>-8.2959000000000199E-2</v>
      </c>
      <c r="AE3130">
        <v>-2.1599999999978001E-2</v>
      </c>
      <c r="AF3130">
        <v>-2.1185562615802699E-2</v>
      </c>
      <c r="AG3130">
        <v>-8.2959000000000199E-2</v>
      </c>
      <c r="AH3130">
        <v>0.440894494367151</v>
      </c>
      <c r="AI3130">
        <v>100.644218285181</v>
      </c>
      <c r="AJ3130">
        <v>92.751021856524702</v>
      </c>
      <c r="AK3130">
        <v>0.44913136041431601</v>
      </c>
      <c r="AL3130">
        <v>88.581079089206398</v>
      </c>
      <c r="AM3130">
        <v>97.581640180477294</v>
      </c>
      <c r="AN3130">
        <v>0.99999998273231705</v>
      </c>
    </row>
    <row r="3131" spans="1:40" x14ac:dyDescent="0.25">
      <c r="A3131" t="str">
        <f>"20190305135650005"</f>
        <v>20190305135650005</v>
      </c>
      <c r="B3131" t="str">
        <f>"1551765409995283"</f>
        <v>1551765409995283</v>
      </c>
      <c r="C3131" t="s">
        <v>40</v>
      </c>
      <c r="D3131">
        <v>4.056546</v>
      </c>
      <c r="E3131">
        <v>0.53911209999999998</v>
      </c>
      <c r="F3131" t="s">
        <v>41</v>
      </c>
      <c r="G3131">
        <v>-283.10109999999997</v>
      </c>
      <c r="H3131">
        <v>1.031758</v>
      </c>
      <c r="I3131">
        <v>141.51499999999999</v>
      </c>
      <c r="J3131">
        <v>-282.69720000000001</v>
      </c>
      <c r="K3131">
        <v>1.1086830000000001</v>
      </c>
      <c r="L3131">
        <v>141.53389999999999</v>
      </c>
      <c r="M3131">
        <v>-0.99997049999999998</v>
      </c>
      <c r="N3131">
        <v>-7.6819519999999997E-3</v>
      </c>
      <c r="O3131" s="1">
        <v>8.3762479999999995E-5</v>
      </c>
      <c r="P3131">
        <v>-0.99111579999999999</v>
      </c>
      <c r="Q3131">
        <v>1.7086750000000001E-2</v>
      </c>
      <c r="R3131">
        <v>-0.1318986</v>
      </c>
      <c r="S3131">
        <v>-3.0224299999999999</v>
      </c>
      <c r="T3131">
        <v>-0.26738200000000001</v>
      </c>
      <c r="U3131">
        <v>-6.6955570000000006E-2</v>
      </c>
      <c r="V3131">
        <v>-0.1320201</v>
      </c>
      <c r="W3131">
        <v>2.449488E-2</v>
      </c>
      <c r="X3131">
        <v>0.9909443</v>
      </c>
      <c r="Y3131">
        <v>-2.2136980000000001E-2</v>
      </c>
      <c r="Z3131">
        <v>-1.0691279999999999E-3</v>
      </c>
      <c r="AA3131">
        <v>0.99975440000000004</v>
      </c>
      <c r="AB3131">
        <v>46</v>
      </c>
      <c r="AC3131">
        <v>-0.40389999999996401</v>
      </c>
      <c r="AD3131">
        <v>-7.6925000000000104E-2</v>
      </c>
      <c r="AE3131">
        <v>-1.8900000000002099E-2</v>
      </c>
      <c r="AF3131">
        <v>-1.8272477326302099E-2</v>
      </c>
      <c r="AG3131">
        <v>-7.6925000000000104E-2</v>
      </c>
      <c r="AH3131">
        <v>0.38979031847136703</v>
      </c>
      <c r="AI3131">
        <v>101.151908320213</v>
      </c>
      <c r="AJ3131">
        <v>92.683930063628296</v>
      </c>
      <c r="AK3131">
        <v>0.39772833872713897</v>
      </c>
      <c r="AL3131">
        <v>88.596406311275004</v>
      </c>
      <c r="AM3131">
        <v>97.588632468214598</v>
      </c>
      <c r="AN3131">
        <v>0.99999995582635604</v>
      </c>
    </row>
    <row r="3132" spans="1:40" x14ac:dyDescent="0.25">
      <c r="A3132" t="str">
        <f>"20190305135650028"</f>
        <v>20190305135650028</v>
      </c>
      <c r="B3132" t="str">
        <f>"1551765410025538"</f>
        <v>1551765410025538</v>
      </c>
      <c r="C3132" t="s">
        <v>40</v>
      </c>
      <c r="D3132">
        <v>4.018764</v>
      </c>
      <c r="E3132">
        <v>0.54266169999999903</v>
      </c>
      <c r="F3132" t="s">
        <v>41</v>
      </c>
      <c r="G3132">
        <v>-283.51490000000001</v>
      </c>
      <c r="H3132">
        <v>1.035909</v>
      </c>
      <c r="I3132">
        <v>141.51599999999999</v>
      </c>
      <c r="J3132">
        <v>-283.16570000000002</v>
      </c>
      <c r="K3132">
        <v>1.108681</v>
      </c>
      <c r="L3132">
        <v>141.53370000000001</v>
      </c>
      <c r="M3132">
        <v>-0.99997040000000004</v>
      </c>
      <c r="N3132">
        <v>-7.6924300000000001E-3</v>
      </c>
      <c r="O3132">
        <v>-4.6484569999999999E-4</v>
      </c>
      <c r="P3132">
        <v>-0.99104060000000005</v>
      </c>
      <c r="Q3132">
        <v>1.6541610000000002E-2</v>
      </c>
      <c r="R3132">
        <v>-0.13253319999999999</v>
      </c>
      <c r="S3132">
        <v>-3.0226440000000001</v>
      </c>
      <c r="T3132">
        <v>-0.26910729999999999</v>
      </c>
      <c r="U3132">
        <v>-6.6726679999999997E-2</v>
      </c>
      <c r="V3132">
        <v>-0.13211010000000001</v>
      </c>
      <c r="W3132">
        <v>2.3959080000000001E-2</v>
      </c>
      <c r="X3132">
        <v>0.99094550000000003</v>
      </c>
      <c r="Y3132">
        <v>-2.151457E-2</v>
      </c>
      <c r="Z3132">
        <v>-1.0009280000000001E-3</v>
      </c>
      <c r="AA3132">
        <v>0.99976799999999999</v>
      </c>
      <c r="AB3132">
        <v>46</v>
      </c>
      <c r="AC3132">
        <v>-0.34919999999999601</v>
      </c>
      <c r="AD3132">
        <v>-7.2772000000000003E-2</v>
      </c>
      <c r="AE3132">
        <v>-1.77000000000191E-2</v>
      </c>
      <c r="AF3132">
        <v>-1.68095188121541E-2</v>
      </c>
      <c r="AG3132">
        <v>-7.2772000000000003E-2</v>
      </c>
      <c r="AH3132">
        <v>0.334709338114559</v>
      </c>
      <c r="AI3132">
        <v>102.251288225469</v>
      </c>
      <c r="AJ3132">
        <v>92.875049732103093</v>
      </c>
      <c r="AK3132">
        <v>0.34294119747820101</v>
      </c>
      <c r="AL3132">
        <v>88.627114534309797</v>
      </c>
      <c r="AM3132">
        <v>97.593736310558597</v>
      </c>
      <c r="AN3132">
        <v>1.0000000500033499</v>
      </c>
    </row>
    <row r="3133" spans="1:40" x14ac:dyDescent="0.25">
      <c r="A3133" t="str">
        <f>"20190305135650049"</f>
        <v>20190305135650049</v>
      </c>
      <c r="B3133" t="str">
        <f>"1551765410045058"</f>
        <v>1551765410045058</v>
      </c>
      <c r="C3133" t="s">
        <v>40</v>
      </c>
      <c r="D3133">
        <v>3.9782630000000001</v>
      </c>
      <c r="E3133">
        <v>0.53937209999999902</v>
      </c>
      <c r="F3133" t="s">
        <v>41</v>
      </c>
      <c r="G3133">
        <v>-283.92660000000001</v>
      </c>
      <c r="H3133">
        <v>1.038564</v>
      </c>
      <c r="I3133">
        <v>141.524</v>
      </c>
      <c r="J3133">
        <v>-283.60539999999997</v>
      </c>
      <c r="K3133">
        <v>1.1086830000000001</v>
      </c>
      <c r="L3133">
        <v>141.53319999999999</v>
      </c>
      <c r="M3133">
        <v>-0.99997000000000003</v>
      </c>
      <c r="N3133">
        <v>-7.702225E-3</v>
      </c>
      <c r="O3133">
        <v>-9.7905910000000004E-4</v>
      </c>
      <c r="P3133">
        <v>-0.99099740000000003</v>
      </c>
      <c r="Q3133">
        <v>1.638792E-2</v>
      </c>
      <c r="R3133">
        <v>-0.13287589999999999</v>
      </c>
      <c r="S3133">
        <v>-3.026459</v>
      </c>
      <c r="T3133">
        <v>-0.2790589</v>
      </c>
      <c r="U3133">
        <v>-3.9733890000000001E-2</v>
      </c>
      <c r="V3133">
        <v>-0.131942899999999</v>
      </c>
      <c r="W3133">
        <v>2.381511E-2</v>
      </c>
      <c r="X3133">
        <v>0.99097120000000005</v>
      </c>
      <c r="Y3133">
        <v>-1.2096569999999999E-2</v>
      </c>
      <c r="Z3133">
        <v>-5.2062709999999999E-4</v>
      </c>
      <c r="AA3133">
        <v>0.99992669999999995</v>
      </c>
      <c r="AB3133">
        <v>46</v>
      </c>
      <c r="AC3133">
        <v>-0.32120000000003301</v>
      </c>
      <c r="AD3133">
        <v>-7.0119000000000001E-2</v>
      </c>
      <c r="AE3133">
        <v>-9.1999999999927695E-3</v>
      </c>
      <c r="AF3133">
        <v>-8.4816402370305102E-3</v>
      </c>
      <c r="AG3133">
        <v>-7.0119000000000001E-2</v>
      </c>
      <c r="AH3133">
        <v>0.306608980674897</v>
      </c>
      <c r="AI3133">
        <v>102.876801290467</v>
      </c>
      <c r="AJ3133">
        <v>91.584553354271094</v>
      </c>
      <c r="AK3133">
        <v>0.314638966773999</v>
      </c>
      <c r="AL3133">
        <v>88.635365698570297</v>
      </c>
      <c r="AM3133">
        <v>97.584043134253506</v>
      </c>
      <c r="AN3133">
        <v>1.00000000377708</v>
      </c>
    </row>
    <row r="3134" spans="1:40" x14ac:dyDescent="0.25">
      <c r="A3134" t="str">
        <f>"20190305135650070"</f>
        <v>20190305135650070</v>
      </c>
      <c r="B3134" t="str">
        <f>"1551765410065554"</f>
        <v>1551765410065554</v>
      </c>
      <c r="C3134" t="s">
        <v>40</v>
      </c>
      <c r="D3134">
        <v>3.9820739999999999</v>
      </c>
      <c r="E3134">
        <v>0.53840299999999996</v>
      </c>
      <c r="F3134" t="s">
        <v>73</v>
      </c>
      <c r="G3134">
        <v>-298.5564</v>
      </c>
      <c r="H3134" s="1">
        <v>-8.5873039999999992E-6</v>
      </c>
      <c r="I3134">
        <v>141.18559999999999</v>
      </c>
      <c r="J3134">
        <v>-284.0401</v>
      </c>
      <c r="K3134">
        <v>1.1086879999999999</v>
      </c>
      <c r="L3134">
        <v>141.5325</v>
      </c>
      <c r="M3134">
        <v>-0.99996929999999995</v>
      </c>
      <c r="N3134">
        <v>-7.711931E-3</v>
      </c>
      <c r="O3134">
        <v>-1.487192E-3</v>
      </c>
      <c r="P3134">
        <v>-0.99096700000000004</v>
      </c>
      <c r="Q3134">
        <v>1.6678789999999999E-2</v>
      </c>
      <c r="R3134">
        <v>-0.13306689999999999</v>
      </c>
      <c r="S3134">
        <v>-3.0215450000000001</v>
      </c>
      <c r="T3134">
        <v>-0.22406280000000001</v>
      </c>
      <c r="U3134">
        <v>-7.0251460000000002E-2</v>
      </c>
      <c r="V3134">
        <v>-0.13163050000000001</v>
      </c>
      <c r="W3134">
        <v>2.4115910000000001E-2</v>
      </c>
      <c r="X3134">
        <v>0.99100549999999998</v>
      </c>
      <c r="Y3134">
        <v>-2.169457E-2</v>
      </c>
      <c r="Z3134">
        <v>-7.8829999999999905E-4</v>
      </c>
      <c r="AA3134">
        <v>0.99976430000000005</v>
      </c>
      <c r="AB3134">
        <v>46</v>
      </c>
      <c r="AC3134">
        <v>-14.516299999999999</v>
      </c>
      <c r="AD3134">
        <v>-1.108696587304</v>
      </c>
      <c r="AE3134">
        <v>-0.34690000000000498</v>
      </c>
      <c r="AF3134">
        <v>-0.323424897859104</v>
      </c>
      <c r="AG3134">
        <v>-1.108696587304</v>
      </c>
      <c r="AH3134">
        <v>14.4326580430648</v>
      </c>
      <c r="AI3134">
        <v>94.3916562069478</v>
      </c>
      <c r="AJ3134">
        <v>91.283740015633995</v>
      </c>
      <c r="AK3134">
        <v>14.478792421168899</v>
      </c>
      <c r="AL3134">
        <v>88.618126217516405</v>
      </c>
      <c r="AM3134">
        <v>97.566035898474894</v>
      </c>
      <c r="AN3134">
        <v>1.0000000333378101</v>
      </c>
    </row>
    <row r="3135" spans="1:40" x14ac:dyDescent="0.25">
      <c r="A3135" t="str">
        <f>"20190305135650094"</f>
        <v>20190305135650094</v>
      </c>
      <c r="B3135" t="str">
        <f>"1551765410085074"</f>
        <v>1551765410085074</v>
      </c>
      <c r="C3135" t="s">
        <v>40</v>
      </c>
      <c r="D3135">
        <v>3.9271039999999999</v>
      </c>
      <c r="E3135">
        <v>0.53899739999999996</v>
      </c>
      <c r="F3135" t="s">
        <v>73</v>
      </c>
      <c r="G3135">
        <v>-300.93049999999999</v>
      </c>
      <c r="H3135" s="1">
        <v>-8.6104660000000003E-6</v>
      </c>
      <c r="I3135">
        <v>141.08590000000001</v>
      </c>
      <c r="J3135">
        <v>-284.53870000000001</v>
      </c>
      <c r="K3135">
        <v>1.1086830000000001</v>
      </c>
      <c r="L3135">
        <v>141.53129999999999</v>
      </c>
      <c r="M3135">
        <v>-0.99996810000000003</v>
      </c>
      <c r="N3135">
        <v>-7.7230299999999997E-3</v>
      </c>
      <c r="O3135">
        <v>-2.0696009999999999E-3</v>
      </c>
      <c r="P3135">
        <v>-0.99092990000000003</v>
      </c>
      <c r="Q3135">
        <v>1.7123349999999999E-2</v>
      </c>
      <c r="R3135">
        <v>-0.1332855</v>
      </c>
      <c r="S3135">
        <v>-3.0199579999999999</v>
      </c>
      <c r="T3135">
        <v>-0.1982313</v>
      </c>
      <c r="U3135">
        <v>-7.9849240000000002E-2</v>
      </c>
      <c r="V3135">
        <v>-0.13127269999999999</v>
      </c>
      <c r="W3135">
        <v>2.457115E-2</v>
      </c>
      <c r="X3135">
        <v>0.99104170000000003</v>
      </c>
      <c r="Y3135">
        <v>-2.4307309999999999E-2</v>
      </c>
      <c r="Z3135">
        <v>-7.7105529999999998E-4</v>
      </c>
      <c r="AA3135">
        <v>0.99970420000000004</v>
      </c>
      <c r="AB3135">
        <v>46</v>
      </c>
      <c r="AC3135">
        <v>-16.3917999999999</v>
      </c>
      <c r="AD3135">
        <v>-1.1086916104660001</v>
      </c>
      <c r="AE3135">
        <v>-0.44539999999997798</v>
      </c>
      <c r="AF3135">
        <v>-0.40960110690639401</v>
      </c>
      <c r="AG3135">
        <v>-1.1086916104660001</v>
      </c>
      <c r="AH3135">
        <v>16.318090463945801</v>
      </c>
      <c r="AI3135">
        <v>93.885624021663304</v>
      </c>
      <c r="AJ3135">
        <v>91.4378819487859</v>
      </c>
      <c r="AK3135">
        <v>16.360838809285301</v>
      </c>
      <c r="AL3135">
        <v>88.592035048190894</v>
      </c>
      <c r="AM3135">
        <v>97.545434633740598</v>
      </c>
      <c r="AN3135">
        <v>0.99999995715824996</v>
      </c>
    </row>
    <row r="3136" spans="1:40" x14ac:dyDescent="0.25">
      <c r="A3136" t="str">
        <f>"20190305135650115"</f>
        <v>20190305135650115</v>
      </c>
      <c r="B3136" t="str">
        <f>"1551765410105573"</f>
        <v>1551765410105573</v>
      </c>
      <c r="C3136" t="s">
        <v>40</v>
      </c>
      <c r="D3136">
        <v>3.9514499999999999</v>
      </c>
      <c r="E3136">
        <v>0.53892830000000003</v>
      </c>
      <c r="F3136" t="s">
        <v>73</v>
      </c>
      <c r="G3136">
        <v>-303.5462</v>
      </c>
      <c r="H3136" s="1">
        <v>-8.9907860000000004E-6</v>
      </c>
      <c r="I3136">
        <v>141.04519999999999</v>
      </c>
      <c r="J3136">
        <v>-284.97919999999999</v>
      </c>
      <c r="K3136">
        <v>1.1086769999999999</v>
      </c>
      <c r="L3136">
        <v>141.5301</v>
      </c>
      <c r="M3136">
        <v>-0.99996669999999999</v>
      </c>
      <c r="N3136">
        <v>-7.7349130000000004E-3</v>
      </c>
      <c r="O3136">
        <v>-2.5838219999999999E-3</v>
      </c>
      <c r="P3136">
        <v>-0.99099020000000004</v>
      </c>
      <c r="Q3136">
        <v>1.7861350000000002E-2</v>
      </c>
      <c r="R3136">
        <v>-0.13273889999999999</v>
      </c>
      <c r="S3136">
        <v>-3.0201419999999999</v>
      </c>
      <c r="T3136">
        <v>-0.17616270000000001</v>
      </c>
      <c r="U3136">
        <v>-7.7239989999999994E-2</v>
      </c>
      <c r="V3136">
        <v>-0.13021830000000001</v>
      </c>
      <c r="W3136">
        <v>2.5322890000000001E-2</v>
      </c>
      <c r="X3136">
        <v>0.99116190000000004</v>
      </c>
      <c r="Y3136">
        <v>-2.2942609999999999E-2</v>
      </c>
      <c r="Z3136">
        <v>-6.2667629999999897E-4</v>
      </c>
      <c r="AA3136">
        <v>0.99973659999999998</v>
      </c>
      <c r="AB3136">
        <v>46</v>
      </c>
      <c r="AC3136">
        <v>-18.567</v>
      </c>
      <c r="AD3136">
        <v>-1.1086859907860001</v>
      </c>
      <c r="AE3136">
        <v>-0.48490000000000999</v>
      </c>
      <c r="AF3136">
        <v>-0.43537181345350801</v>
      </c>
      <c r="AG3136">
        <v>-1.1086859907860001</v>
      </c>
      <c r="AH3136">
        <v>18.5022640886395</v>
      </c>
      <c r="AI3136">
        <v>93.428209999927503</v>
      </c>
      <c r="AJ3136">
        <v>91.3479628692224</v>
      </c>
      <c r="AK3136">
        <v>18.540563897785699</v>
      </c>
      <c r="AL3136">
        <v>88.548950144725097</v>
      </c>
      <c r="AM3136">
        <v>97.484621218667499</v>
      </c>
      <c r="AN3136">
        <v>0.99999998321222605</v>
      </c>
    </row>
    <row r="3137" spans="1:40" x14ac:dyDescent="0.25">
      <c r="A3137" t="str">
        <f>"20190305135650137"</f>
        <v>20190305135650137</v>
      </c>
      <c r="B3137" t="str">
        <f>"1551765410125161"</f>
        <v>1551765410125161</v>
      </c>
      <c r="C3137" t="s">
        <v>40</v>
      </c>
      <c r="D3137">
        <v>3.9483579999999998</v>
      </c>
      <c r="E3137">
        <v>0.53959299999999999</v>
      </c>
      <c r="F3137" t="s">
        <v>73</v>
      </c>
      <c r="G3137">
        <v>-305.27190000000002</v>
      </c>
      <c r="H3137" s="1">
        <v>-9.2287940000000007E-6</v>
      </c>
      <c r="I3137">
        <v>141.01220000000001</v>
      </c>
      <c r="J3137">
        <v>-285.42590000000001</v>
      </c>
      <c r="K3137">
        <v>1.10867</v>
      </c>
      <c r="L3137">
        <v>141.52869999999999</v>
      </c>
      <c r="M3137">
        <v>-0.9999652</v>
      </c>
      <c r="N3137">
        <v>-7.7541340000000002E-3</v>
      </c>
      <c r="O3137">
        <v>-3.1052290000000001E-3</v>
      </c>
      <c r="P3137">
        <v>-0.9909905</v>
      </c>
      <c r="Q3137">
        <v>1.7462289999999998E-2</v>
      </c>
      <c r="R3137">
        <v>-0.13279079999999999</v>
      </c>
      <c r="S3137">
        <v>-3.0199280000000002</v>
      </c>
      <c r="T3137">
        <v>-0.1649929</v>
      </c>
      <c r="U3137">
        <v>-7.7072139999999997E-2</v>
      </c>
      <c r="V3137">
        <v>-0.12975210000000001</v>
      </c>
      <c r="W3137">
        <v>2.494393E-2</v>
      </c>
      <c r="X3137">
        <v>0.99123269999999997</v>
      </c>
      <c r="Y3137">
        <v>-2.2373770000000001E-2</v>
      </c>
      <c r="Z3137">
        <v>-5.5203369999999997E-4</v>
      </c>
      <c r="AA3137">
        <v>0.99974949999999996</v>
      </c>
      <c r="AB3137">
        <v>46</v>
      </c>
      <c r="AC3137">
        <v>-19.846</v>
      </c>
      <c r="AD3137">
        <v>-1.1086792287939999</v>
      </c>
      <c r="AE3137">
        <v>-0.51649999999997898</v>
      </c>
      <c r="AF3137">
        <v>-0.45345510288246998</v>
      </c>
      <c r="AG3137">
        <v>-1.1086792287939999</v>
      </c>
      <c r="AH3137">
        <v>19.785802485775399</v>
      </c>
      <c r="AI3137">
        <v>93.206322249500701</v>
      </c>
      <c r="AJ3137">
        <v>91.312886664298901</v>
      </c>
      <c r="AK3137">
        <v>19.822027423268398</v>
      </c>
      <c r="AL3137">
        <v>88.570669890868501</v>
      </c>
      <c r="AM3137">
        <v>97.4576006974428</v>
      </c>
      <c r="AN3137">
        <v>1.00000003632377</v>
      </c>
    </row>
    <row r="3138" spans="1:40" x14ac:dyDescent="0.25">
      <c r="A3138" t="str">
        <f>"20190305135650160"</f>
        <v>20190305135650160</v>
      </c>
      <c r="B3138" t="str">
        <f>"1551765410155398"</f>
        <v>1551765410155398</v>
      </c>
      <c r="C3138" t="s">
        <v>40</v>
      </c>
      <c r="D3138">
        <v>4.0022539999999998</v>
      </c>
      <c r="E3138">
        <v>0.53947599999999996</v>
      </c>
      <c r="F3138" t="s">
        <v>73</v>
      </c>
      <c r="G3138">
        <v>-306.34219999999999</v>
      </c>
      <c r="H3138" s="1">
        <v>-9.3871289999999996E-6</v>
      </c>
      <c r="I3138">
        <v>141.02780000000001</v>
      </c>
      <c r="J3138">
        <v>-285.90030000000002</v>
      </c>
      <c r="K3138">
        <v>1.10867</v>
      </c>
      <c r="L3138">
        <v>141.52690000000001</v>
      </c>
      <c r="M3138">
        <v>-0.99996300000000005</v>
      </c>
      <c r="N3138">
        <v>-7.781077E-3</v>
      </c>
      <c r="O3138">
        <v>-3.6583850000000001E-3</v>
      </c>
      <c r="P3138">
        <v>-0.99090239999999996</v>
      </c>
      <c r="Q3138">
        <v>1.6472919999999999E-2</v>
      </c>
      <c r="R3138">
        <v>-0.1335723</v>
      </c>
      <c r="S3138">
        <v>-3.020416</v>
      </c>
      <c r="T3138">
        <v>-0.1600994</v>
      </c>
      <c r="U3138">
        <v>-7.2326660000000001E-2</v>
      </c>
      <c r="V3138">
        <v>-0.1299844</v>
      </c>
      <c r="W3138">
        <v>2.397958E-2</v>
      </c>
      <c r="X3138">
        <v>0.99122600000000005</v>
      </c>
      <c r="Y3138">
        <v>-2.0252599999999999E-2</v>
      </c>
      <c r="Z3138">
        <v>-4.4986480000000002E-4</v>
      </c>
      <c r="AA3138">
        <v>0.99979479999999998</v>
      </c>
      <c r="AB3138">
        <v>46</v>
      </c>
      <c r="AC3138">
        <v>-20.441899999999901</v>
      </c>
      <c r="AD3138">
        <v>-1.1086793871289999</v>
      </c>
      <c r="AE3138">
        <v>-0.49909999999999799</v>
      </c>
      <c r="AF3138">
        <v>-0.42306634301260898</v>
      </c>
      <c r="AG3138">
        <v>-1.1086793871289999</v>
      </c>
      <c r="AH3138">
        <v>20.383666239178101</v>
      </c>
      <c r="AI3138">
        <v>93.112613904128594</v>
      </c>
      <c r="AJ3138">
        <v>91.189012607387397</v>
      </c>
      <c r="AK3138">
        <v>20.418178284662002</v>
      </c>
      <c r="AL3138">
        <v>88.625939528588503</v>
      </c>
      <c r="AM3138">
        <v>97.470851557474205</v>
      </c>
      <c r="AN3138">
        <v>0.99999997378816796</v>
      </c>
    </row>
    <row r="3139" spans="1:40" x14ac:dyDescent="0.25">
      <c r="A3139" t="str">
        <f>"20190305135650183"</f>
        <v>20190305135650183</v>
      </c>
      <c r="B3139" t="str">
        <f>"1551765410175895"</f>
        <v>1551765410175895</v>
      </c>
      <c r="C3139" t="s">
        <v>40</v>
      </c>
      <c r="D3139">
        <v>3.9270689999999999</v>
      </c>
      <c r="E3139">
        <v>0.53988210000000003</v>
      </c>
      <c r="F3139" t="s">
        <v>73</v>
      </c>
      <c r="G3139">
        <v>-306.13659999999999</v>
      </c>
      <c r="H3139" s="1">
        <v>-9.3556969999999993E-6</v>
      </c>
      <c r="I3139">
        <v>141.0214</v>
      </c>
      <c r="J3139">
        <v>-286.3818</v>
      </c>
      <c r="K3139">
        <v>1.108679</v>
      </c>
      <c r="L3139">
        <v>141.5248</v>
      </c>
      <c r="M3139">
        <v>-0.99996050000000003</v>
      </c>
      <c r="N3139">
        <v>-7.8151920000000003E-3</v>
      </c>
      <c r="O3139">
        <v>-4.2192080000000003E-3</v>
      </c>
      <c r="P3139">
        <v>-0.99088039999999999</v>
      </c>
      <c r="Q3139">
        <v>1.6362350000000001E-2</v>
      </c>
      <c r="R3139">
        <v>-0.13374710000000001</v>
      </c>
      <c r="S3139">
        <v>-3.0201720000000001</v>
      </c>
      <c r="T3139">
        <v>-0.16546559999999999</v>
      </c>
      <c r="U3139">
        <v>-7.5439450000000005E-2</v>
      </c>
      <c r="V3139">
        <v>-0.12960369999999999</v>
      </c>
      <c r="W3139">
        <v>2.3903299999999999E-2</v>
      </c>
      <c r="X3139">
        <v>0.99127770000000004</v>
      </c>
      <c r="Y3139">
        <v>-2.0721650000000001E-2</v>
      </c>
      <c r="Z3139">
        <v>-4.5018219999999999E-4</v>
      </c>
      <c r="AA3139">
        <v>0.99978520000000004</v>
      </c>
      <c r="AB3139">
        <v>47</v>
      </c>
      <c r="AC3139">
        <v>-19.7547999999999</v>
      </c>
      <c r="AD3139">
        <v>-1.108688355697</v>
      </c>
      <c r="AE3139">
        <v>-0.50339999999999896</v>
      </c>
      <c r="AF3139">
        <v>-0.41872534129933697</v>
      </c>
      <c r="AG3139">
        <v>-1.108688355697</v>
      </c>
      <c r="AH3139">
        <v>19.694755209083201</v>
      </c>
      <c r="AI3139">
        <v>93.221257770608801</v>
      </c>
      <c r="AJ3139">
        <v>91.217967967945199</v>
      </c>
      <c r="AK3139">
        <v>19.7303802175025</v>
      </c>
      <c r="AL3139">
        <v>88.630311316034806</v>
      </c>
      <c r="AM3139">
        <v>97.448832775859103</v>
      </c>
      <c r="AN3139">
        <v>0.99999998266093404</v>
      </c>
    </row>
    <row r="3140" spans="1:40" x14ac:dyDescent="0.25">
      <c r="A3140" t="str">
        <f>"20190305135650208"</f>
        <v>20190305135650208</v>
      </c>
      <c r="B3140" t="str">
        <f>"1551765410195414"</f>
        <v>1551765410195414</v>
      </c>
      <c r="C3140" t="s">
        <v>40</v>
      </c>
      <c r="D3140">
        <v>3.8961869999999998</v>
      </c>
      <c r="E3140">
        <v>0.54039219999999999</v>
      </c>
      <c r="F3140" t="s">
        <v>73</v>
      </c>
      <c r="G3140">
        <v>-306.91829999999999</v>
      </c>
      <c r="H3140" s="1">
        <v>-9.4700040000000001E-6</v>
      </c>
      <c r="I3140">
        <v>141.0283</v>
      </c>
      <c r="J3140">
        <v>-286.88369999999998</v>
      </c>
      <c r="K3140">
        <v>1.108692</v>
      </c>
      <c r="L3140">
        <v>141.5224</v>
      </c>
      <c r="M3140">
        <v>-0.9999576</v>
      </c>
      <c r="N3140">
        <v>-7.8675169999999992E-3</v>
      </c>
      <c r="O3140">
        <v>-4.8031269999999999E-3</v>
      </c>
      <c r="P3140">
        <v>-0.99088790000000004</v>
      </c>
      <c r="Q3140">
        <v>1.671518E-2</v>
      </c>
      <c r="R3140">
        <v>-0.13364879999999901</v>
      </c>
      <c r="S3140">
        <v>-3.0204469999999999</v>
      </c>
      <c r="T3140">
        <v>-0.1630627</v>
      </c>
      <c r="U3140">
        <v>-7.3028560000000006E-2</v>
      </c>
      <c r="V3140">
        <v>-0.12892690000000001</v>
      </c>
      <c r="W3140">
        <v>2.43085E-2</v>
      </c>
      <c r="X3140">
        <v>0.99135609999999996</v>
      </c>
      <c r="Y3140">
        <v>-1.9341690000000002E-2</v>
      </c>
      <c r="Z3140">
        <v>-3.764873E-4</v>
      </c>
      <c r="AA3140">
        <v>0.99981279999999995</v>
      </c>
      <c r="AB3140">
        <v>47</v>
      </c>
      <c r="AC3140">
        <v>-20.034600000000001</v>
      </c>
      <c r="AD3140">
        <v>-1.1087014700040001</v>
      </c>
      <c r="AE3140">
        <v>-0.49410000000000298</v>
      </c>
      <c r="AF3140">
        <v>-0.39664862672148399</v>
      </c>
      <c r="AG3140">
        <v>-1.1087014700040001</v>
      </c>
      <c r="AH3140">
        <v>19.975605233064901</v>
      </c>
      <c r="AI3140">
        <v>93.176190341464107</v>
      </c>
      <c r="AJ3140">
        <v>91.137552820616193</v>
      </c>
      <c r="AK3140">
        <v>20.010281195173601</v>
      </c>
      <c r="AL3140">
        <v>88.607088317535599</v>
      </c>
      <c r="AM3140">
        <v>97.409788350868695</v>
      </c>
      <c r="AN3140">
        <v>0.99999998286153402</v>
      </c>
    </row>
    <row r="3141" spans="1:40" x14ac:dyDescent="0.25">
      <c r="A3141" t="str">
        <f>"20190305135650228"</f>
        <v>20190305135650228</v>
      </c>
      <c r="B3141" t="str">
        <f>"1551765410225670"</f>
        <v>1551765410225670</v>
      </c>
      <c r="C3141" t="s">
        <v>40</v>
      </c>
      <c r="D3141">
        <v>3.9243250000000001</v>
      </c>
      <c r="E3141">
        <v>0.5408404</v>
      </c>
      <c r="F3141" t="s">
        <v>73</v>
      </c>
      <c r="G3141">
        <v>-308.20240000000001</v>
      </c>
      <c r="H3141" s="1">
        <v>-9.6556600000000003E-6</v>
      </c>
      <c r="I3141">
        <v>141.0325</v>
      </c>
      <c r="J3141">
        <v>-287.32510000000002</v>
      </c>
      <c r="K3141">
        <v>1.108724</v>
      </c>
      <c r="L3141">
        <v>141.51990000000001</v>
      </c>
      <c r="M3141">
        <v>-0.99995420000000002</v>
      </c>
      <c r="N3141">
        <v>-7.9702160000000005E-3</v>
      </c>
      <c r="O3141">
        <v>-5.3151680000000003E-3</v>
      </c>
      <c r="P3141">
        <v>-0.99087570000000003</v>
      </c>
      <c r="Q3141">
        <v>1.6975529999999999E-2</v>
      </c>
      <c r="R3141">
        <v>-0.13370779999999999</v>
      </c>
      <c r="S3141">
        <v>-3.0208439999999999</v>
      </c>
      <c r="T3141">
        <v>-0.15710209999999999</v>
      </c>
      <c r="U3141">
        <v>-6.9412230000000005E-2</v>
      </c>
      <c r="V3141">
        <v>-0.12847900000000001</v>
      </c>
      <c r="W3141">
        <v>2.467126E-2</v>
      </c>
      <c r="X3141">
        <v>0.99140530000000004</v>
      </c>
      <c r="Y3141">
        <v>-1.7635120000000001E-2</v>
      </c>
      <c r="Z3141">
        <v>-2.9468119999999999E-4</v>
      </c>
      <c r="AA3141">
        <v>0.99984439999999997</v>
      </c>
      <c r="AB3141">
        <v>47</v>
      </c>
      <c r="AC3141">
        <v>-20.877299999999899</v>
      </c>
      <c r="AD3141">
        <v>-1.10873365566</v>
      </c>
      <c r="AE3141">
        <v>-0.48740000000000799</v>
      </c>
      <c r="AF3141">
        <v>-0.37536515178858998</v>
      </c>
      <c r="AG3141">
        <v>-1.10873365566</v>
      </c>
      <c r="AH3141">
        <v>20.820905142875301</v>
      </c>
      <c r="AI3141">
        <v>93.047683219436195</v>
      </c>
      <c r="AJ3141">
        <v>91.032832589987606</v>
      </c>
      <c r="AK3141">
        <v>20.853783356623399</v>
      </c>
      <c r="AL3141">
        <v>88.586297484005399</v>
      </c>
      <c r="AM3141">
        <v>97.383968471103998</v>
      </c>
      <c r="AN3141">
        <v>0.99999999668953798</v>
      </c>
    </row>
    <row r="3142" spans="1:40" x14ac:dyDescent="0.25">
      <c r="A3142" t="str">
        <f>"20190305135650250"</f>
        <v>20190305135650250</v>
      </c>
      <c r="B3142" t="str">
        <f>"1551765410245190"</f>
        <v>1551765410245190</v>
      </c>
      <c r="C3142" t="s">
        <v>40</v>
      </c>
      <c r="D3142">
        <v>3.957376</v>
      </c>
      <c r="E3142">
        <v>0.54107150000000004</v>
      </c>
      <c r="F3142" t="s">
        <v>73</v>
      </c>
      <c r="G3142">
        <v>-309.64100000000002</v>
      </c>
      <c r="H3142" s="1">
        <v>-9.8613449999999997E-6</v>
      </c>
      <c r="I3142">
        <v>141.02940000000001</v>
      </c>
      <c r="J3142">
        <v>-287.76260000000002</v>
      </c>
      <c r="K3142">
        <v>1.1087769999999999</v>
      </c>
      <c r="L3142">
        <v>141.51730000000001</v>
      </c>
      <c r="M3142">
        <v>-0.99994939999999999</v>
      </c>
      <c r="N3142">
        <v>-8.2055949999999996E-3</v>
      </c>
      <c r="O3142">
        <v>-5.8209660000000003E-3</v>
      </c>
      <c r="P3142">
        <v>-0.99073149999999999</v>
      </c>
      <c r="Q3142">
        <v>1.7420499999999998E-2</v>
      </c>
      <c r="R3142">
        <v>-0.134714</v>
      </c>
      <c r="S3142">
        <v>-3.02121</v>
      </c>
      <c r="T3142">
        <v>-0.15010419999999999</v>
      </c>
      <c r="U3142">
        <v>-6.640625E-2</v>
      </c>
      <c r="V3142">
        <v>-0.12898599999999999</v>
      </c>
      <c r="W3142">
        <v>2.5346250000000001E-2</v>
      </c>
      <c r="X3142">
        <v>0.9913225</v>
      </c>
      <c r="Y3142">
        <v>-1.6136399999999999E-2</v>
      </c>
      <c r="Z3142">
        <v>-2.2557100000000001E-4</v>
      </c>
      <c r="AA3142">
        <v>0.99986980000000003</v>
      </c>
      <c r="AB3142">
        <v>47</v>
      </c>
      <c r="AC3142">
        <v>-21.8783999999999</v>
      </c>
      <c r="AD3142">
        <v>-1.108786861345</v>
      </c>
      <c r="AE3142">
        <v>-0.487899999999996</v>
      </c>
      <c r="AF3142">
        <v>-0.35961085394589598</v>
      </c>
      <c r="AG3142">
        <v>-1.108786861345</v>
      </c>
      <c r="AH3142">
        <v>21.824842090407799</v>
      </c>
      <c r="AI3142">
        <v>92.907953931823698</v>
      </c>
      <c r="AJ3142">
        <v>90.943984830023297</v>
      </c>
      <c r="AK3142">
        <v>21.855947944241699</v>
      </c>
      <c r="AL3142">
        <v>88.547611396809899</v>
      </c>
      <c r="AM3142">
        <v>97.413395688109105</v>
      </c>
      <c r="AN3142">
        <v>1.00000005979565</v>
      </c>
    </row>
    <row r="3143" spans="1:40" x14ac:dyDescent="0.25">
      <c r="A3143" t="str">
        <f>"20190305135650273"</f>
        <v>20190305135650273</v>
      </c>
      <c r="B3143" t="str">
        <f>"1551765410265686"</f>
        <v>1551765410265686</v>
      </c>
      <c r="C3143" t="s">
        <v>40</v>
      </c>
      <c r="D3143">
        <v>3.9427970000000001</v>
      </c>
      <c r="E3143">
        <v>0.54152419999999901</v>
      </c>
      <c r="F3143" t="s">
        <v>73</v>
      </c>
      <c r="G3143">
        <v>-311.0514</v>
      </c>
      <c r="H3143" s="1">
        <v>-9.4385979999999992E-6</v>
      </c>
      <c r="I3143">
        <v>140.99459999999999</v>
      </c>
      <c r="J3143">
        <v>-288.2534</v>
      </c>
      <c r="K3143">
        <v>1.108894</v>
      </c>
      <c r="L3143">
        <v>141.51410000000001</v>
      </c>
      <c r="M3143">
        <v>-0.99994179999999999</v>
      </c>
      <c r="N3143">
        <v>-8.6965400000000009E-3</v>
      </c>
      <c r="O3143">
        <v>-6.3802069999999997E-3</v>
      </c>
      <c r="P3143">
        <v>-0.99058400000000002</v>
      </c>
      <c r="Q3143">
        <v>1.691088E-2</v>
      </c>
      <c r="R3143">
        <v>-0.1358586</v>
      </c>
      <c r="S3143">
        <v>-3.0213619999999999</v>
      </c>
      <c r="T3143">
        <v>-0.14384759999999999</v>
      </c>
      <c r="U3143">
        <v>-6.7810060000000005E-2</v>
      </c>
      <c r="V3143">
        <v>-0.12957739999999901</v>
      </c>
      <c r="W3143">
        <v>2.5319560000000001E-2</v>
      </c>
      <c r="X3143">
        <v>0.99124599999999996</v>
      </c>
      <c r="Y3143">
        <v>-1.6041929999999999E-2</v>
      </c>
      <c r="Z3143">
        <v>-2.0333640000000001E-4</v>
      </c>
      <c r="AA3143">
        <v>0.99987130000000002</v>
      </c>
      <c r="AB3143">
        <v>47</v>
      </c>
      <c r="AC3143">
        <v>-22.797999999999998</v>
      </c>
      <c r="AD3143">
        <v>-1.1089034385979999</v>
      </c>
      <c r="AE3143">
        <v>-0.51950000000002206</v>
      </c>
      <c r="AF3143">
        <v>-0.37314559910914502</v>
      </c>
      <c r="AG3143">
        <v>-1.1089034385979999</v>
      </c>
      <c r="AH3143">
        <v>22.7470615408991</v>
      </c>
      <c r="AI3143">
        <v>92.790545112953694</v>
      </c>
      <c r="AJ3143">
        <v>90.939802731071495</v>
      </c>
      <c r="AK3143">
        <v>22.7771313650275</v>
      </c>
      <c r="AL3143">
        <v>88.549141036278101</v>
      </c>
      <c r="AM3143">
        <v>97.447573673114405</v>
      </c>
      <c r="AN3143">
        <v>1.00000000761267</v>
      </c>
    </row>
    <row r="3144" spans="1:40" x14ac:dyDescent="0.25">
      <c r="A3144" t="str">
        <f>"20190305135650294"</f>
        <v>20190305135650294</v>
      </c>
      <c r="B3144" t="str">
        <f>"1551765410285206"</f>
        <v>1551765410285206</v>
      </c>
      <c r="C3144" t="s">
        <v>40</v>
      </c>
      <c r="D3144">
        <v>3.9263210000000002</v>
      </c>
      <c r="E3144">
        <v>0.54198869999999999</v>
      </c>
      <c r="F3144" t="s">
        <v>73</v>
      </c>
      <c r="G3144">
        <v>-312.09309999999999</v>
      </c>
      <c r="H3144" s="1">
        <v>-9.0423639999999999E-6</v>
      </c>
      <c r="I3144">
        <v>140.97909999999999</v>
      </c>
      <c r="J3144">
        <v>-288.72000000000003</v>
      </c>
      <c r="K3144">
        <v>1.10902099999999</v>
      </c>
      <c r="L3144">
        <v>141.51070000000001</v>
      </c>
      <c r="M3144">
        <v>-0.99993319999999997</v>
      </c>
      <c r="N3144">
        <v>-9.2788990000000002E-3</v>
      </c>
      <c r="O3144">
        <v>-6.9004979999999997E-3</v>
      </c>
      <c r="P3144">
        <v>-0.99045360000000005</v>
      </c>
      <c r="Q3144">
        <v>1.5996139999999999E-2</v>
      </c>
      <c r="R3144">
        <v>-0.13691710000000001</v>
      </c>
      <c r="S3144">
        <v>-3.0216059999999998</v>
      </c>
      <c r="T3144">
        <v>-0.1405497</v>
      </c>
      <c r="U3144">
        <v>-6.7810060000000005E-2</v>
      </c>
      <c r="V3144">
        <v>-0.13012019999999999</v>
      </c>
      <c r="W3144">
        <v>2.49792E-2</v>
      </c>
      <c r="X3144">
        <v>0.9911835</v>
      </c>
      <c r="Y3144">
        <v>-1.5521139999999999E-2</v>
      </c>
      <c r="Z3144">
        <v>-1.7605060000000001E-4</v>
      </c>
      <c r="AA3144">
        <v>0.99987950000000003</v>
      </c>
      <c r="AB3144">
        <v>47</v>
      </c>
      <c r="AC3144">
        <v>-23.373099999999901</v>
      </c>
      <c r="AD3144">
        <v>-1.1090300423639901</v>
      </c>
      <c r="AE3144">
        <v>-0.53160000000002505</v>
      </c>
      <c r="AF3144">
        <v>-0.36946299690489198</v>
      </c>
      <c r="AG3144">
        <v>-1.1090300423639901</v>
      </c>
      <c r="AH3144">
        <v>23.323727879453799</v>
      </c>
      <c r="AI3144">
        <v>92.721990422024703</v>
      </c>
      <c r="AJ3144">
        <v>90.907526455190407</v>
      </c>
      <c r="AK3144">
        <v>23.353002649247401</v>
      </c>
      <c r="AL3144">
        <v>88.568648356549801</v>
      </c>
      <c r="AM3144">
        <v>97.478885393695506</v>
      </c>
      <c r="AN3144">
        <v>0.99999997877646396</v>
      </c>
    </row>
    <row r="3145" spans="1:40" x14ac:dyDescent="0.25">
      <c r="A3145" t="str">
        <f>"20190305135650316"</f>
        <v>20190305135650316</v>
      </c>
      <c r="B3145" t="str">
        <f>"1551765410305706"</f>
        <v>1551765410305706</v>
      </c>
      <c r="C3145" t="s">
        <v>40</v>
      </c>
      <c r="D3145">
        <v>3.9172609999999999</v>
      </c>
      <c r="E3145">
        <v>0.54238719999999996</v>
      </c>
      <c r="F3145" t="s">
        <v>73</v>
      </c>
      <c r="G3145">
        <v>-312.9128</v>
      </c>
      <c r="H3145" s="1">
        <v>-8.7312329999999905E-6</v>
      </c>
      <c r="I3145">
        <v>140.9693</v>
      </c>
      <c r="J3145">
        <v>-289.16329999999999</v>
      </c>
      <c r="K3145">
        <v>1.1091219999999999</v>
      </c>
      <c r="L3145">
        <v>141.50729999999999</v>
      </c>
      <c r="M3145">
        <v>-0.99992440000000005</v>
      </c>
      <c r="N3145">
        <v>-9.8367999999999997E-3</v>
      </c>
      <c r="O3145">
        <v>-7.3971610000000002E-3</v>
      </c>
      <c r="P3145">
        <v>-0.99034829999999996</v>
      </c>
      <c r="Q3145">
        <v>1.462863E-2</v>
      </c>
      <c r="R3145">
        <v>-0.13782809999999901</v>
      </c>
      <c r="S3145">
        <v>-3.02182</v>
      </c>
      <c r="T3145">
        <v>-0.13852449999999999</v>
      </c>
      <c r="U3145">
        <v>-6.7626950000000005E-2</v>
      </c>
      <c r="V3145">
        <v>-0.13053870000000001</v>
      </c>
      <c r="W3145">
        <v>2.4162630000000001E-2</v>
      </c>
      <c r="X3145">
        <v>0.99114869999999999</v>
      </c>
      <c r="Y3145">
        <v>-1.496337E-2</v>
      </c>
      <c r="Z3145">
        <v>-1.502644E-4</v>
      </c>
      <c r="AA3145">
        <v>0.999888</v>
      </c>
      <c r="AB3145">
        <v>47</v>
      </c>
      <c r="AC3145">
        <v>-23.749500000000001</v>
      </c>
      <c r="AD3145">
        <v>-1.1091307312330001</v>
      </c>
      <c r="AE3145">
        <v>-0.53799999999998205</v>
      </c>
      <c r="AF3145">
        <v>-0.361509878805855</v>
      </c>
      <c r="AG3145">
        <v>-1.1091307312330001</v>
      </c>
      <c r="AH3145">
        <v>23.701164200878999</v>
      </c>
      <c r="AI3145">
        <v>92.678974199300001</v>
      </c>
      <c r="AJ3145">
        <v>90.8738551436454</v>
      </c>
      <c r="AK3145">
        <v>23.7298555589466</v>
      </c>
      <c r="AL3145">
        <v>88.615448484176895</v>
      </c>
      <c r="AM3145">
        <v>97.502926238896194</v>
      </c>
      <c r="AN3145">
        <v>0.99999996519894696</v>
      </c>
    </row>
    <row r="3146" spans="1:40" x14ac:dyDescent="0.25">
      <c r="A3146" t="str">
        <f>"20190305135650338"</f>
        <v>20190305135650338</v>
      </c>
      <c r="B3146" t="str">
        <f>"1551765410335958"</f>
        <v>1551765410335958</v>
      </c>
      <c r="C3146" t="s">
        <v>40</v>
      </c>
      <c r="D3146">
        <v>3.9342730000000001</v>
      </c>
      <c r="E3146">
        <v>0.54285629999999996</v>
      </c>
      <c r="F3146" t="s">
        <v>73</v>
      </c>
      <c r="G3146">
        <v>-313.22570000000002</v>
      </c>
      <c r="H3146" s="1">
        <v>-8.6134169999999994E-6</v>
      </c>
      <c r="I3146">
        <v>140.9693</v>
      </c>
      <c r="J3146">
        <v>-289.6087</v>
      </c>
      <c r="K3146">
        <v>1.109192</v>
      </c>
      <c r="L3146">
        <v>141.50360000000001</v>
      </c>
      <c r="M3146">
        <v>-0.9999152</v>
      </c>
      <c r="N3146">
        <v>-1.036016E-2</v>
      </c>
      <c r="O3146">
        <v>-7.9007739999999993E-3</v>
      </c>
      <c r="P3146">
        <v>-0.99025870000000005</v>
      </c>
      <c r="Q3146">
        <v>1.370392E-2</v>
      </c>
      <c r="R3146">
        <v>-0.13856550000000001</v>
      </c>
      <c r="S3146">
        <v>-3.0219119999999999</v>
      </c>
      <c r="T3146">
        <v>-0.13929140000000001</v>
      </c>
      <c r="U3146">
        <v>-6.7565920000000002E-2</v>
      </c>
      <c r="V3146">
        <v>-0.1307768</v>
      </c>
      <c r="W3146">
        <v>2.3755999999999999E-2</v>
      </c>
      <c r="X3146">
        <v>0.99112719999999999</v>
      </c>
      <c r="Y3146">
        <v>-1.443943E-2</v>
      </c>
      <c r="Z3146">
        <v>-1.2531019999999999E-4</v>
      </c>
      <c r="AA3146">
        <v>0.9998958</v>
      </c>
      <c r="AB3146">
        <v>47</v>
      </c>
      <c r="AC3146">
        <v>-23.617000000000001</v>
      </c>
      <c r="AD3146">
        <v>-1.109200613417</v>
      </c>
      <c r="AE3146">
        <v>-0.534300000000001</v>
      </c>
      <c r="AF3146">
        <v>-0.34691589912588899</v>
      </c>
      <c r="AG3146">
        <v>-1.109200613417</v>
      </c>
      <c r="AH3146">
        <v>23.568523001514901</v>
      </c>
      <c r="AI3146">
        <v>92.694220027123507</v>
      </c>
      <c r="AJ3146">
        <v>90.843301955374102</v>
      </c>
      <c r="AK3146">
        <v>23.597159852719798</v>
      </c>
      <c r="AL3146">
        <v>88.638753436378906</v>
      </c>
      <c r="AM3146">
        <v>97.516616278374499</v>
      </c>
      <c r="AN3146">
        <v>1.00000002276703</v>
      </c>
    </row>
    <row r="3147" spans="1:40" x14ac:dyDescent="0.25">
      <c r="A3147" t="str">
        <f>"20190305135650361"</f>
        <v>20190305135650361</v>
      </c>
      <c r="B3147" t="str">
        <f>"1551765410355479"</f>
        <v>1551765410355479</v>
      </c>
      <c r="C3147" t="s">
        <v>40</v>
      </c>
      <c r="D3147">
        <v>4.1825239999999999</v>
      </c>
      <c r="E3147">
        <v>0.54319709999999999</v>
      </c>
      <c r="F3147" t="s">
        <v>73</v>
      </c>
      <c r="G3147">
        <v>-314.07229999999998</v>
      </c>
      <c r="H3147" s="1">
        <v>-8.2939170000000002E-6</v>
      </c>
      <c r="I3147">
        <v>140.96619999999999</v>
      </c>
      <c r="J3147">
        <v>-290.09010000000001</v>
      </c>
      <c r="K3147">
        <v>1.1092420000000001</v>
      </c>
      <c r="L3147">
        <v>141.49940000000001</v>
      </c>
      <c r="M3147">
        <v>-0.99990520000000005</v>
      </c>
      <c r="N3147">
        <v>-1.087871E-2</v>
      </c>
      <c r="O3147">
        <v>-8.4472569999999997E-3</v>
      </c>
      <c r="P3147">
        <v>-0.99017169999999999</v>
      </c>
      <c r="Q3147">
        <v>1.262316E-2</v>
      </c>
      <c r="R3147">
        <v>-0.1392871</v>
      </c>
      <c r="S3147">
        <v>-3.022125</v>
      </c>
      <c r="T3147">
        <v>-0.137025799999999</v>
      </c>
      <c r="U3147">
        <v>-6.6390989999999997E-2</v>
      </c>
      <c r="V3147">
        <v>-0.13095619999999999</v>
      </c>
      <c r="W3147">
        <v>2.31892E-2</v>
      </c>
      <c r="X3147">
        <v>0.99111689999999997</v>
      </c>
      <c r="Y3147">
        <v>-1.350432E-2</v>
      </c>
      <c r="Z3147" s="1">
        <v>-8.8570419999999895E-5</v>
      </c>
      <c r="AA3147">
        <v>0.99990880000000004</v>
      </c>
      <c r="AB3147">
        <v>47</v>
      </c>
      <c r="AC3147">
        <v>-23.982199999999899</v>
      </c>
      <c r="AD3147">
        <v>-1.1092502939169999</v>
      </c>
      <c r="AE3147">
        <v>-0.53320000000002199</v>
      </c>
      <c r="AF3147">
        <v>-0.32987981130641802</v>
      </c>
      <c r="AG3147">
        <v>-1.1092502939169999</v>
      </c>
      <c r="AH3147">
        <v>23.934669343918902</v>
      </c>
      <c r="AI3147">
        <v>92.6532179239599</v>
      </c>
      <c r="AJ3147">
        <v>90.789629638115699</v>
      </c>
      <c r="AK3147">
        <v>23.962630354516399</v>
      </c>
      <c r="AL3147">
        <v>88.671237586914799</v>
      </c>
      <c r="AM3147">
        <v>97.5268867758395</v>
      </c>
      <c r="AN3147">
        <v>0.99999998739034401</v>
      </c>
    </row>
    <row r="3148" spans="1:40" x14ac:dyDescent="0.25">
      <c r="A3148" t="str">
        <f>"20190305135650383"</f>
        <v>20190305135650383</v>
      </c>
      <c r="B3148" t="str">
        <f>"1551765410374998"</f>
        <v>1551765410374998</v>
      </c>
      <c r="C3148" t="s">
        <v>40</v>
      </c>
      <c r="D3148">
        <v>4.1804620000000003</v>
      </c>
      <c r="E3148">
        <v>0.54334910000000003</v>
      </c>
      <c r="F3148" t="s">
        <v>73</v>
      </c>
      <c r="G3148">
        <v>-314.69159999999999</v>
      </c>
      <c r="H3148" s="1">
        <v>-8.0596479999999995E-6</v>
      </c>
      <c r="I3148">
        <v>140.96180000000001</v>
      </c>
      <c r="J3148">
        <v>-290.55549999999999</v>
      </c>
      <c r="K3148">
        <v>1.1092799999999901</v>
      </c>
      <c r="L3148">
        <v>141.495</v>
      </c>
      <c r="M3148">
        <v>-0.99989550000000005</v>
      </c>
      <c r="N3148">
        <v>-1.133734E-2</v>
      </c>
      <c r="O3148">
        <v>-8.9755789999999992E-3</v>
      </c>
      <c r="P3148">
        <v>-0.99013649999999997</v>
      </c>
      <c r="Q3148">
        <v>1.1986749999999999E-2</v>
      </c>
      <c r="R3148">
        <v>-0.13959250000000001</v>
      </c>
      <c r="S3148">
        <v>-3.0222169999999999</v>
      </c>
      <c r="T3148">
        <v>-0.136268</v>
      </c>
      <c r="U3148">
        <v>-6.6040039999999994E-2</v>
      </c>
      <c r="V3148">
        <v>-0.13073789999999999</v>
      </c>
      <c r="W3148">
        <v>2.3009000000000002E-2</v>
      </c>
      <c r="X3148">
        <v>0.99114990000000003</v>
      </c>
      <c r="Y3148">
        <v>-1.2860170000000001E-2</v>
      </c>
      <c r="Z3148" s="1">
        <v>-5.9985339999999999E-5</v>
      </c>
      <c r="AA3148">
        <v>0.99991730000000001</v>
      </c>
      <c r="AB3148">
        <v>47</v>
      </c>
      <c r="AC3148">
        <v>-24.136099999999999</v>
      </c>
      <c r="AD3148">
        <v>-1.1092880596479999</v>
      </c>
      <c r="AE3148">
        <v>-0.53319999999999301</v>
      </c>
      <c r="AF3148">
        <v>-0.31586226586348198</v>
      </c>
      <c r="AG3148">
        <v>-1.1092880596479999</v>
      </c>
      <c r="AH3148">
        <v>24.089055366636199</v>
      </c>
      <c r="AI3148">
        <v>92.636350947622802</v>
      </c>
      <c r="AJ3148">
        <v>90.751234840499706</v>
      </c>
      <c r="AK3148">
        <v>24.116651455522099</v>
      </c>
      <c r="AL3148">
        <v>88.6815650170862</v>
      </c>
      <c r="AM3148">
        <v>97.514235856308204</v>
      </c>
      <c r="AN3148">
        <v>0.99999996842370897</v>
      </c>
    </row>
    <row r="3149" spans="1:40" x14ac:dyDescent="0.25">
      <c r="A3149" t="str">
        <f>"20190305135650406"</f>
        <v>20190305135650406</v>
      </c>
      <c r="B3149" t="str">
        <f>"1551765410395494"</f>
        <v>1551765410395494</v>
      </c>
      <c r="C3149" t="s">
        <v>40</v>
      </c>
      <c r="D3149">
        <v>3.9914429999999999</v>
      </c>
      <c r="E3149">
        <v>0.54907490000000003</v>
      </c>
      <c r="F3149" t="s">
        <v>73</v>
      </c>
      <c r="G3149">
        <v>-315.14640000000003</v>
      </c>
      <c r="H3149" s="1">
        <v>-7.8751909999999906E-6</v>
      </c>
      <c r="I3149">
        <v>140.95949999999999</v>
      </c>
      <c r="J3149">
        <v>-291.02390000000003</v>
      </c>
      <c r="K3149">
        <v>1.109308</v>
      </c>
      <c r="L3149">
        <v>141.49039999999999</v>
      </c>
      <c r="M3149">
        <v>-0.99988580000000005</v>
      </c>
      <c r="N3149">
        <v>-1.175642E-2</v>
      </c>
      <c r="O3149">
        <v>-9.5070550000000004E-3</v>
      </c>
      <c r="P3149">
        <v>-0.99007529999999999</v>
      </c>
      <c r="Q3149">
        <v>1.208151E-2</v>
      </c>
      <c r="R3149">
        <v>-0.14001830000000001</v>
      </c>
      <c r="S3149">
        <v>-3.0222169999999999</v>
      </c>
      <c r="T3149">
        <v>-0.1363316</v>
      </c>
      <c r="U3149">
        <v>-6.5811159999999994E-2</v>
      </c>
      <c r="V3149">
        <v>-0.13063759999999999</v>
      </c>
      <c r="W3149">
        <v>2.3520510000000001E-2</v>
      </c>
      <c r="X3149">
        <v>0.99115120000000001</v>
      </c>
      <c r="Y3149">
        <v>-1.2253760000000001E-2</v>
      </c>
      <c r="Z3149" s="1">
        <v>-3.1441639999999997E-5</v>
      </c>
      <c r="AA3149">
        <v>0.99992490000000001</v>
      </c>
      <c r="AB3149">
        <v>47</v>
      </c>
      <c r="AC3149">
        <v>-24.122499999999999</v>
      </c>
      <c r="AD3149">
        <v>-1.1093158751909999</v>
      </c>
      <c r="AE3149">
        <v>-0.53090000000000204</v>
      </c>
      <c r="AF3149">
        <v>-0.300890233935036</v>
      </c>
      <c r="AG3149">
        <v>-1.1093158751909999</v>
      </c>
      <c r="AH3149">
        <v>24.075567370898298</v>
      </c>
      <c r="AI3149">
        <v>92.637912615859406</v>
      </c>
      <c r="AJ3149">
        <v>90.716030602348894</v>
      </c>
      <c r="AK3149">
        <v>24.1029886295143</v>
      </c>
      <c r="AL3149">
        <v>88.652249825893804</v>
      </c>
      <c r="AM3149">
        <v>97.508527121004406</v>
      </c>
      <c r="AN3149">
        <v>1.00000004909292</v>
      </c>
    </row>
    <row r="3150" spans="1:40" x14ac:dyDescent="0.25">
      <c r="A3150" t="str">
        <f>"20190305135650428"</f>
        <v>20190305135650428</v>
      </c>
      <c r="B3150" t="str">
        <f>"1551765410415014"</f>
        <v>1551765410415014</v>
      </c>
      <c r="C3150" t="s">
        <v>40</v>
      </c>
      <c r="D3150">
        <v>4.1177359999999998</v>
      </c>
      <c r="E3150">
        <v>0.54934609999999995</v>
      </c>
      <c r="F3150" t="s">
        <v>42</v>
      </c>
      <c r="G3150">
        <v>-335.31849999999997</v>
      </c>
      <c r="H3150" s="1">
        <v>-2.594295E-6</v>
      </c>
      <c r="I3150">
        <v>141.12289999999999</v>
      </c>
      <c r="J3150">
        <v>-291.48320000000001</v>
      </c>
      <c r="K3150">
        <v>1.109335</v>
      </c>
      <c r="L3150">
        <v>141.48560000000001</v>
      </c>
      <c r="M3150">
        <v>-0.99987610000000005</v>
      </c>
      <c r="N3150">
        <v>-1.212564E-2</v>
      </c>
      <c r="O3150">
        <v>-1.0028E-2</v>
      </c>
      <c r="P3150">
        <v>-0.99000259999999995</v>
      </c>
      <c r="Q3150">
        <v>1.22779E-2</v>
      </c>
      <c r="R3150">
        <v>-0.14051420000000001</v>
      </c>
      <c r="S3150">
        <v>-3.027466</v>
      </c>
      <c r="T3150">
        <v>-7.5819490000000003E-2</v>
      </c>
      <c r="U3150">
        <v>-2.5115970000000001E-2</v>
      </c>
      <c r="V3150">
        <v>-0.1306184</v>
      </c>
      <c r="W3150">
        <v>2.408445E-2</v>
      </c>
      <c r="X3150">
        <v>0.99114009999999997</v>
      </c>
      <c r="Y3150">
        <v>1.7314209999999999E-3</v>
      </c>
      <c r="Z3150">
        <v>1.616767E-4</v>
      </c>
      <c r="AA3150">
        <v>0.99999850000000001</v>
      </c>
      <c r="AB3150">
        <v>46</v>
      </c>
      <c r="AC3150">
        <v>-43.835299999999897</v>
      </c>
      <c r="AD3150">
        <v>-1.1093375942949999</v>
      </c>
      <c r="AE3150">
        <v>-0.36270000000001701</v>
      </c>
      <c r="AF3150">
        <v>7.6881755277930994E-2</v>
      </c>
      <c r="AG3150">
        <v>-1.1093375942949999</v>
      </c>
      <c r="AH3150">
        <v>43.808678010640598</v>
      </c>
      <c r="AI3150">
        <v>91.450550144598196</v>
      </c>
      <c r="AJ3150">
        <v>89.899449246660396</v>
      </c>
      <c r="AK3150">
        <v>43.822788703394899</v>
      </c>
      <c r="AL3150">
        <v>88.619929168583099</v>
      </c>
      <c r="AM3150">
        <v>97.507519288665094</v>
      </c>
      <c r="AN3150">
        <v>0.99999996248918499</v>
      </c>
    </row>
    <row r="3151" spans="1:40" x14ac:dyDescent="0.25">
      <c r="A3151" t="str">
        <f>"20190305135650451"</f>
        <v>20190305135650451</v>
      </c>
      <c r="B3151" t="str">
        <f>"1551765410445270"</f>
        <v>1551765410445270</v>
      </c>
      <c r="C3151" t="s">
        <v>40</v>
      </c>
      <c r="D3151">
        <v>3.9530959999999999</v>
      </c>
      <c r="E3151">
        <v>0.54793669999999906</v>
      </c>
      <c r="F3151" t="s">
        <v>42</v>
      </c>
      <c r="G3151">
        <v>-335.23660000000001</v>
      </c>
      <c r="H3151" s="1">
        <v>-2.6361250000000001E-6</v>
      </c>
      <c r="I3151">
        <v>141.13460000000001</v>
      </c>
      <c r="J3151">
        <v>-291.95310000000001</v>
      </c>
      <c r="K3151">
        <v>1.109359</v>
      </c>
      <c r="L3151">
        <v>141.4804</v>
      </c>
      <c r="M3151">
        <v>-0.9998667</v>
      </c>
      <c r="N3151">
        <v>-1.2460199999999999E-2</v>
      </c>
      <c r="O3151">
        <v>-1.0560679999999999E-2</v>
      </c>
      <c r="P3151">
        <v>-0.989981</v>
      </c>
      <c r="Q3151">
        <v>1.274293E-2</v>
      </c>
      <c r="R3151">
        <v>-0.140625</v>
      </c>
      <c r="S3151">
        <v>-3.027771</v>
      </c>
      <c r="T3151">
        <v>-7.6767089999999996E-2</v>
      </c>
      <c r="U3151">
        <v>-2.4291989999999999E-2</v>
      </c>
      <c r="V3151">
        <v>-0.13020180000000001</v>
      </c>
      <c r="W3151">
        <v>2.4884340000000001E-2</v>
      </c>
      <c r="X3151">
        <v>0.99117520000000003</v>
      </c>
      <c r="Y3151">
        <v>2.5367079999999999E-3</v>
      </c>
      <c r="Z3151">
        <v>1.840825E-4</v>
      </c>
      <c r="AA3151">
        <v>0.99999680000000002</v>
      </c>
      <c r="AB3151">
        <v>46</v>
      </c>
      <c r="AC3151">
        <v>-43.283499999999997</v>
      </c>
      <c r="AD3151">
        <v>-1.1093616361250001</v>
      </c>
      <c r="AE3151">
        <v>-0.345799999999997</v>
      </c>
      <c r="AF3151">
        <v>0.111284822796849</v>
      </c>
      <c r="AG3151">
        <v>-1.1093616361250001</v>
      </c>
      <c r="AH3151">
        <v>43.256324649026197</v>
      </c>
      <c r="AI3151">
        <v>91.469093827063205</v>
      </c>
      <c r="AJ3151">
        <v>89.852596431744104</v>
      </c>
      <c r="AK3151">
        <v>43.270690885326097</v>
      </c>
      <c r="AL3151">
        <v>88.574085166121705</v>
      </c>
      <c r="AM3151">
        <v>97.483584309406496</v>
      </c>
      <c r="AN3151">
        <v>1.00000000809775</v>
      </c>
    </row>
    <row r="3152" spans="1:40" x14ac:dyDescent="0.25">
      <c r="A3152" t="str">
        <f>"20190305135650473"</f>
        <v>20190305135650473</v>
      </c>
      <c r="B3152" t="str">
        <f>"1551765410465766"</f>
        <v>1551765410465766</v>
      </c>
      <c r="C3152" t="s">
        <v>40</v>
      </c>
      <c r="D3152">
        <v>4.140549</v>
      </c>
      <c r="E3152">
        <v>0.5477746</v>
      </c>
      <c r="F3152" t="s">
        <v>42</v>
      </c>
      <c r="G3152">
        <v>-328.38479999999998</v>
      </c>
      <c r="H3152" s="1">
        <v>-1.0593909999999999E-6</v>
      </c>
      <c r="I3152">
        <v>141.06010000000001</v>
      </c>
      <c r="J3152">
        <v>-292.41340000000002</v>
      </c>
      <c r="K3152">
        <v>1.109375</v>
      </c>
      <c r="L3152">
        <v>141.4752</v>
      </c>
      <c r="M3152">
        <v>-0.99985729999999995</v>
      </c>
      <c r="N3152">
        <v>-1.274845E-2</v>
      </c>
      <c r="O3152">
        <v>-1.107958E-2</v>
      </c>
      <c r="P3152">
        <v>-0.98995999999999995</v>
      </c>
      <c r="Q3152">
        <v>1.3006490000000001E-2</v>
      </c>
      <c r="R3152">
        <v>-0.14074890000000001</v>
      </c>
      <c r="S3152">
        <v>-3.0265810000000002</v>
      </c>
      <c r="T3152">
        <v>-9.2160820000000004E-2</v>
      </c>
      <c r="U3152">
        <v>-3.4912110000000003E-2</v>
      </c>
      <c r="V3152">
        <v>-0.12981189999999901</v>
      </c>
      <c r="W3152">
        <v>2.5436819999999999E-2</v>
      </c>
      <c r="X3152">
        <v>0.99121230000000005</v>
      </c>
      <c r="Y3152">
        <v>-4.5537630000000001E-4</v>
      </c>
      <c r="Z3152">
        <v>1.8620959999999999E-4</v>
      </c>
      <c r="AA3152">
        <v>0.99999990000000005</v>
      </c>
      <c r="AB3152">
        <v>46</v>
      </c>
      <c r="AC3152">
        <v>-35.971399999999903</v>
      </c>
      <c r="AD3152">
        <v>-1.109376059391</v>
      </c>
      <c r="AE3152">
        <v>-0.41509999999999497</v>
      </c>
      <c r="AF3152">
        <v>-1.64784312765992E-2</v>
      </c>
      <c r="AG3152">
        <v>-1.109376059391</v>
      </c>
      <c r="AH3152">
        <v>35.939612279062402</v>
      </c>
      <c r="AI3152">
        <v>91.768031957862704</v>
      </c>
      <c r="AJ3152">
        <v>90.026270302852794</v>
      </c>
      <c r="AK3152">
        <v>35.956733966660202</v>
      </c>
      <c r="AL3152">
        <v>88.542420346508294</v>
      </c>
      <c r="AM3152">
        <v>97.461150857307402</v>
      </c>
      <c r="AN3152">
        <v>0.99999999243230597</v>
      </c>
    </row>
    <row r="3153" spans="1:40" x14ac:dyDescent="0.25">
      <c r="A3153" t="str">
        <f>"20190305135650496"</f>
        <v>20190305135650496</v>
      </c>
      <c r="B3153" t="str">
        <f>"1551765410485286"</f>
        <v>1551765410485286</v>
      </c>
      <c r="C3153" t="s">
        <v>40</v>
      </c>
      <c r="D3153">
        <v>4.1502220000000003</v>
      </c>
      <c r="E3153">
        <v>0.56417759999999995</v>
      </c>
      <c r="F3153" t="s">
        <v>42</v>
      </c>
      <c r="G3153">
        <v>-328.09039999999999</v>
      </c>
      <c r="H3153" s="1">
        <v>-1.181966E-6</v>
      </c>
      <c r="I3153">
        <v>141.0461</v>
      </c>
      <c r="J3153">
        <v>-292.88900000000001</v>
      </c>
      <c r="K3153">
        <v>1.109383</v>
      </c>
      <c r="L3153">
        <v>141.46940000000001</v>
      </c>
      <c r="M3153">
        <v>-0.99984799999999996</v>
      </c>
      <c r="N3153">
        <v>-1.30102E-2</v>
      </c>
      <c r="O3153">
        <v>-1.1612259999999999E-2</v>
      </c>
      <c r="P3153">
        <v>-0.98985509999999999</v>
      </c>
      <c r="Q3153">
        <v>1.346426E-2</v>
      </c>
      <c r="R3153">
        <v>-0.14144129999999999</v>
      </c>
      <c r="S3153">
        <v>-3.0264890000000002</v>
      </c>
      <c r="T3153">
        <v>-9.4108819999999996E-2</v>
      </c>
      <c r="U3153">
        <v>-3.6392210000000001E-2</v>
      </c>
      <c r="V3153">
        <v>-0.1299778</v>
      </c>
      <c r="W3153">
        <v>2.6155649999999999E-2</v>
      </c>
      <c r="X3153">
        <v>0.99117180000000005</v>
      </c>
      <c r="Y3153">
        <v>-4.1209290000000001E-4</v>
      </c>
      <c r="Z3153">
        <v>2.0082140000000001E-4</v>
      </c>
      <c r="AA3153">
        <v>0.99999990000000005</v>
      </c>
      <c r="AB3153">
        <v>46</v>
      </c>
      <c r="AC3153">
        <v>-35.2013999999999</v>
      </c>
      <c r="AD3153">
        <v>-1.109384181966</v>
      </c>
      <c r="AE3153">
        <v>-0.423300000000011</v>
      </c>
      <c r="AF3153">
        <v>-1.44547182880092E-2</v>
      </c>
      <c r="AG3153">
        <v>-1.109384181966</v>
      </c>
      <c r="AH3153">
        <v>35.169016636245402</v>
      </c>
      <c r="AI3153">
        <v>91.806759530061299</v>
      </c>
      <c r="AJ3153">
        <v>90.023548975334805</v>
      </c>
      <c r="AK3153">
        <v>35.186512662703301</v>
      </c>
      <c r="AL3153">
        <v>88.501220633899607</v>
      </c>
      <c r="AM3153">
        <v>97.470880399014305</v>
      </c>
      <c r="AN3153">
        <v>0.99999994181749896</v>
      </c>
    </row>
    <row r="3154" spans="1:40" x14ac:dyDescent="0.25">
      <c r="A3154" t="str">
        <f>"20190305135650519"</f>
        <v>20190305135650519</v>
      </c>
      <c r="B3154" t="str">
        <f>"1551765410505786"</f>
        <v>1551765410505786</v>
      </c>
      <c r="C3154" t="s">
        <v>40</v>
      </c>
      <c r="D3154">
        <v>4.000216</v>
      </c>
      <c r="E3154">
        <v>0.62424659999999998</v>
      </c>
      <c r="F3154" t="s">
        <v>41</v>
      </c>
      <c r="G3154">
        <v>-293.90019999999998</v>
      </c>
      <c r="H3154">
        <v>1.0432889999999999</v>
      </c>
      <c r="I3154">
        <v>141.50200000000001</v>
      </c>
      <c r="J3154">
        <v>-293.36470000000003</v>
      </c>
      <c r="K3154">
        <v>1.109389</v>
      </c>
      <c r="L3154">
        <v>141.46350000000001</v>
      </c>
      <c r="M3154">
        <v>-0.99983880000000003</v>
      </c>
      <c r="N3154">
        <v>-1.3238929999999999E-2</v>
      </c>
      <c r="O3154">
        <v>-1.2138390000000001E-2</v>
      </c>
      <c r="P3154">
        <v>-0.989672</v>
      </c>
      <c r="Q3154">
        <v>1.325671E-2</v>
      </c>
      <c r="R3154">
        <v>-0.14273810000000001</v>
      </c>
      <c r="S3154">
        <v>-3.0474239999999999</v>
      </c>
      <c r="T3154">
        <v>-0.1992506</v>
      </c>
      <c r="U3154">
        <v>9.7564700000000004E-2</v>
      </c>
      <c r="V3154">
        <v>-0.1307547</v>
      </c>
      <c r="W3154">
        <v>2.6175199999999999E-2</v>
      </c>
      <c r="X3154">
        <v>0.99106910000000004</v>
      </c>
      <c r="Y3154">
        <v>4.4000549999999999E-2</v>
      </c>
      <c r="Z3154">
        <v>2.3603690000000002E-3</v>
      </c>
      <c r="AA3154">
        <v>0.99902869999999999</v>
      </c>
      <c r="AB3154">
        <v>46</v>
      </c>
      <c r="AC3154">
        <v>-0.53549999999995601</v>
      </c>
      <c r="AD3154">
        <v>-6.6100000000000006E-2</v>
      </c>
      <c r="AE3154">
        <v>3.8499999999999E-2</v>
      </c>
      <c r="AF3154">
        <v>4.43259426022867E-2</v>
      </c>
      <c r="AG3154">
        <v>-6.6100000000000006E-2</v>
      </c>
      <c r="AH3154">
        <v>0.52700477867484896</v>
      </c>
      <c r="AI3154">
        <v>97.124141611238699</v>
      </c>
      <c r="AJ3154">
        <v>85.192214679874198</v>
      </c>
      <c r="AK3154">
        <v>0.53298033353371199</v>
      </c>
      <c r="AL3154">
        <v>88.500100125216406</v>
      </c>
      <c r="AM3154">
        <v>97.515796105187903</v>
      </c>
      <c r="AN3154">
        <v>0.99999994682096804</v>
      </c>
    </row>
    <row r="3155" spans="1:40" x14ac:dyDescent="0.25">
      <c r="A3155" t="str">
        <f>"20190305135650539"</f>
        <v>20190305135650539</v>
      </c>
      <c r="B3155" t="str">
        <f>"1551765410535794"</f>
        <v>1551765410535794</v>
      </c>
      <c r="C3155" t="s">
        <v>40</v>
      </c>
      <c r="D3155">
        <v>4.0246399999999998</v>
      </c>
      <c r="E3155">
        <v>0.62956610000000002</v>
      </c>
      <c r="F3155" t="s">
        <v>41</v>
      </c>
      <c r="G3155">
        <v>-294.25549999999998</v>
      </c>
      <c r="H3155">
        <v>0.91106489999999996</v>
      </c>
      <c r="I3155">
        <v>141.63419999999999</v>
      </c>
      <c r="J3155">
        <v>-293.7876</v>
      </c>
      <c r="K3155">
        <v>1.1093869999999999</v>
      </c>
      <c r="L3155">
        <v>141.458</v>
      </c>
      <c r="M3155">
        <v>-0.99983069999999996</v>
      </c>
      <c r="N3155">
        <v>-1.3417170000000001E-2</v>
      </c>
      <c r="O3155">
        <v>-1.259703E-2</v>
      </c>
      <c r="P3155">
        <v>-0.98958880000000005</v>
      </c>
      <c r="Q3155">
        <v>1.287082E-2</v>
      </c>
      <c r="R3155">
        <v>-0.14334810000000001</v>
      </c>
      <c r="S3155">
        <v>-3.1269840000000002</v>
      </c>
      <c r="T3155">
        <v>-0.696161699999999</v>
      </c>
      <c r="U3155">
        <v>0.59877009999999997</v>
      </c>
      <c r="V3155">
        <v>-0.1309099</v>
      </c>
      <c r="W3155">
        <v>2.59688E-2</v>
      </c>
      <c r="X3155">
        <v>0.99105410000000005</v>
      </c>
      <c r="Y3155">
        <v>0.19525480000000001</v>
      </c>
      <c r="Z3155">
        <v>2.5205109999999999E-2</v>
      </c>
      <c r="AA3155">
        <v>0.98042859999999998</v>
      </c>
      <c r="AB3155">
        <v>46</v>
      </c>
      <c r="AC3155">
        <v>-0.46789999999998599</v>
      </c>
      <c r="AD3155">
        <v>-0.1983221</v>
      </c>
      <c r="AE3155">
        <v>0.176199999999994</v>
      </c>
      <c r="AF3155">
        <v>0.15732672326864799</v>
      </c>
      <c r="AG3155">
        <v>-0.1983221</v>
      </c>
      <c r="AH3155">
        <v>0.40233863155308203</v>
      </c>
      <c r="AI3155">
        <v>114.658621418077</v>
      </c>
      <c r="AJ3155">
        <v>68.642980044480197</v>
      </c>
      <c r="AK3155">
        <v>0.47535221430310598</v>
      </c>
      <c r="AL3155">
        <v>88.511930082424101</v>
      </c>
      <c r="AM3155">
        <v>97.524727440900193</v>
      </c>
      <c r="AN3155">
        <v>1.00000000480913</v>
      </c>
    </row>
    <row r="3156" spans="1:40" x14ac:dyDescent="0.25">
      <c r="A3156" t="str">
        <f>"20190305135650563"</f>
        <v>20190305135650563</v>
      </c>
      <c r="B3156" t="str">
        <f>"1551765410555314"</f>
        <v>1551765410555314</v>
      </c>
      <c r="C3156" t="s">
        <v>40</v>
      </c>
      <c r="D3156">
        <v>4.1671680000000002</v>
      </c>
      <c r="E3156">
        <v>0.62843499999999997</v>
      </c>
      <c r="F3156" t="s">
        <v>41</v>
      </c>
      <c r="G3156">
        <v>-294.66460000000001</v>
      </c>
      <c r="H3156">
        <v>0.90033009999999902</v>
      </c>
      <c r="I3156">
        <v>141.63759999999999</v>
      </c>
      <c r="J3156">
        <v>-294.2774</v>
      </c>
      <c r="K3156">
        <v>1.1093710000000001</v>
      </c>
      <c r="L3156">
        <v>141.45140000000001</v>
      </c>
      <c r="M3156">
        <v>-0.99982159999999998</v>
      </c>
      <c r="N3156">
        <v>-1.3597420000000001E-2</v>
      </c>
      <c r="O3156">
        <v>-1.3112820000000001E-2</v>
      </c>
      <c r="P3156">
        <v>-0.98954470000000005</v>
      </c>
      <c r="Q3156">
        <v>1.227906E-2</v>
      </c>
      <c r="R3156">
        <v>-0.14370339999999901</v>
      </c>
      <c r="S3156">
        <v>-3.1342469999999998</v>
      </c>
      <c r="T3156">
        <v>-0.74713739999999995</v>
      </c>
      <c r="U3156">
        <v>0.6417389</v>
      </c>
      <c r="V3156">
        <v>-0.13075300000000001</v>
      </c>
      <c r="W3156">
        <v>2.5560759999999998E-2</v>
      </c>
      <c r="X3156">
        <v>0.99108540000000001</v>
      </c>
      <c r="Y3156">
        <v>0.2071896</v>
      </c>
      <c r="Z3156">
        <v>2.8435479999999999E-2</v>
      </c>
      <c r="AA3156">
        <v>0.97788750000000002</v>
      </c>
      <c r="AB3156">
        <v>46</v>
      </c>
      <c r="AC3156">
        <v>-0.38720000000000698</v>
      </c>
      <c r="AD3156">
        <v>-0.2090409</v>
      </c>
      <c r="AE3156">
        <v>0.18619999999998499</v>
      </c>
      <c r="AF3156">
        <v>0.15465178366202501</v>
      </c>
      <c r="AG3156">
        <v>-0.2090409</v>
      </c>
      <c r="AH3156">
        <v>0.31108358152826998</v>
      </c>
      <c r="AI3156">
        <v>121.036214691097</v>
      </c>
      <c r="AJ3156">
        <v>63.566236973538103</v>
      </c>
      <c r="AK3156">
        <v>0.40544822944379899</v>
      </c>
      <c r="AL3156">
        <v>88.535316786624406</v>
      </c>
      <c r="AM3156">
        <v>97.515577311228299</v>
      </c>
      <c r="AN3156">
        <v>0.99999998477696805</v>
      </c>
    </row>
    <row r="3157" spans="1:40" x14ac:dyDescent="0.25">
      <c r="A3157" t="str">
        <f>"20190305135650584"</f>
        <v>20190305135650584</v>
      </c>
      <c r="B3157" t="str">
        <f>"1551765410575810"</f>
        <v>1551765410575810</v>
      </c>
      <c r="C3157" t="s">
        <v>40</v>
      </c>
      <c r="D3157">
        <v>4.0657809999999897</v>
      </c>
      <c r="E3157">
        <v>0.62761389999999995</v>
      </c>
      <c r="F3157" t="s">
        <v>41</v>
      </c>
      <c r="G3157">
        <v>-295.08159999999998</v>
      </c>
      <c r="H3157">
        <v>0.91290280000000001</v>
      </c>
      <c r="I3157">
        <v>141.61369999999999</v>
      </c>
      <c r="J3157">
        <v>-294.72719999999998</v>
      </c>
      <c r="K3157">
        <v>1.1093550000000001</v>
      </c>
      <c r="L3157">
        <v>141.4451</v>
      </c>
      <c r="M3157">
        <v>-0.99981370000000003</v>
      </c>
      <c r="N3157">
        <v>-1.3740799999999999E-2</v>
      </c>
      <c r="O3157">
        <v>-1.356679E-2</v>
      </c>
      <c r="P3157">
        <v>-0.98950150000000003</v>
      </c>
      <c r="Q3157">
        <v>1.1490739999999999E-2</v>
      </c>
      <c r="R3157">
        <v>-0.1440669</v>
      </c>
      <c r="S3157">
        <v>-3.1329959999999999</v>
      </c>
      <c r="T3157">
        <v>-0.76538729999999999</v>
      </c>
      <c r="U3157">
        <v>0.6321869</v>
      </c>
      <c r="V3157">
        <v>-0.1306648</v>
      </c>
      <c r="W3157">
        <v>2.492105E-2</v>
      </c>
      <c r="X3157">
        <v>0.99111340000000003</v>
      </c>
      <c r="Y3157">
        <v>0.2046027</v>
      </c>
      <c r="Z3157">
        <v>2.8889060000000001E-2</v>
      </c>
      <c r="AA3157">
        <v>0.97841869999999997</v>
      </c>
      <c r="AB3157">
        <v>46</v>
      </c>
      <c r="AC3157">
        <v>-0.35439999999999799</v>
      </c>
      <c r="AD3157">
        <v>-0.19645219999999899</v>
      </c>
      <c r="AE3157">
        <v>0.168599999999997</v>
      </c>
      <c r="AF3157">
        <v>0.13865165150551301</v>
      </c>
      <c r="AG3157">
        <v>-0.19645219999999899</v>
      </c>
      <c r="AH3157">
        <v>0.28153642162807901</v>
      </c>
      <c r="AI3157">
        <v>122.046152420312</v>
      </c>
      <c r="AJ3157">
        <v>63.780578611769798</v>
      </c>
      <c r="AK3157">
        <v>0.37024384404496102</v>
      </c>
      <c r="AL3157">
        <v>88.571981259969704</v>
      </c>
      <c r="AM3157">
        <v>97.510355781674505</v>
      </c>
      <c r="AN3157">
        <v>1.0000000601758401</v>
      </c>
    </row>
    <row r="3158" spans="1:40" x14ac:dyDescent="0.25">
      <c r="A3158" t="str">
        <f>"20190305135650606"</f>
        <v>20190305135650606</v>
      </c>
      <c r="B3158" t="str">
        <f>"1551765410595330"</f>
        <v>1551765410595330</v>
      </c>
      <c r="C3158" t="s">
        <v>40</v>
      </c>
      <c r="D3158">
        <v>4.18086</v>
      </c>
      <c r="E3158">
        <v>0.62650419999999996</v>
      </c>
      <c r="F3158" t="s">
        <v>41</v>
      </c>
      <c r="G3158">
        <v>-295.49639999999999</v>
      </c>
      <c r="H3158">
        <v>0.91943379999999997</v>
      </c>
      <c r="I3158">
        <v>141.59889999999999</v>
      </c>
      <c r="J3158">
        <v>-295.17020000000002</v>
      </c>
      <c r="K3158">
        <v>1.1093420000000001</v>
      </c>
      <c r="L3158">
        <v>141.43879999999999</v>
      </c>
      <c r="M3158">
        <v>-0.99980619999999998</v>
      </c>
      <c r="N3158">
        <v>-1.3863510000000001E-2</v>
      </c>
      <c r="O3158">
        <v>-1.398988E-2</v>
      </c>
      <c r="P3158">
        <v>-0.98941049999999997</v>
      </c>
      <c r="Q3158">
        <v>1.181594E-2</v>
      </c>
      <c r="R3158">
        <v>-0.14466379999999901</v>
      </c>
      <c r="S3158">
        <v>-3.1317439999999999</v>
      </c>
      <c r="T3158">
        <v>-0.77328680000000005</v>
      </c>
      <c r="U3158">
        <v>0.62483219999999995</v>
      </c>
      <c r="V3158">
        <v>-0.1308424</v>
      </c>
      <c r="W3158">
        <v>2.5373900000000001E-2</v>
      </c>
      <c r="X3158">
        <v>0.99107840000000003</v>
      </c>
      <c r="Y3158">
        <v>0.202787</v>
      </c>
      <c r="Z3158">
        <v>2.905893E-2</v>
      </c>
      <c r="AA3158">
        <v>0.97879159999999998</v>
      </c>
      <c r="AB3158">
        <v>46</v>
      </c>
      <c r="AC3158">
        <v>-0.32619999999997101</v>
      </c>
      <c r="AD3158">
        <v>-0.1899082</v>
      </c>
      <c r="AE3158">
        <v>0.16009999999999899</v>
      </c>
      <c r="AF3158">
        <v>0.12932444703087501</v>
      </c>
      <c r="AG3158">
        <v>-0.1899082</v>
      </c>
      <c r="AH3158">
        <v>0.25443219303811798</v>
      </c>
      <c r="AI3158">
        <v>123.63901793800299</v>
      </c>
      <c r="AJ3158">
        <v>63.056384291698897</v>
      </c>
      <c r="AK3158">
        <v>0.34282018301329298</v>
      </c>
      <c r="AL3158">
        <v>88.546026545336304</v>
      </c>
      <c r="AM3158">
        <v>97.520709661326094</v>
      </c>
      <c r="AN3158">
        <v>0.99999998169276405</v>
      </c>
    </row>
    <row r="3159" spans="1:40" x14ac:dyDescent="0.25">
      <c r="A3159" t="str">
        <f>"20190305135650631"</f>
        <v>20190305135650631</v>
      </c>
      <c r="B3159" t="str">
        <f>"1551765410625587"</f>
        <v>1551765410625587</v>
      </c>
      <c r="C3159" t="s">
        <v>40</v>
      </c>
      <c r="D3159">
        <v>4.2587460000000004</v>
      </c>
      <c r="E3159">
        <v>0.62617699999999998</v>
      </c>
      <c r="F3159" t="s">
        <v>41</v>
      </c>
      <c r="G3159">
        <v>-295.90969999999999</v>
      </c>
      <c r="H3159">
        <v>0.92339320000000003</v>
      </c>
      <c r="I3159">
        <v>141.58420000000001</v>
      </c>
      <c r="J3159">
        <v>-295.65440000000001</v>
      </c>
      <c r="K3159">
        <v>1.109327</v>
      </c>
      <c r="L3159">
        <v>141.43170000000001</v>
      </c>
      <c r="M3159">
        <v>-0.99979839999999998</v>
      </c>
      <c r="N3159">
        <v>-1.397952E-2</v>
      </c>
      <c r="O3159">
        <v>-1.441899E-2</v>
      </c>
      <c r="P3159">
        <v>-0.98940899999999998</v>
      </c>
      <c r="Q3159">
        <v>1.2645399999999999E-2</v>
      </c>
      <c r="R3159">
        <v>-0.14460419999999999</v>
      </c>
      <c r="S3159">
        <v>-3.1313780000000002</v>
      </c>
      <c r="T3159">
        <v>-0.78749419999999903</v>
      </c>
      <c r="U3159">
        <v>0.61492919999999995</v>
      </c>
      <c r="V3159">
        <v>-0.13035719999999901</v>
      </c>
      <c r="W3159">
        <v>2.632868E-2</v>
      </c>
      <c r="X3159">
        <v>0.99111749999999998</v>
      </c>
      <c r="Y3159">
        <v>0.2000799</v>
      </c>
      <c r="Z3159">
        <v>2.9325170000000001E-2</v>
      </c>
      <c r="AA3159">
        <v>0.97934060000000001</v>
      </c>
      <c r="AB3159">
        <v>46</v>
      </c>
      <c r="AC3159">
        <v>-0.25529999999997699</v>
      </c>
      <c r="AD3159">
        <v>-0.18593380000000001</v>
      </c>
      <c r="AE3159">
        <v>0.15250000000000299</v>
      </c>
      <c r="AF3159">
        <v>0.112274520631873</v>
      </c>
      <c r="AG3159">
        <v>-0.18593380000000001</v>
      </c>
      <c r="AH3159">
        <v>0.18194652164464001</v>
      </c>
      <c r="AI3159">
        <v>131.01235824500199</v>
      </c>
      <c r="AJ3159">
        <v>58.322331414446403</v>
      </c>
      <c r="AK3159">
        <v>0.28333987136324501</v>
      </c>
      <c r="AL3159">
        <v>88.491303490794493</v>
      </c>
      <c r="AM3159">
        <v>97.492846019582103</v>
      </c>
      <c r="AN3159">
        <v>1.0000000488943099</v>
      </c>
    </row>
    <row r="3160" spans="1:40" x14ac:dyDescent="0.25">
      <c r="A3160" t="str">
        <f>"20190305135650653"</f>
        <v>20190305135650653</v>
      </c>
      <c r="B3160" t="str">
        <f>"1551765410645765"</f>
        <v>1551765410645765</v>
      </c>
      <c r="C3160" t="s">
        <v>40</v>
      </c>
      <c r="D3160">
        <v>4.098808</v>
      </c>
      <c r="E3160">
        <v>0.62705889999999997</v>
      </c>
      <c r="F3160" t="s">
        <v>41</v>
      </c>
      <c r="G3160">
        <v>-296.70319999999998</v>
      </c>
      <c r="H3160">
        <v>0.84369729999999998</v>
      </c>
      <c r="I3160">
        <v>141.6369</v>
      </c>
      <c r="J3160">
        <v>-296.12540000000001</v>
      </c>
      <c r="K3160">
        <v>1.109307</v>
      </c>
      <c r="L3160">
        <v>141.42449999999999</v>
      </c>
      <c r="M3160">
        <v>-0.9997914</v>
      </c>
      <c r="N3160">
        <v>-1.4074959999999999E-2</v>
      </c>
      <c r="O3160">
        <v>-1.4797930000000001E-2</v>
      </c>
      <c r="P3160">
        <v>-0.98942390000000002</v>
      </c>
      <c r="Q3160">
        <v>1.310352E-2</v>
      </c>
      <c r="R3160">
        <v>-0.14445999999999901</v>
      </c>
      <c r="S3160">
        <v>-3.1316830000000002</v>
      </c>
      <c r="T3160">
        <v>-0.79314180000000001</v>
      </c>
      <c r="U3160">
        <v>0.61219789999999996</v>
      </c>
      <c r="V3160">
        <v>-0.12983539999999999</v>
      </c>
      <c r="W3160">
        <v>2.6893540000000001E-2</v>
      </c>
      <c r="X3160">
        <v>0.99117080000000002</v>
      </c>
      <c r="Y3160">
        <v>0.1995219</v>
      </c>
      <c r="Z3160">
        <v>2.9544419999999998E-2</v>
      </c>
      <c r="AA3160">
        <v>0.97944790000000004</v>
      </c>
      <c r="AB3160">
        <v>46</v>
      </c>
      <c r="AC3160">
        <v>-0.57779999999996701</v>
      </c>
      <c r="AD3160">
        <v>-0.2656097</v>
      </c>
      <c r="AE3160">
        <v>0.212400000000002</v>
      </c>
      <c r="AF3160">
        <v>0.186254624520336</v>
      </c>
      <c r="AG3160">
        <v>-0.2656097</v>
      </c>
      <c r="AH3160">
        <v>0.48441459294108502</v>
      </c>
      <c r="AI3160">
        <v>117.102646608124</v>
      </c>
      <c r="AJ3160">
        <v>68.968535439007596</v>
      </c>
      <c r="AK3160">
        <v>0.58300668584809501</v>
      </c>
      <c r="AL3160">
        <v>88.458927894409698</v>
      </c>
      <c r="AM3160">
        <v>97.4627952660272</v>
      </c>
      <c r="AN3160">
        <v>1.00000002417976</v>
      </c>
    </row>
    <row r="3161" spans="1:40" x14ac:dyDescent="0.25">
      <c r="A3161" t="str">
        <f>"20190305135650675"</f>
        <v>20190305135650675</v>
      </c>
      <c r="B3161" t="str">
        <f>"1551765410665285"</f>
        <v>1551765410665285</v>
      </c>
      <c r="C3161" t="s">
        <v>40</v>
      </c>
      <c r="D3161">
        <v>4.036867</v>
      </c>
      <c r="E3161">
        <v>0.62791529999999995</v>
      </c>
      <c r="F3161" t="s">
        <v>41</v>
      </c>
      <c r="G3161">
        <v>-297.11989999999997</v>
      </c>
      <c r="H3161">
        <v>0.85792330000000006</v>
      </c>
      <c r="I3161">
        <v>141.62119999999999</v>
      </c>
      <c r="J3161">
        <v>-296.58609999999999</v>
      </c>
      <c r="K3161">
        <v>1.1092850000000001</v>
      </c>
      <c r="L3161">
        <v>141.41739999999999</v>
      </c>
      <c r="M3161">
        <v>-0.99978520000000004</v>
      </c>
      <c r="N3161">
        <v>-1.4155360000000001E-2</v>
      </c>
      <c r="O3161">
        <v>-1.5139100000000001E-2</v>
      </c>
      <c r="P3161">
        <v>-0.98949779999999998</v>
      </c>
      <c r="Q3161">
        <v>1.365767E-2</v>
      </c>
      <c r="R3161">
        <v>-0.14390210000000001</v>
      </c>
      <c r="S3161">
        <v>-3.1329039999999999</v>
      </c>
      <c r="T3161">
        <v>-0.79193159999999996</v>
      </c>
      <c r="U3161">
        <v>0.61891169999999995</v>
      </c>
      <c r="V3161">
        <v>-0.12893689999999999</v>
      </c>
      <c r="W3161">
        <v>2.7539890000000001E-2</v>
      </c>
      <c r="X3161">
        <v>0.99127030000000005</v>
      </c>
      <c r="Y3161">
        <v>0.20174990000000001</v>
      </c>
      <c r="Z3161">
        <v>2.9864129999999999E-2</v>
      </c>
      <c r="AA3161">
        <v>0.97898169999999995</v>
      </c>
      <c r="AB3161">
        <v>46</v>
      </c>
      <c r="AC3161">
        <v>-0.53379999999998495</v>
      </c>
      <c r="AD3161">
        <v>-0.25136170000000002</v>
      </c>
      <c r="AE3161">
        <v>0.20380000000000101</v>
      </c>
      <c r="AF3161">
        <v>0.177506137054317</v>
      </c>
      <c r="AG3161">
        <v>-0.25136170000000002</v>
      </c>
      <c r="AH3161">
        <v>0.44460855948290801</v>
      </c>
      <c r="AI3161">
        <v>117.701998620382</v>
      </c>
      <c r="AJ3161">
        <v>68.236070519561494</v>
      </c>
      <c r="AK3161">
        <v>0.54071055481126196</v>
      </c>
      <c r="AL3161">
        <v>88.421880987792207</v>
      </c>
      <c r="AM3161">
        <v>97.410990969277094</v>
      </c>
      <c r="AN3161">
        <v>0.99999998869245599</v>
      </c>
    </row>
    <row r="3162" spans="1:40" x14ac:dyDescent="0.25">
      <c r="A3162" t="str">
        <f>"20190305135650697"</f>
        <v>20190305135650697</v>
      </c>
      <c r="B3162" t="str">
        <f>"1551765410685781"</f>
        <v>1551765410685781</v>
      </c>
      <c r="C3162" t="s">
        <v>40</v>
      </c>
      <c r="D3162">
        <v>4.0926929999999997</v>
      </c>
      <c r="E3162">
        <v>0.62867459999999997</v>
      </c>
      <c r="F3162" t="s">
        <v>41</v>
      </c>
      <c r="G3162">
        <v>-297.536</v>
      </c>
      <c r="H3162">
        <v>0.87082479999999995</v>
      </c>
      <c r="I3162">
        <v>141.60749999999999</v>
      </c>
      <c r="J3162">
        <v>-297.03030000000001</v>
      </c>
      <c r="K3162">
        <v>1.1092660000000001</v>
      </c>
      <c r="L3162">
        <v>141.41050000000001</v>
      </c>
      <c r="M3162">
        <v>-0.99977969999999905</v>
      </c>
      <c r="N3162">
        <v>-1.422238E-2</v>
      </c>
      <c r="O3162">
        <v>-1.5440260000000001E-2</v>
      </c>
      <c r="P3162">
        <v>-0.98958009999999996</v>
      </c>
      <c r="Q3162">
        <v>1.424601E-2</v>
      </c>
      <c r="R3162">
        <v>-0.1432773</v>
      </c>
      <c r="S3162">
        <v>-3.1338810000000001</v>
      </c>
      <c r="T3162">
        <v>-0.78675130000000004</v>
      </c>
      <c r="U3162">
        <v>0.62690729999999995</v>
      </c>
      <c r="V3162">
        <v>-0.1280104</v>
      </c>
      <c r="W3162">
        <v>2.820721E-2</v>
      </c>
      <c r="X3162">
        <v>0.99137160000000002</v>
      </c>
      <c r="Y3162">
        <v>0.20438980000000001</v>
      </c>
      <c r="Z3162">
        <v>3.008547E-2</v>
      </c>
      <c r="AA3162">
        <v>0.97842720000000005</v>
      </c>
      <c r="AB3162">
        <v>46</v>
      </c>
      <c r="AC3162">
        <v>-0.50569999999999005</v>
      </c>
      <c r="AD3162">
        <v>-0.23844119999999999</v>
      </c>
      <c r="AE3162">
        <v>0.196999999999974</v>
      </c>
      <c r="AF3162">
        <v>0.171652098669513</v>
      </c>
      <c r="AG3162">
        <v>-0.23844119999999999</v>
      </c>
      <c r="AH3162">
        <v>0.421279677178925</v>
      </c>
      <c r="AI3162">
        <v>117.66141264755601</v>
      </c>
      <c r="AJ3162">
        <v>67.831363616257605</v>
      </c>
      <c r="AK3162">
        <v>0.51360998358585996</v>
      </c>
      <c r="AL3162">
        <v>88.383631490225298</v>
      </c>
      <c r="AM3162">
        <v>97.357579971583206</v>
      </c>
      <c r="AN3162">
        <v>0.999999979245351</v>
      </c>
    </row>
    <row r="3163" spans="1:40" x14ac:dyDescent="0.25">
      <c r="A3163" t="str">
        <f>"20190305135650717"</f>
        <v>20190305135650717</v>
      </c>
      <c r="B3163" t="str">
        <f>"1551765410705301"</f>
        <v>1551765410705301</v>
      </c>
      <c r="C3163" t="s">
        <v>40</v>
      </c>
      <c r="D3163">
        <v>4.2307480000000002</v>
      </c>
      <c r="E3163">
        <v>0.62998790000000005</v>
      </c>
      <c r="F3163" t="s">
        <v>41</v>
      </c>
      <c r="G3163">
        <v>-297.95010000000002</v>
      </c>
      <c r="H3163">
        <v>0.87968489999999999</v>
      </c>
      <c r="I3163">
        <v>141.59690000000001</v>
      </c>
      <c r="J3163">
        <v>-297.45569999999998</v>
      </c>
      <c r="K3163">
        <v>1.1092519999999999</v>
      </c>
      <c r="L3163">
        <v>141.40369999999999</v>
      </c>
      <c r="M3163">
        <v>-0.99977499999999997</v>
      </c>
      <c r="N3163">
        <v>-1.4277939999999999E-2</v>
      </c>
      <c r="O3163">
        <v>-1.5702859999999999E-2</v>
      </c>
      <c r="P3163">
        <v>-0.98956310000000003</v>
      </c>
      <c r="Q3163">
        <v>1.4504589999999999E-2</v>
      </c>
      <c r="R3163">
        <v>-0.14337030000000001</v>
      </c>
      <c r="S3163">
        <v>-3.134674</v>
      </c>
      <c r="T3163">
        <v>-0.78240010000000004</v>
      </c>
      <c r="U3163">
        <v>0.63426210000000005</v>
      </c>
      <c r="V3163">
        <v>-0.12784189999999901</v>
      </c>
      <c r="W3163">
        <v>2.8529889999999999E-2</v>
      </c>
      <c r="X3163">
        <v>0.99138409999999999</v>
      </c>
      <c r="Y3163">
        <v>0.20680090000000001</v>
      </c>
      <c r="Z3163">
        <v>3.0294129999999999E-2</v>
      </c>
      <c r="AA3163">
        <v>0.9779139</v>
      </c>
      <c r="AB3163">
        <v>46</v>
      </c>
      <c r="AC3163">
        <v>-0.49440000000004097</v>
      </c>
      <c r="AD3163">
        <v>-0.2295671</v>
      </c>
      <c r="AE3163">
        <v>0.193200000000018</v>
      </c>
      <c r="AF3163">
        <v>0.16927802735254599</v>
      </c>
      <c r="AG3163">
        <v>-0.2295671</v>
      </c>
      <c r="AH3163">
        <v>0.41388941812667601</v>
      </c>
      <c r="AI3163">
        <v>117.175040138011</v>
      </c>
      <c r="AJ3163">
        <v>67.755763958390204</v>
      </c>
      <c r="AK3163">
        <v>0.50265351325144303</v>
      </c>
      <c r="AL3163">
        <v>88.365135828394102</v>
      </c>
      <c r="AM3163">
        <v>97.347909470172695</v>
      </c>
      <c r="AN3163">
        <v>0.999999969875915</v>
      </c>
    </row>
    <row r="3164" spans="1:40" x14ac:dyDescent="0.25">
      <c r="A3164" t="str">
        <f>"20190305135650741"</f>
        <v>20190305135650741</v>
      </c>
      <c r="B3164" t="str">
        <f>"1551765410735394"</f>
        <v>1551765410735394</v>
      </c>
      <c r="C3164" t="s">
        <v>40</v>
      </c>
      <c r="D3164">
        <v>4.1507829999999997</v>
      </c>
      <c r="E3164">
        <v>0.63234499999999905</v>
      </c>
      <c r="F3164" t="s">
        <v>41</v>
      </c>
      <c r="G3164">
        <v>-298.36160000000001</v>
      </c>
      <c r="H3164">
        <v>0.882262199999999</v>
      </c>
      <c r="I3164">
        <v>141.59</v>
      </c>
      <c r="J3164">
        <v>-297.935</v>
      </c>
      <c r="K3164">
        <v>1.109232</v>
      </c>
      <c r="L3164">
        <v>141.39599999999999</v>
      </c>
      <c r="M3164">
        <v>-0.99976989999999999</v>
      </c>
      <c r="N3164">
        <v>-1.433161E-2</v>
      </c>
      <c r="O3164">
        <v>-1.597051E-2</v>
      </c>
      <c r="P3164">
        <v>-0.98959770000000002</v>
      </c>
      <c r="Q3164">
        <v>1.4365869999999999E-2</v>
      </c>
      <c r="R3164">
        <v>-0.14314470000000001</v>
      </c>
      <c r="S3164">
        <v>-3.136536</v>
      </c>
      <c r="T3164">
        <v>-0.78592689999999998</v>
      </c>
      <c r="U3164">
        <v>0.64472959999999901</v>
      </c>
      <c r="V3164">
        <v>-0.12734760000000001</v>
      </c>
      <c r="W3164">
        <v>2.845601E-2</v>
      </c>
      <c r="X3164">
        <v>0.9914499</v>
      </c>
      <c r="Y3164">
        <v>0.2099279</v>
      </c>
      <c r="Z3164">
        <v>3.086767E-2</v>
      </c>
      <c r="AA3164">
        <v>0.97722949999999997</v>
      </c>
      <c r="AB3164">
        <v>46</v>
      </c>
      <c r="AC3164">
        <v>-0.42660000000000697</v>
      </c>
      <c r="AD3164">
        <v>-0.2269698</v>
      </c>
      <c r="AE3164">
        <v>0.19399999999998799</v>
      </c>
      <c r="AF3164">
        <v>0.16263987483313</v>
      </c>
      <c r="AG3164">
        <v>-0.2269698</v>
      </c>
      <c r="AH3164">
        <v>0.34299376231668599</v>
      </c>
      <c r="AI3164">
        <v>120.875951621562</v>
      </c>
      <c r="AJ3164">
        <v>64.630751356831794</v>
      </c>
      <c r="AK3164">
        <v>0.442280160063654</v>
      </c>
      <c r="AL3164">
        <v>88.369370658060106</v>
      </c>
      <c r="AM3164">
        <v>97.319327002101105</v>
      </c>
      <c r="AN3164">
        <v>1.0000000299704399</v>
      </c>
    </row>
    <row r="3165" spans="1:40" x14ac:dyDescent="0.25">
      <c r="A3165" t="str">
        <f>"20190305135650763"</f>
        <v>20190305135650763</v>
      </c>
      <c r="B3165" t="str">
        <f>"1551765410754914"</f>
        <v>1551765410754914</v>
      </c>
      <c r="C3165" t="s">
        <v>40</v>
      </c>
      <c r="D3165">
        <v>4.1341950000000001</v>
      </c>
      <c r="E3165">
        <v>0.63340160000000001</v>
      </c>
      <c r="F3165" t="s">
        <v>41</v>
      </c>
      <c r="G3165">
        <v>-298.77730000000003</v>
      </c>
      <c r="H3165">
        <v>0.89656170000000002</v>
      </c>
      <c r="I3165">
        <v>141.5746</v>
      </c>
      <c r="J3165">
        <v>-298.41019999999997</v>
      </c>
      <c r="K3165">
        <v>1.1092089999999999</v>
      </c>
      <c r="L3165">
        <v>141.38820000000001</v>
      </c>
      <c r="M3165">
        <v>-0.99976529999999997</v>
      </c>
      <c r="N3165">
        <v>-1.4376989999999999E-2</v>
      </c>
      <c r="O3165">
        <v>-1.620986E-2</v>
      </c>
      <c r="P3165">
        <v>-0.98968259999999997</v>
      </c>
      <c r="Q3165">
        <v>1.427931E-2</v>
      </c>
      <c r="R3165">
        <v>-0.14256440000000001</v>
      </c>
      <c r="S3165">
        <v>-3.1391909999999998</v>
      </c>
      <c r="T3165">
        <v>-0.79270649999999998</v>
      </c>
      <c r="U3165">
        <v>0.66477969999999997</v>
      </c>
      <c r="V3165">
        <v>-0.1265261</v>
      </c>
      <c r="W3165">
        <v>2.8426460000000001E-2</v>
      </c>
      <c r="X3165">
        <v>0.99155590000000005</v>
      </c>
      <c r="Y3165">
        <v>0.21568889999999999</v>
      </c>
      <c r="Z3165">
        <v>3.1885089999999998E-2</v>
      </c>
      <c r="AA3165">
        <v>0.97594139999999996</v>
      </c>
      <c r="AB3165">
        <v>46</v>
      </c>
      <c r="AC3165">
        <v>-0.36710000000005</v>
      </c>
      <c r="AD3165">
        <v>-0.21264730000000001</v>
      </c>
      <c r="AE3165">
        <v>0.18639999999999099</v>
      </c>
      <c r="AF3165">
        <v>0.15182495803193</v>
      </c>
      <c r="AG3165">
        <v>-0.21264730000000001</v>
      </c>
      <c r="AH3165">
        <v>0.28736941684787698</v>
      </c>
      <c r="AI3165">
        <v>123.195829326799</v>
      </c>
      <c r="AJ3165">
        <v>62.151306792283698</v>
      </c>
      <c r="AK3165">
        <v>0.38839525462880797</v>
      </c>
      <c r="AL3165">
        <v>88.371064401297701</v>
      </c>
      <c r="AM3165">
        <v>97.271849124015603</v>
      </c>
      <c r="AN3165">
        <v>1.0000000102170701</v>
      </c>
    </row>
    <row r="3166" spans="1:40" x14ac:dyDescent="0.25">
      <c r="A3166" t="str">
        <f>"20190305135650785"</f>
        <v>20190305135650785</v>
      </c>
      <c r="B3166" t="str">
        <f>"1551765410775410"</f>
        <v>1551765410775410</v>
      </c>
      <c r="C3166" t="s">
        <v>40</v>
      </c>
      <c r="D3166">
        <v>4.1141189999999996</v>
      </c>
      <c r="E3166">
        <v>0.63417769999999996</v>
      </c>
      <c r="F3166" t="s">
        <v>41</v>
      </c>
      <c r="G3166">
        <v>-299.19240000000002</v>
      </c>
      <c r="H3166">
        <v>0.9107864</v>
      </c>
      <c r="I3166">
        <v>141.55629999999999</v>
      </c>
      <c r="J3166">
        <v>-298.84809999999999</v>
      </c>
      <c r="K3166">
        <v>1.1091869999999999</v>
      </c>
      <c r="L3166">
        <v>141.3809</v>
      </c>
      <c r="M3166">
        <v>-0.99976160000000003</v>
      </c>
      <c r="N3166">
        <v>-1.4412889999999999E-2</v>
      </c>
      <c r="O3166">
        <v>-1.6408900000000001E-2</v>
      </c>
      <c r="P3166">
        <v>-0.98979720000000004</v>
      </c>
      <c r="Q3166">
        <v>1.428332E-2</v>
      </c>
      <c r="R3166">
        <v>-0.14176659999999999</v>
      </c>
      <c r="S3166">
        <v>-3.140015</v>
      </c>
      <c r="T3166">
        <v>-0.79652539999999905</v>
      </c>
      <c r="U3166">
        <v>0.67501829999999996</v>
      </c>
      <c r="V3166">
        <v>-0.12552720000000001</v>
      </c>
      <c r="W3166">
        <v>2.847746E-2</v>
      </c>
      <c r="X3166">
        <v>0.99168140000000005</v>
      </c>
      <c r="Y3166">
        <v>0.2187113</v>
      </c>
      <c r="Z3166">
        <v>3.2456579999999999E-2</v>
      </c>
      <c r="AA3166">
        <v>0.97524960000000005</v>
      </c>
      <c r="AB3166">
        <v>46</v>
      </c>
      <c r="AC3166">
        <v>-0.34430000000003202</v>
      </c>
      <c r="AD3166">
        <v>-0.19840060000000001</v>
      </c>
      <c r="AE3166">
        <v>0.175399999999996</v>
      </c>
      <c r="AF3166">
        <v>0.14325851839070899</v>
      </c>
      <c r="AG3166">
        <v>-0.19840060000000001</v>
      </c>
      <c r="AH3166">
        <v>0.27015323153227</v>
      </c>
      <c r="AI3166">
        <v>122.976286113368</v>
      </c>
      <c r="AJ3166">
        <v>62.063611839730797</v>
      </c>
      <c r="AK3166">
        <v>0.36451141227565098</v>
      </c>
      <c r="AL3166">
        <v>88.368141151351793</v>
      </c>
      <c r="AM3166">
        <v>97.214143126035793</v>
      </c>
      <c r="AN3166">
        <v>1.00000002138692</v>
      </c>
    </row>
    <row r="3167" spans="1:40" x14ac:dyDescent="0.25">
      <c r="A3167" t="str">
        <f>"20190305135650807"</f>
        <v>20190305135650807</v>
      </c>
      <c r="B3167" t="str">
        <f>"1551765410794930"</f>
        <v>1551765410794930</v>
      </c>
      <c r="C3167" t="s">
        <v>40</v>
      </c>
      <c r="D3167">
        <v>4.0840430000000003</v>
      </c>
      <c r="E3167">
        <v>0.63486949999999998</v>
      </c>
      <c r="F3167" t="s">
        <v>41</v>
      </c>
      <c r="G3167">
        <v>-299.60399999999998</v>
      </c>
      <c r="H3167">
        <v>0.91659199999999996</v>
      </c>
      <c r="I3167">
        <v>141.5455</v>
      </c>
      <c r="J3167">
        <v>-299.2824</v>
      </c>
      <c r="K3167">
        <v>1.109162</v>
      </c>
      <c r="L3167">
        <v>141.37360000000001</v>
      </c>
      <c r="M3167">
        <v>-0.99975820000000004</v>
      </c>
      <c r="N3167">
        <v>-1.444342E-2</v>
      </c>
      <c r="O3167">
        <v>-1.658741E-2</v>
      </c>
      <c r="P3167">
        <v>-0.98996960000000001</v>
      </c>
      <c r="Q3167">
        <v>1.3444269999999999E-2</v>
      </c>
      <c r="R3167">
        <v>-0.1406404</v>
      </c>
      <c r="S3167">
        <v>-3.14032</v>
      </c>
      <c r="T3167">
        <v>-0.8001703</v>
      </c>
      <c r="U3167">
        <v>0.68319700000000005</v>
      </c>
      <c r="V3167">
        <v>-0.1242191</v>
      </c>
      <c r="W3167">
        <v>2.7680980000000001E-2</v>
      </c>
      <c r="X3167">
        <v>0.99186859999999999</v>
      </c>
      <c r="Y3167">
        <v>0.22114690000000001</v>
      </c>
      <c r="Z3167">
        <v>3.294909E-2</v>
      </c>
      <c r="AA3167">
        <v>0.97468379999999999</v>
      </c>
      <c r="AB3167">
        <v>46</v>
      </c>
      <c r="AC3167">
        <v>-0.32160000000004602</v>
      </c>
      <c r="AD3167">
        <v>-0.19256999999999999</v>
      </c>
      <c r="AE3167">
        <v>0.171899999999993</v>
      </c>
      <c r="AF3167">
        <v>0.13856863144428999</v>
      </c>
      <c r="AG3167">
        <v>-0.19256999999999999</v>
      </c>
      <c r="AH3167">
        <v>0.24920735404396299</v>
      </c>
      <c r="AI3167">
        <v>124.033098278335</v>
      </c>
      <c r="AJ3167">
        <v>60.924299896448503</v>
      </c>
      <c r="AK3167">
        <v>0.34407670050431499</v>
      </c>
      <c r="AL3167">
        <v>88.413794014324196</v>
      </c>
      <c r="AM3167">
        <v>97.138411864063002</v>
      </c>
      <c r="AN3167">
        <v>0.99999997056226397</v>
      </c>
    </row>
    <row r="3168" spans="1:40" x14ac:dyDescent="0.25">
      <c r="A3168" t="str">
        <f>"20190305135650832"</f>
        <v>20190305135650832</v>
      </c>
      <c r="B3168" t="str">
        <f>"1551765410825186"</f>
        <v>1551765410825186</v>
      </c>
      <c r="C3168" t="s">
        <v>40</v>
      </c>
      <c r="D3168">
        <v>4.0502339999999997</v>
      </c>
      <c r="E3168">
        <v>0.63565579999999999</v>
      </c>
      <c r="F3168" t="s">
        <v>41</v>
      </c>
      <c r="G3168">
        <v>-300.01479999999998</v>
      </c>
      <c r="H3168">
        <v>0.92101679999999997</v>
      </c>
      <c r="I3168">
        <v>141.5351</v>
      </c>
      <c r="J3168">
        <v>-299.77710000000002</v>
      </c>
      <c r="K3168">
        <v>1.109135</v>
      </c>
      <c r="L3168">
        <v>141.36519999999999</v>
      </c>
      <c r="M3168">
        <v>-0.99975480000000005</v>
      </c>
      <c r="N3168">
        <v>-1.447291E-2</v>
      </c>
      <c r="O3168">
        <v>-1.6768959999999999E-2</v>
      </c>
      <c r="P3168">
        <v>-0.99013689999999999</v>
      </c>
      <c r="Q3168">
        <v>1.319438E-2</v>
      </c>
      <c r="R3168">
        <v>-0.139482299999999</v>
      </c>
      <c r="S3168">
        <v>-3.1395870000000001</v>
      </c>
      <c r="T3168">
        <v>-0.80659769999999997</v>
      </c>
      <c r="U3168">
        <v>0.69155880000000003</v>
      </c>
      <c r="V3168">
        <v>-0.122876</v>
      </c>
      <c r="W3168">
        <v>2.7473629999999999E-2</v>
      </c>
      <c r="X3168">
        <v>0.99204159999999997</v>
      </c>
      <c r="Y3168">
        <v>0.2236426</v>
      </c>
      <c r="Z3168">
        <v>3.3570410000000002E-2</v>
      </c>
      <c r="AA3168">
        <v>0.97409290000000004</v>
      </c>
      <c r="AB3168">
        <v>46</v>
      </c>
      <c r="AC3168">
        <v>-0.237699999999961</v>
      </c>
      <c r="AD3168">
        <v>-0.18811820000000001</v>
      </c>
      <c r="AE3168">
        <v>0.16990000000001201</v>
      </c>
      <c r="AF3168">
        <v>0.12291068272617101</v>
      </c>
      <c r="AG3168">
        <v>-0.18811820000000001</v>
      </c>
      <c r="AH3168">
        <v>0.166002127321248</v>
      </c>
      <c r="AI3168">
        <v>132.32583383135301</v>
      </c>
      <c r="AJ3168">
        <v>53.483149139049203</v>
      </c>
      <c r="AK3168">
        <v>0.27937823711705501</v>
      </c>
      <c r="AL3168">
        <v>88.425678741239594</v>
      </c>
      <c r="AM3168">
        <v>97.060793302957194</v>
      </c>
      <c r="AN3168">
        <v>0.99999992392596504</v>
      </c>
    </row>
    <row r="3169" spans="1:40" x14ac:dyDescent="0.25">
      <c r="A3169" t="str">
        <f>"20190305135650854"</f>
        <v>20190305135650854</v>
      </c>
      <c r="B3169" t="str">
        <f>"1551765410845683"</f>
        <v>1551765410845683</v>
      </c>
      <c r="C3169" t="s">
        <v>40</v>
      </c>
      <c r="D3169">
        <v>4.0531629999999996</v>
      </c>
      <c r="E3169">
        <v>0.63589619999999902</v>
      </c>
      <c r="F3169" t="s">
        <v>73</v>
      </c>
      <c r="G3169">
        <v>-304.07</v>
      </c>
      <c r="H3169" s="1">
        <v>-9.4463100000000004E-6</v>
      </c>
      <c r="I3169">
        <v>142.3236</v>
      </c>
      <c r="J3169">
        <v>-300.24619999999999</v>
      </c>
      <c r="K3169">
        <v>1.1091150000000001</v>
      </c>
      <c r="L3169">
        <v>141.35720000000001</v>
      </c>
      <c r="M3169">
        <v>-0.99975170000000002</v>
      </c>
      <c r="N3169">
        <v>-1.4496200000000001E-2</v>
      </c>
      <c r="O3169">
        <v>-1.6919170000000001E-2</v>
      </c>
      <c r="P3169">
        <v>-0.99036150000000001</v>
      </c>
      <c r="Q3169">
        <v>1.250337E-2</v>
      </c>
      <c r="R3169">
        <v>-0.13794089999999901</v>
      </c>
      <c r="S3169">
        <v>-3.1393740000000001</v>
      </c>
      <c r="T3169">
        <v>-0.81109909999999996</v>
      </c>
      <c r="U3169">
        <v>0.70080569999999998</v>
      </c>
      <c r="V3169">
        <v>-0.1211793</v>
      </c>
      <c r="W3169">
        <v>2.6818229999999998E-2</v>
      </c>
      <c r="X3169">
        <v>0.99226829999999999</v>
      </c>
      <c r="Y3169">
        <v>0.22636149999999999</v>
      </c>
      <c r="Z3169">
        <v>3.4137340000000002E-2</v>
      </c>
      <c r="AA3169">
        <v>0.97344489999999995</v>
      </c>
      <c r="AB3169">
        <v>46</v>
      </c>
      <c r="AC3169">
        <v>-3.8237999999999999</v>
      </c>
      <c r="AD3169">
        <v>-1.1091244463100001</v>
      </c>
      <c r="AE3169">
        <v>0.96639999999999204</v>
      </c>
      <c r="AF3169">
        <v>0.95540797296322</v>
      </c>
      <c r="AG3169">
        <v>-1.1091244463100001</v>
      </c>
      <c r="AH3169">
        <v>3.5279048226809699</v>
      </c>
      <c r="AI3169">
        <v>106.880696030515</v>
      </c>
      <c r="AJ3169">
        <v>74.846934372780396</v>
      </c>
      <c r="AK3169">
        <v>3.81956461787202</v>
      </c>
      <c r="AL3169">
        <v>88.463244374094003</v>
      </c>
      <c r="AM3169">
        <v>96.962684827887998</v>
      </c>
      <c r="AN3169">
        <v>1.00000000969685</v>
      </c>
    </row>
    <row r="3170" spans="1:40" x14ac:dyDescent="0.25">
      <c r="A3170" t="str">
        <f>"20190305135650876"</f>
        <v>20190305135650876</v>
      </c>
      <c r="B3170" t="str">
        <f>"1551765410865202"</f>
        <v>1551765410865202</v>
      </c>
      <c r="C3170" t="s">
        <v>40</v>
      </c>
      <c r="D3170">
        <v>4.0551199999999996</v>
      </c>
      <c r="E3170">
        <v>0.63622990000000001</v>
      </c>
      <c r="F3170" t="s">
        <v>41</v>
      </c>
      <c r="G3170">
        <v>-301.21800000000002</v>
      </c>
      <c r="H3170">
        <v>0.85726329999999995</v>
      </c>
      <c r="I3170">
        <v>141.57640000000001</v>
      </c>
      <c r="J3170">
        <v>-300.7131</v>
      </c>
      <c r="K3170">
        <v>1.109097</v>
      </c>
      <c r="L3170">
        <v>141.3492</v>
      </c>
      <c r="M3170">
        <v>-0.99974940000000001</v>
      </c>
      <c r="N3170">
        <v>-1.4515689999999999E-2</v>
      </c>
      <c r="O3170">
        <v>-1.7052589999999999E-2</v>
      </c>
      <c r="P3170">
        <v>-0.99052720000000005</v>
      </c>
      <c r="Q3170">
        <v>1.26611E-2</v>
      </c>
      <c r="R3170">
        <v>-0.13673339999999901</v>
      </c>
      <c r="S3170">
        <v>-3.1380309999999998</v>
      </c>
      <c r="T3170">
        <v>-0.81331379999999998</v>
      </c>
      <c r="U3170">
        <v>0.70735170000000003</v>
      </c>
      <c r="V3170">
        <v>-0.11983480000000001</v>
      </c>
      <c r="W3170">
        <v>2.700603E-2</v>
      </c>
      <c r="X3170">
        <v>0.99242649999999999</v>
      </c>
      <c r="Y3170">
        <v>0.22839599999999999</v>
      </c>
      <c r="Z3170">
        <v>3.4535860000000002E-2</v>
      </c>
      <c r="AA3170">
        <v>0.97295560000000003</v>
      </c>
      <c r="AB3170">
        <v>46</v>
      </c>
      <c r="AC3170">
        <v>-0.50490000000002</v>
      </c>
      <c r="AD3170">
        <v>-0.25183369999999999</v>
      </c>
      <c r="AE3170">
        <v>0.22720000000001001</v>
      </c>
      <c r="AF3170">
        <v>0.195360079225885</v>
      </c>
      <c r="AG3170">
        <v>-0.25183369999999999</v>
      </c>
      <c r="AH3170">
        <v>0.41507733596399099</v>
      </c>
      <c r="AI3170">
        <v>118.76467851076001</v>
      </c>
      <c r="AJ3170">
        <v>64.795534946726505</v>
      </c>
      <c r="AK3170">
        <v>0.52333064867423695</v>
      </c>
      <c r="AL3170">
        <v>88.452480361717804</v>
      </c>
      <c r="AM3170">
        <v>96.885091645941898</v>
      </c>
      <c r="AN3170">
        <v>1.0000000314248201</v>
      </c>
    </row>
    <row r="3171" spans="1:40" x14ac:dyDescent="0.25">
      <c r="A3171" t="str">
        <f>"20190305135650898"</f>
        <v>20190305135650898</v>
      </c>
      <c r="B3171" t="str">
        <f>"1551765410885699"</f>
        <v>1551765410885699</v>
      </c>
      <c r="C3171" t="s">
        <v>40</v>
      </c>
      <c r="D3171">
        <v>4.0456190000000003</v>
      </c>
      <c r="E3171">
        <v>0.63647940000000003</v>
      </c>
      <c r="F3171" t="s">
        <v>41</v>
      </c>
      <c r="G3171">
        <v>-301.6302</v>
      </c>
      <c r="H3171">
        <v>0.87076200000000004</v>
      </c>
      <c r="I3171">
        <v>141.55779999999999</v>
      </c>
      <c r="J3171">
        <v>-301.14519999999999</v>
      </c>
      <c r="K3171">
        <v>1.1090819999999999</v>
      </c>
      <c r="L3171">
        <v>141.34180000000001</v>
      </c>
      <c r="M3171">
        <v>-0.9997471</v>
      </c>
      <c r="N3171">
        <v>-1.4530899999999999E-2</v>
      </c>
      <c r="O3171">
        <v>-1.7159440000000001E-2</v>
      </c>
      <c r="P3171">
        <v>-0.99070939999999996</v>
      </c>
      <c r="Q3171">
        <v>1.323941E-2</v>
      </c>
      <c r="R3171">
        <v>-0.13535050000000001</v>
      </c>
      <c r="S3171">
        <v>-3.1376040000000001</v>
      </c>
      <c r="T3171">
        <v>-0.81539759999999994</v>
      </c>
      <c r="U3171">
        <v>0.71340939999999997</v>
      </c>
      <c r="V3171">
        <v>-0.11834160000000001</v>
      </c>
      <c r="W3171">
        <v>2.7609479999999999E-2</v>
      </c>
      <c r="X3171">
        <v>0.9925891</v>
      </c>
      <c r="Y3171">
        <v>0.2302121</v>
      </c>
      <c r="Z3171">
        <v>3.4886090000000002E-2</v>
      </c>
      <c r="AA3171">
        <v>0.97251500000000002</v>
      </c>
      <c r="AB3171">
        <v>46</v>
      </c>
      <c r="AC3171">
        <v>-0.48500000000001298</v>
      </c>
      <c r="AD3171">
        <v>-0.238319999999999</v>
      </c>
      <c r="AE3171">
        <v>0.21599999999997899</v>
      </c>
      <c r="AF3171">
        <v>0.186677586142243</v>
      </c>
      <c r="AG3171">
        <v>-0.238319999999999</v>
      </c>
      <c r="AH3171">
        <v>0.40052054827976702</v>
      </c>
      <c r="AI3171">
        <v>118.338955652005</v>
      </c>
      <c r="AJ3171">
        <v>65.01036614649</v>
      </c>
      <c r="AK3171">
        <v>0.50205742018440502</v>
      </c>
      <c r="AL3171">
        <v>88.417892385689598</v>
      </c>
      <c r="AM3171">
        <v>96.799004887855105</v>
      </c>
      <c r="AN3171">
        <v>1.0000000695576099</v>
      </c>
    </row>
    <row r="3172" spans="1:40" x14ac:dyDescent="0.25">
      <c r="A3172" t="str">
        <f>"20190305135650919"</f>
        <v>20190305135650919</v>
      </c>
      <c r="B3172" t="str">
        <f>"1551765410914978"</f>
        <v>1551765410914978</v>
      </c>
      <c r="C3172" t="s">
        <v>40</v>
      </c>
      <c r="D3172">
        <v>4.0436930000000002</v>
      </c>
      <c r="E3172">
        <v>0.6367524</v>
      </c>
      <c r="F3172" t="s">
        <v>41</v>
      </c>
      <c r="G3172">
        <v>-302.0401</v>
      </c>
      <c r="H3172">
        <v>0.87673809999999996</v>
      </c>
      <c r="I3172">
        <v>141.54740000000001</v>
      </c>
      <c r="J3172">
        <v>-301.57119999999998</v>
      </c>
      <c r="K3172">
        <v>1.1090690000000001</v>
      </c>
      <c r="L3172">
        <v>141.33439999999999</v>
      </c>
      <c r="M3172">
        <v>-0.99974569999999996</v>
      </c>
      <c r="N3172">
        <v>-1.454361E-2</v>
      </c>
      <c r="O3172">
        <v>-1.7246109999999999E-2</v>
      </c>
      <c r="P3172">
        <v>-0.9908207</v>
      </c>
      <c r="Q3172">
        <v>1.4571199999999999E-2</v>
      </c>
      <c r="R3172">
        <v>-0.1343963</v>
      </c>
      <c r="S3172">
        <v>-3.1373899999999999</v>
      </c>
      <c r="T3172">
        <v>-0.81455540000000004</v>
      </c>
      <c r="U3172">
        <v>0.71994019999999903</v>
      </c>
      <c r="V3172">
        <v>-0.1172986</v>
      </c>
      <c r="W3172">
        <v>2.8962209999999999E-2</v>
      </c>
      <c r="X3172">
        <v>0.99267430000000001</v>
      </c>
      <c r="Y3172">
        <v>0.2321848</v>
      </c>
      <c r="Z3172">
        <v>3.5133440000000002E-2</v>
      </c>
      <c r="AA3172">
        <v>0.97203700000000004</v>
      </c>
      <c r="AB3172">
        <v>46</v>
      </c>
      <c r="AC3172">
        <v>-0.46890000000001902</v>
      </c>
      <c r="AD3172">
        <v>-0.23233090000000001</v>
      </c>
      <c r="AE3172">
        <v>0.21300000000002201</v>
      </c>
      <c r="AF3172">
        <v>0.183676302673657</v>
      </c>
      <c r="AG3172">
        <v>-0.23233090000000001</v>
      </c>
      <c r="AH3172">
        <v>0.38650054857812999</v>
      </c>
      <c r="AI3172">
        <v>118.498622154236</v>
      </c>
      <c r="AJ3172">
        <v>64.581573452266497</v>
      </c>
      <c r="AK3172">
        <v>0.48692638592488602</v>
      </c>
      <c r="AL3172">
        <v>88.340355556260604</v>
      </c>
      <c r="AM3172">
        <v>96.739062572782899</v>
      </c>
      <c r="AN3172">
        <v>1.00000001852526</v>
      </c>
    </row>
    <row r="3173" spans="1:40" x14ac:dyDescent="0.25">
      <c r="A3173" t="str">
        <f>"20190305135650943"</f>
        <v>20190305135650943</v>
      </c>
      <c r="B3173" t="str">
        <f>"1551765410935475"</f>
        <v>1551765410935475</v>
      </c>
      <c r="C3173" t="s">
        <v>40</v>
      </c>
      <c r="D3173">
        <v>4.025881</v>
      </c>
      <c r="E3173">
        <v>0.63686129999999996</v>
      </c>
      <c r="F3173" t="s">
        <v>41</v>
      </c>
      <c r="G3173">
        <v>-302.44920000000002</v>
      </c>
      <c r="H3173">
        <v>0.88148110000000002</v>
      </c>
      <c r="I3173">
        <v>141.5369</v>
      </c>
      <c r="J3173">
        <v>-302.0686</v>
      </c>
      <c r="K3173">
        <v>1.109054</v>
      </c>
      <c r="L3173">
        <v>141.32570000000001</v>
      </c>
      <c r="M3173">
        <v>-0.99974419999999997</v>
      </c>
      <c r="N3173">
        <v>-1.455593E-2</v>
      </c>
      <c r="O3173">
        <v>-1.732266E-2</v>
      </c>
      <c r="P3173">
        <v>-0.9909772</v>
      </c>
      <c r="Q3173">
        <v>1.5412840000000001E-2</v>
      </c>
      <c r="R3173">
        <v>-0.13314429999999999</v>
      </c>
      <c r="S3173">
        <v>-3.1379700000000001</v>
      </c>
      <c r="T3173">
        <v>-0.81339779999999995</v>
      </c>
      <c r="U3173">
        <v>0.72436519999999904</v>
      </c>
      <c r="V3173">
        <v>-0.1159664</v>
      </c>
      <c r="W3173">
        <v>2.9827289999999999E-2</v>
      </c>
      <c r="X3173">
        <v>0.99280520000000005</v>
      </c>
      <c r="Y3173">
        <v>0.2335034</v>
      </c>
      <c r="Z3173">
        <v>3.5271820000000002E-2</v>
      </c>
      <c r="AA3173">
        <v>0.97171600000000002</v>
      </c>
      <c r="AB3173">
        <v>46</v>
      </c>
      <c r="AC3173">
        <v>-0.38060000000001498</v>
      </c>
      <c r="AD3173">
        <v>-0.22757289999999999</v>
      </c>
      <c r="AE3173">
        <v>0.21119999999999001</v>
      </c>
      <c r="AF3173">
        <v>0.171015013088126</v>
      </c>
      <c r="AG3173">
        <v>-0.22757289999999999</v>
      </c>
      <c r="AH3173">
        <v>0.29597823183087901</v>
      </c>
      <c r="AI3173">
        <v>123.65347269964801</v>
      </c>
      <c r="AJ3173">
        <v>59.980853505317199</v>
      </c>
      <c r="AK3173">
        <v>0.410656393148427</v>
      </c>
      <c r="AL3173">
        <v>88.2907686963336</v>
      </c>
      <c r="AM3173">
        <v>96.662346239078204</v>
      </c>
      <c r="AN3173">
        <v>1.0000000191523699</v>
      </c>
    </row>
    <row r="3174" spans="1:40" x14ac:dyDescent="0.25">
      <c r="A3174" t="str">
        <f>"20190305135650965"</f>
        <v>20190305135650965</v>
      </c>
      <c r="B3174" t="str">
        <f>"1551765410954995"</f>
        <v>1551765410954995</v>
      </c>
      <c r="C3174" t="s">
        <v>40</v>
      </c>
      <c r="D3174">
        <v>4.0407900000000003</v>
      </c>
      <c r="E3174">
        <v>0.63687689999999997</v>
      </c>
      <c r="F3174" t="s">
        <v>41</v>
      </c>
      <c r="G3174">
        <v>-302.86399999999998</v>
      </c>
      <c r="H3174">
        <v>0.90306929999999996</v>
      </c>
      <c r="I3174">
        <v>141.5104</v>
      </c>
      <c r="J3174">
        <v>-302.51310000000001</v>
      </c>
      <c r="K3174">
        <v>1.1090329999999999</v>
      </c>
      <c r="L3174">
        <v>141.31799999999899</v>
      </c>
      <c r="M3174">
        <v>-0.9997431</v>
      </c>
      <c r="N3174">
        <v>-1.456498E-2</v>
      </c>
      <c r="O3174">
        <v>-1.7370750000000001E-2</v>
      </c>
      <c r="P3174">
        <v>-0.99108759999999996</v>
      </c>
      <c r="Q3174">
        <v>1.522563E-2</v>
      </c>
      <c r="R3174">
        <v>-0.13234009999999999</v>
      </c>
      <c r="S3174">
        <v>-3.137756</v>
      </c>
      <c r="T3174">
        <v>-0.81259009999999998</v>
      </c>
      <c r="U3174">
        <v>0.72811890000000001</v>
      </c>
      <c r="V3174">
        <v>-0.11511059999999999</v>
      </c>
      <c r="W3174">
        <v>2.965856E-2</v>
      </c>
      <c r="X3174">
        <v>0.99290979999999995</v>
      </c>
      <c r="Y3174">
        <v>0.2346454</v>
      </c>
      <c r="Z3174">
        <v>3.5401990000000001E-2</v>
      </c>
      <c r="AA3174">
        <v>0.97143619999999997</v>
      </c>
      <c r="AB3174">
        <v>46</v>
      </c>
      <c r="AC3174">
        <v>-0.35090000000002403</v>
      </c>
      <c r="AD3174">
        <v>-0.205963699999999</v>
      </c>
      <c r="AE3174">
        <v>0.19240000000002</v>
      </c>
      <c r="AF3174">
        <v>0.15690510714355799</v>
      </c>
      <c r="AG3174">
        <v>-0.205963699999999</v>
      </c>
      <c r="AH3174">
        <v>0.27473201118580698</v>
      </c>
      <c r="AI3174">
        <v>123.06409137059001</v>
      </c>
      <c r="AJ3174">
        <v>60.268423049311203</v>
      </c>
      <c r="AK3174">
        <v>0.37751547827290499</v>
      </c>
      <c r="AL3174">
        <v>88.300440418105595</v>
      </c>
      <c r="AM3174">
        <v>96.612926570712901</v>
      </c>
      <c r="AN3174">
        <v>0.99999997567483601</v>
      </c>
    </row>
    <row r="3175" spans="1:40" x14ac:dyDescent="0.25">
      <c r="A3175" t="str">
        <f>"20190305135650986"</f>
        <v>20190305135650986</v>
      </c>
      <c r="B3175" t="str">
        <f>"1551765410975490"</f>
        <v>1551765410975490</v>
      </c>
      <c r="C3175" t="s">
        <v>40</v>
      </c>
      <c r="D3175">
        <v>4.000197</v>
      </c>
      <c r="E3175">
        <v>0.63687399999999905</v>
      </c>
      <c r="F3175" t="s">
        <v>41</v>
      </c>
      <c r="G3175">
        <v>-303.27379999999999</v>
      </c>
      <c r="H3175">
        <v>0.91163640000000001</v>
      </c>
      <c r="I3175">
        <v>141.4949</v>
      </c>
      <c r="J3175">
        <v>-302.94200000000001</v>
      </c>
      <c r="K3175">
        <v>1.109019</v>
      </c>
      <c r="L3175">
        <v>141.31049999999999</v>
      </c>
      <c r="M3175">
        <v>-0.99974240000000003</v>
      </c>
      <c r="N3175">
        <v>-1.457222E-2</v>
      </c>
      <c r="O3175">
        <v>-1.740305E-2</v>
      </c>
      <c r="P3175">
        <v>-0.99119250000000003</v>
      </c>
      <c r="Q3175">
        <v>1.396123E-2</v>
      </c>
      <c r="R3175">
        <v>-0.1316919</v>
      </c>
      <c r="S3175">
        <v>-3.1369630000000002</v>
      </c>
      <c r="T3175">
        <v>-0.81401959999999995</v>
      </c>
      <c r="U3175">
        <v>0.73001099999999997</v>
      </c>
      <c r="V3175">
        <v>-0.1144268</v>
      </c>
      <c r="W3175">
        <v>2.8409299999999998E-2</v>
      </c>
      <c r="X3175">
        <v>0.99302539999999995</v>
      </c>
      <c r="Y3175">
        <v>0.2352351</v>
      </c>
      <c r="Z3175">
        <v>3.5553149999999999E-2</v>
      </c>
      <c r="AA3175">
        <v>0.97128800000000004</v>
      </c>
      <c r="AB3175">
        <v>46</v>
      </c>
      <c r="AC3175">
        <v>-0.33179999999998699</v>
      </c>
      <c r="AD3175">
        <v>-0.19738259999999999</v>
      </c>
      <c r="AE3175">
        <v>0.18440000000001</v>
      </c>
      <c r="AF3175">
        <v>0.149677604792993</v>
      </c>
      <c r="AG3175">
        <v>-0.19738259999999999</v>
      </c>
      <c r="AH3175">
        <v>0.25861632560969</v>
      </c>
      <c r="AI3175">
        <v>123.44748442962199</v>
      </c>
      <c r="AJ3175">
        <v>59.939322144335698</v>
      </c>
      <c r="AK3175">
        <v>0.35811406008586799</v>
      </c>
      <c r="AL3175">
        <v>88.372047998581806</v>
      </c>
      <c r="AM3175">
        <v>96.573229597492499</v>
      </c>
      <c r="AN3175">
        <v>1.00000001296494</v>
      </c>
    </row>
    <row r="3176" spans="1:40" x14ac:dyDescent="0.25">
      <c r="A3176" t="str">
        <f>"20190305135651021"</f>
        <v>20190305135651021</v>
      </c>
      <c r="B3176" t="str">
        <f>"1551765411015507"</f>
        <v>1551765411015507</v>
      </c>
      <c r="C3176" t="s">
        <v>40</v>
      </c>
      <c r="D3176">
        <v>4.0147399999999998</v>
      </c>
      <c r="E3176">
        <v>0.63673590000000002</v>
      </c>
      <c r="F3176" t="s">
        <v>41</v>
      </c>
      <c r="G3176">
        <v>-303.68169999999998</v>
      </c>
      <c r="H3176">
        <v>0.91591049999999996</v>
      </c>
      <c r="I3176">
        <v>141.48339999999999</v>
      </c>
      <c r="J3176">
        <v>-303.6241</v>
      </c>
      <c r="K3176">
        <v>1.108989</v>
      </c>
      <c r="L3176">
        <v>141.29859999999999</v>
      </c>
      <c r="M3176">
        <v>-0.99974189999999996</v>
      </c>
      <c r="N3176">
        <v>-1.458102E-2</v>
      </c>
      <c r="O3176">
        <v>-1.7428059999999999E-2</v>
      </c>
      <c r="P3176">
        <v>-0.9912415</v>
      </c>
      <c r="Q3176">
        <v>1.3576349999999999E-2</v>
      </c>
      <c r="R3176">
        <v>-0.13136300000000001</v>
      </c>
      <c r="S3176">
        <v>-3.1354060000000001</v>
      </c>
      <c r="T3176">
        <v>-0.81859040000000005</v>
      </c>
      <c r="U3176">
        <v>0.73152159999999999</v>
      </c>
      <c r="V3176">
        <v>-0.11407</v>
      </c>
      <c r="W3176">
        <v>2.804276E-2</v>
      </c>
      <c r="X3176">
        <v>0.99307690000000004</v>
      </c>
      <c r="Y3176">
        <v>0.23569599999999999</v>
      </c>
      <c r="Z3176">
        <v>3.5821869999999999E-2</v>
      </c>
      <c r="AA3176">
        <v>0.97116639999999999</v>
      </c>
      <c r="AB3176">
        <v>45</v>
      </c>
      <c r="AC3176">
        <v>-5.7599999999979397E-2</v>
      </c>
      <c r="AD3176">
        <v>-0.19307849999999999</v>
      </c>
      <c r="AE3176">
        <v>0.184799999999995</v>
      </c>
      <c r="AF3176">
        <v>9.3123423606623706E-2</v>
      </c>
      <c r="AG3176">
        <v>-0.19307849999999999</v>
      </c>
      <c r="AH3176">
        <v>2.7254017688084199E-2</v>
      </c>
      <c r="AI3176">
        <v>153.318646079041</v>
      </c>
      <c r="AJ3176">
        <v>16.3129351916064</v>
      </c>
      <c r="AK3176">
        <v>0.21608808543418301</v>
      </c>
      <c r="AL3176">
        <v>88.393057616346098</v>
      </c>
      <c r="AM3176">
        <v>96.552574947472095</v>
      </c>
      <c r="AN3176">
        <v>1.0000000453010101</v>
      </c>
    </row>
    <row r="3177" spans="1:40" x14ac:dyDescent="0.25">
      <c r="A3177" t="str">
        <f>"20190305135651042"</f>
        <v>20190305135651042</v>
      </c>
      <c r="B3177" t="str">
        <f>"1551765411035026"</f>
        <v>1551765411035026</v>
      </c>
      <c r="C3177" t="s">
        <v>40</v>
      </c>
      <c r="D3177">
        <v>4.0110260000000002</v>
      </c>
      <c r="E3177">
        <v>0.63661669999999904</v>
      </c>
      <c r="F3177" t="s">
        <v>41</v>
      </c>
      <c r="G3177">
        <v>-304.48219999999998</v>
      </c>
      <c r="H3177">
        <v>0.88448320000000002</v>
      </c>
      <c r="I3177">
        <v>141.4992</v>
      </c>
      <c r="J3177">
        <v>-304.08409999999998</v>
      </c>
      <c r="K3177">
        <v>1.1089690000000001</v>
      </c>
      <c r="L3177">
        <v>141.29060000000001</v>
      </c>
      <c r="M3177">
        <v>-0.99974189999999996</v>
      </c>
      <c r="N3177">
        <v>-1.4585529999999999E-2</v>
      </c>
      <c r="O3177">
        <v>-1.7423910000000001E-2</v>
      </c>
      <c r="P3177">
        <v>-0.99129789999999995</v>
      </c>
      <c r="Q3177">
        <v>1.3855869999999999E-2</v>
      </c>
      <c r="R3177">
        <v>-0.13090570000000001</v>
      </c>
      <c r="S3177">
        <v>-3.134674</v>
      </c>
      <c r="T3177">
        <v>-0.82015839999999995</v>
      </c>
      <c r="U3177">
        <v>0.73143009999999997</v>
      </c>
      <c r="V3177">
        <v>-0.1136144</v>
      </c>
      <c r="W3177">
        <v>2.833304E-2</v>
      </c>
      <c r="X3177">
        <v>0.99312080000000003</v>
      </c>
      <c r="Y3177">
        <v>0.2356808</v>
      </c>
      <c r="Z3177">
        <v>3.5890770000000002E-2</v>
      </c>
      <c r="AA3177">
        <v>0.97116760000000002</v>
      </c>
      <c r="AB3177">
        <v>45</v>
      </c>
      <c r="AC3177">
        <v>-0.39809999999999901</v>
      </c>
      <c r="AD3177">
        <v>-0.22448580000000001</v>
      </c>
      <c r="AE3177">
        <v>0.20859999999998899</v>
      </c>
      <c r="AF3177">
        <v>0.17247649525030501</v>
      </c>
      <c r="AG3177">
        <v>-0.22448580000000001</v>
      </c>
      <c r="AH3177">
        <v>0.31565554278022401</v>
      </c>
      <c r="AI3177">
        <v>121.967700475493</v>
      </c>
      <c r="AJ3177">
        <v>61.347485217374697</v>
      </c>
      <c r="AK3177">
        <v>0.424005232872599</v>
      </c>
      <c r="AL3177">
        <v>88.376419045330294</v>
      </c>
      <c r="AM3177">
        <v>96.526343948684598</v>
      </c>
      <c r="AN3177">
        <v>0.99999995821781995</v>
      </c>
    </row>
    <row r="3178" spans="1:40" x14ac:dyDescent="0.25">
      <c r="A3178" t="str">
        <f>"20190305135651066"</f>
        <v>20190305135651066</v>
      </c>
      <c r="B3178" t="str">
        <f>"1551765411055522"</f>
        <v>1551765411055522</v>
      </c>
      <c r="C3178" t="s">
        <v>40</v>
      </c>
      <c r="D3178">
        <v>4.0316080000000003</v>
      </c>
      <c r="E3178">
        <v>0.63645859999999999</v>
      </c>
      <c r="F3178" t="s">
        <v>41</v>
      </c>
      <c r="G3178">
        <v>-304.89240000000001</v>
      </c>
      <c r="H3178">
        <v>0.89779500000000001</v>
      </c>
      <c r="I3178">
        <v>141.47919999999999</v>
      </c>
      <c r="J3178">
        <v>-304.56369999999998</v>
      </c>
      <c r="K3178">
        <v>1.108938</v>
      </c>
      <c r="L3178">
        <v>141.28219999999999</v>
      </c>
      <c r="M3178">
        <v>-0.99974229999999997</v>
      </c>
      <c r="N3178">
        <v>-1.458919E-2</v>
      </c>
      <c r="O3178">
        <v>-1.7392970000000001E-2</v>
      </c>
      <c r="P3178">
        <v>-0.99136009999999997</v>
      </c>
      <c r="Q3178">
        <v>1.368662E-2</v>
      </c>
      <c r="R3178">
        <v>-0.13045399999999999</v>
      </c>
      <c r="S3178">
        <v>-3.134369</v>
      </c>
      <c r="T3178">
        <v>-0.81887529999999997</v>
      </c>
      <c r="U3178">
        <v>0.73158259999999997</v>
      </c>
      <c r="V3178">
        <v>-0.1131906</v>
      </c>
      <c r="W3178">
        <v>2.8175260000000001E-2</v>
      </c>
      <c r="X3178">
        <v>0.99317370000000005</v>
      </c>
      <c r="Y3178">
        <v>0.23573949999999999</v>
      </c>
      <c r="Z3178">
        <v>3.5842430000000002E-2</v>
      </c>
      <c r="AA3178">
        <v>0.97115510000000005</v>
      </c>
      <c r="AB3178">
        <v>45</v>
      </c>
      <c r="AC3178">
        <v>-0.32870000000002603</v>
      </c>
      <c r="AD3178">
        <v>-0.211142999999999</v>
      </c>
      <c r="AE3178">
        <v>0.19700000000000201</v>
      </c>
      <c r="AF3178">
        <v>0.155485704506897</v>
      </c>
      <c r="AG3178">
        <v>-0.211142999999999</v>
      </c>
      <c r="AH3178">
        <v>0.24948509620564399</v>
      </c>
      <c r="AI3178">
        <v>125.687634617843</v>
      </c>
      <c r="AJ3178">
        <v>58.067748940398701</v>
      </c>
      <c r="AK3178">
        <v>0.36193919929146301</v>
      </c>
      <c r="AL3178">
        <v>88.385462815930097</v>
      </c>
      <c r="AM3178">
        <v>96.501865134705099</v>
      </c>
      <c r="AN3178">
        <v>0.99999997778805805</v>
      </c>
    </row>
    <row r="3179" spans="1:40" x14ac:dyDescent="0.25">
      <c r="A3179" t="str">
        <f>"20190305135651086"</f>
        <v>20190305135651086</v>
      </c>
      <c r="B3179" t="str">
        <f>"1551765411075043"</f>
        <v>1551765411075043</v>
      </c>
      <c r="C3179" t="s">
        <v>40</v>
      </c>
      <c r="D3179">
        <v>4.1298469999999998</v>
      </c>
      <c r="E3179">
        <v>0.63636949999999903</v>
      </c>
      <c r="F3179" t="s">
        <v>41</v>
      </c>
      <c r="G3179">
        <v>-305.30410000000001</v>
      </c>
      <c r="H3179">
        <v>0.91548010000000002</v>
      </c>
      <c r="I3179">
        <v>141.4554</v>
      </c>
      <c r="J3179">
        <v>-304.96480000000003</v>
      </c>
      <c r="K3179">
        <v>1.1089070000000001</v>
      </c>
      <c r="L3179">
        <v>141.27529999999999</v>
      </c>
      <c r="M3179">
        <v>-0.9997433</v>
      </c>
      <c r="N3179">
        <v>-1.459149E-2</v>
      </c>
      <c r="O3179">
        <v>-1.7334660000000002E-2</v>
      </c>
      <c r="P3179">
        <v>-0.99138939999999998</v>
      </c>
      <c r="Q3179">
        <v>1.338453E-2</v>
      </c>
      <c r="R3179">
        <v>-0.13026190000000001</v>
      </c>
      <c r="S3179">
        <v>-3.1336979999999999</v>
      </c>
      <c r="T3179">
        <v>-0.81875869999999995</v>
      </c>
      <c r="U3179">
        <v>0.73144529999999996</v>
      </c>
      <c r="V3179">
        <v>-0.11305419999999999</v>
      </c>
      <c r="W3179">
        <v>2.7883560000000002E-2</v>
      </c>
      <c r="X3179">
        <v>0.99319749999999996</v>
      </c>
      <c r="Y3179">
        <v>0.2356907</v>
      </c>
      <c r="Z3179">
        <v>3.5824509999999997E-2</v>
      </c>
      <c r="AA3179">
        <v>0.97116760000000002</v>
      </c>
      <c r="AB3179">
        <v>45</v>
      </c>
      <c r="AC3179">
        <v>-0.33929999999998001</v>
      </c>
      <c r="AD3179">
        <v>-0.19342690000000001</v>
      </c>
      <c r="AE3179">
        <v>0.18010000000001</v>
      </c>
      <c r="AF3179">
        <v>0.14834287291477699</v>
      </c>
      <c r="AG3179">
        <v>-0.19342690000000001</v>
      </c>
      <c r="AH3179">
        <v>0.268139843619566</v>
      </c>
      <c r="AI3179">
        <v>122.260506947615</v>
      </c>
      <c r="AJ3179">
        <v>61.047337061347697</v>
      </c>
      <c r="AK3179">
        <v>0.36237901336107398</v>
      </c>
      <c r="AL3179">
        <v>88.402182615185296</v>
      </c>
      <c r="AM3179">
        <v>96.493942763231701</v>
      </c>
      <c r="AN3179">
        <v>1.0000000095310799</v>
      </c>
    </row>
    <row r="3180" spans="1:40" x14ac:dyDescent="0.25">
      <c r="A3180" t="str">
        <f>"20190305135651109"</f>
        <v>20190305135651109</v>
      </c>
      <c r="B3180" t="str">
        <f>"1551765411105298"</f>
        <v>1551765411105298</v>
      </c>
      <c r="C3180" t="s">
        <v>40</v>
      </c>
      <c r="D3180">
        <v>3.9464220000000001</v>
      </c>
      <c r="E3180">
        <v>0.57208970000000003</v>
      </c>
      <c r="F3180" t="s">
        <v>41</v>
      </c>
      <c r="G3180">
        <v>-305.70839999999998</v>
      </c>
      <c r="H3180">
        <v>0.91424470000000002</v>
      </c>
      <c r="I3180">
        <v>141.44880000000001</v>
      </c>
      <c r="J3180">
        <v>-305.41770000000002</v>
      </c>
      <c r="K3180">
        <v>1.1088659999999999</v>
      </c>
      <c r="L3180">
        <v>141.26750000000001</v>
      </c>
      <c r="M3180">
        <v>-0.99974510000000005</v>
      </c>
      <c r="N3180">
        <v>-1.459333E-2</v>
      </c>
      <c r="O3180">
        <v>-1.7228810000000001E-2</v>
      </c>
      <c r="P3180">
        <v>-0.99142560000000002</v>
      </c>
      <c r="Q3180">
        <v>1.292687E-2</v>
      </c>
      <c r="R3180">
        <v>-0.1300318</v>
      </c>
      <c r="S3180">
        <v>-3.1331479999999998</v>
      </c>
      <c r="T3180">
        <v>-0.82015729999999998</v>
      </c>
      <c r="U3180">
        <v>0.73083500000000001</v>
      </c>
      <c r="V3180">
        <v>-0.11292580000000001</v>
      </c>
      <c r="W3180">
        <v>2.7439310000000001E-2</v>
      </c>
      <c r="X3180">
        <v>0.99322440000000001</v>
      </c>
      <c r="Y3180">
        <v>0.2354272</v>
      </c>
      <c r="Z3180">
        <v>3.5827039999999997E-2</v>
      </c>
      <c r="AA3180">
        <v>0.97123139999999997</v>
      </c>
      <c r="AB3180">
        <v>45</v>
      </c>
      <c r="AC3180">
        <v>-0.29069999999995799</v>
      </c>
      <c r="AD3180">
        <v>-0.194621299999999</v>
      </c>
      <c r="AE3180">
        <v>0.18129999999999299</v>
      </c>
      <c r="AF3180">
        <v>0.140834538622538</v>
      </c>
      <c r="AG3180">
        <v>-0.194621299999999</v>
      </c>
      <c r="AH3180">
        <v>0.21738310748690201</v>
      </c>
      <c r="AI3180">
        <v>126.920629053235</v>
      </c>
      <c r="AJ3180">
        <v>57.062278747846399</v>
      </c>
      <c r="AK3180">
        <v>0.323986470556063</v>
      </c>
      <c r="AL3180">
        <v>88.427645884328797</v>
      </c>
      <c r="AM3180">
        <v>96.486456054774806</v>
      </c>
      <c r="AN3180">
        <v>0.99999993039713497</v>
      </c>
    </row>
    <row r="3181" spans="1:40" x14ac:dyDescent="0.25">
      <c r="A3181" t="str">
        <f>"20190305135651132"</f>
        <v>20190305135651132</v>
      </c>
      <c r="B3181" t="str">
        <f>"1551765411124818"</f>
        <v>1551765411124818</v>
      </c>
      <c r="C3181" t="s">
        <v>40</v>
      </c>
      <c r="D3181">
        <v>4.4020330000000003</v>
      </c>
      <c r="E3181">
        <v>0.52513209999999999</v>
      </c>
      <c r="F3181" t="s">
        <v>41</v>
      </c>
      <c r="G3181">
        <v>-306.1352</v>
      </c>
      <c r="H3181">
        <v>0.97464240000000002</v>
      </c>
      <c r="I3181">
        <v>141.31710000000001</v>
      </c>
      <c r="J3181">
        <v>-305.89120000000003</v>
      </c>
      <c r="K3181">
        <v>1.1088249999999999</v>
      </c>
      <c r="L3181">
        <v>141.2595</v>
      </c>
      <c r="M3181">
        <v>-0.99974790000000002</v>
      </c>
      <c r="N3181">
        <v>-1.459471E-2</v>
      </c>
      <c r="O3181">
        <v>-1.7064019999999999E-2</v>
      </c>
      <c r="P3181">
        <v>-0.99154279999999995</v>
      </c>
      <c r="Q3181">
        <v>1.2720820000000001E-2</v>
      </c>
      <c r="R3181">
        <v>-0.12915699999999999</v>
      </c>
      <c r="S3181">
        <v>-3.0609440000000001</v>
      </c>
      <c r="T3181">
        <v>-0.57270650000000001</v>
      </c>
      <c r="U3181">
        <v>0.21002199999999999</v>
      </c>
      <c r="V3181">
        <v>-0.1122093</v>
      </c>
      <c r="W3181">
        <v>2.7250079999999999E-2</v>
      </c>
      <c r="X3181">
        <v>0.9933109</v>
      </c>
      <c r="Y3181">
        <v>8.3657270000000006E-2</v>
      </c>
      <c r="Z3181">
        <v>1.128205E-2</v>
      </c>
      <c r="AA3181">
        <v>0.9964307</v>
      </c>
      <c r="AB3181">
        <v>45</v>
      </c>
      <c r="AC3181">
        <v>-0.24399999999997099</v>
      </c>
      <c r="AD3181">
        <v>-0.13418259999999901</v>
      </c>
      <c r="AE3181">
        <v>5.7600000000007798E-2</v>
      </c>
      <c r="AF3181">
        <v>4.8004419851633701E-2</v>
      </c>
      <c r="AG3181">
        <v>-0.13418259999999901</v>
      </c>
      <c r="AH3181">
        <v>0.188876317956328</v>
      </c>
      <c r="AI3181">
        <v>124.548784220375</v>
      </c>
      <c r="AJ3181">
        <v>75.739756948885798</v>
      </c>
      <c r="AK3181">
        <v>0.23660865992772101</v>
      </c>
      <c r="AL3181">
        <v>88.438492159549497</v>
      </c>
      <c r="AM3181">
        <v>96.445091177803405</v>
      </c>
      <c r="AN3181">
        <v>1.0000000189626499</v>
      </c>
    </row>
    <row r="3182" spans="1:40" x14ac:dyDescent="0.25">
      <c r="A3182" t="str">
        <f>"20190305135651155"</f>
        <v>20190305135651155</v>
      </c>
      <c r="B3182" t="str">
        <f>"1551765411145314"</f>
        <v>1551765411145314</v>
      </c>
      <c r="C3182" t="s">
        <v>40</v>
      </c>
      <c r="D3182">
        <v>4.0223230000000001</v>
      </c>
      <c r="E3182">
        <v>0.52586569999999899</v>
      </c>
      <c r="F3182" t="s">
        <v>42</v>
      </c>
      <c r="G3182">
        <v>-324.899</v>
      </c>
      <c r="H3182" s="1">
        <v>-2.3073459999999999E-6</v>
      </c>
      <c r="I3182">
        <v>140.1302</v>
      </c>
      <c r="J3182">
        <v>-306.35230000000001</v>
      </c>
      <c r="K3182">
        <v>1.1087720000000001</v>
      </c>
      <c r="L3182">
        <v>141.2518</v>
      </c>
      <c r="M3182">
        <v>-0.99975150000000002</v>
      </c>
      <c r="N3182">
        <v>-1.459557E-2</v>
      </c>
      <c r="O3182">
        <v>-1.6850939999999998E-2</v>
      </c>
      <c r="P3182">
        <v>-0.99169459999999998</v>
      </c>
      <c r="Q3182">
        <v>1.270811E-2</v>
      </c>
      <c r="R3182">
        <v>-0.12798679999999901</v>
      </c>
      <c r="S3182">
        <v>-3.004578</v>
      </c>
      <c r="T3182">
        <v>-0.17527379999999901</v>
      </c>
      <c r="U3182">
        <v>-0.1784973</v>
      </c>
      <c r="V3182">
        <v>-0.11124539999999999</v>
      </c>
      <c r="W3182">
        <v>2.725342E-2</v>
      </c>
      <c r="X3182">
        <v>0.99341919999999995</v>
      </c>
      <c r="Y3182">
        <v>-4.2398569999999997E-2</v>
      </c>
      <c r="Z3182">
        <v>-8.0904369999999998E-4</v>
      </c>
      <c r="AA3182">
        <v>0.9991004</v>
      </c>
      <c r="AB3182">
        <v>45</v>
      </c>
      <c r="AC3182">
        <v>-18.546699999999898</v>
      </c>
      <c r="AD3182">
        <v>-1.1087743073459999</v>
      </c>
      <c r="AE3182">
        <v>-1.1215999999999999</v>
      </c>
      <c r="AF3182">
        <v>-0.80600793161980999</v>
      </c>
      <c r="AG3182">
        <v>-1.1087743073459999</v>
      </c>
      <c r="AH3182">
        <v>18.497100556437999</v>
      </c>
      <c r="AI3182">
        <v>93.427139896595406</v>
      </c>
      <c r="AJ3182">
        <v>92.495075213562998</v>
      </c>
      <c r="AK3182">
        <v>18.547823544703199</v>
      </c>
      <c r="AL3182">
        <v>88.438300686906999</v>
      </c>
      <c r="AM3182">
        <v>96.3894956276431</v>
      </c>
      <c r="AN3182">
        <v>0.99999999742574797</v>
      </c>
    </row>
    <row r="3183" spans="1:40" x14ac:dyDescent="0.25">
      <c r="A3183" t="str">
        <f>"20190305135651175"</f>
        <v>20190305135651175</v>
      </c>
      <c r="B3183" t="str">
        <f>"1551765411165814"</f>
        <v>1551765411165814</v>
      </c>
      <c r="C3183" t="s">
        <v>40</v>
      </c>
      <c r="D3183">
        <v>3.9593099999999999</v>
      </c>
      <c r="E3183">
        <v>0.52917069999999999</v>
      </c>
      <c r="F3183" t="s">
        <v>42</v>
      </c>
      <c r="G3183">
        <v>-328.5976</v>
      </c>
      <c r="H3183" s="1">
        <v>-6.8368789999999996E-7</v>
      </c>
      <c r="I3183">
        <v>139.9913</v>
      </c>
      <c r="J3183">
        <v>-306.77179999999998</v>
      </c>
      <c r="K3183">
        <v>1.10873</v>
      </c>
      <c r="L3183">
        <v>141.2449</v>
      </c>
      <c r="M3183">
        <v>-0.99975539999999996</v>
      </c>
      <c r="N3183">
        <v>-1.459594E-2</v>
      </c>
      <c r="O3183">
        <v>-1.6618910000000001E-2</v>
      </c>
      <c r="P3183">
        <v>-0.99186030000000003</v>
      </c>
      <c r="Q3183">
        <v>1.3159590000000001E-2</v>
      </c>
      <c r="R3183">
        <v>-0.12665170000000001</v>
      </c>
      <c r="S3183">
        <v>-3.0050349999999999</v>
      </c>
      <c r="T3183">
        <v>-0.14978029999999901</v>
      </c>
      <c r="U3183">
        <v>-0.170272799999999</v>
      </c>
      <c r="V3183">
        <v>-0.110135</v>
      </c>
      <c r="W3183">
        <v>2.7719110000000002E-2</v>
      </c>
      <c r="X3183">
        <v>0.99353000000000002</v>
      </c>
      <c r="Y3183">
        <v>-3.991625E-2</v>
      </c>
      <c r="Z3183">
        <v>-7.0043410000000003E-4</v>
      </c>
      <c r="AA3183">
        <v>0.99920279999999995</v>
      </c>
      <c r="AB3183">
        <v>45</v>
      </c>
      <c r="AC3183">
        <v>-21.825800000000001</v>
      </c>
      <c r="AD3183">
        <v>-1.1087306836878901</v>
      </c>
      <c r="AE3183">
        <v>-1.2536</v>
      </c>
      <c r="AF3183">
        <v>-0.888382229153176</v>
      </c>
      <c r="AG3183">
        <v>-1.1087306836878901</v>
      </c>
      <c r="AH3183">
        <v>21.7875818096852</v>
      </c>
      <c r="AI3183">
        <v>92.910751304190498</v>
      </c>
      <c r="AJ3183">
        <v>92.3349251048745</v>
      </c>
      <c r="AK3183">
        <v>21.8338550839688</v>
      </c>
      <c r="AL3183">
        <v>88.411608477277099</v>
      </c>
      <c r="AM3183">
        <v>96.325538506986007</v>
      </c>
      <c r="AN3183">
        <v>0.99999996409209502</v>
      </c>
    </row>
    <row r="3184" spans="1:40" x14ac:dyDescent="0.25">
      <c r="A3184" t="str">
        <f>"20190305135651198"</f>
        <v>20190305135651198</v>
      </c>
      <c r="B3184" t="str">
        <f>"1551765411185331"</f>
        <v>1551765411185331</v>
      </c>
      <c r="C3184" t="s">
        <v>40</v>
      </c>
      <c r="D3184">
        <v>3.988219</v>
      </c>
      <c r="E3184">
        <v>0.52989129999999995</v>
      </c>
      <c r="F3184" t="s">
        <v>42</v>
      </c>
      <c r="G3184">
        <v>-335.5566</v>
      </c>
      <c r="H3184" s="1">
        <v>-2.154037E-6</v>
      </c>
      <c r="I3184">
        <v>139.8913</v>
      </c>
      <c r="J3184">
        <v>-307.22089999999997</v>
      </c>
      <c r="K3184">
        <v>1.108692</v>
      </c>
      <c r="L3184">
        <v>141.23769999999999</v>
      </c>
      <c r="M3184">
        <v>-0.99976019999999999</v>
      </c>
      <c r="N3184">
        <v>-1.45959E-2</v>
      </c>
      <c r="O3184">
        <v>-1.6330509999999999E-2</v>
      </c>
      <c r="P3184">
        <v>-0.99200010000000005</v>
      </c>
      <c r="Q3184">
        <v>1.390458E-2</v>
      </c>
      <c r="R3184">
        <v>-0.12547059999999999</v>
      </c>
      <c r="S3184">
        <v>-3.0080870000000002</v>
      </c>
      <c r="T3184">
        <v>-0.1158652</v>
      </c>
      <c r="U3184">
        <v>-0.14146420000000001</v>
      </c>
      <c r="V3184">
        <v>-0.1092349</v>
      </c>
      <c r="W3184">
        <v>2.847651E-2</v>
      </c>
      <c r="X3184">
        <v>0.99360800000000005</v>
      </c>
      <c r="Y3184">
        <v>-3.0628949999999999E-2</v>
      </c>
      <c r="Z3184">
        <v>-4.2297549999999998E-4</v>
      </c>
      <c r="AA3184">
        <v>0.99953069999999999</v>
      </c>
      <c r="AB3184">
        <v>45</v>
      </c>
      <c r="AC3184">
        <v>-28.335699999999999</v>
      </c>
      <c r="AD3184">
        <v>-1.1086941540369999</v>
      </c>
      <c r="AE3184">
        <v>-1.3463999999999801</v>
      </c>
      <c r="AF3184">
        <v>-0.88208735584809495</v>
      </c>
      <c r="AG3184">
        <v>-1.1086941540369999</v>
      </c>
      <c r="AH3184">
        <v>28.3106662796637</v>
      </c>
      <c r="AI3184">
        <v>92.241568133129903</v>
      </c>
      <c r="AJ3184">
        <v>91.784611397718393</v>
      </c>
      <c r="AK3184">
        <v>28.346095075495501</v>
      </c>
      <c r="AL3184">
        <v>88.368195596173607</v>
      </c>
      <c r="AM3184">
        <v>96.273767156834694</v>
      </c>
      <c r="AN3184">
        <v>1.0000000163318901</v>
      </c>
    </row>
    <row r="3185" spans="1:40" x14ac:dyDescent="0.25">
      <c r="A3185" t="str">
        <f>"20190305135651221"</f>
        <v>20190305135651221</v>
      </c>
      <c r="B3185" t="str">
        <f>"1551765411215586"</f>
        <v>1551765411215586</v>
      </c>
      <c r="C3185" t="s">
        <v>40</v>
      </c>
      <c r="D3185">
        <v>4.0236429999999999</v>
      </c>
      <c r="E3185">
        <v>0.53042369999999905</v>
      </c>
      <c r="F3185" t="s">
        <v>42</v>
      </c>
      <c r="G3185">
        <v>-334.4667</v>
      </c>
      <c r="H3185" s="1">
        <v>-2.7104439999999999E-6</v>
      </c>
      <c r="I3185">
        <v>140.04599999999999</v>
      </c>
      <c r="J3185">
        <v>-307.69139999999999</v>
      </c>
      <c r="K3185">
        <v>1.108662</v>
      </c>
      <c r="L3185">
        <v>141.2303</v>
      </c>
      <c r="M3185">
        <v>-0.99976569999999998</v>
      </c>
      <c r="N3185">
        <v>-1.4595439999999999E-2</v>
      </c>
      <c r="O3185">
        <v>-1.5986819999999999E-2</v>
      </c>
      <c r="P3185">
        <v>-0.99217180000000005</v>
      </c>
      <c r="Q3185">
        <v>1.4044910000000001E-2</v>
      </c>
      <c r="R3185">
        <v>-0.1240885</v>
      </c>
      <c r="S3185">
        <v>-3.009277</v>
      </c>
      <c r="T3185">
        <v>-0.1224544</v>
      </c>
      <c r="U3185">
        <v>-0.1316223</v>
      </c>
      <c r="V3185">
        <v>-0.1081887</v>
      </c>
      <c r="W3185">
        <v>2.862903E-2</v>
      </c>
      <c r="X3185">
        <v>0.99371810000000005</v>
      </c>
      <c r="Y3185">
        <v>-2.769257E-2</v>
      </c>
      <c r="Z3185">
        <v>-3.4856699999999998E-4</v>
      </c>
      <c r="AA3185">
        <v>0.99961639999999996</v>
      </c>
      <c r="AB3185">
        <v>45</v>
      </c>
      <c r="AC3185">
        <v>-26.775300000000001</v>
      </c>
      <c r="AD3185">
        <v>-1.1086647104439999</v>
      </c>
      <c r="AE3185">
        <v>-1.1842999999999999</v>
      </c>
      <c r="AF3185">
        <v>-0.75475963644603805</v>
      </c>
      <c r="AG3185">
        <v>-1.1086647104439999</v>
      </c>
      <c r="AH3185">
        <v>26.745048417734001</v>
      </c>
      <c r="AI3185">
        <v>92.372784112265094</v>
      </c>
      <c r="AJ3185">
        <v>91.616488650774301</v>
      </c>
      <c r="AK3185">
        <v>26.7786559486455</v>
      </c>
      <c r="AL3185">
        <v>88.359453317211006</v>
      </c>
      <c r="AM3185">
        <v>96.213469217576701</v>
      </c>
      <c r="AN3185">
        <v>1.0000000392170101</v>
      </c>
    </row>
    <row r="3186" spans="1:40" x14ac:dyDescent="0.25">
      <c r="A3186" t="str">
        <f>"20190305135651244"</f>
        <v>20190305135651244</v>
      </c>
      <c r="B3186" t="str">
        <f>"1551765411235108"</f>
        <v>1551765411235108</v>
      </c>
      <c r="C3186" t="s">
        <v>40</v>
      </c>
      <c r="D3186">
        <v>4.0588769999999998</v>
      </c>
      <c r="E3186">
        <v>0.52998659999999997</v>
      </c>
      <c r="F3186" t="s">
        <v>42</v>
      </c>
      <c r="G3186">
        <v>-332.45479999999998</v>
      </c>
      <c r="H3186" s="1">
        <v>-3.7078389999999999E-6</v>
      </c>
      <c r="I3186">
        <v>140.22030000000001</v>
      </c>
      <c r="J3186">
        <v>-308.16120000000001</v>
      </c>
      <c r="K3186">
        <v>1.1086210000000001</v>
      </c>
      <c r="L3186">
        <v>141.22309999999999</v>
      </c>
      <c r="M3186">
        <v>-0.99977169999999904</v>
      </c>
      <c r="N3186">
        <v>-1.4594670000000001E-2</v>
      </c>
      <c r="O3186">
        <v>-1.5606429999999999E-2</v>
      </c>
      <c r="P3186">
        <v>-0.99230149999999995</v>
      </c>
      <c r="Q3186">
        <v>1.38812E-2</v>
      </c>
      <c r="R3186">
        <v>-0.1230665</v>
      </c>
      <c r="S3186">
        <v>-3.0102540000000002</v>
      </c>
      <c r="T3186">
        <v>-0.1347698</v>
      </c>
      <c r="U3186">
        <v>-0.1227722</v>
      </c>
      <c r="V3186">
        <v>-0.10754039999999999</v>
      </c>
      <c r="W3186">
        <v>2.8476029999999999E-2</v>
      </c>
      <c r="X3186">
        <v>0.99379280000000003</v>
      </c>
      <c r="Y3186">
        <v>-2.512445E-2</v>
      </c>
      <c r="Z3186">
        <v>-2.7509719999999999E-4</v>
      </c>
      <c r="AA3186">
        <v>0.99968429999999997</v>
      </c>
      <c r="AB3186">
        <v>45</v>
      </c>
      <c r="AC3186">
        <v>-24.293599999999898</v>
      </c>
      <c r="AD3186">
        <v>-1.1086247078389999</v>
      </c>
      <c r="AE3186">
        <v>-1.0027999999999699</v>
      </c>
      <c r="AF3186">
        <v>-0.62220755115344195</v>
      </c>
      <c r="AG3186">
        <v>-1.1086247078389999</v>
      </c>
      <c r="AH3186">
        <v>24.255865544472101</v>
      </c>
      <c r="AI3186">
        <v>92.616047528032794</v>
      </c>
      <c r="AJ3186">
        <v>91.469419851398698</v>
      </c>
      <c r="AK3186">
        <v>24.289158163490399</v>
      </c>
      <c r="AL3186">
        <v>88.368223042861104</v>
      </c>
      <c r="AM3186">
        <v>96.176064160231405</v>
      </c>
      <c r="AN3186">
        <v>0.99999997562428</v>
      </c>
    </row>
    <row r="3187" spans="1:40" x14ac:dyDescent="0.25">
      <c r="A3187" t="str">
        <f>"20190305135651267"</f>
        <v>20190305135651267</v>
      </c>
      <c r="B3187" t="str">
        <f>"1551765411255602"</f>
        <v>1551765411255602</v>
      </c>
      <c r="C3187" t="s">
        <v>40</v>
      </c>
      <c r="D3187">
        <v>4.0501319999999996</v>
      </c>
      <c r="E3187">
        <v>0.53001299999999996</v>
      </c>
      <c r="F3187" t="s">
        <v>42</v>
      </c>
      <c r="G3187">
        <v>-331.73419999999999</v>
      </c>
      <c r="H3187" s="1">
        <v>-4.0593460000000002E-6</v>
      </c>
      <c r="I3187">
        <v>140.2611</v>
      </c>
      <c r="J3187">
        <v>-308.61829999999998</v>
      </c>
      <c r="K3187">
        <v>1.1085860000000001</v>
      </c>
      <c r="L3187">
        <v>141.21619999999999</v>
      </c>
      <c r="M3187">
        <v>-0.9997779</v>
      </c>
      <c r="N3187">
        <v>-1.459367E-2</v>
      </c>
      <c r="O3187">
        <v>-1.5205E-2</v>
      </c>
      <c r="P3187">
        <v>-0.99234080000000002</v>
      </c>
      <c r="Q3187">
        <v>1.320061E-2</v>
      </c>
      <c r="R3187">
        <v>-0.1228244</v>
      </c>
      <c r="S3187">
        <v>-3.0100099999999999</v>
      </c>
      <c r="T3187">
        <v>-0.1415592</v>
      </c>
      <c r="U3187">
        <v>-0.12283330000000001</v>
      </c>
      <c r="V3187">
        <v>-0.1076946</v>
      </c>
      <c r="W3187">
        <v>2.7805389999999999E-2</v>
      </c>
      <c r="X3187">
        <v>0.99379510000000004</v>
      </c>
      <c r="Y3187">
        <v>-2.5546659999999999E-2</v>
      </c>
      <c r="Z3187">
        <v>-2.94214E-4</v>
      </c>
      <c r="AA3187">
        <v>0.99967360000000005</v>
      </c>
      <c r="AB3187">
        <v>45</v>
      </c>
      <c r="AC3187">
        <v>-23.1159</v>
      </c>
      <c r="AD3187">
        <v>-1.1085900593459901</v>
      </c>
      <c r="AE3187">
        <v>-0.95509999999998696</v>
      </c>
      <c r="AF3187">
        <v>-0.60209244510400795</v>
      </c>
      <c r="AG3187">
        <v>-1.1085900593459901</v>
      </c>
      <c r="AH3187">
        <v>23.0747704026513</v>
      </c>
      <c r="AI3187">
        <v>92.749633743328502</v>
      </c>
      <c r="AJ3187">
        <v>91.4946857281207</v>
      </c>
      <c r="AK3187">
        <v>23.109230111953199</v>
      </c>
      <c r="AL3187">
        <v>88.406663122287497</v>
      </c>
      <c r="AM3187">
        <v>96.184837105728704</v>
      </c>
      <c r="AN3187">
        <v>0.99999998368311005</v>
      </c>
    </row>
    <row r="3188" spans="1:40" x14ac:dyDescent="0.25">
      <c r="A3188" t="str">
        <f>"20190305135651287"</f>
        <v>20190305135651287</v>
      </c>
      <c r="B3188" t="str">
        <f>"1551765411275123"</f>
        <v>1551765411275123</v>
      </c>
      <c r="C3188" t="s">
        <v>40</v>
      </c>
      <c r="D3188">
        <v>4.0408910000000002</v>
      </c>
      <c r="E3188">
        <v>0.53021130000000005</v>
      </c>
      <c r="F3188" t="s">
        <v>42</v>
      </c>
      <c r="G3188">
        <v>-331.21949999999998</v>
      </c>
      <c r="H3188" s="1">
        <v>-4.3137610000000001E-6</v>
      </c>
      <c r="I3188">
        <v>140.30289999999999</v>
      </c>
      <c r="J3188">
        <v>-309.02109999999999</v>
      </c>
      <c r="K3188">
        <v>1.1085560000000001</v>
      </c>
      <c r="L3188">
        <v>141.21039999999999</v>
      </c>
      <c r="M3188">
        <v>-0.99978370000000005</v>
      </c>
      <c r="N3188">
        <v>-1.4592569999999999E-2</v>
      </c>
      <c r="O3188">
        <v>-1.4827969999999999E-2</v>
      </c>
      <c r="P3188">
        <v>-0.99243959999999998</v>
      </c>
      <c r="Q3188">
        <v>1.31647E-2</v>
      </c>
      <c r="R3188">
        <v>-0.1220281</v>
      </c>
      <c r="S3188">
        <v>-3.01004</v>
      </c>
      <c r="T3188">
        <v>-0.14764260000000001</v>
      </c>
      <c r="U3188">
        <v>-0.1216431</v>
      </c>
      <c r="V3188">
        <v>-0.10726960000000001</v>
      </c>
      <c r="W3188">
        <v>2.7777739999999999E-2</v>
      </c>
      <c r="X3188">
        <v>0.9938418</v>
      </c>
      <c r="Y3188">
        <v>-2.5526589999999998E-2</v>
      </c>
      <c r="Z3188">
        <v>-3.0161640000000002E-4</v>
      </c>
      <c r="AA3188">
        <v>0.99967410000000001</v>
      </c>
      <c r="AB3188">
        <v>45</v>
      </c>
      <c r="AC3188">
        <v>-22.1983999999999</v>
      </c>
      <c r="AD3188">
        <v>-1.1085603137609901</v>
      </c>
      <c r="AE3188">
        <v>-0.90749999999999797</v>
      </c>
      <c r="AF3188">
        <v>-0.57677199035462701</v>
      </c>
      <c r="AG3188">
        <v>-1.1085603137609901</v>
      </c>
      <c r="AH3188">
        <v>22.154258946151199</v>
      </c>
      <c r="AI3188">
        <v>92.863622548440205</v>
      </c>
      <c r="AJ3188">
        <v>91.491322174551399</v>
      </c>
      <c r="AK3188">
        <v>22.1894741116418</v>
      </c>
      <c r="AL3188">
        <v>88.408247903855496</v>
      </c>
      <c r="AM3188">
        <v>96.160330402575397</v>
      </c>
      <c r="AN3188">
        <v>0.999999946675452</v>
      </c>
    </row>
    <row r="3189" spans="1:40" x14ac:dyDescent="0.25">
      <c r="A3189" t="str">
        <f>"20190305135651311"</f>
        <v>20190305135651311</v>
      </c>
      <c r="B3189" t="str">
        <f>"1551765411305378"</f>
        <v>1551765411305378</v>
      </c>
      <c r="C3189" t="s">
        <v>40</v>
      </c>
      <c r="D3189">
        <v>4.1146269999999996</v>
      </c>
      <c r="E3189">
        <v>0.52979809999999905</v>
      </c>
      <c r="F3189" t="s">
        <v>42</v>
      </c>
      <c r="G3189">
        <v>-331.29559999999998</v>
      </c>
      <c r="H3189" s="1">
        <v>-4.2879190000000004E-6</v>
      </c>
      <c r="I3189">
        <v>140.3409</v>
      </c>
      <c r="J3189">
        <v>-309.48090000000002</v>
      </c>
      <c r="K3189">
        <v>1.1085210000000001</v>
      </c>
      <c r="L3189">
        <v>141.2039</v>
      </c>
      <c r="M3189">
        <v>-0.99979030000000002</v>
      </c>
      <c r="N3189">
        <v>-1.459105E-2</v>
      </c>
      <c r="O3189">
        <v>-1.4374130000000001E-2</v>
      </c>
      <c r="P3189">
        <v>-0.99247090000000004</v>
      </c>
      <c r="Q3189">
        <v>1.4113489999999999E-2</v>
      </c>
      <c r="R3189">
        <v>-0.1216655</v>
      </c>
      <c r="S3189">
        <v>-3.0104060000000001</v>
      </c>
      <c r="T3189">
        <v>-0.1498225</v>
      </c>
      <c r="U3189">
        <v>-0.1175079</v>
      </c>
      <c r="V3189">
        <v>-0.1073543</v>
      </c>
      <c r="W3189">
        <v>2.8734369999999999E-2</v>
      </c>
      <c r="X3189">
        <v>0.99380550000000001</v>
      </c>
      <c r="Y3189">
        <v>-2.460499E-2</v>
      </c>
      <c r="Z3189">
        <v>-2.8639090000000001E-4</v>
      </c>
      <c r="AA3189">
        <v>0.99969719999999995</v>
      </c>
      <c r="AB3189">
        <v>45</v>
      </c>
      <c r="AC3189">
        <v>-21.814699999999899</v>
      </c>
      <c r="AD3189">
        <v>-1.108525287919</v>
      </c>
      <c r="AE3189">
        <v>-0.86299999999999899</v>
      </c>
      <c r="AF3189">
        <v>-0.54789754894768194</v>
      </c>
      <c r="AG3189">
        <v>-1.108525287919</v>
      </c>
      <c r="AH3189">
        <v>21.768728226511399</v>
      </c>
      <c r="AI3189">
        <v>92.914223987064602</v>
      </c>
      <c r="AJ3189">
        <v>91.441774208221204</v>
      </c>
      <c r="AK3189">
        <v>21.8038195882697</v>
      </c>
      <c r="AL3189">
        <v>88.353415216198798</v>
      </c>
      <c r="AM3189">
        <v>96.165380606495006</v>
      </c>
      <c r="AN3189">
        <v>0.99999999078901802</v>
      </c>
    </row>
    <row r="3190" spans="1:40" x14ac:dyDescent="0.25">
      <c r="A3190" t="str">
        <f>"20190305135651333"</f>
        <v>20190305135651333</v>
      </c>
      <c r="B3190" t="str">
        <f>"1551765411325875"</f>
        <v>1551765411325875</v>
      </c>
      <c r="C3190" t="s">
        <v>40</v>
      </c>
      <c r="D3190">
        <v>4.1162910000000004</v>
      </c>
      <c r="E3190">
        <v>0.52933960000000002</v>
      </c>
      <c r="F3190" t="s">
        <v>42</v>
      </c>
      <c r="G3190">
        <v>-330.99299999999999</v>
      </c>
      <c r="H3190" s="1">
        <v>-4.4336129999999999E-6</v>
      </c>
      <c r="I3190">
        <v>140.3509</v>
      </c>
      <c r="J3190">
        <v>-309.9477</v>
      </c>
      <c r="K3190">
        <v>1.1084879999999999</v>
      </c>
      <c r="L3190">
        <v>141.19759999999999</v>
      </c>
      <c r="M3190">
        <v>-0.99979720000000005</v>
      </c>
      <c r="N3190">
        <v>-1.458943E-2</v>
      </c>
      <c r="O3190">
        <v>-1.388767E-2</v>
      </c>
      <c r="P3190">
        <v>-0.99257669999999998</v>
      </c>
      <c r="Q3190">
        <v>1.380403E-2</v>
      </c>
      <c r="R3190">
        <v>-0.120836</v>
      </c>
      <c r="S3190">
        <v>-3.010345</v>
      </c>
      <c r="T3190">
        <v>-0.15512429999999999</v>
      </c>
      <c r="U3190">
        <v>-0.1193695</v>
      </c>
      <c r="V3190">
        <v>-0.10700460000000001</v>
      </c>
      <c r="W3190">
        <v>2.8433130000000001E-2</v>
      </c>
      <c r="X3190">
        <v>0.99385190000000001</v>
      </c>
      <c r="Y3190">
        <v>-2.570563E-2</v>
      </c>
      <c r="Z3190">
        <v>-3.3702180000000001E-4</v>
      </c>
      <c r="AA3190">
        <v>0.99966949999999999</v>
      </c>
      <c r="AB3190">
        <v>45</v>
      </c>
      <c r="AC3190">
        <v>-21.045300000000001</v>
      </c>
      <c r="AD3190">
        <v>-1.108492433613</v>
      </c>
      <c r="AE3190">
        <v>-0.84669999999999801</v>
      </c>
      <c r="AF3190">
        <v>-0.55278593812093302</v>
      </c>
      <c r="AG3190">
        <v>-1.108492433613</v>
      </c>
      <c r="AH3190">
        <v>20.996872207135802</v>
      </c>
      <c r="AI3190">
        <v>93.020978208321296</v>
      </c>
      <c r="AJ3190">
        <v>91.508081129944301</v>
      </c>
      <c r="AK3190">
        <v>21.033377528384499</v>
      </c>
      <c r="AL3190">
        <v>88.370682088807499</v>
      </c>
      <c r="AM3190">
        <v>96.145166467098505</v>
      </c>
      <c r="AN3190">
        <v>1.0000000132181801</v>
      </c>
    </row>
    <row r="3191" spans="1:40" x14ac:dyDescent="0.25">
      <c r="A3191" t="str">
        <f>"20190305135651354"</f>
        <v>20190305135651354</v>
      </c>
      <c r="B3191" t="str">
        <f>"1551765411345395"</f>
        <v>1551765411345395</v>
      </c>
      <c r="C3191" t="s">
        <v>40</v>
      </c>
      <c r="D3191">
        <v>4.1159299999999996</v>
      </c>
      <c r="E3191">
        <v>0.52910619999999997</v>
      </c>
      <c r="F3191" t="s">
        <v>42</v>
      </c>
      <c r="G3191">
        <v>-330.50580000000002</v>
      </c>
      <c r="H3191" s="1">
        <v>-4.6516859999999999E-6</v>
      </c>
      <c r="I3191">
        <v>140.37530000000001</v>
      </c>
      <c r="J3191">
        <v>-310.37430000000001</v>
      </c>
      <c r="K3191">
        <v>1.10846</v>
      </c>
      <c r="L3191">
        <v>141.19200000000001</v>
      </c>
      <c r="M3191">
        <v>-0.99980360000000001</v>
      </c>
      <c r="N3191">
        <v>-1.4587650000000001E-2</v>
      </c>
      <c r="O3191">
        <v>-1.3426830000000001E-2</v>
      </c>
      <c r="P3191">
        <v>-0.99264779999999997</v>
      </c>
      <c r="Q3191">
        <v>1.355577E-2</v>
      </c>
      <c r="R3191">
        <v>-0.12028</v>
      </c>
      <c r="S3191">
        <v>-3.0100709999999999</v>
      </c>
      <c r="T3191">
        <v>-0.162303</v>
      </c>
      <c r="U3191">
        <v>-0.1204071</v>
      </c>
      <c r="V3191">
        <v>-0.106904399999999</v>
      </c>
      <c r="W3191">
        <v>2.819004E-2</v>
      </c>
      <c r="X3191">
        <v>0.99386960000000002</v>
      </c>
      <c r="Y3191">
        <v>-2.650982E-2</v>
      </c>
      <c r="Z3191">
        <v>-3.801411E-4</v>
      </c>
      <c r="AA3191">
        <v>0.99964850000000005</v>
      </c>
      <c r="AB3191">
        <v>45</v>
      </c>
      <c r="AC3191">
        <v>-20.131499999999999</v>
      </c>
      <c r="AD3191">
        <v>-1.1084646516859999</v>
      </c>
      <c r="AE3191">
        <v>-0.81669999999999698</v>
      </c>
      <c r="AF3191">
        <v>-0.544646901244634</v>
      </c>
      <c r="AG3191">
        <v>-1.1084646516859999</v>
      </c>
      <c r="AH3191">
        <v>20.0798748784689</v>
      </c>
      <c r="AI3191">
        <v>93.158519305049794</v>
      </c>
      <c r="AJ3191">
        <v>91.5537108402727</v>
      </c>
      <c r="AK3191">
        <v>20.1178206887834</v>
      </c>
      <c r="AL3191">
        <v>88.3846156924821</v>
      </c>
      <c r="AM3191">
        <v>96.139347545199499</v>
      </c>
      <c r="AN3191">
        <v>1.0000000054493601</v>
      </c>
    </row>
    <row r="3192" spans="1:40" x14ac:dyDescent="0.25">
      <c r="A3192" t="str">
        <f>"20190305135651376"</f>
        <v>20190305135651376</v>
      </c>
      <c r="B3192" t="str">
        <f>"1551765411365891"</f>
        <v>1551765411365891</v>
      </c>
      <c r="C3192" t="s">
        <v>40</v>
      </c>
      <c r="D3192">
        <v>4.1008570000000004</v>
      </c>
      <c r="E3192">
        <v>0.52901690000000001</v>
      </c>
      <c r="F3192" t="s">
        <v>42</v>
      </c>
      <c r="G3192">
        <v>-330.3107</v>
      </c>
      <c r="H3192" s="1">
        <v>-4.7299290000000004E-6</v>
      </c>
      <c r="I3192">
        <v>140.39400000000001</v>
      </c>
      <c r="J3192">
        <v>-310.8141</v>
      </c>
      <c r="K3192">
        <v>1.1084369999999999</v>
      </c>
      <c r="L3192">
        <v>141.1865</v>
      </c>
      <c r="M3192">
        <v>-0.99980999999999998</v>
      </c>
      <c r="N3192">
        <v>-1.45857E-2</v>
      </c>
      <c r="O3192">
        <v>-1.2937550000000001E-2</v>
      </c>
      <c r="P3192">
        <v>-0.99272249999999995</v>
      </c>
      <c r="Q3192">
        <v>1.400421E-2</v>
      </c>
      <c r="R3192">
        <v>-0.1196089</v>
      </c>
      <c r="S3192">
        <v>-3.0099179999999999</v>
      </c>
      <c r="T3192">
        <v>-0.16735149999999999</v>
      </c>
      <c r="U3192">
        <v>-0.12048339999999901</v>
      </c>
      <c r="V3192">
        <v>-0.1067168</v>
      </c>
      <c r="W3192">
        <v>2.8643330000000002E-2</v>
      </c>
      <c r="X3192">
        <v>0.9938768</v>
      </c>
      <c r="Y3192">
        <v>-2.702307E-2</v>
      </c>
      <c r="Z3192">
        <v>-4.1784089999999998E-4</v>
      </c>
      <c r="AA3192">
        <v>0.99963469999999999</v>
      </c>
      <c r="AB3192">
        <v>45</v>
      </c>
      <c r="AC3192">
        <v>-19.496600000000001</v>
      </c>
      <c r="AD3192">
        <v>-1.1084417299289999</v>
      </c>
      <c r="AE3192">
        <v>-0.79249999999998899</v>
      </c>
      <c r="AF3192">
        <v>-0.53843112091252598</v>
      </c>
      <c r="AG3192">
        <v>-1.1084417299289999</v>
      </c>
      <c r="AH3192">
        <v>19.4424822722149</v>
      </c>
      <c r="AI3192">
        <v>93.261728497075495</v>
      </c>
      <c r="AJ3192">
        <v>91.586317395456803</v>
      </c>
      <c r="AK3192">
        <v>19.481495528988699</v>
      </c>
      <c r="AL3192">
        <v>88.358633594726797</v>
      </c>
      <c r="AM3192">
        <v>96.128611979929303</v>
      </c>
      <c r="AN3192">
        <v>1.0000000046669799</v>
      </c>
    </row>
    <row r="3193" spans="1:40" x14ac:dyDescent="0.25">
      <c r="A3193" t="str">
        <f>"20190305135651399"</f>
        <v>20190305135651399</v>
      </c>
      <c r="B3193" t="str">
        <f>"1551765411395171"</f>
        <v>1551765411395171</v>
      </c>
      <c r="C3193" t="s">
        <v>40</v>
      </c>
      <c r="D3193">
        <v>4.5799799999999999</v>
      </c>
      <c r="E3193">
        <v>0.52898789999999996</v>
      </c>
      <c r="F3193" t="s">
        <v>42</v>
      </c>
      <c r="G3193">
        <v>-330.63940000000002</v>
      </c>
      <c r="H3193" s="1">
        <v>-4.6054939999999996E-6</v>
      </c>
      <c r="I3193">
        <v>140.4042</v>
      </c>
      <c r="J3193">
        <v>-311.25599999999997</v>
      </c>
      <c r="K3193">
        <v>1.1084179999999999</v>
      </c>
      <c r="L3193">
        <v>141.18119999999999</v>
      </c>
      <c r="M3193">
        <v>-0.99981640000000005</v>
      </c>
      <c r="N3193">
        <v>-1.4583550000000001E-2</v>
      </c>
      <c r="O3193">
        <v>-1.24327E-2</v>
      </c>
      <c r="P3193">
        <v>-0.99276580000000003</v>
      </c>
      <c r="Q3193">
        <v>1.452493E-2</v>
      </c>
      <c r="R3193">
        <v>-0.11918570000000001</v>
      </c>
      <c r="S3193">
        <v>-3.01004</v>
      </c>
      <c r="T3193">
        <v>-0.168292</v>
      </c>
      <c r="U3193">
        <v>-0.1187744</v>
      </c>
      <c r="V3193">
        <v>-0.106792899999999</v>
      </c>
      <c r="W3193">
        <v>2.916763E-2</v>
      </c>
      <c r="X3193">
        <v>0.9938534</v>
      </c>
      <c r="Y3193">
        <v>-2.6958880000000001E-2</v>
      </c>
      <c r="Z3193">
        <v>-4.3653160000000003E-4</v>
      </c>
      <c r="AA3193">
        <v>0.99963650000000004</v>
      </c>
      <c r="AB3193">
        <v>45</v>
      </c>
      <c r="AC3193">
        <v>-19.383400000000002</v>
      </c>
      <c r="AD3193">
        <v>-1.1084226054940001</v>
      </c>
      <c r="AE3193">
        <v>-0.77699999999998604</v>
      </c>
      <c r="AF3193">
        <v>-0.53418232983956204</v>
      </c>
      <c r="AG3193">
        <v>-1.1084226054940001</v>
      </c>
      <c r="AH3193">
        <v>19.3284596801509</v>
      </c>
      <c r="AI3193">
        <v>93.280876822564395</v>
      </c>
      <c r="AJ3193">
        <v>91.5830854910554</v>
      </c>
      <c r="AK3193">
        <v>19.367583872055398</v>
      </c>
      <c r="AL3193">
        <v>88.328580897792605</v>
      </c>
      <c r="AM3193">
        <v>96.133092311406301</v>
      </c>
      <c r="AN3193">
        <v>1.00000002741089</v>
      </c>
    </row>
    <row r="3194" spans="1:40" x14ac:dyDescent="0.25">
      <c r="A3194" t="str">
        <f>"20190305135651423"</f>
        <v>20190305135651423</v>
      </c>
      <c r="B3194" t="str">
        <f>"1551765411415668"</f>
        <v>1551765411415668</v>
      </c>
      <c r="C3194" t="s">
        <v>40</v>
      </c>
      <c r="D3194">
        <v>4.0880989999999997</v>
      </c>
      <c r="E3194">
        <v>0.52893760000000001</v>
      </c>
      <c r="F3194" t="s">
        <v>42</v>
      </c>
      <c r="G3194">
        <v>-330.96629999999999</v>
      </c>
      <c r="H3194" s="1">
        <v>-4.4622100000000001E-6</v>
      </c>
      <c r="I3194">
        <v>140.411</v>
      </c>
      <c r="J3194">
        <v>-311.73270000000002</v>
      </c>
      <c r="K3194">
        <v>1.1084020000000001</v>
      </c>
      <c r="L3194">
        <v>141.17570000000001</v>
      </c>
      <c r="M3194">
        <v>-0.99982340000000003</v>
      </c>
      <c r="N3194">
        <v>-1.4581139999999999E-2</v>
      </c>
      <c r="O3194">
        <v>-1.1873979999999999E-2</v>
      </c>
      <c r="P3194">
        <v>-0.99286960000000002</v>
      </c>
      <c r="Q3194">
        <v>1.4733E-2</v>
      </c>
      <c r="R3194">
        <v>-0.1182938</v>
      </c>
      <c r="S3194">
        <v>-3.0102229999999999</v>
      </c>
      <c r="T3194">
        <v>-0.169282399999999</v>
      </c>
      <c r="U3194">
        <v>-0.11763</v>
      </c>
      <c r="V3194">
        <v>-0.1064534</v>
      </c>
      <c r="W3194">
        <v>2.937878E-2</v>
      </c>
      <c r="X3194">
        <v>0.99388359999999998</v>
      </c>
      <c r="Y3194">
        <v>-2.7134439999999999E-2</v>
      </c>
      <c r="Z3194">
        <v>-4.662593E-4</v>
      </c>
      <c r="AA3194">
        <v>0.99963170000000001</v>
      </c>
      <c r="AB3194">
        <v>45</v>
      </c>
      <c r="AC3194">
        <v>-19.2335999999999</v>
      </c>
      <c r="AD3194">
        <v>-1.1084064622100001</v>
      </c>
      <c r="AE3194">
        <v>-0.76470000000000404</v>
      </c>
      <c r="AF3194">
        <v>-0.53447025726301101</v>
      </c>
      <c r="AG3194">
        <v>-1.1084064622100001</v>
      </c>
      <c r="AH3194">
        <v>19.177734853636501</v>
      </c>
      <c r="AI3194">
        <v>93.306536140862406</v>
      </c>
      <c r="AJ3194">
        <v>91.596380682696903</v>
      </c>
      <c r="AK3194">
        <v>19.217172982979399</v>
      </c>
      <c r="AL3194">
        <v>88.316477702874394</v>
      </c>
      <c r="AM3194">
        <v>96.113558431624895</v>
      </c>
      <c r="AN3194">
        <v>1.0000000247173999</v>
      </c>
    </row>
    <row r="3195" spans="1:40" x14ac:dyDescent="0.25">
      <c r="A3195" t="str">
        <f>"20190305135651446"</f>
        <v>20190305135651446</v>
      </c>
      <c r="B3195" t="str">
        <f>"1551765411435187"</f>
        <v>1551765411435187</v>
      </c>
      <c r="C3195" t="s">
        <v>40</v>
      </c>
      <c r="D3195">
        <v>4.1158869999999999</v>
      </c>
      <c r="E3195">
        <v>0.52888029999999997</v>
      </c>
      <c r="F3195" t="s">
        <v>42</v>
      </c>
      <c r="G3195">
        <v>-331.39319999999998</v>
      </c>
      <c r="H3195" s="1">
        <v>-4.2635900000000003E-6</v>
      </c>
      <c r="I3195">
        <v>140.423</v>
      </c>
      <c r="J3195">
        <v>-312.20359999999999</v>
      </c>
      <c r="K3195">
        <v>1.1083860000000001</v>
      </c>
      <c r="L3195">
        <v>141.17060000000001</v>
      </c>
      <c r="M3195">
        <v>-0.99982979999999999</v>
      </c>
      <c r="N3195">
        <v>-1.4578819999999999E-2</v>
      </c>
      <c r="O3195">
        <v>-1.130944E-2</v>
      </c>
      <c r="P3195">
        <v>-0.99296949999999995</v>
      </c>
      <c r="Q3195">
        <v>1.45869E-2</v>
      </c>
      <c r="R3195">
        <v>-0.1174694</v>
      </c>
      <c r="S3195">
        <v>-3.010345</v>
      </c>
      <c r="T3195">
        <v>-0.169715</v>
      </c>
      <c r="U3195">
        <v>-0.11524959999999999</v>
      </c>
      <c r="V3195">
        <v>-0.1061879</v>
      </c>
      <c r="W3195">
        <v>2.9236270000000002E-2</v>
      </c>
      <c r="X3195">
        <v>0.99391620000000003</v>
      </c>
      <c r="Y3195">
        <v>-2.6907810000000001E-2</v>
      </c>
      <c r="Z3195">
        <v>-4.8196490000000002E-4</v>
      </c>
      <c r="AA3195">
        <v>0.99963780000000002</v>
      </c>
      <c r="AB3195">
        <v>45</v>
      </c>
      <c r="AC3195">
        <v>-19.189599999999899</v>
      </c>
      <c r="AD3195">
        <v>-1.10839026359</v>
      </c>
      <c r="AE3195">
        <v>-0.74760000000000504</v>
      </c>
      <c r="AF3195">
        <v>-0.52874416027344695</v>
      </c>
      <c r="AG3195">
        <v>-1.10839026359</v>
      </c>
      <c r="AH3195">
        <v>19.133093020714298</v>
      </c>
      <c r="AI3195">
        <v>93.314207013395304</v>
      </c>
      <c r="AJ3195">
        <v>91.582969377284599</v>
      </c>
      <c r="AK3195">
        <v>19.172463271649502</v>
      </c>
      <c r="AL3195">
        <v>88.324646427107496</v>
      </c>
      <c r="AM3195">
        <v>96.098227439022395</v>
      </c>
      <c r="AN3195">
        <v>1.0000000211061799</v>
      </c>
    </row>
    <row r="3196" spans="1:40" x14ac:dyDescent="0.25">
      <c r="A3196" t="str">
        <f>"20190305135651467"</f>
        <v>20190305135651467</v>
      </c>
      <c r="B3196" t="str">
        <f>"1551765411455683"</f>
        <v>1551765411455683</v>
      </c>
      <c r="C3196" t="s">
        <v>40</v>
      </c>
      <c r="D3196">
        <v>4.2175969999999996</v>
      </c>
      <c r="E3196">
        <v>0.52901189999999998</v>
      </c>
      <c r="F3196" t="s">
        <v>42</v>
      </c>
      <c r="G3196">
        <v>-331.71390000000002</v>
      </c>
      <c r="H3196" s="1">
        <v>-4.1159059999999996E-6</v>
      </c>
      <c r="I3196">
        <v>140.4376</v>
      </c>
      <c r="J3196">
        <v>-312.62049999999999</v>
      </c>
      <c r="K3196">
        <v>1.1083609999999999</v>
      </c>
      <c r="L3196">
        <v>141.16630000000001</v>
      </c>
      <c r="M3196">
        <v>-0.99983540000000004</v>
      </c>
      <c r="N3196">
        <v>-1.4576739999999999E-2</v>
      </c>
      <c r="O3196">
        <v>-1.079921E-2</v>
      </c>
      <c r="P3196">
        <v>-0.99300189999999999</v>
      </c>
      <c r="Q3196">
        <v>1.381544E-2</v>
      </c>
      <c r="R3196">
        <v>-0.1172884</v>
      </c>
      <c r="S3196">
        <v>-3.010345</v>
      </c>
      <c r="T3196">
        <v>-0.1710198</v>
      </c>
      <c r="U3196">
        <v>-0.11309809999999999</v>
      </c>
      <c r="V3196">
        <v>-0.106514</v>
      </c>
      <c r="W3196">
        <v>2.8466979999999999E-2</v>
      </c>
      <c r="X3196">
        <v>0.9939036</v>
      </c>
      <c r="Y3196">
        <v>-2.6703950000000001E-2</v>
      </c>
      <c r="Z3196">
        <v>-4.9708689999999997E-4</v>
      </c>
      <c r="AA3196">
        <v>0.99964330000000001</v>
      </c>
      <c r="AB3196">
        <v>45</v>
      </c>
      <c r="AC3196">
        <v>-19.093399999999999</v>
      </c>
      <c r="AD3196">
        <v>-1.108365115906</v>
      </c>
      <c r="AE3196">
        <v>-0.72870000000000301</v>
      </c>
      <c r="AF3196">
        <v>-0.52068989647547903</v>
      </c>
      <c r="AG3196">
        <v>-1.108365115906</v>
      </c>
      <c r="AH3196">
        <v>19.0361027613401</v>
      </c>
      <c r="AI3196">
        <v>93.331005568479199</v>
      </c>
      <c r="AJ3196">
        <v>91.566806874658496</v>
      </c>
      <c r="AK3196">
        <v>19.075450179189801</v>
      </c>
      <c r="AL3196">
        <v>88.368741793018003</v>
      </c>
      <c r="AM3196">
        <v>96.116890120087007</v>
      </c>
      <c r="AN3196">
        <v>0.99999998361964004</v>
      </c>
    </row>
    <row r="3197" spans="1:40" x14ac:dyDescent="0.25">
      <c r="A3197" t="str">
        <f>"20190305135651487"</f>
        <v>20190305135651487</v>
      </c>
      <c r="B3197" t="str">
        <f>"1551765411485939"</f>
        <v>1551765411485939</v>
      </c>
      <c r="C3197" t="s">
        <v>40</v>
      </c>
      <c r="D3197">
        <v>4.1971189999999998</v>
      </c>
      <c r="E3197">
        <v>0.56572349999999905</v>
      </c>
      <c r="F3197" t="s">
        <v>42</v>
      </c>
      <c r="G3197">
        <v>-332.05259999999998</v>
      </c>
      <c r="H3197" s="1">
        <v>-3.9582109999999997E-6</v>
      </c>
      <c r="I3197">
        <v>140.4468</v>
      </c>
      <c r="J3197">
        <v>-313.03410000000002</v>
      </c>
      <c r="K3197">
        <v>1.108347</v>
      </c>
      <c r="L3197">
        <v>141.16220000000001</v>
      </c>
      <c r="M3197">
        <v>-0.99984099999999998</v>
      </c>
      <c r="N3197">
        <v>-1.45746E-2</v>
      </c>
      <c r="O3197">
        <v>-1.028279E-2</v>
      </c>
      <c r="P3197">
        <v>-0.99304000000000003</v>
      </c>
      <c r="Q3197">
        <v>1.302882E-2</v>
      </c>
      <c r="R3197">
        <v>-0.1170559</v>
      </c>
      <c r="S3197">
        <v>-3.0103759999999999</v>
      </c>
      <c r="T3197">
        <v>-0.17170479999999999</v>
      </c>
      <c r="U3197">
        <v>-0.1114655</v>
      </c>
      <c r="V3197">
        <v>-0.1067941</v>
      </c>
      <c r="W3197">
        <v>2.7682890000000002E-2</v>
      </c>
      <c r="X3197">
        <v>0.99389570000000005</v>
      </c>
      <c r="Y3197">
        <v>-2.667779E-2</v>
      </c>
      <c r="Z3197">
        <v>-5.1857460000000004E-4</v>
      </c>
      <c r="AA3197">
        <v>0.99964390000000003</v>
      </c>
      <c r="AB3197">
        <v>45</v>
      </c>
      <c r="AC3197">
        <v>-19.0184999999999</v>
      </c>
      <c r="AD3197">
        <v>-1.108350958211</v>
      </c>
      <c r="AE3197">
        <v>-0.71540000000001602</v>
      </c>
      <c r="AF3197">
        <v>-0.51802131744406299</v>
      </c>
      <c r="AG3197">
        <v>-1.108350958211</v>
      </c>
      <c r="AH3197">
        <v>18.960547250102401</v>
      </c>
      <c r="AI3197">
        <v>93.344209432268002</v>
      </c>
      <c r="AJ3197">
        <v>91.564989303155201</v>
      </c>
      <c r="AK3197">
        <v>18.999977367230201</v>
      </c>
      <c r="AL3197">
        <v>88.413684571977498</v>
      </c>
      <c r="AM3197">
        <v>96.132901665092106</v>
      </c>
      <c r="AN3197">
        <v>0.99999999233602599</v>
      </c>
    </row>
    <row r="3198" spans="1:40" x14ac:dyDescent="0.25">
      <c r="A3198" t="str">
        <f>"20190305135651512"</f>
        <v>20190305135651512</v>
      </c>
      <c r="B3198" t="str">
        <f>"1551765411505459"</f>
        <v>1551765411505459</v>
      </c>
      <c r="C3198" t="s">
        <v>40</v>
      </c>
      <c r="D3198">
        <v>4.1007600000000002</v>
      </c>
      <c r="E3198">
        <v>0.56863580000000002</v>
      </c>
      <c r="F3198" t="s">
        <v>42</v>
      </c>
      <c r="G3198">
        <v>-337.39449999999999</v>
      </c>
      <c r="H3198" s="1">
        <v>-2.004022E-6</v>
      </c>
      <c r="I3198">
        <v>142.5926</v>
      </c>
      <c r="J3198">
        <v>-313.49930000000001</v>
      </c>
      <c r="K3198">
        <v>1.1083240000000001</v>
      </c>
      <c r="L3198">
        <v>141.15790000000001</v>
      </c>
      <c r="M3198">
        <v>-0.99984700000000004</v>
      </c>
      <c r="N3198">
        <v>-1.4572140000000001E-2</v>
      </c>
      <c r="O3198">
        <v>-9.6890929999999993E-3</v>
      </c>
      <c r="P3198">
        <v>-0.99310980000000004</v>
      </c>
      <c r="Q3198">
        <v>1.240404E-2</v>
      </c>
      <c r="R3198">
        <v>-0.116531</v>
      </c>
      <c r="S3198">
        <v>-3.0439150000000001</v>
      </c>
      <c r="T3198">
        <v>-0.13849210000000001</v>
      </c>
      <c r="U3198">
        <v>0.1787262</v>
      </c>
      <c r="V3198">
        <v>-0.10685890000000001</v>
      </c>
      <c r="W3198">
        <v>2.7060850000000001E-2</v>
      </c>
      <c r="X3198">
        <v>0.99390590000000001</v>
      </c>
      <c r="Y3198">
        <v>6.8188139999999994E-2</v>
      </c>
      <c r="Z3198">
        <v>2.34593E-3</v>
      </c>
      <c r="AA3198">
        <v>0.99766969999999999</v>
      </c>
      <c r="AB3198">
        <v>45</v>
      </c>
      <c r="AC3198">
        <v>-23.8951999999999</v>
      </c>
      <c r="AD3198">
        <v>-1.108326004022</v>
      </c>
      <c r="AE3198">
        <v>1.4346999999999901</v>
      </c>
      <c r="AF3198">
        <v>1.66261596977532</v>
      </c>
      <c r="AG3198">
        <v>-1.108326004022</v>
      </c>
      <c r="AH3198">
        <v>23.829094807077901</v>
      </c>
      <c r="AI3198">
        <v>92.656542041860106</v>
      </c>
      <c r="AJ3198">
        <v>86.0087974130617</v>
      </c>
      <c r="AK3198">
        <v>23.9127254347733</v>
      </c>
      <c r="AL3198">
        <v>88.449338250553495</v>
      </c>
      <c r="AM3198">
        <v>96.136532075742494</v>
      </c>
      <c r="AN3198">
        <v>1.0000000260833699</v>
      </c>
    </row>
    <row r="3199" spans="1:40" x14ac:dyDescent="0.25">
      <c r="A3199" t="str">
        <f>"20190305135651533"</f>
        <v>20190305135651533</v>
      </c>
      <c r="B3199" t="str">
        <f>"1551765411525955"</f>
        <v>1551765411525955</v>
      </c>
      <c r="C3199" t="s">
        <v>40</v>
      </c>
      <c r="D3199">
        <v>4.1421760000000001</v>
      </c>
      <c r="E3199">
        <v>0.56930319999999901</v>
      </c>
      <c r="F3199" t="s">
        <v>41</v>
      </c>
      <c r="G3199">
        <v>-314.61770000000001</v>
      </c>
      <c r="H3199">
        <v>1.051358</v>
      </c>
      <c r="I3199">
        <v>141.233</v>
      </c>
      <c r="J3199">
        <v>-313.96010000000001</v>
      </c>
      <c r="K3199">
        <v>1.1083080000000001</v>
      </c>
      <c r="L3199">
        <v>141.15389999999999</v>
      </c>
      <c r="M3199">
        <v>-0.99985259999999998</v>
      </c>
      <c r="N3199">
        <v>-1.456968E-2</v>
      </c>
      <c r="O3199">
        <v>-9.0855150000000006E-3</v>
      </c>
      <c r="P3199">
        <v>-0.99316459999999995</v>
      </c>
      <c r="Q3199">
        <v>1.2949799999999999E-2</v>
      </c>
      <c r="R3199">
        <v>-0.1160007</v>
      </c>
      <c r="S3199">
        <v>-3.0467219999999999</v>
      </c>
      <c r="T3199">
        <v>-0.15523580000000001</v>
      </c>
      <c r="U3199">
        <v>0.20410159999999999</v>
      </c>
      <c r="V3199">
        <v>-0.10692699999999999</v>
      </c>
      <c r="W3199">
        <v>2.7608049999999999E-2</v>
      </c>
      <c r="X3199">
        <v>0.99388350000000003</v>
      </c>
      <c r="Y3199">
        <v>7.5772160000000005E-2</v>
      </c>
      <c r="Z3199">
        <v>2.810023E-3</v>
      </c>
      <c r="AA3199">
        <v>0.99712120000000004</v>
      </c>
      <c r="AB3199">
        <v>45</v>
      </c>
      <c r="AC3199">
        <v>-0.65760000000000196</v>
      </c>
      <c r="AD3199">
        <v>-5.6950000000000001E-2</v>
      </c>
      <c r="AE3199">
        <v>7.9100000000010995E-2</v>
      </c>
      <c r="AF3199">
        <v>8.4447675170896894E-2</v>
      </c>
      <c r="AG3199">
        <v>-5.6950000000000001E-2</v>
      </c>
      <c r="AH3199">
        <v>0.65203357775451898</v>
      </c>
      <c r="AI3199">
        <v>94.950528525558596</v>
      </c>
      <c r="AJ3199">
        <v>82.620455402678601</v>
      </c>
      <c r="AK3199">
        <v>0.65994128440424704</v>
      </c>
      <c r="AL3199">
        <v>88.417974239289805</v>
      </c>
      <c r="AM3199">
        <v>96.140550288038796</v>
      </c>
      <c r="AN3199">
        <v>0.999999999663026</v>
      </c>
    </row>
    <row r="3200" spans="1:40" x14ac:dyDescent="0.25">
      <c r="A3200" t="str">
        <f>"20190305135651555"</f>
        <v>20190305135651555</v>
      </c>
      <c r="B3200" t="str">
        <f>"1551765411545490"</f>
        <v>1551765411545490</v>
      </c>
      <c r="C3200" t="s">
        <v>40</v>
      </c>
      <c r="D3200">
        <v>4.1422109999999996</v>
      </c>
      <c r="E3200">
        <v>0.5692564</v>
      </c>
      <c r="F3200" t="s">
        <v>41</v>
      </c>
      <c r="G3200">
        <v>-315.00299999999999</v>
      </c>
      <c r="H3200">
        <v>1.0490699999999999</v>
      </c>
      <c r="I3200">
        <v>141.2268</v>
      </c>
      <c r="J3200">
        <v>-314.38240000000002</v>
      </c>
      <c r="K3200">
        <v>1.1083000000000001</v>
      </c>
      <c r="L3200">
        <v>141.1506</v>
      </c>
      <c r="M3200">
        <v>-0.99985769999999996</v>
      </c>
      <c r="N3200">
        <v>-1.4567399999999999E-2</v>
      </c>
      <c r="O3200">
        <v>-8.5229880000000004E-3</v>
      </c>
      <c r="P3200">
        <v>-0.993228</v>
      </c>
      <c r="Q3200">
        <v>1.3894719999999999E-2</v>
      </c>
      <c r="R3200">
        <v>-0.1153498</v>
      </c>
      <c r="S3200">
        <v>-3.0476380000000001</v>
      </c>
      <c r="T3200">
        <v>-0.1731586</v>
      </c>
      <c r="U3200">
        <v>0.2118988</v>
      </c>
      <c r="V3200">
        <v>-0.1068317</v>
      </c>
      <c r="W3200">
        <v>2.8554199999999998E-2</v>
      </c>
      <c r="X3200">
        <v>0.99386699999999994</v>
      </c>
      <c r="Y3200">
        <v>7.7697810000000006E-2</v>
      </c>
      <c r="Z3200">
        <v>3.1294510000000001E-3</v>
      </c>
      <c r="AA3200">
        <v>0.99697199999999997</v>
      </c>
      <c r="AB3200">
        <v>45</v>
      </c>
      <c r="AC3200">
        <v>-0.62059999999996696</v>
      </c>
      <c r="AD3200">
        <v>-5.9229999999999797E-2</v>
      </c>
      <c r="AE3200">
        <v>7.6200000000000004E-2</v>
      </c>
      <c r="AF3200">
        <v>8.07624377926911E-2</v>
      </c>
      <c r="AG3200">
        <v>-5.9229999999999797E-2</v>
      </c>
      <c r="AH3200">
        <v>0.61441449169902995</v>
      </c>
      <c r="AI3200">
        <v>95.459662656284095</v>
      </c>
      <c r="AJ3200">
        <v>82.511620046649895</v>
      </c>
      <c r="AK3200">
        <v>0.62252384040131004</v>
      </c>
      <c r="AL3200">
        <v>88.363742423500398</v>
      </c>
      <c r="AM3200">
        <v>96.1352202805232</v>
      </c>
      <c r="AN3200">
        <v>0.99999998407576396</v>
      </c>
    </row>
    <row r="3201" spans="1:40" x14ac:dyDescent="0.25">
      <c r="A3201" t="str">
        <f>"20190305135651577"</f>
        <v>20190305135651577</v>
      </c>
      <c r="B3201" t="str">
        <f>"1551765411565971"</f>
        <v>1551765411565971</v>
      </c>
      <c r="C3201" t="s">
        <v>40</v>
      </c>
      <c r="D3201">
        <v>4.1722029999999997</v>
      </c>
      <c r="E3201">
        <v>0.56917200000000001</v>
      </c>
      <c r="F3201" t="s">
        <v>41</v>
      </c>
      <c r="G3201">
        <v>-315.39909999999998</v>
      </c>
      <c r="H3201">
        <v>1.047302</v>
      </c>
      <c r="I3201">
        <v>141.22210000000001</v>
      </c>
      <c r="J3201">
        <v>-314.81319999999999</v>
      </c>
      <c r="K3201">
        <v>1.10829</v>
      </c>
      <c r="L3201">
        <v>141.1474</v>
      </c>
      <c r="M3201">
        <v>-0.99986240000000004</v>
      </c>
      <c r="N3201">
        <v>-1.456504E-2</v>
      </c>
      <c r="O3201">
        <v>-7.9405859999999995E-3</v>
      </c>
      <c r="P3201">
        <v>-0.99325229999999998</v>
      </c>
      <c r="Q3201">
        <v>1.437595E-2</v>
      </c>
      <c r="R3201">
        <v>-0.1150799</v>
      </c>
      <c r="S3201">
        <v>-3.0478209999999999</v>
      </c>
      <c r="T3201">
        <v>-0.1828835</v>
      </c>
      <c r="U3201">
        <v>0.21398929999999999</v>
      </c>
      <c r="V3201">
        <v>-0.1071387</v>
      </c>
      <c r="W3201">
        <v>2.9036559999999999E-2</v>
      </c>
      <c r="X3201">
        <v>0.99382000000000004</v>
      </c>
      <c r="Y3201">
        <v>7.7776520000000002E-2</v>
      </c>
      <c r="Z3201">
        <v>3.2563449999999999E-3</v>
      </c>
      <c r="AA3201">
        <v>0.99696549999999995</v>
      </c>
      <c r="AB3201">
        <v>45</v>
      </c>
      <c r="AC3201">
        <v>-0.58589999999997999</v>
      </c>
      <c r="AD3201">
        <v>-6.0988000000000001E-2</v>
      </c>
      <c r="AE3201">
        <v>7.4700000000007094E-2</v>
      </c>
      <c r="AF3201">
        <v>7.8513416681419507E-2</v>
      </c>
      <c r="AG3201">
        <v>-6.0988000000000001E-2</v>
      </c>
      <c r="AH3201">
        <v>0.57911378433804295</v>
      </c>
      <c r="AI3201">
        <v>95.957703410456105</v>
      </c>
      <c r="AJ3201">
        <v>82.279192953095205</v>
      </c>
      <c r="AK3201">
        <v>0.58758545587286304</v>
      </c>
      <c r="AL3201">
        <v>88.336093804633506</v>
      </c>
      <c r="AM3201">
        <v>96.153004641620996</v>
      </c>
      <c r="AN3201">
        <v>1.00000000762716</v>
      </c>
    </row>
    <row r="3202" spans="1:40" x14ac:dyDescent="0.25">
      <c r="A3202" t="str">
        <f>"20190305135651600"</f>
        <v>20190305135651600</v>
      </c>
      <c r="B3202" t="str">
        <f>"1551765411595251"</f>
        <v>1551765411595251</v>
      </c>
      <c r="C3202" t="s">
        <v>40</v>
      </c>
      <c r="D3202">
        <v>4.1921799999999996</v>
      </c>
      <c r="E3202">
        <v>0.5691794</v>
      </c>
      <c r="F3202" t="s">
        <v>41</v>
      </c>
      <c r="G3202">
        <v>-315.7971</v>
      </c>
      <c r="H3202">
        <v>1.047992</v>
      </c>
      <c r="I3202">
        <v>141.21690000000001</v>
      </c>
      <c r="J3202">
        <v>-315.2525</v>
      </c>
      <c r="K3202">
        <v>1.1082879999999999</v>
      </c>
      <c r="L3202">
        <v>141.14439999999999</v>
      </c>
      <c r="M3202">
        <v>-0.99986699999999995</v>
      </c>
      <c r="N3202">
        <v>-1.456261E-2</v>
      </c>
      <c r="O3202">
        <v>-7.3403380000000001E-3</v>
      </c>
      <c r="P3202">
        <v>-0.99324290000000004</v>
      </c>
      <c r="Q3202">
        <v>1.4100299999999901E-2</v>
      </c>
      <c r="R3202">
        <v>-0.11519459999999999</v>
      </c>
      <c r="S3202">
        <v>-3.0479430000000001</v>
      </c>
      <c r="T3202">
        <v>-0.1867992</v>
      </c>
      <c r="U3202">
        <v>0.21441650000000001</v>
      </c>
      <c r="V3202">
        <v>-0.1078499</v>
      </c>
      <c r="W3202">
        <v>2.8761539999999999E-2</v>
      </c>
      <c r="X3202">
        <v>0.99375100000000005</v>
      </c>
      <c r="Y3202">
        <v>7.7308799999999997E-2</v>
      </c>
      <c r="Z3202">
        <v>3.2703939999999998E-3</v>
      </c>
      <c r="AA3202">
        <v>0.99700180000000005</v>
      </c>
      <c r="AB3202">
        <v>44</v>
      </c>
      <c r="AC3202">
        <v>-0.54460000000000197</v>
      </c>
      <c r="AD3202">
        <v>-6.0295999999999898E-2</v>
      </c>
      <c r="AE3202">
        <v>7.2500000000019299E-2</v>
      </c>
      <c r="AF3202">
        <v>7.5585619820361299E-2</v>
      </c>
      <c r="AG3202">
        <v>-6.0295999999999898E-2</v>
      </c>
      <c r="AH3202">
        <v>0.53757817922778595</v>
      </c>
      <c r="AI3202">
        <v>96.337851865424298</v>
      </c>
      <c r="AJ3202">
        <v>81.996453375659797</v>
      </c>
      <c r="AK3202">
        <v>0.54620425879105905</v>
      </c>
      <c r="AL3202">
        <v>88.351857760072306</v>
      </c>
      <c r="AM3202">
        <v>96.193959345755701</v>
      </c>
      <c r="AN3202">
        <v>0.99999993855708902</v>
      </c>
    </row>
    <row r="3203" spans="1:40" x14ac:dyDescent="0.25">
      <c r="A3203" t="str">
        <f>"20190305135651623"</f>
        <v>20190305135651623</v>
      </c>
      <c r="B3203" t="str">
        <f>"1551765411615746"</f>
        <v>1551765411615746</v>
      </c>
      <c r="C3203" t="s">
        <v>40</v>
      </c>
      <c r="D3203">
        <v>4.204027</v>
      </c>
      <c r="E3203">
        <v>0.56916800000000001</v>
      </c>
      <c r="F3203" t="s">
        <v>41</v>
      </c>
      <c r="G3203">
        <v>-316.19479999999999</v>
      </c>
      <c r="H3203">
        <v>1.0485100000000001</v>
      </c>
      <c r="I3203">
        <v>141.21080000000001</v>
      </c>
      <c r="J3203">
        <v>-315.72739999999999</v>
      </c>
      <c r="K3203">
        <v>1.1082799999999999</v>
      </c>
      <c r="L3203">
        <v>141.14150000000001</v>
      </c>
      <c r="M3203">
        <v>-0.99987170000000003</v>
      </c>
      <c r="N3203">
        <v>-1.455995E-2</v>
      </c>
      <c r="O3203">
        <v>-6.6863549999999997E-3</v>
      </c>
      <c r="P3203">
        <v>-0.9932858</v>
      </c>
      <c r="Q3203">
        <v>1.4110340000000001E-2</v>
      </c>
      <c r="R3203">
        <v>-0.1148232</v>
      </c>
      <c r="S3203">
        <v>-3.048035</v>
      </c>
      <c r="T3203">
        <v>-0.19337989999999999</v>
      </c>
      <c r="U3203">
        <v>0.21443180000000001</v>
      </c>
      <c r="V3203">
        <v>-0.1081281</v>
      </c>
      <c r="W3203">
        <v>2.8771069999999999E-2</v>
      </c>
      <c r="X3203">
        <v>0.99372050000000001</v>
      </c>
      <c r="Y3203">
        <v>7.6649670000000003E-2</v>
      </c>
      <c r="Z3203">
        <v>3.3115940000000002E-3</v>
      </c>
      <c r="AA3203">
        <v>0.99705259999999996</v>
      </c>
      <c r="AB3203">
        <v>44</v>
      </c>
      <c r="AC3203">
        <v>-0.46739999999999698</v>
      </c>
      <c r="AD3203">
        <v>-5.9769999999999802E-2</v>
      </c>
      <c r="AE3203">
        <v>6.9299999999998294E-2</v>
      </c>
      <c r="AF3203">
        <v>7.1283383174864295E-2</v>
      </c>
      <c r="AG3203">
        <v>-5.9769999999999802E-2</v>
      </c>
      <c r="AH3203">
        <v>0.45957254533734998</v>
      </c>
      <c r="AI3203">
        <v>97.323442541416995</v>
      </c>
      <c r="AJ3203">
        <v>81.183223760191794</v>
      </c>
      <c r="AK3203">
        <v>0.468893056084973</v>
      </c>
      <c r="AL3203">
        <v>88.351311517968298</v>
      </c>
      <c r="AM3203">
        <v>96.210001171186406</v>
      </c>
      <c r="AN3203">
        <v>0.99999994629940103</v>
      </c>
    </row>
    <row r="3204" spans="1:40" x14ac:dyDescent="0.25">
      <c r="A3204" t="str">
        <f>"20190305135651646"</f>
        <v>20190305135651646</v>
      </c>
      <c r="B3204" t="str">
        <f>"1551765411635267"</f>
        <v>1551765411635267</v>
      </c>
      <c r="C3204" t="s">
        <v>40</v>
      </c>
      <c r="D3204">
        <v>4.2059179999999996</v>
      </c>
      <c r="E3204">
        <v>0.5692644</v>
      </c>
      <c r="F3204" t="s">
        <v>41</v>
      </c>
      <c r="G3204">
        <v>-316.59769999999997</v>
      </c>
      <c r="H3204">
        <v>1.051944</v>
      </c>
      <c r="I3204">
        <v>141.20339999999999</v>
      </c>
      <c r="J3204">
        <v>-316.19540000000001</v>
      </c>
      <c r="K3204">
        <v>1.108274</v>
      </c>
      <c r="L3204">
        <v>141.13890000000001</v>
      </c>
      <c r="M3204">
        <v>-0.99987590000000004</v>
      </c>
      <c r="N3204">
        <v>-1.4557290000000001E-2</v>
      </c>
      <c r="O3204">
        <v>-6.0387219999999998E-3</v>
      </c>
      <c r="P3204">
        <v>-0.99337160000000002</v>
      </c>
      <c r="Q3204">
        <v>1.484949E-2</v>
      </c>
      <c r="R3204">
        <v>-0.113985</v>
      </c>
      <c r="S3204">
        <v>-3.048035</v>
      </c>
      <c r="T3204">
        <v>-0.197385</v>
      </c>
      <c r="U3204">
        <v>0.21554570000000001</v>
      </c>
      <c r="V3204">
        <v>-0.1079315</v>
      </c>
      <c r="W3204">
        <v>2.9509380000000002E-2</v>
      </c>
      <c r="X3204">
        <v>0.9937203</v>
      </c>
      <c r="Y3204">
        <v>7.6360419999999998E-2</v>
      </c>
      <c r="Z3204">
        <v>3.3265059999999999E-3</v>
      </c>
      <c r="AA3204">
        <v>0.99707469999999998</v>
      </c>
      <c r="AB3204">
        <v>44</v>
      </c>
      <c r="AC3204">
        <v>-0.40229999999996802</v>
      </c>
      <c r="AD3204">
        <v>-5.6329999999999901E-2</v>
      </c>
      <c r="AE3204">
        <v>6.44999999999811E-2</v>
      </c>
      <c r="AF3204">
        <v>6.5673166444446901E-2</v>
      </c>
      <c r="AG3204">
        <v>-5.6329999999999901E-2</v>
      </c>
      <c r="AH3204">
        <v>0.39436513651516503</v>
      </c>
      <c r="AI3204">
        <v>98.020002906385201</v>
      </c>
      <c r="AJ3204">
        <v>80.545361742333696</v>
      </c>
      <c r="AK3204">
        <v>0.403744838467892</v>
      </c>
      <c r="AL3204">
        <v>88.308991626304604</v>
      </c>
      <c r="AM3204">
        <v>96.198799280422705</v>
      </c>
      <c r="AN3204">
        <v>1.0000000234161599</v>
      </c>
    </row>
    <row r="3205" spans="1:40" x14ac:dyDescent="0.25">
      <c r="A3205" t="str">
        <f>"20190305135651667"</f>
        <v>20190305135651667</v>
      </c>
      <c r="B3205" t="str">
        <f>"1551765411655763"</f>
        <v>1551765411655763</v>
      </c>
      <c r="C3205" t="s">
        <v>40</v>
      </c>
      <c r="D3205">
        <v>4.212809</v>
      </c>
      <c r="E3205">
        <v>0.56931109999999996</v>
      </c>
      <c r="F3205" t="s">
        <v>42</v>
      </c>
      <c r="G3205">
        <v>-333.101</v>
      </c>
      <c r="H3205" s="1">
        <v>-3.9696220000000003E-6</v>
      </c>
      <c r="I3205">
        <v>142.35210000000001</v>
      </c>
      <c r="J3205">
        <v>-316.59800000000001</v>
      </c>
      <c r="K3205">
        <v>1.108266</v>
      </c>
      <c r="L3205">
        <v>141.1369</v>
      </c>
      <c r="M3205">
        <v>-0.99987910000000002</v>
      </c>
      <c r="N3205">
        <v>-1.455496E-2</v>
      </c>
      <c r="O3205">
        <v>-5.4800500000000002E-3</v>
      </c>
      <c r="P3205">
        <v>-0.99345240000000001</v>
      </c>
      <c r="Q3205">
        <v>1.4815160000000001E-2</v>
      </c>
      <c r="R3205">
        <v>-0.11328299999999999</v>
      </c>
      <c r="S3205">
        <v>-3.0481259999999999</v>
      </c>
      <c r="T3205">
        <v>-0.19982639999999999</v>
      </c>
      <c r="U3205">
        <v>0.21875</v>
      </c>
      <c r="V3205">
        <v>-0.107784199999999</v>
      </c>
      <c r="W3205">
        <v>2.9473630000000001E-2</v>
      </c>
      <c r="X3205">
        <v>0.99373730000000005</v>
      </c>
      <c r="Y3205">
        <v>7.6838950000000003E-2</v>
      </c>
      <c r="Z3205">
        <v>3.3522539999999998E-3</v>
      </c>
      <c r="AA3205">
        <v>0.99703790000000003</v>
      </c>
      <c r="AB3205">
        <v>44</v>
      </c>
      <c r="AC3205">
        <v>-16.502999999999901</v>
      </c>
      <c r="AD3205">
        <v>-1.108269969622</v>
      </c>
      <c r="AE3205">
        <v>1.21520000000001</v>
      </c>
      <c r="AF3205">
        <v>1.2997982650208999</v>
      </c>
      <c r="AG3205">
        <v>-1.108269969622</v>
      </c>
      <c r="AH3205">
        <v>16.422428258332101</v>
      </c>
      <c r="AI3205">
        <v>93.848760342111007</v>
      </c>
      <c r="AJ3205">
        <v>85.474601751812997</v>
      </c>
      <c r="AK3205">
        <v>16.511023219515501</v>
      </c>
      <c r="AL3205">
        <v>88.311040759961998</v>
      </c>
      <c r="AM3205">
        <v>96.190300090147105</v>
      </c>
      <c r="AN3205">
        <v>0.99999997502315296</v>
      </c>
    </row>
    <row r="3206" spans="1:40" x14ac:dyDescent="0.25">
      <c r="A3206" t="str">
        <f>"20190305135651689"</f>
        <v>20190305135651689</v>
      </c>
      <c r="B3206" t="str">
        <f>"1551765411686019"</f>
        <v>1551765411686019</v>
      </c>
      <c r="C3206" t="s">
        <v>40</v>
      </c>
      <c r="D3206">
        <v>4.1927640000000004</v>
      </c>
      <c r="E3206">
        <v>0.56946549999999996</v>
      </c>
      <c r="F3206" t="s">
        <v>42</v>
      </c>
      <c r="G3206">
        <v>-333.30070000000001</v>
      </c>
      <c r="H3206" s="1">
        <v>-3.8745879999999998E-6</v>
      </c>
      <c r="I3206">
        <v>142.34970000000001</v>
      </c>
      <c r="J3206">
        <v>-317.029</v>
      </c>
      <c r="K3206">
        <v>1.108263</v>
      </c>
      <c r="L3206">
        <v>141.13499999999999</v>
      </c>
      <c r="M3206">
        <v>-0.9998821</v>
      </c>
      <c r="N3206">
        <v>-1.4552270000000001E-2</v>
      </c>
      <c r="O3206">
        <v>-4.8872129999999996E-3</v>
      </c>
      <c r="P3206">
        <v>-0.99358489999999999</v>
      </c>
      <c r="Q3206">
        <v>1.3929510000000001E-2</v>
      </c>
      <c r="R3206">
        <v>-0.11222890000000001</v>
      </c>
      <c r="S3206">
        <v>-3.048035</v>
      </c>
      <c r="T3206">
        <v>-0.20224520000000001</v>
      </c>
      <c r="U3206">
        <v>0.22132869999999999</v>
      </c>
      <c r="V3206">
        <v>-0.1073202</v>
      </c>
      <c r="W3206">
        <v>2.8586130000000001E-2</v>
      </c>
      <c r="X3206">
        <v>0.99381350000000002</v>
      </c>
      <c r="Y3206">
        <v>7.7084559999999996E-2</v>
      </c>
      <c r="Z3206">
        <v>3.3661659999999999E-3</v>
      </c>
      <c r="AA3206">
        <v>0.99701890000000004</v>
      </c>
      <c r="AB3206">
        <v>44</v>
      </c>
      <c r="AC3206">
        <v>-16.271699999999999</v>
      </c>
      <c r="AD3206">
        <v>-1.108266874588</v>
      </c>
      <c r="AE3206">
        <v>1.2147000000000201</v>
      </c>
      <c r="AF3206">
        <v>1.2882740187891399</v>
      </c>
      <c r="AG3206">
        <v>-1.108266874588</v>
      </c>
      <c r="AH3206">
        <v>16.1908755470957</v>
      </c>
      <c r="AI3206">
        <v>93.903494338092102</v>
      </c>
      <c r="AJ3206">
        <v>85.450679465416599</v>
      </c>
      <c r="AK3206">
        <v>16.279814384517401</v>
      </c>
      <c r="AL3206">
        <v>88.361912301418499</v>
      </c>
      <c r="AM3206">
        <v>96.163388078908099</v>
      </c>
      <c r="AN3206">
        <v>1.0000000324693299</v>
      </c>
    </row>
    <row r="3207" spans="1:40" x14ac:dyDescent="0.25">
      <c r="A3207" t="str">
        <f>"20190305135651713"</f>
        <v>20190305135651713</v>
      </c>
      <c r="B3207" t="str">
        <f>"1551765411705539"</f>
        <v>1551765411705539</v>
      </c>
      <c r="C3207" t="s">
        <v>40</v>
      </c>
      <c r="D3207">
        <v>4.2094659999999999</v>
      </c>
      <c r="E3207">
        <v>0.56952019999999903</v>
      </c>
      <c r="F3207" t="s">
        <v>42</v>
      </c>
      <c r="G3207">
        <v>-333.54020000000003</v>
      </c>
      <c r="H3207" s="1">
        <v>-3.763799E-6</v>
      </c>
      <c r="I3207">
        <v>142.35900000000001</v>
      </c>
      <c r="J3207">
        <v>-317.50110000000001</v>
      </c>
      <c r="K3207">
        <v>1.1082540000000001</v>
      </c>
      <c r="L3207">
        <v>141.13329999999999</v>
      </c>
      <c r="M3207">
        <v>-0.99988529999999998</v>
      </c>
      <c r="N3207">
        <v>-1.4549400000000001E-2</v>
      </c>
      <c r="O3207">
        <v>-4.2564730000000002E-3</v>
      </c>
      <c r="P3207">
        <v>-0.99371339999999997</v>
      </c>
      <c r="Q3207">
        <v>1.2443920000000001E-2</v>
      </c>
      <c r="R3207">
        <v>-0.1112624</v>
      </c>
      <c r="S3207">
        <v>-3.0477289999999999</v>
      </c>
      <c r="T3207">
        <v>-0.2045699</v>
      </c>
      <c r="U3207">
        <v>0.2259216</v>
      </c>
      <c r="V3207">
        <v>-0.10698339999999899</v>
      </c>
      <c r="W3207">
        <v>2.709659E-2</v>
      </c>
      <c r="X3207">
        <v>0.99389150000000004</v>
      </c>
      <c r="Y3207">
        <v>7.795125E-2</v>
      </c>
      <c r="Z3207">
        <v>3.4014800000000001E-3</v>
      </c>
      <c r="AA3207">
        <v>0.99695129999999998</v>
      </c>
      <c r="AB3207">
        <v>44</v>
      </c>
      <c r="AC3207">
        <v>-16.039100000000001</v>
      </c>
      <c r="AD3207">
        <v>-1.1082577637989901</v>
      </c>
      <c r="AE3207">
        <v>1.22570000000001</v>
      </c>
      <c r="AF3207">
        <v>1.2878530382933999</v>
      </c>
      <c r="AG3207">
        <v>-1.1082577637989901</v>
      </c>
      <c r="AH3207">
        <v>15.9579890179788</v>
      </c>
      <c r="AI3207">
        <v>93.959891757573203</v>
      </c>
      <c r="AJ3207">
        <v>85.386074424509502</v>
      </c>
      <c r="AK3207">
        <v>16.048184140805301</v>
      </c>
      <c r="AL3207">
        <v>88.447289697538693</v>
      </c>
      <c r="AM3207">
        <v>96.143715361095701</v>
      </c>
      <c r="AN3207">
        <v>0.99999999341871904</v>
      </c>
    </row>
    <row r="3208" spans="1:40" x14ac:dyDescent="0.25">
      <c r="A3208" t="str">
        <f>"20190305135651734"</f>
        <v>20190305135651734</v>
      </c>
      <c r="B3208" t="str">
        <f>"1551765411726035"</f>
        <v>1551765411726035</v>
      </c>
      <c r="C3208" t="s">
        <v>40</v>
      </c>
      <c r="D3208">
        <v>4.1539710000000003</v>
      </c>
      <c r="E3208">
        <v>0.54690079999999996</v>
      </c>
      <c r="F3208" t="s">
        <v>41</v>
      </c>
      <c r="G3208">
        <v>-318.56400000000002</v>
      </c>
      <c r="H3208">
        <v>1.0362</v>
      </c>
      <c r="I3208">
        <v>141.21340000000001</v>
      </c>
      <c r="J3208">
        <v>-317.93709999999999</v>
      </c>
      <c r="K3208">
        <v>1.1082559999999999</v>
      </c>
      <c r="L3208">
        <v>141.1319</v>
      </c>
      <c r="M3208">
        <v>-0.99988730000000003</v>
      </c>
      <c r="N3208">
        <v>-1.4546689999999999E-2</v>
      </c>
      <c r="O3208">
        <v>-3.6971299999999999E-3</v>
      </c>
      <c r="P3208">
        <v>-0.99383060000000001</v>
      </c>
      <c r="Q3208">
        <v>1.0546440000000001E-2</v>
      </c>
      <c r="R3208">
        <v>-0.1104069</v>
      </c>
      <c r="S3208">
        <v>-3.047272</v>
      </c>
      <c r="T3208">
        <v>-0.20659379999999999</v>
      </c>
      <c r="U3208">
        <v>0.22938539999999999</v>
      </c>
      <c r="V3208">
        <v>-0.1066878</v>
      </c>
      <c r="W3208">
        <v>2.519323E-2</v>
      </c>
      <c r="X3208">
        <v>0.99397340000000001</v>
      </c>
      <c r="Y3208">
        <v>7.8526659999999998E-2</v>
      </c>
      <c r="Z3208">
        <v>3.4242579999999999E-3</v>
      </c>
      <c r="AA3208">
        <v>0.99690619999999996</v>
      </c>
      <c r="AB3208">
        <v>44</v>
      </c>
      <c r="AC3208">
        <v>-0.62690000000003399</v>
      </c>
      <c r="AD3208">
        <v>-7.2055999999999898E-2</v>
      </c>
      <c r="AE3208">
        <v>8.1500000000005401E-2</v>
      </c>
      <c r="AF3208">
        <v>8.2742456377513596E-2</v>
      </c>
      <c r="AG3208">
        <v>-7.2055999999999898E-2</v>
      </c>
      <c r="AH3208">
        <v>0.61855826178273299</v>
      </c>
      <c r="AI3208">
        <v>96.586309481358697</v>
      </c>
      <c r="AJ3208">
        <v>82.380965386425402</v>
      </c>
      <c r="AK3208">
        <v>0.62821390023069501</v>
      </c>
      <c r="AL3208">
        <v>88.5563815868353</v>
      </c>
      <c r="AM3208">
        <v>96.126368290985397</v>
      </c>
      <c r="AN3208">
        <v>1.00000005270711</v>
      </c>
    </row>
    <row r="3209" spans="1:40" x14ac:dyDescent="0.25">
      <c r="A3209" t="str">
        <f>"20190305135651756"</f>
        <v>20190305135651756</v>
      </c>
      <c r="B3209" t="str">
        <f>"1551765411745556"</f>
        <v>1551765411745556</v>
      </c>
      <c r="C3209" t="s">
        <v>40</v>
      </c>
      <c r="D3209">
        <v>4.2113740000000002</v>
      </c>
      <c r="E3209">
        <v>0.53978309999999996</v>
      </c>
      <c r="F3209" t="s">
        <v>41</v>
      </c>
      <c r="G3209">
        <v>-318.96039999999999</v>
      </c>
      <c r="H3209">
        <v>1.0374289999999999</v>
      </c>
      <c r="I3209">
        <v>141.15010000000001</v>
      </c>
      <c r="J3209">
        <v>-318.36009999999999</v>
      </c>
      <c r="K3209">
        <v>1.108274</v>
      </c>
      <c r="L3209">
        <v>141.13079999999999</v>
      </c>
      <c r="M3209">
        <v>-0.99988929999999998</v>
      </c>
      <c r="N3209">
        <v>-1.454402E-2</v>
      </c>
      <c r="O3209">
        <v>-3.1753969999999999E-3</v>
      </c>
      <c r="P3209">
        <v>-0.99389369999999999</v>
      </c>
      <c r="Q3209">
        <v>9.3362440000000005E-3</v>
      </c>
      <c r="R3209">
        <v>-0.1099464</v>
      </c>
      <c r="S3209">
        <v>-3.0267330000000001</v>
      </c>
      <c r="T3209">
        <v>-0.209535</v>
      </c>
      <c r="U3209">
        <v>5.2963259999999998E-2</v>
      </c>
      <c r="V3209">
        <v>-0.10674930000000001</v>
      </c>
      <c r="W3209">
        <v>2.3975759999999999E-2</v>
      </c>
      <c r="X3209">
        <v>0.99399689999999996</v>
      </c>
      <c r="Y3209">
        <v>2.0606530000000001E-2</v>
      </c>
      <c r="Z3209">
        <v>1.0358660000000001E-3</v>
      </c>
      <c r="AA3209">
        <v>0.99978719999999999</v>
      </c>
      <c r="AB3209">
        <v>44</v>
      </c>
      <c r="AC3209">
        <v>-0.60030000000000405</v>
      </c>
      <c r="AD3209">
        <v>-7.0844999999999797E-2</v>
      </c>
      <c r="AE3209">
        <v>1.9300000000015399E-2</v>
      </c>
      <c r="AF3209">
        <v>2.0915292248001999E-2</v>
      </c>
      <c r="AG3209">
        <v>-7.0844999999999797E-2</v>
      </c>
      <c r="AH3209">
        <v>0.59199896718316003</v>
      </c>
      <c r="AI3209">
        <v>96.819964710626493</v>
      </c>
      <c r="AJ3209">
        <v>87.976584734597495</v>
      </c>
      <c r="AK3209">
        <v>0.59658967525490003</v>
      </c>
      <c r="AL3209">
        <v>88.626158557432902</v>
      </c>
      <c r="AM3209">
        <v>96.129729127882996</v>
      </c>
      <c r="AN3209">
        <v>1.0000000436638301</v>
      </c>
    </row>
    <row r="3210" spans="1:40" x14ac:dyDescent="0.25">
      <c r="A3210" t="str">
        <f>"20190305135651778"</f>
        <v>20190305135651778</v>
      </c>
      <c r="B3210" t="str">
        <f>"1551765411775811"</f>
        <v>1551765411775811</v>
      </c>
      <c r="C3210" t="s">
        <v>40</v>
      </c>
      <c r="D3210">
        <v>4.1409770000000004</v>
      </c>
      <c r="E3210">
        <v>0.53919119999999998</v>
      </c>
      <c r="F3210" t="s">
        <v>42</v>
      </c>
      <c r="G3210">
        <v>-335.02809999999999</v>
      </c>
      <c r="H3210" s="1">
        <v>-2.7295560000000001E-6</v>
      </c>
      <c r="I3210">
        <v>141.11529999999999</v>
      </c>
      <c r="J3210">
        <v>-318.80500000000001</v>
      </c>
      <c r="K3210">
        <v>1.1082989999999999</v>
      </c>
      <c r="L3210">
        <v>141.12979999999999</v>
      </c>
      <c r="M3210">
        <v>-0.99989090000000003</v>
      </c>
      <c r="N3210">
        <v>-1.454125E-2</v>
      </c>
      <c r="O3210">
        <v>-2.6516970000000002E-3</v>
      </c>
      <c r="P3210">
        <v>-0.9939808</v>
      </c>
      <c r="Q3210">
        <v>9.5233190000000006E-3</v>
      </c>
      <c r="R3210">
        <v>-0.10914160000000001</v>
      </c>
      <c r="S3210">
        <v>-3.0200200000000001</v>
      </c>
      <c r="T3210">
        <v>-0.20080529999999999</v>
      </c>
      <c r="U3210">
        <v>-2.8076170000000001E-3</v>
      </c>
      <c r="V3210">
        <v>-0.1064659</v>
      </c>
      <c r="W3210">
        <v>2.415453E-2</v>
      </c>
      <c r="X3210">
        <v>0.99402290000000004</v>
      </c>
      <c r="Y3210">
        <v>1.7141229999999999E-3</v>
      </c>
      <c r="Z3210">
        <v>2.069971E-4</v>
      </c>
      <c r="AA3210">
        <v>0.99999850000000001</v>
      </c>
      <c r="AB3210">
        <v>44</v>
      </c>
      <c r="AC3210">
        <v>-16.223099999999899</v>
      </c>
      <c r="AD3210">
        <v>-1.10830172955599</v>
      </c>
      <c r="AE3210">
        <v>-1.4499999999998099E-2</v>
      </c>
      <c r="AF3210">
        <v>2.8390836016650899E-2</v>
      </c>
      <c r="AG3210">
        <v>-1.10830172955599</v>
      </c>
      <c r="AH3210">
        <v>16.147718237009101</v>
      </c>
      <c r="AI3210">
        <v>93.926343060044005</v>
      </c>
      <c r="AJ3210">
        <v>89.899262955881596</v>
      </c>
      <c r="AK3210">
        <v>16.185732699669298</v>
      </c>
      <c r="AL3210">
        <v>88.615912732462604</v>
      </c>
      <c r="AM3210">
        <v>96.113420511821204</v>
      </c>
      <c r="AN3210">
        <v>0.99999997745336999</v>
      </c>
    </row>
    <row r="3211" spans="1:40" x14ac:dyDescent="0.25">
      <c r="A3211" t="str">
        <f>"20190305135651802"</f>
        <v>20190305135651802</v>
      </c>
      <c r="B3211" t="str">
        <f>"1551765411795332"</f>
        <v>1551765411795332</v>
      </c>
      <c r="C3211" t="s">
        <v>40</v>
      </c>
      <c r="D3211">
        <v>4.0467589999999998</v>
      </c>
      <c r="E3211">
        <v>0.53987989999999997</v>
      </c>
      <c r="F3211" t="s">
        <v>42</v>
      </c>
      <c r="G3211">
        <v>-337.9332</v>
      </c>
      <c r="H3211" s="1">
        <v>-1.3493670000000001E-6</v>
      </c>
      <c r="I3211">
        <v>141.08920000000001</v>
      </c>
      <c r="J3211">
        <v>-319.26650000000001</v>
      </c>
      <c r="K3211">
        <v>1.108333</v>
      </c>
      <c r="L3211">
        <v>141.12899999999999</v>
      </c>
      <c r="M3211">
        <v>-0.99989220000000001</v>
      </c>
      <c r="N3211">
        <v>-1.453837E-2</v>
      </c>
      <c r="O3211">
        <v>-2.1362600000000001E-3</v>
      </c>
      <c r="P3211">
        <v>-0.99400770000000005</v>
      </c>
      <c r="Q3211">
        <v>9.9594220000000008E-3</v>
      </c>
      <c r="R3211">
        <v>-0.1088578</v>
      </c>
      <c r="S3211">
        <v>-3.0191349999999999</v>
      </c>
      <c r="T3211">
        <v>-0.17493029999999901</v>
      </c>
      <c r="U3211">
        <v>-6.4086909999999898E-3</v>
      </c>
      <c r="V3211">
        <v>-0.1066947</v>
      </c>
      <c r="W3211">
        <v>2.4581639999999998E-2</v>
      </c>
      <c r="X3211">
        <v>0.99398790000000004</v>
      </c>
      <c r="Y3211" s="1">
        <v>1.1763530000000001E-5</v>
      </c>
      <c r="Z3211" s="1">
        <v>9.3058309999999997E-5</v>
      </c>
      <c r="AA3211">
        <v>1</v>
      </c>
      <c r="AB3211">
        <v>44</v>
      </c>
      <c r="AC3211">
        <v>-18.666699999999899</v>
      </c>
      <c r="AD3211">
        <v>-1.1083343493669999</v>
      </c>
      <c r="AE3211">
        <v>-3.9799999999985403E-2</v>
      </c>
      <c r="AF3211" s="1">
        <v>8.0938215524441098E-5</v>
      </c>
      <c r="AG3211">
        <v>-1.1083343493669999</v>
      </c>
      <c r="AH3211">
        <v>18.601166463557298</v>
      </c>
      <c r="AI3211">
        <v>93.409887737228999</v>
      </c>
      <c r="AJ3211">
        <v>89.999750692078294</v>
      </c>
      <c r="AK3211">
        <v>18.634156778386998</v>
      </c>
      <c r="AL3211">
        <v>88.591433866996496</v>
      </c>
      <c r="AM3211">
        <v>96.126672802901297</v>
      </c>
      <c r="AN3211">
        <v>0.99999998068979401</v>
      </c>
    </row>
    <row r="3212" spans="1:40" x14ac:dyDescent="0.25">
      <c r="A3212" t="str">
        <f>"20190305135651824"</f>
        <v>20190305135651824</v>
      </c>
      <c r="B3212" t="str">
        <f>"1551765411815830"</f>
        <v>1551765411815830</v>
      </c>
      <c r="C3212" t="s">
        <v>40</v>
      </c>
      <c r="D3212">
        <v>4.0609739999999999</v>
      </c>
      <c r="E3212">
        <v>0.5405124</v>
      </c>
      <c r="F3212" t="s">
        <v>42</v>
      </c>
      <c r="G3212">
        <v>-339.63889999999998</v>
      </c>
      <c r="H3212" s="1">
        <v>-5.5187760000000002E-7</v>
      </c>
      <c r="I3212">
        <v>141.1224</v>
      </c>
      <c r="J3212">
        <v>-319.71050000000002</v>
      </c>
      <c r="K3212">
        <v>1.1083639999999999</v>
      </c>
      <c r="L3212">
        <v>141.1285</v>
      </c>
      <c r="M3212">
        <v>-0.99989300000000003</v>
      </c>
      <c r="N3212">
        <v>-1.453552E-2</v>
      </c>
      <c r="O3212">
        <v>-1.6668290000000001E-3</v>
      </c>
      <c r="P3212">
        <v>-0.99405429999999995</v>
      </c>
      <c r="Q3212">
        <v>1.086936E-2</v>
      </c>
      <c r="R3212">
        <v>-0.1083399</v>
      </c>
      <c r="S3212">
        <v>-3.0196230000000002</v>
      </c>
      <c r="T3212">
        <v>-0.1642787</v>
      </c>
      <c r="U3212">
        <v>-9.9182130000000004E-4</v>
      </c>
      <c r="V3212">
        <v>-0.1066444</v>
      </c>
      <c r="W3212">
        <v>2.5482580000000001E-2</v>
      </c>
      <c r="X3212">
        <v>0.99397060000000004</v>
      </c>
      <c r="Y3212">
        <v>1.3347210000000001E-3</v>
      </c>
      <c r="Z3212">
        <v>1.123883E-4</v>
      </c>
      <c r="AA3212">
        <v>0.99999910000000003</v>
      </c>
      <c r="AB3212">
        <v>44</v>
      </c>
      <c r="AC3212">
        <v>-19.9283999999999</v>
      </c>
      <c r="AD3212">
        <v>-1.1083645518776</v>
      </c>
      <c r="AE3212">
        <v>-6.1000000000035401E-3</v>
      </c>
      <c r="AF3212">
        <v>2.7037118392239001E-2</v>
      </c>
      <c r="AG3212">
        <v>-1.1083645518776</v>
      </c>
      <c r="AH3212">
        <v>19.8669283488966</v>
      </c>
      <c r="AI3212">
        <v>93.193185620862707</v>
      </c>
      <c r="AJ3212">
        <v>89.922025600006805</v>
      </c>
      <c r="AK3212">
        <v>19.897840209576</v>
      </c>
      <c r="AL3212">
        <v>88.539797611331593</v>
      </c>
      <c r="AM3212">
        <v>96.123912179010802</v>
      </c>
      <c r="AN3212">
        <v>0.999999971799587</v>
      </c>
    </row>
    <row r="3213" spans="1:40" x14ac:dyDescent="0.25">
      <c r="A3213" t="str">
        <f>"20190305135651848"</f>
        <v>20190305135651848</v>
      </c>
      <c r="B3213" t="str">
        <f>"1551765411835347"</f>
        <v>1551765411835347</v>
      </c>
      <c r="C3213" t="s">
        <v>40</v>
      </c>
      <c r="D3213">
        <v>4.1178080000000001</v>
      </c>
      <c r="E3213">
        <v>0.54026600000000002</v>
      </c>
      <c r="F3213" t="s">
        <v>42</v>
      </c>
      <c r="G3213">
        <v>-341.2398</v>
      </c>
      <c r="H3213" s="1">
        <v>-4.1288799999999998E-6</v>
      </c>
      <c r="I3213">
        <v>141.1653</v>
      </c>
      <c r="J3213">
        <v>-320.1508</v>
      </c>
      <c r="K3213">
        <v>1.1083909999999999</v>
      </c>
      <c r="L3213">
        <v>141.12809999999999</v>
      </c>
      <c r="M3213">
        <v>-0.9998937</v>
      </c>
      <c r="N3213">
        <v>-1.4532659999999999E-2</v>
      </c>
      <c r="O3213">
        <v>-1.225528E-3</v>
      </c>
      <c r="P3213">
        <v>-0.99409939999999997</v>
      </c>
      <c r="Q3213">
        <v>1.228482E-2</v>
      </c>
      <c r="R3213">
        <v>-0.1077758</v>
      </c>
      <c r="S3213">
        <v>-3.0201720000000001</v>
      </c>
      <c r="T3213">
        <v>-0.15548499999999901</v>
      </c>
      <c r="U3213">
        <v>5.172729E-3</v>
      </c>
      <c r="V3213">
        <v>-0.10651819999999999</v>
      </c>
      <c r="W3213">
        <v>2.6888769999999999E-2</v>
      </c>
      <c r="X3213">
        <v>0.99394709999999997</v>
      </c>
      <c r="Y3213">
        <v>2.9325610000000002E-3</v>
      </c>
      <c r="Z3213">
        <v>1.4201390000000001E-4</v>
      </c>
      <c r="AA3213">
        <v>0.99999570000000004</v>
      </c>
      <c r="AB3213">
        <v>44</v>
      </c>
      <c r="AC3213">
        <v>-21.088999999999999</v>
      </c>
      <c r="AD3213">
        <v>-1.10839512887999</v>
      </c>
      <c r="AE3213">
        <v>3.7200000000012702E-2</v>
      </c>
      <c r="AF3213">
        <v>6.2874180899266593E-2</v>
      </c>
      <c r="AG3213">
        <v>-1.10839512887999</v>
      </c>
      <c r="AH3213">
        <v>21.030844388423599</v>
      </c>
      <c r="AI3213">
        <v>93.016872612443606</v>
      </c>
      <c r="AJ3213">
        <v>89.828708043918994</v>
      </c>
      <c r="AK3213">
        <v>21.060126035103298</v>
      </c>
      <c r="AL3213">
        <v>88.459201234130106</v>
      </c>
      <c r="AM3213">
        <v>96.116863803216106</v>
      </c>
      <c r="AN3213">
        <v>0.99999998524088096</v>
      </c>
    </row>
    <row r="3214" spans="1:40" x14ac:dyDescent="0.25">
      <c r="A3214" t="str">
        <f>"20190305135651872"</f>
        <v>20190305135651872</v>
      </c>
      <c r="B3214" t="str">
        <f>"1551765411865605"</f>
        <v>1551765411865605</v>
      </c>
      <c r="C3214" t="s">
        <v>40</v>
      </c>
      <c r="D3214">
        <v>4.0054569999999998</v>
      </c>
      <c r="E3214">
        <v>0.54003369999999995</v>
      </c>
      <c r="F3214" t="s">
        <v>42</v>
      </c>
      <c r="G3214">
        <v>-342.30689999999998</v>
      </c>
      <c r="H3214" s="1">
        <v>-3.6942289999999999E-6</v>
      </c>
      <c r="I3214">
        <v>141.16319999999999</v>
      </c>
      <c r="J3214">
        <v>-320.63470000000001</v>
      </c>
      <c r="K3214">
        <v>1.108422</v>
      </c>
      <c r="L3214">
        <v>141.12799999999999</v>
      </c>
      <c r="M3214">
        <v>-0.99989430000000001</v>
      </c>
      <c r="N3214">
        <v>-1.4529540000000001E-2</v>
      </c>
      <c r="O3214">
        <v>-7.6722759999999998E-4</v>
      </c>
      <c r="P3214">
        <v>-0.99417909999999998</v>
      </c>
      <c r="Q3214">
        <v>1.275892E-2</v>
      </c>
      <c r="R3214">
        <v>-0.1069848</v>
      </c>
      <c r="S3214">
        <v>-3.020203</v>
      </c>
      <c r="T3214">
        <v>-0.151091</v>
      </c>
      <c r="U3214">
        <v>4.7912600000000003E-3</v>
      </c>
      <c r="V3214">
        <v>-0.1061836</v>
      </c>
      <c r="W3214">
        <v>2.7352560000000001E-2</v>
      </c>
      <c r="X3214">
        <v>0.99397029999999997</v>
      </c>
      <c r="Y3214">
        <v>2.3494330000000002E-3</v>
      </c>
      <c r="Z3214">
        <v>1.030281E-4</v>
      </c>
      <c r="AA3214">
        <v>0.99999729999999998</v>
      </c>
      <c r="AB3214">
        <v>44</v>
      </c>
      <c r="AC3214">
        <v>-21.672199999999901</v>
      </c>
      <c r="AD3214">
        <v>-1.1084256942290001</v>
      </c>
      <c r="AE3214">
        <v>3.5200000000003201E-2</v>
      </c>
      <c r="AF3214">
        <v>5.1694030739795803E-2</v>
      </c>
      <c r="AG3214">
        <v>-1.1084256942290001</v>
      </c>
      <c r="AH3214">
        <v>21.615624267146401</v>
      </c>
      <c r="AI3214">
        <v>92.935485669717295</v>
      </c>
      <c r="AJ3214">
        <v>89.862976701286797</v>
      </c>
      <c r="AK3214">
        <v>21.644086773317301</v>
      </c>
      <c r="AL3214">
        <v>88.432618329107299</v>
      </c>
      <c r="AM3214">
        <v>96.097652954842999</v>
      </c>
      <c r="AN3214">
        <v>1.0000000383648</v>
      </c>
    </row>
    <row r="3215" spans="1:40" x14ac:dyDescent="0.25">
      <c r="A3215" t="str">
        <f>"20190305135651892"</f>
        <v>20190305135651892</v>
      </c>
      <c r="B3215" t="str">
        <f>"1551765411885124"</f>
        <v>1551765411885124</v>
      </c>
      <c r="C3215" t="s">
        <v>40</v>
      </c>
      <c r="D3215">
        <v>4.0488869999999997</v>
      </c>
      <c r="E3215">
        <v>0.53993369999999996</v>
      </c>
      <c r="F3215" t="s">
        <v>42</v>
      </c>
      <c r="G3215">
        <v>-342.82510000000002</v>
      </c>
      <c r="H3215" s="1">
        <v>-3.472908E-6</v>
      </c>
      <c r="I3215">
        <v>141.167</v>
      </c>
      <c r="J3215">
        <v>-321.03269999999998</v>
      </c>
      <c r="K3215">
        <v>1.108436</v>
      </c>
      <c r="L3215">
        <v>141.12790000000001</v>
      </c>
      <c r="M3215">
        <v>-0.99989439999999996</v>
      </c>
      <c r="N3215">
        <v>-1.452699E-2</v>
      </c>
      <c r="O3215">
        <v>-4.1091419999999998E-4</v>
      </c>
      <c r="P3215">
        <v>-0.99427940000000004</v>
      </c>
      <c r="Q3215">
        <v>1.189257E-2</v>
      </c>
      <c r="R3215">
        <v>-0.1061473</v>
      </c>
      <c r="S3215">
        <v>-3.0200499999999999</v>
      </c>
      <c r="T3215">
        <v>-0.15085379999999901</v>
      </c>
      <c r="U3215">
        <v>5.3253170000000004E-3</v>
      </c>
      <c r="V3215">
        <v>-0.1057027</v>
      </c>
      <c r="W3215">
        <v>2.6478359999999999E-2</v>
      </c>
      <c r="X3215">
        <v>0.99404519999999996</v>
      </c>
      <c r="Y3215">
        <v>2.1705230000000002E-3</v>
      </c>
      <c r="Z3215" s="1">
        <v>8.4500560000000006E-5</v>
      </c>
      <c r="AA3215">
        <v>0.99999760000000004</v>
      </c>
      <c r="AB3215">
        <v>44</v>
      </c>
      <c r="AC3215">
        <v>-21.792400000000001</v>
      </c>
      <c r="AD3215">
        <v>-1.108439472908</v>
      </c>
      <c r="AE3215">
        <v>3.9099999999990503E-2</v>
      </c>
      <c r="AF3215">
        <v>4.7931744286130902E-2</v>
      </c>
      <c r="AG3215">
        <v>-1.108439472908</v>
      </c>
      <c r="AH3215">
        <v>21.7361486011668</v>
      </c>
      <c r="AI3215">
        <v>92.919274460975501</v>
      </c>
      <c r="AJ3215">
        <v>89.873653688553304</v>
      </c>
      <c r="AK3215">
        <v>21.764445582858698</v>
      </c>
      <c r="AL3215">
        <v>88.482724411983895</v>
      </c>
      <c r="AM3215">
        <v>96.069789681684199</v>
      </c>
      <c r="AN3215">
        <v>1.0000000119893</v>
      </c>
    </row>
    <row r="3216" spans="1:40" x14ac:dyDescent="0.25">
      <c r="A3216" t="str">
        <f>"20190305135651914"</f>
        <v>20190305135651914</v>
      </c>
      <c r="B3216" t="str">
        <f>"1551765411905619"</f>
        <v>1551765411905619</v>
      </c>
      <c r="C3216" t="s">
        <v>40</v>
      </c>
      <c r="D3216">
        <v>3.9825889999999999</v>
      </c>
      <c r="E3216">
        <v>0.5397826</v>
      </c>
      <c r="F3216" t="s">
        <v>42</v>
      </c>
      <c r="G3216">
        <v>-342.79</v>
      </c>
      <c r="H3216" s="1">
        <v>-3.4908469999999999E-6</v>
      </c>
      <c r="I3216">
        <v>141.17789999999999</v>
      </c>
      <c r="J3216">
        <v>-321.48099999999999</v>
      </c>
      <c r="K3216">
        <v>1.108457</v>
      </c>
      <c r="L3216">
        <v>141.12809999999999</v>
      </c>
      <c r="M3216">
        <v>-0.99989459999999997</v>
      </c>
      <c r="N3216">
        <v>-1.45241E-2</v>
      </c>
      <c r="O3216" s="1">
        <v>-2.8778670000000001E-5</v>
      </c>
      <c r="P3216">
        <v>-0.99437719999999996</v>
      </c>
      <c r="Q3216">
        <v>1.105682E-2</v>
      </c>
      <c r="R3216">
        <v>-0.10532039999999999</v>
      </c>
      <c r="S3216">
        <v>-3.019806</v>
      </c>
      <c r="T3216">
        <v>-0.1538457</v>
      </c>
      <c r="U3216">
        <v>6.9427489999999998E-3</v>
      </c>
      <c r="V3216">
        <v>-0.1052589</v>
      </c>
      <c r="W3216">
        <v>2.5633690000000001E-2</v>
      </c>
      <c r="X3216">
        <v>0.99411439999999995</v>
      </c>
      <c r="Y3216">
        <v>2.3239530000000001E-3</v>
      </c>
      <c r="Z3216" s="1">
        <v>7.7098109999999994E-5</v>
      </c>
      <c r="AA3216">
        <v>0.99999729999999998</v>
      </c>
      <c r="AB3216">
        <v>44</v>
      </c>
      <c r="AC3216">
        <v>-21.309000000000001</v>
      </c>
      <c r="AD3216">
        <v>-1.1084604908469999</v>
      </c>
      <c r="AE3216">
        <v>4.9800000000004702E-2</v>
      </c>
      <c r="AF3216">
        <v>5.02772639950907E-2</v>
      </c>
      <c r="AG3216">
        <v>-1.1084604908469999</v>
      </c>
      <c r="AH3216">
        <v>21.251494115730701</v>
      </c>
      <c r="AI3216">
        <v>92.985786756433797</v>
      </c>
      <c r="AJ3216">
        <v>89.864448605720398</v>
      </c>
      <c r="AK3216">
        <v>21.280442068105199</v>
      </c>
      <c r="AL3216">
        <v>88.531136830476001</v>
      </c>
      <c r="AM3216">
        <v>96.044076672736793</v>
      </c>
      <c r="AN3216">
        <v>0.99999998118979205</v>
      </c>
    </row>
    <row r="3217" spans="1:40" x14ac:dyDescent="0.25">
      <c r="A3217" t="str">
        <f>"20190305135651936"</f>
        <v>20190305135651936</v>
      </c>
      <c r="B3217" t="str">
        <f>"1551765411925140"</f>
        <v>1551765411925140</v>
      </c>
      <c r="C3217" t="s">
        <v>40</v>
      </c>
      <c r="D3217">
        <v>3.9727260000000002</v>
      </c>
      <c r="E3217">
        <v>0.53971289999999905</v>
      </c>
      <c r="F3217" t="s">
        <v>42</v>
      </c>
      <c r="G3217">
        <v>-342.53019999999998</v>
      </c>
      <c r="H3217" s="1">
        <v>-3.6046269999999999E-6</v>
      </c>
      <c r="I3217">
        <v>141.1865</v>
      </c>
      <c r="J3217">
        <v>-321.90890000000002</v>
      </c>
      <c r="K3217">
        <v>1.1084780000000001</v>
      </c>
      <c r="L3217">
        <v>141.1284</v>
      </c>
      <c r="M3217">
        <v>-0.99989450000000002</v>
      </c>
      <c r="N3217">
        <v>-1.452137E-2</v>
      </c>
      <c r="O3217">
        <v>3.1658560000000002E-4</v>
      </c>
      <c r="P3217">
        <v>-0.99447980000000002</v>
      </c>
      <c r="Q3217">
        <v>1.0377239999999999E-2</v>
      </c>
      <c r="R3217">
        <v>-0.1044139</v>
      </c>
      <c r="S3217">
        <v>-3.0196230000000002</v>
      </c>
      <c r="T3217">
        <v>-0.1590155</v>
      </c>
      <c r="U3217">
        <v>8.3923339999999996E-3</v>
      </c>
      <c r="V3217">
        <v>-0.1046981</v>
      </c>
      <c r="W3217">
        <v>2.494536E-2</v>
      </c>
      <c r="X3217">
        <v>0.99419120000000005</v>
      </c>
      <c r="Y3217">
        <v>2.4585200000000001E-3</v>
      </c>
      <c r="Z3217" s="1">
        <v>7.049119E-5</v>
      </c>
      <c r="AA3217">
        <v>0.99999700000000002</v>
      </c>
      <c r="AB3217">
        <v>44</v>
      </c>
      <c r="AC3217">
        <v>-20.621299999999898</v>
      </c>
      <c r="AD3217">
        <v>-1.1084816046269901</v>
      </c>
      <c r="AE3217">
        <v>5.8099999999996002E-2</v>
      </c>
      <c r="AF3217">
        <v>5.1422317601957999E-2</v>
      </c>
      <c r="AG3217">
        <v>-1.1084816046269901</v>
      </c>
      <c r="AH3217">
        <v>20.5619039111169</v>
      </c>
      <c r="AI3217">
        <v>93.085789171267393</v>
      </c>
      <c r="AJ3217">
        <v>89.856711925031206</v>
      </c>
      <c r="AK3217">
        <v>20.591825275398701</v>
      </c>
      <c r="AL3217">
        <v>88.570587955736201</v>
      </c>
      <c r="AM3217">
        <v>96.011650397146596</v>
      </c>
      <c r="AN3217">
        <v>1.00000005264328</v>
      </c>
    </row>
    <row r="3218" spans="1:40" x14ac:dyDescent="0.25">
      <c r="A3218" t="str">
        <f>"20190305135651957"</f>
        <v>20190305135651957</v>
      </c>
      <c r="B3218" t="str">
        <f>"1551765411945635"</f>
        <v>1551765411945635</v>
      </c>
      <c r="C3218" t="s">
        <v>40</v>
      </c>
      <c r="D3218">
        <v>4.0237980000000002</v>
      </c>
      <c r="E3218">
        <v>0.53936790000000001</v>
      </c>
      <c r="F3218" t="s">
        <v>42</v>
      </c>
      <c r="G3218">
        <v>-342.85950000000003</v>
      </c>
      <c r="H3218" s="1">
        <v>-3.4671499999999999E-6</v>
      </c>
      <c r="I3218">
        <v>141.20089999999999</v>
      </c>
      <c r="J3218">
        <v>-322.31369999999998</v>
      </c>
      <c r="K3218">
        <v>1.1084989999999999</v>
      </c>
      <c r="L3218">
        <v>141.12880000000001</v>
      </c>
      <c r="M3218">
        <v>-0.99989439999999996</v>
      </c>
      <c r="N3218">
        <v>-1.451877E-2</v>
      </c>
      <c r="O3218">
        <v>6.2224809999999998E-4</v>
      </c>
      <c r="P3218">
        <v>-0.99458279999999999</v>
      </c>
      <c r="Q3218">
        <v>1.042616E-2</v>
      </c>
      <c r="R3218">
        <v>-0.10342469999999999</v>
      </c>
      <c r="S3218">
        <v>-3.0193789999999998</v>
      </c>
      <c r="T3218">
        <v>-0.1597536</v>
      </c>
      <c r="U3218">
        <v>1.045227E-2</v>
      </c>
      <c r="V3218">
        <v>-0.10401440000000001</v>
      </c>
      <c r="W3218">
        <v>2.4985400000000001E-2</v>
      </c>
      <c r="X3218">
        <v>0.99426190000000003</v>
      </c>
      <c r="Y3218">
        <v>2.8348010000000001E-3</v>
      </c>
      <c r="Z3218" s="1">
        <v>7.1670070000000001E-5</v>
      </c>
      <c r="AA3218">
        <v>0.999996</v>
      </c>
      <c r="AB3218">
        <v>44</v>
      </c>
      <c r="AC3218">
        <v>-20.5458</v>
      </c>
      <c r="AD3218">
        <v>-1.1085024671499999</v>
      </c>
      <c r="AE3218">
        <v>7.2099999999977599E-2</v>
      </c>
      <c r="AF3218">
        <v>5.9141899300117498E-2</v>
      </c>
      <c r="AG3218">
        <v>-1.1085024671499999</v>
      </c>
      <c r="AH3218">
        <v>20.486208330590301</v>
      </c>
      <c r="AI3218">
        <v>93.097223823385505</v>
      </c>
      <c r="AJ3218">
        <v>89.834592533968703</v>
      </c>
      <c r="AK3218">
        <v>20.5162620193903</v>
      </c>
      <c r="AL3218">
        <v>88.568293036047194</v>
      </c>
      <c r="AM3218">
        <v>95.972256154789306</v>
      </c>
      <c r="AN3218">
        <v>0.99999999570606402</v>
      </c>
    </row>
    <row r="3219" spans="1:40" x14ac:dyDescent="0.25">
      <c r="A3219" t="str">
        <f>"20190305135651979"</f>
        <v>20190305135651979</v>
      </c>
      <c r="B3219" t="str">
        <f>"1551765411975891"</f>
        <v>1551765411975891</v>
      </c>
      <c r="C3219" t="s">
        <v>40</v>
      </c>
      <c r="D3219">
        <v>4.0157109999999996</v>
      </c>
      <c r="E3219">
        <v>0.53914839999999997</v>
      </c>
      <c r="F3219" t="s">
        <v>42</v>
      </c>
      <c r="G3219">
        <v>-343.0428</v>
      </c>
      <c r="H3219" s="1">
        <v>-3.3889240000000001E-6</v>
      </c>
      <c r="I3219">
        <v>141.20230000000001</v>
      </c>
      <c r="J3219">
        <v>-322.75720000000001</v>
      </c>
      <c r="K3219">
        <v>1.108514</v>
      </c>
      <c r="L3219">
        <v>141.1294</v>
      </c>
      <c r="M3219">
        <v>-0.99989430000000001</v>
      </c>
      <c r="N3219">
        <v>-1.451591E-2</v>
      </c>
      <c r="O3219">
        <v>9.2859010000000001E-4</v>
      </c>
      <c r="P3219">
        <v>-0.99456719999999998</v>
      </c>
      <c r="Q3219">
        <v>1.014983E-2</v>
      </c>
      <c r="R3219">
        <v>-0.1036019</v>
      </c>
      <c r="S3219">
        <v>-3.019104</v>
      </c>
      <c r="T3219">
        <v>-0.16144939999999999</v>
      </c>
      <c r="U3219">
        <v>1.071167E-2</v>
      </c>
      <c r="V3219">
        <v>-0.1044987</v>
      </c>
      <c r="W3219">
        <v>2.469843E-2</v>
      </c>
      <c r="X3219">
        <v>0.9942183</v>
      </c>
      <c r="Y3219">
        <v>2.6152089999999998E-3</v>
      </c>
      <c r="Z3219" s="1">
        <v>5.2725990000000002E-5</v>
      </c>
      <c r="AA3219">
        <v>0.99999660000000001</v>
      </c>
      <c r="AB3219">
        <v>44</v>
      </c>
      <c r="AC3219">
        <v>-20.285599999999899</v>
      </c>
      <c r="AD3219">
        <v>-1.1085173889239901</v>
      </c>
      <c r="AE3219">
        <v>7.29000000000041E-2</v>
      </c>
      <c r="AF3219">
        <v>5.3900027441917603E-2</v>
      </c>
      <c r="AG3219">
        <v>-1.1085173889239901</v>
      </c>
      <c r="AH3219">
        <v>20.2252643821577</v>
      </c>
      <c r="AI3219">
        <v>93.137148600661504</v>
      </c>
      <c r="AJ3219">
        <v>89.8473079649943</v>
      </c>
      <c r="AK3219">
        <v>20.255691430871501</v>
      </c>
      <c r="AL3219">
        <v>88.584740301157893</v>
      </c>
      <c r="AM3219">
        <v>96.000122314293506</v>
      </c>
      <c r="AN3219">
        <v>1.0000000094005199</v>
      </c>
    </row>
    <row r="3220" spans="1:40" x14ac:dyDescent="0.25">
      <c r="A3220" t="str">
        <f>"20190305135652001"</f>
        <v>20190305135652001</v>
      </c>
      <c r="B3220" t="str">
        <f>"1551765411995411"</f>
        <v>1551765411995411</v>
      </c>
      <c r="C3220" t="s">
        <v>40</v>
      </c>
      <c r="D3220">
        <v>4.0236299999999998</v>
      </c>
      <c r="E3220">
        <v>0.53889319999999996</v>
      </c>
      <c r="F3220" t="s">
        <v>42</v>
      </c>
      <c r="G3220">
        <v>-343.66050000000001</v>
      </c>
      <c r="H3220" s="1">
        <v>-3.1199770000000002E-6</v>
      </c>
      <c r="I3220">
        <v>141.1874</v>
      </c>
      <c r="J3220">
        <v>-323.1891</v>
      </c>
      <c r="K3220">
        <v>1.108544</v>
      </c>
      <c r="L3220">
        <v>141.13</v>
      </c>
      <c r="M3220">
        <v>-0.99989399999999995</v>
      </c>
      <c r="N3220">
        <v>-1.4513099999999999E-2</v>
      </c>
      <c r="O3220">
        <v>1.1934529999999999E-3</v>
      </c>
      <c r="P3220">
        <v>-0.99453720000000001</v>
      </c>
      <c r="Q3220">
        <v>9.3316119999999995E-3</v>
      </c>
      <c r="R3220">
        <v>-0.1039649</v>
      </c>
      <c r="S3220">
        <v>-3.0188290000000002</v>
      </c>
      <c r="T3220">
        <v>-0.16009139999999999</v>
      </c>
      <c r="U3220">
        <v>8.3923339999999996E-3</v>
      </c>
      <c r="V3220">
        <v>-0.105128</v>
      </c>
      <c r="W3220">
        <v>2.3868980000000001E-2</v>
      </c>
      <c r="X3220">
        <v>0.99417219999999995</v>
      </c>
      <c r="Y3220">
        <v>1.5844570000000001E-3</v>
      </c>
      <c r="Z3220" s="1">
        <v>7.5590339999999996E-6</v>
      </c>
      <c r="AA3220">
        <v>0.99999870000000002</v>
      </c>
      <c r="AB3220">
        <v>44</v>
      </c>
      <c r="AC3220">
        <v>-20.471399999999999</v>
      </c>
      <c r="AD3220">
        <v>-1.1085471199770001</v>
      </c>
      <c r="AE3220">
        <v>5.74000000000012E-2</v>
      </c>
      <c r="AF3220">
        <v>3.2869349636482102E-2</v>
      </c>
      <c r="AG3220">
        <v>-1.1085471199770001</v>
      </c>
      <c r="AH3220">
        <v>20.411600797607299</v>
      </c>
      <c r="AI3220">
        <v>93.108656368209196</v>
      </c>
      <c r="AJ3220">
        <v>89.9077351453071</v>
      </c>
      <c r="AK3220">
        <v>20.4417074686103</v>
      </c>
      <c r="AL3220">
        <v>88.632278283826295</v>
      </c>
      <c r="AM3220">
        <v>96.036267421341293</v>
      </c>
      <c r="AN3220">
        <v>0.99999999392154004</v>
      </c>
    </row>
    <row r="3221" spans="1:40" x14ac:dyDescent="0.25">
      <c r="A3221" t="str">
        <f>"20190305135652028"</f>
        <v>20190305135652028</v>
      </c>
      <c r="B3221" t="str">
        <f>"1551765412025667"</f>
        <v>1551765412025667</v>
      </c>
      <c r="C3221" t="s">
        <v>40</v>
      </c>
      <c r="D3221">
        <v>4.0081980000000001</v>
      </c>
      <c r="E3221">
        <v>0.53871380000000002</v>
      </c>
      <c r="F3221" t="s">
        <v>42</v>
      </c>
      <c r="G3221">
        <v>-343.8458</v>
      </c>
      <c r="H3221" s="1">
        <v>-3.0347770000000001E-6</v>
      </c>
      <c r="I3221">
        <v>141.166</v>
      </c>
      <c r="J3221">
        <v>-323.7133</v>
      </c>
      <c r="K3221">
        <v>1.1085910000000001</v>
      </c>
      <c r="L3221">
        <v>141.1309</v>
      </c>
      <c r="M3221">
        <v>-0.99989380000000005</v>
      </c>
      <c r="N3221">
        <v>-1.450971E-2</v>
      </c>
      <c r="O3221">
        <v>1.4632130000000001E-3</v>
      </c>
      <c r="P3221">
        <v>-0.99443479999999995</v>
      </c>
      <c r="Q3221">
        <v>8.5245149999999999E-3</v>
      </c>
      <c r="R3221">
        <v>-0.1050093</v>
      </c>
      <c r="S3221">
        <v>-3.0185240000000002</v>
      </c>
      <c r="T3221">
        <v>-0.161990299999999</v>
      </c>
      <c r="U3221">
        <v>5.2795409999999996E-3</v>
      </c>
      <c r="V3221">
        <v>-0.106444</v>
      </c>
      <c r="W3221">
        <v>2.304523E-2</v>
      </c>
      <c r="X3221">
        <v>0.99405160000000004</v>
      </c>
      <c r="Y3221">
        <v>2.8627490000000003E-4</v>
      </c>
      <c r="Z3221" s="1">
        <v>-4.7491680000000003E-5</v>
      </c>
      <c r="AA3221">
        <v>0.99999990000000005</v>
      </c>
      <c r="AB3221">
        <v>44</v>
      </c>
      <c r="AC3221">
        <v>-20.1325</v>
      </c>
      <c r="AD3221">
        <v>-1.10859403477699</v>
      </c>
      <c r="AE3221">
        <v>3.5099999999999902E-2</v>
      </c>
      <c r="AF3221">
        <v>5.6216837572423501E-3</v>
      </c>
      <c r="AG3221">
        <v>-1.10859403477699</v>
      </c>
      <c r="AH3221">
        <v>20.071669822532701</v>
      </c>
      <c r="AI3221">
        <v>93.161335723547296</v>
      </c>
      <c r="AJ3221">
        <v>89.983952568596806</v>
      </c>
      <c r="AK3221">
        <v>20.10226210659</v>
      </c>
      <c r="AL3221">
        <v>88.679488676267496</v>
      </c>
      <c r="AM3221">
        <v>96.111997369737793</v>
      </c>
      <c r="AN3221">
        <v>0.99999999561215602</v>
      </c>
    </row>
    <row r="3222" spans="1:40" x14ac:dyDescent="0.25">
      <c r="A3222" t="str">
        <f>"20190305135652048"</f>
        <v>20190305135652048</v>
      </c>
      <c r="B3222" t="str">
        <f>"1551765412045187"</f>
        <v>1551765412045187</v>
      </c>
      <c r="C3222" t="s">
        <v>40</v>
      </c>
      <c r="D3222">
        <v>3.9822359999999999</v>
      </c>
      <c r="E3222">
        <v>0.53857670000000002</v>
      </c>
      <c r="F3222" t="s">
        <v>42</v>
      </c>
      <c r="G3222">
        <v>-344.13929999999999</v>
      </c>
      <c r="H3222" s="1">
        <v>-2.9009060000000002E-6</v>
      </c>
      <c r="I3222">
        <v>141.1362</v>
      </c>
      <c r="J3222">
        <v>-324.08569999999997</v>
      </c>
      <c r="K3222">
        <v>1.108633</v>
      </c>
      <c r="L3222">
        <v>141.13159999999999</v>
      </c>
      <c r="M3222">
        <v>-0.99989360000000005</v>
      </c>
      <c r="N3222">
        <v>-1.4507279999999999E-2</v>
      </c>
      <c r="O3222">
        <v>1.6093049999999999E-3</v>
      </c>
      <c r="P3222">
        <v>-0.99430439999999998</v>
      </c>
      <c r="Q3222">
        <v>8.8785289999999996E-3</v>
      </c>
      <c r="R3222">
        <v>-0.1062085</v>
      </c>
      <c r="S3222">
        <v>-3.0182799999999999</v>
      </c>
      <c r="T3222">
        <v>-0.16381289999999901</v>
      </c>
      <c r="U3222">
        <v>7.9345700000000002E-4</v>
      </c>
      <c r="V3222">
        <v>-0.1077902</v>
      </c>
      <c r="W3222">
        <v>2.338513E-2</v>
      </c>
      <c r="X3222">
        <v>0.99389859999999997</v>
      </c>
      <c r="Y3222">
        <v>-1.3428139999999999E-3</v>
      </c>
      <c r="Z3222">
        <v>-1.101059E-4</v>
      </c>
      <c r="AA3222">
        <v>0.99999910000000003</v>
      </c>
      <c r="AB3222">
        <v>44</v>
      </c>
      <c r="AC3222">
        <v>-20.053599999999999</v>
      </c>
      <c r="AD3222">
        <v>-1.1086359009060001</v>
      </c>
      <c r="AE3222">
        <v>4.6000000000105904E-3</v>
      </c>
      <c r="AF3222">
        <v>-2.7591429907632799E-2</v>
      </c>
      <c r="AG3222">
        <v>-1.1086359009060001</v>
      </c>
      <c r="AH3222">
        <v>19.992478814373602</v>
      </c>
      <c r="AI3222">
        <v>93.173949073562795</v>
      </c>
      <c r="AJ3222">
        <v>90.079073310290696</v>
      </c>
      <c r="AK3222">
        <v>20.023212629120199</v>
      </c>
      <c r="AL3222">
        <v>88.660008608927797</v>
      </c>
      <c r="AM3222">
        <v>96.189645127263304</v>
      </c>
      <c r="AN3222">
        <v>1.00000000930155</v>
      </c>
    </row>
    <row r="3223" spans="1:40" x14ac:dyDescent="0.25">
      <c r="A3223" t="str">
        <f>"20190305135652071"</f>
        <v>20190305135652071</v>
      </c>
      <c r="B3223" t="str">
        <f>"1551765412065684"</f>
        <v>1551765412065684</v>
      </c>
      <c r="C3223" t="s">
        <v>40</v>
      </c>
      <c r="D3223">
        <v>4.0285830000000002</v>
      </c>
      <c r="E3223">
        <v>0.53844479999999995</v>
      </c>
      <c r="F3223" t="s">
        <v>42</v>
      </c>
      <c r="G3223">
        <v>-344.70010000000002</v>
      </c>
      <c r="H3223" s="1">
        <v>-2.651955E-6</v>
      </c>
      <c r="I3223">
        <v>141.10470000000001</v>
      </c>
      <c r="J3223">
        <v>-324.52569999999997</v>
      </c>
      <c r="K3223">
        <v>1.1086879999999999</v>
      </c>
      <c r="L3223">
        <v>141.13239999999999</v>
      </c>
      <c r="M3223">
        <v>-0.99989320000000004</v>
      </c>
      <c r="N3223">
        <v>-1.4504410000000001E-2</v>
      </c>
      <c r="O3223">
        <v>1.737997E-3</v>
      </c>
      <c r="P3223">
        <v>-0.99425960000000002</v>
      </c>
      <c r="Q3223">
        <v>9.1208910000000008E-3</v>
      </c>
      <c r="R3223">
        <v>-0.1066054</v>
      </c>
      <c r="S3223">
        <v>-3.0181879999999999</v>
      </c>
      <c r="T3223">
        <v>-0.16231699999999999</v>
      </c>
      <c r="U3223">
        <v>-3.9215090000000001E-3</v>
      </c>
      <c r="V3223">
        <v>-0.108318</v>
      </c>
      <c r="W3223">
        <v>2.3611090000000001E-2</v>
      </c>
      <c r="X3223">
        <v>0.99383589999999999</v>
      </c>
      <c r="Y3223">
        <v>-3.0305660000000002E-3</v>
      </c>
      <c r="Z3223">
        <v>-1.716368E-4</v>
      </c>
      <c r="AA3223">
        <v>0.99999539999999998</v>
      </c>
      <c r="AB3223">
        <v>44</v>
      </c>
      <c r="AC3223">
        <v>-20.174399999999999</v>
      </c>
      <c r="AD3223">
        <v>-1.1086906519549999</v>
      </c>
      <c r="AE3223">
        <v>-2.76999999999816E-2</v>
      </c>
      <c r="AF3223">
        <v>-6.2577707201311297E-2</v>
      </c>
      <c r="AG3223">
        <v>-1.1086906519549999</v>
      </c>
      <c r="AH3223">
        <v>20.113576730361601</v>
      </c>
      <c r="AI3223">
        <v>93.155021632240206</v>
      </c>
      <c r="AJ3223">
        <v>90.178259043319301</v>
      </c>
      <c r="AK3223">
        <v>20.1442071032671</v>
      </c>
      <c r="AL3223">
        <v>88.647058512887796</v>
      </c>
      <c r="AM3223">
        <v>96.2201053788731</v>
      </c>
      <c r="AN3223">
        <v>1.00000003441189</v>
      </c>
    </row>
    <row r="3224" spans="1:40" x14ac:dyDescent="0.25">
      <c r="A3224" t="str">
        <f>"20190305135652093"</f>
        <v>20190305135652093</v>
      </c>
      <c r="B3224" t="str">
        <f>"1551765412086179"</f>
        <v>1551765412086179</v>
      </c>
      <c r="C3224" t="s">
        <v>40</v>
      </c>
      <c r="D3224">
        <v>4.0136789999999998</v>
      </c>
      <c r="E3224">
        <v>0.53824830000000001</v>
      </c>
      <c r="F3224" t="s">
        <v>42</v>
      </c>
      <c r="G3224">
        <v>-345.28050000000002</v>
      </c>
      <c r="H3224" s="1">
        <v>-2.398778E-6</v>
      </c>
      <c r="I3224">
        <v>141.0889</v>
      </c>
      <c r="J3224">
        <v>-324.9581</v>
      </c>
      <c r="K3224">
        <v>1.108746</v>
      </c>
      <c r="L3224">
        <v>141.13319999999999</v>
      </c>
      <c r="M3224">
        <v>-0.99989320000000004</v>
      </c>
      <c r="N3224">
        <v>-1.450163E-2</v>
      </c>
      <c r="O3224">
        <v>1.8212549999999999E-3</v>
      </c>
      <c r="P3224">
        <v>-0.99422049999999995</v>
      </c>
      <c r="Q3224">
        <v>9.8821670000000007E-3</v>
      </c>
      <c r="R3224">
        <v>-0.1069031</v>
      </c>
      <c r="S3224">
        <v>-3.0181269999999998</v>
      </c>
      <c r="T3224">
        <v>-0.16122449999999999</v>
      </c>
      <c r="U3224">
        <v>-6.3171390000000003E-3</v>
      </c>
      <c r="V3224">
        <v>-0.1087004</v>
      </c>
      <c r="W3224">
        <v>2.4356650000000001E-2</v>
      </c>
      <c r="X3224">
        <v>0.99377610000000005</v>
      </c>
      <c r="Y3224">
        <v>-3.906039E-3</v>
      </c>
      <c r="Z3224">
        <v>-2.0342329999999999E-4</v>
      </c>
      <c r="AA3224">
        <v>0.9999924</v>
      </c>
      <c r="AB3224">
        <v>44</v>
      </c>
      <c r="AC3224">
        <v>-20.322399999999998</v>
      </c>
      <c r="AD3224">
        <v>-1.108748398778</v>
      </c>
      <c r="AE3224">
        <v>-4.4299999999992602E-2</v>
      </c>
      <c r="AF3224">
        <v>-8.1074767524804303E-2</v>
      </c>
      <c r="AG3224">
        <v>-1.108748398778</v>
      </c>
      <c r="AH3224">
        <v>20.2619747099635</v>
      </c>
      <c r="AI3224">
        <v>93.132113448968298</v>
      </c>
      <c r="AJ3224">
        <v>90.229257872436094</v>
      </c>
      <c r="AK3224">
        <v>20.292449711085201</v>
      </c>
      <c r="AL3224">
        <v>88.604328704845202</v>
      </c>
      <c r="AM3224">
        <v>96.242264108318807</v>
      </c>
      <c r="AN3224">
        <v>0.99999998014529601</v>
      </c>
    </row>
    <row r="3225" spans="1:40" x14ac:dyDescent="0.25">
      <c r="A3225" t="str">
        <f>"20190305135652114"</f>
        <v>20190305135652114</v>
      </c>
      <c r="B3225" t="str">
        <f>"1551765412105699"</f>
        <v>1551765412105699</v>
      </c>
      <c r="C3225" t="s">
        <v>40</v>
      </c>
      <c r="D3225">
        <v>3.9519630000000001</v>
      </c>
      <c r="E3225">
        <v>0.53824469999999902</v>
      </c>
      <c r="F3225" t="s">
        <v>42</v>
      </c>
      <c r="G3225">
        <v>-346.05560000000003</v>
      </c>
      <c r="H3225" s="1">
        <v>-2.061804E-6</v>
      </c>
      <c r="I3225">
        <v>141.07210000000001</v>
      </c>
      <c r="J3225">
        <v>-325.3972</v>
      </c>
      <c r="K3225">
        <v>1.108798</v>
      </c>
      <c r="L3225">
        <v>141.13409999999999</v>
      </c>
      <c r="M3225">
        <v>-0.99989320000000004</v>
      </c>
      <c r="N3225">
        <v>-1.4498830000000001E-2</v>
      </c>
      <c r="O3225">
        <v>1.8744409999999999E-3</v>
      </c>
      <c r="P3225">
        <v>-0.99424250000000003</v>
      </c>
      <c r="Q3225">
        <v>1.0122519999999999E-2</v>
      </c>
      <c r="R3225">
        <v>-0.10667600000000001</v>
      </c>
      <c r="S3225">
        <v>-3.018097</v>
      </c>
      <c r="T3225">
        <v>-0.15861229999999901</v>
      </c>
      <c r="U3225">
        <v>-8.7280269999999993E-3</v>
      </c>
      <c r="V3225">
        <v>-0.10852870000000001</v>
      </c>
      <c r="W3225">
        <v>2.4583549999999999E-2</v>
      </c>
      <c r="X3225">
        <v>0.99378929999999999</v>
      </c>
      <c r="Y3225">
        <v>-4.7567759999999999E-3</v>
      </c>
      <c r="Z3225">
        <v>-2.306985E-4</v>
      </c>
      <c r="AA3225">
        <v>0.99998869999999895</v>
      </c>
      <c r="AB3225">
        <v>44</v>
      </c>
      <c r="AC3225">
        <v>-20.6584</v>
      </c>
      <c r="AD3225">
        <v>-1.1088000618039999</v>
      </c>
      <c r="AE3225">
        <v>-6.1999999999983402E-2</v>
      </c>
      <c r="AF3225">
        <v>-0.100437573055196</v>
      </c>
      <c r="AG3225">
        <v>-1.1088000618039999</v>
      </c>
      <c r="AH3225">
        <v>20.5989066756078</v>
      </c>
      <c r="AI3225">
        <v>93.081112998330397</v>
      </c>
      <c r="AJ3225">
        <v>90.279364508418098</v>
      </c>
      <c r="AK3225">
        <v>20.628971896668499</v>
      </c>
      <c r="AL3225">
        <v>88.591324427906997</v>
      </c>
      <c r="AM3225">
        <v>96.232399534040795</v>
      </c>
      <c r="AN3225">
        <v>1.0000000012243899</v>
      </c>
    </row>
    <row r="3226" spans="1:40" x14ac:dyDescent="0.25">
      <c r="A3226" t="str">
        <f>"20190305135652135"</f>
        <v>20190305135652135</v>
      </c>
      <c r="B3226" t="str">
        <f>"1551765412125219"</f>
        <v>1551765412125219</v>
      </c>
      <c r="C3226" t="s">
        <v>40</v>
      </c>
      <c r="D3226">
        <v>3.9979230000000001</v>
      </c>
      <c r="E3226">
        <v>0.55893649999999995</v>
      </c>
      <c r="F3226" t="s">
        <v>42</v>
      </c>
      <c r="G3226">
        <v>-346.8938</v>
      </c>
      <c r="H3226" s="1">
        <v>-1.7033160000000001E-6</v>
      </c>
      <c r="I3226">
        <v>141.0762</v>
      </c>
      <c r="J3226">
        <v>-325.80119999999999</v>
      </c>
      <c r="K3226">
        <v>1.1088279999999999</v>
      </c>
      <c r="L3226">
        <v>141.13489999999999</v>
      </c>
      <c r="M3226">
        <v>-0.99989320000000004</v>
      </c>
      <c r="N3226">
        <v>-1.4496230000000001E-2</v>
      </c>
      <c r="O3226">
        <v>1.900664E-3</v>
      </c>
      <c r="P3226">
        <v>-0.99432799999999999</v>
      </c>
      <c r="Q3226">
        <v>1.0370610000000001E-2</v>
      </c>
      <c r="R3226">
        <v>-0.105852</v>
      </c>
      <c r="S3226">
        <v>-3.018097</v>
      </c>
      <c r="T3226">
        <v>-0.1556749</v>
      </c>
      <c r="U3226">
        <v>-8.1176759999999903E-3</v>
      </c>
      <c r="V3226">
        <v>-0.10773239999999901</v>
      </c>
      <c r="W3226">
        <v>2.482094E-2</v>
      </c>
      <c r="X3226">
        <v>0.99387000000000003</v>
      </c>
      <c r="Y3226">
        <v>-4.5813989999999999E-3</v>
      </c>
      <c r="Z3226">
        <v>-2.2174449999999999E-4</v>
      </c>
      <c r="AA3226">
        <v>0.99998949999999998</v>
      </c>
      <c r="AB3226">
        <v>44</v>
      </c>
      <c r="AC3226">
        <v>-21.092600000000001</v>
      </c>
      <c r="AD3226">
        <v>-1.1088297033159999</v>
      </c>
      <c r="AE3226">
        <v>-5.8699999999987498E-2</v>
      </c>
      <c r="AF3226">
        <v>-9.8521779964488798E-2</v>
      </c>
      <c r="AG3226">
        <v>-1.1088297033159999</v>
      </c>
      <c r="AH3226">
        <v>21.034321077932599</v>
      </c>
      <c r="AI3226">
        <v>93.017535767505706</v>
      </c>
      <c r="AJ3226">
        <v>90.268363351570699</v>
      </c>
      <c r="AK3226">
        <v>21.063757334854699</v>
      </c>
      <c r="AL3226">
        <v>88.577718776689096</v>
      </c>
      <c r="AM3226">
        <v>96.186528456257093</v>
      </c>
      <c r="AN3226">
        <v>0.99999996298612104</v>
      </c>
    </row>
    <row r="3227" spans="1:40" x14ac:dyDescent="0.25">
      <c r="A3227" t="str">
        <f>"20190305135652158"</f>
        <v>20190305135652158</v>
      </c>
      <c r="B3227" t="str">
        <f>"1551765412155476"</f>
        <v>1551765412155476</v>
      </c>
      <c r="C3227" t="s">
        <v>40</v>
      </c>
      <c r="D3227">
        <v>4.0044769999999996</v>
      </c>
      <c r="E3227">
        <v>0.5668356</v>
      </c>
      <c r="F3227" t="s">
        <v>42</v>
      </c>
      <c r="G3227">
        <v>-356.36759999999998</v>
      </c>
      <c r="H3227" s="1">
        <v>-2.3642780000000002E-6</v>
      </c>
      <c r="I3227">
        <v>142.71199999999999</v>
      </c>
      <c r="J3227">
        <v>-326.24360000000001</v>
      </c>
      <c r="K3227">
        <v>1.1088629999999999</v>
      </c>
      <c r="L3227">
        <v>141.13570000000001</v>
      </c>
      <c r="M3227">
        <v>-0.99989320000000004</v>
      </c>
      <c r="N3227">
        <v>-1.4493489999999999E-2</v>
      </c>
      <c r="O3227">
        <v>1.9008230000000001E-3</v>
      </c>
      <c r="P3227">
        <v>-0.99443190000000004</v>
      </c>
      <c r="Q3227">
        <v>1.020833E-2</v>
      </c>
      <c r="R3227">
        <v>-0.1048863</v>
      </c>
      <c r="S3227">
        <v>-3.0349430000000002</v>
      </c>
      <c r="T3227">
        <v>-0.110096</v>
      </c>
      <c r="U3227">
        <v>0.15660099999999999</v>
      </c>
      <c r="V3227">
        <v>-0.1067694</v>
      </c>
      <c r="W3227">
        <v>2.4648380000000001E-2</v>
      </c>
      <c r="X3227">
        <v>0.99397829999999998</v>
      </c>
      <c r="Y3227">
        <v>4.9587060000000002E-2</v>
      </c>
      <c r="Z3227">
        <v>1.2169310000000001E-3</v>
      </c>
      <c r="AA3227">
        <v>0.99876900000000002</v>
      </c>
      <c r="AB3227">
        <v>44</v>
      </c>
      <c r="AC3227">
        <v>-30.123999999999899</v>
      </c>
      <c r="AD3227">
        <v>-1.108865364278</v>
      </c>
      <c r="AE3227">
        <v>1.5763</v>
      </c>
      <c r="AF3227">
        <v>1.51698088357898</v>
      </c>
      <c r="AG3227">
        <v>-1.108865364278</v>
      </c>
      <c r="AH3227">
        <v>30.086287199579001</v>
      </c>
      <c r="AI3227">
        <v>92.108072166869405</v>
      </c>
      <c r="AJ3227">
        <v>87.113533537148996</v>
      </c>
      <c r="AK3227">
        <v>30.144908207735401</v>
      </c>
      <c r="AL3227">
        <v>88.587608891380498</v>
      </c>
      <c r="AM3227">
        <v>96.130988366825505</v>
      </c>
      <c r="AN3227">
        <v>1.0000000541419301</v>
      </c>
    </row>
    <row r="3228" spans="1:40" x14ac:dyDescent="0.25">
      <c r="A3228" t="str">
        <f>"20190305135652180"</f>
        <v>20190305135652180</v>
      </c>
      <c r="B3228" t="str">
        <f>"1551765412175972"</f>
        <v>1551765412175972</v>
      </c>
      <c r="C3228" t="s">
        <v>40</v>
      </c>
      <c r="D3228">
        <v>3.9664929999999998</v>
      </c>
      <c r="E3228">
        <v>0.56747700000000001</v>
      </c>
      <c r="F3228" t="s">
        <v>42</v>
      </c>
      <c r="G3228">
        <v>-347.22160000000002</v>
      </c>
      <c r="H3228" s="1">
        <v>-1.9905869999999999E-6</v>
      </c>
      <c r="I3228">
        <v>142.68440000000001</v>
      </c>
      <c r="J3228">
        <v>-326.68099999999998</v>
      </c>
      <c r="K3228">
        <v>1.1088960000000001</v>
      </c>
      <c r="L3228">
        <v>141.13659999999999</v>
      </c>
      <c r="M3228">
        <v>-0.99989340000000004</v>
      </c>
      <c r="N3228">
        <v>-1.4490940000000001E-2</v>
      </c>
      <c r="O3228">
        <v>1.866174E-3</v>
      </c>
      <c r="P3228">
        <v>-0.99453979999999997</v>
      </c>
      <c r="Q3228">
        <v>9.633951E-3</v>
      </c>
      <c r="R3228">
        <v>-0.10391359999999999</v>
      </c>
      <c r="S3228">
        <v>-3.0421450000000001</v>
      </c>
      <c r="T3228">
        <v>-0.160803799999999</v>
      </c>
      <c r="U3228">
        <v>0.22459409999999999</v>
      </c>
      <c r="V3228">
        <v>-0.1057651</v>
      </c>
      <c r="W3228">
        <v>2.4063480000000002E-2</v>
      </c>
      <c r="X3228">
        <v>0.99409999999999998</v>
      </c>
      <c r="Y3228">
        <v>7.1640220000000004E-2</v>
      </c>
      <c r="Z3228">
        <v>2.3383309999999999E-3</v>
      </c>
      <c r="AA3228">
        <v>0.99742779999999998</v>
      </c>
      <c r="AB3228">
        <v>44</v>
      </c>
      <c r="AC3228">
        <v>-20.540600000000001</v>
      </c>
      <c r="AD3228">
        <v>-1.10889799058699</v>
      </c>
      <c r="AE3228">
        <v>1.54780000000002</v>
      </c>
      <c r="AF3228">
        <v>1.50509917762888</v>
      </c>
      <c r="AG3228">
        <v>-1.10889799058699</v>
      </c>
      <c r="AH3228">
        <v>20.484090158140798</v>
      </c>
      <c r="AI3228">
        <v>93.090344807218997</v>
      </c>
      <c r="AJ3228">
        <v>85.797658530963801</v>
      </c>
      <c r="AK3228">
        <v>20.569222831572102</v>
      </c>
      <c r="AL3228">
        <v>88.621131142162596</v>
      </c>
      <c r="AM3228">
        <v>96.073013825609806</v>
      </c>
      <c r="AN3228">
        <v>1.00000005872385</v>
      </c>
    </row>
    <row r="3229" spans="1:40" x14ac:dyDescent="0.25">
      <c r="A3229" t="str">
        <f>"20190305135652204"</f>
        <v>20190305135652204</v>
      </c>
      <c r="B3229" t="str">
        <f>"1551765412195494"</f>
        <v>1551765412195494</v>
      </c>
      <c r="C3229" t="s">
        <v>40</v>
      </c>
      <c r="D3229">
        <v>3.9875889999999998</v>
      </c>
      <c r="E3229">
        <v>0.56825890000000001</v>
      </c>
      <c r="F3229" t="s">
        <v>42</v>
      </c>
      <c r="G3229">
        <v>-346.60539999999997</v>
      </c>
      <c r="H3229" s="1">
        <v>-2.2490180000000001E-6</v>
      </c>
      <c r="I3229">
        <v>142.66220000000001</v>
      </c>
      <c r="J3229">
        <v>-327.13409999999999</v>
      </c>
      <c r="K3229">
        <v>1.108935</v>
      </c>
      <c r="L3229">
        <v>141.13740000000001</v>
      </c>
      <c r="M3229">
        <v>-0.99989349999999999</v>
      </c>
      <c r="N3229">
        <v>-1.4488279999999999E-2</v>
      </c>
      <c r="O3229">
        <v>1.7913390000000001E-3</v>
      </c>
      <c r="P3229">
        <v>-0.9945735</v>
      </c>
      <c r="Q3229">
        <v>9.212095E-3</v>
      </c>
      <c r="R3229">
        <v>-0.1036271</v>
      </c>
      <c r="S3229">
        <v>-3.0424799999999999</v>
      </c>
      <c r="T3229">
        <v>-0.1693307</v>
      </c>
      <c r="U3229">
        <v>0.23297119999999999</v>
      </c>
      <c r="V3229">
        <v>-0.105406399999999</v>
      </c>
      <c r="W3229">
        <v>2.3628239999999998E-2</v>
      </c>
      <c r="X3229">
        <v>0.99414849999999999</v>
      </c>
      <c r="Y3229">
        <v>7.4419860000000004E-2</v>
      </c>
      <c r="Z3229">
        <v>2.5331939999999999E-3</v>
      </c>
      <c r="AA3229">
        <v>0.99722379999999999</v>
      </c>
      <c r="AB3229">
        <v>43</v>
      </c>
      <c r="AC3229">
        <v>-19.4712999999999</v>
      </c>
      <c r="AD3229">
        <v>-1.1089372490180001</v>
      </c>
      <c r="AE3229">
        <v>1.5247999999999899</v>
      </c>
      <c r="AF3229">
        <v>1.48512643555341</v>
      </c>
      <c r="AG3229">
        <v>-1.1089372490180001</v>
      </c>
      <c r="AH3229">
        <v>19.411421817716398</v>
      </c>
      <c r="AI3229">
        <v>93.260137015421193</v>
      </c>
      <c r="AJ3229">
        <v>85.624945357587507</v>
      </c>
      <c r="AK3229">
        <v>19.499708698776899</v>
      </c>
      <c r="AL3229">
        <v>88.646075598564806</v>
      </c>
      <c r="AM3229">
        <v>96.052277390394806</v>
      </c>
      <c r="AN3229">
        <v>1.0000000214693501</v>
      </c>
    </row>
    <row r="3230" spans="1:40" x14ac:dyDescent="0.25">
      <c r="A3230" t="str">
        <f>"20190305135652225"</f>
        <v>20190305135652225</v>
      </c>
      <c r="B3230" t="str">
        <f>"1551765412215991"</f>
        <v>1551765412215991</v>
      </c>
      <c r="C3230" t="s">
        <v>40</v>
      </c>
      <c r="D3230">
        <v>4.0080589999999896</v>
      </c>
      <c r="E3230">
        <v>0.56890669999999899</v>
      </c>
      <c r="F3230" t="s">
        <v>42</v>
      </c>
      <c r="G3230">
        <v>-348.03699999999998</v>
      </c>
      <c r="H3230" s="1">
        <v>-1.6676890000000001E-6</v>
      </c>
      <c r="I3230">
        <v>142.78550000000001</v>
      </c>
      <c r="J3230">
        <v>-327.54489999999998</v>
      </c>
      <c r="K3230">
        <v>1.108978</v>
      </c>
      <c r="L3230">
        <v>141.13810000000001</v>
      </c>
      <c r="M3230">
        <v>-0.99989380000000005</v>
      </c>
      <c r="N3230">
        <v>-1.4485919999999999E-2</v>
      </c>
      <c r="O3230">
        <v>1.689695E-3</v>
      </c>
      <c r="P3230">
        <v>-0.99464079999999999</v>
      </c>
      <c r="Q3230">
        <v>9.2300920000000005E-3</v>
      </c>
      <c r="R3230">
        <v>-0.1029808</v>
      </c>
      <c r="S3230">
        <v>-3.0428470000000001</v>
      </c>
      <c r="T3230">
        <v>-0.16142879999999901</v>
      </c>
      <c r="U3230">
        <v>0.23992920000000001</v>
      </c>
      <c r="V3230">
        <v>-0.10466159999999999</v>
      </c>
      <c r="W3230">
        <v>2.3633970000000001E-2</v>
      </c>
      <c r="X3230">
        <v>0.99422710000000003</v>
      </c>
      <c r="Y3230">
        <v>7.6785969999999995E-2</v>
      </c>
      <c r="Z3230">
        <v>2.5247759999999998E-3</v>
      </c>
      <c r="AA3230">
        <v>0.99704440000000005</v>
      </c>
      <c r="AB3230">
        <v>43</v>
      </c>
      <c r="AC3230">
        <v>-20.492099999999901</v>
      </c>
      <c r="AD3230">
        <v>-1.108979667689</v>
      </c>
      <c r="AE3230">
        <v>1.6474</v>
      </c>
      <c r="AF3230">
        <v>1.6080892588697</v>
      </c>
      <c r="AG3230">
        <v>-1.108979667689</v>
      </c>
      <c r="AH3230">
        <v>20.435389911982099</v>
      </c>
      <c r="AI3230">
        <v>93.096703442713107</v>
      </c>
      <c r="AJ3230">
        <v>85.500587412286507</v>
      </c>
      <c r="AK3230">
        <v>20.528539836592799</v>
      </c>
      <c r="AL3230">
        <v>88.645747268750796</v>
      </c>
      <c r="AM3230">
        <v>96.009354538422798</v>
      </c>
      <c r="AN3230">
        <v>1.00000007071346</v>
      </c>
    </row>
    <row r="3231" spans="1:40" x14ac:dyDescent="0.25">
      <c r="A3231" t="str">
        <f>"20190305135652249"</f>
        <v>20190305135652249</v>
      </c>
      <c r="B3231" t="str">
        <f>"1551765412245268"</f>
        <v>1551765412245268</v>
      </c>
      <c r="C3231" t="s">
        <v>40</v>
      </c>
      <c r="D3231">
        <v>4.0142730000000002</v>
      </c>
      <c r="E3231">
        <v>0.56937649999999995</v>
      </c>
      <c r="F3231" t="s">
        <v>42</v>
      </c>
      <c r="G3231">
        <v>-348.32639999999998</v>
      </c>
      <c r="H3231" s="1">
        <v>-1.554103E-6</v>
      </c>
      <c r="I3231">
        <v>142.8252</v>
      </c>
      <c r="J3231">
        <v>-327.98680000000002</v>
      </c>
      <c r="K3231">
        <v>1.109019</v>
      </c>
      <c r="L3231">
        <v>141.1387</v>
      </c>
      <c r="M3231">
        <v>-0.99989399999999995</v>
      </c>
      <c r="N3231">
        <v>-1.4483380000000001E-2</v>
      </c>
      <c r="O3231">
        <v>1.5521389999999999E-3</v>
      </c>
      <c r="P3231">
        <v>-0.99461659999999996</v>
      </c>
      <c r="Q3231">
        <v>8.6430680000000003E-3</v>
      </c>
      <c r="R3231">
        <v>-0.1032628</v>
      </c>
      <c r="S3231">
        <v>-3.0432739999999998</v>
      </c>
      <c r="T3231">
        <v>-0.16240070000000001</v>
      </c>
      <c r="U3231">
        <v>0.24708559999999999</v>
      </c>
      <c r="V3231">
        <v>-0.1048095</v>
      </c>
      <c r="W3231">
        <v>2.3033310000000001E-2</v>
      </c>
      <c r="X3231">
        <v>0.99422560000000004</v>
      </c>
      <c r="Y3231">
        <v>7.9235669999999994E-2</v>
      </c>
      <c r="Z3231">
        <v>2.6242829999999998E-3</v>
      </c>
      <c r="AA3231">
        <v>0.99685250000000003</v>
      </c>
      <c r="AB3231">
        <v>43</v>
      </c>
      <c r="AC3231">
        <v>-20.339599999999901</v>
      </c>
      <c r="AD3231">
        <v>-1.109020554103</v>
      </c>
      <c r="AE3231">
        <v>1.6864999999999899</v>
      </c>
      <c r="AF3231">
        <v>1.6500526692750499</v>
      </c>
      <c r="AG3231">
        <v>-1.109020554103</v>
      </c>
      <c r="AH3231">
        <v>20.282305970547199</v>
      </c>
      <c r="AI3231">
        <v>93.119485829483096</v>
      </c>
      <c r="AJ3231">
        <v>85.348985246007999</v>
      </c>
      <c r="AK3231">
        <v>20.3795126507897</v>
      </c>
      <c r="AL3231">
        <v>88.680171900606297</v>
      </c>
      <c r="AM3231">
        <v>96.017793253666696</v>
      </c>
      <c r="AN3231">
        <v>1.00000005417758</v>
      </c>
    </row>
    <row r="3232" spans="1:40" x14ac:dyDescent="0.25">
      <c r="A3232" t="str">
        <f>"20190305135652271"</f>
        <v>20190305135652271</v>
      </c>
      <c r="B3232" t="str">
        <f>"1551765412265764"</f>
        <v>1551765412265764</v>
      </c>
      <c r="C3232" t="s">
        <v>40</v>
      </c>
      <c r="D3232">
        <v>4.0061809999999998</v>
      </c>
      <c r="E3232">
        <v>0.5694401</v>
      </c>
      <c r="F3232" t="s">
        <v>42</v>
      </c>
      <c r="G3232">
        <v>-348.17520000000002</v>
      </c>
      <c r="H3232" s="1">
        <v>-1.6118139999999999E-6</v>
      </c>
      <c r="I3232">
        <v>142.79839999999999</v>
      </c>
      <c r="J3232">
        <v>-328.42149999999998</v>
      </c>
      <c r="K3232">
        <v>1.109062</v>
      </c>
      <c r="L3232">
        <v>141.13929999999999</v>
      </c>
      <c r="M3232">
        <v>-0.99989430000000001</v>
      </c>
      <c r="N3232">
        <v>-1.448084E-2</v>
      </c>
      <c r="O3232">
        <v>1.390809E-3</v>
      </c>
      <c r="P3232">
        <v>-0.99457260000000003</v>
      </c>
      <c r="Q3232">
        <v>8.7504680000000008E-3</v>
      </c>
      <c r="R3232">
        <v>-0.1036763</v>
      </c>
      <c r="S3232">
        <v>-3.0436399999999999</v>
      </c>
      <c r="T3232">
        <v>-0.16719790000000001</v>
      </c>
      <c r="U3232">
        <v>0.25022889999999998</v>
      </c>
      <c r="V3232">
        <v>-0.1050644</v>
      </c>
      <c r="W3232">
        <v>2.3128180000000002E-2</v>
      </c>
      <c r="X3232">
        <v>0.99419639999999998</v>
      </c>
      <c r="Y3232">
        <v>8.0399650000000003E-2</v>
      </c>
      <c r="Z3232">
        <v>2.7305189999999998E-3</v>
      </c>
      <c r="AA3232">
        <v>0.9967589</v>
      </c>
      <c r="AB3232">
        <v>43</v>
      </c>
      <c r="AC3232">
        <v>-19.753699999999998</v>
      </c>
      <c r="AD3232">
        <v>-1.109063611814</v>
      </c>
      <c r="AE3232">
        <v>1.65909999999999</v>
      </c>
      <c r="AF3232">
        <v>1.6265306320969499</v>
      </c>
      <c r="AG3232">
        <v>-1.109063611814</v>
      </c>
      <c r="AH3232">
        <v>19.694342659831101</v>
      </c>
      <c r="AI3232">
        <v>93.212226309302395</v>
      </c>
      <c r="AJ3232">
        <v>85.278729652175599</v>
      </c>
      <c r="AK3232">
        <v>19.792492435139199</v>
      </c>
      <c r="AL3232">
        <v>88.674734678786507</v>
      </c>
      <c r="AM3232">
        <v>96.032496797514995</v>
      </c>
      <c r="AN3232">
        <v>0.99999996131521496</v>
      </c>
    </row>
    <row r="3233" spans="1:40" x14ac:dyDescent="0.25">
      <c r="A3233" t="str">
        <f>"20190305135652293"</f>
        <v>20190305135652293</v>
      </c>
      <c r="B3233" t="str">
        <f>"1551765412285284"</f>
        <v>1551765412285284</v>
      </c>
      <c r="C3233" t="s">
        <v>40</v>
      </c>
      <c r="D3233">
        <v>3.926167</v>
      </c>
      <c r="E3233">
        <v>0.56949729999999998</v>
      </c>
      <c r="F3233" t="s">
        <v>41</v>
      </c>
      <c r="G3233">
        <v>-329.52280000000002</v>
      </c>
      <c r="H3233">
        <v>1.0481819999999999</v>
      </c>
      <c r="I3233">
        <v>141.2295</v>
      </c>
      <c r="J3233">
        <v>-328.84930000000003</v>
      </c>
      <c r="K3233">
        <v>1.1090949999999999</v>
      </c>
      <c r="L3233">
        <v>141.1397</v>
      </c>
      <c r="M3233">
        <v>-0.99989439999999996</v>
      </c>
      <c r="N3233">
        <v>-1.447828E-2</v>
      </c>
      <c r="O3233">
        <v>1.2120480000000001E-3</v>
      </c>
      <c r="P3233">
        <v>-0.99450249999999996</v>
      </c>
      <c r="Q3233">
        <v>9.3253109999999993E-3</v>
      </c>
      <c r="R3233">
        <v>-0.1042983</v>
      </c>
      <c r="S3233">
        <v>-3.0438540000000001</v>
      </c>
      <c r="T3233">
        <v>-0.16825960000000001</v>
      </c>
      <c r="U3233">
        <v>0.24946589999999999</v>
      </c>
      <c r="V3233">
        <v>-0.10551000000000001</v>
      </c>
      <c r="W3233">
        <v>2.3692120000000001E-2</v>
      </c>
      <c r="X3233">
        <v>0.99413600000000002</v>
      </c>
      <c r="Y3233">
        <v>8.0322279999999996E-2</v>
      </c>
      <c r="Z3233">
        <v>2.7483490000000002E-3</v>
      </c>
      <c r="AA3233">
        <v>0.99676509999999996</v>
      </c>
      <c r="AB3233">
        <v>43</v>
      </c>
      <c r="AC3233">
        <v>-0.67349999999999</v>
      </c>
      <c r="AD3233">
        <v>-6.0913000000000203E-2</v>
      </c>
      <c r="AE3233">
        <v>8.9799999999996702E-2</v>
      </c>
      <c r="AF3233">
        <v>8.8274078832580802E-2</v>
      </c>
      <c r="AG3233">
        <v>-6.0913000000000203E-2</v>
      </c>
      <c r="AH3233">
        <v>0.66823775829036303</v>
      </c>
      <c r="AI3233">
        <v>95.163770269382098</v>
      </c>
      <c r="AJ3233">
        <v>82.474809166550102</v>
      </c>
      <c r="AK3233">
        <v>0.67678978137060497</v>
      </c>
      <c r="AL3233">
        <v>88.642414533079602</v>
      </c>
      <c r="AM3233">
        <v>96.058257338641098</v>
      </c>
      <c r="AN3233">
        <v>1.00000003157304</v>
      </c>
    </row>
    <row r="3234" spans="1:40" x14ac:dyDescent="0.25">
      <c r="A3234" t="str">
        <f>"20190305135652315"</f>
        <v>20190305135652315</v>
      </c>
      <c r="B3234" t="str">
        <f>"1551765412305783"</f>
        <v>1551765412305783</v>
      </c>
      <c r="C3234" t="s">
        <v>40</v>
      </c>
      <c r="D3234">
        <v>3.9714610000000001</v>
      </c>
      <c r="E3234">
        <v>0.56964359999999903</v>
      </c>
      <c r="F3234" t="s">
        <v>41</v>
      </c>
      <c r="G3234">
        <v>-329.91140000000001</v>
      </c>
      <c r="H3234">
        <v>1.050387</v>
      </c>
      <c r="I3234">
        <v>141.22630000000001</v>
      </c>
      <c r="J3234">
        <v>-329.2851</v>
      </c>
      <c r="K3234">
        <v>1.1091219999999999</v>
      </c>
      <c r="L3234">
        <v>141.14009999999999</v>
      </c>
      <c r="M3234">
        <v>-0.99989490000000003</v>
      </c>
      <c r="N3234">
        <v>-1.4475460000000001E-2</v>
      </c>
      <c r="O3234">
        <v>1.0159349999999999E-3</v>
      </c>
      <c r="P3234">
        <v>-0.99440740000000005</v>
      </c>
      <c r="Q3234">
        <v>1.0452070000000001E-2</v>
      </c>
      <c r="R3234">
        <v>-0.1050965</v>
      </c>
      <c r="S3234">
        <v>-3.0441280000000002</v>
      </c>
      <c r="T3234">
        <v>-0.1683376</v>
      </c>
      <c r="U3234">
        <v>0.24781800000000001</v>
      </c>
      <c r="V3234">
        <v>-0.1061148</v>
      </c>
      <c r="W3234">
        <v>2.4809029999999999E-2</v>
      </c>
      <c r="X3234">
        <v>0.99404440000000005</v>
      </c>
      <c r="Y3234">
        <v>7.9974829999999997E-2</v>
      </c>
      <c r="Z3234">
        <v>2.7449480000000001E-3</v>
      </c>
      <c r="AA3234">
        <v>0.99679309999999999</v>
      </c>
      <c r="AB3234">
        <v>43</v>
      </c>
      <c r="AC3234">
        <v>-0.62630000000001396</v>
      </c>
      <c r="AD3234">
        <v>-5.8734999999999697E-2</v>
      </c>
      <c r="AE3234">
        <v>8.6200000000019303E-2</v>
      </c>
      <c r="AF3234">
        <v>8.4831398550311299E-2</v>
      </c>
      <c r="AG3234">
        <v>-5.8734999999999697E-2</v>
      </c>
      <c r="AH3234">
        <v>0.62102695247652495</v>
      </c>
      <c r="AI3234">
        <v>95.353383270310005</v>
      </c>
      <c r="AJ3234">
        <v>82.221618979816199</v>
      </c>
      <c r="AK3234">
        <v>0.62954002422981903</v>
      </c>
      <c r="AL3234">
        <v>88.578401509003299</v>
      </c>
      <c r="AM3234">
        <v>96.093280978527105</v>
      </c>
      <c r="AN3234">
        <v>1.0000000539599601</v>
      </c>
    </row>
    <row r="3235" spans="1:40" x14ac:dyDescent="0.25">
      <c r="A3235" t="str">
        <f>"20190305135652336"</f>
        <v>20190305135652336</v>
      </c>
      <c r="B3235" t="str">
        <f>"1551765412325300"</f>
        <v>1551765412325300</v>
      </c>
      <c r="C3235" t="s">
        <v>40</v>
      </c>
      <c r="D3235">
        <v>4.0079099999999999</v>
      </c>
      <c r="E3235">
        <v>0.56977009999999995</v>
      </c>
      <c r="F3235" t="s">
        <v>42</v>
      </c>
      <c r="G3235">
        <v>-349.58159999999998</v>
      </c>
      <c r="H3235" s="1">
        <v>-1.0041780000000001E-6</v>
      </c>
      <c r="I3235">
        <v>142.78229999999999</v>
      </c>
      <c r="J3235">
        <v>-329.69720000000001</v>
      </c>
      <c r="K3235">
        <v>1.1091390000000001</v>
      </c>
      <c r="L3235">
        <v>141.1403</v>
      </c>
      <c r="M3235">
        <v>-0.99989499999999998</v>
      </c>
      <c r="N3235">
        <v>-1.4473E-2</v>
      </c>
      <c r="O3235">
        <v>8.2290379999999999E-4</v>
      </c>
      <c r="P3235">
        <v>-0.99431619999999998</v>
      </c>
      <c r="Q3235">
        <v>1.0163699999999999E-2</v>
      </c>
      <c r="R3235">
        <v>-0.1059829</v>
      </c>
      <c r="S3235">
        <v>-3.0446170000000001</v>
      </c>
      <c r="T3235">
        <v>-0.16637660000000001</v>
      </c>
      <c r="U3235">
        <v>0.24635309999999999</v>
      </c>
      <c r="V3235">
        <v>-0.1068105</v>
      </c>
      <c r="W3235">
        <v>2.4512519999999999E-2</v>
      </c>
      <c r="X3235">
        <v>0.99397720000000001</v>
      </c>
      <c r="Y3235">
        <v>7.9681459999999996E-2</v>
      </c>
      <c r="Z3235">
        <v>2.717129E-3</v>
      </c>
      <c r="AA3235">
        <v>0.9968167</v>
      </c>
      <c r="AB3235">
        <v>43</v>
      </c>
      <c r="AC3235">
        <v>-19.8843999999999</v>
      </c>
      <c r="AD3235">
        <v>-1.109140004178</v>
      </c>
      <c r="AE3235">
        <v>1.6419999999999899</v>
      </c>
      <c r="AF3235">
        <v>1.6206266099340501</v>
      </c>
      <c r="AG3235">
        <v>-1.109140004178</v>
      </c>
      <c r="AH3235">
        <v>19.82448162531</v>
      </c>
      <c r="AI3235">
        <v>93.191620889703401</v>
      </c>
      <c r="AJ3235">
        <v>85.326533809329504</v>
      </c>
      <c r="AK3235">
        <v>19.921513342865001</v>
      </c>
      <c r="AL3235">
        <v>88.595395386691905</v>
      </c>
      <c r="AM3235">
        <v>96.133337191319796</v>
      </c>
      <c r="AN3235">
        <v>1.0000000103334199</v>
      </c>
    </row>
    <row r="3236" spans="1:40" x14ac:dyDescent="0.25">
      <c r="A3236" t="str">
        <f>"20190305135652359"</f>
        <v>20190305135652359</v>
      </c>
      <c r="B3236" t="str">
        <f>"1551765412355331"</f>
        <v>1551765412355331</v>
      </c>
      <c r="C3236" t="s">
        <v>40</v>
      </c>
      <c r="D3236">
        <v>3.9947010000000001</v>
      </c>
      <c r="E3236">
        <v>0.56986300000000001</v>
      </c>
      <c r="F3236" t="s">
        <v>42</v>
      </c>
      <c r="G3236">
        <v>-349.9248</v>
      </c>
      <c r="H3236" s="1">
        <v>-8.5178899999999995E-7</v>
      </c>
      <c r="I3236">
        <v>142.7628</v>
      </c>
      <c r="J3236">
        <v>-330.12920000000003</v>
      </c>
      <c r="K3236">
        <v>1.1091470000000001</v>
      </c>
      <c r="L3236">
        <v>141.1405</v>
      </c>
      <c r="M3236">
        <v>-0.99989510000000004</v>
      </c>
      <c r="N3236">
        <v>-1.447058E-2</v>
      </c>
      <c r="O3236">
        <v>6.1686279999999998E-4</v>
      </c>
      <c r="P3236">
        <v>-0.99422370000000004</v>
      </c>
      <c r="Q3236">
        <v>9.0997439999999999E-3</v>
      </c>
      <c r="R3236">
        <v>-0.10694339999999999</v>
      </c>
      <c r="S3236">
        <v>-3.0449220000000001</v>
      </c>
      <c r="T3236">
        <v>-0.1669629</v>
      </c>
      <c r="U3236">
        <v>0.2442474</v>
      </c>
      <c r="V3236">
        <v>-0.10756590000000001</v>
      </c>
      <c r="W3236">
        <v>2.3441380000000001E-2</v>
      </c>
      <c r="X3236">
        <v>0.99392159999999996</v>
      </c>
      <c r="Y3236">
        <v>7.9193769999999997E-2</v>
      </c>
      <c r="Z3236">
        <v>2.715767E-3</v>
      </c>
      <c r="AA3236">
        <v>0.99685559999999995</v>
      </c>
      <c r="AB3236">
        <v>43</v>
      </c>
      <c r="AC3236">
        <v>-19.795599999999901</v>
      </c>
      <c r="AD3236">
        <v>-1.1091478517890001</v>
      </c>
      <c r="AE3236">
        <v>1.6222999999999901</v>
      </c>
      <c r="AF3236">
        <v>1.6050819251707</v>
      </c>
      <c r="AG3236">
        <v>-1.1091478517890001</v>
      </c>
      <c r="AH3236">
        <v>19.735054902468999</v>
      </c>
      <c r="AI3236">
        <v>93.206183951958593</v>
      </c>
      <c r="AJ3236">
        <v>85.350281736622406</v>
      </c>
      <c r="AK3236">
        <v>19.831260397339999</v>
      </c>
      <c r="AL3236">
        <v>88.656784870873295</v>
      </c>
      <c r="AM3236">
        <v>96.176722966237307</v>
      </c>
      <c r="AN3236">
        <v>1.0000000340428301</v>
      </c>
    </row>
    <row r="3237" spans="1:40" x14ac:dyDescent="0.25">
      <c r="A3237" t="str">
        <f>"20190305135652382"</f>
        <v>20190305135652382</v>
      </c>
      <c r="B3237" t="str">
        <f>"1551765412375827"</f>
        <v>1551765412375827</v>
      </c>
      <c r="C3237" t="s">
        <v>40</v>
      </c>
      <c r="D3237">
        <v>3.9641479999999998</v>
      </c>
      <c r="E3237">
        <v>0.57002439999999999</v>
      </c>
      <c r="F3237" t="s">
        <v>42</v>
      </c>
      <c r="G3237">
        <v>-349.94880000000001</v>
      </c>
      <c r="H3237" s="1">
        <v>-8.2919480000000002E-7</v>
      </c>
      <c r="I3237">
        <v>142.7166</v>
      </c>
      <c r="J3237">
        <v>-330.56619999999998</v>
      </c>
      <c r="K3237">
        <v>1.109159</v>
      </c>
      <c r="L3237">
        <v>141.14070000000001</v>
      </c>
      <c r="M3237">
        <v>-0.99989539999999999</v>
      </c>
      <c r="N3237">
        <v>-1.4468150000000001E-2</v>
      </c>
      <c r="O3237">
        <v>4.0769910000000001E-4</v>
      </c>
      <c r="P3237">
        <v>-0.99417560000000005</v>
      </c>
      <c r="Q3237">
        <v>8.4414260000000001E-3</v>
      </c>
      <c r="R3237">
        <v>-0.10744339999999999</v>
      </c>
      <c r="S3237">
        <v>-3.0450439999999999</v>
      </c>
      <c r="T3237">
        <v>-0.17040729999999901</v>
      </c>
      <c r="U3237">
        <v>0.24215700000000001</v>
      </c>
      <c r="V3237">
        <v>-0.107859</v>
      </c>
      <c r="W3237">
        <v>2.277732E-2</v>
      </c>
      <c r="X3237">
        <v>0.99390520000000004</v>
      </c>
      <c r="Y3237">
        <v>7.8714300000000001E-2</v>
      </c>
      <c r="Z3237">
        <v>2.7513640000000001E-3</v>
      </c>
      <c r="AA3237">
        <v>0.99689340000000004</v>
      </c>
      <c r="AB3237">
        <v>43</v>
      </c>
      <c r="AC3237">
        <v>-19.3826</v>
      </c>
      <c r="AD3237">
        <v>-1.1091598291947999</v>
      </c>
      <c r="AE3237">
        <v>1.5758999999999801</v>
      </c>
      <c r="AF3237">
        <v>1.5629124016276901</v>
      </c>
      <c r="AG3237">
        <v>-1.1091598291947999</v>
      </c>
      <c r="AH3237">
        <v>19.3203890193628</v>
      </c>
      <c r="AI3237">
        <v>93.274999185219002</v>
      </c>
      <c r="AJ3237">
        <v>85.375159600785295</v>
      </c>
      <c r="AK3237">
        <v>19.415209567794399</v>
      </c>
      <c r="AL3237">
        <v>88.694842770504806</v>
      </c>
      <c r="AM3237">
        <v>96.193524331492696</v>
      </c>
      <c r="AN3237">
        <v>0.99999995838721001</v>
      </c>
    </row>
    <row r="3238" spans="1:40" x14ac:dyDescent="0.25">
      <c r="A3238" t="str">
        <f>"20190305135652405"</f>
        <v>20190305135652405</v>
      </c>
      <c r="B3238" t="str">
        <f>"1551765412395347"</f>
        <v>1551765412395347</v>
      </c>
      <c r="C3238" t="s">
        <v>40</v>
      </c>
      <c r="D3238">
        <v>3.9816769999999999</v>
      </c>
      <c r="E3238">
        <v>0.5700248</v>
      </c>
      <c r="F3238" t="s">
        <v>42</v>
      </c>
      <c r="G3238">
        <v>-350.37950000000001</v>
      </c>
      <c r="H3238" s="1">
        <v>-4.6964550000000001E-6</v>
      </c>
      <c r="I3238">
        <v>142.71449999999999</v>
      </c>
      <c r="J3238">
        <v>-331.01130000000001</v>
      </c>
      <c r="K3238">
        <v>1.109162</v>
      </c>
      <c r="L3238">
        <v>141.14070000000001</v>
      </c>
      <c r="M3238">
        <v>-0.99989530000000004</v>
      </c>
      <c r="N3238">
        <v>-1.446563E-2</v>
      </c>
      <c r="O3238">
        <v>1.9635900000000001E-4</v>
      </c>
      <c r="P3238">
        <v>-0.99419159999999995</v>
      </c>
      <c r="Q3238">
        <v>8.0070790000000003E-3</v>
      </c>
      <c r="R3238">
        <v>-0.1073262</v>
      </c>
      <c r="S3238">
        <v>-3.045166</v>
      </c>
      <c r="T3238">
        <v>-0.17047119999999999</v>
      </c>
      <c r="U3238">
        <v>0.24189759999999999</v>
      </c>
      <c r="V3238">
        <v>-0.1075316</v>
      </c>
      <c r="W3238">
        <v>2.233779E-2</v>
      </c>
      <c r="X3238">
        <v>0.99395069999999996</v>
      </c>
      <c r="Y3238">
        <v>7.8836950000000003E-2</v>
      </c>
      <c r="Z3238">
        <v>2.7650639999999998E-3</v>
      </c>
      <c r="AA3238">
        <v>0.99688370000000004</v>
      </c>
      <c r="AB3238">
        <v>43</v>
      </c>
      <c r="AC3238">
        <v>-19.368200000000002</v>
      </c>
      <c r="AD3238">
        <v>-1.109166696455</v>
      </c>
      <c r="AE3238">
        <v>1.5737999999999699</v>
      </c>
      <c r="AF3238">
        <v>1.56489794369593</v>
      </c>
      <c r="AG3238">
        <v>-1.109166696455</v>
      </c>
      <c r="AH3238">
        <v>19.3056101482643</v>
      </c>
      <c r="AI3238">
        <v>93.277477702304594</v>
      </c>
      <c r="AJ3238">
        <v>85.365780224512307</v>
      </c>
      <c r="AK3238">
        <v>19.400663378644399</v>
      </c>
      <c r="AL3238">
        <v>88.720032458770703</v>
      </c>
      <c r="AM3238">
        <v>96.174589202638202</v>
      </c>
      <c r="AN3238">
        <v>1.00000000794556</v>
      </c>
    </row>
    <row r="3239" spans="1:40" x14ac:dyDescent="0.25">
      <c r="A3239" t="str">
        <f>"20190305135652425"</f>
        <v>20190305135652425</v>
      </c>
      <c r="B3239" t="str">
        <f>"1551765412415842"</f>
        <v>1551765412415842</v>
      </c>
      <c r="C3239" t="s">
        <v>40</v>
      </c>
      <c r="D3239">
        <v>3.9991020000000002</v>
      </c>
      <c r="E3239">
        <v>0.57000819999999996</v>
      </c>
      <c r="F3239" t="s">
        <v>42</v>
      </c>
      <c r="G3239">
        <v>-350.6866</v>
      </c>
      <c r="H3239" s="1">
        <v>-4.5905850000000004E-6</v>
      </c>
      <c r="I3239">
        <v>142.70689999999999</v>
      </c>
      <c r="J3239">
        <v>-331.40809999999999</v>
      </c>
      <c r="K3239">
        <v>1.1091690000000001</v>
      </c>
      <c r="L3239">
        <v>141.14060000000001</v>
      </c>
      <c r="M3239">
        <v>-0.9998956</v>
      </c>
      <c r="N3239">
        <v>-1.446339E-2</v>
      </c>
      <c r="O3239" s="1">
        <v>8.2556829999999997E-6</v>
      </c>
      <c r="P3239">
        <v>-0.9942704</v>
      </c>
      <c r="Q3239">
        <v>6.9874949999999998E-3</v>
      </c>
      <c r="R3239">
        <v>-0.1066661</v>
      </c>
      <c r="S3239">
        <v>-3.0450740000000001</v>
      </c>
      <c r="T3239">
        <v>-0.1716617</v>
      </c>
      <c r="U3239">
        <v>0.2424164</v>
      </c>
      <c r="V3239">
        <v>-0.10668420000000001</v>
      </c>
      <c r="W3239">
        <v>2.1316649999999999E-2</v>
      </c>
      <c r="X3239">
        <v>0.99406450000000002</v>
      </c>
      <c r="Y3239">
        <v>7.9192819999999997E-2</v>
      </c>
      <c r="Z3239">
        <v>2.800762E-3</v>
      </c>
      <c r="AA3239">
        <v>0.99685539999999995</v>
      </c>
      <c r="AB3239">
        <v>43</v>
      </c>
      <c r="AC3239">
        <v>-19.278500000000001</v>
      </c>
      <c r="AD3239">
        <v>-1.109173590585</v>
      </c>
      <c r="AE3239">
        <v>1.56629999999998</v>
      </c>
      <c r="AF3239">
        <v>1.5610074837761601</v>
      </c>
      <c r="AG3239">
        <v>-1.109173590585</v>
      </c>
      <c r="AH3239">
        <v>19.215323717948699</v>
      </c>
      <c r="AI3239">
        <v>93.292816841390305</v>
      </c>
      <c r="AJ3239">
        <v>85.355625304428997</v>
      </c>
      <c r="AK3239">
        <v>19.3105068810743</v>
      </c>
      <c r="AL3239">
        <v>88.778553496153805</v>
      </c>
      <c r="AM3239">
        <v>96.125605981736598</v>
      </c>
      <c r="AN3239">
        <v>1.00000007412855</v>
      </c>
    </row>
    <row r="3240" spans="1:40" x14ac:dyDescent="0.25">
      <c r="A3240" t="str">
        <f>"20190305135652448"</f>
        <v>20190305135652448</v>
      </c>
      <c r="B3240" t="str">
        <f>"1551765412445723"</f>
        <v>1551765412445723</v>
      </c>
      <c r="C3240" t="s">
        <v>40</v>
      </c>
      <c r="D3240">
        <v>3.9533510000000001</v>
      </c>
      <c r="E3240">
        <v>0.56987140000000003</v>
      </c>
      <c r="F3240" t="s">
        <v>42</v>
      </c>
      <c r="G3240">
        <v>-350.67219999999998</v>
      </c>
      <c r="H3240" s="1">
        <v>-4.5919470000000003E-6</v>
      </c>
      <c r="I3240">
        <v>142.68690000000001</v>
      </c>
      <c r="J3240">
        <v>-331.85149999999999</v>
      </c>
      <c r="K3240">
        <v>1.1091789999999999</v>
      </c>
      <c r="L3240">
        <v>141.1404</v>
      </c>
      <c r="M3240">
        <v>-0.99989550000000005</v>
      </c>
      <c r="N3240">
        <v>-1.446071E-2</v>
      </c>
      <c r="O3240">
        <v>-2.0098699999999999E-4</v>
      </c>
      <c r="P3240">
        <v>-0.99428989999999995</v>
      </c>
      <c r="Q3240">
        <v>6.7691770000000004E-3</v>
      </c>
      <c r="R3240">
        <v>-0.1064991</v>
      </c>
      <c r="S3240">
        <v>-3.0447389999999999</v>
      </c>
      <c r="T3240">
        <v>-0.17530760000000001</v>
      </c>
      <c r="U3240">
        <v>0.2444153</v>
      </c>
      <c r="V3240">
        <v>-0.10630969999999999</v>
      </c>
      <c r="W3240">
        <v>2.109449E-2</v>
      </c>
      <c r="X3240">
        <v>0.99410929999999997</v>
      </c>
      <c r="Y3240">
        <v>8.0052349999999994E-2</v>
      </c>
      <c r="Z3240">
        <v>2.8880080000000001E-3</v>
      </c>
      <c r="AA3240">
        <v>0.99678650000000002</v>
      </c>
      <c r="AB3240">
        <v>43</v>
      </c>
      <c r="AC3240">
        <v>-18.820699999999899</v>
      </c>
      <c r="AD3240">
        <v>-1.1091835919469999</v>
      </c>
      <c r="AE3240">
        <v>1.5465</v>
      </c>
      <c r="AF3240">
        <v>1.5449530685405799</v>
      </c>
      <c r="AG3240">
        <v>-1.1091835919469999</v>
      </c>
      <c r="AH3240">
        <v>18.7556825856663</v>
      </c>
      <c r="AI3240">
        <v>93.373048981744503</v>
      </c>
      <c r="AJ3240">
        <v>85.291032833368206</v>
      </c>
      <c r="AK3240">
        <v>18.851864562395502</v>
      </c>
      <c r="AL3240">
        <v>88.791285117126094</v>
      </c>
      <c r="AM3240">
        <v>96.103992511580302</v>
      </c>
      <c r="AN3240">
        <v>1.0000000150844699</v>
      </c>
    </row>
    <row r="3241" spans="1:40" x14ac:dyDescent="0.25">
      <c r="A3241" t="str">
        <f>"20190305135652472"</f>
        <v>20190305135652472</v>
      </c>
      <c r="B3241" t="str">
        <f>"1551765412465242"</f>
        <v>1551765412465242</v>
      </c>
      <c r="C3241" t="s">
        <v>40</v>
      </c>
      <c r="D3241">
        <v>3.966272</v>
      </c>
      <c r="E3241">
        <v>0.56973980000000002</v>
      </c>
      <c r="F3241" t="s">
        <v>42</v>
      </c>
      <c r="G3241">
        <v>-351.30900000000003</v>
      </c>
      <c r="H3241" s="1">
        <v>-4.3772759999999998E-6</v>
      </c>
      <c r="I3241">
        <v>142.69839999999999</v>
      </c>
      <c r="J3241">
        <v>-332.29419999999999</v>
      </c>
      <c r="K3241">
        <v>1.109189</v>
      </c>
      <c r="L3241">
        <v>141.14019999999999</v>
      </c>
      <c r="M3241">
        <v>-0.99989550000000005</v>
      </c>
      <c r="N3241">
        <v>-1.4457970000000001E-2</v>
      </c>
      <c r="O3241">
        <v>-4.1013870000000002E-4</v>
      </c>
      <c r="P3241">
        <v>-0.99433289999999996</v>
      </c>
      <c r="Q3241">
        <v>6.8919790000000003E-3</v>
      </c>
      <c r="R3241">
        <v>-0.1060912</v>
      </c>
      <c r="S3241">
        <v>-3.044495</v>
      </c>
      <c r="T3241">
        <v>-0.1735525</v>
      </c>
      <c r="U3241">
        <v>0.2437897</v>
      </c>
      <c r="V3241">
        <v>-0.1056937</v>
      </c>
      <c r="W3241">
        <v>2.1214150000000001E-2</v>
      </c>
      <c r="X3241">
        <v>0.99417239999999996</v>
      </c>
      <c r="Y3241">
        <v>8.0066440000000003E-2</v>
      </c>
      <c r="Z3241">
        <v>2.8743699999999998E-3</v>
      </c>
      <c r="AA3241">
        <v>0.99678540000000004</v>
      </c>
      <c r="AB3241">
        <v>43</v>
      </c>
      <c r="AC3241">
        <v>-19.014800000000001</v>
      </c>
      <c r="AD3241">
        <v>-1.1091933772760001</v>
      </c>
      <c r="AE3241">
        <v>1.55819999999999</v>
      </c>
      <c r="AF3241">
        <v>1.5607240483392699</v>
      </c>
      <c r="AG3241">
        <v>-1.1091933772760001</v>
      </c>
      <c r="AH3241">
        <v>18.9501067649724</v>
      </c>
      <c r="AI3241">
        <v>93.338553776509499</v>
      </c>
      <c r="AJ3241">
        <v>85.291766295131296</v>
      </c>
      <c r="AK3241">
        <v>19.046593288751399</v>
      </c>
      <c r="AL3241">
        <v>88.784427526604304</v>
      </c>
      <c r="AM3241">
        <v>96.068505987728599</v>
      </c>
      <c r="AN3241">
        <v>0.99999997965083598</v>
      </c>
    </row>
    <row r="3242" spans="1:40" x14ac:dyDescent="0.25">
      <c r="A3242" t="str">
        <f>"20190305135652494"</f>
        <v>20190305135652494</v>
      </c>
      <c r="B3242" t="str">
        <f>"1551765412485739"</f>
        <v>1551765412485739</v>
      </c>
      <c r="C3242" t="s">
        <v>40</v>
      </c>
      <c r="D3242">
        <v>3.913977</v>
      </c>
      <c r="E3242">
        <v>0.56952190000000003</v>
      </c>
      <c r="F3242" t="s">
        <v>41</v>
      </c>
      <c r="G3242">
        <v>-333.37639999999999</v>
      </c>
      <c r="H3242">
        <v>1.0478160000000001</v>
      </c>
      <c r="I3242">
        <v>141.2269</v>
      </c>
      <c r="J3242">
        <v>-332.73869999999999</v>
      </c>
      <c r="K3242">
        <v>1.1091949999999999</v>
      </c>
      <c r="L3242">
        <v>141.13980000000001</v>
      </c>
      <c r="M3242">
        <v>-0.99989550000000005</v>
      </c>
      <c r="N3242">
        <v>-1.4455320000000001E-2</v>
      </c>
      <c r="O3242">
        <v>-6.2116989999999996E-4</v>
      </c>
      <c r="P3242">
        <v>-0.9943208</v>
      </c>
      <c r="Q3242">
        <v>7.379198E-3</v>
      </c>
      <c r="R3242">
        <v>-0.1061701</v>
      </c>
      <c r="S3242">
        <v>-3.0443419999999999</v>
      </c>
      <c r="T3242">
        <v>-0.1726297</v>
      </c>
      <c r="U3242">
        <v>0.24395749999999999</v>
      </c>
      <c r="V3242">
        <v>-0.10556359999999999</v>
      </c>
      <c r="W3242">
        <v>2.1698499999999999E-2</v>
      </c>
      <c r="X3242">
        <v>0.99417580000000005</v>
      </c>
      <c r="Y3242">
        <v>8.0336190000000002E-2</v>
      </c>
      <c r="Z3242">
        <v>2.880638E-3</v>
      </c>
      <c r="AA3242">
        <v>0.99676359999999997</v>
      </c>
      <c r="AB3242">
        <v>43</v>
      </c>
      <c r="AC3242">
        <v>-0.63769999999999505</v>
      </c>
      <c r="AD3242">
        <v>-6.1379000000000003E-2</v>
      </c>
      <c r="AE3242">
        <v>8.7099999999992406E-2</v>
      </c>
      <c r="AF3242">
        <v>8.6707581220939897E-2</v>
      </c>
      <c r="AG3242">
        <v>-6.1379000000000003E-2</v>
      </c>
      <c r="AH3242">
        <v>0.63189895332129997</v>
      </c>
      <c r="AI3242">
        <v>95.496787666570498</v>
      </c>
      <c r="AJ3242">
        <v>82.186811006644803</v>
      </c>
      <c r="AK3242">
        <v>0.64076662950776497</v>
      </c>
      <c r="AL3242">
        <v>88.756669962435893</v>
      </c>
      <c r="AM3242">
        <v>96.061071233767393</v>
      </c>
      <c r="AN3242">
        <v>1.0000000099264199</v>
      </c>
    </row>
    <row r="3243" spans="1:40" x14ac:dyDescent="0.25">
      <c r="A3243" t="str">
        <f>"20190305135652515"</f>
        <v>20190305135652515</v>
      </c>
      <c r="B3243" t="str">
        <f>"1551765412505258"</f>
        <v>1551765412505258</v>
      </c>
      <c r="C3243" t="s">
        <v>40</v>
      </c>
      <c r="D3243">
        <v>3.8996010000000001</v>
      </c>
      <c r="E3243">
        <v>0.56936409999999904</v>
      </c>
      <c r="F3243" t="s">
        <v>41</v>
      </c>
      <c r="G3243">
        <v>-333.76600000000002</v>
      </c>
      <c r="H3243">
        <v>1.051876</v>
      </c>
      <c r="I3243">
        <v>141.22139999999999</v>
      </c>
      <c r="J3243">
        <v>-333.13679999999999</v>
      </c>
      <c r="K3243">
        <v>1.1092029999999999</v>
      </c>
      <c r="L3243">
        <v>141.13939999999999</v>
      </c>
      <c r="M3243">
        <v>-0.99989519999999998</v>
      </c>
      <c r="N3243">
        <v>-1.4452960000000001E-2</v>
      </c>
      <c r="O3243">
        <v>-8.1036729999999998E-4</v>
      </c>
      <c r="P3243">
        <v>-0.99430969999999996</v>
      </c>
      <c r="Q3243">
        <v>8.5541550000000008E-3</v>
      </c>
      <c r="R3243">
        <v>-0.1061844</v>
      </c>
      <c r="S3243">
        <v>-3.0442499999999999</v>
      </c>
      <c r="T3243">
        <v>-0.1698568</v>
      </c>
      <c r="U3243">
        <v>0.2418671</v>
      </c>
      <c r="V3243">
        <v>-0.1053902</v>
      </c>
      <c r="W3243">
        <v>2.287028E-2</v>
      </c>
      <c r="X3243">
        <v>0.99416789999999999</v>
      </c>
      <c r="Y3243">
        <v>7.9852450000000005E-2</v>
      </c>
      <c r="Z3243">
        <v>2.8344709999999999E-3</v>
      </c>
      <c r="AA3243">
        <v>0.99680270000000004</v>
      </c>
      <c r="AB3243">
        <v>43</v>
      </c>
      <c r="AC3243">
        <v>-0.62919999999996801</v>
      </c>
      <c r="AD3243">
        <v>-5.73270000000001E-2</v>
      </c>
      <c r="AE3243">
        <v>8.1999999999993606E-2</v>
      </c>
      <c r="AF3243">
        <v>8.1841869778701296E-2</v>
      </c>
      <c r="AG3243">
        <v>-5.73270000000001E-2</v>
      </c>
      <c r="AH3243">
        <v>0.62403957205540495</v>
      </c>
      <c r="AI3243">
        <v>95.204389946845893</v>
      </c>
      <c r="AJ3243">
        <v>82.528385364073998</v>
      </c>
      <c r="AK3243">
        <v>0.631988816411309</v>
      </c>
      <c r="AL3243">
        <v>88.689515193387507</v>
      </c>
      <c r="AM3243">
        <v>96.051236904286597</v>
      </c>
      <c r="AN3243">
        <v>0.99999997867686297</v>
      </c>
    </row>
    <row r="3244" spans="1:40" x14ac:dyDescent="0.25">
      <c r="A3244" t="str">
        <f>"20190305135652537"</f>
        <v>20190305135652537</v>
      </c>
      <c r="B3244" t="str">
        <f>"1551765412525755"</f>
        <v>1551765412525755</v>
      </c>
      <c r="C3244" t="s">
        <v>40</v>
      </c>
      <c r="D3244">
        <v>3.9027210000000001</v>
      </c>
      <c r="E3244">
        <v>0.56924719999999995</v>
      </c>
      <c r="F3244" t="s">
        <v>42</v>
      </c>
      <c r="G3244">
        <v>-353.46370000000002</v>
      </c>
      <c r="H3244" s="1">
        <v>-3.6189580000000001E-6</v>
      </c>
      <c r="I3244">
        <v>142.74539999999999</v>
      </c>
      <c r="J3244">
        <v>-333.55700000000002</v>
      </c>
      <c r="K3244">
        <v>1.1092109999999999</v>
      </c>
      <c r="L3244">
        <v>141.13890000000001</v>
      </c>
      <c r="M3244">
        <v>-0.99989519999999998</v>
      </c>
      <c r="N3244">
        <v>-1.445047E-2</v>
      </c>
      <c r="O3244">
        <v>-1.0108789999999999E-3</v>
      </c>
      <c r="P3244">
        <v>-0.99428380000000005</v>
      </c>
      <c r="Q3244">
        <v>9.2899049999999993E-3</v>
      </c>
      <c r="R3244">
        <v>-0.1063684</v>
      </c>
      <c r="S3244">
        <v>-3.0442809999999998</v>
      </c>
      <c r="T3244">
        <v>-0.1661223</v>
      </c>
      <c r="U3244">
        <v>0.24053959999999999</v>
      </c>
      <c r="V3244">
        <v>-0.1053751</v>
      </c>
      <c r="W3244">
        <v>2.3602979999999999E-2</v>
      </c>
      <c r="X3244">
        <v>0.99415240000000005</v>
      </c>
      <c r="Y3244">
        <v>7.9625959999999996E-2</v>
      </c>
      <c r="Z3244">
        <v>2.7847940000000002E-3</v>
      </c>
      <c r="AA3244">
        <v>0.99682090000000001</v>
      </c>
      <c r="AB3244">
        <v>43</v>
      </c>
      <c r="AC3244">
        <v>-19.906700000000001</v>
      </c>
      <c r="AD3244">
        <v>-1.1092146189579899</v>
      </c>
      <c r="AE3244">
        <v>1.6064999999999801</v>
      </c>
      <c r="AF3244">
        <v>1.6216223196210799</v>
      </c>
      <c r="AG3244">
        <v>-1.1092146189579899</v>
      </c>
      <c r="AH3244">
        <v>19.843853286589699</v>
      </c>
      <c r="AI3244">
        <v>93.188733357792898</v>
      </c>
      <c r="AJ3244">
        <v>85.328220005240297</v>
      </c>
      <c r="AK3244">
        <v>19.940875840295998</v>
      </c>
      <c r="AL3244">
        <v>88.647523269218993</v>
      </c>
      <c r="AM3244">
        <v>96.050469964945094</v>
      </c>
      <c r="AN3244">
        <v>1.00000000339532</v>
      </c>
    </row>
    <row r="3245" spans="1:40" x14ac:dyDescent="0.25">
      <c r="A3245" t="str">
        <f>"20190305135652559"</f>
        <v>20190305135652559</v>
      </c>
      <c r="B3245" t="str">
        <f>"1551765412555986"</f>
        <v>1551765412555986</v>
      </c>
      <c r="C3245" t="s">
        <v>40</v>
      </c>
      <c r="D3245">
        <v>3.9020510000000002</v>
      </c>
      <c r="E3245">
        <v>0.56919690000000001</v>
      </c>
      <c r="F3245" t="s">
        <v>42</v>
      </c>
      <c r="G3245">
        <v>-354.2484</v>
      </c>
      <c r="H3245" s="1">
        <v>-3.2867779999999998E-6</v>
      </c>
      <c r="I3245">
        <v>142.76220000000001</v>
      </c>
      <c r="J3245">
        <v>-333.99400000000003</v>
      </c>
      <c r="K3245">
        <v>1.10921</v>
      </c>
      <c r="L3245">
        <v>141.13829999999999</v>
      </c>
      <c r="M3245">
        <v>-0.99989499999999998</v>
      </c>
      <c r="N3245">
        <v>-1.444785E-2</v>
      </c>
      <c r="O3245">
        <v>-1.2198479999999999E-3</v>
      </c>
      <c r="P3245">
        <v>-0.9942434</v>
      </c>
      <c r="Q3245">
        <v>9.2013830000000005E-3</v>
      </c>
      <c r="R3245">
        <v>-0.10675030000000001</v>
      </c>
      <c r="S3245">
        <v>-3.0443419999999999</v>
      </c>
      <c r="T3245">
        <v>-0.16319990000000001</v>
      </c>
      <c r="U3245">
        <v>0.2388458</v>
      </c>
      <c r="V3245">
        <v>-0.1055498</v>
      </c>
      <c r="W3245">
        <v>2.351145E-2</v>
      </c>
      <c r="X3245">
        <v>0.99413600000000002</v>
      </c>
      <c r="Y3245">
        <v>7.9286709999999996E-2</v>
      </c>
      <c r="Z3245">
        <v>2.7422570000000001E-3</v>
      </c>
      <c r="AA3245">
        <v>0.99684810000000001</v>
      </c>
      <c r="AB3245">
        <v>43</v>
      </c>
      <c r="AC3245">
        <v>-20.254399999999901</v>
      </c>
      <c r="AD3245">
        <v>-1.109213286778</v>
      </c>
      <c r="AE3245">
        <v>1.6239000000000201</v>
      </c>
      <c r="AF3245">
        <v>1.6437104859289899</v>
      </c>
      <c r="AG3245">
        <v>-1.109213286778</v>
      </c>
      <c r="AH3245">
        <v>20.192232016526599</v>
      </c>
      <c r="AI3245">
        <v>93.1339047425665</v>
      </c>
      <c r="AJ3245">
        <v>85.346206652379706</v>
      </c>
      <c r="AK3245">
        <v>20.289365985322501</v>
      </c>
      <c r="AL3245">
        <v>88.652768959315395</v>
      </c>
      <c r="AM3245">
        <v>96.060525602108399</v>
      </c>
      <c r="AN3245">
        <v>0.99999996752857001</v>
      </c>
    </row>
    <row r="3246" spans="1:40" x14ac:dyDescent="0.25">
      <c r="A3246" t="str">
        <f>"20190305135652583"</f>
        <v>20190305135652583</v>
      </c>
      <c r="B3246" t="str">
        <f>"1551765412575519"</f>
        <v>1551765412575519</v>
      </c>
      <c r="C3246" t="s">
        <v>40</v>
      </c>
      <c r="D3246">
        <v>4.1640129999999997</v>
      </c>
      <c r="E3246">
        <v>0.56763739999999996</v>
      </c>
      <c r="F3246" t="s">
        <v>42</v>
      </c>
      <c r="G3246">
        <v>-355.1361</v>
      </c>
      <c r="H3246" s="1">
        <v>-2.9119780000000001E-6</v>
      </c>
      <c r="I3246">
        <v>142.78489999999999</v>
      </c>
      <c r="J3246">
        <v>-334.43560000000002</v>
      </c>
      <c r="K3246">
        <v>1.1091959999999901</v>
      </c>
      <c r="L3246">
        <v>141.13759999999999</v>
      </c>
      <c r="M3246">
        <v>-0.99989470000000003</v>
      </c>
      <c r="N3246">
        <v>-1.444517E-2</v>
      </c>
      <c r="O3246">
        <v>-1.4323960000000001E-3</v>
      </c>
      <c r="P3246">
        <v>-0.99422049999999995</v>
      </c>
      <c r="Q3246">
        <v>8.5988880000000007E-3</v>
      </c>
      <c r="R3246">
        <v>-0.10701239999999999</v>
      </c>
      <c r="S3246">
        <v>-3.0443120000000001</v>
      </c>
      <c r="T3246">
        <v>-0.15971850000000001</v>
      </c>
      <c r="U3246">
        <v>0.23710629999999999</v>
      </c>
      <c r="V3246">
        <v>-0.1056006</v>
      </c>
      <c r="W3246">
        <v>2.2906030000000001E-2</v>
      </c>
      <c r="X3246">
        <v>0.99414480000000005</v>
      </c>
      <c r="Y3246">
        <v>7.8939179999999998E-2</v>
      </c>
      <c r="Z3246">
        <v>2.6920799999999999E-3</v>
      </c>
      <c r="AA3246">
        <v>0.99687579999999998</v>
      </c>
      <c r="AB3246">
        <v>43</v>
      </c>
      <c r="AC3246">
        <v>-20.700499999999899</v>
      </c>
      <c r="AD3246">
        <v>-1.1091989119779999</v>
      </c>
      <c r="AE3246">
        <v>1.6473</v>
      </c>
      <c r="AF3246">
        <v>1.67218182812528</v>
      </c>
      <c r="AG3246">
        <v>-1.1091989119779999</v>
      </c>
      <c r="AH3246">
        <v>20.6392333134696</v>
      </c>
      <c r="AI3246">
        <v>93.066217099584506</v>
      </c>
      <c r="AJ3246">
        <v>85.368037842701597</v>
      </c>
      <c r="AK3246">
        <v>20.736549039328601</v>
      </c>
      <c r="AL3246">
        <v>88.687466397434903</v>
      </c>
      <c r="AM3246">
        <v>96.063367472323193</v>
      </c>
      <c r="AN3246">
        <v>1.0000000281488799</v>
      </c>
    </row>
    <row r="3247" spans="1:40" x14ac:dyDescent="0.25">
      <c r="A3247" t="str">
        <f>"20190305135652604"</f>
        <v>20190305135652604</v>
      </c>
      <c r="B3247" t="str">
        <f>"1551765412595026"</f>
        <v>1551765412595026</v>
      </c>
      <c r="C3247" t="s">
        <v>40</v>
      </c>
      <c r="D3247">
        <v>3.8858100000000002</v>
      </c>
      <c r="E3247">
        <v>0.47327459999999999</v>
      </c>
      <c r="F3247" t="s">
        <v>42</v>
      </c>
      <c r="G3247">
        <v>-355.86709999999999</v>
      </c>
      <c r="H3247" s="1">
        <v>-2.579199E-6</v>
      </c>
      <c r="I3247">
        <v>142.71279999999999</v>
      </c>
      <c r="J3247">
        <v>-334.85340000000002</v>
      </c>
      <c r="K3247">
        <v>1.109194</v>
      </c>
      <c r="L3247">
        <v>141.13679999999999</v>
      </c>
      <c r="M3247">
        <v>-0.99989439999999996</v>
      </c>
      <c r="N3247">
        <v>-1.444261E-2</v>
      </c>
      <c r="O3247">
        <v>-1.634934E-3</v>
      </c>
      <c r="P3247">
        <v>-0.99421689999999996</v>
      </c>
      <c r="Q3247">
        <v>7.9481039999999992E-3</v>
      </c>
      <c r="R3247">
        <v>-0.1070965</v>
      </c>
      <c r="S3247">
        <v>-3.0428769999999998</v>
      </c>
      <c r="T3247">
        <v>-0.1574855</v>
      </c>
      <c r="U3247">
        <v>0.22366330000000001</v>
      </c>
      <c r="V3247">
        <v>-0.1054827</v>
      </c>
      <c r="W3247">
        <v>2.2252460000000002E-2</v>
      </c>
      <c r="X3247">
        <v>0.99417219999999995</v>
      </c>
      <c r="Y3247">
        <v>7.4808079999999999E-2</v>
      </c>
      <c r="Z3247">
        <v>2.5342730000000001E-3</v>
      </c>
      <c r="AA3247">
        <v>0.99719469999999999</v>
      </c>
      <c r="AB3247">
        <v>43</v>
      </c>
      <c r="AC3247">
        <v>-21.013699999999901</v>
      </c>
      <c r="AD3247">
        <v>-1.1091965791989999</v>
      </c>
      <c r="AE3247">
        <v>1.5759999999999901</v>
      </c>
      <c r="AF3247">
        <v>1.6059081368433199</v>
      </c>
      <c r="AG3247">
        <v>-1.1091965791989999</v>
      </c>
      <c r="AH3247">
        <v>20.953042194327899</v>
      </c>
      <c r="AI3247">
        <v>93.021408240465902</v>
      </c>
      <c r="AJ3247">
        <v>85.617236605451794</v>
      </c>
      <c r="AK3247">
        <v>21.043745750045801</v>
      </c>
      <c r="AL3247">
        <v>88.724922799252894</v>
      </c>
      <c r="AM3247">
        <v>96.056482559786701</v>
      </c>
      <c r="AN3247">
        <v>1.0000000676140799</v>
      </c>
    </row>
    <row r="3248" spans="1:40" x14ac:dyDescent="0.25">
      <c r="A3248" t="str">
        <f>"20190305135652626"</f>
        <v>20190305135652626</v>
      </c>
      <c r="B3248" t="str">
        <f>"1551765412615522"</f>
        <v>1551765412615522</v>
      </c>
      <c r="C3248" t="s">
        <v>40</v>
      </c>
      <c r="D3248">
        <v>3.7768760000000001</v>
      </c>
      <c r="E3248">
        <v>0.47134799999999899</v>
      </c>
      <c r="F3248" t="s">
        <v>67</v>
      </c>
      <c r="G3248">
        <v>-455.92779999999999</v>
      </c>
      <c r="H3248">
        <v>0.37743399999999999</v>
      </c>
      <c r="I3248">
        <v>119.395</v>
      </c>
      <c r="J3248">
        <v>-335.26499999999999</v>
      </c>
      <c r="K3248">
        <v>1.109194</v>
      </c>
      <c r="L3248">
        <v>141.13589999999999</v>
      </c>
      <c r="M3248">
        <v>-0.99989410000000001</v>
      </c>
      <c r="N3248">
        <v>-1.4440069999999999E-2</v>
      </c>
      <c r="O3248">
        <v>-1.835918E-3</v>
      </c>
      <c r="P3248">
        <v>-0.99424489999999999</v>
      </c>
      <c r="Q3248">
        <v>7.3043419999999897E-3</v>
      </c>
      <c r="R3248">
        <v>-0.106883199999999</v>
      </c>
      <c r="S3248">
        <v>-2.9603579999999998</v>
      </c>
      <c r="T3248">
        <v>-1.7891529999999999E-2</v>
      </c>
      <c r="U3248">
        <v>-0.53160099999999999</v>
      </c>
      <c r="V3248">
        <v>-0.10506939999999999</v>
      </c>
      <c r="W3248">
        <v>2.1606500000000001E-2</v>
      </c>
      <c r="X3248">
        <v>0.99423019999999995</v>
      </c>
      <c r="Y3248">
        <v>-0.1749279</v>
      </c>
      <c r="Z3248">
        <v>-1.812815E-3</v>
      </c>
      <c r="AA3248">
        <v>0.9845796</v>
      </c>
      <c r="AB3248">
        <v>43</v>
      </c>
      <c r="AC3248">
        <v>-120.6628</v>
      </c>
      <c r="AD3248">
        <v>-0.73175999999999997</v>
      </c>
      <c r="AE3248">
        <v>-21.7409</v>
      </c>
      <c r="AF3248">
        <v>-21.5185467286672</v>
      </c>
      <c r="AG3248">
        <v>-0.73175999999999997</v>
      </c>
      <c r="AH3248">
        <v>120.698215791127</v>
      </c>
      <c r="AI3248">
        <v>90.3419720848553</v>
      </c>
      <c r="AJ3248">
        <v>100.108704901674</v>
      </c>
      <c r="AK3248">
        <v>122.603599544112</v>
      </c>
      <c r="AL3248">
        <v>88.761942466155801</v>
      </c>
      <c r="AM3248">
        <v>96.032578187130198</v>
      </c>
      <c r="AN3248">
        <v>1.0000000551253201</v>
      </c>
    </row>
    <row r="3249" spans="1:40" x14ac:dyDescent="0.25">
      <c r="A3249" t="str">
        <f>"20190305135652649"</f>
        <v>20190305135652649</v>
      </c>
      <c r="B3249" t="str">
        <f>"1551765412645779"</f>
        <v>1551765412645779</v>
      </c>
      <c r="C3249" t="s">
        <v>40</v>
      </c>
      <c r="D3249">
        <v>3.7243499999999998</v>
      </c>
      <c r="E3249">
        <v>0.47451500000000002</v>
      </c>
      <c r="F3249" t="s">
        <v>67</v>
      </c>
      <c r="G3249">
        <v>-450.7115</v>
      </c>
      <c r="H3249">
        <v>0.5100363</v>
      </c>
      <c r="I3249">
        <v>119.8177</v>
      </c>
      <c r="J3249">
        <v>-335.70089999999999</v>
      </c>
      <c r="K3249">
        <v>1.1091959999999901</v>
      </c>
      <c r="L3249">
        <v>141.13489999999999</v>
      </c>
      <c r="M3249">
        <v>-0.99989380000000005</v>
      </c>
      <c r="N3249">
        <v>-1.443736E-2</v>
      </c>
      <c r="O3249">
        <v>-2.0495359999999998E-3</v>
      </c>
      <c r="P3249">
        <v>-0.99428570000000005</v>
      </c>
      <c r="Q3249">
        <v>6.6293659999999898E-3</v>
      </c>
      <c r="R3249">
        <v>-0.1065473</v>
      </c>
      <c r="S3249">
        <v>-2.9587400000000001</v>
      </c>
      <c r="T3249">
        <v>-1.535487E-2</v>
      </c>
      <c r="U3249">
        <v>-0.54635619999999996</v>
      </c>
      <c r="V3249">
        <v>-0.1045205</v>
      </c>
      <c r="W3249">
        <v>2.0930020000000001E-2</v>
      </c>
      <c r="X3249">
        <v>0.99430249999999998</v>
      </c>
      <c r="Y3249">
        <v>-0.17956320000000001</v>
      </c>
      <c r="Z3249">
        <v>-1.7880019999999999E-3</v>
      </c>
      <c r="AA3249">
        <v>0.98374479999999997</v>
      </c>
      <c r="AB3249">
        <v>43</v>
      </c>
      <c r="AC3249">
        <v>-115.0106</v>
      </c>
      <c r="AD3249">
        <v>-0.59915969999999896</v>
      </c>
      <c r="AE3249">
        <v>-21.3171999999999</v>
      </c>
      <c r="AF3249">
        <v>-21.080859180935501</v>
      </c>
      <c r="AG3249">
        <v>-0.59915969999999896</v>
      </c>
      <c r="AH3249">
        <v>115.05103453667201</v>
      </c>
      <c r="AI3249">
        <v>90.293494680768404</v>
      </c>
      <c r="AJ3249">
        <v>100.38315767744901</v>
      </c>
      <c r="AK3249">
        <v>116.967953577513</v>
      </c>
      <c r="AL3249">
        <v>88.800710654022097</v>
      </c>
      <c r="AM3249">
        <v>96.000860393858702</v>
      </c>
      <c r="AN3249">
        <v>1.00000003108184</v>
      </c>
    </row>
    <row r="3250" spans="1:40" x14ac:dyDescent="0.25">
      <c r="A3250" t="str">
        <f>"20190305135652674"</f>
        <v>20190305135652674</v>
      </c>
      <c r="B3250" t="str">
        <f>"1551765412665298"</f>
        <v>1551765412665298</v>
      </c>
      <c r="C3250" t="s">
        <v>40</v>
      </c>
      <c r="D3250">
        <v>3.723811</v>
      </c>
      <c r="E3250">
        <v>0.47571570000000002</v>
      </c>
      <c r="F3250" t="s">
        <v>67</v>
      </c>
      <c r="G3250">
        <v>-459.42020000000002</v>
      </c>
      <c r="H3250">
        <v>0.51511059999999997</v>
      </c>
      <c r="I3250">
        <v>119.395</v>
      </c>
      <c r="J3250">
        <v>-336.14679999999998</v>
      </c>
      <c r="K3250">
        <v>1.109197</v>
      </c>
      <c r="L3250">
        <v>141.13380000000001</v>
      </c>
      <c r="M3250">
        <v>-0.99989320000000004</v>
      </c>
      <c r="N3250">
        <v>-1.443462E-2</v>
      </c>
      <c r="O3250">
        <v>-2.2693430000000001E-3</v>
      </c>
      <c r="P3250">
        <v>-0.99426789999999998</v>
      </c>
      <c r="Q3250">
        <v>6.4871929999999996E-3</v>
      </c>
      <c r="R3250">
        <v>-0.1067207</v>
      </c>
      <c r="S3250">
        <v>-2.9615480000000001</v>
      </c>
      <c r="T3250">
        <v>-1.4220119999999999E-2</v>
      </c>
      <c r="U3250">
        <v>-0.520401</v>
      </c>
      <c r="V3250">
        <v>-0.10447529999999999</v>
      </c>
      <c r="W3250">
        <v>2.0785089999999999E-2</v>
      </c>
      <c r="X3250">
        <v>0.99431029999999998</v>
      </c>
      <c r="Y3250">
        <v>-0.17082410000000001</v>
      </c>
      <c r="Z3250">
        <v>-1.6710479999999901E-3</v>
      </c>
      <c r="AA3250">
        <v>0.98530010000000001</v>
      </c>
      <c r="AB3250">
        <v>43</v>
      </c>
      <c r="AC3250">
        <v>-123.2734</v>
      </c>
      <c r="AD3250">
        <v>-0.59408640000000001</v>
      </c>
      <c r="AE3250">
        <v>-21.738800000000001</v>
      </c>
      <c r="AF3250">
        <v>-21.458481876934801</v>
      </c>
      <c r="AG3250">
        <v>-0.59408640000000001</v>
      </c>
      <c r="AH3250">
        <v>123.319642697685</v>
      </c>
      <c r="AI3250">
        <v>90.271931437660498</v>
      </c>
      <c r="AJ3250">
        <v>99.871032495450294</v>
      </c>
      <c r="AK3250">
        <v>125.174093398746</v>
      </c>
      <c r="AL3250">
        <v>88.809016349130999</v>
      </c>
      <c r="AM3250">
        <v>95.998237528011202</v>
      </c>
      <c r="AN3250">
        <v>1.0000000404812399</v>
      </c>
    </row>
    <row r="3251" spans="1:40" x14ac:dyDescent="0.25">
      <c r="A3251" t="str">
        <f>"20190305135652695"</f>
        <v>20190305135652695</v>
      </c>
      <c r="B3251" t="str">
        <f>"1551765412685794"</f>
        <v>1551765412685794</v>
      </c>
      <c r="C3251" t="s">
        <v>40</v>
      </c>
      <c r="D3251">
        <v>3.7317779999999998</v>
      </c>
      <c r="E3251">
        <v>0.47646060000000001</v>
      </c>
      <c r="F3251" t="s">
        <v>67</v>
      </c>
      <c r="G3251">
        <v>-461.03219999999999</v>
      </c>
      <c r="H3251">
        <v>0.47617949999999998</v>
      </c>
      <c r="I3251">
        <v>119.57640000000001</v>
      </c>
      <c r="J3251">
        <v>-336.58589999999998</v>
      </c>
      <c r="K3251">
        <v>1.109202</v>
      </c>
      <c r="L3251">
        <v>141.1326</v>
      </c>
      <c r="M3251">
        <v>-0.99989289999999997</v>
      </c>
      <c r="N3251">
        <v>-1.4431930000000001E-2</v>
      </c>
      <c r="O3251">
        <v>-2.486879E-3</v>
      </c>
      <c r="P3251">
        <v>-0.99415120000000001</v>
      </c>
      <c r="Q3251">
        <v>6.2401030000000003E-3</v>
      </c>
      <c r="R3251">
        <v>-0.1078185</v>
      </c>
      <c r="S3251">
        <v>-2.9625240000000002</v>
      </c>
      <c r="T3251">
        <v>-1.501572E-2</v>
      </c>
      <c r="U3251">
        <v>-0.51138309999999998</v>
      </c>
      <c r="V3251">
        <v>-0.105357199999999</v>
      </c>
      <c r="W3251">
        <v>2.053338E-2</v>
      </c>
      <c r="X3251">
        <v>0.99422250000000001</v>
      </c>
      <c r="Y3251">
        <v>-0.16764209999999999</v>
      </c>
      <c r="Z3251">
        <v>-1.663522E-3</v>
      </c>
      <c r="AA3251">
        <v>0.98584649999999996</v>
      </c>
      <c r="AB3251">
        <v>43</v>
      </c>
      <c r="AC3251">
        <v>-124.44629999999999</v>
      </c>
      <c r="AD3251">
        <v>-0.63302250000000004</v>
      </c>
      <c r="AE3251">
        <v>-21.556199999999901</v>
      </c>
      <c r="AF3251">
        <v>-21.246084525215</v>
      </c>
      <c r="AG3251">
        <v>-0.63302250000000004</v>
      </c>
      <c r="AH3251">
        <v>124.496400870485</v>
      </c>
      <c r="AI3251">
        <v>90.287175634375203</v>
      </c>
      <c r="AJ3251">
        <v>99.684583614932905</v>
      </c>
      <c r="AK3251">
        <v>126.29786480714</v>
      </c>
      <c r="AL3251">
        <v>88.823441381923303</v>
      </c>
      <c r="AM3251">
        <v>96.049026429301094</v>
      </c>
      <c r="AN3251">
        <v>1.0000000693961499</v>
      </c>
    </row>
    <row r="3252" spans="1:40" x14ac:dyDescent="0.25">
      <c r="A3252" t="str">
        <f>"20190305135652717"</f>
        <v>20190305135652717</v>
      </c>
      <c r="B3252" t="str">
        <f>"1551765412705314"</f>
        <v>1551765412705314</v>
      </c>
      <c r="C3252" t="s">
        <v>40</v>
      </c>
      <c r="D3252">
        <v>3.7324320000000002</v>
      </c>
      <c r="E3252">
        <v>0.47702879999999998</v>
      </c>
      <c r="F3252" t="s">
        <v>67</v>
      </c>
      <c r="G3252">
        <v>-461.03219999999999</v>
      </c>
      <c r="H3252">
        <v>0.33457480000000001</v>
      </c>
      <c r="I3252">
        <v>119.7683</v>
      </c>
      <c r="J3252">
        <v>-336.98259999999999</v>
      </c>
      <c r="K3252">
        <v>1.1092040000000001</v>
      </c>
      <c r="L3252">
        <v>141.13140000000001</v>
      </c>
      <c r="M3252">
        <v>-0.99989240000000001</v>
      </c>
      <c r="N3252">
        <v>-1.442947E-2</v>
      </c>
      <c r="O3252">
        <v>-2.683436E-3</v>
      </c>
      <c r="P3252">
        <v>-0.99399349999999997</v>
      </c>
      <c r="Q3252">
        <v>6.4542050000000002E-3</v>
      </c>
      <c r="R3252">
        <v>-0.1092495</v>
      </c>
      <c r="S3252">
        <v>-2.9626160000000001</v>
      </c>
      <c r="T3252">
        <v>-1.8440370000000001E-2</v>
      </c>
      <c r="U3252">
        <v>-0.508606</v>
      </c>
      <c r="V3252">
        <v>-0.10659299999999999</v>
      </c>
      <c r="W3252">
        <v>2.074171E-2</v>
      </c>
      <c r="X3252">
        <v>0.99408640000000004</v>
      </c>
      <c r="Y3252">
        <v>-0.1665432</v>
      </c>
      <c r="Z3252">
        <v>-1.7467989999999901E-3</v>
      </c>
      <c r="AA3252">
        <v>0.98603260000000004</v>
      </c>
      <c r="AB3252">
        <v>43</v>
      </c>
      <c r="AC3252">
        <v>-124.0496</v>
      </c>
      <c r="AD3252">
        <v>-0.77462920000000002</v>
      </c>
      <c r="AE3252">
        <v>-21.363099999999999</v>
      </c>
      <c r="AF3252">
        <v>-21.029312886428801</v>
      </c>
      <c r="AG3252">
        <v>-0.77462920000000002</v>
      </c>
      <c r="AH3252">
        <v>124.101785920547</v>
      </c>
      <c r="AI3252">
        <v>90.352602714534399</v>
      </c>
      <c r="AJ3252">
        <v>99.617534041693105</v>
      </c>
      <c r="AK3252">
        <v>125.873290731362</v>
      </c>
      <c r="AL3252">
        <v>88.8115023615578</v>
      </c>
      <c r="AM3252">
        <v>96.120275399691394</v>
      </c>
      <c r="AN3252">
        <v>1.0000000284238399</v>
      </c>
    </row>
    <row r="3253" spans="1:40" x14ac:dyDescent="0.25">
      <c r="A3253" t="str">
        <f>"20190305135652739"</f>
        <v>20190305135652739</v>
      </c>
      <c r="B3253" t="str">
        <f>"1551765412735570"</f>
        <v>1551765412735570</v>
      </c>
      <c r="C3253" t="s">
        <v>40</v>
      </c>
      <c r="D3253">
        <v>3.9867509999999999</v>
      </c>
      <c r="E3253">
        <v>0.4781202</v>
      </c>
      <c r="F3253" t="s">
        <v>67</v>
      </c>
      <c r="G3253">
        <v>-461.23200000000003</v>
      </c>
      <c r="H3253">
        <v>0.26989429999999998</v>
      </c>
      <c r="I3253">
        <v>119.8177</v>
      </c>
      <c r="J3253">
        <v>-337.399</v>
      </c>
      <c r="K3253">
        <v>1.1092089999999999</v>
      </c>
      <c r="L3253">
        <v>141.1301</v>
      </c>
      <c r="M3253">
        <v>-0.9998918</v>
      </c>
      <c r="N3253">
        <v>-1.442685E-2</v>
      </c>
      <c r="O3253">
        <v>-2.8887980000000001E-3</v>
      </c>
      <c r="P3253">
        <v>-0.99381980000000003</v>
      </c>
      <c r="Q3253">
        <v>6.6886920000000004E-3</v>
      </c>
      <c r="R3253">
        <v>-0.110803</v>
      </c>
      <c r="S3253">
        <v>-2.9623719999999998</v>
      </c>
      <c r="T3253">
        <v>-2.001023E-2</v>
      </c>
      <c r="U3253">
        <v>-0.50816349999999999</v>
      </c>
      <c r="V3253">
        <v>-0.107942899999999</v>
      </c>
      <c r="W3253">
        <v>2.0971489999999999E-2</v>
      </c>
      <c r="X3253">
        <v>0.99393589999999998</v>
      </c>
      <c r="Y3253">
        <v>-0.16621</v>
      </c>
      <c r="Z3253">
        <v>-1.787032E-3</v>
      </c>
      <c r="AA3253">
        <v>0.98608879999999999</v>
      </c>
      <c r="AB3253">
        <v>43</v>
      </c>
      <c r="AC3253">
        <v>-123.832999999999</v>
      </c>
      <c r="AD3253">
        <v>-0.83931469999999997</v>
      </c>
      <c r="AE3253">
        <v>-21.3124</v>
      </c>
      <c r="AF3253">
        <v>-20.9536104278476</v>
      </c>
      <c r="AG3253">
        <v>-0.83931469999999997</v>
      </c>
      <c r="AH3253">
        <v>123.88852928642</v>
      </c>
      <c r="AI3253">
        <v>90.382723738960806</v>
      </c>
      <c r="AJ3253">
        <v>99.599745588374503</v>
      </c>
      <c r="AK3253">
        <v>125.6508094995</v>
      </c>
      <c r="AL3253">
        <v>88.798334066986101</v>
      </c>
      <c r="AM3253">
        <v>96.198114627357697</v>
      </c>
      <c r="AN3253">
        <v>1.00000002318101</v>
      </c>
    </row>
    <row r="3254" spans="1:40" x14ac:dyDescent="0.25">
      <c r="A3254" t="str">
        <f>"20190305135652761"</f>
        <v>20190305135652761</v>
      </c>
      <c r="B3254" t="str">
        <f>"1551765412755090"</f>
        <v>1551765412755090</v>
      </c>
      <c r="C3254" t="s">
        <v>40</v>
      </c>
      <c r="D3254">
        <v>3.7361439999999999</v>
      </c>
      <c r="E3254">
        <v>0.47832079999999999</v>
      </c>
      <c r="F3254" t="s">
        <v>73</v>
      </c>
      <c r="G3254">
        <v>-432.07760000000002</v>
      </c>
      <c r="H3254">
        <v>7.998777E-2</v>
      </c>
      <c r="I3254">
        <v>125.0317</v>
      </c>
      <c r="J3254">
        <v>-337.84050000000002</v>
      </c>
      <c r="K3254">
        <v>1.109213</v>
      </c>
      <c r="L3254">
        <v>141.12860000000001</v>
      </c>
      <c r="M3254">
        <v>-0.99989119999999998</v>
      </c>
      <c r="N3254">
        <v>-1.4424060000000001E-2</v>
      </c>
      <c r="O3254">
        <v>-3.1017499999999999E-3</v>
      </c>
      <c r="P3254">
        <v>-0.99364719999999995</v>
      </c>
      <c r="Q3254">
        <v>7.2022659999999997E-3</v>
      </c>
      <c r="R3254">
        <v>-0.1123099</v>
      </c>
      <c r="S3254">
        <v>-2.9627080000000001</v>
      </c>
      <c r="T3254">
        <v>-3.2206650000000003E-2</v>
      </c>
      <c r="U3254">
        <v>-0.50375369999999997</v>
      </c>
      <c r="V3254">
        <v>-0.1092388</v>
      </c>
      <c r="W3254">
        <v>2.148017E-2</v>
      </c>
      <c r="X3254">
        <v>0.99378339999999998</v>
      </c>
      <c r="Y3254">
        <v>-0.1645443</v>
      </c>
      <c r="Z3254">
        <v>-2.0942059999999999E-3</v>
      </c>
      <c r="AA3254">
        <v>0.98636749999999995</v>
      </c>
      <c r="AB3254">
        <v>43</v>
      </c>
      <c r="AC3254">
        <v>-94.237099999999998</v>
      </c>
      <c r="AD3254">
        <v>-1.02922523</v>
      </c>
      <c r="AE3254">
        <v>-16.096900000000002</v>
      </c>
      <c r="AF3254">
        <v>-15.802660683482999</v>
      </c>
      <c r="AG3254">
        <v>-1.02922523</v>
      </c>
      <c r="AH3254">
        <v>94.275653699461699</v>
      </c>
      <c r="AI3254">
        <v>90.616878533410301</v>
      </c>
      <c r="AJ3254">
        <v>99.515563494873902</v>
      </c>
      <c r="AK3254">
        <v>95.596455319808697</v>
      </c>
      <c r="AL3254">
        <v>88.769182228901201</v>
      </c>
      <c r="AM3254">
        <v>96.272890848815393</v>
      </c>
      <c r="AN3254">
        <v>0.99999997962211395</v>
      </c>
    </row>
    <row r="3255" spans="1:40" x14ac:dyDescent="0.25">
      <c r="A3255" t="str">
        <f>"20190305135652784"</f>
        <v>20190305135652784</v>
      </c>
      <c r="B3255" t="str">
        <f>"1551765412775590"</f>
        <v>1551765412775590</v>
      </c>
      <c r="C3255" t="s">
        <v>40</v>
      </c>
      <c r="D3255">
        <v>3.7979319999999999</v>
      </c>
      <c r="E3255">
        <v>0.47851460000000001</v>
      </c>
      <c r="F3255" t="s">
        <v>43</v>
      </c>
      <c r="G3255">
        <v>-450.81299999999999</v>
      </c>
      <c r="H3255">
        <v>-0.05</v>
      </c>
      <c r="I3255">
        <v>121.80540000000001</v>
      </c>
      <c r="J3255">
        <v>-338.27449999999999</v>
      </c>
      <c r="K3255">
        <v>1.109213</v>
      </c>
      <c r="L3255">
        <v>141.12710000000001</v>
      </c>
      <c r="M3255">
        <v>-0.99989070000000002</v>
      </c>
      <c r="N3255">
        <v>-1.4421359999999999E-2</v>
      </c>
      <c r="O3255">
        <v>-3.3035690000000001E-3</v>
      </c>
      <c r="P3255">
        <v>-0.99359589999999998</v>
      </c>
      <c r="Q3255">
        <v>8.1926159999999998E-3</v>
      </c>
      <c r="R3255">
        <v>-0.1126958</v>
      </c>
      <c r="S3255">
        <v>-2.9621279999999999</v>
      </c>
      <c r="T3255">
        <v>-3.039443E-2</v>
      </c>
      <c r="U3255">
        <v>-0.50665280000000001</v>
      </c>
      <c r="V3255">
        <v>-0.10942449999999999</v>
      </c>
      <c r="W3255">
        <v>2.2468410000000001E-2</v>
      </c>
      <c r="X3255">
        <v>0.99374119999999999</v>
      </c>
      <c r="Y3255">
        <v>-0.16531689999999999</v>
      </c>
      <c r="Z3255">
        <v>-2.0564559999999999E-3</v>
      </c>
      <c r="AA3255">
        <v>0.98623839999999996</v>
      </c>
      <c r="AB3255">
        <v>43</v>
      </c>
      <c r="AC3255">
        <v>-112.5385</v>
      </c>
      <c r="AD3255">
        <v>-1.1592129999999901</v>
      </c>
      <c r="AE3255">
        <v>-19.3217</v>
      </c>
      <c r="AF3255">
        <v>-18.947824392466</v>
      </c>
      <c r="AG3255">
        <v>-1.1592129999999901</v>
      </c>
      <c r="AH3255">
        <v>112.590118970544</v>
      </c>
      <c r="AI3255">
        <v>90.581709545903294</v>
      </c>
      <c r="AJ3255">
        <v>99.552811142347807</v>
      </c>
      <c r="AK3255">
        <v>114.17923941675301</v>
      </c>
      <c r="AL3255">
        <v>88.712546674403995</v>
      </c>
      <c r="AM3255">
        <v>96.283733896087398</v>
      </c>
      <c r="AN3255">
        <v>1.0000000616128</v>
      </c>
    </row>
    <row r="3256" spans="1:40" x14ac:dyDescent="0.25">
      <c r="A3256" t="str">
        <f>"20190305135652805"</f>
        <v>20190305135652805</v>
      </c>
      <c r="B3256" t="str">
        <f>"1551765412795107"</f>
        <v>1551765412795107</v>
      </c>
      <c r="C3256" t="s">
        <v>40</v>
      </c>
      <c r="D3256">
        <v>3.8349489999999999</v>
      </c>
      <c r="E3256">
        <v>0.47931879999999999</v>
      </c>
      <c r="F3256" t="s">
        <v>43</v>
      </c>
      <c r="G3256">
        <v>-470.56979999999999</v>
      </c>
      <c r="H3256">
        <v>-0.05</v>
      </c>
      <c r="I3256">
        <v>118.51430000000001</v>
      </c>
      <c r="J3256">
        <v>-338.67009999999999</v>
      </c>
      <c r="K3256">
        <v>1.1092070000000001</v>
      </c>
      <c r="L3256">
        <v>141.12559999999999</v>
      </c>
      <c r="M3256">
        <v>-0.9998901</v>
      </c>
      <c r="N3256">
        <v>-1.441888E-2</v>
      </c>
      <c r="O3256">
        <v>-3.4800949999999999E-3</v>
      </c>
      <c r="P3256">
        <v>-0.99359750000000002</v>
      </c>
      <c r="Q3256">
        <v>8.3620320000000001E-3</v>
      </c>
      <c r="R3256">
        <v>-0.1126699</v>
      </c>
      <c r="S3256">
        <v>-2.962097</v>
      </c>
      <c r="T3256">
        <v>-2.595484E-2</v>
      </c>
      <c r="U3256">
        <v>-0.50630189999999997</v>
      </c>
      <c r="V3256">
        <v>-0.10922270000000001</v>
      </c>
      <c r="W3256">
        <v>2.2637170000000002E-2</v>
      </c>
      <c r="X3256">
        <v>0.99375950000000002</v>
      </c>
      <c r="Y3256">
        <v>-0.16503499999999999</v>
      </c>
      <c r="Z3256">
        <v>-1.935878E-3</v>
      </c>
      <c r="AA3256">
        <v>0.98628579999999999</v>
      </c>
      <c r="AB3256">
        <v>43</v>
      </c>
      <c r="AC3256">
        <v>-131.8997</v>
      </c>
      <c r="AD3256">
        <v>-1.1592069999999901</v>
      </c>
      <c r="AE3256">
        <v>-22.6112999999999</v>
      </c>
      <c r="AF3256">
        <v>-22.150429864289201</v>
      </c>
      <c r="AG3256">
        <v>-1.1592069999999901</v>
      </c>
      <c r="AH3256">
        <v>131.96769674932</v>
      </c>
      <c r="AI3256">
        <v>90.4963317812539</v>
      </c>
      <c r="AJ3256">
        <v>99.5281301315825</v>
      </c>
      <c r="AK3256">
        <v>133.81875163579301</v>
      </c>
      <c r="AL3256">
        <v>88.702874888640395</v>
      </c>
      <c r="AM3256">
        <v>96.2721233358441</v>
      </c>
      <c r="AN3256">
        <v>0.99999999175057397</v>
      </c>
    </row>
    <row r="3257" spans="1:40" x14ac:dyDescent="0.25">
      <c r="A3257" t="str">
        <f>"20190305135652828"</f>
        <v>20190305135652828</v>
      </c>
      <c r="B3257" t="str">
        <f>"1551765412815602"</f>
        <v>1551765412815602</v>
      </c>
      <c r="C3257" t="s">
        <v>40</v>
      </c>
      <c r="D3257">
        <v>3.8744900000000002</v>
      </c>
      <c r="E3257">
        <v>0.51442469999999996</v>
      </c>
      <c r="F3257" t="s">
        <v>43</v>
      </c>
      <c r="G3257">
        <v>-481.01740000000001</v>
      </c>
      <c r="H3257">
        <v>-0.05</v>
      </c>
      <c r="I3257">
        <v>117.10809999999999</v>
      </c>
      <c r="J3257">
        <v>-339.09550000000002</v>
      </c>
      <c r="K3257">
        <v>1.1091979999999999</v>
      </c>
      <c r="L3257">
        <v>141.124</v>
      </c>
      <c r="M3257">
        <v>-0.99988949999999999</v>
      </c>
      <c r="N3257">
        <v>-1.441599E-2</v>
      </c>
      <c r="O3257">
        <v>-3.66352E-3</v>
      </c>
      <c r="P3257">
        <v>-0.99360669999999995</v>
      </c>
      <c r="Q3257">
        <v>7.8388989999999999E-3</v>
      </c>
      <c r="R3257">
        <v>-0.11262560000000001</v>
      </c>
      <c r="S3257">
        <v>-2.96286</v>
      </c>
      <c r="T3257">
        <v>-2.412808E-2</v>
      </c>
      <c r="U3257">
        <v>-0.49990839999999998</v>
      </c>
      <c r="V3257">
        <v>-0.1089956</v>
      </c>
      <c r="W3257">
        <v>2.2113730000000002E-2</v>
      </c>
      <c r="X3257">
        <v>0.99379620000000002</v>
      </c>
      <c r="Y3257">
        <v>-0.16274469999999999</v>
      </c>
      <c r="Z3257">
        <v>-1.8622339999999999E-3</v>
      </c>
      <c r="AA3257">
        <v>0.98666640000000005</v>
      </c>
      <c r="AB3257">
        <v>42</v>
      </c>
      <c r="AC3257">
        <v>-141.92189999999999</v>
      </c>
      <c r="AD3257">
        <v>-1.159198</v>
      </c>
      <c r="AE3257">
        <v>-24.015899999999998</v>
      </c>
      <c r="AF3257">
        <v>-23.494227356047901</v>
      </c>
      <c r="AG3257">
        <v>-1.159198</v>
      </c>
      <c r="AH3257">
        <v>141.99972962926699</v>
      </c>
      <c r="AI3257">
        <v>90.461443935225901</v>
      </c>
      <c r="AJ3257">
        <v>99.394629175212799</v>
      </c>
      <c r="AK3257">
        <v>143.934866081314</v>
      </c>
      <c r="AL3257">
        <v>88.732873278122298</v>
      </c>
      <c r="AM3257">
        <v>96.258956402654405</v>
      </c>
      <c r="AN3257">
        <v>0.99999997250415595</v>
      </c>
    </row>
    <row r="3258" spans="1:40" x14ac:dyDescent="0.25">
      <c r="A3258" t="str">
        <f>"20190305135652851"</f>
        <v>20190305135652851</v>
      </c>
      <c r="B3258" t="str">
        <f>"1551765412845858"</f>
        <v>1551765412845858</v>
      </c>
      <c r="C3258" t="s">
        <v>40</v>
      </c>
      <c r="D3258">
        <v>3.7824650000000002</v>
      </c>
      <c r="E3258">
        <v>0.50958479999999995</v>
      </c>
      <c r="F3258" t="s">
        <v>73</v>
      </c>
      <c r="G3258">
        <v>-428.10849999999999</v>
      </c>
      <c r="H3258" s="1">
        <v>-8.951317E-6</v>
      </c>
      <c r="I3258">
        <v>134.56270000000001</v>
      </c>
      <c r="J3258">
        <v>-339.529</v>
      </c>
      <c r="K3258">
        <v>1.1091879999999901</v>
      </c>
      <c r="L3258">
        <v>141.12219999999999</v>
      </c>
      <c r="M3258">
        <v>-0.99988880000000002</v>
      </c>
      <c r="N3258">
        <v>-1.4413219999999999E-2</v>
      </c>
      <c r="O3258">
        <v>-3.8445760000000002E-3</v>
      </c>
      <c r="P3258">
        <v>-0.99361089999999996</v>
      </c>
      <c r="Q3258">
        <v>7.1888489999999998E-3</v>
      </c>
      <c r="R3258">
        <v>-0.1126323</v>
      </c>
      <c r="S3258">
        <v>-2.9945680000000001</v>
      </c>
      <c r="T3258">
        <v>-3.7315849999999998E-2</v>
      </c>
      <c r="U3258">
        <v>-0.2207336</v>
      </c>
      <c r="V3258">
        <v>-0.1088214</v>
      </c>
      <c r="W3258">
        <v>2.1463010000000001E-2</v>
      </c>
      <c r="X3258">
        <v>0.99382959999999998</v>
      </c>
      <c r="Y3258">
        <v>-6.9665169999999998E-2</v>
      </c>
      <c r="Z3258">
        <v>-9.4375199999999996E-4</v>
      </c>
      <c r="AA3258">
        <v>0.99756999999999996</v>
      </c>
      <c r="AB3258">
        <v>42</v>
      </c>
      <c r="AC3258">
        <v>-88.579499999999996</v>
      </c>
      <c r="AD3258">
        <v>-1.1091969513169999</v>
      </c>
      <c r="AE3258">
        <v>-6.5594999999999803</v>
      </c>
      <c r="AF3258">
        <v>-6.2178958773488402</v>
      </c>
      <c r="AG3258">
        <v>-1.1091969513169999</v>
      </c>
      <c r="AH3258">
        <v>88.590250993417698</v>
      </c>
      <c r="AI3258">
        <v>90.715575881999001</v>
      </c>
      <c r="AJ3258">
        <v>94.014842546815999</v>
      </c>
      <c r="AK3258">
        <v>88.815117621354901</v>
      </c>
      <c r="AL3258">
        <v>88.770165695798099</v>
      </c>
      <c r="AM3258">
        <v>96.248824003500602</v>
      </c>
      <c r="AN3258">
        <v>1.0000000158661799</v>
      </c>
    </row>
    <row r="3259" spans="1:40" x14ac:dyDescent="0.25">
      <c r="A3259" t="str">
        <f>"20190305135652875"</f>
        <v>20190305135652875</v>
      </c>
      <c r="B3259" t="str">
        <f>"1551765412865378"</f>
        <v>1551765412865378</v>
      </c>
      <c r="C3259" t="s">
        <v>40</v>
      </c>
      <c r="D3259">
        <v>3.8053560000000002</v>
      </c>
      <c r="E3259">
        <v>0.50839540000000005</v>
      </c>
      <c r="F3259" t="s">
        <v>42</v>
      </c>
      <c r="G3259">
        <v>-455.505</v>
      </c>
      <c r="H3259" s="1">
        <v>-2.7791490000000001E-6</v>
      </c>
      <c r="I3259">
        <v>131.05969999999999</v>
      </c>
      <c r="J3259">
        <v>-339.97949999999997</v>
      </c>
      <c r="K3259">
        <v>1.1091789999999999</v>
      </c>
      <c r="L3259">
        <v>141.12029999999999</v>
      </c>
      <c r="M3259">
        <v>-0.9998882</v>
      </c>
      <c r="N3259">
        <v>-1.4410559999999999E-2</v>
      </c>
      <c r="O3259">
        <v>-4.027564E-3</v>
      </c>
      <c r="P3259">
        <v>-0.99359869999999995</v>
      </c>
      <c r="Q3259">
        <v>6.4747609999999999E-3</v>
      </c>
      <c r="R3259">
        <v>-0.1127836</v>
      </c>
      <c r="S3259">
        <v>-2.9901119999999999</v>
      </c>
      <c r="T3259">
        <v>-2.8597350000000001E-2</v>
      </c>
      <c r="U3259">
        <v>-0.25942989999999999</v>
      </c>
      <c r="V3259">
        <v>-0.10878980000000001</v>
      </c>
      <c r="W3259">
        <v>2.0747910000000001E-2</v>
      </c>
      <c r="X3259">
        <v>0.99384819999999996</v>
      </c>
      <c r="Y3259">
        <v>-8.2414899999999902E-2</v>
      </c>
      <c r="Z3259">
        <v>-1.0078520000000001E-3</v>
      </c>
      <c r="AA3259">
        <v>0.99659759999999997</v>
      </c>
      <c r="AB3259">
        <v>42</v>
      </c>
      <c r="AC3259">
        <v>-115.52549999999999</v>
      </c>
      <c r="AD3259">
        <v>-1.109181779149</v>
      </c>
      <c r="AE3259">
        <v>-10.0605999999999</v>
      </c>
      <c r="AF3259">
        <v>-9.5943060174146204</v>
      </c>
      <c r="AG3259">
        <v>-1.109181779149</v>
      </c>
      <c r="AH3259">
        <v>115.554514770504</v>
      </c>
      <c r="AI3259">
        <v>90.548066654697806</v>
      </c>
      <c r="AJ3259">
        <v>94.746290127788797</v>
      </c>
      <c r="AK3259">
        <v>115.957435621963</v>
      </c>
      <c r="AL3259">
        <v>88.811146982398498</v>
      </c>
      <c r="AM3259">
        <v>96.246907803711295</v>
      </c>
      <c r="AN3259">
        <v>0.99999997049832301</v>
      </c>
    </row>
    <row r="3260" spans="1:40" x14ac:dyDescent="0.25">
      <c r="A3260" t="str">
        <f>"20190305135652897"</f>
        <v>20190305135652897</v>
      </c>
      <c r="B3260" t="str">
        <f>"1551765412885874"</f>
        <v>1551765412885874</v>
      </c>
      <c r="C3260" t="s">
        <v>40</v>
      </c>
      <c r="D3260">
        <v>3.8025440000000001</v>
      </c>
      <c r="E3260">
        <v>0.50854440000000001</v>
      </c>
      <c r="F3260" t="s">
        <v>78</v>
      </c>
      <c r="G3260">
        <v>-489.51159999999999</v>
      </c>
      <c r="H3260">
        <v>7.9986559999999998E-2</v>
      </c>
      <c r="I3260">
        <v>127.6204</v>
      </c>
      <c r="J3260">
        <v>-340.4076</v>
      </c>
      <c r="K3260">
        <v>1.1091789999999999</v>
      </c>
      <c r="L3260">
        <v>141.11840000000001</v>
      </c>
      <c r="M3260">
        <v>-0.99988739999999998</v>
      </c>
      <c r="N3260">
        <v>-1.4407990000000001E-2</v>
      </c>
      <c r="O3260">
        <v>-4.198299E-3</v>
      </c>
      <c r="P3260">
        <v>-0.99352229999999997</v>
      </c>
      <c r="Q3260">
        <v>6.0160830000000002E-3</v>
      </c>
      <c r="R3260">
        <v>-0.113478</v>
      </c>
      <c r="S3260">
        <v>-2.988861</v>
      </c>
      <c r="T3260">
        <v>-2.0571590000000001E-2</v>
      </c>
      <c r="U3260">
        <v>-0.26983639999999998</v>
      </c>
      <c r="V3260">
        <v>-0.109315</v>
      </c>
      <c r="W3260">
        <v>2.0286419999999999E-2</v>
      </c>
      <c r="X3260">
        <v>0.99380009999999996</v>
      </c>
      <c r="Y3260">
        <v>-8.5726339999999998E-2</v>
      </c>
      <c r="Z3260">
        <v>-9.4483230000000004E-4</v>
      </c>
      <c r="AA3260">
        <v>0.99631829999999999</v>
      </c>
      <c r="AB3260">
        <v>42</v>
      </c>
      <c r="AC3260">
        <v>-149.10399999999899</v>
      </c>
      <c r="AD3260">
        <v>-1.0291924400000001</v>
      </c>
      <c r="AE3260">
        <v>-13.497999999999999</v>
      </c>
      <c r="AF3260">
        <v>-12.871224608791801</v>
      </c>
      <c r="AG3260">
        <v>-1.0291924400000001</v>
      </c>
      <c r="AH3260">
        <v>149.15231165849801</v>
      </c>
      <c r="AI3260">
        <v>90.393886677003906</v>
      </c>
      <c r="AJ3260">
        <v>94.9321686240568</v>
      </c>
      <c r="AK3260">
        <v>149.71018580271101</v>
      </c>
      <c r="AL3260">
        <v>88.837593983158598</v>
      </c>
      <c r="AM3260">
        <v>96.277126971057996</v>
      </c>
      <c r="AN3260">
        <v>0.99999997341071201</v>
      </c>
    </row>
    <row r="3261" spans="1:40" x14ac:dyDescent="0.25">
      <c r="A3261" t="str">
        <f>"20190305135652921"</f>
        <v>20190305135652921</v>
      </c>
      <c r="B3261" t="str">
        <f>"1551765412915154"</f>
        <v>1551765412915154</v>
      </c>
      <c r="C3261" t="s">
        <v>40</v>
      </c>
      <c r="D3261">
        <v>3.8406790000000002</v>
      </c>
      <c r="E3261">
        <v>0.50750189999999995</v>
      </c>
      <c r="F3261" t="s">
        <v>78</v>
      </c>
      <c r="G3261">
        <v>-478.44880000000001</v>
      </c>
      <c r="H3261">
        <v>7.9986559999999998E-2</v>
      </c>
      <c r="I3261">
        <v>128.62260000000001</v>
      </c>
      <c r="J3261">
        <v>-340.85879999999997</v>
      </c>
      <c r="K3261">
        <v>1.1091759999999999</v>
      </c>
      <c r="L3261">
        <v>141.1164</v>
      </c>
      <c r="M3261">
        <v>-0.99988670000000002</v>
      </c>
      <c r="N3261">
        <v>-1.4405380000000001E-2</v>
      </c>
      <c r="O3261">
        <v>-4.3766730000000002E-3</v>
      </c>
      <c r="P3261">
        <v>-0.9934847</v>
      </c>
      <c r="Q3261">
        <v>5.8177430000000002E-3</v>
      </c>
      <c r="R3261">
        <v>-0.1138176</v>
      </c>
      <c r="S3261">
        <v>-2.9887999999999999</v>
      </c>
      <c r="T3261">
        <v>-2.2283549999999999E-2</v>
      </c>
      <c r="U3261">
        <v>-0.27055359999999901</v>
      </c>
      <c r="V3261">
        <v>-0.109477</v>
      </c>
      <c r="W3261">
        <v>2.0085720000000001E-2</v>
      </c>
      <c r="X3261">
        <v>0.99378639999999996</v>
      </c>
      <c r="Y3261">
        <v>-8.5786810000000005E-2</v>
      </c>
      <c r="Z3261">
        <v>-9.6872090000000004E-4</v>
      </c>
      <c r="AA3261">
        <v>0.996313</v>
      </c>
      <c r="AB3261">
        <v>42</v>
      </c>
      <c r="AC3261">
        <v>-137.59</v>
      </c>
      <c r="AD3261">
        <v>-1.0291894399999999</v>
      </c>
      <c r="AE3261">
        <v>-12.493799999999901</v>
      </c>
      <c r="AF3261">
        <v>-11.8907715359856</v>
      </c>
      <c r="AG3261">
        <v>-1.0291894399999999</v>
      </c>
      <c r="AH3261">
        <v>137.63573084502301</v>
      </c>
      <c r="AI3261">
        <v>90.426838917402193</v>
      </c>
      <c r="AJ3261">
        <v>94.937697302597101</v>
      </c>
      <c r="AK3261">
        <v>138.15224965185399</v>
      </c>
      <c r="AL3261">
        <v>88.849095654268794</v>
      </c>
      <c r="AM3261">
        <v>96.286440942777105</v>
      </c>
      <c r="AN3261">
        <v>1.0000000292509299</v>
      </c>
    </row>
    <row r="3262" spans="1:40" x14ac:dyDescent="0.25">
      <c r="A3262" t="str">
        <f>"20190305135652941"</f>
        <v>20190305135652941</v>
      </c>
      <c r="B3262" t="str">
        <f>"1551765412935650"</f>
        <v>1551765412935650</v>
      </c>
      <c r="C3262" t="s">
        <v>40</v>
      </c>
      <c r="D3262">
        <v>3.8093180000000002</v>
      </c>
      <c r="E3262">
        <v>0.5070846</v>
      </c>
      <c r="F3262" t="s">
        <v>78</v>
      </c>
      <c r="G3262">
        <v>-496.21199999999999</v>
      </c>
      <c r="H3262">
        <v>7.9988050000000005E-2</v>
      </c>
      <c r="I3262">
        <v>126.553</v>
      </c>
      <c r="J3262">
        <v>-341.22789999999998</v>
      </c>
      <c r="K3262">
        <v>1.109178</v>
      </c>
      <c r="L3262">
        <v>141.1146</v>
      </c>
      <c r="M3262">
        <v>-0.99988619999999995</v>
      </c>
      <c r="N3262">
        <v>-1.440322E-2</v>
      </c>
      <c r="O3262">
        <v>-4.5220449999999997E-3</v>
      </c>
      <c r="P3262">
        <v>-0.99341710000000005</v>
      </c>
      <c r="Q3262">
        <v>6.0096029999999996E-3</v>
      </c>
      <c r="R3262">
        <v>-0.1143974</v>
      </c>
      <c r="S3262">
        <v>-2.9876710000000002</v>
      </c>
      <c r="T3262">
        <v>-1.9792799999999999E-2</v>
      </c>
      <c r="U3262">
        <v>-0.28007510000000002</v>
      </c>
      <c r="V3262">
        <v>-0.1099125</v>
      </c>
      <c r="W3262">
        <v>2.0275459999999999E-2</v>
      </c>
      <c r="X3262">
        <v>0.99373440000000002</v>
      </c>
      <c r="Y3262">
        <v>-8.8824639999999996E-2</v>
      </c>
      <c r="Z3262">
        <v>-9.6981960000000001E-4</v>
      </c>
      <c r="AA3262">
        <v>0.99604680000000001</v>
      </c>
      <c r="AB3262">
        <v>42</v>
      </c>
      <c r="AC3262">
        <v>-154.98410000000001</v>
      </c>
      <c r="AD3262">
        <v>-1.0291899499999999</v>
      </c>
      <c r="AE3262">
        <v>-14.5616</v>
      </c>
      <c r="AF3262">
        <v>-13.8599275685136</v>
      </c>
      <c r="AG3262">
        <v>-1.0291899499999999</v>
      </c>
      <c r="AH3262">
        <v>155.041592903821</v>
      </c>
      <c r="AI3262">
        <v>90.378822002330097</v>
      </c>
      <c r="AJ3262">
        <v>95.108371550036594</v>
      </c>
      <c r="AK3262">
        <v>155.66326591174899</v>
      </c>
      <c r="AL3262">
        <v>88.838222052524898</v>
      </c>
      <c r="AM3262">
        <v>96.311574621991198</v>
      </c>
      <c r="AN3262">
        <v>0.99999995483890902</v>
      </c>
    </row>
    <row r="3263" spans="1:40" x14ac:dyDescent="0.25">
      <c r="A3263" t="str">
        <f>"20190305135652963"</f>
        <v>20190305135652963</v>
      </c>
      <c r="B3263" t="str">
        <f>"1551765412955170"</f>
        <v>1551765412955170</v>
      </c>
      <c r="C3263" t="s">
        <v>40</v>
      </c>
      <c r="D3263">
        <v>3.8396129999999999</v>
      </c>
      <c r="E3263">
        <v>0.50660779999999905</v>
      </c>
      <c r="F3263" t="s">
        <v>43</v>
      </c>
      <c r="G3263">
        <v>-532.15980000000002</v>
      </c>
      <c r="H3263">
        <v>-0.05</v>
      </c>
      <c r="I3263">
        <v>122.8844</v>
      </c>
      <c r="J3263">
        <v>-341.66390000000001</v>
      </c>
      <c r="K3263">
        <v>1.109178</v>
      </c>
      <c r="L3263">
        <v>141.11250000000001</v>
      </c>
      <c r="M3263">
        <v>-0.99988529999999998</v>
      </c>
      <c r="N3263">
        <v>-1.440056E-2</v>
      </c>
      <c r="O3263">
        <v>-4.6939939999999999E-3</v>
      </c>
      <c r="P3263">
        <v>-0.9934056</v>
      </c>
      <c r="Q3263">
        <v>6.3708569999999997E-3</v>
      </c>
      <c r="R3263">
        <v>-0.1144773</v>
      </c>
      <c r="S3263">
        <v>-2.9871829999999999</v>
      </c>
      <c r="T3263">
        <v>-1.813567E-2</v>
      </c>
      <c r="U3263">
        <v>-0.28521729999999901</v>
      </c>
      <c r="V3263">
        <v>-0.10982119999999999</v>
      </c>
      <c r="W3263">
        <v>2.0634920000000001E-2</v>
      </c>
      <c r="X3263">
        <v>0.99373719999999999</v>
      </c>
      <c r="Y3263">
        <v>-9.0368370000000003E-2</v>
      </c>
      <c r="Z3263">
        <v>-9.6492310000000005E-4</v>
      </c>
      <c r="AA3263">
        <v>0.99590800000000002</v>
      </c>
      <c r="AB3263">
        <v>42</v>
      </c>
      <c r="AC3263">
        <v>-190.49590000000001</v>
      </c>
      <c r="AD3263">
        <v>-1.159178</v>
      </c>
      <c r="AE3263">
        <v>-18.228100000000001</v>
      </c>
      <c r="AF3263">
        <v>-17.3329838290522</v>
      </c>
      <c r="AG3263">
        <v>-1.159178</v>
      </c>
      <c r="AH3263">
        <v>190.57237989444101</v>
      </c>
      <c r="AI3263">
        <v>90.3470711964749</v>
      </c>
      <c r="AJ3263">
        <v>95.196880595040298</v>
      </c>
      <c r="AK3263">
        <v>191.362504166007</v>
      </c>
      <c r="AL3263">
        <v>88.8176223239916</v>
      </c>
      <c r="AM3263">
        <v>96.306356476817001</v>
      </c>
      <c r="AN3263">
        <v>1.00000005927834</v>
      </c>
    </row>
    <row r="3264" spans="1:40" x14ac:dyDescent="0.25">
      <c r="A3264" t="str">
        <f>"20190305135652986"</f>
        <v>20190305135652986</v>
      </c>
      <c r="B3264" t="str">
        <f>"1551765412975666"</f>
        <v>1551765412975666</v>
      </c>
      <c r="C3264" t="s">
        <v>40</v>
      </c>
      <c r="D3264">
        <v>4.1131460000000004</v>
      </c>
      <c r="E3264">
        <v>0.50758979999999998</v>
      </c>
      <c r="F3264" t="s">
        <v>43</v>
      </c>
      <c r="G3264">
        <v>-542.43460000000005</v>
      </c>
      <c r="H3264">
        <v>-0.05</v>
      </c>
      <c r="I3264">
        <v>121.672</v>
      </c>
      <c r="J3264">
        <v>-342.08679999999998</v>
      </c>
      <c r="K3264">
        <v>1.1091819999999999</v>
      </c>
      <c r="L3264">
        <v>141.1103</v>
      </c>
      <c r="M3264">
        <v>-0.99988460000000001</v>
      </c>
      <c r="N3264">
        <v>-1.439791E-2</v>
      </c>
      <c r="O3264">
        <v>-4.8611820000000003E-3</v>
      </c>
      <c r="P3264">
        <v>-0.99347629999999998</v>
      </c>
      <c r="Q3264">
        <v>7.3294379999999998E-3</v>
      </c>
      <c r="R3264">
        <v>-0.11380460000000001</v>
      </c>
      <c r="S3264">
        <v>-2.986694</v>
      </c>
      <c r="T3264">
        <v>-1.7244099999999998E-2</v>
      </c>
      <c r="U3264">
        <v>-0.28919980000000001</v>
      </c>
      <c r="V3264">
        <v>-0.1089831</v>
      </c>
      <c r="W3264">
        <v>2.1592670000000001E-2</v>
      </c>
      <c r="X3264">
        <v>0.99380900000000005</v>
      </c>
      <c r="Y3264">
        <v>-9.1533299999999998E-2</v>
      </c>
      <c r="Z3264">
        <v>-9.6599339999999998E-4</v>
      </c>
      <c r="AA3264">
        <v>0.99580159999999995</v>
      </c>
      <c r="AB3264">
        <v>42</v>
      </c>
      <c r="AC3264">
        <v>-200.34780000000001</v>
      </c>
      <c r="AD3264">
        <v>-1.1591819999999999</v>
      </c>
      <c r="AE3264">
        <v>-19.438299999999899</v>
      </c>
      <c r="AF3264">
        <v>-18.463429946400002</v>
      </c>
      <c r="AG3264">
        <v>-1.1591819999999999</v>
      </c>
      <c r="AH3264">
        <v>200.43328803920599</v>
      </c>
      <c r="AI3264">
        <v>90.329962623277694</v>
      </c>
      <c r="AJ3264">
        <v>95.263095307440906</v>
      </c>
      <c r="AK3264">
        <v>201.28523269853099</v>
      </c>
      <c r="AL3264">
        <v>88.762734914116706</v>
      </c>
      <c r="AM3264">
        <v>96.258164334328299</v>
      </c>
      <c r="AN3264">
        <v>0.99999994398216796</v>
      </c>
    </row>
    <row r="3265" spans="1:40" x14ac:dyDescent="0.25">
      <c r="A3265" t="str">
        <f>"20190305135653006"</f>
        <v>20190305135653006</v>
      </c>
      <c r="B3265" t="str">
        <f>"1551765412995186"</f>
        <v>1551765412995186</v>
      </c>
      <c r="C3265" t="s">
        <v>40</v>
      </c>
      <c r="D3265">
        <v>3.7868729999999999</v>
      </c>
      <c r="E3265">
        <v>0.5073126</v>
      </c>
      <c r="F3265" t="s">
        <v>43</v>
      </c>
      <c r="G3265">
        <v>-530.4991</v>
      </c>
      <c r="H3265">
        <v>-0.05</v>
      </c>
      <c r="I3265">
        <v>123.50839999999999</v>
      </c>
      <c r="J3265">
        <v>-342.46929999999998</v>
      </c>
      <c r="K3265">
        <v>1.1091869999999999</v>
      </c>
      <c r="L3265">
        <v>141.10839999999999</v>
      </c>
      <c r="M3265">
        <v>-0.99988390000000005</v>
      </c>
      <c r="N3265">
        <v>-1.439553E-2</v>
      </c>
      <c r="O3265">
        <v>-5.0110830000000004E-3</v>
      </c>
      <c r="P3265">
        <v>-0.99352320000000005</v>
      </c>
      <c r="Q3265">
        <v>7.78664099999999E-3</v>
      </c>
      <c r="R3265">
        <v>-0.1133643</v>
      </c>
      <c r="S3265">
        <v>-2.9878230000000001</v>
      </c>
      <c r="T3265">
        <v>-1.838219E-2</v>
      </c>
      <c r="U3265">
        <v>-0.27912900000000002</v>
      </c>
      <c r="V3265">
        <v>-0.108393</v>
      </c>
      <c r="W3265">
        <v>2.2049369999999999E-2</v>
      </c>
      <c r="X3265">
        <v>0.99386359999999996</v>
      </c>
      <c r="Y3265">
        <v>-8.8020730000000005E-2</v>
      </c>
      <c r="Z3265">
        <v>-9.4638779999999998E-4</v>
      </c>
      <c r="AA3265">
        <v>0.99611819999999895</v>
      </c>
      <c r="AB3265">
        <v>42</v>
      </c>
      <c r="AC3265">
        <v>-188.02979999999999</v>
      </c>
      <c r="AD3265">
        <v>-1.159187</v>
      </c>
      <c r="AE3265">
        <v>-17.599999999999898</v>
      </c>
      <c r="AF3265">
        <v>-16.656820907351602</v>
      </c>
      <c r="AG3265">
        <v>-1.159187</v>
      </c>
      <c r="AH3265">
        <v>188.10855570167001</v>
      </c>
      <c r="AI3265">
        <v>90.351694953652796</v>
      </c>
      <c r="AJ3265">
        <v>95.060284661286403</v>
      </c>
      <c r="AK3265">
        <v>188.84814567638401</v>
      </c>
      <c r="AL3265">
        <v>88.7365618145366</v>
      </c>
      <c r="AM3265">
        <v>96.224206303016302</v>
      </c>
      <c r="AN3265">
        <v>1.00000003628567</v>
      </c>
    </row>
    <row r="3266" spans="1:40" x14ac:dyDescent="0.25">
      <c r="A3266" t="str">
        <f>"20190305135653030"</f>
        <v>20190305135653030</v>
      </c>
      <c r="B3266" t="str">
        <f>"1551765413025443"</f>
        <v>1551765413025443</v>
      </c>
      <c r="C3266" t="s">
        <v>40</v>
      </c>
      <c r="D3266">
        <v>3.8495509999999999</v>
      </c>
      <c r="E3266">
        <v>0.50705739999999999</v>
      </c>
      <c r="F3266" t="s">
        <v>43</v>
      </c>
      <c r="G3266">
        <v>-528.06679999999994</v>
      </c>
      <c r="H3266">
        <v>-0.05</v>
      </c>
      <c r="I3266">
        <v>123.715</v>
      </c>
      <c r="J3266">
        <v>-342.9015</v>
      </c>
      <c r="K3266">
        <v>1.1091819999999999</v>
      </c>
      <c r="L3266">
        <v>141.10599999999999</v>
      </c>
      <c r="M3266">
        <v>-0.99988310000000002</v>
      </c>
      <c r="N3266">
        <v>-1.439289E-2</v>
      </c>
      <c r="O3266">
        <v>-5.1740420000000002E-3</v>
      </c>
      <c r="P3266">
        <v>-0.99354419999999999</v>
      </c>
      <c r="Q3266">
        <v>7.6524879999999998E-3</v>
      </c>
      <c r="R3266">
        <v>-0.1131887</v>
      </c>
      <c r="S3266">
        <v>-2.987762</v>
      </c>
      <c r="T3266">
        <v>-1.8660659999999999E-2</v>
      </c>
      <c r="U3266">
        <v>-0.27999879999999999</v>
      </c>
      <c r="V3266">
        <v>-0.108055399999999</v>
      </c>
      <c r="W3266">
        <v>2.191446E-2</v>
      </c>
      <c r="X3266">
        <v>0.99390330000000005</v>
      </c>
      <c r="Y3266">
        <v>-8.8147630000000005E-2</v>
      </c>
      <c r="Z3266">
        <v>-9.5253069999999996E-4</v>
      </c>
      <c r="AA3266">
        <v>0.99610699999999996</v>
      </c>
      <c r="AB3266">
        <v>42</v>
      </c>
      <c r="AC3266">
        <v>-185.1653</v>
      </c>
      <c r="AD3266">
        <v>-1.1591819999999999</v>
      </c>
      <c r="AE3266">
        <v>-17.390999999999899</v>
      </c>
      <c r="AF3266">
        <v>-16.431976593870299</v>
      </c>
      <c r="AG3266">
        <v>-1.1591819999999999</v>
      </c>
      <c r="AH3266">
        <v>185.24561560556</v>
      </c>
      <c r="AI3266">
        <v>90.357123800852705</v>
      </c>
      <c r="AJ3266">
        <v>95.069081884838994</v>
      </c>
      <c r="AK3266">
        <v>185.976589007255</v>
      </c>
      <c r="AL3266">
        <v>88.744293399697298</v>
      </c>
      <c r="AM3266">
        <v>96.204725976349707</v>
      </c>
      <c r="AN3266">
        <v>0.99999999138857099</v>
      </c>
    </row>
    <row r="3267" spans="1:40" x14ac:dyDescent="0.25">
      <c r="A3267" t="str">
        <f>"20190305135653052"</f>
        <v>20190305135653052</v>
      </c>
      <c r="B3267" t="str">
        <f>"1551765413045938"</f>
        <v>1551765413045938</v>
      </c>
      <c r="C3267" t="s">
        <v>40</v>
      </c>
      <c r="D3267">
        <v>3.8383769999999999</v>
      </c>
      <c r="E3267">
        <v>0.50683270000000002</v>
      </c>
      <c r="F3267" t="s">
        <v>43</v>
      </c>
      <c r="G3267">
        <v>-535.58309999999994</v>
      </c>
      <c r="H3267">
        <v>-0.05</v>
      </c>
      <c r="I3267">
        <v>122.9444</v>
      </c>
      <c r="J3267">
        <v>-343.32760000000002</v>
      </c>
      <c r="K3267">
        <v>1.1091770000000001</v>
      </c>
      <c r="L3267">
        <v>141.1037</v>
      </c>
      <c r="M3267">
        <v>-0.9998823</v>
      </c>
      <c r="N3267">
        <v>-1.439027E-2</v>
      </c>
      <c r="O3267">
        <v>-5.3175990000000001E-3</v>
      </c>
      <c r="P3267">
        <v>-0.99353409999999998</v>
      </c>
      <c r="Q3267">
        <v>7.5122940000000001E-3</v>
      </c>
      <c r="R3267">
        <v>-0.1132867</v>
      </c>
      <c r="S3267">
        <v>-2.9875790000000002</v>
      </c>
      <c r="T3267">
        <v>-1.797342E-2</v>
      </c>
      <c r="U3267">
        <v>-0.28160099999999999</v>
      </c>
      <c r="V3267">
        <v>-0.1080102</v>
      </c>
      <c r="W3267">
        <v>2.1774310000000002E-2</v>
      </c>
      <c r="X3267">
        <v>0.99391130000000005</v>
      </c>
      <c r="Y3267">
        <v>-8.8540030000000006E-2</v>
      </c>
      <c r="Z3267">
        <v>-9.4870309999999999E-4</v>
      </c>
      <c r="AA3267">
        <v>0.99607219999999996</v>
      </c>
      <c r="AB3267">
        <v>42</v>
      </c>
      <c r="AC3267">
        <v>-192.25550000000001</v>
      </c>
      <c r="AD3267">
        <v>-1.1591769999999999</v>
      </c>
      <c r="AE3267">
        <v>-18.159300000000002</v>
      </c>
      <c r="AF3267">
        <v>-17.135982223909899</v>
      </c>
      <c r="AG3267">
        <v>-1.1591769999999999</v>
      </c>
      <c r="AH3267">
        <v>192.34242468203999</v>
      </c>
      <c r="AI3267">
        <v>90.343934186319203</v>
      </c>
      <c r="AJ3267">
        <v>95.091097954204798</v>
      </c>
      <c r="AK3267">
        <v>193.107726180653</v>
      </c>
      <c r="AL3267">
        <v>88.752325328167302</v>
      </c>
      <c r="AM3267">
        <v>96.202101214697095</v>
      </c>
      <c r="AN3267">
        <v>0.99999999807385298</v>
      </c>
    </row>
    <row r="3268" spans="1:40" x14ac:dyDescent="0.25">
      <c r="A3268" t="str">
        <f>"20190305135653076"</f>
        <v>20190305135653076</v>
      </c>
      <c r="B3268" t="str">
        <f>"1551765413065458"</f>
        <v>1551765413065458</v>
      </c>
      <c r="C3268" t="s">
        <v>40</v>
      </c>
      <c r="D3268">
        <v>3.803563</v>
      </c>
      <c r="E3268">
        <v>0.50654480000000002</v>
      </c>
      <c r="F3268" t="s">
        <v>43</v>
      </c>
      <c r="G3268">
        <v>-533.81629999999996</v>
      </c>
      <c r="H3268">
        <v>-0.05</v>
      </c>
      <c r="I3268">
        <v>123.01479999999999</v>
      </c>
      <c r="J3268">
        <v>-343.77190000000002</v>
      </c>
      <c r="K3268">
        <v>1.109165</v>
      </c>
      <c r="L3268">
        <v>141.10120000000001</v>
      </c>
      <c r="M3268">
        <v>-0.99988169999999998</v>
      </c>
      <c r="N3268">
        <v>-1.4387509999999999E-2</v>
      </c>
      <c r="O3268">
        <v>-5.4393000000000002E-3</v>
      </c>
      <c r="P3268">
        <v>-0.99348040000000004</v>
      </c>
      <c r="Q3268">
        <v>7.9924319999999903E-3</v>
      </c>
      <c r="R3268">
        <v>-0.11372259999999999</v>
      </c>
      <c r="S3268">
        <v>-2.9873050000000001</v>
      </c>
      <c r="T3268">
        <v>-1.817858E-2</v>
      </c>
      <c r="U3268">
        <v>-0.28367609999999999</v>
      </c>
      <c r="V3268">
        <v>-0.1083242</v>
      </c>
      <c r="W3268">
        <v>2.2256270000000002E-2</v>
      </c>
      <c r="X3268">
        <v>0.99386640000000004</v>
      </c>
      <c r="Y3268">
        <v>-8.9113029999999996E-2</v>
      </c>
      <c r="Z3268">
        <v>-9.5814680000000005E-4</v>
      </c>
      <c r="AA3268">
        <v>0.99602100000000005</v>
      </c>
      <c r="AB3268">
        <v>42</v>
      </c>
      <c r="AC3268">
        <v>-190.0444</v>
      </c>
      <c r="AD3268">
        <v>-1.159165</v>
      </c>
      <c r="AE3268">
        <v>-18.086400000000001</v>
      </c>
      <c r="AF3268">
        <v>-17.051688196923401</v>
      </c>
      <c r="AG3268">
        <v>-1.159165</v>
      </c>
      <c r="AH3268">
        <v>190.132965546674</v>
      </c>
      <c r="AI3268">
        <v>90.347908945635993</v>
      </c>
      <c r="AJ3268">
        <v>95.124745264033294</v>
      </c>
      <c r="AK3268">
        <v>190.89957653550499</v>
      </c>
      <c r="AL3268">
        <v>88.724704295006802</v>
      </c>
      <c r="AM3268">
        <v>96.220269221251499</v>
      </c>
      <c r="AN3268">
        <v>0.99999994745445497</v>
      </c>
    </row>
    <row r="3269" spans="1:40" x14ac:dyDescent="0.25">
      <c r="A3269" t="str">
        <f>"20190305135653097"</f>
        <v>20190305135653097</v>
      </c>
      <c r="B3269" t="str">
        <f>"1551765413085955"</f>
        <v>1551765413085955</v>
      </c>
      <c r="C3269" t="s">
        <v>40</v>
      </c>
      <c r="D3269">
        <v>3.8014079999999999</v>
      </c>
      <c r="E3269">
        <v>0.50631809999999999</v>
      </c>
      <c r="F3269" t="s">
        <v>82</v>
      </c>
      <c r="G3269">
        <v>-573.37400000000002</v>
      </c>
      <c r="H3269">
        <v>-0.1</v>
      </c>
      <c r="I3269">
        <v>119.021</v>
      </c>
      <c r="J3269">
        <v>-344.1764</v>
      </c>
      <c r="K3269">
        <v>1.109138</v>
      </c>
      <c r="L3269">
        <v>141.09889999999999</v>
      </c>
      <c r="M3269">
        <v>-0.99988129999999997</v>
      </c>
      <c r="N3269">
        <v>-1.438497E-2</v>
      </c>
      <c r="O3269">
        <v>-5.5261449999999997E-3</v>
      </c>
      <c r="P3269">
        <v>-0.99344379999999999</v>
      </c>
      <c r="Q3269">
        <v>8.5447170000000003E-3</v>
      </c>
      <c r="R3269">
        <v>-0.1140022</v>
      </c>
      <c r="S3269">
        <v>-2.9869379999999999</v>
      </c>
      <c r="T3269">
        <v>-1.5730259999999999E-2</v>
      </c>
      <c r="U3269">
        <v>-0.28724670000000002</v>
      </c>
      <c r="V3269">
        <v>-0.10851669999999999</v>
      </c>
      <c r="W3269">
        <v>2.2811169999999999E-2</v>
      </c>
      <c r="X3269">
        <v>0.99383290000000002</v>
      </c>
      <c r="Y3269">
        <v>-9.0218740000000006E-2</v>
      </c>
      <c r="Z3269">
        <v>-9.3774169999999999E-4</v>
      </c>
      <c r="AA3269">
        <v>0.99592159999999996</v>
      </c>
      <c r="AB3269">
        <v>42</v>
      </c>
      <c r="AC3269">
        <v>-229.19759999999999</v>
      </c>
      <c r="AD3269">
        <v>-1.2091379999999901</v>
      </c>
      <c r="AE3269">
        <v>-22.0778999999999</v>
      </c>
      <c r="AF3269">
        <v>-20.810278781204602</v>
      </c>
      <c r="AG3269">
        <v>-1.2091379999999901</v>
      </c>
      <c r="AH3269">
        <v>229.30979460710799</v>
      </c>
      <c r="AI3269">
        <v>90.300878273558993</v>
      </c>
      <c r="AJ3269">
        <v>95.185491081543603</v>
      </c>
      <c r="AK3269">
        <v>230.25531833251699</v>
      </c>
      <c r="AL3269">
        <v>88.692902895755495</v>
      </c>
      <c r="AM3269">
        <v>96.231444602761101</v>
      </c>
      <c r="AN3269">
        <v>1.00000002838903</v>
      </c>
    </row>
    <row r="3270" spans="1:40" x14ac:dyDescent="0.25">
      <c r="A3270" t="str">
        <f>"20190305135653119"</f>
        <v>20190305135653119</v>
      </c>
      <c r="B3270" t="str">
        <f>"1551765413105475"</f>
        <v>1551765413105475</v>
      </c>
      <c r="C3270" t="s">
        <v>40</v>
      </c>
      <c r="D3270">
        <v>4.0511759999999999</v>
      </c>
      <c r="E3270">
        <v>0.50641550000000002</v>
      </c>
      <c r="F3270" t="s">
        <v>82</v>
      </c>
      <c r="G3270">
        <v>-623.51430000000005</v>
      </c>
      <c r="H3270">
        <v>-0.1</v>
      </c>
      <c r="I3270">
        <v>113.9701</v>
      </c>
      <c r="J3270">
        <v>-344.57220000000001</v>
      </c>
      <c r="K3270">
        <v>1.1091200000000001</v>
      </c>
      <c r="L3270">
        <v>141.0967</v>
      </c>
      <c r="M3270">
        <v>-0.99988089999999996</v>
      </c>
      <c r="N3270">
        <v>-1.438247E-2</v>
      </c>
      <c r="O3270">
        <v>-5.5876969999999896E-3</v>
      </c>
      <c r="P3270">
        <v>-0.99340209999999995</v>
      </c>
      <c r="Q3270">
        <v>8.7725609999999999E-3</v>
      </c>
      <c r="R3270">
        <v>-0.1143468</v>
      </c>
      <c r="S3270">
        <v>-2.9866030000000001</v>
      </c>
      <c r="T3270">
        <v>-1.292777E-2</v>
      </c>
      <c r="U3270">
        <v>-0.29005429999999999</v>
      </c>
      <c r="V3270">
        <v>-0.10879949999999999</v>
      </c>
      <c r="W3270">
        <v>2.304237E-2</v>
      </c>
      <c r="X3270">
        <v>0.99379660000000003</v>
      </c>
      <c r="Y3270">
        <v>-9.1096659999999996E-2</v>
      </c>
      <c r="Z3270">
        <v>-9.0943749999999998E-4</v>
      </c>
      <c r="AA3270">
        <v>0.99584159999999999</v>
      </c>
      <c r="AB3270">
        <v>42</v>
      </c>
      <c r="AC3270">
        <v>-278.94209999999998</v>
      </c>
      <c r="AD3270">
        <v>-1.20912</v>
      </c>
      <c r="AE3270">
        <v>-27.1266</v>
      </c>
      <c r="AF3270">
        <v>-25.5668952956485</v>
      </c>
      <c r="AG3270">
        <v>-1.20912</v>
      </c>
      <c r="AH3270">
        <v>279.08414068914101</v>
      </c>
      <c r="AI3270">
        <v>90.247194842292799</v>
      </c>
      <c r="AJ3270">
        <v>95.234255767119805</v>
      </c>
      <c r="AK3270">
        <v>280.25539368659702</v>
      </c>
      <c r="AL3270">
        <v>88.679652567870207</v>
      </c>
      <c r="AM3270">
        <v>96.247782207106297</v>
      </c>
      <c r="AN3270">
        <v>0.99999998209351304</v>
      </c>
    </row>
    <row r="3271" spans="1:40" x14ac:dyDescent="0.25">
      <c r="A3271" t="str">
        <f>"20190305135653153"</f>
        <v>20190305135653153</v>
      </c>
      <c r="B3271" t="str">
        <f>"1551765413145507"</f>
        <v>1551765413145507</v>
      </c>
      <c r="C3271" t="s">
        <v>40</v>
      </c>
      <c r="D3271">
        <v>4.0947329999999997</v>
      </c>
      <c r="E3271">
        <v>0.50630940000000002</v>
      </c>
      <c r="F3271" t="s">
        <v>82</v>
      </c>
      <c r="G3271">
        <v>-599.59370000000001</v>
      </c>
      <c r="H3271">
        <v>-0.1</v>
      </c>
      <c r="I3271">
        <v>116.3116</v>
      </c>
      <c r="J3271">
        <v>-345.21300000000002</v>
      </c>
      <c r="K3271">
        <v>1.1090789999999999</v>
      </c>
      <c r="L3271">
        <v>141.09309999999999</v>
      </c>
      <c r="M3271">
        <v>-0.99988069999999896</v>
      </c>
      <c r="N3271">
        <v>-1.4378500000000001E-2</v>
      </c>
      <c r="O3271">
        <v>-5.6340649999999997E-3</v>
      </c>
      <c r="P3271">
        <v>-0.99327920000000003</v>
      </c>
      <c r="Q3271">
        <v>8.5613389999999994E-3</v>
      </c>
      <c r="R3271">
        <v>-0.1154244</v>
      </c>
      <c r="S3271">
        <v>-2.9866640000000002</v>
      </c>
      <c r="T3271">
        <v>-1.4160509999999999E-2</v>
      </c>
      <c r="U3271">
        <v>-0.29026790000000002</v>
      </c>
      <c r="V3271">
        <v>-0.1098292</v>
      </c>
      <c r="W3271">
        <v>2.2835959999999999E-2</v>
      </c>
      <c r="X3271">
        <v>0.99368809999999996</v>
      </c>
      <c r="Y3271">
        <v>-9.1118619999999997E-2</v>
      </c>
      <c r="Z3271">
        <v>-9.2634420000000002E-4</v>
      </c>
      <c r="AA3271">
        <v>0.99583960000000005</v>
      </c>
      <c r="AB3271">
        <v>42</v>
      </c>
      <c r="AC3271">
        <v>-254.38069999999999</v>
      </c>
      <c r="AD3271">
        <v>-1.209079</v>
      </c>
      <c r="AE3271">
        <v>-24.781499999999902</v>
      </c>
      <c r="AF3271">
        <v>-23.347238469141899</v>
      </c>
      <c r="AG3271">
        <v>-1.209079</v>
      </c>
      <c r="AH3271">
        <v>254.510601124375</v>
      </c>
      <c r="AI3271">
        <v>90.271049445997804</v>
      </c>
      <c r="AJ3271">
        <v>95.241293548928596</v>
      </c>
      <c r="AK3271">
        <v>255.582083685171</v>
      </c>
      <c r="AL3271">
        <v>88.691482109376906</v>
      </c>
      <c r="AM3271">
        <v>96.307121286108</v>
      </c>
      <c r="AN3271">
        <v>0.99999998716168503</v>
      </c>
    </row>
    <row r="3272" spans="1:40" x14ac:dyDescent="0.25">
      <c r="A3272" t="str">
        <f>"20190305135653174"</f>
        <v>20190305135653174</v>
      </c>
      <c r="B3272" t="str">
        <f>"1551765413165010"</f>
        <v>1551765413165010</v>
      </c>
      <c r="C3272" t="s">
        <v>40</v>
      </c>
      <c r="D3272">
        <v>3.783226</v>
      </c>
      <c r="E3272">
        <v>0.5060772</v>
      </c>
      <c r="F3272" t="s">
        <v>82</v>
      </c>
      <c r="G3272">
        <v>-596.89790000000005</v>
      </c>
      <c r="H3272">
        <v>-0.1</v>
      </c>
      <c r="I3272">
        <v>116.28619999999999</v>
      </c>
      <c r="J3272">
        <v>-345.63220000000001</v>
      </c>
      <c r="K3272">
        <v>1.109048</v>
      </c>
      <c r="L3272">
        <v>141.0907</v>
      </c>
      <c r="M3272">
        <v>-0.99988089999999996</v>
      </c>
      <c r="N3272">
        <v>-1.4375870000000001E-2</v>
      </c>
      <c r="O3272">
        <v>-5.6096389999999996E-3</v>
      </c>
      <c r="P3272">
        <v>-0.99326000000000003</v>
      </c>
      <c r="Q3272">
        <v>8.454919E-3</v>
      </c>
      <c r="R3272">
        <v>-0.1155992</v>
      </c>
      <c r="S3272">
        <v>-2.9861759999999999</v>
      </c>
      <c r="T3272">
        <v>-1.4345409999999999E-2</v>
      </c>
      <c r="U3272">
        <v>-0.2943268</v>
      </c>
      <c r="V3272">
        <v>-0.1100266</v>
      </c>
      <c r="W3272">
        <v>2.273441E-2</v>
      </c>
      <c r="X3272">
        <v>0.99366860000000001</v>
      </c>
      <c r="Y3272">
        <v>-9.2499109999999996E-2</v>
      </c>
      <c r="Z3272">
        <v>-9.4175460000000004E-4</v>
      </c>
      <c r="AA3272">
        <v>0.99571229999999999</v>
      </c>
      <c r="AB3272">
        <v>42</v>
      </c>
      <c r="AC3272">
        <v>-251.26570000000001</v>
      </c>
      <c r="AD3272">
        <v>-1.2090479999999999</v>
      </c>
      <c r="AE3272">
        <v>-24.804500000000001</v>
      </c>
      <c r="AF3272">
        <v>-23.393917635138902</v>
      </c>
      <c r="AG3272">
        <v>-1.2090479999999999</v>
      </c>
      <c r="AH3272">
        <v>251.39513985127601</v>
      </c>
      <c r="AI3272">
        <v>90.274368146652904</v>
      </c>
      <c r="AJ3272">
        <v>95.316426347835304</v>
      </c>
      <c r="AK3272">
        <v>252.48416489005501</v>
      </c>
      <c r="AL3272">
        <v>88.697302018794502</v>
      </c>
      <c r="AM3272">
        <v>96.318488694680994</v>
      </c>
      <c r="AN3272">
        <v>0.99999999636578396</v>
      </c>
    </row>
    <row r="3273" spans="1:40" x14ac:dyDescent="0.25">
      <c r="A3273" t="str">
        <f>"20190305135653197"</f>
        <v>20190305135653197</v>
      </c>
      <c r="B3273" t="str">
        <f>"1551765413185506"</f>
        <v>1551765413185506</v>
      </c>
      <c r="C3273" t="s">
        <v>40</v>
      </c>
      <c r="D3273">
        <v>3.774867</v>
      </c>
      <c r="E3273">
        <v>0.50588919999999904</v>
      </c>
      <c r="F3273" t="s">
        <v>82</v>
      </c>
      <c r="G3273">
        <v>-612.55029999999999</v>
      </c>
      <c r="H3273">
        <v>-0.1</v>
      </c>
      <c r="I3273">
        <v>114.5647</v>
      </c>
      <c r="J3273">
        <v>-346.03829999999999</v>
      </c>
      <c r="K3273">
        <v>1.109016</v>
      </c>
      <c r="L3273">
        <v>141.08850000000001</v>
      </c>
      <c r="M3273">
        <v>-0.99988140000000003</v>
      </c>
      <c r="N3273">
        <v>-1.437335E-2</v>
      </c>
      <c r="O3273">
        <v>-5.5431680000000002E-3</v>
      </c>
      <c r="P3273">
        <v>-0.99319749999999996</v>
      </c>
      <c r="Q3273">
        <v>8.5545199999999995E-3</v>
      </c>
      <c r="R3273">
        <v>-0.1161285</v>
      </c>
      <c r="S3273">
        <v>-2.9859309999999999</v>
      </c>
      <c r="T3273">
        <v>-1.3525250000000001E-2</v>
      </c>
      <c r="U3273">
        <v>-0.29673769999999999</v>
      </c>
      <c r="V3273">
        <v>-0.11062</v>
      </c>
      <c r="W3273">
        <v>2.2841199999999999E-2</v>
      </c>
      <c r="X3273">
        <v>0.99360020000000004</v>
      </c>
      <c r="Y3273">
        <v>-9.3369629999999995E-2</v>
      </c>
      <c r="Z3273">
        <v>-9.3810460000000003E-4</v>
      </c>
      <c r="AA3273">
        <v>0.99563109999999999</v>
      </c>
      <c r="AB3273">
        <v>42</v>
      </c>
      <c r="AC3273">
        <v>-266.512</v>
      </c>
      <c r="AD3273">
        <v>-1.2090160000000001</v>
      </c>
      <c r="AE3273">
        <v>-26.523800000000001</v>
      </c>
      <c r="AF3273">
        <v>-25.045408739268499</v>
      </c>
      <c r="AG3273">
        <v>-1.2090160000000001</v>
      </c>
      <c r="AH3273">
        <v>266.649512021872</v>
      </c>
      <c r="AI3273">
        <v>90.258644728799197</v>
      </c>
      <c r="AJ3273">
        <v>95.365839540069402</v>
      </c>
      <c r="AK3273">
        <v>267.82586969915297</v>
      </c>
      <c r="AL3273">
        <v>88.691181727807901</v>
      </c>
      <c r="AM3273">
        <v>96.352721725951596</v>
      </c>
      <c r="AN3273">
        <v>0.99999993112873697</v>
      </c>
    </row>
    <row r="3274" spans="1:40" x14ac:dyDescent="0.25">
      <c r="A3274" t="str">
        <f>"20190305135653218"</f>
        <v>20190305135653218</v>
      </c>
      <c r="B3274" t="str">
        <f>"1551765413205027"</f>
        <v>1551765413205027</v>
      </c>
      <c r="C3274" t="s">
        <v>40</v>
      </c>
      <c r="D3274">
        <v>3.7852489999999999</v>
      </c>
      <c r="E3274">
        <v>0.50571679999999997</v>
      </c>
      <c r="F3274" t="s">
        <v>82</v>
      </c>
      <c r="G3274">
        <v>-638.57690000000002</v>
      </c>
      <c r="H3274">
        <v>-0.1</v>
      </c>
      <c r="I3274">
        <v>111.70059999999999</v>
      </c>
      <c r="J3274">
        <v>-346.44810000000001</v>
      </c>
      <c r="K3274">
        <v>1.108965</v>
      </c>
      <c r="L3274">
        <v>141.08629999999999</v>
      </c>
      <c r="M3274">
        <v>-0.9998821</v>
      </c>
      <c r="N3274">
        <v>-1.4370819999999999E-2</v>
      </c>
      <c r="O3274">
        <v>-5.4184519999999998E-3</v>
      </c>
      <c r="P3274">
        <v>-0.99316839999999995</v>
      </c>
      <c r="Q3274">
        <v>7.686086E-3</v>
      </c>
      <c r="R3274">
        <v>-0.1164385</v>
      </c>
      <c r="S3274">
        <v>-2.9855960000000001</v>
      </c>
      <c r="T3274">
        <v>-1.2338999999999999E-2</v>
      </c>
      <c r="U3274">
        <v>-0.29992679999999999</v>
      </c>
      <c r="V3274">
        <v>-0.11105139999999999</v>
      </c>
      <c r="W3274">
        <v>2.198263E-2</v>
      </c>
      <c r="X3274">
        <v>0.99357150000000005</v>
      </c>
      <c r="Y3274">
        <v>-9.4558149999999994E-2</v>
      </c>
      <c r="Z3274">
        <v>-9.3144530000000003E-4</v>
      </c>
      <c r="AA3274">
        <v>0.99551889999999998</v>
      </c>
      <c r="AB3274">
        <v>42</v>
      </c>
      <c r="AC3274">
        <v>-292.12880000000001</v>
      </c>
      <c r="AD3274">
        <v>-1.2089650000000001</v>
      </c>
      <c r="AE3274">
        <v>-29.3857</v>
      </c>
      <c r="AF3274">
        <v>-27.8017478626717</v>
      </c>
      <c r="AG3274">
        <v>-1.2089650000000001</v>
      </c>
      <c r="AH3274">
        <v>292.27879644495499</v>
      </c>
      <c r="AI3274">
        <v>90.235928657291296</v>
      </c>
      <c r="AJ3274">
        <v>95.433663086890405</v>
      </c>
      <c r="AK3274">
        <v>293.60056817367098</v>
      </c>
      <c r="AL3274">
        <v>88.740386600382195</v>
      </c>
      <c r="AM3274">
        <v>96.377475282028996</v>
      </c>
      <c r="AN3274">
        <v>0.99999998753796304</v>
      </c>
    </row>
    <row r="3275" spans="1:40" x14ac:dyDescent="0.25">
      <c r="A3275" t="str">
        <f>"20190305135653243"</f>
        <v>20190305135653243</v>
      </c>
      <c r="B3275" t="str">
        <f>"1551765413235282"</f>
        <v>1551765413235282</v>
      </c>
      <c r="C3275" t="s">
        <v>40</v>
      </c>
      <c r="D3275">
        <v>3.7501169999999999</v>
      </c>
      <c r="E3275">
        <v>0.50573239999999997</v>
      </c>
      <c r="F3275" t="s">
        <v>82</v>
      </c>
      <c r="G3275">
        <v>-597.15430000000003</v>
      </c>
      <c r="H3275">
        <v>-0.1</v>
      </c>
      <c r="I3275">
        <v>115.7079</v>
      </c>
      <c r="J3275">
        <v>-346.88420000000002</v>
      </c>
      <c r="K3275">
        <v>1.1088979999999999</v>
      </c>
      <c r="L3275">
        <v>141.08410000000001</v>
      </c>
      <c r="M3275">
        <v>-0.99988339999999998</v>
      </c>
      <c r="N3275">
        <v>-1.4368250000000001E-2</v>
      </c>
      <c r="O3275">
        <v>-5.2132630000000001E-3</v>
      </c>
      <c r="P3275">
        <v>-0.99319979999999997</v>
      </c>
      <c r="Q3275">
        <v>7.1902140000000003E-3</v>
      </c>
      <c r="R3275">
        <v>-0.1162019</v>
      </c>
      <c r="S3275">
        <v>-2.9853519999999998</v>
      </c>
      <c r="T3275">
        <v>-1.439607E-2</v>
      </c>
      <c r="U3275">
        <v>-0.30220029999999998</v>
      </c>
      <c r="V3275">
        <v>-0.11101560000000001</v>
      </c>
      <c r="W3275">
        <v>2.1501139999999998E-2</v>
      </c>
      <c r="X3275">
        <v>0.99358610000000003</v>
      </c>
      <c r="Y3275">
        <v>-9.5520190000000005E-2</v>
      </c>
      <c r="Z3275">
        <v>-9.6740219999999998E-4</v>
      </c>
      <c r="AA3275">
        <v>0.99542699999999995</v>
      </c>
      <c r="AB3275">
        <v>42</v>
      </c>
      <c r="AC3275">
        <v>-250.27010000000001</v>
      </c>
      <c r="AD3275">
        <v>-1.208898</v>
      </c>
      <c r="AE3275">
        <v>-25.376200000000001</v>
      </c>
      <c r="AF3275">
        <v>-24.070440914527602</v>
      </c>
      <c r="AG3275">
        <v>-1.208898</v>
      </c>
      <c r="AH3275">
        <v>250.39322192729901</v>
      </c>
      <c r="AI3275">
        <v>90.275352433287395</v>
      </c>
      <c r="AJ3275">
        <v>95.491002639587904</v>
      </c>
      <c r="AK3275">
        <v>251.55041869837501</v>
      </c>
      <c r="AL3275">
        <v>88.767980545906894</v>
      </c>
      <c r="AM3275">
        <v>96.375343374836604</v>
      </c>
      <c r="AN3275">
        <v>1.0000000502889299</v>
      </c>
    </row>
    <row r="3276" spans="1:40" x14ac:dyDescent="0.25">
      <c r="A3276" t="str">
        <f>"20190305135653265"</f>
        <v>20190305135653265</v>
      </c>
      <c r="B3276" t="str">
        <f>"1551765413255778"</f>
        <v>1551765413255778</v>
      </c>
      <c r="C3276" t="s">
        <v>40</v>
      </c>
      <c r="D3276">
        <v>3.792154</v>
      </c>
      <c r="E3276">
        <v>0.50556999999999996</v>
      </c>
      <c r="F3276" t="s">
        <v>82</v>
      </c>
      <c r="G3276">
        <v>-573.5883</v>
      </c>
      <c r="H3276">
        <v>-0.1</v>
      </c>
      <c r="I3276">
        <v>118.2007</v>
      </c>
      <c r="J3276">
        <v>-347.31619999999998</v>
      </c>
      <c r="K3276">
        <v>1.108827</v>
      </c>
      <c r="L3276">
        <v>141.0821</v>
      </c>
      <c r="M3276">
        <v>-0.99988460000000001</v>
      </c>
      <c r="N3276">
        <v>-1.436581E-2</v>
      </c>
      <c r="O3276">
        <v>-4.9345389999999999E-3</v>
      </c>
      <c r="P3276">
        <v>-0.99323530000000004</v>
      </c>
      <c r="Q3276">
        <v>6.4985030000000001E-3</v>
      </c>
      <c r="R3276">
        <v>-0.1159357</v>
      </c>
      <c r="S3276">
        <v>-2.9854129999999999</v>
      </c>
      <c r="T3276">
        <v>-1.591969E-2</v>
      </c>
      <c r="U3276">
        <v>-0.3013458</v>
      </c>
      <c r="V3276">
        <v>-0.1110228</v>
      </c>
      <c r="W3276">
        <v>2.0826569999999999E-2</v>
      </c>
      <c r="X3276">
        <v>0.99359960000000003</v>
      </c>
      <c r="Y3276">
        <v>-9.5512940000000005E-2</v>
      </c>
      <c r="Z3276">
        <v>-9.8633990000000001E-4</v>
      </c>
      <c r="AA3276">
        <v>0.99542770000000003</v>
      </c>
      <c r="AB3276">
        <v>42</v>
      </c>
      <c r="AC3276">
        <v>-226.27209999999999</v>
      </c>
      <c r="AD3276">
        <v>-1.2088270000000001</v>
      </c>
      <c r="AE3276">
        <v>-22.881399999999999</v>
      </c>
      <c r="AF3276">
        <v>-21.763842725011902</v>
      </c>
      <c r="AG3276">
        <v>-1.2088270000000001</v>
      </c>
      <c r="AH3276">
        <v>226.375869855037</v>
      </c>
      <c r="AI3276">
        <v>90.304547261342506</v>
      </c>
      <c r="AJ3276">
        <v>95.4915551988489</v>
      </c>
      <c r="AK3276">
        <v>227.422867288009</v>
      </c>
      <c r="AL3276">
        <v>88.806639141450802</v>
      </c>
      <c r="AM3276">
        <v>96.375667533951898</v>
      </c>
      <c r="AN3276">
        <v>0.99999998662898204</v>
      </c>
    </row>
    <row r="3277" spans="1:40" x14ac:dyDescent="0.25">
      <c r="A3277" t="str">
        <f>"20190305135653287"</f>
        <v>20190305135653287</v>
      </c>
      <c r="B3277" t="str">
        <f>"1551765413275298"</f>
        <v>1551765413275298</v>
      </c>
      <c r="C3277" t="s">
        <v>40</v>
      </c>
      <c r="D3277">
        <v>3.7661889999999998</v>
      </c>
      <c r="E3277">
        <v>0.50546059999999904</v>
      </c>
      <c r="F3277" t="s">
        <v>43</v>
      </c>
      <c r="G3277">
        <v>-546.92579999999998</v>
      </c>
      <c r="H3277">
        <v>-0.05</v>
      </c>
      <c r="I3277">
        <v>120.89700000000001</v>
      </c>
      <c r="J3277">
        <v>-347.73399999999998</v>
      </c>
      <c r="K3277">
        <v>1.108752</v>
      </c>
      <c r="L3277">
        <v>141.08029999999999</v>
      </c>
      <c r="M3277">
        <v>-0.99988639999999995</v>
      </c>
      <c r="N3277">
        <v>-1.43635E-2</v>
      </c>
      <c r="O3277">
        <v>-4.596246E-3</v>
      </c>
      <c r="P3277">
        <v>-0.99326499999999995</v>
      </c>
      <c r="Q3277">
        <v>6.9271269999999999E-3</v>
      </c>
      <c r="R3277">
        <v>-0.1156597</v>
      </c>
      <c r="S3277">
        <v>-2.9852910000000001</v>
      </c>
      <c r="T3277">
        <v>-1.7330999999999999E-2</v>
      </c>
      <c r="U3277">
        <v>-0.30187989999999998</v>
      </c>
      <c r="V3277">
        <v>-0.1110792</v>
      </c>
      <c r="W3277">
        <v>2.127184E-2</v>
      </c>
      <c r="X3277">
        <v>0.99358389999999996</v>
      </c>
      <c r="Y3277">
        <v>-9.6029429999999999E-2</v>
      </c>
      <c r="Z3277">
        <v>-1.008751E-3</v>
      </c>
      <c r="AA3277">
        <v>0.99537799999999999</v>
      </c>
      <c r="AB3277">
        <v>42</v>
      </c>
      <c r="AC3277">
        <v>-199.1918</v>
      </c>
      <c r="AD3277">
        <v>-1.158752</v>
      </c>
      <c r="AE3277">
        <v>-20.1832999999999</v>
      </c>
      <c r="AF3277">
        <v>-19.266812532677601</v>
      </c>
      <c r="AG3277">
        <v>-1.158752</v>
      </c>
      <c r="AH3277">
        <v>199.275797435334</v>
      </c>
      <c r="AI3277">
        <v>90.3316143365914</v>
      </c>
      <c r="AJ3277">
        <v>95.522429271112898</v>
      </c>
      <c r="AK3277">
        <v>200.208381979514</v>
      </c>
      <c r="AL3277">
        <v>88.781121439920398</v>
      </c>
      <c r="AM3277">
        <v>96.378979670643005</v>
      </c>
      <c r="AN3277">
        <v>1.0000000230944099</v>
      </c>
    </row>
    <row r="3278" spans="1:40" x14ac:dyDescent="0.25">
      <c r="A3278" t="str">
        <f>"20190305135653332"</f>
        <v>20190305135653332</v>
      </c>
      <c r="B3278" t="str">
        <f>"1551765413325074"</f>
        <v>1551765413325074</v>
      </c>
      <c r="C3278" t="s">
        <v>40</v>
      </c>
      <c r="D3278">
        <v>3.7722669999999998</v>
      </c>
      <c r="E3278">
        <v>0.50516819999999996</v>
      </c>
      <c r="F3278" t="s">
        <v>82</v>
      </c>
      <c r="G3278">
        <v>-583.54380000000003</v>
      </c>
      <c r="H3278">
        <v>-0.1</v>
      </c>
      <c r="I3278">
        <v>117.2184</v>
      </c>
      <c r="J3278">
        <v>-348.57369999999997</v>
      </c>
      <c r="K3278">
        <v>1.108636</v>
      </c>
      <c r="L3278">
        <v>141.07730000000001</v>
      </c>
      <c r="M3278">
        <v>-0.99988999999999995</v>
      </c>
      <c r="N3278">
        <v>-1.435876E-2</v>
      </c>
      <c r="O3278">
        <v>-3.7384549999999999E-3</v>
      </c>
      <c r="P3278">
        <v>-0.99341579999999996</v>
      </c>
      <c r="Q3278">
        <v>7.1456080000000003E-3</v>
      </c>
      <c r="R3278">
        <v>-0.1143411</v>
      </c>
      <c r="S3278">
        <v>-2.9852289999999999</v>
      </c>
      <c r="T3278">
        <v>-1.530218E-2</v>
      </c>
      <c r="U3278">
        <v>-0.30207820000000002</v>
      </c>
      <c r="V3278">
        <v>-0.1106062</v>
      </c>
      <c r="W3278">
        <v>2.1518300000000001E-2</v>
      </c>
      <c r="X3278">
        <v>0.99363140000000005</v>
      </c>
      <c r="Y3278">
        <v>-9.6951590000000004E-2</v>
      </c>
      <c r="Z3278">
        <v>-9.801644999999999E-4</v>
      </c>
      <c r="AA3278">
        <v>0.99528859999999997</v>
      </c>
      <c r="AB3278">
        <v>42</v>
      </c>
      <c r="AC3278">
        <v>-234.9701</v>
      </c>
      <c r="AD3278">
        <v>-1.208636</v>
      </c>
      <c r="AE3278">
        <v>-23.858899999999998</v>
      </c>
      <c r="AF3278">
        <v>-22.979615794126499</v>
      </c>
      <c r="AG3278">
        <v>-1.208636</v>
      </c>
      <c r="AH3278">
        <v>235.05150664051899</v>
      </c>
      <c r="AI3278">
        <v>90.293214691095997</v>
      </c>
      <c r="AJ3278">
        <v>95.583730073291505</v>
      </c>
      <c r="AK3278">
        <v>236.175219523565</v>
      </c>
      <c r="AL3278">
        <v>88.766997139626596</v>
      </c>
      <c r="AM3278">
        <v>96.351737872520602</v>
      </c>
      <c r="AN3278">
        <v>1.00000006388964</v>
      </c>
    </row>
    <row r="3279" spans="1:40" x14ac:dyDescent="0.25">
      <c r="A3279" t="str">
        <f>"20190305135653354"</f>
        <v>20190305135653354</v>
      </c>
      <c r="B3279" t="str">
        <f>"1551765413345571"</f>
        <v>1551765413345571</v>
      </c>
      <c r="C3279" t="s">
        <v>40</v>
      </c>
      <c r="D3279">
        <v>3.8004509999999998</v>
      </c>
      <c r="E3279">
        <v>0.50508900000000001</v>
      </c>
      <c r="F3279" t="s">
        <v>82</v>
      </c>
      <c r="G3279">
        <v>-633.8125</v>
      </c>
      <c r="H3279">
        <v>-0.1</v>
      </c>
      <c r="I3279">
        <v>112.37269999999999</v>
      </c>
      <c r="J3279">
        <v>-348.9726</v>
      </c>
      <c r="K3279">
        <v>1.1085940000000001</v>
      </c>
      <c r="L3279">
        <v>141.0762</v>
      </c>
      <c r="M3279">
        <v>-0.99989159999999999</v>
      </c>
      <c r="N3279">
        <v>-1.435642E-2</v>
      </c>
      <c r="O3279">
        <v>-3.2731969999999998E-3</v>
      </c>
      <c r="P3279">
        <v>-0.99353499999999995</v>
      </c>
      <c r="Q3279">
        <v>7.4466749999999998E-3</v>
      </c>
      <c r="R3279">
        <v>-0.1132822</v>
      </c>
      <c r="S3279">
        <v>-2.985382</v>
      </c>
      <c r="T3279">
        <v>-1.264989E-2</v>
      </c>
      <c r="U3279">
        <v>-0.30043029999999998</v>
      </c>
      <c r="V3279">
        <v>-0.1100066</v>
      </c>
      <c r="W3279">
        <v>2.1829129999999999E-2</v>
      </c>
      <c r="X3279">
        <v>0.99369110000000005</v>
      </c>
      <c r="Y3279">
        <v>-9.6866789999999994E-2</v>
      </c>
      <c r="Z3279">
        <v>-9.3488329999999995E-4</v>
      </c>
      <c r="AA3279">
        <v>0.99529690000000004</v>
      </c>
      <c r="AB3279">
        <v>42</v>
      </c>
      <c r="AC3279">
        <v>-284.8399</v>
      </c>
      <c r="AD3279">
        <v>-1.2085939999999999</v>
      </c>
      <c r="AE3279">
        <v>-28.703499999999998</v>
      </c>
      <c r="AF3279">
        <v>-27.770418078070001</v>
      </c>
      <c r="AG3279">
        <v>-1.2085939999999999</v>
      </c>
      <c r="AH3279">
        <v>284.92725756447697</v>
      </c>
      <c r="AI3279">
        <v>90.241887514750005</v>
      </c>
      <c r="AJ3279">
        <v>95.566747200471895</v>
      </c>
      <c r="AK3279">
        <v>286.27993105158703</v>
      </c>
      <c r="AL3279">
        <v>88.749183607419397</v>
      </c>
      <c r="AM3279">
        <v>96.317207556649194</v>
      </c>
      <c r="AN3279">
        <v>0.99999998258966305</v>
      </c>
    </row>
    <row r="3280" spans="1:40" x14ac:dyDescent="0.25">
      <c r="A3280" t="str">
        <f>"20190305135653375"</f>
        <v>20190305135653375</v>
      </c>
      <c r="B3280" t="str">
        <f>"1551765413365090"</f>
        <v>1551765413365090</v>
      </c>
      <c r="C3280" t="s">
        <v>40</v>
      </c>
      <c r="D3280">
        <v>3.8136700000000001</v>
      </c>
      <c r="E3280">
        <v>0.50505310000000003</v>
      </c>
      <c r="F3280" t="s">
        <v>82</v>
      </c>
      <c r="G3280">
        <v>-672.04409999999996</v>
      </c>
      <c r="H3280">
        <v>-0.1</v>
      </c>
      <c r="I3280">
        <v>108.83410000000001</v>
      </c>
      <c r="J3280">
        <v>-349.37209999999999</v>
      </c>
      <c r="K3280">
        <v>1.1085590000000001</v>
      </c>
      <c r="L3280">
        <v>141.0753</v>
      </c>
      <c r="M3280">
        <v>-0.99989309999999998</v>
      </c>
      <c r="N3280">
        <v>-1.4353970000000001E-2</v>
      </c>
      <c r="O3280">
        <v>-2.7859099999999999E-3</v>
      </c>
      <c r="P3280">
        <v>-0.99359909999999996</v>
      </c>
      <c r="Q3280">
        <v>6.7808999999999899E-3</v>
      </c>
      <c r="R3280">
        <v>-0.11276079999999999</v>
      </c>
      <c r="S3280">
        <v>-2.9855960000000001</v>
      </c>
      <c r="T3280">
        <v>-1.116896E-2</v>
      </c>
      <c r="U3280">
        <v>-0.29795840000000001</v>
      </c>
      <c r="V3280">
        <v>-0.1099683</v>
      </c>
      <c r="W3280">
        <v>2.1170769999999998E-2</v>
      </c>
      <c r="X3280">
        <v>0.99370959999999997</v>
      </c>
      <c r="Y3280">
        <v>-9.6529409999999996E-2</v>
      </c>
      <c r="Z3280">
        <v>-9.0415959999999996E-4</v>
      </c>
      <c r="AA3280">
        <v>0.99532969999999998</v>
      </c>
      <c r="AB3280">
        <v>42</v>
      </c>
      <c r="AC3280">
        <v>-322.67200000000003</v>
      </c>
      <c r="AD3280">
        <v>-1.2085589999999999</v>
      </c>
      <c r="AE3280">
        <v>-32.2411999999999</v>
      </c>
      <c r="AF3280">
        <v>-31.3416117573992</v>
      </c>
      <c r="AG3280">
        <v>-1.2085589999999999</v>
      </c>
      <c r="AH3280">
        <v>322.75609485343199</v>
      </c>
      <c r="AI3280">
        <v>90.213538410795493</v>
      </c>
      <c r="AJ3280">
        <v>95.546384541578206</v>
      </c>
      <c r="AK3280">
        <v>324.27650856552299</v>
      </c>
      <c r="AL3280">
        <v>88.7869135991577</v>
      </c>
      <c r="AM3280">
        <v>96.314909306161795</v>
      </c>
      <c r="AN3280">
        <v>0.99999999881972101</v>
      </c>
    </row>
    <row r="3281" spans="1:40" x14ac:dyDescent="0.25">
      <c r="A3281" t="str">
        <f>"20190305135653398"</f>
        <v>20190305135653398</v>
      </c>
      <c r="B3281" t="str">
        <f>"1551765413385587"</f>
        <v>1551765413385587</v>
      </c>
      <c r="C3281" t="s">
        <v>40</v>
      </c>
      <c r="D3281">
        <v>3.816767</v>
      </c>
      <c r="E3281">
        <v>0.48090699999999997</v>
      </c>
      <c r="F3281" t="s">
        <v>82</v>
      </c>
      <c r="G3281">
        <v>-631.88319999999999</v>
      </c>
      <c r="H3281">
        <v>-0.1</v>
      </c>
      <c r="I3281">
        <v>113.0001</v>
      </c>
      <c r="J3281">
        <v>-349.77159999999998</v>
      </c>
      <c r="K3281">
        <v>1.108536</v>
      </c>
      <c r="L3281">
        <v>141.0746</v>
      </c>
      <c r="M3281">
        <v>-0.99989450000000002</v>
      </c>
      <c r="N3281">
        <v>-1.4351600000000001E-2</v>
      </c>
      <c r="O3281">
        <v>-2.2862220000000001E-3</v>
      </c>
      <c r="P3281">
        <v>-0.99364319999999895</v>
      </c>
      <c r="Q3281">
        <v>6.2019429999999997E-3</v>
      </c>
      <c r="R3281">
        <v>-0.1124066</v>
      </c>
      <c r="S3281">
        <v>-2.9858090000000002</v>
      </c>
      <c r="T3281">
        <v>-1.2773039999999999E-2</v>
      </c>
      <c r="U3281">
        <v>-0.2967224</v>
      </c>
      <c r="V3281">
        <v>-0.1101099</v>
      </c>
      <c r="W3281">
        <v>2.0596779999999999E-2</v>
      </c>
      <c r="X3281">
        <v>0.99370599999999998</v>
      </c>
      <c r="Y3281">
        <v>-9.661119E-2</v>
      </c>
      <c r="Z3281">
        <v>-9.2413140000000005E-4</v>
      </c>
      <c r="AA3281">
        <v>0.99532180000000003</v>
      </c>
      <c r="AB3281">
        <v>42</v>
      </c>
      <c r="AC3281">
        <v>-282.11160000000001</v>
      </c>
      <c r="AD3281">
        <v>-1.2085360000000001</v>
      </c>
      <c r="AE3281">
        <v>-28.0745</v>
      </c>
      <c r="AF3281">
        <v>-27.428892071176602</v>
      </c>
      <c r="AG3281">
        <v>-1.2085360000000001</v>
      </c>
      <c r="AH3281">
        <v>282.169926189259</v>
      </c>
      <c r="AI3281">
        <v>90.244245535775207</v>
      </c>
      <c r="AJ3281">
        <v>95.5521070406555</v>
      </c>
      <c r="AK3281">
        <v>283.502507793436</v>
      </c>
      <c r="AL3281">
        <v>88.819807998256906</v>
      </c>
      <c r="AM3281">
        <v>96.322997564720694</v>
      </c>
      <c r="AN3281">
        <v>1.0000000159301801</v>
      </c>
    </row>
    <row r="3282" spans="1:40" x14ac:dyDescent="0.25">
      <c r="A3282" t="str">
        <f>"20190305135653420"</f>
        <v>20190305135653420</v>
      </c>
      <c r="B3282" t="str">
        <f>"1551765413415843"</f>
        <v>1551765413415843</v>
      </c>
      <c r="C3282" t="s">
        <v>40</v>
      </c>
      <c r="D3282">
        <v>3.8009840000000001</v>
      </c>
      <c r="E3282">
        <v>0.47576760000000001</v>
      </c>
      <c r="F3282" t="s">
        <v>73</v>
      </c>
      <c r="G3282">
        <v>-410.86059999999998</v>
      </c>
      <c r="H3282" s="1">
        <v>-6.8648230000000003E-6</v>
      </c>
      <c r="I3282">
        <v>131.07570000000001</v>
      </c>
      <c r="J3282">
        <v>-350.19709999999998</v>
      </c>
      <c r="K3282">
        <v>1.1085119999999999</v>
      </c>
      <c r="L3282">
        <v>141.07409999999999</v>
      </c>
      <c r="M3282">
        <v>-0.9998956</v>
      </c>
      <c r="N3282">
        <v>-1.434918E-2</v>
      </c>
      <c r="O3282">
        <v>-1.747976E-3</v>
      </c>
      <c r="P3282">
        <v>-0.99368270000000003</v>
      </c>
      <c r="Q3282">
        <v>6.4512079999999999E-3</v>
      </c>
      <c r="R3282">
        <v>-0.1120424</v>
      </c>
      <c r="S3282">
        <v>-2.9646300000000001</v>
      </c>
      <c r="T3282">
        <v>-5.3797249999999998E-2</v>
      </c>
      <c r="U3282">
        <v>-0.48524479999999998</v>
      </c>
      <c r="V3282">
        <v>-0.1102794</v>
      </c>
      <c r="W3282">
        <v>2.0849929999999999E-2</v>
      </c>
      <c r="X3282">
        <v>0.99368190000000001</v>
      </c>
      <c r="Y3282">
        <v>-0.1597568</v>
      </c>
      <c r="Z3282">
        <v>-2.587209E-3</v>
      </c>
      <c r="AA3282">
        <v>0.98715299999999995</v>
      </c>
      <c r="AB3282">
        <v>42</v>
      </c>
      <c r="AC3282">
        <v>-60.663499999999999</v>
      </c>
      <c r="AD3282">
        <v>-1.108518864823</v>
      </c>
      <c r="AE3282">
        <v>-9.99839999999997</v>
      </c>
      <c r="AF3282">
        <v>-9.8891207087128894</v>
      </c>
      <c r="AG3282">
        <v>-1.108518864823</v>
      </c>
      <c r="AH3282">
        <v>60.6611662939562</v>
      </c>
      <c r="AI3282">
        <v>91.033266317490998</v>
      </c>
      <c r="AJ3282">
        <v>99.259037553576505</v>
      </c>
      <c r="AK3282">
        <v>61.4719498520112</v>
      </c>
      <c r="AL3282">
        <v>88.805300427771201</v>
      </c>
      <c r="AM3282">
        <v>96.3328043288994</v>
      </c>
      <c r="AN3282">
        <v>0.99999999201648704</v>
      </c>
    </row>
    <row r="3283" spans="1:40" x14ac:dyDescent="0.25">
      <c r="A3283" t="str">
        <f>"20190305135653443"</f>
        <v>20190305135653443</v>
      </c>
      <c r="B3283" t="str">
        <f>"1551765413435363"</f>
        <v>1551765413435363</v>
      </c>
      <c r="C3283" t="s">
        <v>40</v>
      </c>
      <c r="D3283">
        <v>3.9202919999999999</v>
      </c>
      <c r="E3283">
        <v>0.47608460000000002</v>
      </c>
      <c r="F3283" t="s">
        <v>73</v>
      </c>
      <c r="G3283">
        <v>-402.58460000000002</v>
      </c>
      <c r="H3283" s="1">
        <v>-2.6968530000000001E-6</v>
      </c>
      <c r="I3283">
        <v>131.79329999999999</v>
      </c>
      <c r="J3283">
        <v>-350.61860000000001</v>
      </c>
      <c r="K3283">
        <v>1.1084989999999999</v>
      </c>
      <c r="L3283">
        <v>141.07380000000001</v>
      </c>
      <c r="M3283">
        <v>-0.99989640000000002</v>
      </c>
      <c r="N3283">
        <v>-1.434679E-2</v>
      </c>
      <c r="O3283">
        <v>-1.2134979999999999E-3</v>
      </c>
      <c r="P3283">
        <v>-0.99369810000000003</v>
      </c>
      <c r="Q3283">
        <v>6.7752510000000004E-3</v>
      </c>
      <c r="R3283">
        <v>-0.1118842</v>
      </c>
      <c r="S3283">
        <v>-2.9603269999999999</v>
      </c>
      <c r="T3283">
        <v>-6.2640310000000005E-2</v>
      </c>
      <c r="U3283">
        <v>-0.52444460000000004</v>
      </c>
      <c r="V3283">
        <v>-0.1106511</v>
      </c>
      <c r="W3283">
        <v>2.1176489999999999E-2</v>
      </c>
      <c r="X3283">
        <v>0.99363369999999995</v>
      </c>
      <c r="Y3283">
        <v>-0.17318249999999999</v>
      </c>
      <c r="Z3283">
        <v>-3.0619079999999999E-3</v>
      </c>
      <c r="AA3283">
        <v>0.98488500000000001</v>
      </c>
      <c r="AB3283">
        <v>41</v>
      </c>
      <c r="AC3283">
        <v>-51.966000000000001</v>
      </c>
      <c r="AD3283">
        <v>-1.1085016968529999</v>
      </c>
      <c r="AE3283">
        <v>-9.2805000000000106</v>
      </c>
      <c r="AF3283">
        <v>-9.2133633162794002</v>
      </c>
      <c r="AG3283">
        <v>-1.1085016968529999</v>
      </c>
      <c r="AH3283">
        <v>51.9543149814955</v>
      </c>
      <c r="AI3283">
        <v>91.203510327048207</v>
      </c>
      <c r="AJ3283">
        <v>100.05605201865799</v>
      </c>
      <c r="AK3283">
        <v>52.776563783616403</v>
      </c>
      <c r="AL3283">
        <v>88.786585819170895</v>
      </c>
      <c r="AM3283">
        <v>96.354280652203101</v>
      </c>
      <c r="AN3283">
        <v>1.0000000197178001</v>
      </c>
    </row>
    <row r="3284" spans="1:40" x14ac:dyDescent="0.25">
      <c r="A3284" t="str">
        <f>"20190305135653464"</f>
        <v>20190305135653464</v>
      </c>
      <c r="B3284" t="str">
        <f>"1551765413455859"</f>
        <v>1551765413455859</v>
      </c>
      <c r="C3284" t="s">
        <v>40</v>
      </c>
      <c r="D3284">
        <v>3.8012139999999999</v>
      </c>
      <c r="E3284">
        <v>0.4754003</v>
      </c>
      <c r="F3284" t="s">
        <v>42</v>
      </c>
      <c r="G3284">
        <v>-398.07220000000001</v>
      </c>
      <c r="H3284" s="1">
        <v>-2.4772129999999999E-6</v>
      </c>
      <c r="I3284">
        <v>132.7191</v>
      </c>
      <c r="J3284">
        <v>-351.02870000000001</v>
      </c>
      <c r="K3284">
        <v>1.1084860000000001</v>
      </c>
      <c r="L3284">
        <v>141.07380000000001</v>
      </c>
      <c r="M3284">
        <v>-0.99989709999999998</v>
      </c>
      <c r="N3284">
        <v>-1.434447E-2</v>
      </c>
      <c r="O3284">
        <v>-6.9422429999999903E-4</v>
      </c>
      <c r="P3284">
        <v>-0.99373809999999996</v>
      </c>
      <c r="Q3284">
        <v>7.3315630000000001E-3</v>
      </c>
      <c r="R3284">
        <v>-0.1114967</v>
      </c>
      <c r="S3284">
        <v>-2.960785</v>
      </c>
      <c r="T3284">
        <v>-6.9163080000000002E-2</v>
      </c>
      <c r="U3284">
        <v>-0.52127079999999903</v>
      </c>
      <c r="V3284">
        <v>-0.11077720000000001</v>
      </c>
      <c r="W3284">
        <v>2.1734730000000001E-2</v>
      </c>
      <c r="X3284">
        <v>0.99360760000000004</v>
      </c>
      <c r="Y3284">
        <v>-0.17263319999999999</v>
      </c>
      <c r="Z3284">
        <v>-3.2424160000000001E-3</v>
      </c>
      <c r="AA3284">
        <v>0.98498079999999999</v>
      </c>
      <c r="AB3284">
        <v>41</v>
      </c>
      <c r="AC3284">
        <v>-47.043500000000002</v>
      </c>
      <c r="AD3284">
        <v>-1.1084884772129999</v>
      </c>
      <c r="AE3284">
        <v>-8.3546999999999993</v>
      </c>
      <c r="AF3284">
        <v>-8.3175590386268308</v>
      </c>
      <c r="AG3284">
        <v>-1.1084884772129999</v>
      </c>
      <c r="AH3284">
        <v>47.023979045104802</v>
      </c>
      <c r="AI3284">
        <v>91.329740357068104</v>
      </c>
      <c r="AJ3284">
        <v>100.030677257821</v>
      </c>
      <c r="AK3284">
        <v>47.766778625940603</v>
      </c>
      <c r="AL3284">
        <v>88.754593665043103</v>
      </c>
      <c r="AM3284">
        <v>96.361628506148804</v>
      </c>
      <c r="AN3284">
        <v>1.00000002465288</v>
      </c>
    </row>
    <row r="3285" spans="1:40" x14ac:dyDescent="0.25">
      <c r="A3285" t="str">
        <f>"20190305135653488"</f>
        <v>20190305135653488</v>
      </c>
      <c r="B3285" t="str">
        <f>"1551765413475379"</f>
        <v>1551765413475379</v>
      </c>
      <c r="C3285" t="s">
        <v>40</v>
      </c>
      <c r="D3285">
        <v>3.789174</v>
      </c>
      <c r="E3285">
        <v>0.47612529999999997</v>
      </c>
      <c r="F3285" t="s">
        <v>42</v>
      </c>
      <c r="G3285">
        <v>-399.62020000000001</v>
      </c>
      <c r="H3285" s="1">
        <v>-2.022266E-6</v>
      </c>
      <c r="I3285">
        <v>132.44919999999999</v>
      </c>
      <c r="J3285">
        <v>-351.44150000000002</v>
      </c>
      <c r="K3285">
        <v>1.1084780000000001</v>
      </c>
      <c r="L3285">
        <v>141.07390000000001</v>
      </c>
      <c r="M3285">
        <v>-0.99989720000000004</v>
      </c>
      <c r="N3285">
        <v>-1.4342000000000001E-2</v>
      </c>
      <c r="O3285">
        <v>-1.7249369999999901E-4</v>
      </c>
      <c r="P3285">
        <v>-0.99378310000000003</v>
      </c>
      <c r="Q3285">
        <v>7.4844639999999997E-3</v>
      </c>
      <c r="R3285">
        <v>-0.1110836</v>
      </c>
      <c r="S3285">
        <v>-2.9604490000000001</v>
      </c>
      <c r="T3285">
        <v>-6.7534919999999998E-2</v>
      </c>
      <c r="U3285">
        <v>-0.52545169999999997</v>
      </c>
      <c r="V3285">
        <v>-0.11088249999999999</v>
      </c>
      <c r="W3285">
        <v>2.188824E-2</v>
      </c>
      <c r="X3285">
        <v>0.99359240000000004</v>
      </c>
      <c r="Y3285">
        <v>-0.1745168</v>
      </c>
      <c r="Z3285">
        <v>-3.2349280000000002E-3</v>
      </c>
      <c r="AA3285">
        <v>0.98464890000000005</v>
      </c>
      <c r="AB3285">
        <v>41</v>
      </c>
      <c r="AC3285">
        <v>-48.1786999999999</v>
      </c>
      <c r="AD3285">
        <v>-1.1084800222660001</v>
      </c>
      <c r="AE3285">
        <v>-8.6247000000000096</v>
      </c>
      <c r="AF3285">
        <v>-8.6119712756684894</v>
      </c>
      <c r="AG3285">
        <v>-1.1084800222660001</v>
      </c>
      <c r="AH3285">
        <v>48.155487413364597</v>
      </c>
      <c r="AI3285">
        <v>91.298058374528694</v>
      </c>
      <c r="AJ3285">
        <v>100.13940348049999</v>
      </c>
      <c r="AK3285">
        <v>48.932052330056798</v>
      </c>
      <c r="AL3285">
        <v>88.745795991768205</v>
      </c>
      <c r="AM3285">
        <v>96.367722559665594</v>
      </c>
      <c r="AN3285">
        <v>0.99999994059715203</v>
      </c>
    </row>
    <row r="3286" spans="1:40" x14ac:dyDescent="0.25">
      <c r="A3286" t="str">
        <f>"20190305135653510"</f>
        <v>20190305135653510</v>
      </c>
      <c r="B3286" t="str">
        <f>"1551765413505635"</f>
        <v>1551765413505635</v>
      </c>
      <c r="C3286" t="s">
        <v>40</v>
      </c>
      <c r="D3286">
        <v>3.803175</v>
      </c>
      <c r="E3286">
        <v>0.47564620000000002</v>
      </c>
      <c r="F3286" t="s">
        <v>42</v>
      </c>
      <c r="G3286">
        <v>-397.7063</v>
      </c>
      <c r="H3286" s="1">
        <v>-2.5331930000000002E-6</v>
      </c>
      <c r="I3286">
        <v>132.9768</v>
      </c>
      <c r="J3286">
        <v>-351.85849999999999</v>
      </c>
      <c r="K3286">
        <v>1.1084700000000001</v>
      </c>
      <c r="L3286">
        <v>141.07429999999999</v>
      </c>
      <c r="M3286">
        <v>-0.99989709999999998</v>
      </c>
      <c r="N3286">
        <v>-1.433949E-2</v>
      </c>
      <c r="O3286">
        <v>3.5389949999999997E-4</v>
      </c>
      <c r="P3286">
        <v>-0.99375910000000001</v>
      </c>
      <c r="Q3286">
        <v>7.3251309999999899E-3</v>
      </c>
      <c r="R3286">
        <v>-0.11130569999999999</v>
      </c>
      <c r="S3286">
        <v>-2.9613339999999999</v>
      </c>
      <c r="T3286">
        <v>-7.0952180000000004E-2</v>
      </c>
      <c r="U3286">
        <v>-0.51827999999999996</v>
      </c>
      <c r="V3286">
        <v>-0.11162710000000001</v>
      </c>
      <c r="W3286">
        <v>2.172901E-2</v>
      </c>
      <c r="X3286">
        <v>0.99351259999999997</v>
      </c>
      <c r="Y3286">
        <v>-0.172666299999999</v>
      </c>
      <c r="Z3286">
        <v>-3.3036440000000001E-3</v>
      </c>
      <c r="AA3286">
        <v>0.98497489999999999</v>
      </c>
      <c r="AB3286">
        <v>41</v>
      </c>
      <c r="AC3286">
        <v>-45.847799999999999</v>
      </c>
      <c r="AD3286">
        <v>-1.1084725331929901</v>
      </c>
      <c r="AE3286">
        <v>-8.0974999999999895</v>
      </c>
      <c r="AF3286">
        <v>-8.1091299668162193</v>
      </c>
      <c r="AG3286">
        <v>-1.1084725331929901</v>
      </c>
      <c r="AH3286">
        <v>45.818958384999704</v>
      </c>
      <c r="AI3286">
        <v>91.364655252329001</v>
      </c>
      <c r="AJ3286">
        <v>100.03639297328201</v>
      </c>
      <c r="AK3286">
        <v>46.5442117525036</v>
      </c>
      <c r="AL3286">
        <v>88.754921472058797</v>
      </c>
      <c r="AM3286">
        <v>96.410639028195703</v>
      </c>
      <c r="AN3286">
        <v>1.00000002284437</v>
      </c>
    </row>
    <row r="3287" spans="1:40" x14ac:dyDescent="0.25">
      <c r="A3287" t="str">
        <f>"20190305135653532"</f>
        <v>20190305135653532</v>
      </c>
      <c r="B3287" t="str">
        <f>"1551765413525155"</f>
        <v>1551765413525155</v>
      </c>
      <c r="C3287" t="s">
        <v>40</v>
      </c>
      <c r="D3287">
        <v>3.7867730000000002</v>
      </c>
      <c r="E3287">
        <v>0.4753984</v>
      </c>
      <c r="F3287" t="s">
        <v>42</v>
      </c>
      <c r="G3287">
        <v>-398.95389999999998</v>
      </c>
      <c r="H3287" s="1">
        <v>-2.1669240000000002E-6</v>
      </c>
      <c r="I3287">
        <v>132.7577</v>
      </c>
      <c r="J3287">
        <v>-352.29050000000001</v>
      </c>
      <c r="K3287">
        <v>1.108466</v>
      </c>
      <c r="L3287">
        <v>141.07499999999999</v>
      </c>
      <c r="M3287">
        <v>-0.99989689999999998</v>
      </c>
      <c r="N3287">
        <v>-1.4336949999999999E-2</v>
      </c>
      <c r="O3287">
        <v>8.9938429999999905E-4</v>
      </c>
      <c r="P3287">
        <v>-0.99377559999999998</v>
      </c>
      <c r="Q3287">
        <v>7.4616930000000001E-3</v>
      </c>
      <c r="R3287">
        <v>-0.1111505</v>
      </c>
      <c r="S3287">
        <v>-2.960785</v>
      </c>
      <c r="T3287">
        <v>-6.9687250000000006E-2</v>
      </c>
      <c r="U3287">
        <v>-0.52284240000000004</v>
      </c>
      <c r="V3287">
        <v>-0.1120139</v>
      </c>
      <c r="W3287">
        <v>2.186488E-2</v>
      </c>
      <c r="X3287">
        <v>0.99346610000000002</v>
      </c>
      <c r="Y3287">
        <v>-0.1747079</v>
      </c>
      <c r="Z3287">
        <v>-3.310519E-3</v>
      </c>
      <c r="AA3287">
        <v>0.98461469999999995</v>
      </c>
      <c r="AB3287">
        <v>41</v>
      </c>
      <c r="AC3287">
        <v>-46.663399999999903</v>
      </c>
      <c r="AD3287">
        <v>-1.108468166924</v>
      </c>
      <c r="AE3287">
        <v>-8.3172999999999799</v>
      </c>
      <c r="AF3287">
        <v>-8.3547000577689001</v>
      </c>
      <c r="AG3287">
        <v>-1.108468166924</v>
      </c>
      <c r="AH3287">
        <v>46.630397563353803</v>
      </c>
      <c r="AI3287">
        <v>91.340405877296504</v>
      </c>
      <c r="AJ3287">
        <v>100.15782273070501</v>
      </c>
      <c r="AK3287">
        <v>47.385901823736603</v>
      </c>
      <c r="AL3287">
        <v>88.747134865341096</v>
      </c>
      <c r="AM3287">
        <v>96.432965271453796</v>
      </c>
      <c r="AN3287">
        <v>1.00000003930991</v>
      </c>
    </row>
    <row r="3288" spans="1:40" x14ac:dyDescent="0.25">
      <c r="A3288" t="str">
        <f>"20190305135653555"</f>
        <v>20190305135653555</v>
      </c>
      <c r="B3288" t="str">
        <f>"1551765413545651"</f>
        <v>1551765413545651</v>
      </c>
      <c r="C3288" t="s">
        <v>40</v>
      </c>
      <c r="D3288">
        <v>3.7814549999999998</v>
      </c>
      <c r="E3288">
        <v>0.47520400000000002</v>
      </c>
      <c r="F3288" t="s">
        <v>73</v>
      </c>
      <c r="G3288">
        <v>-400.1481</v>
      </c>
      <c r="H3288" s="1">
        <v>-1.7349070000000001E-6</v>
      </c>
      <c r="I3288">
        <v>132.59870000000001</v>
      </c>
      <c r="J3288">
        <v>-352.69260000000003</v>
      </c>
      <c r="K3288">
        <v>1.108457</v>
      </c>
      <c r="L3288">
        <v>141.07579999999999</v>
      </c>
      <c r="M3288">
        <v>-0.99989629999999996</v>
      </c>
      <c r="N3288">
        <v>-1.4334589999999999E-2</v>
      </c>
      <c r="O3288">
        <v>1.4075800000000001E-3</v>
      </c>
      <c r="P3288">
        <v>-0.99380480000000004</v>
      </c>
      <c r="Q3288">
        <v>7.2758459999999999E-3</v>
      </c>
      <c r="R3288">
        <v>-0.110903</v>
      </c>
      <c r="S3288">
        <v>-2.9606319999999999</v>
      </c>
      <c r="T3288">
        <v>-6.8573590000000004E-2</v>
      </c>
      <c r="U3288">
        <v>-0.52436830000000001</v>
      </c>
      <c r="V3288">
        <v>-0.1122706</v>
      </c>
      <c r="W3288">
        <v>2.1678010000000001E-2</v>
      </c>
      <c r="X3288">
        <v>0.99344120000000002</v>
      </c>
      <c r="Y3288">
        <v>-0.17571049999999999</v>
      </c>
      <c r="Z3288">
        <v>-3.3006630000000001E-3</v>
      </c>
      <c r="AA3288">
        <v>0.98443630000000004</v>
      </c>
      <c r="AB3288">
        <v>41</v>
      </c>
      <c r="AC3288">
        <v>-47.455499999999901</v>
      </c>
      <c r="AD3288">
        <v>-1.1084587349070001</v>
      </c>
      <c r="AE3288">
        <v>-8.4770999999999699</v>
      </c>
      <c r="AF3288">
        <v>-8.5393809481250607</v>
      </c>
      <c r="AG3288">
        <v>-1.1084587349070001</v>
      </c>
      <c r="AH3288">
        <v>47.418448558062799</v>
      </c>
      <c r="AI3288">
        <v>91.317916016105997</v>
      </c>
      <c r="AJ3288">
        <v>100.20872564106</v>
      </c>
      <c r="AK3288">
        <v>48.193972355449603</v>
      </c>
      <c r="AL3288">
        <v>88.757844242663396</v>
      </c>
      <c r="AM3288">
        <v>96.447743809256806</v>
      </c>
      <c r="AN3288">
        <v>1.00000002079967</v>
      </c>
    </row>
    <row r="3289" spans="1:40" x14ac:dyDescent="0.25">
      <c r="A3289" t="str">
        <f>"20190305135653575"</f>
        <v>20190305135653575</v>
      </c>
      <c r="B3289" t="str">
        <f>"1551765413565171"</f>
        <v>1551765413565171</v>
      </c>
      <c r="C3289" t="s">
        <v>40</v>
      </c>
      <c r="D3289">
        <v>3.808538</v>
      </c>
      <c r="E3289">
        <v>0.47508909999999999</v>
      </c>
      <c r="F3289" t="s">
        <v>73</v>
      </c>
      <c r="G3289">
        <v>-400.53109999999998</v>
      </c>
      <c r="H3289" s="1">
        <v>-1.9477020000000001E-6</v>
      </c>
      <c r="I3289">
        <v>132.5883</v>
      </c>
      <c r="J3289">
        <v>-353.08179999999999</v>
      </c>
      <c r="K3289">
        <v>1.1084579999999999</v>
      </c>
      <c r="L3289">
        <v>141.07679999999999</v>
      </c>
      <c r="M3289">
        <v>-0.9998956</v>
      </c>
      <c r="N3289">
        <v>-1.43322999999999E-2</v>
      </c>
      <c r="O3289">
        <v>1.900016E-3</v>
      </c>
      <c r="P3289">
        <v>-0.99377780000000004</v>
      </c>
      <c r="Q3289">
        <v>7.3452700000000001E-3</v>
      </c>
      <c r="R3289">
        <v>-0.111138899999999</v>
      </c>
      <c r="S3289">
        <v>-2.9606020000000002</v>
      </c>
      <c r="T3289">
        <v>-6.85997E-2</v>
      </c>
      <c r="U3289">
        <v>-0.52526859999999997</v>
      </c>
      <c r="V3289">
        <v>-0.1129961</v>
      </c>
      <c r="W3289">
        <v>2.174618E-2</v>
      </c>
      <c r="X3289">
        <v>0.99335739999999995</v>
      </c>
      <c r="Y3289">
        <v>-0.1764868</v>
      </c>
      <c r="Z3289">
        <v>-3.3200949999999999E-3</v>
      </c>
      <c r="AA3289">
        <v>0.98429739999999999</v>
      </c>
      <c r="AB3289">
        <v>41</v>
      </c>
      <c r="AC3289">
        <v>-47.449300000000001</v>
      </c>
      <c r="AD3289">
        <v>-1.1084599477019901</v>
      </c>
      <c r="AE3289">
        <v>-8.4884999999999806</v>
      </c>
      <c r="AF3289">
        <v>-8.5741142831152999</v>
      </c>
      <c r="AG3289">
        <v>-1.1084599477019901</v>
      </c>
      <c r="AH3289">
        <v>47.408014595983303</v>
      </c>
      <c r="AI3289">
        <v>91.318029558574906</v>
      </c>
      <c r="AJ3289">
        <v>100.251578403587</v>
      </c>
      <c r="AK3289">
        <v>48.189874114055797</v>
      </c>
      <c r="AL3289">
        <v>88.753937404615996</v>
      </c>
      <c r="AM3289">
        <v>96.489598049934202</v>
      </c>
      <c r="AN3289">
        <v>0.99999996954727999</v>
      </c>
    </row>
    <row r="3290" spans="1:40" x14ac:dyDescent="0.25">
      <c r="A3290" t="str">
        <f>"20190305135653598"</f>
        <v>20190305135653598</v>
      </c>
      <c r="B3290" t="str">
        <f>"1551765413585667"</f>
        <v>1551765413585667</v>
      </c>
      <c r="C3290" t="s">
        <v>40</v>
      </c>
      <c r="D3290">
        <v>3.8005110000000002</v>
      </c>
      <c r="E3290">
        <v>0.47496280000000002</v>
      </c>
      <c r="F3290" t="s">
        <v>73</v>
      </c>
      <c r="G3290">
        <v>-400.99689999999998</v>
      </c>
      <c r="H3290" s="1">
        <v>-2.1938029999999999E-6</v>
      </c>
      <c r="I3290">
        <v>132.5515</v>
      </c>
      <c r="J3290">
        <v>-353.48770000000002</v>
      </c>
      <c r="K3290">
        <v>1.1084609999999999</v>
      </c>
      <c r="L3290">
        <v>141.078</v>
      </c>
      <c r="M3290">
        <v>-0.99989450000000002</v>
      </c>
      <c r="N3290">
        <v>-1.4329929999999999E-2</v>
      </c>
      <c r="O3290">
        <v>2.4138359999999999E-3</v>
      </c>
      <c r="P3290">
        <v>-0.99379030000000002</v>
      </c>
      <c r="Q3290">
        <v>7.0616439999999997E-3</v>
      </c>
      <c r="R3290">
        <v>-0.1110459</v>
      </c>
      <c r="S3290">
        <v>-2.9603579999999998</v>
      </c>
      <c r="T3290">
        <v>-6.8484429999999999E-2</v>
      </c>
      <c r="U3290">
        <v>-0.52671809999999997</v>
      </c>
      <c r="V3290">
        <v>-0.1134141</v>
      </c>
      <c r="W3290">
        <v>2.146062E-2</v>
      </c>
      <c r="X3290">
        <v>0.99331599999999998</v>
      </c>
      <c r="Y3290">
        <v>-0.17747349999999901</v>
      </c>
      <c r="Z3290">
        <v>-3.3394789999999998E-3</v>
      </c>
      <c r="AA3290">
        <v>0.98411990000000005</v>
      </c>
      <c r="AB3290">
        <v>41</v>
      </c>
      <c r="AC3290">
        <v>-47.5091999999999</v>
      </c>
      <c r="AD3290">
        <v>-1.1084631938030001</v>
      </c>
      <c r="AE3290">
        <v>-8.5264999999999898</v>
      </c>
      <c r="AF3290">
        <v>-8.6366116081490105</v>
      </c>
      <c r="AG3290">
        <v>-1.1084631938030001</v>
      </c>
      <c r="AH3290">
        <v>47.463446862723899</v>
      </c>
      <c r="AI3290">
        <v>91.316239135095799</v>
      </c>
      <c r="AJ3290">
        <v>100.31290208344601</v>
      </c>
      <c r="AK3290">
        <v>48.255554486635504</v>
      </c>
      <c r="AL3290">
        <v>88.770302639913396</v>
      </c>
      <c r="AM3290">
        <v>96.513667865359395</v>
      </c>
      <c r="AN3290">
        <v>0.99999999607279699</v>
      </c>
    </row>
    <row r="3291" spans="1:40" x14ac:dyDescent="0.25">
      <c r="A3291" t="str">
        <f>"20190305135653621"</f>
        <v>20190305135653621</v>
      </c>
      <c r="B3291" t="str">
        <f>"1551765413615924"</f>
        <v>1551765413615924</v>
      </c>
      <c r="C3291" t="s">
        <v>40</v>
      </c>
      <c r="D3291">
        <v>3.7937400000000001</v>
      </c>
      <c r="E3291">
        <v>0.47477730000000001</v>
      </c>
      <c r="F3291" t="s">
        <v>73</v>
      </c>
      <c r="G3291">
        <v>-401.0453</v>
      </c>
      <c r="H3291" s="1">
        <v>-2.249122E-6</v>
      </c>
      <c r="I3291">
        <v>132.60380000000001</v>
      </c>
      <c r="J3291">
        <v>-353.9196</v>
      </c>
      <c r="K3291">
        <v>1.1084590000000001</v>
      </c>
      <c r="L3291">
        <v>141.0795</v>
      </c>
      <c r="M3291">
        <v>-0.99989309999999998</v>
      </c>
      <c r="N3291">
        <v>-1.432725E-2</v>
      </c>
      <c r="O3291">
        <v>2.961319E-3</v>
      </c>
      <c r="P3291">
        <v>-0.99381240000000004</v>
      </c>
      <c r="Q3291">
        <v>7.4521769999999999E-3</v>
      </c>
      <c r="R3291">
        <v>-0.110822</v>
      </c>
      <c r="S3291">
        <v>-2.9602659999999998</v>
      </c>
      <c r="T3291">
        <v>-6.8997260000000005E-2</v>
      </c>
      <c r="U3291">
        <v>-0.52748109999999904</v>
      </c>
      <c r="V3291">
        <v>-0.1137333</v>
      </c>
      <c r="W3291">
        <v>2.1849150000000001E-2</v>
      </c>
      <c r="X3291">
        <v>0.99327109999999996</v>
      </c>
      <c r="Y3291">
        <v>-0.17826210000000001</v>
      </c>
      <c r="Z3291">
        <v>-3.374649E-3</v>
      </c>
      <c r="AA3291">
        <v>0.98397730000000005</v>
      </c>
      <c r="AB3291">
        <v>41</v>
      </c>
      <c r="AC3291">
        <v>-47.125700000000002</v>
      </c>
      <c r="AD3291">
        <v>-1.1084612491220001</v>
      </c>
      <c r="AE3291">
        <v>-8.4756999999999891</v>
      </c>
      <c r="AF3291">
        <v>-8.6106167690569801</v>
      </c>
      <c r="AG3291">
        <v>-1.1084612491220001</v>
      </c>
      <c r="AH3291">
        <v>47.075162996802703</v>
      </c>
      <c r="AI3291">
        <v>91.326867316676498</v>
      </c>
      <c r="AJ3291">
        <v>100.36550582201799</v>
      </c>
      <c r="AK3291">
        <v>47.869012718667101</v>
      </c>
      <c r="AL3291">
        <v>88.7480363735515</v>
      </c>
      <c r="AM3291">
        <v>96.532134862378001</v>
      </c>
      <c r="AN3291">
        <v>1.0000000634899</v>
      </c>
    </row>
    <row r="3292" spans="1:40" x14ac:dyDescent="0.25">
      <c r="A3292" t="str">
        <f>"20190305135653644"</f>
        <v>20190305135653644</v>
      </c>
      <c r="B3292" t="str">
        <f>"1551765413635443"</f>
        <v>1551765413635443</v>
      </c>
      <c r="C3292" t="s">
        <v>40</v>
      </c>
      <c r="D3292">
        <v>3.8154119999999998</v>
      </c>
      <c r="E3292">
        <v>0.4746261</v>
      </c>
      <c r="F3292" t="s">
        <v>73</v>
      </c>
      <c r="G3292">
        <v>-402.04489999999998</v>
      </c>
      <c r="H3292" s="1">
        <v>-2.7596740000000002E-6</v>
      </c>
      <c r="I3292">
        <v>132.49209999999999</v>
      </c>
      <c r="J3292">
        <v>-354.3331</v>
      </c>
      <c r="K3292">
        <v>1.1084560000000001</v>
      </c>
      <c r="L3292">
        <v>141.0812</v>
      </c>
      <c r="M3292">
        <v>-0.99989130000000004</v>
      </c>
      <c r="N3292">
        <v>-1.4324699999999999E-2</v>
      </c>
      <c r="O3292">
        <v>3.48614E-3</v>
      </c>
      <c r="P3292">
        <v>-0.99378690000000003</v>
      </c>
      <c r="Q3292">
        <v>6.6151949999999999E-3</v>
      </c>
      <c r="R3292">
        <v>-0.1111041</v>
      </c>
      <c r="S3292">
        <v>-2.9602659999999998</v>
      </c>
      <c r="T3292">
        <v>-6.8183419999999995E-2</v>
      </c>
      <c r="U3292">
        <v>-0.52822880000000005</v>
      </c>
      <c r="V3292">
        <v>-0.11453820000000001</v>
      </c>
      <c r="W3292">
        <v>2.100964E-2</v>
      </c>
      <c r="X3292">
        <v>0.99319669999999904</v>
      </c>
      <c r="Y3292">
        <v>-0.1790205</v>
      </c>
      <c r="Z3292">
        <v>-3.3679700000000001E-3</v>
      </c>
      <c r="AA3292">
        <v>0.98383960000000004</v>
      </c>
      <c r="AB3292">
        <v>41</v>
      </c>
      <c r="AC3292">
        <v>-47.711799999999897</v>
      </c>
      <c r="AD3292">
        <v>-1.1084587596740001</v>
      </c>
      <c r="AE3292">
        <v>-8.5891000000000002</v>
      </c>
      <c r="AF3292">
        <v>-8.7508199450346407</v>
      </c>
      <c r="AG3292">
        <v>-1.1084587596740001</v>
      </c>
      <c r="AH3292">
        <v>47.656649194209301</v>
      </c>
      <c r="AI3292">
        <v>91.310515219769698</v>
      </c>
      <c r="AJ3292">
        <v>100.40487099994201</v>
      </c>
      <c r="AK3292">
        <v>48.466088587302401</v>
      </c>
      <c r="AL3292">
        <v>88.796147777088393</v>
      </c>
      <c r="AM3292">
        <v>96.578448015193302</v>
      </c>
      <c r="AN3292">
        <v>1.00000004456152</v>
      </c>
    </row>
    <row r="3293" spans="1:40" x14ac:dyDescent="0.25">
      <c r="A3293" t="str">
        <f>"20190305135653665"</f>
        <v>20190305135653665</v>
      </c>
      <c r="B3293" t="str">
        <f>"1551765413655940"</f>
        <v>1551765413655940</v>
      </c>
      <c r="C3293" t="s">
        <v>40</v>
      </c>
      <c r="D3293">
        <v>3.8293300000000001</v>
      </c>
      <c r="E3293">
        <v>0.47444540000000002</v>
      </c>
      <c r="F3293" t="s">
        <v>73</v>
      </c>
      <c r="G3293">
        <v>-400.68979999999999</v>
      </c>
      <c r="H3293" s="1">
        <v>-2.139054E-6</v>
      </c>
      <c r="I3293">
        <v>132.7784</v>
      </c>
      <c r="J3293">
        <v>-354.73140000000001</v>
      </c>
      <c r="K3293">
        <v>1.1084540000000001</v>
      </c>
      <c r="L3293">
        <v>141.083</v>
      </c>
      <c r="M3293">
        <v>-0.99988960000000005</v>
      </c>
      <c r="N3293">
        <v>-1.4322319999999999E-2</v>
      </c>
      <c r="O3293">
        <v>3.9912890000000003E-3</v>
      </c>
      <c r="P3293">
        <v>-0.99373279999999997</v>
      </c>
      <c r="Q3293">
        <v>5.8746229999999998E-3</v>
      </c>
      <c r="R3293">
        <v>-0.1116297</v>
      </c>
      <c r="S3293">
        <v>-2.959991</v>
      </c>
      <c r="T3293">
        <v>-7.0777770000000004E-2</v>
      </c>
      <c r="U3293">
        <v>-0.53015140000000005</v>
      </c>
      <c r="V3293">
        <v>-0.11556619999999999</v>
      </c>
      <c r="W3293">
        <v>2.0266880000000001E-2</v>
      </c>
      <c r="X3293">
        <v>0.993093</v>
      </c>
      <c r="Y3293">
        <v>-0.18014720000000001</v>
      </c>
      <c r="Z3293">
        <v>-3.475068E-3</v>
      </c>
      <c r="AA3293">
        <v>0.98363350000000005</v>
      </c>
      <c r="AB3293">
        <v>41</v>
      </c>
      <c r="AC3293">
        <v>-45.958399999999898</v>
      </c>
      <c r="AD3293">
        <v>-1.108456139054</v>
      </c>
      <c r="AE3293">
        <v>-8.30459999999999</v>
      </c>
      <c r="AF3293">
        <v>-8.4832071468400798</v>
      </c>
      <c r="AG3293">
        <v>-1.108456139054</v>
      </c>
      <c r="AH3293">
        <v>45.899028672114703</v>
      </c>
      <c r="AI3293">
        <v>91.360386269096196</v>
      </c>
      <c r="AJ3293">
        <v>100.471425324835</v>
      </c>
      <c r="AK3293">
        <v>46.689552488238803</v>
      </c>
      <c r="AL3293">
        <v>88.838713803622795</v>
      </c>
      <c r="AM3293">
        <v>96.637653132518096</v>
      </c>
      <c r="AN3293">
        <v>0.99999999982818699</v>
      </c>
    </row>
    <row r="3294" spans="1:40" x14ac:dyDescent="0.25">
      <c r="A3294" t="str">
        <f>"20190305135653688"</f>
        <v>20190305135653688</v>
      </c>
      <c r="B3294" t="str">
        <f>"1551765413675459"</f>
        <v>1551765413675459</v>
      </c>
      <c r="C3294" t="s">
        <v>40</v>
      </c>
      <c r="D3294">
        <v>3.804284</v>
      </c>
      <c r="E3294">
        <v>0.47434480000000001</v>
      </c>
      <c r="F3294" t="s">
        <v>42</v>
      </c>
      <c r="G3294">
        <v>-399.45049999999998</v>
      </c>
      <c r="H3294" s="1">
        <v>-1.92628E-6</v>
      </c>
      <c r="I3294">
        <v>133.02690000000001</v>
      </c>
      <c r="J3294">
        <v>-355.14010000000002</v>
      </c>
      <c r="K3294">
        <v>1.1084590000000001</v>
      </c>
      <c r="L3294">
        <v>141.08510000000001</v>
      </c>
      <c r="M3294">
        <v>-0.99988730000000003</v>
      </c>
      <c r="N3294">
        <v>-1.431988E-2</v>
      </c>
      <c r="O3294">
        <v>4.5102600000000003E-3</v>
      </c>
      <c r="P3294">
        <v>-0.99363800000000002</v>
      </c>
      <c r="Q3294">
        <v>5.7502069999999898E-3</v>
      </c>
      <c r="R3294">
        <v>-0.1124754</v>
      </c>
      <c r="S3294">
        <v>-2.959473</v>
      </c>
      <c r="T3294">
        <v>-7.3356630000000006E-2</v>
      </c>
      <c r="U3294">
        <v>-0.53314209999999995</v>
      </c>
      <c r="V3294">
        <v>-0.1169273</v>
      </c>
      <c r="W3294">
        <v>2.0139589999999999E-2</v>
      </c>
      <c r="X3294">
        <v>0.99293629999999999</v>
      </c>
      <c r="Y3294">
        <v>-0.1816448</v>
      </c>
      <c r="Z3294">
        <v>-3.5910719999999998E-3</v>
      </c>
      <c r="AA3294">
        <v>0.9833577</v>
      </c>
      <c r="AB3294">
        <v>41</v>
      </c>
      <c r="AC3294">
        <v>-44.310399999999902</v>
      </c>
      <c r="AD3294">
        <v>-1.10846092627999</v>
      </c>
      <c r="AE3294">
        <v>-8.0581999999999994</v>
      </c>
      <c r="AF3294">
        <v>-8.2529906282194396</v>
      </c>
      <c r="AG3294">
        <v>-1.10846092627999</v>
      </c>
      <c r="AH3294">
        <v>44.246798086352001</v>
      </c>
      <c r="AI3294">
        <v>91.410740740611701</v>
      </c>
      <c r="AJ3294">
        <v>100.56550019334701</v>
      </c>
      <c r="AK3294">
        <v>45.023545849132901</v>
      </c>
      <c r="AL3294">
        <v>88.846008525826505</v>
      </c>
      <c r="AM3294">
        <v>96.716169425043603</v>
      </c>
      <c r="AN3294">
        <v>1.00000004621417</v>
      </c>
    </row>
    <row r="3295" spans="1:40" x14ac:dyDescent="0.25">
      <c r="A3295" t="str">
        <f>"20190305135653711"</f>
        <v>20190305135653711</v>
      </c>
      <c r="B3295" t="str">
        <f>"1551765413705716"</f>
        <v>1551765413705716</v>
      </c>
      <c r="C3295" t="s">
        <v>40</v>
      </c>
      <c r="D3295">
        <v>3.8238500000000002</v>
      </c>
      <c r="E3295">
        <v>0.47413519999999998</v>
      </c>
      <c r="F3295" t="s">
        <v>42</v>
      </c>
      <c r="G3295">
        <v>-399.60730000000001</v>
      </c>
      <c r="H3295" s="1">
        <v>-1.8738899999999999E-6</v>
      </c>
      <c r="I3295">
        <v>133.02330000000001</v>
      </c>
      <c r="J3295">
        <v>-355.55349999999999</v>
      </c>
      <c r="K3295">
        <v>1.1084609999999999</v>
      </c>
      <c r="L3295">
        <v>141.0874</v>
      </c>
      <c r="M3295">
        <v>-0.99988489999999997</v>
      </c>
      <c r="N3295">
        <v>-1.4317389999999999E-2</v>
      </c>
      <c r="O3295">
        <v>5.0347719999999999E-3</v>
      </c>
      <c r="P3295">
        <v>-0.9935235</v>
      </c>
      <c r="Q3295">
        <v>4.3895059999999996E-3</v>
      </c>
      <c r="R3295">
        <v>-0.1135434</v>
      </c>
      <c r="S3295">
        <v>-2.9588930000000002</v>
      </c>
      <c r="T3295">
        <v>-7.3758130000000005E-2</v>
      </c>
      <c r="U3295">
        <v>-0.53643799999999997</v>
      </c>
      <c r="V3295">
        <v>-0.11851780000000001</v>
      </c>
      <c r="W3295">
        <v>1.8776569999999999E-2</v>
      </c>
      <c r="X3295">
        <v>0.99277439999999995</v>
      </c>
      <c r="Y3295">
        <v>-0.1832532</v>
      </c>
      <c r="Z3295">
        <v>-3.6410560000000002E-3</v>
      </c>
      <c r="AA3295">
        <v>0.98305900000000002</v>
      </c>
      <c r="AB3295">
        <v>41</v>
      </c>
      <c r="AC3295">
        <v>-44.053800000000003</v>
      </c>
      <c r="AD3295">
        <v>-1.10846287389</v>
      </c>
      <c r="AE3295">
        <v>-8.0640999999999892</v>
      </c>
      <c r="AF3295">
        <v>-8.28074871962896</v>
      </c>
      <c r="AG3295">
        <v>-1.10846287389</v>
      </c>
      <c r="AH3295">
        <v>43.9856917664302</v>
      </c>
      <c r="AI3295">
        <v>91.418667880061506</v>
      </c>
      <c r="AJ3295">
        <v>100.66171839501</v>
      </c>
      <c r="AK3295">
        <v>44.772095879820498</v>
      </c>
      <c r="AL3295">
        <v>88.9241185805664</v>
      </c>
      <c r="AM3295">
        <v>96.807774053033697</v>
      </c>
      <c r="AN3295">
        <v>1.0000000188965801</v>
      </c>
    </row>
    <row r="3296" spans="1:40" x14ac:dyDescent="0.25">
      <c r="A3296" t="str">
        <f>"20190305135653734"</f>
        <v>20190305135653734</v>
      </c>
      <c r="B3296" t="str">
        <f>"1551765413725235"</f>
        <v>1551765413725235</v>
      </c>
      <c r="C3296" t="s">
        <v>40</v>
      </c>
      <c r="D3296">
        <v>3.8161290000000001</v>
      </c>
      <c r="E3296">
        <v>0.4740317</v>
      </c>
      <c r="F3296" t="s">
        <v>42</v>
      </c>
      <c r="G3296">
        <v>-397.30079999999998</v>
      </c>
      <c r="H3296" s="1">
        <v>-2.545123E-6</v>
      </c>
      <c r="I3296">
        <v>133.45050000000001</v>
      </c>
      <c r="J3296">
        <v>-355.98840000000001</v>
      </c>
      <c r="K3296">
        <v>1.1084689999999999</v>
      </c>
      <c r="L3296">
        <v>141.09020000000001</v>
      </c>
      <c r="M3296">
        <v>-0.99988200000000005</v>
      </c>
      <c r="N3296">
        <v>-1.4314749999999999E-2</v>
      </c>
      <c r="O3296">
        <v>5.5875869999999998E-3</v>
      </c>
      <c r="P3296">
        <v>-0.99340580000000001</v>
      </c>
      <c r="Q3296">
        <v>4.49805E-3</v>
      </c>
      <c r="R3296">
        <v>-0.11456669999999999</v>
      </c>
      <c r="S3296">
        <v>-2.9580690000000001</v>
      </c>
      <c r="T3296">
        <v>-7.854187E-2</v>
      </c>
      <c r="U3296">
        <v>-0.5411224</v>
      </c>
      <c r="V3296">
        <v>-0.1200891</v>
      </c>
      <c r="W3296">
        <v>1.888194E-2</v>
      </c>
      <c r="X3296">
        <v>0.99258349999999995</v>
      </c>
      <c r="Y3296">
        <v>-0.18534039999999999</v>
      </c>
      <c r="Z3296">
        <v>-3.845593E-3</v>
      </c>
      <c r="AA3296">
        <v>0.98266690000000001</v>
      </c>
      <c r="AB3296">
        <v>41</v>
      </c>
      <c r="AC3296">
        <v>-41.312399999999897</v>
      </c>
      <c r="AD3296">
        <v>-1.1084715451230001</v>
      </c>
      <c r="AE3296">
        <v>-7.6397000000000004</v>
      </c>
      <c r="AF3296">
        <v>-7.8649660116079803</v>
      </c>
      <c r="AG3296">
        <v>-1.1084715451230001</v>
      </c>
      <c r="AH3296">
        <v>41.240354808917402</v>
      </c>
      <c r="AI3296">
        <v>91.512399028664703</v>
      </c>
      <c r="AJ3296">
        <v>100.797248651332</v>
      </c>
      <c r="AK3296">
        <v>41.9982531100461</v>
      </c>
      <c r="AL3296">
        <v>88.918080192351397</v>
      </c>
      <c r="AM3296">
        <v>96.898480917773</v>
      </c>
      <c r="AN3296">
        <v>0.99999996203461095</v>
      </c>
    </row>
    <row r="3297" spans="1:40" x14ac:dyDescent="0.25">
      <c r="A3297" t="str">
        <f>"20190305135653755"</f>
        <v>20190305135653755</v>
      </c>
      <c r="B3297" t="str">
        <f>"1551765413745731"</f>
        <v>1551765413745731</v>
      </c>
      <c r="C3297" t="s">
        <v>40</v>
      </c>
      <c r="D3297">
        <v>3.8152879999999998</v>
      </c>
      <c r="E3297">
        <v>0.4739255</v>
      </c>
      <c r="F3297" t="s">
        <v>42</v>
      </c>
      <c r="G3297">
        <v>-397.71260000000001</v>
      </c>
      <c r="H3297" s="1">
        <v>-2.4183510000000001E-6</v>
      </c>
      <c r="I3297">
        <v>133.40020000000001</v>
      </c>
      <c r="J3297">
        <v>-356.37020000000001</v>
      </c>
      <c r="K3297">
        <v>1.108482</v>
      </c>
      <c r="L3297">
        <v>141.09270000000001</v>
      </c>
      <c r="M3297">
        <v>-0.99987919999999997</v>
      </c>
      <c r="N3297">
        <v>-1.431253E-2</v>
      </c>
      <c r="O3297">
        <v>6.073228E-3</v>
      </c>
      <c r="P3297">
        <v>-0.99326429999999999</v>
      </c>
      <c r="Q3297">
        <v>5.5767000000000004E-3</v>
      </c>
      <c r="R3297">
        <v>-0.1157373</v>
      </c>
      <c r="S3297">
        <v>-2.9574280000000002</v>
      </c>
      <c r="T3297">
        <v>-7.8568819999999998E-2</v>
      </c>
      <c r="U3297">
        <v>-0.54505919999999997</v>
      </c>
      <c r="V3297">
        <v>-0.1217396</v>
      </c>
      <c r="W3297">
        <v>1.9957470000000001E-2</v>
      </c>
      <c r="X3297">
        <v>0.99236139999999995</v>
      </c>
      <c r="Y3297">
        <v>-0.18711939999999999</v>
      </c>
      <c r="Z3297">
        <v>-3.888875E-3</v>
      </c>
      <c r="AA3297">
        <v>0.98232949999999997</v>
      </c>
      <c r="AB3297">
        <v>41</v>
      </c>
      <c r="AC3297">
        <v>-41.342399999999998</v>
      </c>
      <c r="AD3297">
        <v>-1.1084844183510001</v>
      </c>
      <c r="AE3297">
        <v>-7.6924999999999901</v>
      </c>
      <c r="AF3297">
        <v>-7.9379500025307301</v>
      </c>
      <c r="AG3297">
        <v>-1.1084844183510001</v>
      </c>
      <c r="AH3297">
        <v>41.266240770423899</v>
      </c>
      <c r="AI3297">
        <v>91.511008097574205</v>
      </c>
      <c r="AJ3297">
        <v>100.88838492316199</v>
      </c>
      <c r="AK3297">
        <v>42.0373930598819</v>
      </c>
      <c r="AL3297">
        <v>88.856445265588405</v>
      </c>
      <c r="AM3297">
        <v>96.993910494215399</v>
      </c>
      <c r="AN3297">
        <v>0.99999998951346003</v>
      </c>
    </row>
    <row r="3298" spans="1:40" x14ac:dyDescent="0.25">
      <c r="A3298" t="str">
        <f>"20190305135653776"</f>
        <v>20190305135653776</v>
      </c>
      <c r="B3298" t="str">
        <f>"1551765413765251"</f>
        <v>1551765413765251</v>
      </c>
      <c r="C3298" t="s">
        <v>40</v>
      </c>
      <c r="D3298">
        <v>4.0479719999999997</v>
      </c>
      <c r="E3298">
        <v>0.47403279999999998</v>
      </c>
      <c r="F3298" t="s">
        <v>73</v>
      </c>
      <c r="G3298">
        <v>-400.0172</v>
      </c>
      <c r="H3298" s="1">
        <v>-1.8644709999999999E-6</v>
      </c>
      <c r="I3298">
        <v>132.98390000000001</v>
      </c>
      <c r="J3298">
        <v>-356.76909999999998</v>
      </c>
      <c r="K3298">
        <v>1.108487</v>
      </c>
      <c r="L3298">
        <v>141.09559999999999</v>
      </c>
      <c r="M3298">
        <v>-0.99987599999999999</v>
      </c>
      <c r="N3298">
        <v>-1.4310089999999999E-2</v>
      </c>
      <c r="O3298">
        <v>6.5803270000000004E-3</v>
      </c>
      <c r="P3298">
        <v>-0.99321440000000005</v>
      </c>
      <c r="Q3298">
        <v>4.5788180000000001E-3</v>
      </c>
      <c r="R3298">
        <v>-0.116209199999999</v>
      </c>
      <c r="S3298">
        <v>-2.9567570000000001</v>
      </c>
      <c r="T3298">
        <v>-7.5091599999999994E-2</v>
      </c>
      <c r="U3298">
        <v>-0.54931640000000004</v>
      </c>
      <c r="V3298">
        <v>-0.1227158</v>
      </c>
      <c r="W3298">
        <v>1.8956779999999999E-2</v>
      </c>
      <c r="X3298">
        <v>0.99226080000000005</v>
      </c>
      <c r="Y3298">
        <v>-0.1890307</v>
      </c>
      <c r="Z3298">
        <v>-3.8163810000000002E-3</v>
      </c>
      <c r="AA3298">
        <v>0.98196380000000005</v>
      </c>
      <c r="AB3298">
        <v>41</v>
      </c>
      <c r="AC3298">
        <v>-43.248100000000001</v>
      </c>
      <c r="AD3298">
        <v>-1.108488864471</v>
      </c>
      <c r="AE3298">
        <v>-8.1116999999999795</v>
      </c>
      <c r="AF3298">
        <v>-8.3908151416229106</v>
      </c>
      <c r="AG3298">
        <v>-1.108488864471</v>
      </c>
      <c r="AH3298">
        <v>43.166386158848702</v>
      </c>
      <c r="AI3298">
        <v>91.443984943137707</v>
      </c>
      <c r="AJ3298">
        <v>101.000153039411</v>
      </c>
      <c r="AK3298">
        <v>43.988310041627997</v>
      </c>
      <c r="AL3298">
        <v>88.913791461764603</v>
      </c>
      <c r="AM3298">
        <v>97.050138402376007</v>
      </c>
      <c r="AN3298">
        <v>1.0000000111471199</v>
      </c>
    </row>
    <row r="3299" spans="1:40" x14ac:dyDescent="0.25">
      <c r="A3299" t="str">
        <f>"20190305135653799"</f>
        <v>20190305135653799</v>
      </c>
      <c r="B3299" t="str">
        <f>"1551765413795507"</f>
        <v>1551765413795507</v>
      </c>
      <c r="C3299" t="s">
        <v>40</v>
      </c>
      <c r="D3299">
        <v>3.9668190000000001</v>
      </c>
      <c r="E3299">
        <v>0.52326850000000003</v>
      </c>
      <c r="F3299" t="s">
        <v>42</v>
      </c>
      <c r="G3299">
        <v>-398.78870000000001</v>
      </c>
      <c r="H3299" s="1">
        <v>-2.0835609999999998E-6</v>
      </c>
      <c r="I3299">
        <v>133.28219999999999</v>
      </c>
      <c r="J3299">
        <v>-357.18459999999999</v>
      </c>
      <c r="K3299">
        <v>1.1084889999999901</v>
      </c>
      <c r="L3299">
        <v>141.09880000000001</v>
      </c>
      <c r="M3299">
        <v>-0.99987250000000005</v>
      </c>
      <c r="N3299">
        <v>-1.4307540000000001E-2</v>
      </c>
      <c r="O3299">
        <v>7.1085250000000001E-3</v>
      </c>
      <c r="P3299">
        <v>-0.99315370000000003</v>
      </c>
      <c r="Q3299">
        <v>2.633233E-3</v>
      </c>
      <c r="R3299">
        <v>-0.116786</v>
      </c>
      <c r="S3299">
        <v>-2.9565730000000001</v>
      </c>
      <c r="T3299">
        <v>-7.7995179999999997E-2</v>
      </c>
      <c r="U3299">
        <v>-0.54975889999999905</v>
      </c>
      <c r="V3299">
        <v>-0.1238197</v>
      </c>
      <c r="W3299">
        <v>1.7008269999999999E-2</v>
      </c>
      <c r="X3299">
        <v>0.99215889999999995</v>
      </c>
      <c r="Y3299">
        <v>-0.189696</v>
      </c>
      <c r="Z3299">
        <v>-3.9345379999999996E-3</v>
      </c>
      <c r="AA3299">
        <v>0.98183500000000001</v>
      </c>
      <c r="AB3299">
        <v>41</v>
      </c>
      <c r="AC3299">
        <v>-41.604100000000003</v>
      </c>
      <c r="AD3299">
        <v>-1.10849108356099</v>
      </c>
      <c r="AE3299">
        <v>-7.8166000000000198</v>
      </c>
      <c r="AF3299">
        <v>-8.10661788112116</v>
      </c>
      <c r="AG3299">
        <v>-1.10849108356099</v>
      </c>
      <c r="AH3299">
        <v>41.519009372178402</v>
      </c>
      <c r="AI3299">
        <v>91.501011801951194</v>
      </c>
      <c r="AJ3299">
        <v>101.048049193201</v>
      </c>
      <c r="AK3299">
        <v>42.317539451153003</v>
      </c>
      <c r="AL3299">
        <v>89.025450864463195</v>
      </c>
      <c r="AM3299">
        <v>97.113634796247695</v>
      </c>
      <c r="AN3299">
        <v>0.99999994110284396</v>
      </c>
    </row>
    <row r="3300" spans="1:40" x14ac:dyDescent="0.25">
      <c r="A3300" t="str">
        <f>"20190305135653822"</f>
        <v>20190305135653822</v>
      </c>
      <c r="B3300" t="str">
        <f>"1551765413816006"</f>
        <v>1551765413816006</v>
      </c>
      <c r="C3300" t="s">
        <v>40</v>
      </c>
      <c r="D3300">
        <v>3.9624009999999998</v>
      </c>
      <c r="E3300">
        <v>0.52872350000000001</v>
      </c>
      <c r="F3300" t="s">
        <v>42</v>
      </c>
      <c r="G3300">
        <v>-389.12729999999999</v>
      </c>
      <c r="H3300" s="1">
        <v>-3.9555870000000003E-7</v>
      </c>
      <c r="I3300">
        <v>139.39709999999999</v>
      </c>
      <c r="J3300">
        <v>-357.60309999999998</v>
      </c>
      <c r="K3300">
        <v>1.1084889999999901</v>
      </c>
      <c r="L3300">
        <v>141.10230000000001</v>
      </c>
      <c r="M3300">
        <v>-0.9998686</v>
      </c>
      <c r="N3300">
        <v>-1.4304860000000001E-2</v>
      </c>
      <c r="O3300">
        <v>7.6407749999999998E-3</v>
      </c>
      <c r="P3300">
        <v>-0.99309959999999997</v>
      </c>
      <c r="Q3300">
        <v>1.4544149999999999E-3</v>
      </c>
      <c r="R3300">
        <v>-0.11726739999999999</v>
      </c>
      <c r="S3300">
        <v>-3.0021059999999999</v>
      </c>
      <c r="T3300">
        <v>-0.1041806</v>
      </c>
      <c r="U3300">
        <v>-0.1599274</v>
      </c>
      <c r="V3300">
        <v>-0.1248302</v>
      </c>
      <c r="W3300">
        <v>1.5826340000000001E-2</v>
      </c>
      <c r="X3300">
        <v>0.99205189999999999</v>
      </c>
      <c r="Y3300">
        <v>-6.0772350000000003E-2</v>
      </c>
      <c r="Z3300">
        <v>-1.644291E-3</v>
      </c>
      <c r="AA3300">
        <v>0.99815030000000005</v>
      </c>
      <c r="AB3300">
        <v>41</v>
      </c>
      <c r="AC3300">
        <v>-31.5242</v>
      </c>
      <c r="AD3300">
        <v>-1.1084893955587001</v>
      </c>
      <c r="AE3300">
        <v>-1.70520000000001</v>
      </c>
      <c r="AF3300">
        <v>-1.9436479496750401</v>
      </c>
      <c r="AG3300">
        <v>-1.1084893955587001</v>
      </c>
      <c r="AH3300">
        <v>31.471449997322601</v>
      </c>
      <c r="AI3300">
        <v>92.013408705412701</v>
      </c>
      <c r="AJ3300">
        <v>93.534046299253205</v>
      </c>
      <c r="AK3300">
        <v>31.5508903365074</v>
      </c>
      <c r="AL3300">
        <v>89.093179665456404</v>
      </c>
      <c r="AM3300">
        <v>97.171853021825498</v>
      </c>
      <c r="AN3300">
        <v>1.0000000120817201</v>
      </c>
    </row>
    <row r="3301" spans="1:40" x14ac:dyDescent="0.25">
      <c r="A3301" t="str">
        <f>"20190305135653844"</f>
        <v>20190305135653844</v>
      </c>
      <c r="B3301" t="str">
        <f>"1551765413835523"</f>
        <v>1551765413835523</v>
      </c>
      <c r="C3301" t="s">
        <v>40</v>
      </c>
      <c r="D3301">
        <v>3.9521410000000001</v>
      </c>
      <c r="E3301">
        <v>0.53067810000000004</v>
      </c>
      <c r="F3301" t="s">
        <v>42</v>
      </c>
      <c r="G3301">
        <v>-384.42</v>
      </c>
      <c r="H3301" s="1">
        <v>-2.4935130000000001E-6</v>
      </c>
      <c r="I3301">
        <v>140.0575</v>
      </c>
      <c r="J3301">
        <v>-358.00659999999999</v>
      </c>
      <c r="K3301">
        <v>1.1084909999999999</v>
      </c>
      <c r="L3301">
        <v>141.10589999999999</v>
      </c>
      <c r="M3301">
        <v>-0.99986450000000004</v>
      </c>
      <c r="N3301">
        <v>-1.430229E-2</v>
      </c>
      <c r="O3301">
        <v>8.1539539999999997E-3</v>
      </c>
      <c r="P3301">
        <v>-0.99304789999999998</v>
      </c>
      <c r="Q3301">
        <v>2.0933369999999998E-3</v>
      </c>
      <c r="R3301">
        <v>-0.1176929</v>
      </c>
      <c r="S3301">
        <v>-3.0072329999999998</v>
      </c>
      <c r="T3301">
        <v>-0.12430570000000001</v>
      </c>
      <c r="U3301">
        <v>-0.117157</v>
      </c>
      <c r="V3301">
        <v>-0.1257636</v>
      </c>
      <c r="W3301">
        <v>1.6462359999999999E-2</v>
      </c>
      <c r="X3301">
        <v>0.99192360000000002</v>
      </c>
      <c r="Y3301">
        <v>-4.7019209999999999E-2</v>
      </c>
      <c r="Z3301">
        <v>-1.5278220000000001E-3</v>
      </c>
      <c r="AA3301">
        <v>0.99889280000000003</v>
      </c>
      <c r="AB3301">
        <v>41</v>
      </c>
      <c r="AC3301">
        <v>-26.413399999999999</v>
      </c>
      <c r="AD3301">
        <v>-1.108493493513</v>
      </c>
      <c r="AE3301">
        <v>-1.04839999999998</v>
      </c>
      <c r="AF3301">
        <v>-1.2615424335261001</v>
      </c>
      <c r="AG3301">
        <v>-1.108493493513</v>
      </c>
      <c r="AH3301">
        <v>26.357623265010201</v>
      </c>
      <c r="AI3301">
        <v>92.405455864554</v>
      </c>
      <c r="AJ3301">
        <v>92.740229564733596</v>
      </c>
      <c r="AK3301">
        <v>26.411068727277101</v>
      </c>
      <c r="AL3301">
        <v>89.056733604802005</v>
      </c>
      <c r="AM3301">
        <v>97.225839557832103</v>
      </c>
      <c r="AN3301">
        <v>0.99999996030934402</v>
      </c>
    </row>
    <row r="3302" spans="1:40" x14ac:dyDescent="0.25">
      <c r="A3302" t="str">
        <f>"20190305135653866"</f>
        <v>20190305135653866</v>
      </c>
      <c r="B3302" t="str">
        <f>"1551765413855949"</f>
        <v>1551765413855949</v>
      </c>
      <c r="C3302" t="s">
        <v>40</v>
      </c>
      <c r="D3302">
        <v>3.9578540000000002</v>
      </c>
      <c r="E3302">
        <v>0.53157959999999904</v>
      </c>
      <c r="F3302" t="s">
        <v>42</v>
      </c>
      <c r="G3302">
        <v>-383.48059999999998</v>
      </c>
      <c r="H3302" s="1">
        <v>-2.9447809999999999E-6</v>
      </c>
      <c r="I3302">
        <v>140.2388</v>
      </c>
      <c r="J3302">
        <v>-358.40359999999998</v>
      </c>
      <c r="K3302">
        <v>1.1084879999999999</v>
      </c>
      <c r="L3302">
        <v>141.1096</v>
      </c>
      <c r="M3302">
        <v>-0.99986030000000004</v>
      </c>
      <c r="N3302">
        <v>-1.4299839999999999E-2</v>
      </c>
      <c r="O3302">
        <v>8.6590230000000001E-3</v>
      </c>
      <c r="P3302">
        <v>-0.99306170000000005</v>
      </c>
      <c r="Q3302">
        <v>3.4902039999999998E-3</v>
      </c>
      <c r="R3302">
        <v>-0.1175446</v>
      </c>
      <c r="S3302">
        <v>-3.0091549999999998</v>
      </c>
      <c r="T3302">
        <v>-0.13094310000000001</v>
      </c>
      <c r="U3302">
        <v>-0.10241699999999999</v>
      </c>
      <c r="V3302">
        <v>-0.12611439999999999</v>
      </c>
      <c r="W3302">
        <v>1.7855949999999999E-2</v>
      </c>
      <c r="X3302">
        <v>0.99185500000000004</v>
      </c>
      <c r="Y3302">
        <v>-4.2611830000000003E-2</v>
      </c>
      <c r="Z3302">
        <v>-1.4841539999999999E-3</v>
      </c>
      <c r="AA3302">
        <v>0.99909060000000005</v>
      </c>
      <c r="AB3302">
        <v>41</v>
      </c>
      <c r="AC3302">
        <v>-25.077000000000002</v>
      </c>
      <c r="AD3302">
        <v>-1.1084909447810001</v>
      </c>
      <c r="AE3302">
        <v>-0.87080000000000202</v>
      </c>
      <c r="AF3302">
        <v>-1.0858127951310399</v>
      </c>
      <c r="AG3302">
        <v>-1.1084909447810001</v>
      </c>
      <c r="AH3302">
        <v>25.019690311258199</v>
      </c>
      <c r="AI3302">
        <v>92.534433339664005</v>
      </c>
      <c r="AJ3302">
        <v>92.484981887918295</v>
      </c>
      <c r="AK3302">
        <v>25.067761066198202</v>
      </c>
      <c r="AL3302">
        <v>88.976875062031397</v>
      </c>
      <c r="AM3302">
        <v>97.246276927950703</v>
      </c>
      <c r="AN3302">
        <v>1.0000000089313801</v>
      </c>
    </row>
    <row r="3303" spans="1:40" x14ac:dyDescent="0.25">
      <c r="A3303" t="str">
        <f>"20190305135653891"</f>
        <v>20190305135653891</v>
      </c>
      <c r="B3303" t="str">
        <f>"1551765413886205"</f>
        <v>1551765413886205</v>
      </c>
      <c r="C3303" t="s">
        <v>40</v>
      </c>
      <c r="D3303">
        <v>3.9385509999999999</v>
      </c>
      <c r="E3303">
        <v>0.53236839999999996</v>
      </c>
      <c r="F3303" t="s">
        <v>42</v>
      </c>
      <c r="G3303">
        <v>-383.52199999999999</v>
      </c>
      <c r="H3303" s="1">
        <v>-2.948616E-6</v>
      </c>
      <c r="I3303">
        <v>140.3201</v>
      </c>
      <c r="J3303">
        <v>-358.8374</v>
      </c>
      <c r="K3303">
        <v>1.108487</v>
      </c>
      <c r="L3303">
        <v>141.1138</v>
      </c>
      <c r="M3303">
        <v>-0.99985539999999995</v>
      </c>
      <c r="N3303">
        <v>-1.429714E-2</v>
      </c>
      <c r="O3303">
        <v>9.2088380000000004E-3</v>
      </c>
      <c r="P3303">
        <v>-0.9929867</v>
      </c>
      <c r="Q3303">
        <v>2.9017460000000002E-3</v>
      </c>
      <c r="R3303">
        <v>-0.1181924</v>
      </c>
      <c r="S3303">
        <v>-3.0102540000000002</v>
      </c>
      <c r="T3303">
        <v>-0.13284470000000001</v>
      </c>
      <c r="U3303">
        <v>-9.4604489999999999E-2</v>
      </c>
      <c r="V3303">
        <v>-0.1273079</v>
      </c>
      <c r="W3303">
        <v>1.7263810000000001E-2</v>
      </c>
      <c r="X3303">
        <v>0.99171299999999996</v>
      </c>
      <c r="Y3303">
        <v>-4.055947E-2</v>
      </c>
      <c r="Z3303">
        <v>-1.4590370000000001E-3</v>
      </c>
      <c r="AA3303">
        <v>0.99917610000000001</v>
      </c>
      <c r="AB3303">
        <v>41</v>
      </c>
      <c r="AC3303">
        <v>-24.6845999999999</v>
      </c>
      <c r="AD3303">
        <v>-1.108489948616</v>
      </c>
      <c r="AE3303">
        <v>-0.79370000000000096</v>
      </c>
      <c r="AF3303">
        <v>-1.0189533942114199</v>
      </c>
      <c r="AG3303">
        <v>-1.108489948616</v>
      </c>
      <c r="AH3303">
        <v>24.626633486378399</v>
      </c>
      <c r="AI3303">
        <v>92.575048218744996</v>
      </c>
      <c r="AJ3303">
        <v>92.369322916771395</v>
      </c>
      <c r="AK3303">
        <v>24.672618281369601</v>
      </c>
      <c r="AL3303">
        <v>89.010807415557196</v>
      </c>
      <c r="AM3303">
        <v>97.315149790476397</v>
      </c>
      <c r="AN3303">
        <v>1.00000000745356</v>
      </c>
    </row>
    <row r="3304" spans="1:40" x14ac:dyDescent="0.25">
      <c r="A3304" t="str">
        <f>"20190305135653916"</f>
        <v>20190305135653916</v>
      </c>
      <c r="B3304" t="str">
        <f>"1551765413905724"</f>
        <v>1551765413905724</v>
      </c>
      <c r="C3304" t="s">
        <v>40</v>
      </c>
      <c r="D3304">
        <v>3.9388000000000001</v>
      </c>
      <c r="E3304">
        <v>0.53284909999999996</v>
      </c>
      <c r="F3304" t="s">
        <v>42</v>
      </c>
      <c r="G3304">
        <v>-383.04790000000003</v>
      </c>
      <c r="H3304" s="1">
        <v>-3.170415E-6</v>
      </c>
      <c r="I3304">
        <v>140.38919999999999</v>
      </c>
      <c r="J3304">
        <v>-359.3073</v>
      </c>
      <c r="K3304">
        <v>1.108493</v>
      </c>
      <c r="L3304">
        <v>141.11869999999999</v>
      </c>
      <c r="M3304">
        <v>-0.99984989999999996</v>
      </c>
      <c r="N3304">
        <v>-1.429398E-2</v>
      </c>
      <c r="O3304">
        <v>9.7996909999999993E-3</v>
      </c>
      <c r="P3304">
        <v>-0.99275049999999998</v>
      </c>
      <c r="Q3304">
        <v>2.5189869999999999E-3</v>
      </c>
      <c r="R3304">
        <v>-0.1201685</v>
      </c>
      <c r="S3304">
        <v>-3.0108950000000001</v>
      </c>
      <c r="T3304">
        <v>-0.13785539999999999</v>
      </c>
      <c r="U3304">
        <v>-9.0103150000000007E-2</v>
      </c>
      <c r="V3304">
        <v>-0.12986809999999999</v>
      </c>
      <c r="W3304">
        <v>1.6876200000000001E-2</v>
      </c>
      <c r="X3304">
        <v>0.99138769999999998</v>
      </c>
      <c r="Y3304">
        <v>-3.9647849999999998E-2</v>
      </c>
      <c r="Z3304">
        <v>-1.4989679999999901E-3</v>
      </c>
      <c r="AA3304">
        <v>0.99921260000000001</v>
      </c>
      <c r="AB3304">
        <v>41</v>
      </c>
      <c r="AC3304">
        <v>-23.740600000000001</v>
      </c>
      <c r="AD3304">
        <v>-1.108496170415</v>
      </c>
      <c r="AE3304">
        <v>-0.72950000000000104</v>
      </c>
      <c r="AF3304">
        <v>-0.96004819037344402</v>
      </c>
      <c r="AG3304">
        <v>-1.108496170415</v>
      </c>
      <c r="AH3304">
        <v>23.680731499895199</v>
      </c>
      <c r="AI3304">
        <v>92.677865254421405</v>
      </c>
      <c r="AJ3304">
        <v>92.321575361807803</v>
      </c>
      <c r="AK3304">
        <v>23.726093244733601</v>
      </c>
      <c r="AL3304">
        <v>89.033019110678495</v>
      </c>
      <c r="AM3304">
        <v>97.463038895124598</v>
      </c>
      <c r="AN3304">
        <v>1.0000000506176601</v>
      </c>
    </row>
    <row r="3305" spans="1:40" x14ac:dyDescent="0.25">
      <c r="A3305" t="str">
        <f>"20190305135653938"</f>
        <v>20190305135653938</v>
      </c>
      <c r="B3305" t="str">
        <f>"1551765413925244"</f>
        <v>1551765413925244</v>
      </c>
      <c r="C3305" t="s">
        <v>40</v>
      </c>
      <c r="D3305">
        <v>3.9501949999999999</v>
      </c>
      <c r="E3305">
        <v>0.5332249</v>
      </c>
      <c r="F3305" t="s">
        <v>42</v>
      </c>
      <c r="G3305">
        <v>-383.12360000000001</v>
      </c>
      <c r="H3305" s="1">
        <v>-3.1384509999999998E-6</v>
      </c>
      <c r="I3305">
        <v>140.39109999999999</v>
      </c>
      <c r="J3305">
        <v>-359.72109999999998</v>
      </c>
      <c r="K3305">
        <v>1.1085039999999999</v>
      </c>
      <c r="L3305">
        <v>141.1233</v>
      </c>
      <c r="M3305">
        <v>-0.99984470000000003</v>
      </c>
      <c r="N3305">
        <v>-1.4291389999999999E-2</v>
      </c>
      <c r="O3305">
        <v>1.031555E-2</v>
      </c>
      <c r="P3305">
        <v>-0.99259209999999998</v>
      </c>
      <c r="Q3305">
        <v>3.668096E-3</v>
      </c>
      <c r="R3305">
        <v>-0.1214401</v>
      </c>
      <c r="S3305">
        <v>-3.0111690000000002</v>
      </c>
      <c r="T3305">
        <v>-0.14015150000000001</v>
      </c>
      <c r="U3305">
        <v>-9.1995240000000006E-2</v>
      </c>
      <c r="V3305">
        <v>-0.1316484</v>
      </c>
      <c r="W3305">
        <v>1.8019960000000002E-2</v>
      </c>
      <c r="X3305">
        <v>0.99113269999999998</v>
      </c>
      <c r="Y3305">
        <v>-4.0784210000000001E-2</v>
      </c>
      <c r="Z3305">
        <v>-1.5725429999999901E-3</v>
      </c>
      <c r="AA3305">
        <v>0.99916669999999996</v>
      </c>
      <c r="AB3305">
        <v>41</v>
      </c>
      <c r="AC3305">
        <v>-23.4025</v>
      </c>
      <c r="AD3305">
        <v>-1.1085071384509999</v>
      </c>
      <c r="AE3305">
        <v>-0.73220000000000596</v>
      </c>
      <c r="AF3305">
        <v>-0.97141796318533102</v>
      </c>
      <c r="AG3305">
        <v>-1.1085071384509999</v>
      </c>
      <c r="AH3305">
        <v>23.3413823975024</v>
      </c>
      <c r="AI3305">
        <v>92.716646617374494</v>
      </c>
      <c r="AJ3305">
        <v>92.383151421981196</v>
      </c>
      <c r="AK3305">
        <v>23.387872352174998</v>
      </c>
      <c r="AL3305">
        <v>88.967476485266403</v>
      </c>
      <c r="AM3305">
        <v>97.566092967945195</v>
      </c>
      <c r="AN3305">
        <v>1.0000000245951199</v>
      </c>
    </row>
    <row r="3306" spans="1:40" x14ac:dyDescent="0.25">
      <c r="A3306" t="str">
        <f>"20190305135653958"</f>
        <v>20190305135653958</v>
      </c>
      <c r="B3306" t="str">
        <f>"1551765413945741"</f>
        <v>1551765413945741</v>
      </c>
      <c r="C3306" t="s">
        <v>40</v>
      </c>
      <c r="D3306">
        <v>3.9360089999999999</v>
      </c>
      <c r="E3306">
        <v>0.53352730000000004</v>
      </c>
      <c r="F3306" t="s">
        <v>42</v>
      </c>
      <c r="G3306">
        <v>-384.05169999999998</v>
      </c>
      <c r="H3306" s="1">
        <v>-2.7354839999999999E-6</v>
      </c>
      <c r="I3306">
        <v>140.37289999999999</v>
      </c>
      <c r="J3306">
        <v>-360.0643</v>
      </c>
      <c r="K3306">
        <v>1.1085130000000001</v>
      </c>
      <c r="L3306">
        <v>141.12719999999999</v>
      </c>
      <c r="M3306">
        <v>-0.99984050000000002</v>
      </c>
      <c r="N3306">
        <v>-1.4289349999999999E-2</v>
      </c>
      <c r="O3306">
        <v>1.07335E-2</v>
      </c>
      <c r="P3306">
        <v>-0.99245519999999998</v>
      </c>
      <c r="Q3306">
        <v>3.9666049999999998E-3</v>
      </c>
      <c r="R3306">
        <v>-0.12254569999999999</v>
      </c>
      <c r="S3306">
        <v>-3.0115970000000001</v>
      </c>
      <c r="T3306">
        <v>-0.13720969999999999</v>
      </c>
      <c r="U3306">
        <v>-9.2864989999999994E-2</v>
      </c>
      <c r="V3306">
        <v>-0.13316649999999999</v>
      </c>
      <c r="W3306">
        <v>1.8313639999999999E-2</v>
      </c>
      <c r="X3306">
        <v>0.99092449999999999</v>
      </c>
      <c r="Y3306">
        <v>-4.1487120000000002E-2</v>
      </c>
      <c r="Z3306">
        <v>-1.5764500000000001E-3</v>
      </c>
      <c r="AA3306">
        <v>0.99913779999999996</v>
      </c>
      <c r="AB3306">
        <v>41</v>
      </c>
      <c r="AC3306">
        <v>-23.987399999999901</v>
      </c>
      <c r="AD3306">
        <v>-1.1085157354839901</v>
      </c>
      <c r="AE3306">
        <v>-0.75429999999999997</v>
      </c>
      <c r="AF3306">
        <v>-1.0095975787810401</v>
      </c>
      <c r="AG3306">
        <v>-1.1085157354839901</v>
      </c>
      <c r="AH3306">
        <v>23.926873349697001</v>
      </c>
      <c r="AI3306">
        <v>92.650222814199594</v>
      </c>
      <c r="AJ3306">
        <v>92.416169718761196</v>
      </c>
      <c r="AK3306">
        <v>23.973805761691999</v>
      </c>
      <c r="AL3306">
        <v>88.950647095093998</v>
      </c>
      <c r="AM3306">
        <v>97.653901848743104</v>
      </c>
      <c r="AN3306">
        <v>1.0000000354162699</v>
      </c>
    </row>
    <row r="3307" spans="1:40" x14ac:dyDescent="0.25">
      <c r="A3307" t="str">
        <f>"20190305135653978"</f>
        <v>20190305135653978</v>
      </c>
      <c r="B3307" t="str">
        <f>"1551765413975771"</f>
        <v>1551765413975771</v>
      </c>
      <c r="C3307" t="s">
        <v>40</v>
      </c>
      <c r="D3307">
        <v>3.9464380000000001</v>
      </c>
      <c r="E3307">
        <v>0.53386990000000001</v>
      </c>
      <c r="F3307" t="s">
        <v>42</v>
      </c>
      <c r="G3307">
        <v>-384.1857</v>
      </c>
      <c r="H3307" s="1">
        <v>-2.6784640000000001E-6</v>
      </c>
      <c r="I3307">
        <v>140.37479999999999</v>
      </c>
      <c r="J3307">
        <v>-360.43920000000003</v>
      </c>
      <c r="K3307">
        <v>1.108538</v>
      </c>
      <c r="L3307">
        <v>141.13159999999999</v>
      </c>
      <c r="M3307">
        <v>-0.99983560000000005</v>
      </c>
      <c r="N3307">
        <v>-1.428717E-2</v>
      </c>
      <c r="O3307">
        <v>1.1169159999999999E-2</v>
      </c>
      <c r="P3307">
        <v>-0.99242140000000001</v>
      </c>
      <c r="Q3307">
        <v>3.7598309999999999E-3</v>
      </c>
      <c r="R3307">
        <v>-0.1228229</v>
      </c>
      <c r="S3307">
        <v>-3.0117799999999999</v>
      </c>
      <c r="T3307">
        <v>-0.1384087</v>
      </c>
      <c r="U3307">
        <v>-9.393311E-2</v>
      </c>
      <c r="V3307">
        <v>-0.1338762</v>
      </c>
      <c r="W3307">
        <v>1.8099569999999999E-2</v>
      </c>
      <c r="X3307">
        <v>0.99083270000000001</v>
      </c>
      <c r="Y3307">
        <v>-4.2272280000000002E-2</v>
      </c>
      <c r="Z3307">
        <v>-1.626277E-3</v>
      </c>
      <c r="AA3307">
        <v>0.99910480000000002</v>
      </c>
      <c r="AB3307">
        <v>41</v>
      </c>
      <c r="AC3307">
        <v>-23.746499999999902</v>
      </c>
      <c r="AD3307">
        <v>-1.108540678464</v>
      </c>
      <c r="AE3307">
        <v>-0.75679999999999803</v>
      </c>
      <c r="AF3307">
        <v>-1.0197881987297499</v>
      </c>
      <c r="AG3307">
        <v>-1.108540678464</v>
      </c>
      <c r="AH3307">
        <v>23.6850019675535</v>
      </c>
      <c r="AI3307">
        <v>92.677209926758394</v>
      </c>
      <c r="AJ3307">
        <v>92.465420672083795</v>
      </c>
      <c r="AK3307">
        <v>23.732849567826602</v>
      </c>
      <c r="AL3307">
        <v>88.962914331800903</v>
      </c>
      <c r="AM3307">
        <v>97.694909649380307</v>
      </c>
      <c r="AN3307">
        <v>0.99999993537495502</v>
      </c>
    </row>
    <row r="3308" spans="1:40" x14ac:dyDescent="0.25">
      <c r="A3308" t="str">
        <f>"20190305135654001"</f>
        <v>20190305135654001</v>
      </c>
      <c r="B3308" t="str">
        <f>"1551765413995290"</f>
        <v>1551765413995290</v>
      </c>
      <c r="C3308" t="s">
        <v>40</v>
      </c>
      <c r="D3308">
        <v>3.9386190000000001</v>
      </c>
      <c r="E3308">
        <v>0.53401319999999997</v>
      </c>
      <c r="F3308" t="s">
        <v>42</v>
      </c>
      <c r="G3308">
        <v>-383.94119999999998</v>
      </c>
      <c r="H3308" s="1">
        <v>-2.793836E-6</v>
      </c>
      <c r="I3308">
        <v>140.41409999999999</v>
      </c>
      <c r="J3308">
        <v>-360.84190000000001</v>
      </c>
      <c r="K3308">
        <v>1.108568</v>
      </c>
      <c r="L3308">
        <v>141.13650000000001</v>
      </c>
      <c r="M3308">
        <v>-0.99983080000000002</v>
      </c>
      <c r="N3308">
        <v>-1.428478E-2</v>
      </c>
      <c r="O3308">
        <v>1.159871E-2</v>
      </c>
      <c r="P3308">
        <v>-0.99238990000000005</v>
      </c>
      <c r="Q3308">
        <v>3.4604219999999999E-3</v>
      </c>
      <c r="R3308">
        <v>-0.1230884</v>
      </c>
      <c r="S3308">
        <v>-3.0120239999999998</v>
      </c>
      <c r="T3308">
        <v>-0.14207149999999999</v>
      </c>
      <c r="U3308">
        <v>-9.1949459999999997E-2</v>
      </c>
      <c r="V3308">
        <v>-0.1345691</v>
      </c>
      <c r="W3308">
        <v>1.7788729999999999E-2</v>
      </c>
      <c r="X3308">
        <v>0.99074450000000003</v>
      </c>
      <c r="Y3308">
        <v>-4.2038560000000003E-2</v>
      </c>
      <c r="Z3308">
        <v>-1.6723040000000001E-3</v>
      </c>
      <c r="AA3308">
        <v>0.99911459999999996</v>
      </c>
      <c r="AB3308">
        <v>41</v>
      </c>
      <c r="AC3308">
        <v>-23.0992999999999</v>
      </c>
      <c r="AD3308">
        <v>-1.1085707938359901</v>
      </c>
      <c r="AE3308">
        <v>-0.72240000000002103</v>
      </c>
      <c r="AF3308">
        <v>-0.98802740053597105</v>
      </c>
      <c r="AG3308">
        <v>-1.1085707938359901</v>
      </c>
      <c r="AH3308">
        <v>23.036360884701999</v>
      </c>
      <c r="AI3308">
        <v>92.752572786390502</v>
      </c>
      <c r="AJ3308">
        <v>92.455905538326306</v>
      </c>
      <c r="AK3308">
        <v>23.084173153036801</v>
      </c>
      <c r="AL3308">
        <v>88.980727059423202</v>
      </c>
      <c r="AM3308">
        <v>97.734935388560899</v>
      </c>
      <c r="AN3308">
        <v>0.99999997293503595</v>
      </c>
    </row>
    <row r="3309" spans="1:40" x14ac:dyDescent="0.25">
      <c r="A3309" t="str">
        <f>"20190305135654024"</f>
        <v>20190305135654024</v>
      </c>
      <c r="B3309" t="str">
        <f>"1551765414015787"</f>
        <v>1551765414015787</v>
      </c>
      <c r="C3309" t="s">
        <v>40</v>
      </c>
      <c r="D3309">
        <v>3.9382329999999999</v>
      </c>
      <c r="E3309">
        <v>0.53435809999999995</v>
      </c>
      <c r="F3309" t="s">
        <v>42</v>
      </c>
      <c r="G3309">
        <v>-383.93310000000002</v>
      </c>
      <c r="H3309" s="1">
        <v>-2.8026099999999902E-6</v>
      </c>
      <c r="I3309">
        <v>140.4341</v>
      </c>
      <c r="J3309">
        <v>-361.27210000000002</v>
      </c>
      <c r="K3309">
        <v>1.1086020000000001</v>
      </c>
      <c r="L3309">
        <v>141.14189999999999</v>
      </c>
      <c r="M3309">
        <v>-0.99982610000000005</v>
      </c>
      <c r="N3309">
        <v>-1.4282299999999901E-2</v>
      </c>
      <c r="O3309">
        <v>1.19997E-2</v>
      </c>
      <c r="P3309">
        <v>-0.99239719999999998</v>
      </c>
      <c r="Q3309">
        <v>3.3174049999999998E-3</v>
      </c>
      <c r="R3309">
        <v>-0.1230325</v>
      </c>
      <c r="S3309">
        <v>-3.012146</v>
      </c>
      <c r="T3309">
        <v>-0.14460809999999999</v>
      </c>
      <c r="U3309">
        <v>-9.1613769999999997E-2</v>
      </c>
      <c r="V3309">
        <v>-0.13491239999999999</v>
      </c>
      <c r="W3309">
        <v>1.7628540000000002E-2</v>
      </c>
      <c r="X3309">
        <v>0.99070069999999999</v>
      </c>
      <c r="Y3309">
        <v>-4.2323880000000001E-2</v>
      </c>
      <c r="Z3309">
        <v>-1.7220409999999999E-3</v>
      </c>
      <c r="AA3309">
        <v>0.9991025</v>
      </c>
      <c r="AB3309">
        <v>41</v>
      </c>
      <c r="AC3309">
        <v>-22.660999999999898</v>
      </c>
      <c r="AD3309">
        <v>-1.1086048026099999</v>
      </c>
      <c r="AE3309">
        <v>-0.70779999999999099</v>
      </c>
      <c r="AF3309">
        <v>-0.97736510212015804</v>
      </c>
      <c r="AG3309">
        <v>-1.1086048026099999</v>
      </c>
      <c r="AH3309">
        <v>22.596845743484899</v>
      </c>
      <c r="AI3309">
        <v>92.806068665580597</v>
      </c>
      <c r="AJ3309">
        <v>92.476629482476994</v>
      </c>
      <c r="AK3309">
        <v>22.645124965565198</v>
      </c>
      <c r="AL3309">
        <v>88.989906736433795</v>
      </c>
      <c r="AM3309">
        <v>97.754766906040004</v>
      </c>
      <c r="AN3309">
        <v>0.99999999903838999</v>
      </c>
    </row>
    <row r="3310" spans="1:40" x14ac:dyDescent="0.25">
      <c r="A3310" t="str">
        <f>"20190305135654045"</f>
        <v>20190305135654045</v>
      </c>
      <c r="B3310" t="str">
        <f>"1551765414035307"</f>
        <v>1551765414035307</v>
      </c>
      <c r="C3310" t="s">
        <v>40</v>
      </c>
      <c r="D3310">
        <v>3.8914599999999999</v>
      </c>
      <c r="E3310">
        <v>0.54892959999999902</v>
      </c>
      <c r="F3310" t="s">
        <v>42</v>
      </c>
      <c r="G3310">
        <v>-384.24349999999998</v>
      </c>
      <c r="H3310" s="1">
        <v>-2.6777190000000001E-6</v>
      </c>
      <c r="I3310">
        <v>140.46520000000001</v>
      </c>
      <c r="J3310">
        <v>-361.64940000000001</v>
      </c>
      <c r="K3310">
        <v>1.1086590000000001</v>
      </c>
      <c r="L3310">
        <v>141.14670000000001</v>
      </c>
      <c r="M3310">
        <v>-0.99982269999999895</v>
      </c>
      <c r="N3310">
        <v>-1.427994E-2</v>
      </c>
      <c r="O3310">
        <v>1.2289299999999901E-2</v>
      </c>
      <c r="P3310">
        <v>-0.99236329999999995</v>
      </c>
      <c r="Q3310">
        <v>4.2216420000000003E-3</v>
      </c>
      <c r="R3310">
        <v>-0.12327970000000001</v>
      </c>
      <c r="S3310">
        <v>-3.0124209999999998</v>
      </c>
      <c r="T3310">
        <v>-0.14538000000000001</v>
      </c>
      <c r="U3310">
        <v>-8.8729859999999994E-2</v>
      </c>
      <c r="V3310">
        <v>-0.1354474</v>
      </c>
      <c r="W3310">
        <v>1.851388E-2</v>
      </c>
      <c r="X3310">
        <v>0.99061160000000004</v>
      </c>
      <c r="Y3310">
        <v>-4.1655009999999999E-2</v>
      </c>
      <c r="Z3310">
        <v>-1.719298E-3</v>
      </c>
      <c r="AA3310">
        <v>0.99913050000000003</v>
      </c>
      <c r="AB3310">
        <v>41</v>
      </c>
      <c r="AC3310">
        <v>-22.594099999999901</v>
      </c>
      <c r="AD3310">
        <v>-1.1086616777189999</v>
      </c>
      <c r="AE3310">
        <v>-0.681499999999999</v>
      </c>
      <c r="AF3310">
        <v>-0.95684073977575601</v>
      </c>
      <c r="AG3310">
        <v>-1.1086616777189999</v>
      </c>
      <c r="AH3310">
        <v>22.529820976680099</v>
      </c>
      <c r="AI3310">
        <v>92.814641344747898</v>
      </c>
      <c r="AJ3310">
        <v>92.431888402338203</v>
      </c>
      <c r="AK3310">
        <v>22.5773671662174</v>
      </c>
      <c r="AL3310">
        <v>88.939172260638003</v>
      </c>
      <c r="AM3310">
        <v>97.785833981027494</v>
      </c>
      <c r="AN3310">
        <v>1.0000000519869801</v>
      </c>
    </row>
    <row r="3311" spans="1:40" x14ac:dyDescent="0.25">
      <c r="A3311" t="str">
        <f>"20190305135654067"</f>
        <v>20190305135654067</v>
      </c>
      <c r="B3311" t="str">
        <f>"1551765414055803"</f>
        <v>1551765414055803</v>
      </c>
      <c r="C3311" t="s">
        <v>40</v>
      </c>
      <c r="D3311">
        <v>3.8621279999999998</v>
      </c>
      <c r="E3311">
        <v>0.54941960000000001</v>
      </c>
      <c r="F3311" t="s">
        <v>42</v>
      </c>
      <c r="G3311">
        <v>-380.065</v>
      </c>
      <c r="H3311" s="1">
        <v>-4.5557960000000004E-6</v>
      </c>
      <c r="I3311">
        <v>141.31809999999999</v>
      </c>
      <c r="J3311">
        <v>-362.0489</v>
      </c>
      <c r="K3311">
        <v>1.1087260000000001</v>
      </c>
      <c r="L3311">
        <v>141.15180000000001</v>
      </c>
      <c r="M3311">
        <v>-0.99981980000000004</v>
      </c>
      <c r="N3311">
        <v>-1.427732E-2</v>
      </c>
      <c r="O3311">
        <v>1.2522470000000001E-2</v>
      </c>
      <c r="P3311">
        <v>-0.99231219999999998</v>
      </c>
      <c r="Q3311">
        <v>5.0783959999999998E-3</v>
      </c>
      <c r="R3311">
        <v>-0.1236574</v>
      </c>
      <c r="S3311">
        <v>-3.027374</v>
      </c>
      <c r="T3311">
        <v>-0.18225530000000001</v>
      </c>
      <c r="U3311">
        <v>2.8198239999999999E-2</v>
      </c>
      <c r="V3311">
        <v>-0.13605789999999901</v>
      </c>
      <c r="W3311">
        <v>1.9346760000000001E-2</v>
      </c>
      <c r="X3311">
        <v>0.99051199999999995</v>
      </c>
      <c r="Y3311">
        <v>-3.1895769999999999E-3</v>
      </c>
      <c r="Z3311">
        <v>-6.9320139999999998E-4</v>
      </c>
      <c r="AA3311">
        <v>0.99999470000000001</v>
      </c>
      <c r="AB3311">
        <v>41</v>
      </c>
      <c r="AC3311">
        <v>-18.016099999999899</v>
      </c>
      <c r="AD3311">
        <v>-1.1087305557960001</v>
      </c>
      <c r="AE3311">
        <v>0.16629999999997799</v>
      </c>
      <c r="AF3311">
        <v>-5.9118199359488401E-2</v>
      </c>
      <c r="AG3311">
        <v>-1.1087305557960001</v>
      </c>
      <c r="AH3311">
        <v>17.948797973464799</v>
      </c>
      <c r="AI3311">
        <v>93.534756102998003</v>
      </c>
      <c r="AJ3311">
        <v>90.188715203768993</v>
      </c>
      <c r="AK3311">
        <v>17.983106714333399</v>
      </c>
      <c r="AL3311">
        <v>88.891443182062702</v>
      </c>
      <c r="AM3311">
        <v>97.821270313257301</v>
      </c>
      <c r="AN3311">
        <v>1.0000000357094501</v>
      </c>
    </row>
    <row r="3312" spans="1:40" x14ac:dyDescent="0.25">
      <c r="A3312" t="str">
        <f>"20190305135654089"</f>
        <v>20190305135654089</v>
      </c>
      <c r="B3312" t="str">
        <f>"1551765414086059"</f>
        <v>1551765414086059</v>
      </c>
      <c r="C3312" t="s">
        <v>40</v>
      </c>
      <c r="D3312">
        <v>3.8982079999999999</v>
      </c>
      <c r="E3312">
        <v>0.54925669999999904</v>
      </c>
      <c r="F3312" t="s">
        <v>42</v>
      </c>
      <c r="G3312">
        <v>-381.12360000000001</v>
      </c>
      <c r="H3312" s="1">
        <v>-4.20055E-6</v>
      </c>
      <c r="I3312">
        <v>141.34639999999999</v>
      </c>
      <c r="J3312">
        <v>-362.45420000000001</v>
      </c>
      <c r="K3312">
        <v>1.1087819999999999</v>
      </c>
      <c r="L3312">
        <v>141.15710000000001</v>
      </c>
      <c r="M3312">
        <v>-0.99981770000000003</v>
      </c>
      <c r="N3312">
        <v>-1.4274759999999999E-2</v>
      </c>
      <c r="O3312">
        <v>1.268439E-2</v>
      </c>
      <c r="P3312">
        <v>-0.99225319999999995</v>
      </c>
      <c r="Q3312">
        <v>4.0249769999999999E-3</v>
      </c>
      <c r="R3312">
        <v>-0.12416770000000001</v>
      </c>
      <c r="S3312">
        <v>-3.0280149999999999</v>
      </c>
      <c r="T3312">
        <v>-0.17600550000000001</v>
      </c>
      <c r="U3312">
        <v>3.0899050000000001E-2</v>
      </c>
      <c r="V3312">
        <v>-0.13673170000000001</v>
      </c>
      <c r="W3312">
        <v>1.8267390000000001E-2</v>
      </c>
      <c r="X3312">
        <v>0.99043970000000003</v>
      </c>
      <c r="Y3312">
        <v>-2.4646170000000001E-3</v>
      </c>
      <c r="Z3312">
        <v>-6.4483589999999897E-4</v>
      </c>
      <c r="AA3312">
        <v>0.99999680000000002</v>
      </c>
      <c r="AB3312">
        <v>40</v>
      </c>
      <c r="AC3312">
        <v>-18.6694</v>
      </c>
      <c r="AD3312">
        <v>-1.10878620055</v>
      </c>
      <c r="AE3312">
        <v>0.18929999999997399</v>
      </c>
      <c r="AF3312">
        <v>-4.7382191419105199E-2</v>
      </c>
      <c r="AG3312">
        <v>-1.10878620055</v>
      </c>
      <c r="AH3312">
        <v>18.604682719629601</v>
      </c>
      <c r="AI3312">
        <v>93.410620376576006</v>
      </c>
      <c r="AJ3312">
        <v>90.145919915099498</v>
      </c>
      <c r="AK3312">
        <v>18.637753915337498</v>
      </c>
      <c r="AL3312">
        <v>88.953297459705993</v>
      </c>
      <c r="AM3312">
        <v>97.860087276171001</v>
      </c>
      <c r="AN3312">
        <v>1.00000002732919</v>
      </c>
    </row>
    <row r="3313" spans="1:40" x14ac:dyDescent="0.25">
      <c r="A3313" t="str">
        <f>"20190305135654113"</f>
        <v>20190305135654113</v>
      </c>
      <c r="B3313" t="str">
        <f>"1551765414105579"</f>
        <v>1551765414105579</v>
      </c>
      <c r="C3313" t="s">
        <v>40</v>
      </c>
      <c r="D3313">
        <v>3.9228149999999999</v>
      </c>
      <c r="E3313">
        <v>0.54921370000000003</v>
      </c>
      <c r="F3313" t="s">
        <v>42</v>
      </c>
      <c r="G3313">
        <v>-381.70479999999998</v>
      </c>
      <c r="H3313" s="1">
        <v>-3.9982869999999998E-6</v>
      </c>
      <c r="I3313">
        <v>141.33519999999999</v>
      </c>
      <c r="J3313">
        <v>-362.8784</v>
      </c>
      <c r="K3313">
        <v>1.108846</v>
      </c>
      <c r="L3313">
        <v>141.1626</v>
      </c>
      <c r="M3313">
        <v>-0.99981640000000005</v>
      </c>
      <c r="N3313">
        <v>-1.4272139999999999E-2</v>
      </c>
      <c r="O3313">
        <v>1.278264E-2</v>
      </c>
      <c r="P3313">
        <v>-0.99222569999999999</v>
      </c>
      <c r="Q3313">
        <v>3.571631E-3</v>
      </c>
      <c r="R3313">
        <v>-0.1243991</v>
      </c>
      <c r="S3313">
        <v>-3.027679</v>
      </c>
      <c r="T3313">
        <v>-0.17438699999999999</v>
      </c>
      <c r="U3313">
        <v>2.80304E-2</v>
      </c>
      <c r="V3313">
        <v>-0.13706299999999999</v>
      </c>
      <c r="W3313">
        <v>1.7790159999999999E-2</v>
      </c>
      <c r="X3313">
        <v>0.99040260000000002</v>
      </c>
      <c r="Y3313">
        <v>-3.5072670000000001E-3</v>
      </c>
      <c r="Z3313">
        <v>-6.7923899999999999E-4</v>
      </c>
      <c r="AA3313">
        <v>0.99999360000000004</v>
      </c>
      <c r="AB3313">
        <v>40</v>
      </c>
      <c r="AC3313">
        <v>-18.8263999999999</v>
      </c>
      <c r="AD3313">
        <v>-1.1088499982869999</v>
      </c>
      <c r="AE3313">
        <v>0.17259999999998801</v>
      </c>
      <c r="AF3313">
        <v>-6.7854350135782296E-2</v>
      </c>
      <c r="AG3313">
        <v>-1.1088499982869999</v>
      </c>
      <c r="AH3313">
        <v>18.7619871810119</v>
      </c>
      <c r="AI3313">
        <v>93.382274696932996</v>
      </c>
      <c r="AJ3313">
        <v>90.2072142410466</v>
      </c>
      <c r="AK3313">
        <v>18.794848110905001</v>
      </c>
      <c r="AL3313">
        <v>88.980645174645502</v>
      </c>
      <c r="AM3313">
        <v>97.879184748042903</v>
      </c>
      <c r="AN3313">
        <v>1.00000003292429</v>
      </c>
    </row>
    <row r="3314" spans="1:40" x14ac:dyDescent="0.25">
      <c r="A3314" t="str">
        <f>"20190305135654136"</f>
        <v>20190305135654136</v>
      </c>
      <c r="B3314" t="str">
        <f>"1551765414126076"</f>
        <v>1551765414126076</v>
      </c>
      <c r="C3314" t="s">
        <v>40</v>
      </c>
      <c r="D3314">
        <v>3.8933019999999998</v>
      </c>
      <c r="E3314">
        <v>0.54924919999999899</v>
      </c>
      <c r="F3314" t="s">
        <v>42</v>
      </c>
      <c r="G3314">
        <v>-382.24520000000001</v>
      </c>
      <c r="H3314" s="1">
        <v>-3.7663350000000002E-6</v>
      </c>
      <c r="I3314">
        <v>141.3347</v>
      </c>
      <c r="J3314">
        <v>-363.29329999999999</v>
      </c>
      <c r="K3314">
        <v>1.108884</v>
      </c>
      <c r="L3314">
        <v>141.1679</v>
      </c>
      <c r="M3314">
        <v>-0.99981589999999998</v>
      </c>
      <c r="N3314">
        <v>-1.4269560000000001E-2</v>
      </c>
      <c r="O3314">
        <v>1.283342E-2</v>
      </c>
      <c r="P3314">
        <v>-0.99228609999999995</v>
      </c>
      <c r="Q3314">
        <v>2.5031400000000001E-3</v>
      </c>
      <c r="R3314">
        <v>-0.12394579999999999</v>
      </c>
      <c r="S3314">
        <v>-3.027466</v>
      </c>
      <c r="T3314">
        <v>-0.17333870000000001</v>
      </c>
      <c r="U3314">
        <v>2.6931759999999999E-2</v>
      </c>
      <c r="V3314">
        <v>-0.1366637</v>
      </c>
      <c r="W3314">
        <v>1.6702660000000001E-2</v>
      </c>
      <c r="X3314">
        <v>0.99047669999999999</v>
      </c>
      <c r="Y3314">
        <v>-3.919629E-3</v>
      </c>
      <c r="Z3314">
        <v>-6.9122619999999896E-4</v>
      </c>
      <c r="AA3314">
        <v>0.99999210000000005</v>
      </c>
      <c r="AB3314">
        <v>40</v>
      </c>
      <c r="AC3314">
        <v>-18.951899999999998</v>
      </c>
      <c r="AD3314">
        <v>-1.1088877663349901</v>
      </c>
      <c r="AE3314">
        <v>0.16679999999999401</v>
      </c>
      <c r="AF3314">
        <v>-7.6195344859607897E-2</v>
      </c>
      <c r="AG3314">
        <v>-1.1088877663349901</v>
      </c>
      <c r="AH3314">
        <v>18.887822439590401</v>
      </c>
      <c r="AI3314">
        <v>93.359901774803205</v>
      </c>
      <c r="AJ3314">
        <v>90.231135590719603</v>
      </c>
      <c r="AK3314">
        <v>18.920498786194901</v>
      </c>
      <c r="AL3314">
        <v>89.042963591679595</v>
      </c>
      <c r="AM3314">
        <v>97.855937276533595</v>
      </c>
      <c r="AN3314">
        <v>1.0000000194958201</v>
      </c>
    </row>
    <row r="3315" spans="1:40" x14ac:dyDescent="0.25">
      <c r="A3315" t="str">
        <f>"20190305135654156"</f>
        <v>20190305135654156</v>
      </c>
      <c r="B3315" t="str">
        <f>"1551765414145595"</f>
        <v>1551765414145595</v>
      </c>
      <c r="C3315" t="s">
        <v>40</v>
      </c>
      <c r="D3315">
        <v>3.9175010000000001</v>
      </c>
      <c r="E3315">
        <v>0.54927109999999901</v>
      </c>
      <c r="F3315" t="s">
        <v>42</v>
      </c>
      <c r="G3315">
        <v>-382.30009999999999</v>
      </c>
      <c r="H3315" s="1">
        <v>-3.7461450000000002E-6</v>
      </c>
      <c r="I3315">
        <v>141.34739999999999</v>
      </c>
      <c r="J3315">
        <v>-363.65910000000002</v>
      </c>
      <c r="K3315">
        <v>1.108911</v>
      </c>
      <c r="L3315">
        <v>141.17269999999999</v>
      </c>
      <c r="M3315">
        <v>-0.99981569999999997</v>
      </c>
      <c r="N3315">
        <v>-1.426724E-2</v>
      </c>
      <c r="O3315">
        <v>1.2852270000000001E-2</v>
      </c>
      <c r="P3315">
        <v>-0.99226320000000001</v>
      </c>
      <c r="Q3315">
        <v>1.4369230000000001E-3</v>
      </c>
      <c r="R3315">
        <v>-0.1241459</v>
      </c>
      <c r="S3315">
        <v>-3.0273439999999998</v>
      </c>
      <c r="T3315">
        <v>-0.1766202</v>
      </c>
      <c r="U3315">
        <v>2.8594970000000001E-2</v>
      </c>
      <c r="V3315">
        <v>-0.1368838</v>
      </c>
      <c r="W3315">
        <v>1.562229E-2</v>
      </c>
      <c r="X3315">
        <v>0.99046389999999995</v>
      </c>
      <c r="Y3315">
        <v>-3.3889969999999999E-3</v>
      </c>
      <c r="Z3315">
        <v>-6.8885840000000001E-4</v>
      </c>
      <c r="AA3315">
        <v>0.99999400000000005</v>
      </c>
      <c r="AB3315">
        <v>40</v>
      </c>
      <c r="AC3315">
        <v>-18.640999999999899</v>
      </c>
      <c r="AD3315">
        <v>-1.108914746145</v>
      </c>
      <c r="AE3315">
        <v>0.17470000000000099</v>
      </c>
      <c r="AF3315">
        <v>-6.46890617508694E-2</v>
      </c>
      <c r="AG3315">
        <v>-1.108914746145</v>
      </c>
      <c r="AH3315">
        <v>18.575974404632099</v>
      </c>
      <c r="AI3315">
        <v>93.416264326889802</v>
      </c>
      <c r="AJ3315">
        <v>90.1995262889385</v>
      </c>
      <c r="AK3315">
        <v>18.609156393304801</v>
      </c>
      <c r="AL3315">
        <v>89.104872289556397</v>
      </c>
      <c r="AM3315">
        <v>97.868531502073196</v>
      </c>
      <c r="AN3315">
        <v>0.99999998392524603</v>
      </c>
    </row>
    <row r="3316" spans="1:40" x14ac:dyDescent="0.25">
      <c r="A3316" t="str">
        <f>"20190305135654179"</f>
        <v>20190305135654179</v>
      </c>
      <c r="B3316" t="str">
        <f>"1551765414175851"</f>
        <v>1551765414175851</v>
      </c>
      <c r="C3316" t="s">
        <v>40</v>
      </c>
      <c r="D3316">
        <v>3.9050340000000001</v>
      </c>
      <c r="E3316">
        <v>0.54932700000000001</v>
      </c>
      <c r="F3316" t="s">
        <v>42</v>
      </c>
      <c r="G3316">
        <v>-382.55329999999998</v>
      </c>
      <c r="H3316" s="1">
        <v>-3.6379669999999999E-6</v>
      </c>
      <c r="I3316">
        <v>141.34889999999999</v>
      </c>
      <c r="J3316">
        <v>-364.07209999999998</v>
      </c>
      <c r="K3316">
        <v>1.108941</v>
      </c>
      <c r="L3316">
        <v>141.178</v>
      </c>
      <c r="M3316">
        <v>-0.99981549999999997</v>
      </c>
      <c r="N3316">
        <v>-1.4264580000000001E-2</v>
      </c>
      <c r="O3316">
        <v>1.2855750000000001E-2</v>
      </c>
      <c r="P3316">
        <v>-0.99222239999999995</v>
      </c>
      <c r="Q3316">
        <v>-1.1202580000000001E-3</v>
      </c>
      <c r="R3316">
        <v>-0.1244729</v>
      </c>
      <c r="S3316">
        <v>-3.0271910000000002</v>
      </c>
      <c r="T3316">
        <v>-0.17766889999999999</v>
      </c>
      <c r="U3316">
        <v>2.8259280000000001E-2</v>
      </c>
      <c r="V3316">
        <v>-0.13721620000000001</v>
      </c>
      <c r="W3316">
        <v>1.3051439999999999E-2</v>
      </c>
      <c r="X3316">
        <v>0.99045519999999998</v>
      </c>
      <c r="Y3316">
        <v>-3.5023659999999998E-3</v>
      </c>
      <c r="Z3316">
        <v>-6.9824759999999905E-4</v>
      </c>
      <c r="AA3316">
        <v>0.99999360000000004</v>
      </c>
      <c r="AB3316">
        <v>40</v>
      </c>
      <c r="AC3316">
        <v>-18.481200000000001</v>
      </c>
      <c r="AD3316">
        <v>-1.108944637967</v>
      </c>
      <c r="AE3316">
        <v>0.17089999999998801</v>
      </c>
      <c r="AF3316">
        <v>-6.6488644388346493E-2</v>
      </c>
      <c r="AG3316">
        <v>-1.108944637967</v>
      </c>
      <c r="AH3316">
        <v>18.4155706295575</v>
      </c>
      <c r="AI3316">
        <v>93.446040467338506</v>
      </c>
      <c r="AJ3316">
        <v>90.206863106926306</v>
      </c>
      <c r="AK3316">
        <v>18.449049313233701</v>
      </c>
      <c r="AL3316">
        <v>89.252186388141695</v>
      </c>
      <c r="AM3316">
        <v>97.887467158831697</v>
      </c>
      <c r="AN3316">
        <v>1.00000006441777</v>
      </c>
    </row>
    <row r="3317" spans="1:40" x14ac:dyDescent="0.25">
      <c r="A3317" t="str">
        <f>"20190305135654202"</f>
        <v>20190305135654202</v>
      </c>
      <c r="B3317" t="str">
        <f>"1551765414195371"</f>
        <v>1551765414195371</v>
      </c>
      <c r="C3317" t="s">
        <v>40</v>
      </c>
      <c r="D3317">
        <v>3.8953880000000001</v>
      </c>
      <c r="E3317">
        <v>0.54935419999999902</v>
      </c>
      <c r="F3317" t="s">
        <v>42</v>
      </c>
      <c r="G3317">
        <v>-382.274</v>
      </c>
      <c r="H3317" s="1">
        <v>-3.7573640000000001E-6</v>
      </c>
      <c r="I3317">
        <v>141.34739999999999</v>
      </c>
      <c r="J3317">
        <v>-364.47669999999999</v>
      </c>
      <c r="K3317">
        <v>1.1089709999999999</v>
      </c>
      <c r="L3317">
        <v>141.1832</v>
      </c>
      <c r="M3317">
        <v>-0.99981580000000003</v>
      </c>
      <c r="N3317">
        <v>-1.4261950000000001E-2</v>
      </c>
      <c r="O3317">
        <v>1.2851E-2</v>
      </c>
      <c r="P3317">
        <v>-0.99218300000000004</v>
      </c>
      <c r="Q3317">
        <v>-2.3354349999999999E-3</v>
      </c>
      <c r="R3317">
        <v>-0.1247708</v>
      </c>
      <c r="S3317">
        <v>-3.0268250000000001</v>
      </c>
      <c r="T3317">
        <v>-0.1844083</v>
      </c>
      <c r="U3317">
        <v>2.8198239999999999E-2</v>
      </c>
      <c r="V3317">
        <v>-0.1375092</v>
      </c>
      <c r="W3317">
        <v>1.182511E-2</v>
      </c>
      <c r="X3317">
        <v>0.99042989999999997</v>
      </c>
      <c r="Y3317">
        <v>-3.514793E-3</v>
      </c>
      <c r="Z3317">
        <v>-7.3107249999999999E-4</v>
      </c>
      <c r="AA3317">
        <v>0.99999360000000004</v>
      </c>
      <c r="AB3317">
        <v>40</v>
      </c>
      <c r="AC3317">
        <v>-17.7973</v>
      </c>
      <c r="AD3317">
        <v>-1.1089747573640001</v>
      </c>
      <c r="AE3317">
        <v>0.16419999999999299</v>
      </c>
      <c r="AF3317">
        <v>-6.4300269000782007E-2</v>
      </c>
      <c r="AG3317">
        <v>-1.1089747573640001</v>
      </c>
      <c r="AH3317">
        <v>17.729109242629399</v>
      </c>
      <c r="AI3317">
        <v>93.579225609806002</v>
      </c>
      <c r="AJ3317">
        <v>90.207800506587006</v>
      </c>
      <c r="AK3317">
        <v>17.763875536440601</v>
      </c>
      <c r="AL3317">
        <v>89.322455313595498</v>
      </c>
      <c r="AM3317">
        <v>97.904296102744098</v>
      </c>
      <c r="AN3317">
        <v>1.0000000000625799</v>
      </c>
    </row>
    <row r="3318" spans="1:40" x14ac:dyDescent="0.25">
      <c r="A3318" t="str">
        <f>"20190305135654224"</f>
        <v>20190305135654224</v>
      </c>
      <c r="B3318" t="str">
        <f>"1551765414215870"</f>
        <v>1551765414215870</v>
      </c>
      <c r="C3318" t="s">
        <v>40</v>
      </c>
      <c r="D3318">
        <v>3.9358580000000001</v>
      </c>
      <c r="E3318">
        <v>0.54930570000000001</v>
      </c>
      <c r="F3318" t="s">
        <v>42</v>
      </c>
      <c r="G3318">
        <v>-382.37079999999997</v>
      </c>
      <c r="H3318" s="1">
        <v>-3.7159299999999998E-6</v>
      </c>
      <c r="I3318">
        <v>141.3477</v>
      </c>
      <c r="J3318">
        <v>-364.8818</v>
      </c>
      <c r="K3318">
        <v>1.1090040000000001</v>
      </c>
      <c r="L3318">
        <v>141.1884</v>
      </c>
      <c r="M3318">
        <v>-0.99981580000000003</v>
      </c>
      <c r="N3318">
        <v>-1.4259310000000001E-2</v>
      </c>
      <c r="O3318">
        <v>1.2845499999999999E-2</v>
      </c>
      <c r="P3318">
        <v>-0.99209049999999999</v>
      </c>
      <c r="Q3318">
        <v>-2.0578630000000001E-3</v>
      </c>
      <c r="R3318">
        <v>-0.1255096</v>
      </c>
      <c r="S3318">
        <v>-3.0267330000000001</v>
      </c>
      <c r="T3318">
        <v>-0.18758030000000001</v>
      </c>
      <c r="U3318">
        <v>2.784729E-2</v>
      </c>
      <c r="V3318">
        <v>-0.13824220000000001</v>
      </c>
      <c r="W3318">
        <v>1.209212E-2</v>
      </c>
      <c r="X3318">
        <v>0.9903246</v>
      </c>
      <c r="Y3318">
        <v>-3.6238049999999999E-3</v>
      </c>
      <c r="Z3318">
        <v>-7.5029160000000003E-4</v>
      </c>
      <c r="AA3318">
        <v>0.99999309999999997</v>
      </c>
      <c r="AB3318">
        <v>40</v>
      </c>
      <c r="AC3318">
        <v>-17.488999999999901</v>
      </c>
      <c r="AD3318">
        <v>-1.10900771593</v>
      </c>
      <c r="AE3318">
        <v>0.159300000000001</v>
      </c>
      <c r="AF3318">
        <v>-6.5129076452904194E-2</v>
      </c>
      <c r="AG3318">
        <v>-1.10900771593</v>
      </c>
      <c r="AH3318">
        <v>17.419564160362398</v>
      </c>
      <c r="AI3318">
        <v>93.642765040938698</v>
      </c>
      <c r="AJ3318">
        <v>90.214219126382901</v>
      </c>
      <c r="AK3318">
        <v>17.4549521754594</v>
      </c>
      <c r="AL3318">
        <v>89.307155652117501</v>
      </c>
      <c r="AM3318">
        <v>97.946727686704506</v>
      </c>
      <c r="AN3318">
        <v>0.99999996929604595</v>
      </c>
    </row>
    <row r="3319" spans="1:40" x14ac:dyDescent="0.25">
      <c r="A3319" t="str">
        <f>"20190305135654245"</f>
        <v>20190305135654245</v>
      </c>
      <c r="B3319" t="str">
        <f>"1551765414235387"</f>
        <v>1551765414235387</v>
      </c>
      <c r="C3319" t="s">
        <v>40</v>
      </c>
      <c r="D3319">
        <v>3.9498669999999998</v>
      </c>
      <c r="E3319">
        <v>0.54919390000000001</v>
      </c>
      <c r="F3319" t="s">
        <v>42</v>
      </c>
      <c r="G3319">
        <v>-382.899</v>
      </c>
      <c r="H3319" s="1">
        <v>-3.4869969999999999E-6</v>
      </c>
      <c r="I3319">
        <v>141.339</v>
      </c>
      <c r="J3319">
        <v>-365.26429999999999</v>
      </c>
      <c r="K3319">
        <v>1.1090249999999999</v>
      </c>
      <c r="L3319">
        <v>141.19329999999999</v>
      </c>
      <c r="M3319">
        <v>-0.99981569999999997</v>
      </c>
      <c r="N3319">
        <v>-1.425681E-2</v>
      </c>
      <c r="O3319">
        <v>1.286094E-2</v>
      </c>
      <c r="P3319">
        <v>-0.99177859999999995</v>
      </c>
      <c r="Q3319">
        <v>-1.0102799999999999E-3</v>
      </c>
      <c r="R3319">
        <v>-0.1279642</v>
      </c>
      <c r="S3319">
        <v>-3.0267330000000001</v>
      </c>
      <c r="T3319">
        <v>-0.186304</v>
      </c>
      <c r="U3319">
        <v>2.5314329999999999E-2</v>
      </c>
      <c r="V3319">
        <v>-0.1407072</v>
      </c>
      <c r="W3319">
        <v>1.313011E-2</v>
      </c>
      <c r="X3319">
        <v>0.98996419999999996</v>
      </c>
      <c r="Y3319">
        <v>-4.4744009999999898E-3</v>
      </c>
      <c r="Z3319">
        <v>-7.7711100000000003E-4</v>
      </c>
      <c r="AA3319">
        <v>0.99998969999999998</v>
      </c>
      <c r="AB3319">
        <v>40</v>
      </c>
      <c r="AC3319">
        <v>-17.634699999999999</v>
      </c>
      <c r="AD3319">
        <v>-1.109028486997</v>
      </c>
      <c r="AE3319">
        <v>0.14570000000000499</v>
      </c>
      <c r="AF3319">
        <v>-8.0814312398170302E-2</v>
      </c>
      <c r="AG3319">
        <v>-1.109028486997</v>
      </c>
      <c r="AH3319">
        <v>17.565647414038501</v>
      </c>
      <c r="AI3319">
        <v>93.612605381062096</v>
      </c>
      <c r="AJ3319">
        <v>90.263598958056406</v>
      </c>
      <c r="AK3319">
        <v>17.6008080556655</v>
      </c>
      <c r="AL3319">
        <v>89.247678507213394</v>
      </c>
      <c r="AM3319">
        <v>98.0894727954975</v>
      </c>
      <c r="AN3319">
        <v>1.0000000166010401</v>
      </c>
    </row>
    <row r="3320" spans="1:40" x14ac:dyDescent="0.25">
      <c r="A3320" t="str">
        <f>"20190305135654268"</f>
        <v>20190305135654268</v>
      </c>
      <c r="B3320" t="str">
        <f>"1551765414265643"</f>
        <v>1551765414265643</v>
      </c>
      <c r="C3320" t="s">
        <v>40</v>
      </c>
      <c r="D3320">
        <v>3.957735</v>
      </c>
      <c r="E3320">
        <v>0.54938799999999999</v>
      </c>
      <c r="F3320" t="s">
        <v>42</v>
      </c>
      <c r="G3320">
        <v>-383.58069999999998</v>
      </c>
      <c r="H3320" s="1">
        <v>-3.1829999999999998E-6</v>
      </c>
      <c r="I3320">
        <v>141.2955</v>
      </c>
      <c r="J3320">
        <v>-365.6662</v>
      </c>
      <c r="K3320">
        <v>1.1090199999999999</v>
      </c>
      <c r="L3320">
        <v>141.1985</v>
      </c>
      <c r="M3320">
        <v>-0.99981489999999995</v>
      </c>
      <c r="N3320">
        <v>-1.425424E-2</v>
      </c>
      <c r="O3320">
        <v>1.2936660000000001E-2</v>
      </c>
      <c r="P3320">
        <v>-0.99138139999999997</v>
      </c>
      <c r="Q3320" s="1">
        <v>-3.9201230000000002E-5</v>
      </c>
      <c r="R3320">
        <v>-0.13100899999999999</v>
      </c>
      <c r="S3320">
        <v>-3.0268860000000002</v>
      </c>
      <c r="T3320">
        <v>-0.18327370000000001</v>
      </c>
      <c r="U3320">
        <v>1.690674E-2</v>
      </c>
      <c r="V3320">
        <v>-0.14382159999999999</v>
      </c>
      <c r="W3320">
        <v>1.4098960000000001E-2</v>
      </c>
      <c r="X3320">
        <v>0.98950320000000003</v>
      </c>
      <c r="Y3320">
        <v>-7.3223819999999997E-3</v>
      </c>
      <c r="Z3320">
        <v>-8.719884E-4</v>
      </c>
      <c r="AA3320">
        <v>0.9999728</v>
      </c>
      <c r="AB3320">
        <v>40</v>
      </c>
      <c r="AC3320">
        <v>-17.914499999999901</v>
      </c>
      <c r="AD3320">
        <v>-1.1090231829999999</v>
      </c>
      <c r="AE3320">
        <v>9.7000000000008399E-2</v>
      </c>
      <c r="AF3320">
        <v>-0.13427085302407901</v>
      </c>
      <c r="AG3320">
        <v>-1.1090231829999999</v>
      </c>
      <c r="AH3320">
        <v>17.845864905805499</v>
      </c>
      <c r="AI3320">
        <v>93.5559468012477</v>
      </c>
      <c r="AJ3320">
        <v>90.431080705096704</v>
      </c>
      <c r="AK3320">
        <v>17.880795712681898</v>
      </c>
      <c r="AL3320">
        <v>89.192162337723602</v>
      </c>
      <c r="AM3320">
        <v>98.269874286707704</v>
      </c>
      <c r="AN3320">
        <v>1.00000000805494</v>
      </c>
    </row>
    <row r="3321" spans="1:40" x14ac:dyDescent="0.25">
      <c r="A3321" t="str">
        <f>"20190305135654291"</f>
        <v>20190305135654291</v>
      </c>
      <c r="B3321" t="str">
        <f>"1551765414286139"</f>
        <v>1551765414286139</v>
      </c>
      <c r="C3321" t="s">
        <v>40</v>
      </c>
      <c r="D3321">
        <v>3.957131</v>
      </c>
      <c r="E3321">
        <v>0.54959099999999905</v>
      </c>
      <c r="F3321" t="s">
        <v>42</v>
      </c>
      <c r="G3321">
        <v>-384.6216</v>
      </c>
      <c r="H3321" s="1">
        <v>-2.7256370000000002E-6</v>
      </c>
      <c r="I3321">
        <v>141.25479999999999</v>
      </c>
      <c r="J3321">
        <v>-366.08479999999997</v>
      </c>
      <c r="K3321">
        <v>1.1089739999999999</v>
      </c>
      <c r="L3321">
        <v>141.20410000000001</v>
      </c>
      <c r="M3321">
        <v>-0.99981249999999999</v>
      </c>
      <c r="N3321">
        <v>-1.4251710000000001E-2</v>
      </c>
      <c r="O3321">
        <v>1.311965E-2</v>
      </c>
      <c r="P3321">
        <v>-0.99101910000000004</v>
      </c>
      <c r="Q3321">
        <v>1.34939E-3</v>
      </c>
      <c r="R3321">
        <v>-0.133715</v>
      </c>
      <c r="S3321">
        <v>-3.0272519999999998</v>
      </c>
      <c r="T3321">
        <v>-0.17711650000000001</v>
      </c>
      <c r="U3321">
        <v>9.0026859999999993E-3</v>
      </c>
      <c r="V3321">
        <v>-0.14670079999999999</v>
      </c>
      <c r="W3321">
        <v>1.549975E-2</v>
      </c>
      <c r="X3321">
        <v>0.98905940000000003</v>
      </c>
      <c r="Y3321">
        <v>-1.0112960000000001E-2</v>
      </c>
      <c r="Z3321">
        <v>-9.4777920000000001E-4</v>
      </c>
      <c r="AA3321">
        <v>0.99994839999999996</v>
      </c>
      <c r="AB3321">
        <v>40</v>
      </c>
      <c r="AC3321">
        <v>-18.536799999999999</v>
      </c>
      <c r="AD3321">
        <v>-1.108976725637</v>
      </c>
      <c r="AE3321">
        <v>5.06999999999777E-2</v>
      </c>
      <c r="AF3321">
        <v>-0.19183875392403801</v>
      </c>
      <c r="AG3321">
        <v>-1.108976725637</v>
      </c>
      <c r="AH3321">
        <v>18.469764647264199</v>
      </c>
      <c r="AI3321">
        <v>93.435889986003502</v>
      </c>
      <c r="AJ3321">
        <v>90.595089104707</v>
      </c>
      <c r="AK3321">
        <v>18.504022200884901</v>
      </c>
      <c r="AL3321">
        <v>89.111894118451403</v>
      </c>
      <c r="AM3321">
        <v>98.436802645251106</v>
      </c>
      <c r="AN3321">
        <v>0.99999993184952896</v>
      </c>
    </row>
    <row r="3322" spans="1:40" x14ac:dyDescent="0.25">
      <c r="A3322" t="str">
        <f>"20190305135654314"</f>
        <v>20190305135654314</v>
      </c>
      <c r="B3322" t="str">
        <f>"1551765414305659"</f>
        <v>1551765414305659</v>
      </c>
      <c r="C3322" t="s">
        <v>40</v>
      </c>
      <c r="D3322">
        <v>3.9572419999999999</v>
      </c>
      <c r="E3322">
        <v>0.5497609</v>
      </c>
      <c r="F3322" t="s">
        <v>42</v>
      </c>
      <c r="G3322">
        <v>-385.71080000000001</v>
      </c>
      <c r="H3322" s="1">
        <v>-2.248365E-6</v>
      </c>
      <c r="I3322">
        <v>141.21729999999999</v>
      </c>
      <c r="J3322">
        <v>-366.48910000000001</v>
      </c>
      <c r="K3322">
        <v>1.108897</v>
      </c>
      <c r="L3322">
        <v>141.20959999999999</v>
      </c>
      <c r="M3322">
        <v>-0.99980860000000005</v>
      </c>
      <c r="N3322">
        <v>-1.424953E-2</v>
      </c>
      <c r="O3322">
        <v>1.341646E-2</v>
      </c>
      <c r="P3322">
        <v>-0.99062589999999995</v>
      </c>
      <c r="Q3322">
        <v>1.7424669999999999E-3</v>
      </c>
      <c r="R3322">
        <v>-0.1365941</v>
      </c>
      <c r="S3322">
        <v>-3.0277099999999999</v>
      </c>
      <c r="T3322">
        <v>-0.1710824</v>
      </c>
      <c r="U3322">
        <v>2.059937E-3</v>
      </c>
      <c r="V3322">
        <v>-0.14986459999999999</v>
      </c>
      <c r="W3322">
        <v>1.5915499999999999E-2</v>
      </c>
      <c r="X3322">
        <v>0.98857839999999997</v>
      </c>
      <c r="Y3322">
        <v>-1.270018E-2</v>
      </c>
      <c r="Z3322">
        <v>-1.015513E-3</v>
      </c>
      <c r="AA3322">
        <v>0.9999188</v>
      </c>
      <c r="AB3322">
        <v>40</v>
      </c>
      <c r="AC3322">
        <v>-19.221699999999998</v>
      </c>
      <c r="AD3322">
        <v>-1.108899248365</v>
      </c>
      <c r="AE3322">
        <v>7.6999999999998103E-3</v>
      </c>
      <c r="AF3322">
        <v>-0.249384028271528</v>
      </c>
      <c r="AG3322">
        <v>-1.108899248365</v>
      </c>
      <c r="AH3322">
        <v>19.156318170052899</v>
      </c>
      <c r="AI3322">
        <v>93.312695938445799</v>
      </c>
      <c r="AJ3322">
        <v>90.745855495265701</v>
      </c>
      <c r="AK3322">
        <v>19.190007185222299</v>
      </c>
      <c r="AL3322">
        <v>89.0880704985113</v>
      </c>
      <c r="AM3322">
        <v>98.620180353028601</v>
      </c>
      <c r="AN3322">
        <v>0.99999997720998401</v>
      </c>
    </row>
    <row r="3323" spans="1:40" x14ac:dyDescent="0.25">
      <c r="A3323" t="str">
        <f>"20190305135654335"</f>
        <v>20190305135654335</v>
      </c>
      <c r="B3323" t="str">
        <f>"1551765414326155"</f>
        <v>1551765414326155</v>
      </c>
      <c r="C3323" t="s">
        <v>40</v>
      </c>
      <c r="D3323">
        <v>3.9546489999999999</v>
      </c>
      <c r="E3323">
        <v>0.54990939999999999</v>
      </c>
      <c r="F3323" t="s">
        <v>42</v>
      </c>
      <c r="G3323">
        <v>-386.38889999999998</v>
      </c>
      <c r="H3323" s="1">
        <v>-1.9460769999999999E-6</v>
      </c>
      <c r="I3323">
        <v>141.17439999999999</v>
      </c>
      <c r="J3323">
        <v>-366.88529999999997</v>
      </c>
      <c r="K3323">
        <v>1.1088039999999999</v>
      </c>
      <c r="L3323">
        <v>141.21530000000001</v>
      </c>
      <c r="M3323">
        <v>-0.9998032</v>
      </c>
      <c r="N3323">
        <v>-1.4247630000000001E-2</v>
      </c>
      <c r="O3323">
        <v>1.3809460000000001E-2</v>
      </c>
      <c r="P3323">
        <v>-0.99032719999999996</v>
      </c>
      <c r="Q3323">
        <v>1.94848E-3</v>
      </c>
      <c r="R3323">
        <v>-0.13873969999999999</v>
      </c>
      <c r="S3323">
        <v>-3.0279850000000001</v>
      </c>
      <c r="T3323">
        <v>-0.1687322</v>
      </c>
      <c r="U3323">
        <v>-5.3405759999999997E-3</v>
      </c>
      <c r="V3323">
        <v>-0.1523912</v>
      </c>
      <c r="W3323">
        <v>1.6149119999999999E-2</v>
      </c>
      <c r="X3323">
        <v>0.98818830000000002</v>
      </c>
      <c r="Y3323">
        <v>-1.5532280000000001E-2</v>
      </c>
      <c r="Z3323">
        <v>-1.115446E-3</v>
      </c>
      <c r="AA3323">
        <v>0.99987879999999996</v>
      </c>
      <c r="AB3323">
        <v>40</v>
      </c>
      <c r="AC3323">
        <v>-19.503599999999999</v>
      </c>
      <c r="AD3323">
        <v>-1.1088059460769999</v>
      </c>
      <c r="AE3323">
        <v>-4.0900000000021898E-2</v>
      </c>
      <c r="AF3323">
        <v>-0.30925806488041202</v>
      </c>
      <c r="AG3323">
        <v>-1.1088059460769999</v>
      </c>
      <c r="AH3323">
        <v>19.438349049795701</v>
      </c>
      <c r="AI3323">
        <v>93.264326491871898</v>
      </c>
      <c r="AJ3323">
        <v>90.911481065806697</v>
      </c>
      <c r="AK3323">
        <v>19.472403676958901</v>
      </c>
      <c r="AL3323">
        <v>89.074683353187595</v>
      </c>
      <c r="AM3323">
        <v>98.766677895544802</v>
      </c>
      <c r="AN3323">
        <v>0.99999999408555196</v>
      </c>
    </row>
    <row r="3324" spans="1:40" x14ac:dyDescent="0.25">
      <c r="A3324" t="str">
        <f>"20190305135654358"</f>
        <v>20190305135654358</v>
      </c>
      <c r="B3324" t="str">
        <f>"1551765414355435"</f>
        <v>1551765414355435</v>
      </c>
      <c r="C3324" t="s">
        <v>40</v>
      </c>
      <c r="D3324">
        <v>3.9549919999999998</v>
      </c>
      <c r="E3324">
        <v>0.55020839999999904</v>
      </c>
      <c r="F3324" t="s">
        <v>42</v>
      </c>
      <c r="G3324">
        <v>-387.02179999999998</v>
      </c>
      <c r="H3324" s="1">
        <v>-1.6664639999999999E-6</v>
      </c>
      <c r="I3324">
        <v>141.14400000000001</v>
      </c>
      <c r="J3324">
        <v>-367.28050000000002</v>
      </c>
      <c r="K3324">
        <v>1.1087009999999999</v>
      </c>
      <c r="L3324">
        <v>141.22120000000001</v>
      </c>
      <c r="M3324">
        <v>-0.99979620000000002</v>
      </c>
      <c r="N3324">
        <v>-1.4245809999999999E-2</v>
      </c>
      <c r="O3324">
        <v>1.430675E-2</v>
      </c>
      <c r="P3324">
        <v>-0.99005279999999996</v>
      </c>
      <c r="Q3324">
        <v>8.5234459999999998E-4</v>
      </c>
      <c r="R3324">
        <v>-0.14069509999999999</v>
      </c>
      <c r="S3324">
        <v>-3.028168</v>
      </c>
      <c r="T3324">
        <v>-0.1667448</v>
      </c>
      <c r="U3324">
        <v>-1.071167E-2</v>
      </c>
      <c r="V3324">
        <v>-0.15483129999999901</v>
      </c>
      <c r="W3324">
        <v>1.5083040000000001E-2</v>
      </c>
      <c r="X3324">
        <v>0.98782579999999998</v>
      </c>
      <c r="Y3324">
        <v>-1.7799220000000001E-2</v>
      </c>
      <c r="Z3324">
        <v>-1.200062E-3</v>
      </c>
      <c r="AA3324">
        <v>0.99984090000000003</v>
      </c>
      <c r="AB3324">
        <v>40</v>
      </c>
      <c r="AC3324">
        <v>-19.741299999999899</v>
      </c>
      <c r="AD3324">
        <v>-1.1087026664639901</v>
      </c>
      <c r="AE3324">
        <v>-7.7200000000004806E-2</v>
      </c>
      <c r="AF3324">
        <v>-0.35852378381405697</v>
      </c>
      <c r="AG3324">
        <v>-1.1087026664639901</v>
      </c>
      <c r="AH3324">
        <v>19.676114592860099</v>
      </c>
      <c r="AI3324">
        <v>93.224537588467598</v>
      </c>
      <c r="AJ3324">
        <v>91.0438863129975</v>
      </c>
      <c r="AK3324">
        <v>19.710587164707899</v>
      </c>
      <c r="AL3324">
        <v>89.135772712904995</v>
      </c>
      <c r="AM3324">
        <v>98.908033739079102</v>
      </c>
      <c r="AN3324">
        <v>1.00000002035048</v>
      </c>
    </row>
    <row r="3325" spans="1:40" x14ac:dyDescent="0.25">
      <c r="A3325" t="str">
        <f>"20190305135654381"</f>
        <v>20190305135654381</v>
      </c>
      <c r="B3325" t="str">
        <f>"1551765414375931"</f>
        <v>1551765414375931</v>
      </c>
      <c r="C3325" t="s">
        <v>40</v>
      </c>
      <c r="D3325">
        <v>3.989722</v>
      </c>
      <c r="E3325">
        <v>0.55032490000000001</v>
      </c>
      <c r="F3325" t="s">
        <v>42</v>
      </c>
      <c r="G3325">
        <v>-387.1465</v>
      </c>
      <c r="H3325" s="1">
        <v>-1.608294E-6</v>
      </c>
      <c r="I3325">
        <v>141.12639999999999</v>
      </c>
      <c r="J3325">
        <v>-367.68419999999998</v>
      </c>
      <c r="K3325">
        <v>1.1086009999999999</v>
      </c>
      <c r="L3325">
        <v>141.22749999999999</v>
      </c>
      <c r="M3325">
        <v>-0.99978719999999999</v>
      </c>
      <c r="N3325">
        <v>-1.424391E-2</v>
      </c>
      <c r="O3325">
        <v>1.49161E-2</v>
      </c>
      <c r="P3325">
        <v>-0.98999709999999996</v>
      </c>
      <c r="Q3325">
        <v>-8.9430059999999999E-4</v>
      </c>
      <c r="R3325">
        <v>-0.1410855</v>
      </c>
      <c r="S3325">
        <v>-3.028168</v>
      </c>
      <c r="T3325">
        <v>-0.1690004</v>
      </c>
      <c r="U3325">
        <v>-1.4434809999999999E-2</v>
      </c>
      <c r="V3325">
        <v>-0.15582179999999901</v>
      </c>
      <c r="W3325">
        <v>1.3366599999999999E-2</v>
      </c>
      <c r="X3325">
        <v>0.98769470000000004</v>
      </c>
      <c r="Y3325">
        <v>-1.9632469999999999E-2</v>
      </c>
      <c r="Z3325">
        <v>-1.306813E-3</v>
      </c>
      <c r="AA3325">
        <v>0.99980639999999998</v>
      </c>
      <c r="AB3325">
        <v>40</v>
      </c>
      <c r="AC3325">
        <v>-19.462299999999999</v>
      </c>
      <c r="AD3325">
        <v>-1.1086026082939999</v>
      </c>
      <c r="AE3325">
        <v>-0.10110000000000199</v>
      </c>
      <c r="AF3325">
        <v>-0.39015397659333301</v>
      </c>
      <c r="AG3325">
        <v>-1.1086026082939999</v>
      </c>
      <c r="AH3325">
        <v>19.395696273274801</v>
      </c>
      <c r="AI3325">
        <v>93.270643643524707</v>
      </c>
      <c r="AJ3325">
        <v>91.152377391179897</v>
      </c>
      <c r="AK3325">
        <v>19.431269999505801</v>
      </c>
      <c r="AL3325">
        <v>89.234127395779097</v>
      </c>
      <c r="AM3325">
        <v>98.965268950756496</v>
      </c>
      <c r="AN3325">
        <v>0.99999995987944401</v>
      </c>
    </row>
    <row r="3326" spans="1:40" x14ac:dyDescent="0.25">
      <c r="A3326" t="str">
        <f>"20190305135654403"</f>
        <v>20190305135654403</v>
      </c>
      <c r="B3326" t="str">
        <f>"1551765414395451"</f>
        <v>1551765414395451</v>
      </c>
      <c r="C3326" t="s">
        <v>40</v>
      </c>
      <c r="D3326">
        <v>3.9863019999999998</v>
      </c>
      <c r="E3326">
        <v>0.55587089999999995</v>
      </c>
      <c r="F3326" t="s">
        <v>42</v>
      </c>
      <c r="G3326">
        <v>-387.07350000000002</v>
      </c>
      <c r="H3326" s="1">
        <v>-1.641795E-6</v>
      </c>
      <c r="I3326">
        <v>141.13470000000001</v>
      </c>
      <c r="J3326">
        <v>-368.09249999999997</v>
      </c>
      <c r="K3326">
        <v>1.108508</v>
      </c>
      <c r="L3326">
        <v>141.23419999999999</v>
      </c>
      <c r="M3326">
        <v>-0.99977669999999996</v>
      </c>
      <c r="N3326">
        <v>-1.4241800000000001E-2</v>
      </c>
      <c r="O3326">
        <v>1.5612910000000001E-2</v>
      </c>
      <c r="P3326">
        <v>-0.98993739999999997</v>
      </c>
      <c r="Q3326">
        <v>-2.7042979999999999E-3</v>
      </c>
      <c r="R3326">
        <v>-0.14148060000000001</v>
      </c>
      <c r="S3326">
        <v>-3.0280149999999999</v>
      </c>
      <c r="T3326">
        <v>-0.17313020000000001</v>
      </c>
      <c r="U3326">
        <v>-1.448059E-2</v>
      </c>
      <c r="V3326">
        <v>-0.15690470000000001</v>
      </c>
      <c r="W3326">
        <v>1.158242E-2</v>
      </c>
      <c r="X3326">
        <v>0.98754580000000003</v>
      </c>
      <c r="Y3326">
        <v>-2.034E-2</v>
      </c>
      <c r="Z3326">
        <v>-1.3956979999999999E-3</v>
      </c>
      <c r="AA3326">
        <v>0.99979220000000002</v>
      </c>
      <c r="AB3326">
        <v>40</v>
      </c>
      <c r="AC3326">
        <v>-18.981000000000002</v>
      </c>
      <c r="AD3326">
        <v>-1.108509641795</v>
      </c>
      <c r="AE3326">
        <v>-9.9499999999977704E-2</v>
      </c>
      <c r="AF3326">
        <v>-0.39452101938056899</v>
      </c>
      <c r="AG3326">
        <v>-1.108509641795</v>
      </c>
      <c r="AH3326">
        <v>18.912629191800299</v>
      </c>
      <c r="AI3326">
        <v>93.353662548694203</v>
      </c>
      <c r="AJ3326">
        <v>91.195027471778303</v>
      </c>
      <c r="AK3326">
        <v>18.9491947957485</v>
      </c>
      <c r="AL3326">
        <v>89.336361360324105</v>
      </c>
      <c r="AM3326">
        <v>99.027890240954207</v>
      </c>
      <c r="AN3326">
        <v>0.99999997221639203</v>
      </c>
    </row>
    <row r="3327" spans="1:40" x14ac:dyDescent="0.25">
      <c r="A3327" t="str">
        <f>"20190305135654425"</f>
        <v>20190305135654425</v>
      </c>
      <c r="B3327" t="str">
        <f>"1551765414415947"</f>
        <v>1551765414415947</v>
      </c>
      <c r="C3327" t="s">
        <v>40</v>
      </c>
      <c r="D3327">
        <v>4.0064799999999998</v>
      </c>
      <c r="E3327">
        <v>0.55647800000000003</v>
      </c>
      <c r="F3327" t="s">
        <v>73</v>
      </c>
      <c r="G3327">
        <v>-400.53160000000003</v>
      </c>
      <c r="H3327" s="1">
        <v>-6.3699989999999998E-6</v>
      </c>
      <c r="I3327">
        <v>141.4855</v>
      </c>
      <c r="J3327">
        <v>-368.48559999999998</v>
      </c>
      <c r="K3327">
        <v>1.108436</v>
      </c>
      <c r="L3327">
        <v>141.24100000000001</v>
      </c>
      <c r="M3327">
        <v>-0.99976529999999997</v>
      </c>
      <c r="N3327">
        <v>-1.4239659999999999E-2</v>
      </c>
      <c r="O3327">
        <v>1.633722E-2</v>
      </c>
      <c r="P3327">
        <v>-0.98987930000000002</v>
      </c>
      <c r="Q3327">
        <v>-4.7922540000000001E-3</v>
      </c>
      <c r="R3327">
        <v>-0.1418333</v>
      </c>
      <c r="S3327">
        <v>-3.033569</v>
      </c>
      <c r="T3327">
        <v>-0.1036637</v>
      </c>
      <c r="U3327">
        <v>2.3498539999999998E-2</v>
      </c>
      <c r="V3327">
        <v>-0.15797320000000001</v>
      </c>
      <c r="W3327">
        <v>9.5144909999999999E-3</v>
      </c>
      <c r="X3327">
        <v>0.98739759999999999</v>
      </c>
      <c r="Y3327">
        <v>-8.5831409999999903E-3</v>
      </c>
      <c r="Z3327">
        <v>-5.3321029999999999E-4</v>
      </c>
      <c r="AA3327">
        <v>0.99996300000000005</v>
      </c>
      <c r="AB3327">
        <v>40</v>
      </c>
      <c r="AC3327">
        <v>-32.045999999999999</v>
      </c>
      <c r="AD3327">
        <v>-1.108442369999</v>
      </c>
      <c r="AE3327">
        <v>0.24449999999998701</v>
      </c>
      <c r="AF3327">
        <v>-0.27879465889246202</v>
      </c>
      <c r="AG3327">
        <v>-1.108442369999</v>
      </c>
      <c r="AH3327">
        <v>32.007425441697201</v>
      </c>
      <c r="AI3327">
        <v>91.9833301867871</v>
      </c>
      <c r="AJ3327">
        <v>90.499051489754194</v>
      </c>
      <c r="AK3327">
        <v>32.027826250859498</v>
      </c>
      <c r="AL3327">
        <v>89.454851617544193</v>
      </c>
      <c r="AM3327">
        <v>99.089687596671695</v>
      </c>
      <c r="AN3327">
        <v>1.00000003897149</v>
      </c>
    </row>
    <row r="3328" spans="1:40" x14ac:dyDescent="0.25">
      <c r="A3328" t="str">
        <f>"20190305135654447"</f>
        <v>20190305135654447</v>
      </c>
      <c r="B3328" t="str">
        <f>"1551765414435467"</f>
        <v>1551765414435467</v>
      </c>
      <c r="C3328" t="s">
        <v>40</v>
      </c>
      <c r="D3328">
        <v>4.0741759999999996</v>
      </c>
      <c r="E3328">
        <v>0.55371939999999997</v>
      </c>
      <c r="F3328" t="s">
        <v>42</v>
      </c>
      <c r="G3328">
        <v>-399.29059999999998</v>
      </c>
      <c r="H3328" s="1">
        <v>-7.9339569999999996E-7</v>
      </c>
      <c r="I3328">
        <v>141.52070000000001</v>
      </c>
      <c r="J3328">
        <v>-368.87009999999998</v>
      </c>
      <c r="K3328">
        <v>1.108387</v>
      </c>
      <c r="L3328">
        <v>141.24789999999999</v>
      </c>
      <c r="M3328">
        <v>-0.99975290000000006</v>
      </c>
      <c r="N3328">
        <v>-1.4237359999999999E-2</v>
      </c>
      <c r="O3328">
        <v>1.7073919999999999E-2</v>
      </c>
      <c r="P3328">
        <v>-0.98978630000000001</v>
      </c>
      <c r="Q3328">
        <v>-5.9188849999999996E-3</v>
      </c>
      <c r="R3328">
        <v>-0.1424367</v>
      </c>
      <c r="S3328">
        <v>-3.0340880000000001</v>
      </c>
      <c r="T3328">
        <v>-0.1091737</v>
      </c>
      <c r="U3328">
        <v>2.7557370000000001E-2</v>
      </c>
      <c r="V3328">
        <v>-0.159303799999999</v>
      </c>
      <c r="W3328">
        <v>8.40112199999999E-3</v>
      </c>
      <c r="X3328">
        <v>0.98719389999999996</v>
      </c>
      <c r="Y3328">
        <v>-7.9828139999999995E-3</v>
      </c>
      <c r="Z3328">
        <v>-5.7148110000000002E-4</v>
      </c>
      <c r="AA3328">
        <v>0.99996799999999997</v>
      </c>
      <c r="AB3328">
        <v>40</v>
      </c>
      <c r="AC3328">
        <v>-30.420500000000001</v>
      </c>
      <c r="AD3328">
        <v>-1.1083877933957</v>
      </c>
      <c r="AE3328">
        <v>0.27280000000001697</v>
      </c>
      <c r="AF3328">
        <v>-0.246362553430169</v>
      </c>
      <c r="AG3328">
        <v>-1.1083877933957</v>
      </c>
      <c r="AH3328">
        <v>30.380394703175899</v>
      </c>
      <c r="AI3328">
        <v>92.0893640076266</v>
      </c>
      <c r="AJ3328">
        <v>90.464616252641505</v>
      </c>
      <c r="AK3328">
        <v>30.401605226188899</v>
      </c>
      <c r="AL3328">
        <v>89.518645522100996</v>
      </c>
      <c r="AM3328">
        <v>99.166814541163305</v>
      </c>
      <c r="AN3328">
        <v>1.0000000378712499</v>
      </c>
    </row>
    <row r="3329" spans="1:40" x14ac:dyDescent="0.25">
      <c r="A3329" t="str">
        <f>"20190305135654469"</f>
        <v>20190305135654469</v>
      </c>
      <c r="B3329" t="str">
        <f>"1551765414465723"</f>
        <v>1551765414465723</v>
      </c>
      <c r="C3329" t="s">
        <v>40</v>
      </c>
      <c r="D3329">
        <v>4.0335660000000004</v>
      </c>
      <c r="E3329">
        <v>0.50556499999999904</v>
      </c>
      <c r="F3329" t="s">
        <v>42</v>
      </c>
      <c r="G3329">
        <v>-394.83330000000001</v>
      </c>
      <c r="H3329" s="1">
        <v>-2.6449179999999999E-6</v>
      </c>
      <c r="I3329">
        <v>141.2928</v>
      </c>
      <c r="J3329">
        <v>-369.26240000000001</v>
      </c>
      <c r="K3329">
        <v>1.1083620000000001</v>
      </c>
      <c r="L3329">
        <v>141.2552</v>
      </c>
      <c r="M3329">
        <v>-0.99973979999999996</v>
      </c>
      <c r="N3329">
        <v>-1.4234899999999899E-2</v>
      </c>
      <c r="O3329">
        <v>1.7824980000000001E-2</v>
      </c>
      <c r="P3329">
        <v>-0.98972740000000003</v>
      </c>
      <c r="Q3329">
        <v>-5.9958919999999897E-3</v>
      </c>
      <c r="R3329">
        <v>-0.1428439</v>
      </c>
      <c r="S3329">
        <v>-3.0309750000000002</v>
      </c>
      <c r="T3329">
        <v>-0.1293948</v>
      </c>
      <c r="U3329">
        <v>5.2490230000000002E-3</v>
      </c>
      <c r="V3329">
        <v>-0.1604505</v>
      </c>
      <c r="W3329">
        <v>8.3319810000000005E-3</v>
      </c>
      <c r="X3329">
        <v>0.98700880000000002</v>
      </c>
      <c r="Y3329">
        <v>-1.6068519999999999E-2</v>
      </c>
      <c r="Z3329">
        <v>-9.6417400000000004E-4</v>
      </c>
      <c r="AA3329">
        <v>0.99987040000000005</v>
      </c>
      <c r="AB3329">
        <v>40</v>
      </c>
      <c r="AC3329">
        <v>-25.570899999999899</v>
      </c>
      <c r="AD3329">
        <v>-1.108364644918</v>
      </c>
      <c r="AE3329">
        <v>3.7599999999997601E-2</v>
      </c>
      <c r="AF3329">
        <v>-0.41746861103417798</v>
      </c>
      <c r="AG3329">
        <v>-1.108364644918</v>
      </c>
      <c r="AH3329">
        <v>25.519561573084601</v>
      </c>
      <c r="AI3329">
        <v>92.486572953679897</v>
      </c>
      <c r="AJ3329">
        <v>90.937204822248205</v>
      </c>
      <c r="AK3329">
        <v>25.547030651521101</v>
      </c>
      <c r="AL3329">
        <v>89.522607167290602</v>
      </c>
      <c r="AM3329">
        <v>99.233368391390499</v>
      </c>
      <c r="AN3329">
        <v>1.00000007806753</v>
      </c>
    </row>
    <row r="3330" spans="1:40" x14ac:dyDescent="0.25">
      <c r="A3330" t="str">
        <f>"20190305135654493"</f>
        <v>20190305135654493</v>
      </c>
      <c r="B3330" t="str">
        <f>"1551765414486219"</f>
        <v>1551765414486219</v>
      </c>
      <c r="C3330" t="s">
        <v>40</v>
      </c>
      <c r="D3330">
        <v>3.9716529999999999</v>
      </c>
      <c r="E3330">
        <v>0.50546309999999905</v>
      </c>
      <c r="F3330" t="s">
        <v>42</v>
      </c>
      <c r="G3330">
        <v>-457.38490000000002</v>
      </c>
      <c r="H3330" s="1">
        <v>-2.4464360000000001E-6</v>
      </c>
      <c r="I3330">
        <v>129.9057</v>
      </c>
      <c r="J3330">
        <v>-369.67380000000003</v>
      </c>
      <c r="K3330">
        <v>1.108363</v>
      </c>
      <c r="L3330">
        <v>141.26329999999999</v>
      </c>
      <c r="M3330">
        <v>-0.99972620000000001</v>
      </c>
      <c r="N3330">
        <v>-1.423234E-2</v>
      </c>
      <c r="O3330">
        <v>1.8577030000000001E-2</v>
      </c>
      <c r="P3330">
        <v>-0.9895699</v>
      </c>
      <c r="Q3330">
        <v>-5.5334900000000003E-3</v>
      </c>
      <c r="R3330">
        <v>-0.14394749999999901</v>
      </c>
      <c r="S3330">
        <v>-2.9755549999999999</v>
      </c>
      <c r="T3330">
        <v>-3.7425159999999999E-2</v>
      </c>
      <c r="U3330">
        <v>-0.38322450000000002</v>
      </c>
      <c r="V3330">
        <v>-0.16229260000000001</v>
      </c>
      <c r="W3330">
        <v>8.7930649999999992E-3</v>
      </c>
      <c r="X3330">
        <v>0.98670349999999996</v>
      </c>
      <c r="Y3330">
        <v>-0.1461161</v>
      </c>
      <c r="Z3330">
        <v>-1.9287670000000001E-3</v>
      </c>
      <c r="AA3330">
        <v>0.98926559999999997</v>
      </c>
      <c r="AB3330">
        <v>40</v>
      </c>
      <c r="AC3330">
        <v>-87.711099999999902</v>
      </c>
      <c r="AD3330">
        <v>-1.108365446436</v>
      </c>
      <c r="AE3330">
        <v>-11.3575999999999</v>
      </c>
      <c r="AF3330">
        <v>-12.983177323458699</v>
      </c>
      <c r="AG3330">
        <v>-1.108365446436</v>
      </c>
      <c r="AH3330">
        <v>87.471211711640706</v>
      </c>
      <c r="AI3330">
        <v>90.718101311166507</v>
      </c>
      <c r="AJ3330">
        <v>98.442658552793105</v>
      </c>
      <c r="AK3330">
        <v>88.436441842025104</v>
      </c>
      <c r="AL3330">
        <v>89.496187994820104</v>
      </c>
      <c r="AM3330">
        <v>99.340356364331399</v>
      </c>
      <c r="AN3330">
        <v>1.00000000145955</v>
      </c>
    </row>
    <row r="3331" spans="1:40" x14ac:dyDescent="0.25">
      <c r="A3331" t="str">
        <f>"20190305135654516"</f>
        <v>20190305135654516</v>
      </c>
      <c r="B3331" t="str">
        <f>"1551765414505740"</f>
        <v>1551765414505740</v>
      </c>
      <c r="C3331" t="s">
        <v>40</v>
      </c>
      <c r="D3331">
        <v>3.9391449999999999</v>
      </c>
      <c r="E3331">
        <v>0.50602389999999997</v>
      </c>
      <c r="F3331" t="s">
        <v>42</v>
      </c>
      <c r="G3331">
        <v>-459.1327</v>
      </c>
      <c r="H3331">
        <v>4.7528760000000003E-2</v>
      </c>
      <c r="I3331">
        <v>129.6163</v>
      </c>
      <c r="J3331">
        <v>-370.09309999999999</v>
      </c>
      <c r="K3331">
        <v>1.108387</v>
      </c>
      <c r="L3331">
        <v>141.27170000000001</v>
      </c>
      <c r="M3331">
        <v>-0.99971290000000002</v>
      </c>
      <c r="N3331">
        <v>-1.4229729999999999E-2</v>
      </c>
      <c r="O3331">
        <v>1.9283149999999999E-2</v>
      </c>
      <c r="P3331">
        <v>-0.98942289999999999</v>
      </c>
      <c r="Q3331">
        <v>-5.0095540000000003E-3</v>
      </c>
      <c r="R3331">
        <v>-0.14497460000000001</v>
      </c>
      <c r="S3331">
        <v>-2.9750670000000001</v>
      </c>
      <c r="T3331">
        <v>-3.5279390000000001E-2</v>
      </c>
      <c r="U3331">
        <v>-0.38732909999999998</v>
      </c>
      <c r="V3331">
        <v>-0.1640131</v>
      </c>
      <c r="W3331">
        <v>9.3070770000000004E-3</v>
      </c>
      <c r="X3331">
        <v>0.98641429999999997</v>
      </c>
      <c r="Y3331">
        <v>-0.14817910000000001</v>
      </c>
      <c r="Z3331">
        <v>-1.888271E-3</v>
      </c>
      <c r="AA3331">
        <v>0.98895869999999997</v>
      </c>
      <c r="AB3331">
        <v>40</v>
      </c>
      <c r="AC3331">
        <v>-89.039599999999993</v>
      </c>
      <c r="AD3331">
        <v>-1.06085824</v>
      </c>
      <c r="AE3331">
        <v>-11.6554</v>
      </c>
      <c r="AF3331">
        <v>-13.3685042838773</v>
      </c>
      <c r="AG3331">
        <v>-1.06085824</v>
      </c>
      <c r="AH3331">
        <v>88.7858741086322</v>
      </c>
      <c r="AI3331">
        <v>90.676936377701495</v>
      </c>
      <c r="AJ3331">
        <v>98.562712485336505</v>
      </c>
      <c r="AK3331">
        <v>89.792949434948994</v>
      </c>
      <c r="AL3331">
        <v>89.466736093375104</v>
      </c>
      <c r="AM3331">
        <v>99.440320437399507</v>
      </c>
      <c r="AN3331">
        <v>1.0000000449491899</v>
      </c>
    </row>
    <row r="3332" spans="1:40" x14ac:dyDescent="0.25">
      <c r="A3332" t="str">
        <f>"20190305135654537"</f>
        <v>20190305135654537</v>
      </c>
      <c r="B3332" t="str">
        <f>"1551765414526236"</f>
        <v>1551765414526236</v>
      </c>
      <c r="C3332" t="s">
        <v>40</v>
      </c>
      <c r="D3332">
        <v>4.0977129999999997</v>
      </c>
      <c r="E3332">
        <v>0.50523409999999902</v>
      </c>
      <c r="F3332" t="s">
        <v>42</v>
      </c>
      <c r="G3332">
        <v>-464.68579999999997</v>
      </c>
      <c r="H3332">
        <v>7.9986119999999994E-2</v>
      </c>
      <c r="I3332">
        <v>128.99600000000001</v>
      </c>
      <c r="J3332">
        <v>-370.4753</v>
      </c>
      <c r="K3332">
        <v>1.1084259999999999</v>
      </c>
      <c r="L3332">
        <v>141.27959999999999</v>
      </c>
      <c r="M3332">
        <v>-0.99970130000000001</v>
      </c>
      <c r="N3332">
        <v>-1.422737E-2</v>
      </c>
      <c r="O3332">
        <v>1.98733E-2</v>
      </c>
      <c r="P3332">
        <v>-0.98924679999999998</v>
      </c>
      <c r="Q3332">
        <v>-3.9500780000000001E-3</v>
      </c>
      <c r="R3332">
        <v>-0.14620339999999901</v>
      </c>
      <c r="S3332">
        <v>-2.9753419999999999</v>
      </c>
      <c r="T3332">
        <v>-3.2347559999999997E-2</v>
      </c>
      <c r="U3332">
        <v>-0.38612370000000001</v>
      </c>
      <c r="V3332">
        <v>-0.1658192</v>
      </c>
      <c r="W3332">
        <v>1.0352729999999999E-2</v>
      </c>
      <c r="X3332">
        <v>0.98610180000000003</v>
      </c>
      <c r="Y3332">
        <v>-0.14835979999999999</v>
      </c>
      <c r="Z3332">
        <v>-1.796707E-3</v>
      </c>
      <c r="AA3332">
        <v>0.98893180000000003</v>
      </c>
      <c r="AB3332">
        <v>40</v>
      </c>
      <c r="AC3332">
        <v>-94.210499999999897</v>
      </c>
      <c r="AD3332">
        <v>-1.0284398800000001</v>
      </c>
      <c r="AE3332">
        <v>-12.2835999999999</v>
      </c>
      <c r="AF3332">
        <v>-14.151978304662601</v>
      </c>
      <c r="AG3332">
        <v>-1.0284398800000001</v>
      </c>
      <c r="AH3332">
        <v>93.936742778581902</v>
      </c>
      <c r="AI3332">
        <v>90.6202626700655</v>
      </c>
      <c r="AJ3332">
        <v>98.567428213077704</v>
      </c>
      <c r="AK3332">
        <v>95.002356930614496</v>
      </c>
      <c r="AL3332">
        <v>89.4068216521989</v>
      </c>
      <c r="AM3332">
        <v>99.545343347562294</v>
      </c>
      <c r="AN3332">
        <v>0.99999997303516597</v>
      </c>
    </row>
    <row r="3333" spans="1:40" x14ac:dyDescent="0.25">
      <c r="A3333" t="str">
        <f>"20190305135654581"</f>
        <v>20190305135654581</v>
      </c>
      <c r="B3333" t="str">
        <f>"1551765414576011"</f>
        <v>1551765414576011</v>
      </c>
      <c r="C3333" t="s">
        <v>40</v>
      </c>
      <c r="D3333">
        <v>4.036969</v>
      </c>
      <c r="E3333">
        <v>0.50436199999999998</v>
      </c>
      <c r="F3333" t="s">
        <v>42</v>
      </c>
      <c r="G3333">
        <v>-449.80700000000002</v>
      </c>
      <c r="H3333" s="1">
        <v>-1.4011109999999999E-6</v>
      </c>
      <c r="I3333">
        <v>130.73670000000001</v>
      </c>
      <c r="J3333">
        <v>-371.26319999999998</v>
      </c>
      <c r="K3333">
        <v>1.108536</v>
      </c>
      <c r="L3333">
        <v>141.29640000000001</v>
      </c>
      <c r="M3333">
        <v>-0.99968109999999999</v>
      </c>
      <c r="N3333">
        <v>-1.422236E-2</v>
      </c>
      <c r="O3333">
        <v>2.087226E-2</v>
      </c>
      <c r="P3333">
        <v>-0.98901439999999996</v>
      </c>
      <c r="Q3333">
        <v>-6.103441E-4</v>
      </c>
      <c r="R3333">
        <v>-0.1478178</v>
      </c>
      <c r="S3333">
        <v>-2.97403</v>
      </c>
      <c r="T3333">
        <v>-4.1553380000000001E-2</v>
      </c>
      <c r="U3333">
        <v>-0.39523320000000001</v>
      </c>
      <c r="V3333">
        <v>-0.16841130000000001</v>
      </c>
      <c r="W3333">
        <v>1.3648860000000001E-2</v>
      </c>
      <c r="X3333">
        <v>0.98562229999999995</v>
      </c>
      <c r="Y3333">
        <v>-0.15237059999999999</v>
      </c>
      <c r="Z3333">
        <v>-2.1431359999999999E-3</v>
      </c>
      <c r="AA3333">
        <v>0.98832109999999995</v>
      </c>
      <c r="AB3333">
        <v>40</v>
      </c>
      <c r="AC3333">
        <v>-78.543799999999905</v>
      </c>
      <c r="AD3333">
        <v>-1.1085374011110001</v>
      </c>
      <c r="AE3333">
        <v>-10.5596999999999</v>
      </c>
      <c r="AF3333">
        <v>-12.194565406587</v>
      </c>
      <c r="AG3333">
        <v>-1.1085374011110001</v>
      </c>
      <c r="AH3333">
        <v>78.290940522209695</v>
      </c>
      <c r="AI3333">
        <v>90.801544816606693</v>
      </c>
      <c r="AJ3333">
        <v>98.853228761323905</v>
      </c>
      <c r="AK3333">
        <v>79.242713535550806</v>
      </c>
      <c r="AL3333">
        <v>89.217953634597706</v>
      </c>
      <c r="AM3333">
        <v>99.696373574489698</v>
      </c>
      <c r="AN3333">
        <v>0.99999998780213895</v>
      </c>
    </row>
    <row r="3334" spans="1:40" x14ac:dyDescent="0.25">
      <c r="A3334" t="str">
        <f>"20190305135654604"</f>
        <v>20190305135654604</v>
      </c>
      <c r="B3334" t="str">
        <f>"1551765414595542"</f>
        <v>1551765414595542</v>
      </c>
      <c r="C3334" t="s">
        <v>40</v>
      </c>
      <c r="D3334">
        <v>4.0487789999999997</v>
      </c>
      <c r="E3334">
        <v>0.50386500000000001</v>
      </c>
      <c r="F3334" t="s">
        <v>42</v>
      </c>
      <c r="G3334">
        <v>-450.79610000000002</v>
      </c>
      <c r="H3334" s="1">
        <v>-4.5507560000000002E-6</v>
      </c>
      <c r="I3334">
        <v>130.42400000000001</v>
      </c>
      <c r="J3334">
        <v>-371.66199999999998</v>
      </c>
      <c r="K3334">
        <v>1.108598</v>
      </c>
      <c r="L3334">
        <v>141.30510000000001</v>
      </c>
      <c r="M3334">
        <v>-0.99967269999999997</v>
      </c>
      <c r="N3334">
        <v>-1.421975E-2</v>
      </c>
      <c r="O3334">
        <v>2.126436E-2</v>
      </c>
      <c r="P3334">
        <v>-0.98892259999999998</v>
      </c>
      <c r="Q3334">
        <v>-2.158657E-4</v>
      </c>
      <c r="R3334">
        <v>-0.14843249999999999</v>
      </c>
      <c r="S3334">
        <v>-2.9725649999999999</v>
      </c>
      <c r="T3334">
        <v>-4.143202E-2</v>
      </c>
      <c r="U3334">
        <v>-0.40635680000000002</v>
      </c>
      <c r="V3334">
        <v>-0.16941229999999999</v>
      </c>
      <c r="W3334">
        <v>1.401695E-2</v>
      </c>
      <c r="X3334">
        <v>0.98544560000000003</v>
      </c>
      <c r="Y3334">
        <v>-0.15645220000000001</v>
      </c>
      <c r="Z3334">
        <v>-2.1970900000000001E-3</v>
      </c>
      <c r="AA3334">
        <v>0.98768310000000004</v>
      </c>
      <c r="AB3334">
        <v>40</v>
      </c>
      <c r="AC3334">
        <v>-79.134100000000004</v>
      </c>
      <c r="AD3334">
        <v>-1.108602550756</v>
      </c>
      <c r="AE3334">
        <v>-10.8811</v>
      </c>
      <c r="AF3334">
        <v>-12.5591263207957</v>
      </c>
      <c r="AG3334">
        <v>-1.108602550756</v>
      </c>
      <c r="AH3334">
        <v>78.869608702185801</v>
      </c>
      <c r="AI3334">
        <v>90.795286036416798</v>
      </c>
      <c r="AJ3334">
        <v>99.047764308606304</v>
      </c>
      <c r="AK3334">
        <v>79.8709949255244</v>
      </c>
      <c r="AL3334">
        <v>89.1968616356571</v>
      </c>
      <c r="AM3334">
        <v>99.754618224961007</v>
      </c>
      <c r="AN3334">
        <v>1.00000001641897</v>
      </c>
    </row>
    <row r="3335" spans="1:40" x14ac:dyDescent="0.25">
      <c r="A3335" t="str">
        <f>"20190305135654625"</f>
        <v>20190305135654625</v>
      </c>
      <c r="B3335" t="str">
        <f>"1551765414616027"</f>
        <v>1551765414616027</v>
      </c>
      <c r="C3335" t="s">
        <v>40</v>
      </c>
      <c r="D3335">
        <v>4.0535079999999999</v>
      </c>
      <c r="E3335">
        <v>0.50361270000000002</v>
      </c>
      <c r="F3335" t="s">
        <v>42</v>
      </c>
      <c r="G3335">
        <v>-443.46730000000002</v>
      </c>
      <c r="H3335" s="1">
        <v>-3.394734E-6</v>
      </c>
      <c r="I3335">
        <v>131.35230000000001</v>
      </c>
      <c r="J3335">
        <v>-372.04329999999999</v>
      </c>
      <c r="K3335">
        <v>1.1086590000000001</v>
      </c>
      <c r="L3335">
        <v>141.31360000000001</v>
      </c>
      <c r="M3335">
        <v>-0.99966630000000001</v>
      </c>
      <c r="N3335">
        <v>-1.4217230000000001E-2</v>
      </c>
      <c r="O3335">
        <v>2.1569649999999999E-2</v>
      </c>
      <c r="P3335">
        <v>-0.98875880000000005</v>
      </c>
      <c r="Q3335">
        <v>-1.8443539999999999E-4</v>
      </c>
      <c r="R3335">
        <v>-0.14951909999999999</v>
      </c>
      <c r="S3335">
        <v>-2.9718019999999998</v>
      </c>
      <c r="T3335">
        <v>-4.588163E-2</v>
      </c>
      <c r="U3335">
        <v>-0.41191100000000003</v>
      </c>
      <c r="V3335">
        <v>-0.1707979</v>
      </c>
      <c r="W3335">
        <v>1.402076E-2</v>
      </c>
      <c r="X3335">
        <v>0.98520629999999998</v>
      </c>
      <c r="Y3335">
        <v>-0.1585936</v>
      </c>
      <c r="Z3335">
        <v>-2.3776909999999999E-3</v>
      </c>
      <c r="AA3335">
        <v>0.98734109999999997</v>
      </c>
      <c r="AB3335">
        <v>40</v>
      </c>
      <c r="AC3335">
        <v>-71.424000000000007</v>
      </c>
      <c r="AD3335">
        <v>-1.108662394734</v>
      </c>
      <c r="AE3335">
        <v>-9.9612999999999907</v>
      </c>
      <c r="AF3335">
        <v>-11.497011105010699</v>
      </c>
      <c r="AG3335">
        <v>-1.108662394734</v>
      </c>
      <c r="AH3335">
        <v>71.175674327318404</v>
      </c>
      <c r="AI3335">
        <v>90.880973792910396</v>
      </c>
      <c r="AJ3335">
        <v>99.175734334698305</v>
      </c>
      <c r="AK3335">
        <v>72.106775081144306</v>
      </c>
      <c r="AL3335">
        <v>89.1966432871899</v>
      </c>
      <c r="AM3335">
        <v>99.835190450693403</v>
      </c>
      <c r="AN3335">
        <v>0.999999978957538</v>
      </c>
    </row>
    <row r="3336" spans="1:40" x14ac:dyDescent="0.25">
      <c r="A3336" t="str">
        <f>"20190305135654648"</f>
        <v>20190305135654648</v>
      </c>
      <c r="B3336" t="str">
        <f>"1551765414635548"</f>
        <v>1551765414635548</v>
      </c>
      <c r="C3336" t="s">
        <v>40</v>
      </c>
      <c r="D3336">
        <v>4.0326009999999997</v>
      </c>
      <c r="E3336">
        <v>0.50338050000000001</v>
      </c>
      <c r="F3336" t="s">
        <v>73</v>
      </c>
      <c r="G3336">
        <v>-437.00330000000002</v>
      </c>
      <c r="H3336" s="1">
        <v>-5.3291569999999996E-6</v>
      </c>
      <c r="I3336">
        <v>132.19929999999999</v>
      </c>
      <c r="J3336">
        <v>-372.43770000000001</v>
      </c>
      <c r="K3336">
        <v>1.108722</v>
      </c>
      <c r="L3336">
        <v>141.32230000000001</v>
      </c>
      <c r="M3336">
        <v>-0.99966100000000002</v>
      </c>
      <c r="N3336">
        <v>-1.4214829999999999E-2</v>
      </c>
      <c r="O3336">
        <v>2.18129E-2</v>
      </c>
      <c r="P3336">
        <v>-0.98858290000000004</v>
      </c>
      <c r="Q3336">
        <v>1.2421240000000001E-4</v>
      </c>
      <c r="R3336">
        <v>-0.15067800000000001</v>
      </c>
      <c r="S3336">
        <v>-2.971069</v>
      </c>
      <c r="T3336">
        <v>-5.0706859999999999E-2</v>
      </c>
      <c r="U3336">
        <v>-0.41685489999999997</v>
      </c>
      <c r="V3336">
        <v>-0.17219419999999999</v>
      </c>
      <c r="W3336">
        <v>1.4298730000000001E-2</v>
      </c>
      <c r="X3336">
        <v>0.98495920000000003</v>
      </c>
      <c r="Y3336">
        <v>-0.16047169999999999</v>
      </c>
      <c r="Z3336">
        <v>-2.570999E-3</v>
      </c>
      <c r="AA3336">
        <v>0.9870371</v>
      </c>
      <c r="AB3336">
        <v>40</v>
      </c>
      <c r="AC3336">
        <v>-64.565600000000003</v>
      </c>
      <c r="AD3336">
        <v>-1.1087273291569999</v>
      </c>
      <c r="AE3336">
        <v>-9.12300000000001</v>
      </c>
      <c r="AF3336">
        <v>-10.526290983287</v>
      </c>
      <c r="AG3336">
        <v>-1.1087273291569999</v>
      </c>
      <c r="AH3336">
        <v>64.332616484085406</v>
      </c>
      <c r="AI3336">
        <v>90.974399813154804</v>
      </c>
      <c r="AJ3336">
        <v>99.292558788369007</v>
      </c>
      <c r="AK3336">
        <v>65.197527728002598</v>
      </c>
      <c r="AL3336">
        <v>89.180715167340907</v>
      </c>
      <c r="AM3336">
        <v>99.916443465696005</v>
      </c>
      <c r="AN3336">
        <v>0.99999996092894505</v>
      </c>
    </row>
    <row r="3337" spans="1:40" x14ac:dyDescent="0.25">
      <c r="A3337" t="str">
        <f>"20190305135654670"</f>
        <v>20190305135654670</v>
      </c>
      <c r="B3337" t="str">
        <f>"1551765414665804"</f>
        <v>1551765414665804</v>
      </c>
      <c r="C3337" t="s">
        <v>40</v>
      </c>
      <c r="D3337">
        <v>3.987196</v>
      </c>
      <c r="E3337">
        <v>0.50307669999999904</v>
      </c>
      <c r="F3337" t="s">
        <v>73</v>
      </c>
      <c r="G3337">
        <v>-433.8408</v>
      </c>
      <c r="H3337" s="1">
        <v>-6.9436459999999999E-6</v>
      </c>
      <c r="I3337">
        <v>132.6003</v>
      </c>
      <c r="J3337">
        <v>-372.83730000000003</v>
      </c>
      <c r="K3337">
        <v>1.1087899999999999</v>
      </c>
      <c r="L3337">
        <v>141.3313</v>
      </c>
      <c r="M3337">
        <v>-0.99965729999999997</v>
      </c>
      <c r="N3337">
        <v>-1.4212310000000001E-2</v>
      </c>
      <c r="O3337">
        <v>2.1988210000000001E-2</v>
      </c>
      <c r="P3337">
        <v>-0.98844869999999996</v>
      </c>
      <c r="Q3337">
        <v>3.3009240000000001E-4</v>
      </c>
      <c r="R3337">
        <v>-0.15155660000000001</v>
      </c>
      <c r="S3337">
        <v>-2.9703059999999999</v>
      </c>
      <c r="T3337">
        <v>-5.3633569999999998E-2</v>
      </c>
      <c r="U3337">
        <v>-0.42192079999999998</v>
      </c>
      <c r="V3337">
        <v>-0.17324479999999901</v>
      </c>
      <c r="W3337">
        <v>1.4472280000000001E-2</v>
      </c>
      <c r="X3337">
        <v>0.98477239999999999</v>
      </c>
      <c r="Y3337">
        <v>-0.16232550000000001</v>
      </c>
      <c r="Z3337">
        <v>-2.701878E-3</v>
      </c>
      <c r="AA3337">
        <v>0.98673359999999999</v>
      </c>
      <c r="AB3337">
        <v>40</v>
      </c>
      <c r="AC3337">
        <v>-61.003499999999903</v>
      </c>
      <c r="AD3337">
        <v>-1.1087969436459999</v>
      </c>
      <c r="AE3337">
        <v>-8.7309999999999892</v>
      </c>
      <c r="AF3337">
        <v>-10.067122744240701</v>
      </c>
      <c r="AG3337">
        <v>-1.1087969436459999</v>
      </c>
      <c r="AH3337">
        <v>60.7770741734751</v>
      </c>
      <c r="AI3337">
        <v>91.031122934576004</v>
      </c>
      <c r="AJ3337">
        <v>99.405086362519299</v>
      </c>
      <c r="AK3337">
        <v>61.615169691383102</v>
      </c>
      <c r="AL3337">
        <v>89.170770441078503</v>
      </c>
      <c r="AM3337">
        <v>99.977588671933304</v>
      </c>
      <c r="AN3337">
        <v>0.99999994370859702</v>
      </c>
    </row>
    <row r="3338" spans="1:40" x14ac:dyDescent="0.25">
      <c r="A3338" t="str">
        <f>"20190305135654695"</f>
        <v>20190305135654695</v>
      </c>
      <c r="B3338" t="str">
        <f>"1551765414685324"</f>
        <v>1551765414685324</v>
      </c>
      <c r="C3338" t="s">
        <v>40</v>
      </c>
      <c r="D3338">
        <v>3.9965220000000001</v>
      </c>
      <c r="E3338">
        <v>0.50297820000000004</v>
      </c>
      <c r="F3338" t="s">
        <v>73</v>
      </c>
      <c r="G3338">
        <v>-430.27640000000002</v>
      </c>
      <c r="H3338" s="1">
        <v>-8.5335730000000002E-6</v>
      </c>
      <c r="I3338">
        <v>133.07650000000001</v>
      </c>
      <c r="J3338">
        <v>-373.25279999999998</v>
      </c>
      <c r="K3338">
        <v>1.108859</v>
      </c>
      <c r="L3338">
        <v>141.34049999999999</v>
      </c>
      <c r="M3338">
        <v>-0.99965479999999995</v>
      </c>
      <c r="N3338">
        <v>-1.4209690000000001E-2</v>
      </c>
      <c r="O3338">
        <v>2.210353E-2</v>
      </c>
      <c r="P3338">
        <v>-0.98830490000000004</v>
      </c>
      <c r="Q3338">
        <v>4.0363520000000002E-4</v>
      </c>
      <c r="R3338">
        <v>-0.15249179999999901</v>
      </c>
      <c r="S3338">
        <v>-2.9696349999999998</v>
      </c>
      <c r="T3338">
        <v>-5.7325479999999998E-2</v>
      </c>
      <c r="U3338">
        <v>-0.42677310000000002</v>
      </c>
      <c r="V3338">
        <v>-0.17429169999999999</v>
      </c>
      <c r="W3338">
        <v>1.451329E-2</v>
      </c>
      <c r="X3338">
        <v>0.98458710000000005</v>
      </c>
      <c r="Y3338">
        <v>-0.1640443</v>
      </c>
      <c r="Z3338">
        <v>-2.8590460000000001E-3</v>
      </c>
      <c r="AA3338">
        <v>0.98644880000000001</v>
      </c>
      <c r="AB3338">
        <v>40</v>
      </c>
      <c r="AC3338">
        <v>-57.023600000000002</v>
      </c>
      <c r="AD3338">
        <v>-1.1088675335730001</v>
      </c>
      <c r="AE3338">
        <v>-8.2639999999999798</v>
      </c>
      <c r="AF3338">
        <v>-9.5190051344936002</v>
      </c>
      <c r="AG3338">
        <v>-1.1088675335730001</v>
      </c>
      <c r="AH3338">
        <v>56.805944981914799</v>
      </c>
      <c r="AI3338">
        <v>91.102913446171797</v>
      </c>
      <c r="AJ3338">
        <v>99.512705474501999</v>
      </c>
      <c r="AK3338">
        <v>57.608648927447099</v>
      </c>
      <c r="AL3338">
        <v>89.168420536779706</v>
      </c>
      <c r="AM3338">
        <v>100.038510362491</v>
      </c>
      <c r="AN3338">
        <v>0.99999999488096203</v>
      </c>
    </row>
    <row r="3339" spans="1:40" x14ac:dyDescent="0.25">
      <c r="A3339" t="str">
        <f>"20190305135654715"</f>
        <v>20190305135654715</v>
      </c>
      <c r="B3339" t="str">
        <f>"1551765414705820"</f>
        <v>1551765414705820</v>
      </c>
      <c r="C3339" t="s">
        <v>40</v>
      </c>
      <c r="D3339">
        <v>3.959686</v>
      </c>
      <c r="E3339">
        <v>0.5031852</v>
      </c>
      <c r="F3339" t="s">
        <v>73</v>
      </c>
      <c r="G3339">
        <v>-428.49360000000001</v>
      </c>
      <c r="H3339" s="1">
        <v>-8.5273349999999996E-6</v>
      </c>
      <c r="I3339">
        <v>133.33619999999999</v>
      </c>
      <c r="J3339">
        <v>-373.62619999999998</v>
      </c>
      <c r="K3339">
        <v>1.108914</v>
      </c>
      <c r="L3339">
        <v>141.34889999999999</v>
      </c>
      <c r="M3339">
        <v>-0.99965340000000003</v>
      </c>
      <c r="N3339">
        <v>-1.4207320000000001E-2</v>
      </c>
      <c r="O3339">
        <v>2.216779E-2</v>
      </c>
      <c r="P3339">
        <v>-0.98821300000000001</v>
      </c>
      <c r="Q3339">
        <v>6.2665339999999896E-4</v>
      </c>
      <c r="R3339">
        <v>-0.1530859</v>
      </c>
      <c r="S3339">
        <v>-2.9691160000000001</v>
      </c>
      <c r="T3339">
        <v>-5.9600109999999998E-2</v>
      </c>
      <c r="U3339">
        <v>-0.43022159999999898</v>
      </c>
      <c r="V3339">
        <v>-0.17494889999999999</v>
      </c>
      <c r="W3339">
        <v>1.4709720000000001E-2</v>
      </c>
      <c r="X3339">
        <v>0.9844676</v>
      </c>
      <c r="Y3339">
        <v>-0.16525039999999999</v>
      </c>
      <c r="Z3339">
        <v>-2.9595929999999999E-3</v>
      </c>
      <c r="AA3339">
        <v>0.98624719999999999</v>
      </c>
      <c r="AB3339">
        <v>40</v>
      </c>
      <c r="AC3339">
        <v>-54.867400000000004</v>
      </c>
      <c r="AD3339">
        <v>-1.1089225273350001</v>
      </c>
      <c r="AE3339">
        <v>-8.0126999999999899</v>
      </c>
      <c r="AF3339">
        <v>-9.2234533132794496</v>
      </c>
      <c r="AG3339">
        <v>-1.1089225273350001</v>
      </c>
      <c r="AH3339">
        <v>54.654413448278</v>
      </c>
      <c r="AI3339">
        <v>91.146153503714601</v>
      </c>
      <c r="AJ3339">
        <v>99.578954019847004</v>
      </c>
      <c r="AK3339">
        <v>55.438314454618798</v>
      </c>
      <c r="AL3339">
        <v>89.157164707923002</v>
      </c>
      <c r="AM3339">
        <v>100.076786303852</v>
      </c>
      <c r="AN3339">
        <v>0.99999997446172295</v>
      </c>
    </row>
    <row r="3340" spans="1:40" x14ac:dyDescent="0.25">
      <c r="A3340" t="str">
        <f>"20190305135654738"</f>
        <v>20190305135654738</v>
      </c>
      <c r="B3340" t="str">
        <f>"1551765414725339"</f>
        <v>1551765414725339</v>
      </c>
      <c r="C3340" t="s">
        <v>40</v>
      </c>
      <c r="D3340">
        <v>3.9659499999999999</v>
      </c>
      <c r="E3340">
        <v>0.50322500000000003</v>
      </c>
      <c r="F3340" t="s">
        <v>73</v>
      </c>
      <c r="G3340">
        <v>-430.6857</v>
      </c>
      <c r="H3340" s="1">
        <v>-8.3792370000000006E-6</v>
      </c>
      <c r="I3340">
        <v>133.07589999999999</v>
      </c>
      <c r="J3340">
        <v>-374.02350000000001</v>
      </c>
      <c r="K3340">
        <v>1.108967</v>
      </c>
      <c r="L3340">
        <v>141.3578</v>
      </c>
      <c r="M3340">
        <v>-0.9996526</v>
      </c>
      <c r="N3340">
        <v>-1.420476E-2</v>
      </c>
      <c r="O3340">
        <v>2.220521E-2</v>
      </c>
      <c r="P3340">
        <v>-0.98809309999999995</v>
      </c>
      <c r="Q3340">
        <v>1.275081E-3</v>
      </c>
      <c r="R3340">
        <v>-0.1538533</v>
      </c>
      <c r="S3340">
        <v>-2.969147</v>
      </c>
      <c r="T3340">
        <v>-5.7703850000000001E-2</v>
      </c>
      <c r="U3340">
        <v>-0.4304962</v>
      </c>
      <c r="V3340">
        <v>-0.1757514</v>
      </c>
      <c r="W3340">
        <v>1.5333350000000001E-2</v>
      </c>
      <c r="X3340">
        <v>0.98431519999999995</v>
      </c>
      <c r="Y3340">
        <v>-0.1653781</v>
      </c>
      <c r="Z3340">
        <v>-2.8951770000000001E-3</v>
      </c>
      <c r="AA3340">
        <v>0.98622600000000005</v>
      </c>
      <c r="AB3340">
        <v>39</v>
      </c>
      <c r="AC3340">
        <v>-56.662199999999899</v>
      </c>
      <c r="AD3340">
        <v>-1.1089753792370001</v>
      </c>
      <c r="AE3340">
        <v>-8.2819000000000091</v>
      </c>
      <c r="AF3340">
        <v>-9.5346046031103207</v>
      </c>
      <c r="AG3340">
        <v>-1.1089753792370001</v>
      </c>
      <c r="AH3340">
        <v>56.443137950829197</v>
      </c>
      <c r="AI3340">
        <v>91.109863202242707</v>
      </c>
      <c r="AJ3340">
        <v>99.588119988798894</v>
      </c>
      <c r="AK3340">
        <v>57.253526817705698</v>
      </c>
      <c r="AL3340">
        <v>89.121429364663399</v>
      </c>
      <c r="AM3340">
        <v>100.12359019176</v>
      </c>
      <c r="AN3340">
        <v>1.0000000395876101</v>
      </c>
    </row>
    <row r="3341" spans="1:40" x14ac:dyDescent="0.25">
      <c r="A3341" t="str">
        <f>"20190305135654761"</f>
        <v>20190305135654761</v>
      </c>
      <c r="B3341" t="str">
        <f>"1551765414755596"</f>
        <v>1551765414755596</v>
      </c>
      <c r="C3341" t="s">
        <v>40</v>
      </c>
      <c r="D3341">
        <v>3.9797359999999999</v>
      </c>
      <c r="E3341">
        <v>0.50320779999999998</v>
      </c>
      <c r="F3341" t="s">
        <v>73</v>
      </c>
      <c r="G3341">
        <v>-429.86779999999999</v>
      </c>
      <c r="H3341" s="1">
        <v>-8.7000219999999999E-6</v>
      </c>
      <c r="I3341">
        <v>133.22989999999999</v>
      </c>
      <c r="J3341">
        <v>-374.42669999999998</v>
      </c>
      <c r="K3341">
        <v>1.1090059999999999</v>
      </c>
      <c r="L3341">
        <v>141.36680000000001</v>
      </c>
      <c r="M3341">
        <v>-0.99965230000000005</v>
      </c>
      <c r="N3341">
        <v>-1.420215E-2</v>
      </c>
      <c r="O3341">
        <v>2.222025E-2</v>
      </c>
      <c r="P3341">
        <v>-0.98791779999999996</v>
      </c>
      <c r="Q3341">
        <v>1.4914959999999999E-3</v>
      </c>
      <c r="R3341">
        <v>-0.15497339999999901</v>
      </c>
      <c r="S3341">
        <v>-2.9689329999999998</v>
      </c>
      <c r="T3341">
        <v>-5.8958049999999998E-2</v>
      </c>
      <c r="U3341">
        <v>-0.43211359999999899</v>
      </c>
      <c r="V3341">
        <v>-0.1768837</v>
      </c>
      <c r="W3341">
        <v>1.5527880000000001E-2</v>
      </c>
      <c r="X3341">
        <v>0.98410929999999996</v>
      </c>
      <c r="Y3341">
        <v>-0.16592709999999999</v>
      </c>
      <c r="Z3341">
        <v>-2.948647E-3</v>
      </c>
      <c r="AA3341">
        <v>0.98613360000000005</v>
      </c>
      <c r="AB3341">
        <v>39</v>
      </c>
      <c r="AC3341">
        <v>-55.441099999999999</v>
      </c>
      <c r="AD3341">
        <v>-1.1090147000220001</v>
      </c>
      <c r="AE3341">
        <v>-8.1369000000000202</v>
      </c>
      <c r="AF3341">
        <v>-9.3632622483133101</v>
      </c>
      <c r="AG3341">
        <v>-1.1090147000220001</v>
      </c>
      <c r="AH3341">
        <v>55.224954940702197</v>
      </c>
      <c r="AI3341">
        <v>91.134262721801605</v>
      </c>
      <c r="AJ3341">
        <v>99.622854597721897</v>
      </c>
      <c r="AK3341">
        <v>56.024068414728198</v>
      </c>
      <c r="AL3341">
        <v>89.110282287070902</v>
      </c>
      <c r="AM3341">
        <v>100.18953772277099</v>
      </c>
      <c r="AN3341">
        <v>1.0000000363647299</v>
      </c>
    </row>
    <row r="3342" spans="1:40" x14ac:dyDescent="0.25">
      <c r="A3342" t="str">
        <f>"20190305135654783"</f>
        <v>20190305135654783</v>
      </c>
      <c r="B3342" t="str">
        <f>"1551765414775115"</f>
        <v>1551765414775115</v>
      </c>
      <c r="C3342" t="s">
        <v>40</v>
      </c>
      <c r="D3342">
        <v>3.8760970000000001</v>
      </c>
      <c r="E3342">
        <v>0.50334840000000003</v>
      </c>
      <c r="F3342" t="s">
        <v>73</v>
      </c>
      <c r="G3342">
        <v>-427.41109999999998</v>
      </c>
      <c r="H3342" s="1">
        <v>-8.4607500000000003E-6</v>
      </c>
      <c r="I3342">
        <v>133.5959</v>
      </c>
      <c r="J3342">
        <v>-374.83870000000002</v>
      </c>
      <c r="K3342">
        <v>1.1090500000000001</v>
      </c>
      <c r="L3342">
        <v>141.376</v>
      </c>
      <c r="M3342">
        <v>-0.9996526</v>
      </c>
      <c r="N3342">
        <v>-1.41995E-2</v>
      </c>
      <c r="O3342">
        <v>2.2210130000000002E-2</v>
      </c>
      <c r="P3342">
        <v>-0.98767499999999997</v>
      </c>
      <c r="Q3342">
        <v>1.889398E-3</v>
      </c>
      <c r="R3342">
        <v>-0.15650919999999999</v>
      </c>
      <c r="S3342">
        <v>-2.9685359999999998</v>
      </c>
      <c r="T3342">
        <v>-6.2134269999999998E-2</v>
      </c>
      <c r="U3342">
        <v>-0.43537900000000002</v>
      </c>
      <c r="V3342">
        <v>-0.17840520000000001</v>
      </c>
      <c r="W3342">
        <v>1.5904540000000002E-2</v>
      </c>
      <c r="X3342">
        <v>0.98382849999999999</v>
      </c>
      <c r="Y3342">
        <v>-0.16699249999999999</v>
      </c>
      <c r="Z3342">
        <v>-3.079282E-3</v>
      </c>
      <c r="AA3342">
        <v>0.98595330000000003</v>
      </c>
      <c r="AB3342">
        <v>39</v>
      </c>
      <c r="AC3342">
        <v>-52.572399999999902</v>
      </c>
      <c r="AD3342">
        <v>-1.10905846075</v>
      </c>
      <c r="AE3342">
        <v>-7.7801</v>
      </c>
      <c r="AF3342">
        <v>-8.9420436572400597</v>
      </c>
      <c r="AG3342">
        <v>-1.10905846075</v>
      </c>
      <c r="AH3342">
        <v>52.363810382043503</v>
      </c>
      <c r="AI3342">
        <v>91.196026933055094</v>
      </c>
      <c r="AJ3342">
        <v>99.6907863219337</v>
      </c>
      <c r="AK3342">
        <v>53.133405623618302</v>
      </c>
      <c r="AL3342">
        <v>89.088698509126601</v>
      </c>
      <c r="AM3342">
        <v>100.27819573069</v>
      </c>
      <c r="AN3342">
        <v>0.99999994359594901</v>
      </c>
    </row>
    <row r="3343" spans="1:40" x14ac:dyDescent="0.25">
      <c r="A3343" t="str">
        <f>"20190305135654805"</f>
        <v>20190305135654805</v>
      </c>
      <c r="B3343" t="str">
        <f>"1551765414795612"</f>
        <v>1551765414795612</v>
      </c>
      <c r="C3343" t="s">
        <v>40</v>
      </c>
      <c r="D3343">
        <v>3.9087519999999998</v>
      </c>
      <c r="E3343">
        <v>0.50369949999999997</v>
      </c>
      <c r="F3343" t="s">
        <v>73</v>
      </c>
      <c r="G3343">
        <v>-429.54919999999998</v>
      </c>
      <c r="H3343" s="1">
        <v>-8.6717899999999999E-6</v>
      </c>
      <c r="I3343">
        <v>133.28450000000001</v>
      </c>
      <c r="J3343">
        <v>-375.202</v>
      </c>
      <c r="K3343">
        <v>1.109081</v>
      </c>
      <c r="L3343">
        <v>141.38399999999999</v>
      </c>
      <c r="M3343">
        <v>-0.99965340000000003</v>
      </c>
      <c r="N3343">
        <v>-1.419716E-2</v>
      </c>
      <c r="O3343">
        <v>2.216974E-2</v>
      </c>
      <c r="P3343">
        <v>-0.98742719999999995</v>
      </c>
      <c r="Q3343">
        <v>2.556544E-3</v>
      </c>
      <c r="R3343">
        <v>-0.15805350000000001</v>
      </c>
      <c r="S3343">
        <v>-2.9679570000000002</v>
      </c>
      <c r="T3343">
        <v>-6.016469E-2</v>
      </c>
      <c r="U3343">
        <v>-0.4389496</v>
      </c>
      <c r="V3343">
        <v>-0.1799057</v>
      </c>
      <c r="W3343">
        <v>1.655009E-2</v>
      </c>
      <c r="X3343">
        <v>0.98354459999999999</v>
      </c>
      <c r="Y3343">
        <v>-0.16814390000000001</v>
      </c>
      <c r="Z3343">
        <v>-3.0293220000000001E-3</v>
      </c>
      <c r="AA3343">
        <v>0.98575780000000002</v>
      </c>
      <c r="AB3343">
        <v>39</v>
      </c>
      <c r="AC3343">
        <v>-54.347200000000001</v>
      </c>
      <c r="AD3343">
        <v>-1.1090896717899901</v>
      </c>
      <c r="AE3343">
        <v>-8.0994999999999706</v>
      </c>
      <c r="AF3343">
        <v>-9.2987052188060204</v>
      </c>
      <c r="AG3343">
        <v>-1.1090896717899901</v>
      </c>
      <c r="AH3343">
        <v>54.132203651723302</v>
      </c>
      <c r="AI3343">
        <v>91.156804037104394</v>
      </c>
      <c r="AJ3343">
        <v>99.747009709904106</v>
      </c>
      <c r="AK3343">
        <v>54.936249151520798</v>
      </c>
      <c r="AL3343">
        <v>89.0517063732689</v>
      </c>
      <c r="AM3343">
        <v>100.365702827275</v>
      </c>
      <c r="AN3343">
        <v>0.99999997328032797</v>
      </c>
    </row>
    <row r="3344" spans="1:40" x14ac:dyDescent="0.25">
      <c r="A3344" t="str">
        <f>"20190305135654826"</f>
        <v>20190305135654826</v>
      </c>
      <c r="B3344" t="str">
        <f>"1551765414816108"</f>
        <v>1551765414816108</v>
      </c>
      <c r="C3344" t="s">
        <v>40</v>
      </c>
      <c r="D3344">
        <v>3.8999579999999998</v>
      </c>
      <c r="E3344">
        <v>0.50414590000000004</v>
      </c>
      <c r="F3344" t="s">
        <v>73</v>
      </c>
      <c r="G3344">
        <v>-434.62419999999997</v>
      </c>
      <c r="H3344" s="1">
        <v>-6.6110650000000002E-6</v>
      </c>
      <c r="I3344">
        <v>132.55619999999999</v>
      </c>
      <c r="J3344">
        <v>-375.5849</v>
      </c>
      <c r="K3344">
        <v>1.1091260000000001</v>
      </c>
      <c r="L3344">
        <v>141.39250000000001</v>
      </c>
      <c r="M3344">
        <v>-0.99965530000000002</v>
      </c>
      <c r="N3344">
        <v>-1.4194750000000001E-2</v>
      </c>
      <c r="O3344">
        <v>2.2087639999999999E-2</v>
      </c>
      <c r="P3344">
        <v>-0.98719170000000001</v>
      </c>
      <c r="Q3344">
        <v>2.5090609999999999E-3</v>
      </c>
      <c r="R3344">
        <v>-0.1595201</v>
      </c>
      <c r="S3344">
        <v>-2.9678040000000001</v>
      </c>
      <c r="T3344">
        <v>-5.5392740000000003E-2</v>
      </c>
      <c r="U3344">
        <v>-0.44090269999999998</v>
      </c>
      <c r="V3344">
        <v>-0.181287</v>
      </c>
      <c r="W3344">
        <v>1.6477140000000001E-2</v>
      </c>
      <c r="X3344">
        <v>0.98329219999999895</v>
      </c>
      <c r="Y3344">
        <v>-0.1687121</v>
      </c>
      <c r="Z3344">
        <v>-2.8683269999999999E-3</v>
      </c>
      <c r="AA3344">
        <v>0.98566120000000002</v>
      </c>
      <c r="AB3344">
        <v>39</v>
      </c>
      <c r="AC3344">
        <v>-59.039299999999898</v>
      </c>
      <c r="AD3344">
        <v>-1.1091326110649999</v>
      </c>
      <c r="AE3344">
        <v>-8.8363000000000191</v>
      </c>
      <c r="AF3344">
        <v>-10.1348155197325</v>
      </c>
      <c r="AG3344">
        <v>-1.1091326110649999</v>
      </c>
      <c r="AH3344">
        <v>58.809400435857</v>
      </c>
      <c r="AI3344">
        <v>91.064766216880102</v>
      </c>
      <c r="AJ3344">
        <v>99.777925802495105</v>
      </c>
      <c r="AK3344">
        <v>59.686600174519199</v>
      </c>
      <c r="AL3344">
        <v>89.055886706648906</v>
      </c>
      <c r="AM3344">
        <v>100.446166831787</v>
      </c>
      <c r="AN3344">
        <v>1.0000000115462</v>
      </c>
    </row>
    <row r="3345" spans="1:40" x14ac:dyDescent="0.25">
      <c r="A3345" t="str">
        <f>"20190305135654849"</f>
        <v>20190305135654849</v>
      </c>
      <c r="B3345" t="str">
        <f>"1551765414845387"</f>
        <v>1551765414845387</v>
      </c>
      <c r="C3345" t="s">
        <v>40</v>
      </c>
      <c r="D3345">
        <v>3.9042669999999999</v>
      </c>
      <c r="E3345">
        <v>0.50453340000000002</v>
      </c>
      <c r="F3345" t="s">
        <v>73</v>
      </c>
      <c r="G3345">
        <v>-436.59769999999997</v>
      </c>
      <c r="H3345" s="1">
        <v>-5.6112349999999996E-6</v>
      </c>
      <c r="I3345">
        <v>132.3074</v>
      </c>
      <c r="J3345">
        <v>-375.97539999999998</v>
      </c>
      <c r="K3345">
        <v>1.1091759999999999</v>
      </c>
      <c r="L3345">
        <v>141.40100000000001</v>
      </c>
      <c r="M3345">
        <v>-0.99965820000000005</v>
      </c>
      <c r="N3345">
        <v>-1.4192339999999999E-2</v>
      </c>
      <c r="O3345">
        <v>2.1957049999999999E-2</v>
      </c>
      <c r="P3345">
        <v>-0.98707089999999997</v>
      </c>
      <c r="Q3345">
        <v>3.136925E-3</v>
      </c>
      <c r="R3345">
        <v>-0.1602539</v>
      </c>
      <c r="S3345">
        <v>-2.967651</v>
      </c>
      <c r="T3345">
        <v>-5.3947929999999998E-2</v>
      </c>
      <c r="U3345">
        <v>-0.44189450000000002</v>
      </c>
      <c r="V3345">
        <v>-0.18189230000000001</v>
      </c>
      <c r="W3345">
        <v>1.7077390000000001E-2</v>
      </c>
      <c r="X3345">
        <v>0.98317019999999999</v>
      </c>
      <c r="Y3345">
        <v>-0.16891500000000001</v>
      </c>
      <c r="Z3345">
        <v>-2.8194909999999999E-3</v>
      </c>
      <c r="AA3345">
        <v>0.98562660000000002</v>
      </c>
      <c r="AB3345">
        <v>39</v>
      </c>
      <c r="AC3345">
        <v>-60.622300000000003</v>
      </c>
      <c r="AD3345">
        <v>-1.1091816112349999</v>
      </c>
      <c r="AE3345">
        <v>-9.0936000000000092</v>
      </c>
      <c r="AF3345">
        <v>-10.419216905051901</v>
      </c>
      <c r="AG3345">
        <v>-1.1091816112349999</v>
      </c>
      <c r="AH3345">
        <v>60.388222175304598</v>
      </c>
      <c r="AI3345">
        <v>91.036944951668801</v>
      </c>
      <c r="AJ3345">
        <v>99.789275434702404</v>
      </c>
      <c r="AK3345">
        <v>61.290519187352103</v>
      </c>
      <c r="AL3345">
        <v>89.021490105477199</v>
      </c>
      <c r="AM3345">
        <v>100.481545695001</v>
      </c>
      <c r="AN3345">
        <v>1.0000000441082699</v>
      </c>
    </row>
    <row r="3346" spans="1:40" x14ac:dyDescent="0.25">
      <c r="A3346" t="str">
        <f>"20190305135654872"</f>
        <v>20190305135654872</v>
      </c>
      <c r="B3346" t="str">
        <f>"1551765414865884"</f>
        <v>1551765414865884</v>
      </c>
      <c r="C3346" t="s">
        <v>40</v>
      </c>
      <c r="D3346">
        <v>3.8938579999999998</v>
      </c>
      <c r="E3346">
        <v>0.50478919999999905</v>
      </c>
      <c r="F3346" t="s">
        <v>42</v>
      </c>
      <c r="G3346">
        <v>-442.73860000000002</v>
      </c>
      <c r="H3346" s="1">
        <v>-3.609196E-6</v>
      </c>
      <c r="I3346">
        <v>131.47829999999999</v>
      </c>
      <c r="J3346">
        <v>-376.38929999999999</v>
      </c>
      <c r="K3346">
        <v>1.109237</v>
      </c>
      <c r="L3346">
        <v>141.40989999999999</v>
      </c>
      <c r="M3346">
        <v>-0.99966259999999996</v>
      </c>
      <c r="N3346">
        <v>-1.418996E-2</v>
      </c>
      <c r="O3346">
        <v>2.1761140000000002E-2</v>
      </c>
      <c r="P3346">
        <v>-0.98692729999999995</v>
      </c>
      <c r="Q3346">
        <v>3.9333629999999996E-3</v>
      </c>
      <c r="R3346">
        <v>-0.1611186</v>
      </c>
      <c r="S3346">
        <v>-2.9678040000000001</v>
      </c>
      <c r="T3346">
        <v>-4.9306040000000002E-2</v>
      </c>
      <c r="U3346">
        <v>-0.44108579999999997</v>
      </c>
      <c r="V3346">
        <v>-0.182563</v>
      </c>
      <c r="W3346">
        <v>1.784403E-2</v>
      </c>
      <c r="X3346">
        <v>0.98303220000000002</v>
      </c>
      <c r="Y3346">
        <v>-0.16845829999999901</v>
      </c>
      <c r="Z3346">
        <v>-2.64621E-3</v>
      </c>
      <c r="AA3346">
        <v>0.98570530000000001</v>
      </c>
      <c r="AB3346">
        <v>39</v>
      </c>
      <c r="AC3346">
        <v>-66.349299999999999</v>
      </c>
      <c r="AD3346">
        <v>-1.1092406091959901</v>
      </c>
      <c r="AE3346">
        <v>-9.9315999999999995</v>
      </c>
      <c r="AF3346">
        <v>-11.3701210589597</v>
      </c>
      <c r="AG3346">
        <v>-1.1092406091959901</v>
      </c>
      <c r="AH3346">
        <v>66.099370764136196</v>
      </c>
      <c r="AI3346">
        <v>90.947500513208496</v>
      </c>
      <c r="AJ3346">
        <v>99.760247828597002</v>
      </c>
      <c r="AK3346">
        <v>67.079332756365702</v>
      </c>
      <c r="AL3346">
        <v>88.977558109321507</v>
      </c>
      <c r="AM3346">
        <v>100.520777391914</v>
      </c>
      <c r="AN3346">
        <v>0.99999998230623999</v>
      </c>
    </row>
    <row r="3347" spans="1:40" x14ac:dyDescent="0.25">
      <c r="A3347" t="str">
        <f>"20190305135654895"</f>
        <v>20190305135654895</v>
      </c>
      <c r="B3347" t="str">
        <f>"1551765414885404"</f>
        <v>1551765414885404</v>
      </c>
      <c r="C3347" t="s">
        <v>40</v>
      </c>
      <c r="D3347">
        <v>3.8873500000000001</v>
      </c>
      <c r="E3347">
        <v>0.50497749999999997</v>
      </c>
      <c r="F3347" t="s">
        <v>42</v>
      </c>
      <c r="G3347">
        <v>-449.74079999999998</v>
      </c>
      <c r="H3347" s="1">
        <v>-1.4899440000000001E-6</v>
      </c>
      <c r="I3347">
        <v>130.48759999999999</v>
      </c>
      <c r="J3347">
        <v>-376.78379999999999</v>
      </c>
      <c r="K3347">
        <v>1.1092930000000001</v>
      </c>
      <c r="L3347">
        <v>141.41829999999999</v>
      </c>
      <c r="M3347">
        <v>-0.99966759999999999</v>
      </c>
      <c r="N3347">
        <v>-1.4187760000000001E-2</v>
      </c>
      <c r="O3347">
        <v>2.1529309999999999E-2</v>
      </c>
      <c r="P3347">
        <v>-0.98657519999999999</v>
      </c>
      <c r="Q3347">
        <v>4.1869020000000002E-3</v>
      </c>
      <c r="R3347">
        <v>-0.16325400000000001</v>
      </c>
      <c r="S3347">
        <v>-2.9677730000000002</v>
      </c>
      <c r="T3347">
        <v>-4.487944E-2</v>
      </c>
      <c r="U3347">
        <v>-0.44190980000000002</v>
      </c>
      <c r="V3347">
        <v>-0.18446499999999999</v>
      </c>
      <c r="W3347">
        <v>1.8067159999999999E-2</v>
      </c>
      <c r="X3347">
        <v>0.98267300000000002</v>
      </c>
      <c r="Y3347">
        <v>-0.16850470000000001</v>
      </c>
      <c r="Z3347">
        <v>-2.4893179999999999E-3</v>
      </c>
      <c r="AA3347">
        <v>0.98569770000000001</v>
      </c>
      <c r="AB3347">
        <v>39</v>
      </c>
      <c r="AC3347">
        <v>-72.956999999999994</v>
      </c>
      <c r="AD3347">
        <v>-1.109294489944</v>
      </c>
      <c r="AE3347">
        <v>-10.9307</v>
      </c>
      <c r="AF3347">
        <v>-12.496212323109299</v>
      </c>
      <c r="AG3347">
        <v>-1.109294489944</v>
      </c>
      <c r="AH3347">
        <v>72.6882968227346</v>
      </c>
      <c r="AI3347">
        <v>90.861682990777794</v>
      </c>
      <c r="AJ3347">
        <v>99.754653887630198</v>
      </c>
      <c r="AK3347">
        <v>73.762960567479993</v>
      </c>
      <c r="AL3347">
        <v>88.964771650157701</v>
      </c>
      <c r="AM3347">
        <v>100.631697970666</v>
      </c>
      <c r="AN3347">
        <v>0.99999999171223197</v>
      </c>
    </row>
    <row r="3348" spans="1:40" x14ac:dyDescent="0.25">
      <c r="A3348" t="str">
        <f>"20190305135654941"</f>
        <v>20190305135654941</v>
      </c>
      <c r="B3348" t="str">
        <f>"1551765414935179"</f>
        <v>1551765414935179</v>
      </c>
      <c r="C3348" t="s">
        <v>40</v>
      </c>
      <c r="D3348">
        <v>3.9832070000000002</v>
      </c>
      <c r="E3348">
        <v>0.51604879999999997</v>
      </c>
      <c r="F3348" t="s">
        <v>42</v>
      </c>
      <c r="G3348">
        <v>-453.75450000000001</v>
      </c>
      <c r="H3348" s="1">
        <v>-3.7032450000000002E-6</v>
      </c>
      <c r="I3348">
        <v>129.82550000000001</v>
      </c>
      <c r="J3348">
        <v>-377.56709999999998</v>
      </c>
      <c r="K3348">
        <v>1.1093770000000001</v>
      </c>
      <c r="L3348">
        <v>141.43450000000001</v>
      </c>
      <c r="M3348">
        <v>-0.9996794</v>
      </c>
      <c r="N3348">
        <v>-1.4183380000000001E-2</v>
      </c>
      <c r="O3348">
        <v>2.0974400000000001E-2</v>
      </c>
      <c r="P3348">
        <v>-0.98560550000000002</v>
      </c>
      <c r="Q3348">
        <v>2.4409029999999999E-3</v>
      </c>
      <c r="R3348">
        <v>-0.1690439</v>
      </c>
      <c r="S3348">
        <v>-2.967041</v>
      </c>
      <c r="T3348">
        <v>-4.2760850000000003E-2</v>
      </c>
      <c r="U3348">
        <v>-0.44686890000000001</v>
      </c>
      <c r="V3348">
        <v>-0.18968960000000001</v>
      </c>
      <c r="W3348">
        <v>1.6268790000000002E-2</v>
      </c>
      <c r="X3348">
        <v>0.98170930000000001</v>
      </c>
      <c r="Y3348">
        <v>-0.16960649999999999</v>
      </c>
      <c r="Z3348">
        <v>-2.4299299999999999E-3</v>
      </c>
      <c r="AA3348">
        <v>0.98550890000000002</v>
      </c>
      <c r="AB3348">
        <v>39</v>
      </c>
      <c r="AC3348">
        <v>-76.187399999999997</v>
      </c>
      <c r="AD3348">
        <v>-1.109380703245</v>
      </c>
      <c r="AE3348">
        <v>-11.609</v>
      </c>
      <c r="AF3348">
        <v>-13.201855761717701</v>
      </c>
      <c r="AG3348">
        <v>-1.109380703245</v>
      </c>
      <c r="AH3348">
        <v>75.911389909487298</v>
      </c>
      <c r="AI3348">
        <v>90.824889916272298</v>
      </c>
      <c r="AJ3348">
        <v>99.8657152989054</v>
      </c>
      <c r="AK3348">
        <v>77.058801178633303</v>
      </c>
      <c r="AL3348">
        <v>89.067825856718102</v>
      </c>
      <c r="AM3348">
        <v>100.93613553010699</v>
      </c>
      <c r="AN3348">
        <v>0.99999998379135602</v>
      </c>
    </row>
    <row r="3349" spans="1:40" x14ac:dyDescent="0.25">
      <c r="A3349" t="str">
        <f>"20190305135654962"</f>
        <v>20190305135654962</v>
      </c>
      <c r="B3349" t="str">
        <f>"1551765414955676"</f>
        <v>1551765414955676</v>
      </c>
      <c r="C3349" t="s">
        <v>40</v>
      </c>
      <c r="D3349">
        <v>3.9821499999999999</v>
      </c>
      <c r="E3349">
        <v>0.51591369999999903</v>
      </c>
      <c r="F3349" t="s">
        <v>42</v>
      </c>
      <c r="G3349">
        <v>-391.68549999999999</v>
      </c>
      <c r="H3349" s="1">
        <v>-3.5748800000000002E-6</v>
      </c>
      <c r="I3349">
        <v>139.71279999999999</v>
      </c>
      <c r="J3349">
        <v>-377.95440000000002</v>
      </c>
      <c r="K3349">
        <v>1.109416</v>
      </c>
      <c r="L3349">
        <v>141.44229999999999</v>
      </c>
      <c r="M3349">
        <v>-0.99968579999999996</v>
      </c>
      <c r="N3349">
        <v>-1.418117E-2</v>
      </c>
      <c r="O3349">
        <v>2.067161E-2</v>
      </c>
      <c r="P3349">
        <v>-0.98527819999999999</v>
      </c>
      <c r="Q3349">
        <v>2.7334019999999998E-3</v>
      </c>
      <c r="R3349">
        <v>-0.17093710000000001</v>
      </c>
      <c r="S3349">
        <v>-2.9820250000000001</v>
      </c>
      <c r="T3349">
        <v>-0.2343181</v>
      </c>
      <c r="U3349">
        <v>-0.36363220000000002</v>
      </c>
      <c r="V3349">
        <v>-0.19127959999999999</v>
      </c>
      <c r="W3349">
        <v>1.6543889999999999E-2</v>
      </c>
      <c r="X3349">
        <v>0.98139609999999999</v>
      </c>
      <c r="Y3349">
        <v>-0.14099139999999999</v>
      </c>
      <c r="Z3349">
        <v>-7.8403710000000005E-3</v>
      </c>
      <c r="AA3349">
        <v>0.98997970000000002</v>
      </c>
      <c r="AB3349">
        <v>39</v>
      </c>
      <c r="AC3349">
        <v>-13.7310999999999</v>
      </c>
      <c r="AD3349">
        <v>-1.10941957488</v>
      </c>
      <c r="AE3349">
        <v>-1.7295</v>
      </c>
      <c r="AF3349">
        <v>-2.0001497447799199</v>
      </c>
      <c r="AG3349">
        <v>-1.10941957488</v>
      </c>
      <c r="AH3349">
        <v>13.6049836832627</v>
      </c>
      <c r="AI3349">
        <v>94.612511516707102</v>
      </c>
      <c r="AJ3349">
        <v>98.363482229736206</v>
      </c>
      <c r="AK3349">
        <v>13.795904892993301</v>
      </c>
      <c r="AL3349">
        <v>89.052061629306905</v>
      </c>
      <c r="AM3349">
        <v>101.028998563314</v>
      </c>
      <c r="AN3349">
        <v>0.99999994538384895</v>
      </c>
    </row>
    <row r="3350" spans="1:40" x14ac:dyDescent="0.25">
      <c r="A3350" t="str">
        <f>"20190305135654983"</f>
        <v>20190305135654983</v>
      </c>
      <c r="B3350" t="str">
        <f>"1551765414975196"</f>
        <v>1551765414975196</v>
      </c>
      <c r="C3350" t="s">
        <v>40</v>
      </c>
      <c r="D3350">
        <v>3.9934699999999999</v>
      </c>
      <c r="E3350">
        <v>0.51588120000000004</v>
      </c>
      <c r="F3350" t="s">
        <v>42</v>
      </c>
      <c r="G3350">
        <v>-391.74029999999999</v>
      </c>
      <c r="H3350" s="1">
        <v>-3.5562369999999999E-6</v>
      </c>
      <c r="I3350">
        <v>139.73099999999999</v>
      </c>
      <c r="J3350">
        <v>-378.33960000000002</v>
      </c>
      <c r="K3350">
        <v>1.1094539999999999</v>
      </c>
      <c r="L3350">
        <v>141.44999999999999</v>
      </c>
      <c r="M3350">
        <v>-0.99969209999999997</v>
      </c>
      <c r="N3350">
        <v>-1.417883E-2</v>
      </c>
      <c r="O3350">
        <v>2.036553E-2</v>
      </c>
      <c r="P3350">
        <v>-0.98493869999999895</v>
      </c>
      <c r="Q3350">
        <v>3.9211330000000003E-3</v>
      </c>
      <c r="R3350">
        <v>-0.17286009999999999</v>
      </c>
      <c r="S3350">
        <v>-2.981293</v>
      </c>
      <c r="T3350">
        <v>-0.2399194</v>
      </c>
      <c r="U3350">
        <v>-0.37007139999999999</v>
      </c>
      <c r="V3350">
        <v>-0.19289600000000001</v>
      </c>
      <c r="W3350">
        <v>1.7716260000000001E-2</v>
      </c>
      <c r="X3350">
        <v>0.98105929999999997</v>
      </c>
      <c r="Y3350">
        <v>-0.14279229999999901</v>
      </c>
      <c r="Z3350">
        <v>-8.0758989999999992E-3</v>
      </c>
      <c r="AA3350">
        <v>0.98971969999999998</v>
      </c>
      <c r="AB3350">
        <v>39</v>
      </c>
      <c r="AC3350">
        <v>-13.400699999999899</v>
      </c>
      <c r="AD3350">
        <v>-1.1094575562369999</v>
      </c>
      <c r="AE3350">
        <v>-1.7189999999999901</v>
      </c>
      <c r="AF3350">
        <v>-1.9782431276385899</v>
      </c>
      <c r="AG3350">
        <v>-1.1094575562369999</v>
      </c>
      <c r="AH3350">
        <v>13.2734005701949</v>
      </c>
      <c r="AI3350">
        <v>94.726003725420199</v>
      </c>
      <c r="AJ3350">
        <v>98.476861026198193</v>
      </c>
      <c r="AK3350">
        <v>13.465790160179701</v>
      </c>
      <c r="AL3350">
        <v>88.984880008629503</v>
      </c>
      <c r="AM3350">
        <v>101.123607503225</v>
      </c>
      <c r="AN3350">
        <v>1.00000004140043</v>
      </c>
    </row>
    <row r="3351" spans="1:40" x14ac:dyDescent="0.25">
      <c r="A3351" t="str">
        <f>"20190305135655005"</f>
        <v>20190305135655005</v>
      </c>
      <c r="B3351" t="str">
        <f>"1551765414995692"</f>
        <v>1551765414995692</v>
      </c>
      <c r="C3351" t="s">
        <v>40</v>
      </c>
      <c r="D3351">
        <v>3.9841679999999999</v>
      </c>
      <c r="E3351">
        <v>0.5159319</v>
      </c>
      <c r="F3351" t="s">
        <v>42</v>
      </c>
      <c r="G3351">
        <v>-392.31819999999999</v>
      </c>
      <c r="H3351" s="1">
        <v>-3.2962709999999999E-6</v>
      </c>
      <c r="I3351">
        <v>139.6857</v>
      </c>
      <c r="J3351">
        <v>-378.71</v>
      </c>
      <c r="K3351">
        <v>1.10948</v>
      </c>
      <c r="L3351">
        <v>141.4573</v>
      </c>
      <c r="M3351">
        <v>-0.99969799999999998</v>
      </c>
      <c r="N3351">
        <v>-1.4176650000000001E-2</v>
      </c>
      <c r="O3351">
        <v>2.007608E-2</v>
      </c>
      <c r="P3351">
        <v>-0.98457799999999995</v>
      </c>
      <c r="Q3351">
        <v>6.1349119999999898E-3</v>
      </c>
      <c r="R3351">
        <v>-0.17483950000000001</v>
      </c>
      <c r="S3351">
        <v>-2.9807739999999998</v>
      </c>
      <c r="T3351">
        <v>-0.23657829999999999</v>
      </c>
      <c r="U3351">
        <v>-0.37619019999999997</v>
      </c>
      <c r="V3351">
        <v>-0.19458539999999999</v>
      </c>
      <c r="W3351">
        <v>1.991743E-2</v>
      </c>
      <c r="X3351">
        <v>0.98068330000000004</v>
      </c>
      <c r="Y3351">
        <v>-0.14453629999999901</v>
      </c>
      <c r="Z3351">
        <v>-8.036751E-3</v>
      </c>
      <c r="AA3351">
        <v>0.98946679999999998</v>
      </c>
      <c r="AB3351">
        <v>39</v>
      </c>
      <c r="AC3351">
        <v>-13.6082</v>
      </c>
      <c r="AD3351">
        <v>-1.109483296271</v>
      </c>
      <c r="AE3351">
        <v>-1.7716000000000001</v>
      </c>
      <c r="AF3351">
        <v>-2.0311928560985102</v>
      </c>
      <c r="AG3351">
        <v>-1.109483296271</v>
      </c>
      <c r="AH3351">
        <v>13.481763701367701</v>
      </c>
      <c r="AI3351">
        <v>94.652290579070197</v>
      </c>
      <c r="AJ3351">
        <v>98.567871185449505</v>
      </c>
      <c r="AK3351">
        <v>13.678985711772899</v>
      </c>
      <c r="AL3351">
        <v>88.858739809211897</v>
      </c>
      <c r="AM3351">
        <v>101.222760495575</v>
      </c>
      <c r="AN3351">
        <v>0.99999995840492595</v>
      </c>
    </row>
    <row r="3352" spans="1:40" x14ac:dyDescent="0.25">
      <c r="A3352" t="str">
        <f>"20190305135655027"</f>
        <v>20190305135655027</v>
      </c>
      <c r="B3352" t="str">
        <f>"1551765415015212"</f>
        <v>1551765415015212</v>
      </c>
      <c r="C3352" t="s">
        <v>40</v>
      </c>
      <c r="D3352">
        <v>3.9680650000000002</v>
      </c>
      <c r="E3352">
        <v>0.51595990000000003</v>
      </c>
      <c r="F3352" t="s">
        <v>42</v>
      </c>
      <c r="G3352">
        <v>-393.1755</v>
      </c>
      <c r="H3352" s="1">
        <v>-2.912259E-6</v>
      </c>
      <c r="I3352">
        <v>139.60339999999999</v>
      </c>
      <c r="J3352">
        <v>-379.0992</v>
      </c>
      <c r="K3352">
        <v>1.109497</v>
      </c>
      <c r="L3352">
        <v>141.4648</v>
      </c>
      <c r="M3352">
        <v>-0.99970389999999998</v>
      </c>
      <c r="N3352">
        <v>-1.41742E-2</v>
      </c>
      <c r="O3352">
        <v>1.9780909999999999E-2</v>
      </c>
      <c r="P3352">
        <v>-0.98416029999999999</v>
      </c>
      <c r="Q3352">
        <v>7.9855959999999993E-3</v>
      </c>
      <c r="R3352">
        <v>-0.17710139999999999</v>
      </c>
      <c r="S3352">
        <v>-2.980591</v>
      </c>
      <c r="T3352">
        <v>-0.22860720000000001</v>
      </c>
      <c r="U3352">
        <v>-0.38197330000000002</v>
      </c>
      <c r="V3352">
        <v>-0.19655030000000001</v>
      </c>
      <c r="W3352">
        <v>2.1755710000000001E-2</v>
      </c>
      <c r="X3352">
        <v>0.98025229999999997</v>
      </c>
      <c r="Y3352">
        <v>-0.14617160000000001</v>
      </c>
      <c r="Z3352">
        <v>-7.8469980000000009E-3</v>
      </c>
      <c r="AA3352">
        <v>0.98922810000000005</v>
      </c>
      <c r="AB3352">
        <v>39</v>
      </c>
      <c r="AC3352">
        <v>-14.0763</v>
      </c>
      <c r="AD3352">
        <v>-1.1094999122589999</v>
      </c>
      <c r="AE3352">
        <v>-1.8613999999999999</v>
      </c>
      <c r="AF3352">
        <v>-2.1265214073279002</v>
      </c>
      <c r="AG3352">
        <v>-1.1094999122589999</v>
      </c>
      <c r="AH3352">
        <v>13.951534859078</v>
      </c>
      <c r="AI3352">
        <v>94.495193592893003</v>
      </c>
      <c r="AJ3352">
        <v>98.666436155418097</v>
      </c>
      <c r="AK3352">
        <v>14.156214475459</v>
      </c>
      <c r="AL3352">
        <v>88.753391224111098</v>
      </c>
      <c r="AM3352">
        <v>101.33802170255601</v>
      </c>
      <c r="AN3352">
        <v>0.99999995150149001</v>
      </c>
    </row>
    <row r="3353" spans="1:40" x14ac:dyDescent="0.25">
      <c r="A3353" t="str">
        <f>"20190305135655050"</f>
        <v>20190305135655050</v>
      </c>
      <c r="B3353" t="str">
        <f>"1551765415045468"</f>
        <v>1551765415045468</v>
      </c>
      <c r="C3353" t="s">
        <v>40</v>
      </c>
      <c r="D3353">
        <v>3.9431370000000001</v>
      </c>
      <c r="E3353">
        <v>0.51623200000000002</v>
      </c>
      <c r="F3353" t="s">
        <v>42</v>
      </c>
      <c r="G3353">
        <v>-393.91950000000003</v>
      </c>
      <c r="H3353" s="1">
        <v>-2.6056730000000002E-6</v>
      </c>
      <c r="I3353">
        <v>139.5325</v>
      </c>
      <c r="J3353">
        <v>-379.49090000000001</v>
      </c>
      <c r="K3353">
        <v>1.1094980000000001</v>
      </c>
      <c r="L3353">
        <v>141.47229999999999</v>
      </c>
      <c r="M3353">
        <v>-0.99970959999999998</v>
      </c>
      <c r="N3353">
        <v>-1.4171909999999999E-2</v>
      </c>
      <c r="O3353">
        <v>1.9492820000000001E-2</v>
      </c>
      <c r="P3353">
        <v>-0.98363469999999997</v>
      </c>
      <c r="Q3353">
        <v>8.4521249999999996E-3</v>
      </c>
      <c r="R3353">
        <v>-0.17997539999999901</v>
      </c>
      <c r="S3353">
        <v>-2.9801639999999998</v>
      </c>
      <c r="T3353">
        <v>-0.2231059</v>
      </c>
      <c r="U3353">
        <v>-0.3885345</v>
      </c>
      <c r="V3353">
        <v>-0.19913159999999999</v>
      </c>
      <c r="W3353">
        <v>2.2209550000000002E-2</v>
      </c>
      <c r="X3353">
        <v>0.97972110000000001</v>
      </c>
      <c r="Y3353">
        <v>-0.1480648</v>
      </c>
      <c r="Z3353">
        <v>-7.7435639999999997E-3</v>
      </c>
      <c r="AA3353">
        <v>0.98894729999999997</v>
      </c>
      <c r="AB3353">
        <v>39</v>
      </c>
      <c r="AC3353">
        <v>-14.428599999999999</v>
      </c>
      <c r="AD3353">
        <v>-1.1095006056729999</v>
      </c>
      <c r="AE3353">
        <v>-1.93979999999999</v>
      </c>
      <c r="AF3353">
        <v>-2.2078902525011599</v>
      </c>
      <c r="AG3353">
        <v>-1.1095006056729999</v>
      </c>
      <c r="AH3353">
        <v>14.304958698544599</v>
      </c>
      <c r="AI3353">
        <v>94.383316857993805</v>
      </c>
      <c r="AJ3353">
        <v>98.774047460424399</v>
      </c>
      <c r="AK3353">
        <v>14.5168045494918</v>
      </c>
      <c r="AL3353">
        <v>88.727381941241703</v>
      </c>
      <c r="AM3353">
        <v>101.489053938274</v>
      </c>
      <c r="AN3353">
        <v>1.00000004600748</v>
      </c>
    </row>
    <row r="3354" spans="1:40" x14ac:dyDescent="0.25">
      <c r="A3354" t="str">
        <f>"20190305135655072"</f>
        <v>20190305135655072</v>
      </c>
      <c r="B3354" t="str">
        <f>"1551765415065967"</f>
        <v>1551765415065967</v>
      </c>
      <c r="C3354" t="s">
        <v>40</v>
      </c>
      <c r="D3354">
        <v>3.9181439999999998</v>
      </c>
      <c r="E3354">
        <v>0.51638850000000003</v>
      </c>
      <c r="F3354" t="s">
        <v>42</v>
      </c>
      <c r="G3354">
        <v>-394.51429999999999</v>
      </c>
      <c r="H3354" s="1">
        <v>-2.3597250000000001E-6</v>
      </c>
      <c r="I3354">
        <v>139.4804</v>
      </c>
      <c r="J3354">
        <v>-379.89280000000002</v>
      </c>
      <c r="K3354">
        <v>1.10949599999999</v>
      </c>
      <c r="L3354">
        <v>141.47980000000001</v>
      </c>
      <c r="M3354">
        <v>-0.99971520000000003</v>
      </c>
      <c r="N3354">
        <v>-1.416975E-2</v>
      </c>
      <c r="O3354">
        <v>1.9204809999999999E-2</v>
      </c>
      <c r="P3354">
        <v>-0.98305279999999995</v>
      </c>
      <c r="Q3354">
        <v>7.6643409999999999E-3</v>
      </c>
      <c r="R3354">
        <v>-0.1831631</v>
      </c>
      <c r="S3354">
        <v>-2.9795530000000001</v>
      </c>
      <c r="T3354">
        <v>-0.22004470000000001</v>
      </c>
      <c r="U3354">
        <v>-0.39503480000000002</v>
      </c>
      <c r="V3354">
        <v>-0.2020246</v>
      </c>
      <c r="W3354">
        <v>2.140914E-2</v>
      </c>
      <c r="X3354">
        <v>0.97914639999999997</v>
      </c>
      <c r="Y3354">
        <v>-0.14993429999999999</v>
      </c>
      <c r="Z3354">
        <v>-7.7135950000000002E-3</v>
      </c>
      <c r="AA3354">
        <v>0.98866589999999999</v>
      </c>
      <c r="AB3354">
        <v>39</v>
      </c>
      <c r="AC3354">
        <v>-14.6214999999999</v>
      </c>
      <c r="AD3354">
        <v>-1.1094983597250001</v>
      </c>
      <c r="AE3354">
        <v>-1.9994000000000001</v>
      </c>
      <c r="AF3354">
        <v>-2.2670484971206601</v>
      </c>
      <c r="AG3354">
        <v>-1.1094983597250001</v>
      </c>
      <c r="AH3354">
        <v>14.498451570272699</v>
      </c>
      <c r="AI3354">
        <v>94.323712540459297</v>
      </c>
      <c r="AJ3354">
        <v>98.887083759012199</v>
      </c>
      <c r="AK3354">
        <v>14.7165075148308</v>
      </c>
      <c r="AL3354">
        <v>88.773252886555298</v>
      </c>
      <c r="AM3354">
        <v>101.65808691504</v>
      </c>
      <c r="AN3354">
        <v>0.999999981456829</v>
      </c>
    </row>
    <row r="3355" spans="1:40" x14ac:dyDescent="0.25">
      <c r="A3355" t="str">
        <f>"20190305135655095"</f>
        <v>20190305135655095</v>
      </c>
      <c r="B3355" t="str">
        <f>"1551765415085484"</f>
        <v>1551765415085484</v>
      </c>
      <c r="C3355" t="s">
        <v>40</v>
      </c>
      <c r="D3355">
        <v>3.932626</v>
      </c>
      <c r="E3355">
        <v>0.51660660000000003</v>
      </c>
      <c r="F3355" t="s">
        <v>42</v>
      </c>
      <c r="G3355">
        <v>-394.81229999999999</v>
      </c>
      <c r="H3355" s="1">
        <v>-2.2354400000000001E-6</v>
      </c>
      <c r="I3355">
        <v>139.4605</v>
      </c>
      <c r="J3355">
        <v>-380.27839999999998</v>
      </c>
      <c r="K3355">
        <v>1.109502</v>
      </c>
      <c r="L3355">
        <v>141.48689999999999</v>
      </c>
      <c r="M3355">
        <v>-0.99972030000000001</v>
      </c>
      <c r="N3355">
        <v>-1.41677E-2</v>
      </c>
      <c r="O3355">
        <v>1.8933209999999999E-2</v>
      </c>
      <c r="P3355">
        <v>-0.98241319999999999</v>
      </c>
      <c r="Q3355">
        <v>7.396255E-3</v>
      </c>
      <c r="R3355">
        <v>-0.18657309999999999</v>
      </c>
      <c r="S3355">
        <v>-2.9783330000000001</v>
      </c>
      <c r="T3355">
        <v>-0.22148599999999999</v>
      </c>
      <c r="U3355">
        <v>-0.40309139999999999</v>
      </c>
      <c r="V3355">
        <v>-0.20515530000000001</v>
      </c>
      <c r="W3355">
        <v>2.1127380000000001E-2</v>
      </c>
      <c r="X3355">
        <v>0.97850139999999997</v>
      </c>
      <c r="Y3355">
        <v>-0.15233150000000001</v>
      </c>
      <c r="Z3355">
        <v>-7.8499429999999999E-3</v>
      </c>
      <c r="AA3355">
        <v>0.98829829999999996</v>
      </c>
      <c r="AB3355">
        <v>39</v>
      </c>
      <c r="AC3355">
        <v>-14.533899999999999</v>
      </c>
      <c r="AD3355">
        <v>-1.10950423544</v>
      </c>
      <c r="AE3355">
        <v>-2.02639999999999</v>
      </c>
      <c r="AF3355">
        <v>-2.2881574069033301</v>
      </c>
      <c r="AG3355">
        <v>-1.10950423544</v>
      </c>
      <c r="AH3355">
        <v>14.4105459267846</v>
      </c>
      <c r="AI3355">
        <v>94.348398402510696</v>
      </c>
      <c r="AJ3355">
        <v>99.022305417839405</v>
      </c>
      <c r="AK3355">
        <v>14.6331984841043</v>
      </c>
      <c r="AL3355">
        <v>88.789400252786805</v>
      </c>
      <c r="AM3355">
        <v>101.841271330529</v>
      </c>
      <c r="AN3355">
        <v>1.0000000265528499</v>
      </c>
    </row>
    <row r="3356" spans="1:40" x14ac:dyDescent="0.25">
      <c r="A3356" t="str">
        <f>"20190305135655116"</f>
        <v>20190305135655116</v>
      </c>
      <c r="B3356" t="str">
        <f>"1551765415105980"</f>
        <v>1551765415105980</v>
      </c>
      <c r="C3356" t="s">
        <v>40</v>
      </c>
      <c r="D3356">
        <v>3.9132790000000002</v>
      </c>
      <c r="E3356">
        <v>0.51695360000000001</v>
      </c>
      <c r="F3356" t="s">
        <v>42</v>
      </c>
      <c r="G3356">
        <v>-395.73250000000002</v>
      </c>
      <c r="H3356" s="1">
        <v>-1.8605550000000001E-6</v>
      </c>
      <c r="I3356">
        <v>139.34829999999999</v>
      </c>
      <c r="J3356">
        <v>-380.64929999999998</v>
      </c>
      <c r="K3356">
        <v>1.1095079999999999</v>
      </c>
      <c r="L3356">
        <v>141.49369999999999</v>
      </c>
      <c r="M3356">
        <v>-0.99972539999999999</v>
      </c>
      <c r="N3356">
        <v>-1.416571E-2</v>
      </c>
      <c r="O3356">
        <v>1.8673530000000001E-2</v>
      </c>
      <c r="P3356">
        <v>-0.98164700000000005</v>
      </c>
      <c r="Q3356">
        <v>8.0106109999999904E-3</v>
      </c>
      <c r="R3356">
        <v>-0.1905396</v>
      </c>
      <c r="S3356">
        <v>-2.9770509999999999</v>
      </c>
      <c r="T3356">
        <v>-0.21373239999999999</v>
      </c>
      <c r="U3356">
        <v>-0.411972</v>
      </c>
      <c r="V3356">
        <v>-0.2088535</v>
      </c>
      <c r="W3356">
        <v>2.1725680000000001E-2</v>
      </c>
      <c r="X3356">
        <v>0.97770559999999995</v>
      </c>
      <c r="Y3356">
        <v>-0.15505070000000001</v>
      </c>
      <c r="Z3356">
        <v>-7.7075310000000001E-3</v>
      </c>
      <c r="AA3356">
        <v>0.98787650000000005</v>
      </c>
      <c r="AB3356">
        <v>39</v>
      </c>
      <c r="AC3356">
        <v>-15.0832</v>
      </c>
      <c r="AD3356">
        <v>-1.109509860555</v>
      </c>
      <c r="AE3356">
        <v>-2.1453999999999902</v>
      </c>
      <c r="AF3356">
        <v>-2.4139080835467999</v>
      </c>
      <c r="AG3356">
        <v>-1.109509860555</v>
      </c>
      <c r="AH3356">
        <v>14.961154232143</v>
      </c>
      <c r="AI3356">
        <v>94.187299681926604</v>
      </c>
      <c r="AJ3356">
        <v>99.165402814054104</v>
      </c>
      <c r="AK3356">
        <v>15.195199910644501</v>
      </c>
      <c r="AL3356">
        <v>88.7551123022252</v>
      </c>
      <c r="AM3356">
        <v>102.058061529301</v>
      </c>
      <c r="AN3356">
        <v>1.0000000149525301</v>
      </c>
    </row>
    <row r="3357" spans="1:40" x14ac:dyDescent="0.25">
      <c r="A3357" t="str">
        <f>"20190305135655141"</f>
        <v>20190305135655141</v>
      </c>
      <c r="B3357" t="str">
        <f>"1551765415135260"</f>
        <v>1551765415135260</v>
      </c>
      <c r="C3357" t="s">
        <v>40</v>
      </c>
      <c r="D3357">
        <v>3.892293</v>
      </c>
      <c r="E3357">
        <v>0.51728549999999995</v>
      </c>
      <c r="F3357" t="s">
        <v>42</v>
      </c>
      <c r="G3357">
        <v>-396.47899999999998</v>
      </c>
      <c r="H3357" s="1">
        <v>-1.557152E-6</v>
      </c>
      <c r="I3357">
        <v>139.2533</v>
      </c>
      <c r="J3357">
        <v>-381.05919999999998</v>
      </c>
      <c r="K3357">
        <v>1.1095170000000001</v>
      </c>
      <c r="L3357">
        <v>141.50110000000001</v>
      </c>
      <c r="M3357">
        <v>-0.99973080000000003</v>
      </c>
      <c r="N3357">
        <v>-1.4163510000000001E-2</v>
      </c>
      <c r="O3357">
        <v>1.838006E-2</v>
      </c>
      <c r="P3357">
        <v>-0.98079039999999995</v>
      </c>
      <c r="Q3357">
        <v>8.8992310000000005E-3</v>
      </c>
      <c r="R3357">
        <v>-0.19486229999999999</v>
      </c>
      <c r="S3357">
        <v>-2.976013</v>
      </c>
      <c r="T3357">
        <v>-0.2085892</v>
      </c>
      <c r="U3357">
        <v>-0.42117310000000002</v>
      </c>
      <c r="V3357">
        <v>-0.2128729</v>
      </c>
      <c r="W3357">
        <v>2.2595219999999999E-2</v>
      </c>
      <c r="X3357">
        <v>0.97681859999999998</v>
      </c>
      <c r="Y3357">
        <v>-0.15781700000000001</v>
      </c>
      <c r="Z3357">
        <v>-7.6434459999999999E-3</v>
      </c>
      <c r="AA3357">
        <v>0.98743879999999995</v>
      </c>
      <c r="AB3357">
        <v>39</v>
      </c>
      <c r="AC3357">
        <v>-15.4198</v>
      </c>
      <c r="AD3357">
        <v>-1.1095185571520001</v>
      </c>
      <c r="AE3357">
        <v>-2.24780000000001</v>
      </c>
      <c r="AF3357">
        <v>-2.5180995431815698</v>
      </c>
      <c r="AG3357">
        <v>-1.1095185571520001</v>
      </c>
      <c r="AH3357">
        <v>15.2983183951289</v>
      </c>
      <c r="AI3357">
        <v>94.093255703676405</v>
      </c>
      <c r="AJ3357">
        <v>99.347059403461202</v>
      </c>
      <c r="AK3357">
        <v>15.543822002865801</v>
      </c>
      <c r="AL3357">
        <v>88.705279067585906</v>
      </c>
      <c r="AM3357">
        <v>102.293952673219</v>
      </c>
      <c r="AN3357">
        <v>0.99999999641360904</v>
      </c>
    </row>
    <row r="3358" spans="1:40" x14ac:dyDescent="0.25">
      <c r="A3358" t="str">
        <f>"20190305135655163"</f>
        <v>20190305135655163</v>
      </c>
      <c r="B3358" t="str">
        <f>"1551765415155755"</f>
        <v>1551765415155755</v>
      </c>
      <c r="C3358" t="s">
        <v>40</v>
      </c>
      <c r="D3358">
        <v>3.874927</v>
      </c>
      <c r="E3358">
        <v>0.51749750000000005</v>
      </c>
      <c r="F3358" t="s">
        <v>42</v>
      </c>
      <c r="G3358">
        <v>-397.06619999999998</v>
      </c>
      <c r="H3358" s="1">
        <v>-1.31814E-6</v>
      </c>
      <c r="I3358">
        <v>139.18090000000001</v>
      </c>
      <c r="J3358">
        <v>-381.4538</v>
      </c>
      <c r="K3358">
        <v>1.109534</v>
      </c>
      <c r="L3358">
        <v>141.50799999999899</v>
      </c>
      <c r="M3358">
        <v>-0.99973639999999997</v>
      </c>
      <c r="N3358">
        <v>-1.416131E-2</v>
      </c>
      <c r="O3358">
        <v>1.8074340000000001E-2</v>
      </c>
      <c r="P3358">
        <v>-0.97983330000000002</v>
      </c>
      <c r="Q3358">
        <v>9.1811159999999996E-3</v>
      </c>
      <c r="R3358">
        <v>-0.1996068</v>
      </c>
      <c r="S3358">
        <v>-2.974945</v>
      </c>
      <c r="T3358">
        <v>-0.20620859999999999</v>
      </c>
      <c r="U3358">
        <v>-0.43119809999999997</v>
      </c>
      <c r="V3358">
        <v>-0.21730179999999999</v>
      </c>
      <c r="W3358">
        <v>2.2851690000000001E-2</v>
      </c>
      <c r="X3358">
        <v>0.97583690000000001</v>
      </c>
      <c r="Y3358">
        <v>-0.1608262</v>
      </c>
      <c r="Z3358">
        <v>-7.6755469999999996E-3</v>
      </c>
      <c r="AA3358">
        <v>0.98695290000000002</v>
      </c>
      <c r="AB3358">
        <v>39</v>
      </c>
      <c r="AC3358">
        <v>-15.6123999999999</v>
      </c>
      <c r="AD3358">
        <v>-1.1095353181400001</v>
      </c>
      <c r="AE3358">
        <v>-2.32709999999997</v>
      </c>
      <c r="AF3358">
        <v>-2.59610498654656</v>
      </c>
      <c r="AG3358">
        <v>-1.1095353181400001</v>
      </c>
      <c r="AH3358">
        <v>15.491244554455699</v>
      </c>
      <c r="AI3358">
        <v>94.040565863882904</v>
      </c>
      <c r="AJ3358">
        <v>99.513526277705196</v>
      </c>
      <c r="AK3358">
        <v>15.7464118950739</v>
      </c>
      <c r="AL3358">
        <v>88.690580580790893</v>
      </c>
      <c r="AM3358">
        <v>102.553936171158</v>
      </c>
      <c r="AN3358">
        <v>0.99999996371035205</v>
      </c>
    </row>
    <row r="3359" spans="1:40" x14ac:dyDescent="0.25">
      <c r="A3359" t="str">
        <f>"20190305135655185"</f>
        <v>20190305135655185</v>
      </c>
      <c r="B3359" t="str">
        <f>"1551765415175276"</f>
        <v>1551765415175276</v>
      </c>
      <c r="C3359" t="s">
        <v>40</v>
      </c>
      <c r="D3359">
        <v>3.8979490000000001</v>
      </c>
      <c r="E3359">
        <v>0.51767559999999901</v>
      </c>
      <c r="F3359" t="s">
        <v>42</v>
      </c>
      <c r="G3359">
        <v>-397.48079999999999</v>
      </c>
      <c r="H3359" s="1">
        <v>-1.1514749999999899E-6</v>
      </c>
      <c r="I3359">
        <v>139.11760000000001</v>
      </c>
      <c r="J3359">
        <v>-381.83049999999997</v>
      </c>
      <c r="K3359">
        <v>1.1095710000000001</v>
      </c>
      <c r="L3359">
        <v>141.5145</v>
      </c>
      <c r="M3359">
        <v>-0.99974249999999998</v>
      </c>
      <c r="N3359">
        <v>-1.4159339999999999E-2</v>
      </c>
      <c r="O3359">
        <v>1.7736269999999998E-2</v>
      </c>
      <c r="P3359">
        <v>-0.97886399999999996</v>
      </c>
      <c r="Q3359">
        <v>1.071955E-2</v>
      </c>
      <c r="R3359">
        <v>-0.20423140000000001</v>
      </c>
      <c r="S3359">
        <v>-2.973328</v>
      </c>
      <c r="T3359">
        <v>-0.20584079999999999</v>
      </c>
      <c r="U3359">
        <v>-0.44345089999999998</v>
      </c>
      <c r="V3359">
        <v>-0.22158149999999999</v>
      </c>
      <c r="W3359">
        <v>2.435617E-2</v>
      </c>
      <c r="X3359">
        <v>0.97483770000000003</v>
      </c>
      <c r="Y3359">
        <v>-0.16453999999999999</v>
      </c>
      <c r="Z3359">
        <v>-7.8010680000000004E-3</v>
      </c>
      <c r="AA3359">
        <v>0.98633959999999998</v>
      </c>
      <c r="AB3359">
        <v>39</v>
      </c>
      <c r="AC3359">
        <v>-15.6503</v>
      </c>
      <c r="AD3359">
        <v>-1.1095721514750001</v>
      </c>
      <c r="AE3359">
        <v>-2.39689999999998</v>
      </c>
      <c r="AF3359">
        <v>-2.6610593858679601</v>
      </c>
      <c r="AG3359">
        <v>-1.1095721514750001</v>
      </c>
      <c r="AH3359">
        <v>15.529053529315799</v>
      </c>
      <c r="AI3359">
        <v>94.028396438535694</v>
      </c>
      <c r="AJ3359">
        <v>99.723764589299705</v>
      </c>
      <c r="AK3359">
        <v>15.794425944959199</v>
      </c>
      <c r="AL3359">
        <v>88.604356330290997</v>
      </c>
      <c r="AM3359">
        <v>102.80580170336999</v>
      </c>
      <c r="AN3359">
        <v>1.0000000627503001</v>
      </c>
    </row>
    <row r="3360" spans="1:40" x14ac:dyDescent="0.25">
      <c r="A3360" t="str">
        <f>"20190305135655206"</f>
        <v>20190305135655206</v>
      </c>
      <c r="B3360" t="str">
        <f>"1551765415195772"</f>
        <v>1551765415195772</v>
      </c>
      <c r="C3360" t="s">
        <v>40</v>
      </c>
      <c r="D3360">
        <v>3.8853080000000002</v>
      </c>
      <c r="E3360">
        <v>0.51808069999999995</v>
      </c>
      <c r="F3360" t="s">
        <v>42</v>
      </c>
      <c r="G3360">
        <v>-398.38780000000003</v>
      </c>
      <c r="H3360" s="1">
        <v>-7.8804239999999998E-7</v>
      </c>
      <c r="I3360">
        <v>138.97290000000001</v>
      </c>
      <c r="J3360">
        <v>-382.2011</v>
      </c>
      <c r="K3360">
        <v>1.1096330000000001</v>
      </c>
      <c r="L3360">
        <v>141.52070000000001</v>
      </c>
      <c r="M3360">
        <v>-0.99974969999999996</v>
      </c>
      <c r="N3360">
        <v>-1.415748E-2</v>
      </c>
      <c r="O3360">
        <v>1.732744E-2</v>
      </c>
      <c r="P3360">
        <v>-0.97803660000000003</v>
      </c>
      <c r="Q3360">
        <v>1.2184240000000001E-2</v>
      </c>
      <c r="R3360">
        <v>-0.20807700000000001</v>
      </c>
      <c r="S3360">
        <v>-2.9717709999999999</v>
      </c>
      <c r="T3360">
        <v>-0.19915060000000001</v>
      </c>
      <c r="U3360">
        <v>-0.4561615</v>
      </c>
      <c r="V3360">
        <v>-0.22501750000000001</v>
      </c>
      <c r="W3360">
        <v>2.5777169999999999E-2</v>
      </c>
      <c r="X3360">
        <v>0.97401369999999998</v>
      </c>
      <c r="Y3360">
        <v>-0.16835459999999999</v>
      </c>
      <c r="Z3360">
        <v>-7.7122469999999898E-3</v>
      </c>
      <c r="AA3360">
        <v>0.98569629999999997</v>
      </c>
      <c r="AB3360">
        <v>39</v>
      </c>
      <c r="AC3360">
        <v>-16.186699999999998</v>
      </c>
      <c r="AD3360">
        <v>-1.1096337880423901</v>
      </c>
      <c r="AE3360">
        <v>-2.5477999999999899</v>
      </c>
      <c r="AF3360">
        <v>-2.8150105374033498</v>
      </c>
      <c r="AG3360">
        <v>-1.1096337880423901</v>
      </c>
      <c r="AH3360">
        <v>16.066440782195102</v>
      </c>
      <c r="AI3360">
        <v>93.891778625591201</v>
      </c>
      <c r="AJ3360">
        <v>99.937952359466706</v>
      </c>
      <c r="AK3360">
        <v>16.348886533248699</v>
      </c>
      <c r="AL3360">
        <v>88.522913361189794</v>
      </c>
      <c r="AM3360">
        <v>103.00830533595099</v>
      </c>
      <c r="AN3360">
        <v>1.00000001279357</v>
      </c>
    </row>
    <row r="3361" spans="1:40" x14ac:dyDescent="0.25">
      <c r="A3361" t="str">
        <f>"20190305135655228"</f>
        <v>20190305135655228</v>
      </c>
      <c r="B3361" t="str">
        <f>"1551765415226028"</f>
        <v>1551765415226028</v>
      </c>
      <c r="C3361" t="s">
        <v>40</v>
      </c>
      <c r="D3361">
        <v>4.0265959999999996</v>
      </c>
      <c r="E3361">
        <v>0.51848539999999999</v>
      </c>
      <c r="F3361" t="s">
        <v>42</v>
      </c>
      <c r="G3361">
        <v>-399.01900000000001</v>
      </c>
      <c r="H3361" s="1">
        <v>-5.317551E-7</v>
      </c>
      <c r="I3361">
        <v>138.8912</v>
      </c>
      <c r="J3361">
        <v>-382.59109999999998</v>
      </c>
      <c r="K3361">
        <v>1.1097319999999999</v>
      </c>
      <c r="L3361">
        <v>141.52699999999999</v>
      </c>
      <c r="M3361">
        <v>-0.99975910000000001</v>
      </c>
      <c r="N3361">
        <v>-1.415582E-2</v>
      </c>
      <c r="O3361">
        <v>1.6779559999999999E-2</v>
      </c>
      <c r="P3361">
        <v>-0.97722799999999999</v>
      </c>
      <c r="Q3361">
        <v>1.3721830000000001E-2</v>
      </c>
      <c r="R3361">
        <v>-0.21174850000000001</v>
      </c>
      <c r="S3361">
        <v>-2.9709780000000001</v>
      </c>
      <c r="T3361">
        <v>-0.19602349999999999</v>
      </c>
      <c r="U3361">
        <v>-0.46450809999999998</v>
      </c>
      <c r="V3361">
        <v>-0.22814799999999999</v>
      </c>
      <c r="W3361">
        <v>2.725151E-2</v>
      </c>
      <c r="X3361">
        <v>0.97324500000000003</v>
      </c>
      <c r="Y3361">
        <v>-0.17056640000000001</v>
      </c>
      <c r="Z3361">
        <v>-7.6668919999999998E-3</v>
      </c>
      <c r="AA3361">
        <v>0.98531630000000003</v>
      </c>
      <c r="AB3361">
        <v>39</v>
      </c>
      <c r="AC3361">
        <v>-16.427900000000001</v>
      </c>
      <c r="AD3361">
        <v>-1.1097325317550999</v>
      </c>
      <c r="AE3361">
        <v>-2.6358000000000099</v>
      </c>
      <c r="AF3361">
        <v>-2.8982160513362198</v>
      </c>
      <c r="AG3361">
        <v>-1.1097325317550999</v>
      </c>
      <c r="AH3361">
        <v>16.308801613569901</v>
      </c>
      <c r="AI3361">
        <v>93.832823877016295</v>
      </c>
      <c r="AJ3361">
        <v>100.07676173452001</v>
      </c>
      <c r="AK3361">
        <v>16.601450919815399</v>
      </c>
      <c r="AL3361">
        <v>88.438410154599595</v>
      </c>
      <c r="AM3361">
        <v>103.193049557726</v>
      </c>
      <c r="AN3361">
        <v>0.99999999236313997</v>
      </c>
    </row>
    <row r="3362" spans="1:40" x14ac:dyDescent="0.25">
      <c r="A3362" t="str">
        <f>"20190305135655252"</f>
        <v>20190305135655252</v>
      </c>
      <c r="B3362" t="str">
        <f>"1551765415245548"</f>
        <v>1551765415245548</v>
      </c>
      <c r="C3362" t="s">
        <v>40</v>
      </c>
      <c r="D3362">
        <v>3.9414880000000001</v>
      </c>
      <c r="E3362">
        <v>0.51862379999999997</v>
      </c>
      <c r="F3362" t="s">
        <v>42</v>
      </c>
      <c r="G3362">
        <v>-399.69600000000003</v>
      </c>
      <c r="H3362" s="1">
        <v>-3.05394799999999E-7</v>
      </c>
      <c r="I3362">
        <v>138.8048</v>
      </c>
      <c r="J3362">
        <v>-382.98820000000001</v>
      </c>
      <c r="K3362">
        <v>1.109866</v>
      </c>
      <c r="L3362">
        <v>141.53299999999999</v>
      </c>
      <c r="M3362">
        <v>-0.99977119999999997</v>
      </c>
      <c r="N3362">
        <v>-1.4154740000000001E-2</v>
      </c>
      <c r="O3362">
        <v>1.6038150000000001E-2</v>
      </c>
      <c r="P3362">
        <v>-0.97641389999999995</v>
      </c>
      <c r="Q3362">
        <v>1.419692E-2</v>
      </c>
      <c r="R3362">
        <v>-0.21544140000000001</v>
      </c>
      <c r="S3362">
        <v>-2.9701840000000002</v>
      </c>
      <c r="T3362">
        <v>-0.19269990000000001</v>
      </c>
      <c r="U3362">
        <v>-0.47267150000000002</v>
      </c>
      <c r="V3362">
        <v>-0.2311146</v>
      </c>
      <c r="W3362">
        <v>2.7639509999999999E-2</v>
      </c>
      <c r="X3362">
        <v>0.97253389999999995</v>
      </c>
      <c r="Y3362">
        <v>-0.1725284</v>
      </c>
      <c r="Z3362">
        <v>-7.5940929999999997E-3</v>
      </c>
      <c r="AA3362">
        <v>0.9849753</v>
      </c>
      <c r="AB3362">
        <v>39</v>
      </c>
      <c r="AC3362">
        <v>-16.707799999999899</v>
      </c>
      <c r="AD3362">
        <v>-1.1098663053947999</v>
      </c>
      <c r="AE3362">
        <v>-2.7281999999999802</v>
      </c>
      <c r="AF3362">
        <v>-2.9830168238588999</v>
      </c>
      <c r="AG3362">
        <v>-1.1098663053947999</v>
      </c>
      <c r="AH3362">
        <v>16.590583260286</v>
      </c>
      <c r="AI3362">
        <v>93.767005469945005</v>
      </c>
      <c r="AJ3362">
        <v>100.192974009552</v>
      </c>
      <c r="AK3362">
        <v>16.893124207906499</v>
      </c>
      <c r="AL3362">
        <v>88.416171095782801</v>
      </c>
      <c r="AM3362">
        <v>103.36790299339199</v>
      </c>
      <c r="AN3362">
        <v>1.0000000437476999</v>
      </c>
    </row>
    <row r="3363" spans="1:40" x14ac:dyDescent="0.25">
      <c r="A3363" t="str">
        <f>"20190305135655273"</f>
        <v>20190305135655273</v>
      </c>
      <c r="B3363" t="str">
        <f>"1551765415266047"</f>
        <v>1551765415266047</v>
      </c>
      <c r="C3363" t="s">
        <v>40</v>
      </c>
      <c r="D3363">
        <v>3.9249839999999998</v>
      </c>
      <c r="E3363">
        <v>0.51888380000000001</v>
      </c>
      <c r="F3363" t="s">
        <v>73</v>
      </c>
      <c r="G3363">
        <v>-399.96640000000002</v>
      </c>
      <c r="H3363" s="1">
        <v>-4.9046980000000002E-6</v>
      </c>
      <c r="I3363">
        <v>138.7723</v>
      </c>
      <c r="J3363">
        <v>-383.36689999999999</v>
      </c>
      <c r="K3363">
        <v>1.1100239999999999</v>
      </c>
      <c r="L3363">
        <v>141.53819999999999</v>
      </c>
      <c r="M3363">
        <v>-0.99978540000000005</v>
      </c>
      <c r="N3363">
        <v>-1.415451E-2</v>
      </c>
      <c r="O3363">
        <v>1.5132700000000001E-2</v>
      </c>
      <c r="P3363">
        <v>-0.97558959999999995</v>
      </c>
      <c r="Q3363">
        <v>1.4260129999999999E-2</v>
      </c>
      <c r="R3363">
        <v>-0.21913969999999999</v>
      </c>
      <c r="S3363">
        <v>-2.9687809999999999</v>
      </c>
      <c r="T3363">
        <v>-0.19406999999999999</v>
      </c>
      <c r="U3363">
        <v>-0.48272710000000002</v>
      </c>
      <c r="V3363">
        <v>-0.2339292</v>
      </c>
      <c r="W3363">
        <v>2.7601379999999998E-2</v>
      </c>
      <c r="X3363">
        <v>0.9718618</v>
      </c>
      <c r="Y3363">
        <v>-0.17494899999999999</v>
      </c>
      <c r="Z3363">
        <v>-7.6923030000000002E-3</v>
      </c>
      <c r="AA3363">
        <v>0.98454739999999996</v>
      </c>
      <c r="AB3363">
        <v>39</v>
      </c>
      <c r="AC3363">
        <v>-16.599499999999999</v>
      </c>
      <c r="AD3363">
        <v>-1.1100289046980001</v>
      </c>
      <c r="AE3363">
        <v>-2.7658999999999798</v>
      </c>
      <c r="AF3363">
        <v>-3.0037344912904298</v>
      </c>
      <c r="AG3363">
        <v>-1.1100289046980001</v>
      </c>
      <c r="AH3363">
        <v>16.4840178452088</v>
      </c>
      <c r="AI3363">
        <v>93.790238563617393</v>
      </c>
      <c r="AJ3363">
        <v>100.327187039438</v>
      </c>
      <c r="AK3363">
        <v>16.792183580005201</v>
      </c>
      <c r="AL3363">
        <v>88.418356599851094</v>
      </c>
      <c r="AM3363">
        <v>103.533765010247</v>
      </c>
      <c r="AN3363">
        <v>1.0000000325448899</v>
      </c>
    </row>
    <row r="3364" spans="1:40" x14ac:dyDescent="0.25">
      <c r="A3364" t="str">
        <f>"20190305135655295"</f>
        <v>20190305135655295</v>
      </c>
      <c r="B3364" t="str">
        <f>"1551765415285565"</f>
        <v>1551765415285565</v>
      </c>
      <c r="C3364" t="s">
        <v>40</v>
      </c>
      <c r="D3364">
        <v>3.9099270000000002</v>
      </c>
      <c r="E3364">
        <v>0.51912170000000002</v>
      </c>
      <c r="F3364" t="s">
        <v>73</v>
      </c>
      <c r="G3364">
        <v>-400.10109999999997</v>
      </c>
      <c r="H3364" s="1">
        <v>-4.9779259999999997E-6</v>
      </c>
      <c r="I3364">
        <v>138.76560000000001</v>
      </c>
      <c r="J3364">
        <v>-383.74149999999997</v>
      </c>
      <c r="K3364">
        <v>1.110187</v>
      </c>
      <c r="L3364">
        <v>141.5428</v>
      </c>
      <c r="M3364">
        <v>-0.9998011</v>
      </c>
      <c r="N3364">
        <v>-1.415489E-2</v>
      </c>
      <c r="O3364">
        <v>1.4056890000000001E-2</v>
      </c>
      <c r="P3364">
        <v>-0.9746572</v>
      </c>
      <c r="Q3364">
        <v>1.369216E-2</v>
      </c>
      <c r="R3364">
        <v>-0.2232846</v>
      </c>
      <c r="S3364">
        <v>-2.9675289999999999</v>
      </c>
      <c r="T3364">
        <v>-0.1968452</v>
      </c>
      <c r="U3364">
        <v>-0.49166870000000001</v>
      </c>
      <c r="V3364">
        <v>-0.23702429999999999</v>
      </c>
      <c r="W3364">
        <v>2.6924989999999999E-2</v>
      </c>
      <c r="X3364">
        <v>0.97113050000000001</v>
      </c>
      <c r="Y3364">
        <v>-0.17682790000000001</v>
      </c>
      <c r="Z3364">
        <v>-7.8084039999999997E-3</v>
      </c>
      <c r="AA3364">
        <v>0.98421080000000005</v>
      </c>
      <c r="AB3364">
        <v>39</v>
      </c>
      <c r="AC3364">
        <v>-16.3596</v>
      </c>
      <c r="AD3364">
        <v>-1.1101919779260001</v>
      </c>
      <c r="AE3364">
        <v>-2.7771999999999899</v>
      </c>
      <c r="AF3364">
        <v>-2.9935140174520698</v>
      </c>
      <c r="AG3364">
        <v>-1.1101919779260001</v>
      </c>
      <c r="AH3364">
        <v>16.246218832105299</v>
      </c>
      <c r="AI3364">
        <v>93.844729697672193</v>
      </c>
      <c r="AJ3364">
        <v>100.440168272994</v>
      </c>
      <c r="AK3364">
        <v>16.556970699411998</v>
      </c>
      <c r="AL3364">
        <v>88.4571251918549</v>
      </c>
      <c r="AM3364">
        <v>103.716048802226</v>
      </c>
      <c r="AN3364">
        <v>0.99999996095361898</v>
      </c>
    </row>
    <row r="3365" spans="1:40" x14ac:dyDescent="0.25">
      <c r="A3365" t="str">
        <f>"20190305135655317"</f>
        <v>20190305135655317</v>
      </c>
      <c r="B3365" t="str">
        <f>"1551765415315820"</f>
        <v>1551765415315820</v>
      </c>
      <c r="C3365" t="s">
        <v>40</v>
      </c>
      <c r="D3365">
        <v>3.9687109999999999</v>
      </c>
      <c r="E3365">
        <v>0.51935799999999999</v>
      </c>
      <c r="F3365" t="s">
        <v>73</v>
      </c>
      <c r="G3365">
        <v>-400.06200000000001</v>
      </c>
      <c r="H3365" s="1">
        <v>-4.962159E-6</v>
      </c>
      <c r="I3365">
        <v>138.77789999999999</v>
      </c>
      <c r="J3365">
        <v>-384.12520000000001</v>
      </c>
      <c r="K3365">
        <v>1.1103620000000001</v>
      </c>
      <c r="L3365">
        <v>141.547</v>
      </c>
      <c r="M3365">
        <v>-0.99981880000000001</v>
      </c>
      <c r="N3365">
        <v>-1.415547E-2</v>
      </c>
      <c r="O3365">
        <v>1.2736630000000001E-2</v>
      </c>
      <c r="P3365">
        <v>-0.97365520000000005</v>
      </c>
      <c r="Q3365">
        <v>1.2677010000000001E-2</v>
      </c>
      <c r="R3365">
        <v>-0.2276735</v>
      </c>
      <c r="S3365">
        <v>-2.9657290000000001</v>
      </c>
      <c r="T3365">
        <v>-0.20174159999999999</v>
      </c>
      <c r="U3365">
        <v>-0.50244140000000004</v>
      </c>
      <c r="V3365">
        <v>-0.24012539999999999</v>
      </c>
      <c r="W3365">
        <v>2.5790520000000001E-2</v>
      </c>
      <c r="X3365">
        <v>0.97039920000000002</v>
      </c>
      <c r="Y3365">
        <v>-0.1790747</v>
      </c>
      <c r="Z3365">
        <v>-7.9996859999999902E-3</v>
      </c>
      <c r="AA3365">
        <v>0.98380299999999998</v>
      </c>
      <c r="AB3365">
        <v>39</v>
      </c>
      <c r="AC3365">
        <v>-15.9367999999999</v>
      </c>
      <c r="AD3365">
        <v>-1.110366962159</v>
      </c>
      <c r="AE3365">
        <v>-2.7690999999999999</v>
      </c>
      <c r="AF3365">
        <v>-2.9579387233038101</v>
      </c>
      <c r="AG3365">
        <v>-1.110366962159</v>
      </c>
      <c r="AH3365">
        <v>15.825662637522599</v>
      </c>
      <c r="AI3365">
        <v>93.945332908938298</v>
      </c>
      <c r="AJ3365">
        <v>100.586869839915</v>
      </c>
      <c r="AK3365">
        <v>16.137964995567199</v>
      </c>
      <c r="AL3365">
        <v>88.522148164126804</v>
      </c>
      <c r="AM3365">
        <v>103.89865786904799</v>
      </c>
      <c r="AN3365">
        <v>0.99999998300383497</v>
      </c>
    </row>
    <row r="3366" spans="1:40" x14ac:dyDescent="0.25">
      <c r="A3366" t="str">
        <f>"20190305135655342"</f>
        <v>20190305135655342</v>
      </c>
      <c r="B3366" t="str">
        <f>"1551765415335340"</f>
        <v>1551765415335340</v>
      </c>
      <c r="C3366" t="s">
        <v>40</v>
      </c>
      <c r="D3366">
        <v>3.9305650000000001</v>
      </c>
      <c r="E3366">
        <v>0.52724680000000002</v>
      </c>
      <c r="F3366" t="s">
        <v>73</v>
      </c>
      <c r="G3366">
        <v>-399.96890000000002</v>
      </c>
      <c r="H3366" s="1">
        <v>-4.9208030000000003E-6</v>
      </c>
      <c r="I3366">
        <v>138.80000000000001</v>
      </c>
      <c r="J3366">
        <v>-384.53250000000003</v>
      </c>
      <c r="K3366">
        <v>1.110587</v>
      </c>
      <c r="L3366">
        <v>141.55070000000001</v>
      </c>
      <c r="M3366">
        <v>-0.99983869999999997</v>
      </c>
      <c r="N3366">
        <v>-1.415669E-2</v>
      </c>
      <c r="O3366">
        <v>1.1062010000000001E-2</v>
      </c>
      <c r="P3366">
        <v>-0.97264700000000004</v>
      </c>
      <c r="Q3366">
        <v>1.0208790000000001E-2</v>
      </c>
      <c r="R3366">
        <v>-0.23206450000000001</v>
      </c>
      <c r="S3366">
        <v>-2.9637449999999999</v>
      </c>
      <c r="T3366">
        <v>-0.20770649999999999</v>
      </c>
      <c r="U3366">
        <v>-0.51385499999999995</v>
      </c>
      <c r="V3366">
        <v>-0.2428844</v>
      </c>
      <c r="W3366">
        <v>2.318491E-2</v>
      </c>
      <c r="X3366">
        <v>0.96977809999999998</v>
      </c>
      <c r="Y3366">
        <v>-0.18118380000000001</v>
      </c>
      <c r="Z3366">
        <v>-8.2017219999999998E-3</v>
      </c>
      <c r="AA3366">
        <v>0.98341509999999999</v>
      </c>
      <c r="AB3366">
        <v>39</v>
      </c>
      <c r="AC3366">
        <v>-15.4363999999999</v>
      </c>
      <c r="AD3366">
        <v>-1.110591920803</v>
      </c>
      <c r="AE3366">
        <v>-2.7506999999999899</v>
      </c>
      <c r="AF3366">
        <v>-2.90672344410034</v>
      </c>
      <c r="AG3366">
        <v>-1.110591920803</v>
      </c>
      <c r="AH3366">
        <v>15.328123369145301</v>
      </c>
      <c r="AI3366">
        <v>94.071781944998705</v>
      </c>
      <c r="AJ3366">
        <v>100.73769039361601</v>
      </c>
      <c r="AK3366">
        <v>15.6407743291301</v>
      </c>
      <c r="AL3366">
        <v>88.671483425521203</v>
      </c>
      <c r="AM3366">
        <v>104.060700526682</v>
      </c>
      <c r="AN3366">
        <v>0.999999967527338</v>
      </c>
    </row>
    <row r="3367" spans="1:40" x14ac:dyDescent="0.25">
      <c r="A3367" t="str">
        <f>"20190305135655364"</f>
        <v>20190305135655364</v>
      </c>
      <c r="B3367" t="str">
        <f>"1551765415355836"</f>
        <v>1551765415355836</v>
      </c>
      <c r="C3367" t="s">
        <v>40</v>
      </c>
      <c r="D3367">
        <v>3.9354089999999999</v>
      </c>
      <c r="E3367">
        <v>0.5261941</v>
      </c>
      <c r="F3367" t="s">
        <v>42</v>
      </c>
      <c r="G3367">
        <v>-398.19060000000002</v>
      </c>
      <c r="H3367" s="1">
        <v>-7.931024E-7</v>
      </c>
      <c r="I3367">
        <v>139.42150000000001</v>
      </c>
      <c r="J3367">
        <v>-384.92430000000002</v>
      </c>
      <c r="K3367">
        <v>1.11083</v>
      </c>
      <c r="L3367">
        <v>141.55330000000001</v>
      </c>
      <c r="M3367">
        <v>-0.99985769999999996</v>
      </c>
      <c r="N3367">
        <v>-1.4159089999999999E-2</v>
      </c>
      <c r="O3367">
        <v>9.1718359999999992E-3</v>
      </c>
      <c r="P3367">
        <v>-0.97178319999999996</v>
      </c>
      <c r="Q3367">
        <v>9.3610849999999999E-3</v>
      </c>
      <c r="R3367">
        <v>-0.23569019999999999</v>
      </c>
      <c r="S3367">
        <v>-2.9762569999999999</v>
      </c>
      <c r="T3367">
        <v>-0.24201120000000001</v>
      </c>
      <c r="U3367">
        <v>-0.4639587</v>
      </c>
      <c r="V3367">
        <v>-0.2446768</v>
      </c>
      <c r="W3367">
        <v>2.2196199999999999E-2</v>
      </c>
      <c r="X3367">
        <v>0.96935059999999995</v>
      </c>
      <c r="Y3367">
        <v>-0.16244620000000001</v>
      </c>
      <c r="Z3367">
        <v>-8.3248369999999999E-3</v>
      </c>
      <c r="AA3367">
        <v>0.98668230000000001</v>
      </c>
      <c r="AB3367">
        <v>39</v>
      </c>
      <c r="AC3367">
        <v>-13.266299999999999</v>
      </c>
      <c r="AD3367">
        <v>-1.1108307931024</v>
      </c>
      <c r="AE3367">
        <v>-2.1317999999999899</v>
      </c>
      <c r="AF3367">
        <v>-2.2381019204236501</v>
      </c>
      <c r="AG3367">
        <v>-1.1108307931024</v>
      </c>
      <c r="AH3367">
        <v>13.1562672976908</v>
      </c>
      <c r="AI3367">
        <v>94.758202054413402</v>
      </c>
      <c r="AJ3367">
        <v>99.654548638044602</v>
      </c>
      <c r="AK3367">
        <v>13.391430635499599</v>
      </c>
      <c r="AL3367">
        <v>88.728146965792206</v>
      </c>
      <c r="AM3367">
        <v>104.166297439205</v>
      </c>
      <c r="AN3367">
        <v>0.99999999673651996</v>
      </c>
    </row>
    <row r="3368" spans="1:40" x14ac:dyDescent="0.25">
      <c r="A3368" t="str">
        <f>"20190305135655396"</f>
        <v>20190305135655396</v>
      </c>
      <c r="B3368" t="str">
        <f>"1551765415385116"</f>
        <v>1551765415385116</v>
      </c>
      <c r="C3368" t="s">
        <v>40</v>
      </c>
      <c r="D3368">
        <v>3.9516909999999998</v>
      </c>
      <c r="E3368">
        <v>0.52573819999999905</v>
      </c>
      <c r="F3368" t="s">
        <v>42</v>
      </c>
      <c r="G3368">
        <v>-397.78449999999998</v>
      </c>
      <c r="H3368" s="1">
        <v>-9.5926429999999996E-7</v>
      </c>
      <c r="I3368">
        <v>139.46680000000001</v>
      </c>
      <c r="J3368">
        <v>-385.47620000000001</v>
      </c>
      <c r="K3368">
        <v>1.111208</v>
      </c>
      <c r="L3368">
        <v>141.55529999999999</v>
      </c>
      <c r="M3368">
        <v>-0.99988160000000004</v>
      </c>
      <c r="N3368">
        <v>-1.416472E-2</v>
      </c>
      <c r="O3368">
        <v>6.0233319999999898E-3</v>
      </c>
      <c r="P3368">
        <v>-0.97093180000000001</v>
      </c>
      <c r="Q3368">
        <v>1.2265430000000001E-2</v>
      </c>
      <c r="R3368">
        <v>-0.239042</v>
      </c>
      <c r="S3368">
        <v>-2.9725950000000001</v>
      </c>
      <c r="T3368">
        <v>-0.25676639999999901</v>
      </c>
      <c r="U3368">
        <v>-0.4822845</v>
      </c>
      <c r="V3368">
        <v>-0.24500040000000001</v>
      </c>
      <c r="W3368">
        <v>2.4898170000000001E-2</v>
      </c>
      <c r="X3368">
        <v>0.96920320000000004</v>
      </c>
      <c r="Y3368">
        <v>-0.16537650000000001</v>
      </c>
      <c r="Z3368">
        <v>-8.6958999999999995E-3</v>
      </c>
      <c r="AA3368">
        <v>0.98619219999999996</v>
      </c>
      <c r="AB3368">
        <v>39</v>
      </c>
      <c r="AC3368">
        <v>-12.3082999999999</v>
      </c>
      <c r="AD3368">
        <v>-1.1112089592643</v>
      </c>
      <c r="AE3368">
        <v>-2.0884999999999798</v>
      </c>
      <c r="AF3368">
        <v>-2.14560772567012</v>
      </c>
      <c r="AG3368">
        <v>-1.1112089592643</v>
      </c>
      <c r="AH3368">
        <v>12.198849088291199</v>
      </c>
      <c r="AI3368">
        <v>95.126518851895796</v>
      </c>
      <c r="AJ3368">
        <v>99.9754980436864</v>
      </c>
      <c r="AK3368">
        <v>12.435848862965001</v>
      </c>
      <c r="AL3368">
        <v>88.573292478213702</v>
      </c>
      <c r="AM3368">
        <v>104.186347633254</v>
      </c>
      <c r="AN3368">
        <v>0.99999997887987402</v>
      </c>
    </row>
    <row r="3369" spans="1:40" x14ac:dyDescent="0.25">
      <c r="A3369" t="str">
        <f>"20190305135655419"</f>
        <v>20190305135655419</v>
      </c>
      <c r="B3369" t="str">
        <f>"1551765415415373"</f>
        <v>1551765415415373</v>
      </c>
      <c r="C3369" t="s">
        <v>40</v>
      </c>
      <c r="D3369">
        <v>3.9028890000000001</v>
      </c>
      <c r="E3369">
        <v>0.52618160000000003</v>
      </c>
      <c r="F3369" t="s">
        <v>42</v>
      </c>
      <c r="G3369">
        <v>-398.26659999999998</v>
      </c>
      <c r="H3369" s="1">
        <v>-7.6146740000000005E-7</v>
      </c>
      <c r="I3369">
        <v>139.41579999999999</v>
      </c>
      <c r="J3369">
        <v>-385.85599999999999</v>
      </c>
      <c r="K3369">
        <v>1.1114710000000001</v>
      </c>
      <c r="L3369">
        <v>141.55539999999999</v>
      </c>
      <c r="M3369">
        <v>-0.99989340000000004</v>
      </c>
      <c r="N3369">
        <v>-1.416945E-2</v>
      </c>
      <c r="O3369">
        <v>3.554986E-3</v>
      </c>
      <c r="P3369">
        <v>-0.97060590000000002</v>
      </c>
      <c r="Q3369">
        <v>1.5390050000000001E-2</v>
      </c>
      <c r="R3369">
        <v>-0.2401827</v>
      </c>
      <c r="S3369">
        <v>-2.9707340000000002</v>
      </c>
      <c r="T3369">
        <v>-0.25809169999999998</v>
      </c>
      <c r="U3369">
        <v>-0.49691770000000002</v>
      </c>
      <c r="V3369">
        <v>-0.2437761</v>
      </c>
      <c r="W3369">
        <v>2.7894990000000001E-2</v>
      </c>
      <c r="X3369">
        <v>0.96943029999999997</v>
      </c>
      <c r="Y3369">
        <v>-0.16775770000000001</v>
      </c>
      <c r="Z3369">
        <v>-8.6791809999999994E-3</v>
      </c>
      <c r="AA3369">
        <v>0.9857901</v>
      </c>
      <c r="AB3369">
        <v>38</v>
      </c>
      <c r="AC3369">
        <v>-12.410599999999899</v>
      </c>
      <c r="AD3369">
        <v>-1.1114717614673999</v>
      </c>
      <c r="AE3369">
        <v>-2.1396000000000002</v>
      </c>
      <c r="AF3369">
        <v>-2.1668325803813202</v>
      </c>
      <c r="AG3369">
        <v>-1.1114717614673999</v>
      </c>
      <c r="AH3369">
        <v>12.3070528046619</v>
      </c>
      <c r="AI3369">
        <v>95.082725209068798</v>
      </c>
      <c r="AJ3369">
        <v>99.985402420430205</v>
      </c>
      <c r="AK3369">
        <v>12.545679800021899</v>
      </c>
      <c r="AL3369">
        <v>88.4015274735048</v>
      </c>
      <c r="AM3369">
        <v>104.115122999679</v>
      </c>
      <c r="AN3369">
        <v>1.0000000119782</v>
      </c>
    </row>
    <row r="3370" spans="1:40" x14ac:dyDescent="0.25">
      <c r="A3370" t="str">
        <f>"20190305135655441"</f>
        <v>20190305135655441</v>
      </c>
      <c r="B3370" t="str">
        <f>"1551765415435868"</f>
        <v>1551765415435868</v>
      </c>
      <c r="C3370" t="s">
        <v>40</v>
      </c>
      <c r="D3370">
        <v>3.9405420000000002</v>
      </c>
      <c r="E3370">
        <v>0.52615669999999903</v>
      </c>
      <c r="F3370" t="s">
        <v>42</v>
      </c>
      <c r="G3370">
        <v>-399.0428</v>
      </c>
      <c r="H3370" s="1">
        <v>-4.407077E-7</v>
      </c>
      <c r="I3370">
        <v>139.3468</v>
      </c>
      <c r="J3370">
        <v>-386.25049999999999</v>
      </c>
      <c r="K3370">
        <v>1.1117109999999999</v>
      </c>
      <c r="L3370">
        <v>141.55430000000001</v>
      </c>
      <c r="M3370">
        <v>-0.99989930000000005</v>
      </c>
      <c r="N3370">
        <v>-1.417392E-2</v>
      </c>
      <c r="O3370">
        <v>7.6986549999999996E-4</v>
      </c>
      <c r="P3370">
        <v>-0.97032940000000001</v>
      </c>
      <c r="Q3370">
        <v>1.8049840000000001E-2</v>
      </c>
      <c r="R3370">
        <v>-0.24111250000000001</v>
      </c>
      <c r="S3370">
        <v>-2.9716490000000002</v>
      </c>
      <c r="T3370">
        <v>-0.25047029999999998</v>
      </c>
      <c r="U3370">
        <v>-0.49768069999999998</v>
      </c>
      <c r="V3370">
        <v>-0.24203450000000001</v>
      </c>
      <c r="W3370">
        <v>3.0437840000000001E-2</v>
      </c>
      <c r="X3370">
        <v>0.96979009999999999</v>
      </c>
      <c r="Y3370">
        <v>-0.16526489999999999</v>
      </c>
      <c r="Z3370">
        <v>-8.1399160000000005E-3</v>
      </c>
      <c r="AA3370">
        <v>0.98621570000000003</v>
      </c>
      <c r="AB3370">
        <v>38</v>
      </c>
      <c r="AC3370">
        <v>-12.792299999999999</v>
      </c>
      <c r="AD3370">
        <v>-1.1117114407077</v>
      </c>
      <c r="AE3370">
        <v>-2.2075000000000098</v>
      </c>
      <c r="AF3370">
        <v>-2.20120496920046</v>
      </c>
      <c r="AG3370">
        <v>-1.1117114407077</v>
      </c>
      <c r="AH3370">
        <v>12.6974728404251</v>
      </c>
      <c r="AI3370">
        <v>94.930531844581495</v>
      </c>
      <c r="AJ3370">
        <v>99.834920578374593</v>
      </c>
      <c r="AK3370">
        <v>12.9347215732372</v>
      </c>
      <c r="AL3370">
        <v>88.255770832171606</v>
      </c>
      <c r="AM3370">
        <v>104.013274801178</v>
      </c>
      <c r="AN3370">
        <v>0.99999999967606201</v>
      </c>
    </row>
    <row r="3371" spans="1:40" x14ac:dyDescent="0.25">
      <c r="A3371" t="str">
        <f>"20190305135655464"</f>
        <v>20190305135655464</v>
      </c>
      <c r="B3371" t="str">
        <f>"1551765415455388"</f>
        <v>1551765415455388</v>
      </c>
      <c r="C3371" t="s">
        <v>40</v>
      </c>
      <c r="D3371">
        <v>3.851369</v>
      </c>
      <c r="E3371">
        <v>0.52640399999999998</v>
      </c>
      <c r="F3371" t="s">
        <v>42</v>
      </c>
      <c r="G3371">
        <v>-399.79349999999999</v>
      </c>
      <c r="H3371" s="1">
        <v>-1.4861799999999999E-7</v>
      </c>
      <c r="I3371">
        <v>139.26929999999999</v>
      </c>
      <c r="J3371">
        <v>-386.63130000000001</v>
      </c>
      <c r="K3371">
        <v>1.1119129999999999</v>
      </c>
      <c r="L3371">
        <v>141.5521</v>
      </c>
      <c r="M3371">
        <v>-0.99989729999999999</v>
      </c>
      <c r="N3371">
        <v>-1.417765E-2</v>
      </c>
      <c r="O3371">
        <v>-2.128872E-3</v>
      </c>
      <c r="P3371">
        <v>-0.96994599999999997</v>
      </c>
      <c r="Q3371">
        <v>1.7864129999999999E-2</v>
      </c>
      <c r="R3371">
        <v>-0.2426642</v>
      </c>
      <c r="S3371">
        <v>-2.9717099999999999</v>
      </c>
      <c r="T3371">
        <v>-0.2439395</v>
      </c>
      <c r="U3371">
        <v>-0.50137330000000002</v>
      </c>
      <c r="V3371">
        <v>-0.2407878</v>
      </c>
      <c r="W3371">
        <v>3.0145669999999999E-2</v>
      </c>
      <c r="X3371">
        <v>0.97010949999999996</v>
      </c>
      <c r="Y3371">
        <v>-0.16363920000000001</v>
      </c>
      <c r="Z3371">
        <v>-7.6853950000000002E-3</v>
      </c>
      <c r="AA3371">
        <v>0.98649030000000004</v>
      </c>
      <c r="AB3371">
        <v>38</v>
      </c>
      <c r="AC3371">
        <v>-13.162199999999901</v>
      </c>
      <c r="AD3371">
        <v>-1.1119131486179901</v>
      </c>
      <c r="AE3371">
        <v>-2.2827999999999999</v>
      </c>
      <c r="AF3371">
        <v>-2.2392575851926999</v>
      </c>
      <c r="AG3371">
        <v>-1.1119131486179901</v>
      </c>
      <c r="AH3371">
        <v>13.076435667986001</v>
      </c>
      <c r="AI3371">
        <v>94.790867639190395</v>
      </c>
      <c r="AJ3371">
        <v>99.717289807196494</v>
      </c>
      <c r="AK3371">
        <v>13.3132939260684</v>
      </c>
      <c r="AL3371">
        <v>88.272518598653306</v>
      </c>
      <c r="AM3371">
        <v>103.93950505486799</v>
      </c>
      <c r="AN3371">
        <v>0.99999998401941903</v>
      </c>
    </row>
    <row r="3372" spans="1:40" x14ac:dyDescent="0.25">
      <c r="A3372" t="str">
        <f>"20190305135655484"</f>
        <v>20190305135655484</v>
      </c>
      <c r="B3372" t="str">
        <f>"1551765415475162"</f>
        <v>1551765415475162</v>
      </c>
      <c r="C3372" t="s">
        <v>40</v>
      </c>
      <c r="D3372">
        <v>3.8399169999999998</v>
      </c>
      <c r="E3372">
        <v>0.52657209999999999</v>
      </c>
      <c r="F3372" t="s">
        <v>73</v>
      </c>
      <c r="G3372">
        <v>-400.2371</v>
      </c>
      <c r="H3372" s="1">
        <v>-5.2966679999999996E-6</v>
      </c>
      <c r="I3372">
        <v>139.24270000000001</v>
      </c>
      <c r="J3372">
        <v>-386.99720000000002</v>
      </c>
      <c r="K3372">
        <v>1.112098</v>
      </c>
      <c r="L3372">
        <v>141.5487</v>
      </c>
      <c r="M3372">
        <v>-0.99988650000000001</v>
      </c>
      <c r="N3372">
        <v>-1.418121E-2</v>
      </c>
      <c r="O3372">
        <v>-5.094538E-3</v>
      </c>
      <c r="P3372">
        <v>-0.96931339999999999</v>
      </c>
      <c r="Q3372">
        <v>1.6685789999999999E-2</v>
      </c>
      <c r="R3372">
        <v>-0.24526149999999999</v>
      </c>
      <c r="S3372">
        <v>-2.9712519999999998</v>
      </c>
      <c r="T3372">
        <v>-0.24282309999999999</v>
      </c>
      <c r="U3372">
        <v>-0.50433349999999999</v>
      </c>
      <c r="V3372">
        <v>-0.24051520000000001</v>
      </c>
      <c r="W3372">
        <v>2.886354E-2</v>
      </c>
      <c r="X3372">
        <v>0.97021619999999997</v>
      </c>
      <c r="Y3372">
        <v>-0.16171279999999999</v>
      </c>
      <c r="Z3372">
        <v>-7.3663159999999899E-3</v>
      </c>
      <c r="AA3372">
        <v>0.98681039999999998</v>
      </c>
      <c r="AB3372">
        <v>38</v>
      </c>
      <c r="AC3372">
        <v>-13.239899999999899</v>
      </c>
      <c r="AD3372">
        <v>-1.112103296668</v>
      </c>
      <c r="AE3372">
        <v>-2.3059999999999801</v>
      </c>
      <c r="AF3372">
        <v>-2.2232877931109698</v>
      </c>
      <c r="AG3372">
        <v>-1.112103296668</v>
      </c>
      <c r="AH3372">
        <v>13.1613528534577</v>
      </c>
      <c r="AI3372">
        <v>94.762726086694698</v>
      </c>
      <c r="AJ3372">
        <v>99.588198284585701</v>
      </c>
      <c r="AK3372">
        <v>13.3940655249508</v>
      </c>
      <c r="AL3372">
        <v>88.346011380443898</v>
      </c>
      <c r="AM3372">
        <v>103.922866543121</v>
      </c>
      <c r="AN3372">
        <v>1.0000000700574001</v>
      </c>
    </row>
    <row r="3373" spans="1:40" x14ac:dyDescent="0.25">
      <c r="A3373" t="str">
        <f>"20190305135655507"</f>
        <v>20190305135655507</v>
      </c>
      <c r="B3373" t="str">
        <f>"1551765415495658"</f>
        <v>1551765415495658</v>
      </c>
      <c r="C3373" t="s">
        <v>40</v>
      </c>
      <c r="D3373">
        <v>3.8253940000000002</v>
      </c>
      <c r="E3373">
        <v>0.5270705</v>
      </c>
      <c r="F3373" t="s">
        <v>73</v>
      </c>
      <c r="G3373">
        <v>-400.47669999999999</v>
      </c>
      <c r="H3373" s="1">
        <v>-5.3980109999999999E-6</v>
      </c>
      <c r="I3373">
        <v>139.2321</v>
      </c>
      <c r="J3373">
        <v>-387.37549999999999</v>
      </c>
      <c r="K3373">
        <v>1.1122860000000001</v>
      </c>
      <c r="L3373">
        <v>141.54390000000001</v>
      </c>
      <c r="M3373">
        <v>-0.9998648</v>
      </c>
      <c r="N3373">
        <v>-1.418502E-2</v>
      </c>
      <c r="O3373">
        <v>-8.3250909999999997E-3</v>
      </c>
      <c r="P3373">
        <v>-0.96834129999999996</v>
      </c>
      <c r="Q3373">
        <v>1.5311679999999999E-2</v>
      </c>
      <c r="R3373">
        <v>-0.24916060000000001</v>
      </c>
      <c r="S3373">
        <v>-2.9700319999999998</v>
      </c>
      <c r="T3373">
        <v>-0.24503710000000001</v>
      </c>
      <c r="U3373">
        <v>-0.51042180000000004</v>
      </c>
      <c r="V3373">
        <v>-0.24128810000000001</v>
      </c>
      <c r="W3373">
        <v>2.7377829999999999E-2</v>
      </c>
      <c r="X3373">
        <v>0.97006729999999997</v>
      </c>
      <c r="Y3373">
        <v>-0.16055839999999999</v>
      </c>
      <c r="Z3373">
        <v>-7.1500060000000004E-3</v>
      </c>
      <c r="AA3373">
        <v>0.98700049999999995</v>
      </c>
      <c r="AB3373">
        <v>38</v>
      </c>
      <c r="AC3373">
        <v>-13.1012</v>
      </c>
      <c r="AD3373">
        <v>-1.1122913980110001</v>
      </c>
      <c r="AE3373">
        <v>-2.3117999999999999</v>
      </c>
      <c r="AF3373">
        <v>-2.18734989155777</v>
      </c>
      <c r="AG3373">
        <v>-1.1122913980110001</v>
      </c>
      <c r="AH3373">
        <v>13.028917157478499</v>
      </c>
      <c r="AI3373">
        <v>94.812538494282094</v>
      </c>
      <c r="AJ3373">
        <v>99.530185292302605</v>
      </c>
      <c r="AK3373">
        <v>13.2579928344613</v>
      </c>
      <c r="AL3373">
        <v>88.431169908720094</v>
      </c>
      <c r="AM3373">
        <v>103.967919076743</v>
      </c>
      <c r="AN3373">
        <v>1.0000000296531999</v>
      </c>
    </row>
    <row r="3374" spans="1:40" x14ac:dyDescent="0.25">
      <c r="A3374" t="str">
        <f>"20190305135655531"</f>
        <v>20190305135655531</v>
      </c>
      <c r="B3374" t="str">
        <f>"1551765415525914"</f>
        <v>1551765415525914</v>
      </c>
      <c r="C3374" t="s">
        <v>40</v>
      </c>
      <c r="D3374">
        <v>3.9515889999999998</v>
      </c>
      <c r="E3374">
        <v>0.4910988</v>
      </c>
      <c r="F3374" t="s">
        <v>73</v>
      </c>
      <c r="G3374">
        <v>-400.82650000000001</v>
      </c>
      <c r="H3374" s="1">
        <v>-5.53721E-6</v>
      </c>
      <c r="I3374">
        <v>139.19799999999901</v>
      </c>
      <c r="J3374">
        <v>-387.7681</v>
      </c>
      <c r="K3374">
        <v>1.112468</v>
      </c>
      <c r="L3374">
        <v>141.53749999999999</v>
      </c>
      <c r="M3374">
        <v>-0.99982930000000003</v>
      </c>
      <c r="N3374">
        <v>-1.4188910000000001E-2</v>
      </c>
      <c r="O3374">
        <v>-1.183649E-2</v>
      </c>
      <c r="P3374">
        <v>-0.96717609999999998</v>
      </c>
      <c r="Q3374">
        <v>1.3656359999999999E-2</v>
      </c>
      <c r="R3374">
        <v>-0.25374059999999998</v>
      </c>
      <c r="S3374">
        <v>-2.96875</v>
      </c>
      <c r="T3374">
        <v>-0.2454916</v>
      </c>
      <c r="U3374">
        <v>-0.51776120000000003</v>
      </c>
      <c r="V3374">
        <v>-0.24247189999999999</v>
      </c>
      <c r="W3374">
        <v>2.5607950000000001E-2</v>
      </c>
      <c r="X3374">
        <v>0.96982040000000003</v>
      </c>
      <c r="Y3374">
        <v>-0.1595422</v>
      </c>
      <c r="Z3374">
        <v>-6.8756569999999899E-3</v>
      </c>
      <c r="AA3374">
        <v>0.98716720000000002</v>
      </c>
      <c r="AB3374">
        <v>38</v>
      </c>
      <c r="AC3374">
        <v>-13.058400000000001</v>
      </c>
      <c r="AD3374">
        <v>-1.1124735372100001</v>
      </c>
      <c r="AE3374">
        <v>-2.3395000000000099</v>
      </c>
      <c r="AF3374">
        <v>-2.1694989811790002</v>
      </c>
      <c r="AG3374">
        <v>-1.1124735372100001</v>
      </c>
      <c r="AH3374">
        <v>12.9938068299973</v>
      </c>
      <c r="AI3374">
        <v>94.826987378046098</v>
      </c>
      <c r="AJ3374">
        <v>99.478901287999904</v>
      </c>
      <c r="AK3374">
        <v>13.2205650081837</v>
      </c>
      <c r="AL3374">
        <v>88.532612134036199</v>
      </c>
      <c r="AM3374">
        <v>104.037177603454</v>
      </c>
      <c r="AN3374">
        <v>0.99999999882448598</v>
      </c>
    </row>
    <row r="3375" spans="1:40" x14ac:dyDescent="0.25">
      <c r="A3375" t="str">
        <f>"20190305135655554"</f>
        <v>20190305135655554</v>
      </c>
      <c r="B3375" t="str">
        <f>"1551765415545434"</f>
        <v>1551765415545434</v>
      </c>
      <c r="C3375" t="s">
        <v>40</v>
      </c>
      <c r="D3375">
        <v>3.7396569999999998</v>
      </c>
      <c r="E3375">
        <v>0.44077889999999997</v>
      </c>
      <c r="F3375" t="s">
        <v>73</v>
      </c>
      <c r="G3375">
        <v>-406.3494</v>
      </c>
      <c r="H3375" s="1">
        <v>-6.965091E-6</v>
      </c>
      <c r="I3375">
        <v>136.29920000000001</v>
      </c>
      <c r="J3375">
        <v>-388.16</v>
      </c>
      <c r="K3375">
        <v>1.112635</v>
      </c>
      <c r="L3375">
        <v>141.52959999999999</v>
      </c>
      <c r="M3375">
        <v>-0.99977930000000004</v>
      </c>
      <c r="N3375">
        <v>-1.4192990000000001E-2</v>
      </c>
      <c r="O3375">
        <v>-1.5494030000000001E-2</v>
      </c>
      <c r="P3375">
        <v>-0.96563399999999999</v>
      </c>
      <c r="Q3375">
        <v>1.198918E-2</v>
      </c>
      <c r="R3375">
        <v>-0.25962980000000002</v>
      </c>
      <c r="S3375">
        <v>-2.8904109999999998</v>
      </c>
      <c r="T3375">
        <v>-0.17305029999999999</v>
      </c>
      <c r="U3375">
        <v>-0.81484990000000002</v>
      </c>
      <c r="V3375">
        <v>-0.2448312</v>
      </c>
      <c r="W3375">
        <v>2.3819880000000002E-2</v>
      </c>
      <c r="X3375">
        <v>0.9692731</v>
      </c>
      <c r="Y3375">
        <v>-0.25587530000000003</v>
      </c>
      <c r="Z3375">
        <v>-8.6665130000000007E-3</v>
      </c>
      <c r="AA3375">
        <v>0.9666709</v>
      </c>
      <c r="AB3375">
        <v>38</v>
      </c>
      <c r="AC3375">
        <v>-18.1893999999999</v>
      </c>
      <c r="AD3375">
        <v>-1.112641965091</v>
      </c>
      <c r="AE3375">
        <v>-5.2303999999999702</v>
      </c>
      <c r="AF3375">
        <v>-4.9308755214667004</v>
      </c>
      <c r="AG3375">
        <v>-1.112641965091</v>
      </c>
      <c r="AH3375">
        <v>18.205346883996501</v>
      </c>
      <c r="AI3375">
        <v>93.376009880806905</v>
      </c>
      <c r="AJ3375">
        <v>105.154832570159</v>
      </c>
      <c r="AK3375">
        <v>18.894077397886399</v>
      </c>
      <c r="AL3375">
        <v>88.635092346094297</v>
      </c>
      <c r="AM3375">
        <v>104.175964360695</v>
      </c>
      <c r="AN3375">
        <v>1.00000002278013</v>
      </c>
    </row>
    <row r="3376" spans="1:40" x14ac:dyDescent="0.25">
      <c r="A3376" t="str">
        <f>"20190305135655598"</f>
        <v>20190305135655598</v>
      </c>
      <c r="B3376" t="str">
        <f>"1551765415585450"</f>
        <v>1551765415585450</v>
      </c>
      <c r="C3376" t="s">
        <v>40</v>
      </c>
      <c r="D3376">
        <v>3.6356670000000002</v>
      </c>
      <c r="E3376">
        <v>0.44603870000000001</v>
      </c>
      <c r="F3376" t="s">
        <v>41</v>
      </c>
      <c r="G3376">
        <v>-389.24220000000003</v>
      </c>
      <c r="H3376">
        <v>1.069183</v>
      </c>
      <c r="I3376">
        <v>141.05240000000001</v>
      </c>
      <c r="J3376">
        <v>-388.90069999999997</v>
      </c>
      <c r="K3376">
        <v>1.1129020000000001</v>
      </c>
      <c r="L3376">
        <v>141.5103</v>
      </c>
      <c r="M3376">
        <v>-0.99964129999999995</v>
      </c>
      <c r="N3376">
        <v>-1.419958E-2</v>
      </c>
      <c r="O3376">
        <v>-2.2709469999999999E-2</v>
      </c>
      <c r="P3376">
        <v>-0.96153650000000002</v>
      </c>
      <c r="Q3376">
        <v>8.9058499999999999E-3</v>
      </c>
      <c r="R3376">
        <v>-0.27453369999999999</v>
      </c>
      <c r="S3376">
        <v>-2.7786559999999998</v>
      </c>
      <c r="T3376">
        <v>-0.111564</v>
      </c>
      <c r="U3376">
        <v>-1.2255860000000001</v>
      </c>
      <c r="V3376">
        <v>-0.2528087</v>
      </c>
      <c r="W3376">
        <v>2.0485699999999999E-2</v>
      </c>
      <c r="X3376">
        <v>0.96729940000000003</v>
      </c>
      <c r="Y3376">
        <v>-0.38231870000000001</v>
      </c>
      <c r="Z3376">
        <v>-9.606669E-3</v>
      </c>
      <c r="AA3376">
        <v>0.92398060000000004</v>
      </c>
      <c r="AB3376">
        <v>38</v>
      </c>
      <c r="AC3376">
        <v>-0.34150000000005298</v>
      </c>
      <c r="AD3376">
        <v>-4.3719000000000001E-2</v>
      </c>
      <c r="AE3376">
        <v>-0.45789999999999498</v>
      </c>
      <c r="AF3376">
        <v>-0.44740503651529001</v>
      </c>
      <c r="AG3376">
        <v>-4.3719000000000001E-2</v>
      </c>
      <c r="AH3376">
        <v>0.349762804724289</v>
      </c>
      <c r="AI3376">
        <v>94.402188849121899</v>
      </c>
      <c r="AJ3376">
        <v>141.983170657409</v>
      </c>
      <c r="AK3376">
        <v>0.56957583975169601</v>
      </c>
      <c r="AL3376">
        <v>88.826173756527893</v>
      </c>
      <c r="AM3376">
        <v>104.646921250758</v>
      </c>
      <c r="AN3376">
        <v>1.00000001597026</v>
      </c>
    </row>
    <row r="3377" spans="1:40" x14ac:dyDescent="0.25">
      <c r="A3377" t="str">
        <f>"20190305135655619"</f>
        <v>20190305135655619</v>
      </c>
      <c r="B3377" t="str">
        <f>"1551765415615706"</f>
        <v>1551765415615706</v>
      </c>
      <c r="C3377" t="s">
        <v>40</v>
      </c>
      <c r="D3377">
        <v>3.7074120000000002</v>
      </c>
      <c r="E3377">
        <v>0.44820529999999997</v>
      </c>
      <c r="F3377" t="s">
        <v>43</v>
      </c>
      <c r="G3377">
        <v>-442.85039999999998</v>
      </c>
      <c r="H3377">
        <v>-0.05</v>
      </c>
      <c r="I3377">
        <v>117.5027</v>
      </c>
      <c r="J3377">
        <v>-389.27710000000002</v>
      </c>
      <c r="K3377">
        <v>1.1130169999999999</v>
      </c>
      <c r="L3377">
        <v>141.4983</v>
      </c>
      <c r="M3377">
        <v>-0.99954739999999997</v>
      </c>
      <c r="N3377">
        <v>-1.4202559999999999E-2</v>
      </c>
      <c r="O3377">
        <v>-2.652026E-2</v>
      </c>
      <c r="P3377">
        <v>-0.95892429999999995</v>
      </c>
      <c r="Q3377">
        <v>1.055412E-2</v>
      </c>
      <c r="R3377">
        <v>-0.28346569999999999</v>
      </c>
      <c r="S3377">
        <v>-2.7687379999999999</v>
      </c>
      <c r="T3377">
        <v>-5.9680940000000002E-2</v>
      </c>
      <c r="U3377">
        <v>-1.232086</v>
      </c>
      <c r="V3377">
        <v>-0.2581368</v>
      </c>
      <c r="W3377">
        <v>2.199694E-2</v>
      </c>
      <c r="X3377">
        <v>0.96585790000000005</v>
      </c>
      <c r="Y3377">
        <v>-0.3820558</v>
      </c>
      <c r="Z3377">
        <v>-6.5828390000000001E-3</v>
      </c>
      <c r="AA3377">
        <v>0.92411580000000004</v>
      </c>
      <c r="AB3377">
        <v>38</v>
      </c>
      <c r="AC3377">
        <v>-53.573299999999897</v>
      </c>
      <c r="AD3377">
        <v>-1.163017</v>
      </c>
      <c r="AE3377">
        <v>-23.9956</v>
      </c>
      <c r="AF3377">
        <v>-22.5573829256392</v>
      </c>
      <c r="AG3377">
        <v>-1.163017</v>
      </c>
      <c r="AH3377">
        <v>54.169623800521002</v>
      </c>
      <c r="AI3377">
        <v>91.135459743295499</v>
      </c>
      <c r="AJ3377">
        <v>112.607883068935</v>
      </c>
      <c r="AK3377">
        <v>58.690171883256397</v>
      </c>
      <c r="AL3377">
        <v>88.739566487360904</v>
      </c>
      <c r="AM3377">
        <v>104.96324058393201</v>
      </c>
      <c r="AN3377">
        <v>0.99999997793800599</v>
      </c>
    </row>
    <row r="3378" spans="1:40" x14ac:dyDescent="0.25">
      <c r="A3378" t="str">
        <f>"20190305135655643"</f>
        <v>20190305135655643</v>
      </c>
      <c r="B3378" t="str">
        <f>"1551765415635235"</f>
        <v>1551765415635235</v>
      </c>
      <c r="C3378" t="s">
        <v>40</v>
      </c>
      <c r="D3378">
        <v>3.715255</v>
      </c>
      <c r="E3378">
        <v>0.4493741</v>
      </c>
      <c r="F3378" t="s">
        <v>43</v>
      </c>
      <c r="G3378">
        <v>-445.31950000000001</v>
      </c>
      <c r="H3378">
        <v>-0.05</v>
      </c>
      <c r="I3378">
        <v>116.3219</v>
      </c>
      <c r="J3378">
        <v>-389.67180000000002</v>
      </c>
      <c r="K3378">
        <v>1.1131230000000001</v>
      </c>
      <c r="L3378">
        <v>141.48419999999999</v>
      </c>
      <c r="M3378">
        <v>-0.99943059999999995</v>
      </c>
      <c r="N3378">
        <v>-1.4205880000000001E-2</v>
      </c>
      <c r="O3378">
        <v>-3.0606209999999998E-2</v>
      </c>
      <c r="P3378">
        <v>-0.95612339999999996</v>
      </c>
      <c r="Q3378">
        <v>1.2224199999999999E-2</v>
      </c>
      <c r="R3378">
        <v>-0.29270960000000001</v>
      </c>
      <c r="S3378">
        <v>-2.7622990000000001</v>
      </c>
      <c r="T3378">
        <v>-5.7324529999999999E-2</v>
      </c>
      <c r="U3378">
        <v>-1.240936</v>
      </c>
      <c r="V3378">
        <v>-0.26353140000000003</v>
      </c>
      <c r="W3378">
        <v>2.352862E-2</v>
      </c>
      <c r="X3378">
        <v>0.96436379999999999</v>
      </c>
      <c r="Y3378">
        <v>-0.38155220000000001</v>
      </c>
      <c r="Z3378">
        <v>-6.4228599999999999E-3</v>
      </c>
      <c r="AA3378">
        <v>0.92432499999999995</v>
      </c>
      <c r="AB3378">
        <v>38</v>
      </c>
      <c r="AC3378">
        <v>-55.647699999999901</v>
      </c>
      <c r="AD3378">
        <v>-1.1631229999999999</v>
      </c>
      <c r="AE3378">
        <v>-25.162299999999899</v>
      </c>
      <c r="AF3378">
        <v>-23.438671035165999</v>
      </c>
      <c r="AG3378">
        <v>-1.1631229999999999</v>
      </c>
      <c r="AH3378">
        <v>56.371378534213498</v>
      </c>
      <c r="AI3378">
        <v>91.091465479599094</v>
      </c>
      <c r="AJ3378">
        <v>112.57706617999</v>
      </c>
      <c r="AK3378">
        <v>61.061088041857303</v>
      </c>
      <c r="AL3378">
        <v>88.651784917476803</v>
      </c>
      <c r="AM3378">
        <v>105.284041553496</v>
      </c>
      <c r="AN3378">
        <v>0.99999996674775105</v>
      </c>
    </row>
    <row r="3379" spans="1:40" x14ac:dyDescent="0.25">
      <c r="A3379" t="str">
        <f>"20190305135655664"</f>
        <v>20190305135655664</v>
      </c>
      <c r="B3379" t="str">
        <f>"1551765415655722"</f>
        <v>1551765415655722</v>
      </c>
      <c r="C3379" t="s">
        <v>40</v>
      </c>
      <c r="D3379">
        <v>3.6586970000000001</v>
      </c>
      <c r="E3379">
        <v>0.4506443</v>
      </c>
      <c r="F3379" t="s">
        <v>43</v>
      </c>
      <c r="G3379">
        <v>-446.65230000000003</v>
      </c>
      <c r="H3379">
        <v>-0.05</v>
      </c>
      <c r="I3379">
        <v>115.4436</v>
      </c>
      <c r="J3379">
        <v>-390.04520000000002</v>
      </c>
      <c r="K3379">
        <v>1.1132059999999999</v>
      </c>
      <c r="L3379">
        <v>141.4693</v>
      </c>
      <c r="M3379">
        <v>-0.99930189999999997</v>
      </c>
      <c r="N3379">
        <v>-1.420926E-2</v>
      </c>
      <c r="O3379">
        <v>-3.4553399999999998E-2</v>
      </c>
      <c r="P3379">
        <v>-0.95339569999999996</v>
      </c>
      <c r="Q3379">
        <v>1.339418E-2</v>
      </c>
      <c r="R3379">
        <v>-0.30142619999999998</v>
      </c>
      <c r="S3379">
        <v>-2.7532040000000002</v>
      </c>
      <c r="T3379">
        <v>-5.6200149999999997E-2</v>
      </c>
      <c r="U3379">
        <v>-1.25824</v>
      </c>
      <c r="V3379">
        <v>-0.26854070000000002</v>
      </c>
      <c r="W3379">
        <v>2.457115E-2</v>
      </c>
      <c r="X3379">
        <v>0.96295489999999995</v>
      </c>
      <c r="Y3379">
        <v>-0.38386049999999999</v>
      </c>
      <c r="Z3379">
        <v>-6.3871029999999999E-3</v>
      </c>
      <c r="AA3379">
        <v>0.92336910000000005</v>
      </c>
      <c r="AB3379">
        <v>38</v>
      </c>
      <c r="AC3379">
        <v>-56.607100000000003</v>
      </c>
      <c r="AD3379">
        <v>-1.163206</v>
      </c>
      <c r="AE3379">
        <v>-26.025700000000001</v>
      </c>
      <c r="AF3379">
        <v>-24.045608960471</v>
      </c>
      <c r="AG3379">
        <v>-1.163206</v>
      </c>
      <c r="AH3379">
        <v>57.452631257983903</v>
      </c>
      <c r="AI3379">
        <v>91.069963846887404</v>
      </c>
      <c r="AJ3379">
        <v>112.710738177434</v>
      </c>
      <c r="AK3379">
        <v>62.292448956066899</v>
      </c>
      <c r="AL3379">
        <v>88.592035100356895</v>
      </c>
      <c r="AM3379">
        <v>105.582272543305</v>
      </c>
      <c r="AN3379">
        <v>0.99999999420141095</v>
      </c>
    </row>
    <row r="3380" spans="1:40" x14ac:dyDescent="0.25">
      <c r="A3380" t="str">
        <f>"20190305135655686"</f>
        <v>20190305135655686</v>
      </c>
      <c r="B3380" t="str">
        <f>"1551765415675242"</f>
        <v>1551765415675242</v>
      </c>
      <c r="C3380" t="s">
        <v>40</v>
      </c>
      <c r="D3380">
        <v>3.7257159999999998</v>
      </c>
      <c r="E3380">
        <v>0.45124769999999997</v>
      </c>
      <c r="F3380" t="s">
        <v>67</v>
      </c>
      <c r="G3380">
        <v>-440.20710000000003</v>
      </c>
      <c r="H3380">
        <v>0.25628410000000001</v>
      </c>
      <c r="I3380">
        <v>118.1832</v>
      </c>
      <c r="J3380">
        <v>-390.4101</v>
      </c>
      <c r="K3380">
        <v>1.113275</v>
      </c>
      <c r="L3380">
        <v>141.45320000000001</v>
      </c>
      <c r="M3380">
        <v>-0.99915860000000001</v>
      </c>
      <c r="N3380">
        <v>-1.4212320000000001E-2</v>
      </c>
      <c r="O3380">
        <v>-3.847283E-2</v>
      </c>
      <c r="P3380">
        <v>-0.95094380000000001</v>
      </c>
      <c r="Q3380">
        <v>1.3231639999999999E-2</v>
      </c>
      <c r="R3380">
        <v>-0.3090813</v>
      </c>
      <c r="S3380">
        <v>-2.744507</v>
      </c>
      <c r="T3380">
        <v>-4.6883109999999999E-2</v>
      </c>
      <c r="U3380">
        <v>-1.2740479999999901</v>
      </c>
      <c r="V3380">
        <v>-0.27250750000000001</v>
      </c>
      <c r="W3380">
        <v>2.4301349999999999E-2</v>
      </c>
      <c r="X3380">
        <v>0.96184669999999906</v>
      </c>
      <c r="Y3380">
        <v>-0.3857563</v>
      </c>
      <c r="Z3380">
        <v>-5.9071699999999998E-3</v>
      </c>
      <c r="AA3380">
        <v>0.92258180000000001</v>
      </c>
      <c r="AB3380">
        <v>38</v>
      </c>
      <c r="AC3380">
        <v>-49.796999999999997</v>
      </c>
      <c r="AD3380">
        <v>-0.8569909</v>
      </c>
      <c r="AE3380">
        <v>-23.27</v>
      </c>
      <c r="AF3380">
        <v>-21.331558016058601</v>
      </c>
      <c r="AG3380">
        <v>-0.8569909</v>
      </c>
      <c r="AH3380">
        <v>50.643167458503498</v>
      </c>
      <c r="AI3380">
        <v>90.893463898299601</v>
      </c>
      <c r="AJ3380">
        <v>112.841456112247</v>
      </c>
      <c r="AK3380">
        <v>54.959077603478597</v>
      </c>
      <c r="AL3380">
        <v>88.607498104636093</v>
      </c>
      <c r="AM3380">
        <v>105.818326470578</v>
      </c>
      <c r="AN3380">
        <v>0.99999998373448096</v>
      </c>
    </row>
    <row r="3381" spans="1:40" x14ac:dyDescent="0.25">
      <c r="A3381" t="str">
        <f>"20190305135655709"</f>
        <v>20190305135655709</v>
      </c>
      <c r="B3381" t="str">
        <f>"1551765415695738"</f>
        <v>1551765415695738</v>
      </c>
      <c r="C3381" t="s">
        <v>40</v>
      </c>
      <c r="D3381">
        <v>3.7468140000000001</v>
      </c>
      <c r="E3381">
        <v>0.45176189999999999</v>
      </c>
      <c r="F3381" t="s">
        <v>43</v>
      </c>
      <c r="G3381">
        <v>-445.04599999999999</v>
      </c>
      <c r="H3381">
        <v>-0.05</v>
      </c>
      <c r="I3381">
        <v>115.68129999999999</v>
      </c>
      <c r="J3381">
        <v>-390.786</v>
      </c>
      <c r="K3381">
        <v>1.1133299999999999</v>
      </c>
      <c r="L3381">
        <v>141.43510000000001</v>
      </c>
      <c r="M3381">
        <v>-0.99899300000000002</v>
      </c>
      <c r="N3381">
        <v>-1.4215159999999999E-2</v>
      </c>
      <c r="O3381">
        <v>-4.255859E-2</v>
      </c>
      <c r="P3381">
        <v>-0.94841960000000003</v>
      </c>
      <c r="Q3381">
        <v>1.27048E-2</v>
      </c>
      <c r="R3381">
        <v>-0.31676379999999998</v>
      </c>
      <c r="S3381">
        <v>-2.7360530000000001</v>
      </c>
      <c r="T3381">
        <v>-5.8254479999999997E-2</v>
      </c>
      <c r="U3381">
        <v>-1.2906040000000001</v>
      </c>
      <c r="V3381">
        <v>-0.27635290000000001</v>
      </c>
      <c r="W3381">
        <v>2.3674480000000001E-2</v>
      </c>
      <c r="X3381">
        <v>0.96076459999999997</v>
      </c>
      <c r="Y3381">
        <v>-0.38761180000000001</v>
      </c>
      <c r="Z3381">
        <v>-6.5307430000000003E-3</v>
      </c>
      <c r="AA3381">
        <v>0.92179949999999999</v>
      </c>
      <c r="AB3381">
        <v>38</v>
      </c>
      <c r="AC3381">
        <v>-54.259999999999899</v>
      </c>
      <c r="AD3381">
        <v>-1.16333</v>
      </c>
      <c r="AE3381">
        <v>-25.753799999999998</v>
      </c>
      <c r="AF3381">
        <v>-23.412216357874701</v>
      </c>
      <c r="AG3381">
        <v>-1.16333</v>
      </c>
      <c r="AH3381">
        <v>55.286244117738804</v>
      </c>
      <c r="AI3381">
        <v>91.110034855062395</v>
      </c>
      <c r="AJ3381">
        <v>112.951332477536</v>
      </c>
      <c r="AK3381">
        <v>60.050428808819099</v>
      </c>
      <c r="AL3381">
        <v>88.643425486900796</v>
      </c>
      <c r="AM3381">
        <v>106.047273301575</v>
      </c>
      <c r="AN3381">
        <v>1.0000000114774199</v>
      </c>
    </row>
    <row r="3382" spans="1:40" x14ac:dyDescent="0.25">
      <c r="A3382" t="str">
        <f>"20190305135655732"</f>
        <v>20190305135655732</v>
      </c>
      <c r="B3382" t="str">
        <f>"1551765415725993"</f>
        <v>1551765415725993</v>
      </c>
      <c r="C3382" t="s">
        <v>40</v>
      </c>
      <c r="D3382">
        <v>3.7070799999999999</v>
      </c>
      <c r="E3382">
        <v>0.45397140000000002</v>
      </c>
      <c r="F3382" t="s">
        <v>73</v>
      </c>
      <c r="G3382">
        <v>-434.31610000000001</v>
      </c>
      <c r="H3382">
        <v>7.9989539999999998E-2</v>
      </c>
      <c r="I3382">
        <v>120.5539</v>
      </c>
      <c r="J3382">
        <v>-391.18009999999998</v>
      </c>
      <c r="K3382">
        <v>1.1133740000000001</v>
      </c>
      <c r="L3382">
        <v>141.4143</v>
      </c>
      <c r="M3382">
        <v>-0.99879929999999995</v>
      </c>
      <c r="N3382">
        <v>-1.4217189999999999E-2</v>
      </c>
      <c r="O3382">
        <v>-4.6883759999999997E-2</v>
      </c>
      <c r="P3382">
        <v>-0.94607580000000002</v>
      </c>
      <c r="Q3382">
        <v>1.1407479999999999E-2</v>
      </c>
      <c r="R3382">
        <v>-0.3237449</v>
      </c>
      <c r="S3382">
        <v>-2.7270810000000001</v>
      </c>
      <c r="T3382">
        <v>-6.4736840000000004E-2</v>
      </c>
      <c r="U3382">
        <v>-1.3081670000000001</v>
      </c>
      <c r="V3382">
        <v>-0.27926269999999997</v>
      </c>
      <c r="W3382">
        <v>2.2298220000000001E-2</v>
      </c>
      <c r="X3382">
        <v>0.95995580000000003</v>
      </c>
      <c r="Y3382">
        <v>-0.38960400000000001</v>
      </c>
      <c r="Z3382">
        <v>-6.8800479999999997E-3</v>
      </c>
      <c r="AA3382">
        <v>0.92095680000000002</v>
      </c>
      <c r="AB3382">
        <v>38</v>
      </c>
      <c r="AC3382">
        <v>-43.136000000000003</v>
      </c>
      <c r="AD3382">
        <v>-1.0333844599999999</v>
      </c>
      <c r="AE3382">
        <v>-20.860399999999998</v>
      </c>
      <c r="AF3382">
        <v>-18.806126899122798</v>
      </c>
      <c r="AG3382">
        <v>-1.0333844599999999</v>
      </c>
      <c r="AH3382">
        <v>44.046181418223803</v>
      </c>
      <c r="AI3382">
        <v>91.236076675740406</v>
      </c>
      <c r="AJ3382">
        <v>113.120729986573</v>
      </c>
      <c r="AK3382">
        <v>47.904116628064102</v>
      </c>
      <c r="AL3382">
        <v>88.722300210113403</v>
      </c>
      <c r="AM3382">
        <v>106.220349477189</v>
      </c>
      <c r="AN3382">
        <v>1.0000000020900399</v>
      </c>
    </row>
    <row r="3383" spans="1:40" x14ac:dyDescent="0.25">
      <c r="A3383" t="str">
        <f>"20190305135655755"</f>
        <v>20190305135655755</v>
      </c>
      <c r="B3383" t="str">
        <f>"1551765415745514"</f>
        <v>1551765415745514</v>
      </c>
      <c r="C3383" t="s">
        <v>40</v>
      </c>
      <c r="D3383">
        <v>3.7426970000000002</v>
      </c>
      <c r="E3383">
        <v>0.45491470000000001</v>
      </c>
      <c r="F3383" t="s">
        <v>73</v>
      </c>
      <c r="G3383">
        <v>-429.95769999999999</v>
      </c>
      <c r="H3383">
        <v>4.5872959999999997E-2</v>
      </c>
      <c r="I3383">
        <v>122.7516</v>
      </c>
      <c r="J3383">
        <v>-391.56529999999998</v>
      </c>
      <c r="K3383">
        <v>1.113405</v>
      </c>
      <c r="L3383">
        <v>141.39230000000001</v>
      </c>
      <c r="M3383">
        <v>-0.99859050000000005</v>
      </c>
      <c r="N3383">
        <v>-1.421825E-2</v>
      </c>
      <c r="O3383">
        <v>-5.1135449999999999E-2</v>
      </c>
      <c r="P3383">
        <v>-0.94383280000000003</v>
      </c>
      <c r="Q3383">
        <v>1.112462E-2</v>
      </c>
      <c r="R3383">
        <v>-0.33023619999999998</v>
      </c>
      <c r="S3383">
        <v>-2.7233890000000001</v>
      </c>
      <c r="T3383">
        <v>-7.4971679999999999E-2</v>
      </c>
      <c r="U3383">
        <v>-1.3106990000000001</v>
      </c>
      <c r="V3383">
        <v>-0.2817692</v>
      </c>
      <c r="W3383">
        <v>2.195165E-2</v>
      </c>
      <c r="X3383">
        <v>0.9592311</v>
      </c>
      <c r="Y3383">
        <v>-0.38682719999999998</v>
      </c>
      <c r="Z3383">
        <v>-7.3022669999999899E-3</v>
      </c>
      <c r="AA3383">
        <v>0.92212329999999998</v>
      </c>
      <c r="AB3383">
        <v>38</v>
      </c>
      <c r="AC3383">
        <v>-38.392400000000002</v>
      </c>
      <c r="AD3383">
        <v>-1.0675320399999999</v>
      </c>
      <c r="AE3383">
        <v>-18.640699999999999</v>
      </c>
      <c r="AF3383">
        <v>-16.642484128171599</v>
      </c>
      <c r="AG3383">
        <v>-1.0675320399999999</v>
      </c>
      <c r="AH3383">
        <v>39.270888508898899</v>
      </c>
      <c r="AI3383">
        <v>91.433757333537201</v>
      </c>
      <c r="AJ3383">
        <v>112.96658960236201</v>
      </c>
      <c r="AK3383">
        <v>42.665144871326099</v>
      </c>
      <c r="AL3383">
        <v>88.742162105635401</v>
      </c>
      <c r="AM3383">
        <v>106.36987950827501</v>
      </c>
      <c r="AN3383">
        <v>1.00000003010678</v>
      </c>
    </row>
    <row r="3384" spans="1:40" x14ac:dyDescent="0.25">
      <c r="A3384" t="str">
        <f>"20190305135655777"</f>
        <v>20190305135655777</v>
      </c>
      <c r="B3384" t="str">
        <f>"1551765415766010"</f>
        <v>1551765415766010</v>
      </c>
      <c r="C3384" t="s">
        <v>40</v>
      </c>
      <c r="D3384">
        <v>3.9979469999999999</v>
      </c>
      <c r="E3384">
        <v>0.45546730000000002</v>
      </c>
      <c r="F3384" t="s">
        <v>73</v>
      </c>
      <c r="G3384">
        <v>-429.50240000000002</v>
      </c>
      <c r="H3384" s="1">
        <v>-4.3720629999999996E-6</v>
      </c>
      <c r="I3384">
        <v>122.9298</v>
      </c>
      <c r="J3384">
        <v>-391.93650000000002</v>
      </c>
      <c r="K3384">
        <v>1.113443</v>
      </c>
      <c r="L3384">
        <v>141.36959999999999</v>
      </c>
      <c r="M3384">
        <v>-0.99837180000000003</v>
      </c>
      <c r="N3384">
        <v>-1.421907E-2</v>
      </c>
      <c r="O3384">
        <v>-5.5243929999999997E-2</v>
      </c>
      <c r="P3384">
        <v>-0.94184480000000004</v>
      </c>
      <c r="Q3384">
        <v>1.158211E-2</v>
      </c>
      <c r="R3384">
        <v>-0.33584899999999901</v>
      </c>
      <c r="S3384">
        <v>-2.716888</v>
      </c>
      <c r="T3384">
        <v>-7.9737539999999996E-2</v>
      </c>
      <c r="U3384">
        <v>-1.3222050000000001</v>
      </c>
      <c r="V3384">
        <v>-0.28353889999999998</v>
      </c>
      <c r="W3384">
        <v>2.236496E-2</v>
      </c>
      <c r="X3384">
        <v>0.95869990000000005</v>
      </c>
      <c r="Y3384">
        <v>-0.3870381</v>
      </c>
      <c r="Z3384">
        <v>-7.4928869999999897E-3</v>
      </c>
      <c r="AA3384">
        <v>0.92203329999999994</v>
      </c>
      <c r="AB3384">
        <v>38</v>
      </c>
      <c r="AC3384">
        <v>-37.565899999999999</v>
      </c>
      <c r="AD3384">
        <v>-1.113447372063</v>
      </c>
      <c r="AE3384">
        <v>-18.439799999999899</v>
      </c>
      <c r="AF3384">
        <v>-16.3245803715145</v>
      </c>
      <c r="AG3384">
        <v>-1.113447372063</v>
      </c>
      <c r="AH3384">
        <v>38.500055103944597</v>
      </c>
      <c r="AI3384">
        <v>91.525198397759198</v>
      </c>
      <c r="AJ3384">
        <v>112.97764712311699</v>
      </c>
      <c r="AK3384">
        <v>41.832833185945702</v>
      </c>
      <c r="AL3384">
        <v>88.718475331669595</v>
      </c>
      <c r="AM3384">
        <v>106.475769876456</v>
      </c>
      <c r="AN3384">
        <v>0.99999999875450996</v>
      </c>
    </row>
    <row r="3385" spans="1:40" x14ac:dyDescent="0.25">
      <c r="A3385" t="str">
        <f>"20190305135655799"</f>
        <v>20190305135655799</v>
      </c>
      <c r="B3385" t="str">
        <f>"1551765415795290"</f>
        <v>1551765415795290</v>
      </c>
      <c r="C3385" t="s">
        <v>40</v>
      </c>
      <c r="D3385">
        <v>3.6827700000000001</v>
      </c>
      <c r="E3385">
        <v>0.47468050000000001</v>
      </c>
      <c r="F3385" t="s">
        <v>73</v>
      </c>
      <c r="G3385">
        <v>-429.95769999999999</v>
      </c>
      <c r="H3385">
        <v>5.3549740000000002E-3</v>
      </c>
      <c r="I3385">
        <v>122.65949999999999</v>
      </c>
      <c r="J3385">
        <v>-392.31060000000002</v>
      </c>
      <c r="K3385">
        <v>1.1134710000000001</v>
      </c>
      <c r="L3385">
        <v>141.34520000000001</v>
      </c>
      <c r="M3385">
        <v>-0.99813450000000004</v>
      </c>
      <c r="N3385">
        <v>-1.4219509999999999E-2</v>
      </c>
      <c r="O3385">
        <v>-5.9375480000000001E-2</v>
      </c>
      <c r="P3385">
        <v>-0.94011800000000001</v>
      </c>
      <c r="Q3385">
        <v>1.22769E-2</v>
      </c>
      <c r="R3385">
        <v>-0.340628599999999</v>
      </c>
      <c r="S3385">
        <v>-2.7106020000000002</v>
      </c>
      <c r="T3385">
        <v>-7.8997609999999996E-2</v>
      </c>
      <c r="U3385">
        <v>-1.3338779999999999</v>
      </c>
      <c r="V3385">
        <v>-0.28444930000000002</v>
      </c>
      <c r="W3385">
        <v>2.303666E-2</v>
      </c>
      <c r="X3385">
        <v>0.95841430000000005</v>
      </c>
      <c r="Y3385">
        <v>-0.38726820000000001</v>
      </c>
      <c r="Z3385">
        <v>-7.4119769999999897E-3</v>
      </c>
      <c r="AA3385">
        <v>0.92193729999999996</v>
      </c>
      <c r="AB3385">
        <v>38</v>
      </c>
      <c r="AC3385">
        <v>-37.647099999999902</v>
      </c>
      <c r="AD3385">
        <v>-1.10811602599999</v>
      </c>
      <c r="AE3385">
        <v>-18.685700000000001</v>
      </c>
      <c r="AF3385">
        <v>-16.405781835680401</v>
      </c>
      <c r="AG3385">
        <v>-1.10811602599999</v>
      </c>
      <c r="AH3385">
        <v>38.6633749346</v>
      </c>
      <c r="AI3385">
        <v>91.511322227623793</v>
      </c>
      <c r="AJ3385">
        <v>112.992657538391</v>
      </c>
      <c r="AK3385">
        <v>42.014689813212598</v>
      </c>
      <c r="AL3385">
        <v>88.679979878488396</v>
      </c>
      <c r="AM3385">
        <v>106.53044558209</v>
      </c>
      <c r="AN3385">
        <v>1.0000000312094599</v>
      </c>
    </row>
    <row r="3386" spans="1:40" x14ac:dyDescent="0.25">
      <c r="A3386" t="str">
        <f>"20190305135655820"</f>
        <v>20190305135655820</v>
      </c>
      <c r="B3386" t="str">
        <f>"1551765415815786"</f>
        <v>1551765415815786</v>
      </c>
      <c r="C3386" t="s">
        <v>40</v>
      </c>
      <c r="D3386">
        <v>3.6977259999999998</v>
      </c>
      <c r="E3386">
        <v>0.47190749999999998</v>
      </c>
      <c r="F3386" t="s">
        <v>73</v>
      </c>
      <c r="G3386">
        <v>-421.68060000000003</v>
      </c>
      <c r="H3386" s="1">
        <v>-5.5692930000000002E-6</v>
      </c>
      <c r="I3386">
        <v>128.55940000000001</v>
      </c>
      <c r="J3386">
        <v>-392.66989999999998</v>
      </c>
      <c r="K3386">
        <v>1.1134839999999999</v>
      </c>
      <c r="L3386">
        <v>141.3203</v>
      </c>
      <c r="M3386">
        <v>-0.99789229999999995</v>
      </c>
      <c r="N3386">
        <v>-1.421913E-2</v>
      </c>
      <c r="O3386">
        <v>-6.3316499999999998E-2</v>
      </c>
      <c r="P3386">
        <v>-0.9384131</v>
      </c>
      <c r="Q3386">
        <v>1.2854300000000001E-2</v>
      </c>
      <c r="R3386">
        <v>-0.34527729999999901</v>
      </c>
      <c r="S3386">
        <v>-2.7574770000000002</v>
      </c>
      <c r="T3386">
        <v>-0.1045415</v>
      </c>
      <c r="U3386">
        <v>-1.2004239999999999</v>
      </c>
      <c r="V3386">
        <v>-0.28541420000000001</v>
      </c>
      <c r="W3386">
        <v>2.3600599999999999E-2</v>
      </c>
      <c r="X3386">
        <v>0.95811360000000001</v>
      </c>
      <c r="Y3386">
        <v>-0.34001219999999999</v>
      </c>
      <c r="Z3386">
        <v>-7.2649259999999997E-3</v>
      </c>
      <c r="AA3386">
        <v>0.94039300000000003</v>
      </c>
      <c r="AB3386">
        <v>38</v>
      </c>
      <c r="AC3386">
        <v>-29.0107</v>
      </c>
      <c r="AD3386">
        <v>-1.113489569293</v>
      </c>
      <c r="AE3386">
        <v>-12.7608999999999</v>
      </c>
      <c r="AF3386">
        <v>-10.884812832706199</v>
      </c>
      <c r="AG3386">
        <v>-1.113489569293</v>
      </c>
      <c r="AH3386">
        <v>29.7238456223055</v>
      </c>
      <c r="AI3386">
        <v>92.014646669720193</v>
      </c>
      <c r="AJ3386">
        <v>110.112629582625</v>
      </c>
      <c r="AK3386">
        <v>31.673743195312799</v>
      </c>
      <c r="AL3386">
        <v>88.647659615440702</v>
      </c>
      <c r="AM3386">
        <v>106.588363466817</v>
      </c>
      <c r="AN3386">
        <v>0.99999996219347898</v>
      </c>
    </row>
    <row r="3387" spans="1:40" x14ac:dyDescent="0.25">
      <c r="A3387" t="str">
        <f>"20190305135655844"</f>
        <v>20190305135655844</v>
      </c>
      <c r="B3387" t="str">
        <f>"1551765415835306"</f>
        <v>1551765415835306</v>
      </c>
      <c r="C3387" t="s">
        <v>40</v>
      </c>
      <c r="D3387">
        <v>3.796055</v>
      </c>
      <c r="E3387">
        <v>0.47222259999999999</v>
      </c>
      <c r="F3387" t="s">
        <v>73</v>
      </c>
      <c r="G3387">
        <v>-422.95460000000003</v>
      </c>
      <c r="H3387" s="1">
        <v>-5.4099240000000003E-6</v>
      </c>
      <c r="I3387">
        <v>127.6923</v>
      </c>
      <c r="J3387">
        <v>-393.05840000000001</v>
      </c>
      <c r="K3387">
        <v>1.1134729999999999</v>
      </c>
      <c r="L3387">
        <v>141.29179999999999</v>
      </c>
      <c r="M3387">
        <v>-0.99761610000000001</v>
      </c>
      <c r="N3387">
        <v>-1.4217570000000001E-2</v>
      </c>
      <c r="O3387">
        <v>-6.7528610000000003E-2</v>
      </c>
      <c r="P3387">
        <v>-0.93669519999999995</v>
      </c>
      <c r="Q3387">
        <v>1.34287E-2</v>
      </c>
      <c r="R3387">
        <v>-0.34988859999999999</v>
      </c>
      <c r="S3387">
        <v>-2.7439580000000001</v>
      </c>
      <c r="T3387">
        <v>-0.1008884</v>
      </c>
      <c r="U3387">
        <v>-1.234772</v>
      </c>
      <c r="V3387">
        <v>-0.28608719999999999</v>
      </c>
      <c r="W3387">
        <v>2.417741E-2</v>
      </c>
      <c r="X3387">
        <v>0.95789849999999999</v>
      </c>
      <c r="Y3387">
        <v>-0.34756999999999999</v>
      </c>
      <c r="Z3387">
        <v>-7.241295E-3</v>
      </c>
      <c r="AA3387">
        <v>0.93762610000000002</v>
      </c>
      <c r="AB3387">
        <v>38</v>
      </c>
      <c r="AC3387">
        <v>-29.8962</v>
      </c>
      <c r="AD3387">
        <v>-1.113478409924</v>
      </c>
      <c r="AE3387">
        <v>-13.5994999999999</v>
      </c>
      <c r="AF3387">
        <v>-11.5361388651143</v>
      </c>
      <c r="AG3387">
        <v>-1.113478409924</v>
      </c>
      <c r="AH3387">
        <v>30.711093677909499</v>
      </c>
      <c r="AI3387">
        <v>91.943929026442802</v>
      </c>
      <c r="AJ3387">
        <v>110.58789853463701</v>
      </c>
      <c r="AK3387">
        <v>32.825197775152901</v>
      </c>
      <c r="AL3387">
        <v>88.614601432126307</v>
      </c>
      <c r="AM3387">
        <v>106.62884903427801</v>
      </c>
      <c r="AN3387">
        <v>0.99999998473019802</v>
      </c>
    </row>
    <row r="3388" spans="1:40" x14ac:dyDescent="0.25">
      <c r="A3388" t="str">
        <f>"20190305135655865"</f>
        <v>20190305135655865</v>
      </c>
      <c r="B3388" t="str">
        <f>"1551765415855802"</f>
        <v>1551765415855802</v>
      </c>
      <c r="C3388" t="s">
        <v>40</v>
      </c>
      <c r="D3388">
        <v>3.9553739999999999</v>
      </c>
      <c r="E3388">
        <v>0.47463650000000002</v>
      </c>
      <c r="F3388" t="s">
        <v>73</v>
      </c>
      <c r="G3388">
        <v>-423.02800000000002</v>
      </c>
      <c r="H3388" s="1">
        <v>-5.4101500000000002E-6</v>
      </c>
      <c r="I3388">
        <v>127.66079999999999</v>
      </c>
      <c r="J3388">
        <v>-393.42270000000002</v>
      </c>
      <c r="K3388">
        <v>1.113445</v>
      </c>
      <c r="L3388">
        <v>141.2636</v>
      </c>
      <c r="M3388">
        <v>-0.99734560000000005</v>
      </c>
      <c r="N3388">
        <v>-1.421505E-2</v>
      </c>
      <c r="O3388">
        <v>-7.1412589999999998E-2</v>
      </c>
      <c r="P3388">
        <v>-0.93520049999999999</v>
      </c>
      <c r="Q3388">
        <v>1.497889E-2</v>
      </c>
      <c r="R3388">
        <v>-0.3538018</v>
      </c>
      <c r="S3388">
        <v>-2.7388919999999999</v>
      </c>
      <c r="T3388">
        <v>-0.1017599</v>
      </c>
      <c r="U3388">
        <v>-1.2457279999999999</v>
      </c>
      <c r="V3388">
        <v>-0.28637699999999999</v>
      </c>
      <c r="W3388">
        <v>2.5747140000000002E-2</v>
      </c>
      <c r="X3388">
        <v>0.95777100000000004</v>
      </c>
      <c r="Y3388">
        <v>-0.34767730000000002</v>
      </c>
      <c r="Z3388">
        <v>-7.1974439999999999E-3</v>
      </c>
      <c r="AA3388">
        <v>0.9375867</v>
      </c>
      <c r="AB3388">
        <v>38</v>
      </c>
      <c r="AC3388">
        <v>-29.6053</v>
      </c>
      <c r="AD3388">
        <v>-1.11345041015</v>
      </c>
      <c r="AE3388">
        <v>-13.6028</v>
      </c>
      <c r="AF3388">
        <v>-11.440296939956699</v>
      </c>
      <c r="AG3388">
        <v>-1.11345041015</v>
      </c>
      <c r="AH3388">
        <v>30.465625799875699</v>
      </c>
      <c r="AI3388">
        <v>91.959607179453698</v>
      </c>
      <c r="AJ3388">
        <v>110.581906101538</v>
      </c>
      <c r="AK3388">
        <v>32.561856846136699</v>
      </c>
      <c r="AL3388">
        <v>88.524634498265598</v>
      </c>
      <c r="AM3388">
        <v>106.646855443983</v>
      </c>
      <c r="AN3388">
        <v>0.99999999489408897</v>
      </c>
    </row>
    <row r="3389" spans="1:40" x14ac:dyDescent="0.25">
      <c r="A3389" t="str">
        <f>"20190305135655913"</f>
        <v>20190305135655913</v>
      </c>
      <c r="B3389" t="str">
        <f>"1551765415905579"</f>
        <v>1551765415905579</v>
      </c>
      <c r="C3389" t="s">
        <v>40</v>
      </c>
      <c r="D3389">
        <v>3.93119</v>
      </c>
      <c r="E3389">
        <v>0.47641519999999998</v>
      </c>
      <c r="F3389" t="s">
        <v>73</v>
      </c>
      <c r="G3389">
        <v>-423.67529999999999</v>
      </c>
      <c r="H3389" s="1">
        <v>-5.5192999999999998E-6</v>
      </c>
      <c r="I3389">
        <v>127.5933</v>
      </c>
      <c r="J3389">
        <v>-394.19380000000001</v>
      </c>
      <c r="K3389">
        <v>1.1133219999999999</v>
      </c>
      <c r="L3389">
        <v>141.1995</v>
      </c>
      <c r="M3389">
        <v>-0.99674479999999999</v>
      </c>
      <c r="N3389">
        <v>-1.420709E-2</v>
      </c>
      <c r="O3389">
        <v>-7.9358910000000005E-2</v>
      </c>
      <c r="P3389">
        <v>-0.93217459999999996</v>
      </c>
      <c r="Q3389">
        <v>1.7411659999999999E-2</v>
      </c>
      <c r="R3389">
        <v>-0.36159039999999998</v>
      </c>
      <c r="S3389">
        <v>-2.7409059999999998</v>
      </c>
      <c r="T3389">
        <v>-0.1008792</v>
      </c>
      <c r="U3389">
        <v>-1.2385409999999999</v>
      </c>
      <c r="V3389">
        <v>-0.28675119999999998</v>
      </c>
      <c r="W3389">
        <v>2.8258680000000001E-2</v>
      </c>
      <c r="X3389">
        <v>0.9575882</v>
      </c>
      <c r="Y3389">
        <v>-0.33790110000000001</v>
      </c>
      <c r="Z3389">
        <v>-6.7511990000000003E-3</v>
      </c>
      <c r="AA3389">
        <v>0.94115740000000003</v>
      </c>
      <c r="AB3389">
        <v>38</v>
      </c>
      <c r="AC3389">
        <v>-29.481499999999901</v>
      </c>
      <c r="AD3389">
        <v>-1.1133275192999901</v>
      </c>
      <c r="AE3389">
        <v>-13.606199999999999</v>
      </c>
      <c r="AF3389">
        <v>-11.2102432420421</v>
      </c>
      <c r="AG3389">
        <v>-1.1133275192999901</v>
      </c>
      <c r="AH3389">
        <v>30.4326031700746</v>
      </c>
      <c r="AI3389">
        <v>91.966100993742401</v>
      </c>
      <c r="AJ3389">
        <v>110.221927806377</v>
      </c>
      <c r="AK3389">
        <v>32.450768672224399</v>
      </c>
      <c r="AL3389">
        <v>88.3806813052081</v>
      </c>
      <c r="AM3389">
        <v>106.670406760277</v>
      </c>
      <c r="AN3389">
        <v>0.99999998223801101</v>
      </c>
    </row>
    <row r="3390" spans="1:40" x14ac:dyDescent="0.25">
      <c r="A3390" t="str">
        <f>"20190305135655933"</f>
        <v>20190305135655933</v>
      </c>
      <c r="B3390" t="str">
        <f>"1551765415925098"</f>
        <v>1551765415925098</v>
      </c>
      <c r="C3390" t="s">
        <v>40</v>
      </c>
      <c r="D3390">
        <v>3.9150429999999998</v>
      </c>
      <c r="E3390">
        <v>0.47730689999999998</v>
      </c>
      <c r="F3390" t="s">
        <v>73</v>
      </c>
      <c r="G3390">
        <v>-425.60770000000002</v>
      </c>
      <c r="H3390" s="1">
        <v>-5.5676760000000003E-6</v>
      </c>
      <c r="I3390">
        <v>126.86669999999999</v>
      </c>
      <c r="J3390">
        <v>-394.55459999999999</v>
      </c>
      <c r="K3390">
        <v>1.113253</v>
      </c>
      <c r="L3390">
        <v>141.16749999999999</v>
      </c>
      <c r="M3390">
        <v>-0.99645280000000003</v>
      </c>
      <c r="N3390">
        <v>-1.42027E-2</v>
      </c>
      <c r="O3390">
        <v>-8.2945679999999994E-2</v>
      </c>
      <c r="P3390">
        <v>-0.93098029999999998</v>
      </c>
      <c r="Q3390">
        <v>1.7641939999999998E-2</v>
      </c>
      <c r="R3390">
        <v>-0.36464249999999998</v>
      </c>
      <c r="S3390">
        <v>-2.7358699999999998</v>
      </c>
      <c r="T3390">
        <v>-9.6961019999999995E-2</v>
      </c>
      <c r="U3390">
        <v>-1.2482599999999999</v>
      </c>
      <c r="V3390">
        <v>-0.28643980000000002</v>
      </c>
      <c r="W3390">
        <v>2.853847E-2</v>
      </c>
      <c r="X3390">
        <v>0.95767310000000005</v>
      </c>
      <c r="Y3390">
        <v>-0.3379511</v>
      </c>
      <c r="Z3390">
        <v>-6.5622519999999898E-3</v>
      </c>
      <c r="AA3390">
        <v>0.9411408</v>
      </c>
      <c r="AB3390">
        <v>38</v>
      </c>
      <c r="AC3390">
        <v>-31.053100000000001</v>
      </c>
      <c r="AD3390">
        <v>-1.1132585676760001</v>
      </c>
      <c r="AE3390">
        <v>-14.300799999999899</v>
      </c>
      <c r="AF3390">
        <v>-11.6631629844969</v>
      </c>
      <c r="AG3390">
        <v>-1.1132585676760001</v>
      </c>
      <c r="AH3390">
        <v>32.098345393778601</v>
      </c>
      <c r="AI3390">
        <v>91.867039959281499</v>
      </c>
      <c r="AJ3390">
        <v>109.968975343312</v>
      </c>
      <c r="AK3390">
        <v>34.169759912234497</v>
      </c>
      <c r="AL3390">
        <v>88.364644054881097</v>
      </c>
      <c r="AM3390">
        <v>106.65191176887301</v>
      </c>
      <c r="AN3390">
        <v>0.99999998487879505</v>
      </c>
    </row>
    <row r="3391" spans="1:40" x14ac:dyDescent="0.25">
      <c r="A3391" t="str">
        <f>"20190305135655955"</f>
        <v>20190305135655955</v>
      </c>
      <c r="B3391" t="str">
        <f>"1551765415945594"</f>
        <v>1551765415945594</v>
      </c>
      <c r="C3391" t="s">
        <v>40</v>
      </c>
      <c r="D3391">
        <v>3.6581800000000002</v>
      </c>
      <c r="E3391">
        <v>0.47673939999999998</v>
      </c>
      <c r="F3391" t="s">
        <v>73</v>
      </c>
      <c r="G3391">
        <v>-424.43389999999999</v>
      </c>
      <c r="H3391" s="1">
        <v>-5.6274929999999898E-6</v>
      </c>
      <c r="I3391">
        <v>127.50920000000001</v>
      </c>
      <c r="J3391">
        <v>-394.9248</v>
      </c>
      <c r="K3391">
        <v>1.1131869999999999</v>
      </c>
      <c r="L3391">
        <v>141.13329999999999</v>
      </c>
      <c r="M3391">
        <v>-0.99614579999999997</v>
      </c>
      <c r="N3391">
        <v>-1.4198550000000001E-2</v>
      </c>
      <c r="O3391">
        <v>-8.6556540000000001E-2</v>
      </c>
      <c r="P3391">
        <v>-0.92996939999999995</v>
      </c>
      <c r="Q3391">
        <v>1.6294059999999999E-2</v>
      </c>
      <c r="R3391">
        <v>-0.3672764</v>
      </c>
      <c r="S3391">
        <v>-2.7347410000000001</v>
      </c>
      <c r="T3391">
        <v>-0.10189239999999999</v>
      </c>
      <c r="U3391">
        <v>-1.250092</v>
      </c>
      <c r="V3391">
        <v>-0.28566000000000003</v>
      </c>
      <c r="W3391">
        <v>2.7243409999999999E-2</v>
      </c>
      <c r="X3391">
        <v>0.95794369999999995</v>
      </c>
      <c r="Y3391">
        <v>-0.3351905</v>
      </c>
      <c r="Z3391">
        <v>-6.5639380000000001E-3</v>
      </c>
      <c r="AA3391">
        <v>0.94212750000000001</v>
      </c>
      <c r="AB3391">
        <v>38</v>
      </c>
      <c r="AC3391">
        <v>-29.509099999999901</v>
      </c>
      <c r="AD3391">
        <v>-1.113192627493</v>
      </c>
      <c r="AE3391">
        <v>-13.624099999999901</v>
      </c>
      <c r="AF3391">
        <v>-11.0055846901225</v>
      </c>
      <c r="AG3391">
        <v>-1.113192627493</v>
      </c>
      <c r="AH3391">
        <v>30.5418753133055</v>
      </c>
      <c r="AI3391">
        <v>91.963889922461803</v>
      </c>
      <c r="AJ3391">
        <v>109.81632813982399</v>
      </c>
      <c r="AK3391">
        <v>32.483353272882198</v>
      </c>
      <c r="AL3391">
        <v>88.438874412353897</v>
      </c>
      <c r="AM3391">
        <v>106.604645828307</v>
      </c>
      <c r="AN3391">
        <v>0.99999998567905801</v>
      </c>
    </row>
    <row r="3392" spans="1:40" x14ac:dyDescent="0.25">
      <c r="A3392" t="str">
        <f>"20190305135655978"</f>
        <v>20190305135655978</v>
      </c>
      <c r="B3392" t="str">
        <f>"1551765415966090"</f>
        <v>1551765415966090</v>
      </c>
      <c r="C3392" t="s">
        <v>40</v>
      </c>
      <c r="D3392">
        <v>3.708386</v>
      </c>
      <c r="E3392">
        <v>0.47663240000000001</v>
      </c>
      <c r="F3392" t="s">
        <v>73</v>
      </c>
      <c r="G3392">
        <v>-423.6463</v>
      </c>
      <c r="H3392" s="1">
        <v>-5.6347219999999998E-6</v>
      </c>
      <c r="I3392">
        <v>127.8533</v>
      </c>
      <c r="J3392">
        <v>-395.30410000000001</v>
      </c>
      <c r="K3392">
        <v>1.113116</v>
      </c>
      <c r="L3392">
        <v>141.09700000000001</v>
      </c>
      <c r="M3392">
        <v>-0.99582539999999997</v>
      </c>
      <c r="N3392">
        <v>-1.419451E-2</v>
      </c>
      <c r="O3392">
        <v>-9.016863E-2</v>
      </c>
      <c r="P3392">
        <v>-0.92889270000000002</v>
      </c>
      <c r="Q3392">
        <v>1.487017E-2</v>
      </c>
      <c r="R3392">
        <v>-0.3700505</v>
      </c>
      <c r="S3392">
        <v>-2.7293699999999999</v>
      </c>
      <c r="T3392">
        <v>-0.10578510000000001</v>
      </c>
      <c r="U3392">
        <v>-1.261978</v>
      </c>
      <c r="V3392">
        <v>-0.28502539999999998</v>
      </c>
      <c r="W3392">
        <v>2.587298E-2</v>
      </c>
      <c r="X3392">
        <v>0.95817070000000004</v>
      </c>
      <c r="Y3392">
        <v>-0.335845</v>
      </c>
      <c r="Z3392">
        <v>-6.6123980000000002E-3</v>
      </c>
      <c r="AA3392">
        <v>0.94189409999999896</v>
      </c>
      <c r="AB3392">
        <v>38</v>
      </c>
      <c r="AC3392">
        <v>-28.342199999999899</v>
      </c>
      <c r="AD3392">
        <v>-1.1131216347220001</v>
      </c>
      <c r="AE3392">
        <v>-13.2437</v>
      </c>
      <c r="AF3392">
        <v>-10.620460449941101</v>
      </c>
      <c r="AG3392">
        <v>-1.1131216347220001</v>
      </c>
      <c r="AH3392">
        <v>29.3838106598275</v>
      </c>
      <c r="AI3392">
        <v>92.040382807456197</v>
      </c>
      <c r="AJ3392">
        <v>109.871841236319</v>
      </c>
      <c r="AK3392">
        <v>31.264061617695202</v>
      </c>
      <c r="AL3392">
        <v>88.517421987392197</v>
      </c>
      <c r="AM3392">
        <v>106.566072525861</v>
      </c>
      <c r="AN3392">
        <v>0.99999999003886497</v>
      </c>
    </row>
    <row r="3393" spans="1:40" x14ac:dyDescent="0.25">
      <c r="A3393" t="str">
        <f>"20190305135656002"</f>
        <v>20190305135656002</v>
      </c>
      <c r="B3393" t="str">
        <f>"1551765415995371"</f>
        <v>1551765415995371</v>
      </c>
      <c r="C3393" t="s">
        <v>40</v>
      </c>
      <c r="D3393">
        <v>3.709165</v>
      </c>
      <c r="E3393">
        <v>0.4761475</v>
      </c>
      <c r="F3393" t="s">
        <v>73</v>
      </c>
      <c r="G3393">
        <v>-422.08879999999999</v>
      </c>
      <c r="H3393" s="1">
        <v>-5.6789199999999997E-6</v>
      </c>
      <c r="I3393">
        <v>128.6129</v>
      </c>
      <c r="J3393">
        <v>-395.69549999999998</v>
      </c>
      <c r="K3393">
        <v>1.1130409999999999</v>
      </c>
      <c r="L3393">
        <v>141.0581</v>
      </c>
      <c r="M3393">
        <v>-0.99548879999999995</v>
      </c>
      <c r="N3393">
        <v>-1.418984E-2</v>
      </c>
      <c r="O3393">
        <v>-9.3813489999999999E-2</v>
      </c>
      <c r="P3393">
        <v>-0.92761490000000002</v>
      </c>
      <c r="Q3393">
        <v>1.3910169999999999E-2</v>
      </c>
      <c r="R3393">
        <v>-0.37327959999999999</v>
      </c>
      <c r="S3393">
        <v>-2.7254330000000002</v>
      </c>
      <c r="T3393">
        <v>-0.113264</v>
      </c>
      <c r="U3393">
        <v>-1.270294</v>
      </c>
      <c r="V3393">
        <v>-0.28483589999999998</v>
      </c>
      <c r="W3393">
        <v>2.4962519999999998E-2</v>
      </c>
      <c r="X3393">
        <v>0.95825119999999997</v>
      </c>
      <c r="Y3393">
        <v>-0.33524959999999998</v>
      </c>
      <c r="Z3393">
        <v>-6.7099179999999996E-3</v>
      </c>
      <c r="AA3393">
        <v>0.94210550000000004</v>
      </c>
      <c r="AB3393">
        <v>38</v>
      </c>
      <c r="AC3393">
        <v>-26.3933</v>
      </c>
      <c r="AD3393">
        <v>-1.11304667892</v>
      </c>
      <c r="AE3393">
        <v>-12.4452</v>
      </c>
      <c r="AF3393">
        <v>-9.8996030126039294</v>
      </c>
      <c r="AG3393">
        <v>-1.11304667892</v>
      </c>
      <c r="AH3393">
        <v>27.404649228205798</v>
      </c>
      <c r="AI3393">
        <v>92.187594021163093</v>
      </c>
      <c r="AJ3393">
        <v>109.861649946095</v>
      </c>
      <c r="AK3393">
        <v>29.159146284444098</v>
      </c>
      <c r="AL3393">
        <v>88.569604364066606</v>
      </c>
      <c r="AM3393">
        <v>106.554346935585</v>
      </c>
      <c r="AN3393">
        <v>0.99999998981750005</v>
      </c>
    </row>
    <row r="3394" spans="1:40" x14ac:dyDescent="0.25">
      <c r="A3394" t="str">
        <f>"20190305135656022"</f>
        <v>20190305135656022</v>
      </c>
      <c r="B3394" t="str">
        <f>"1551765416015869"</f>
        <v>1551765416015869</v>
      </c>
      <c r="C3394" t="s">
        <v>40</v>
      </c>
      <c r="D3394">
        <v>3.9822000000000002</v>
      </c>
      <c r="E3394">
        <v>0.47619030000000001</v>
      </c>
      <c r="F3394" t="s">
        <v>73</v>
      </c>
      <c r="G3394">
        <v>-420.9366</v>
      </c>
      <c r="H3394" s="1">
        <v>-5.7032330000000002E-6</v>
      </c>
      <c r="I3394">
        <v>129.15270000000001</v>
      </c>
      <c r="J3394">
        <v>-396.03440000000001</v>
      </c>
      <c r="K3394">
        <v>1.112967</v>
      </c>
      <c r="L3394">
        <v>141.02330000000001</v>
      </c>
      <c r="M3394">
        <v>-0.99519150000000001</v>
      </c>
      <c r="N3394">
        <v>-1.418558E-2</v>
      </c>
      <c r="O3394">
        <v>-9.6917450000000002E-2</v>
      </c>
      <c r="P3394">
        <v>-0.92635509999999999</v>
      </c>
      <c r="Q3394">
        <v>1.2789500000000001E-2</v>
      </c>
      <c r="R3394">
        <v>-0.37643450000000001</v>
      </c>
      <c r="S3394">
        <v>-2.7197269999999998</v>
      </c>
      <c r="T3394">
        <v>-0.1199306</v>
      </c>
      <c r="U3394">
        <v>-1.2828059999999999</v>
      </c>
      <c r="V3394">
        <v>-0.28509440000000003</v>
      </c>
      <c r="W3394">
        <v>2.387661E-2</v>
      </c>
      <c r="X3394">
        <v>0.958202</v>
      </c>
      <c r="Y3394">
        <v>-0.33659060000000002</v>
      </c>
      <c r="Z3394">
        <v>-6.8385299999999998E-3</v>
      </c>
      <c r="AA3394">
        <v>0.94162630000000003</v>
      </c>
      <c r="AB3394">
        <v>38</v>
      </c>
      <c r="AC3394">
        <v>-24.902200000000001</v>
      </c>
      <c r="AD3394">
        <v>-1.1129727032329999</v>
      </c>
      <c r="AE3394">
        <v>-11.8705999999999</v>
      </c>
      <c r="AF3394">
        <v>-9.3857299221792196</v>
      </c>
      <c r="AG3394">
        <v>-1.1129727032329999</v>
      </c>
      <c r="AH3394">
        <v>25.893385295917401</v>
      </c>
      <c r="AI3394">
        <v>92.314068115757394</v>
      </c>
      <c r="AJ3394">
        <v>109.924363682802</v>
      </c>
      <c r="AK3394">
        <v>27.564434267604099</v>
      </c>
      <c r="AL3394">
        <v>88.631840988552696</v>
      </c>
      <c r="AM3394">
        <v>106.56935144595801</v>
      </c>
      <c r="AN3394">
        <v>0.99999999111022597</v>
      </c>
    </row>
    <row r="3395" spans="1:40" x14ac:dyDescent="0.25">
      <c r="A3395" t="str">
        <f>"20190305135656044"</f>
        <v>20190305135656044</v>
      </c>
      <c r="B3395" t="str">
        <f>"1551765416035386"</f>
        <v>1551765416035386</v>
      </c>
      <c r="C3395" t="s">
        <v>40</v>
      </c>
      <c r="D3395">
        <v>4.1789239999999896</v>
      </c>
      <c r="E3395">
        <v>0.47632289999999999</v>
      </c>
      <c r="F3395" t="s">
        <v>73</v>
      </c>
      <c r="G3395">
        <v>-419.8082</v>
      </c>
      <c r="H3395" s="1">
        <v>-5.7768880000000002E-6</v>
      </c>
      <c r="I3395">
        <v>129.72040000000001</v>
      </c>
      <c r="J3395">
        <v>-396.39980000000003</v>
      </c>
      <c r="K3395">
        <v>1.112911</v>
      </c>
      <c r="L3395">
        <v>140.9846</v>
      </c>
      <c r="M3395">
        <v>-0.99486359999999996</v>
      </c>
      <c r="N3395">
        <v>-1.4181350000000001E-2</v>
      </c>
      <c r="O3395">
        <v>-0.1002275</v>
      </c>
      <c r="P3395">
        <v>-0.92485910000000005</v>
      </c>
      <c r="Q3395">
        <v>1.1067479999999999E-2</v>
      </c>
      <c r="R3395">
        <v>-0.38014969999999998</v>
      </c>
      <c r="S3395">
        <v>-2.7156370000000001</v>
      </c>
      <c r="T3395">
        <v>-0.12713289999999999</v>
      </c>
      <c r="U3395">
        <v>-1.291107</v>
      </c>
      <c r="V3395">
        <v>-0.28573179999999998</v>
      </c>
      <c r="W3395">
        <v>2.2183339999999999E-2</v>
      </c>
      <c r="X3395">
        <v>0.95805280000000004</v>
      </c>
      <c r="Y3395">
        <v>-0.33632499999999999</v>
      </c>
      <c r="Z3395">
        <v>-6.9142120000000003E-3</v>
      </c>
      <c r="AA3395">
        <v>0.94172060000000002</v>
      </c>
      <c r="AB3395">
        <v>38</v>
      </c>
      <c r="AC3395">
        <v>-23.408399999999901</v>
      </c>
      <c r="AD3395">
        <v>-1.1129167768879999</v>
      </c>
      <c r="AE3395">
        <v>-11.264199999999899</v>
      </c>
      <c r="AF3395">
        <v>-8.8448334510723896</v>
      </c>
      <c r="AG3395">
        <v>-1.1129167768879999</v>
      </c>
      <c r="AH3395">
        <v>24.3748630582133</v>
      </c>
      <c r="AI3395">
        <v>92.457628873349904</v>
      </c>
      <c r="AJ3395">
        <v>109.94416383266299</v>
      </c>
      <c r="AK3395">
        <v>25.953874694082501</v>
      </c>
      <c r="AL3395">
        <v>88.728883930444198</v>
      </c>
      <c r="AM3395">
        <v>106.60680233156801</v>
      </c>
      <c r="AN3395">
        <v>0.99999996484631704</v>
      </c>
    </row>
    <row r="3396" spans="1:40" x14ac:dyDescent="0.25">
      <c r="A3396" t="str">
        <f>"20190305135656067"</f>
        <v>20190305135656067</v>
      </c>
      <c r="B3396" t="str">
        <f>"1551765416055882"</f>
        <v>1551765416055882</v>
      </c>
      <c r="C3396" t="s">
        <v>40</v>
      </c>
      <c r="D3396">
        <v>3.9251469999999999</v>
      </c>
      <c r="E3396">
        <v>0.47630440000000002</v>
      </c>
      <c r="F3396" t="s">
        <v>73</v>
      </c>
      <c r="G3396">
        <v>-418.93029999999999</v>
      </c>
      <c r="H3396" s="1">
        <v>-6.0129560000000003E-6</v>
      </c>
      <c r="I3396">
        <v>130.17490000000001</v>
      </c>
      <c r="J3396">
        <v>-396.7747</v>
      </c>
      <c r="K3396">
        <v>1.112854</v>
      </c>
      <c r="L3396">
        <v>140.94370000000001</v>
      </c>
      <c r="M3396">
        <v>-0.99451869999999998</v>
      </c>
      <c r="N3396">
        <v>-1.4177449999999999E-2</v>
      </c>
      <c r="O3396">
        <v>-0.1035933</v>
      </c>
      <c r="P3396">
        <v>-0.92320769999999996</v>
      </c>
      <c r="Q3396">
        <v>9.3729980000000004E-3</v>
      </c>
      <c r="R3396">
        <v>-0.38418750000000002</v>
      </c>
      <c r="S3396">
        <v>-2.7107239999999999</v>
      </c>
      <c r="T3396">
        <v>-0.13389899999999999</v>
      </c>
      <c r="U3396">
        <v>-1.3005519999999999</v>
      </c>
      <c r="V3396">
        <v>-0.28665790000000002</v>
      </c>
      <c r="W3396">
        <v>2.050811E-2</v>
      </c>
      <c r="X3396">
        <v>0.95781349999999998</v>
      </c>
      <c r="Y3396">
        <v>-0.3364413</v>
      </c>
      <c r="Z3396">
        <v>-6.9737559999999898E-3</v>
      </c>
      <c r="AA3396">
        <v>0.94167860000000003</v>
      </c>
      <c r="AB3396">
        <v>37</v>
      </c>
      <c r="AC3396">
        <v>-22.1556</v>
      </c>
      <c r="AD3396">
        <v>-1.112860012956</v>
      </c>
      <c r="AE3396">
        <v>-10.768800000000001</v>
      </c>
      <c r="AF3396">
        <v>-8.3983073993006894</v>
      </c>
      <c r="AG3396">
        <v>-1.112860012956</v>
      </c>
      <c r="AH3396">
        <v>23.104907372737198</v>
      </c>
      <c r="AI3396">
        <v>92.591886274188795</v>
      </c>
      <c r="AJ3396">
        <v>109.975490619704</v>
      </c>
      <c r="AK3396">
        <v>24.60907900114</v>
      </c>
      <c r="AL3396">
        <v>88.824889490117997</v>
      </c>
      <c r="AM3396">
        <v>106.661580808003</v>
      </c>
      <c r="AN3396">
        <v>1.0000000174952099</v>
      </c>
    </row>
    <row r="3397" spans="1:40" x14ac:dyDescent="0.25">
      <c r="A3397" t="str">
        <f>"20190305135656089"</f>
        <v>20190305135656089</v>
      </c>
      <c r="B3397" t="str">
        <f>"1551765416086138"</f>
        <v>1551765416086138</v>
      </c>
      <c r="C3397" t="s">
        <v>40</v>
      </c>
      <c r="D3397">
        <v>3.715716</v>
      </c>
      <c r="E3397">
        <v>0.47572819999999999</v>
      </c>
      <c r="F3397" t="s">
        <v>73</v>
      </c>
      <c r="G3397">
        <v>-417.92169999999999</v>
      </c>
      <c r="H3397" s="1">
        <v>-6.2805939999999999E-6</v>
      </c>
      <c r="I3397">
        <v>130.6883</v>
      </c>
      <c r="J3397">
        <v>-397.1302</v>
      </c>
      <c r="K3397">
        <v>1.1128129999999901</v>
      </c>
      <c r="L3397">
        <v>140.90369999999999</v>
      </c>
      <c r="M3397">
        <v>-0.99418269999999997</v>
      </c>
      <c r="N3397">
        <v>-1.4174030000000001E-2</v>
      </c>
      <c r="O3397">
        <v>-0.1067698</v>
      </c>
      <c r="P3397">
        <v>-0.92144340000000002</v>
      </c>
      <c r="Q3397">
        <v>7.8560519999999901E-3</v>
      </c>
      <c r="R3397">
        <v>-0.3884338</v>
      </c>
      <c r="S3397">
        <v>-2.7050779999999999</v>
      </c>
      <c r="T3397">
        <v>-0.14235419999999999</v>
      </c>
      <c r="U3397">
        <v>-1.311844</v>
      </c>
      <c r="V3397">
        <v>-0.2879912</v>
      </c>
      <c r="W3397">
        <v>1.8996829999999999E-2</v>
      </c>
      <c r="X3397">
        <v>0.95744459999999998</v>
      </c>
      <c r="Y3397">
        <v>-0.3373466</v>
      </c>
      <c r="Z3397">
        <v>-7.0875570000000004E-3</v>
      </c>
      <c r="AA3397">
        <v>0.94135389999999997</v>
      </c>
      <c r="AB3397">
        <v>37</v>
      </c>
      <c r="AC3397">
        <v>-20.7914999999999</v>
      </c>
      <c r="AD3397">
        <v>-1.11281928059399</v>
      </c>
      <c r="AE3397">
        <v>-10.215399999999899</v>
      </c>
      <c r="AF3397">
        <v>-7.9185940700044002</v>
      </c>
      <c r="AG3397">
        <v>-1.11281928059399</v>
      </c>
      <c r="AH3397">
        <v>21.7133265674365</v>
      </c>
      <c r="AI3397">
        <v>92.756583590980597</v>
      </c>
      <c r="AJ3397">
        <v>110.036316181399</v>
      </c>
      <c r="AK3397">
        <v>23.1389509144411</v>
      </c>
      <c r="AL3397">
        <v>88.911496325639007</v>
      </c>
      <c r="AM3397">
        <v>106.74084045417401</v>
      </c>
      <c r="AN3397">
        <v>0.999999986448324</v>
      </c>
    </row>
    <row r="3398" spans="1:40" x14ac:dyDescent="0.25">
      <c r="A3398" t="str">
        <f>"20190305135656112"</f>
        <v>20190305135656112</v>
      </c>
      <c r="B3398" t="str">
        <f>"1551765416105658"</f>
        <v>1551765416105658</v>
      </c>
      <c r="C3398" t="s">
        <v>40</v>
      </c>
      <c r="D3398">
        <v>3.6706409999999998</v>
      </c>
      <c r="E3398">
        <v>0.47633900000000001</v>
      </c>
      <c r="F3398" t="s">
        <v>73</v>
      </c>
      <c r="G3398">
        <v>-417.50330000000002</v>
      </c>
      <c r="H3398" s="1">
        <v>-6.3791700000000003E-6</v>
      </c>
      <c r="I3398">
        <v>130.8707</v>
      </c>
      <c r="J3398">
        <v>-397.51069999999999</v>
      </c>
      <c r="K3398">
        <v>1.112784</v>
      </c>
      <c r="L3398">
        <v>140.8596</v>
      </c>
      <c r="M3398">
        <v>-0.99381220000000003</v>
      </c>
      <c r="N3398">
        <v>-1.417067E-2</v>
      </c>
      <c r="O3398">
        <v>-0.11016720000000001</v>
      </c>
      <c r="P3398">
        <v>-0.91923920000000003</v>
      </c>
      <c r="Q3398">
        <v>6.7950750000000002E-3</v>
      </c>
      <c r="R3398">
        <v>-0.39364159999999998</v>
      </c>
      <c r="S3398">
        <v>-2.6971129999999999</v>
      </c>
      <c r="T3398">
        <v>-0.147321799999999</v>
      </c>
      <c r="U3398">
        <v>-1.3282320000000001</v>
      </c>
      <c r="V3398">
        <v>-0.29012500000000002</v>
      </c>
      <c r="W3398">
        <v>1.7926029999999999E-2</v>
      </c>
      <c r="X3398">
        <v>0.95682080000000003</v>
      </c>
      <c r="Y3398">
        <v>-0.33980700000000003</v>
      </c>
      <c r="Z3398">
        <v>-7.1577719999999997E-3</v>
      </c>
      <c r="AA3398">
        <v>0.94046799999999997</v>
      </c>
      <c r="AB3398">
        <v>37</v>
      </c>
      <c r="AC3398">
        <v>-19.992599999999999</v>
      </c>
      <c r="AD3398">
        <v>-1.11279037917</v>
      </c>
      <c r="AE3398">
        <v>-9.9888999999999992</v>
      </c>
      <c r="AF3398">
        <v>-7.7062313464423502</v>
      </c>
      <c r="AG3398">
        <v>-1.11279037917</v>
      </c>
      <c r="AH3398">
        <v>20.919578176792399</v>
      </c>
      <c r="AI3398">
        <v>92.857531751743807</v>
      </c>
      <c r="AJ3398">
        <v>110.22249207587799</v>
      </c>
      <c r="AK3398">
        <v>22.321582719148601</v>
      </c>
      <c r="AL3398">
        <v>88.972859071289605</v>
      </c>
      <c r="AM3398">
        <v>106.868232153748</v>
      </c>
      <c r="AN3398">
        <v>0.99999995074459902</v>
      </c>
    </row>
    <row r="3399" spans="1:40" x14ac:dyDescent="0.25">
      <c r="A3399" t="str">
        <f>"20190305135656133"</f>
        <v>20190305135656133</v>
      </c>
      <c r="B3399" t="str">
        <f>"1551765416126154"</f>
        <v>1551765416126154</v>
      </c>
      <c r="C3399" t="s">
        <v>40</v>
      </c>
      <c r="D3399">
        <v>3.9437720000000001</v>
      </c>
      <c r="E3399">
        <v>0.50590919999999995</v>
      </c>
      <c r="F3399" t="s">
        <v>73</v>
      </c>
      <c r="G3399">
        <v>-417.8972</v>
      </c>
      <c r="H3399" s="1">
        <v>-6.2933210000000003E-6</v>
      </c>
      <c r="I3399">
        <v>130.71600000000001</v>
      </c>
      <c r="J3399">
        <v>-397.8811</v>
      </c>
      <c r="K3399">
        <v>1.112776</v>
      </c>
      <c r="L3399">
        <v>140.81530000000001</v>
      </c>
      <c r="M3399">
        <v>-0.99343809999999999</v>
      </c>
      <c r="N3399">
        <v>-1.416776E-2</v>
      </c>
      <c r="O3399">
        <v>-0.1134911</v>
      </c>
      <c r="P3399">
        <v>-0.91683789999999998</v>
      </c>
      <c r="Q3399">
        <v>6.9619900000000004E-3</v>
      </c>
      <c r="R3399">
        <v>-0.39919939999999998</v>
      </c>
      <c r="S3399">
        <v>-2.6912229999999999</v>
      </c>
      <c r="T3399">
        <v>-0.146899799999999</v>
      </c>
      <c r="U3399">
        <v>-1.3390500000000001</v>
      </c>
      <c r="V3399">
        <v>-0.292717</v>
      </c>
      <c r="W3399">
        <v>1.8067150000000001E-2</v>
      </c>
      <c r="X3399">
        <v>0.9560284</v>
      </c>
      <c r="Y3399">
        <v>-0.34051439999999999</v>
      </c>
      <c r="Z3399">
        <v>-7.0533499999999999E-3</v>
      </c>
      <c r="AA3399">
        <v>0.94021279999999996</v>
      </c>
      <c r="AB3399">
        <v>37</v>
      </c>
      <c r="AC3399">
        <v>-20.016099999999899</v>
      </c>
      <c r="AD3399">
        <v>-1.1127822933210001</v>
      </c>
      <c r="AE3399">
        <v>-10.099299999999999</v>
      </c>
      <c r="AF3399">
        <v>-7.7430828828936802</v>
      </c>
      <c r="AG3399">
        <v>-1.1127822933210001</v>
      </c>
      <c r="AH3399">
        <v>20.981356965209098</v>
      </c>
      <c r="AI3399">
        <v>92.848490966742503</v>
      </c>
      <c r="AJ3399">
        <v>110.25637336805001</v>
      </c>
      <c r="AK3399">
        <v>22.392207507640201</v>
      </c>
      <c r="AL3399">
        <v>88.964772213984304</v>
      </c>
      <c r="AM3399">
        <v>107.023552764912</v>
      </c>
      <c r="AN3399">
        <v>0.99999998280234104</v>
      </c>
    </row>
    <row r="3400" spans="1:40" x14ac:dyDescent="0.25">
      <c r="A3400" t="str">
        <f>"20190305135656156"</f>
        <v>20190305135656156</v>
      </c>
      <c r="B3400" t="str">
        <f>"1551765416145674"</f>
        <v>1551765416145674</v>
      </c>
      <c r="C3400" t="s">
        <v>40</v>
      </c>
      <c r="D3400">
        <v>4.3875970000000004</v>
      </c>
      <c r="E3400">
        <v>0.50600979999999995</v>
      </c>
      <c r="F3400" t="s">
        <v>43</v>
      </c>
      <c r="G3400">
        <v>-455.7534</v>
      </c>
      <c r="H3400">
        <v>-0.05</v>
      </c>
      <c r="I3400">
        <v>116.8879</v>
      </c>
      <c r="J3400">
        <v>-398.2466</v>
      </c>
      <c r="K3400">
        <v>1.1127739999999999</v>
      </c>
      <c r="L3400">
        <v>140.77029999999999</v>
      </c>
      <c r="M3400">
        <v>-0.99305500000000002</v>
      </c>
      <c r="N3400">
        <v>-1.416535E-2</v>
      </c>
      <c r="O3400">
        <v>-0.1167952</v>
      </c>
      <c r="P3400">
        <v>-0.9142827</v>
      </c>
      <c r="Q3400">
        <v>8.7839289999999993E-3</v>
      </c>
      <c r="R3400">
        <v>-0.40498200000000001</v>
      </c>
      <c r="S3400">
        <v>-2.7732540000000001</v>
      </c>
      <c r="T3400">
        <v>-5.5720569999999997E-2</v>
      </c>
      <c r="U3400">
        <v>-1.146606</v>
      </c>
      <c r="V3400">
        <v>-0.29559039999999998</v>
      </c>
      <c r="W3400">
        <v>1.985259E-2</v>
      </c>
      <c r="X3400">
        <v>0.95510850000000003</v>
      </c>
      <c r="Y3400">
        <v>-0.2714394</v>
      </c>
      <c r="Z3400">
        <v>-3.9827919999999998E-3</v>
      </c>
      <c r="AA3400">
        <v>0.96244730000000001</v>
      </c>
      <c r="AB3400">
        <v>37</v>
      </c>
      <c r="AC3400">
        <v>-57.506799999999998</v>
      </c>
      <c r="AD3400">
        <v>-1.162774</v>
      </c>
      <c r="AE3400">
        <v>-23.882399999999901</v>
      </c>
      <c r="AF3400">
        <v>-16.9957978864119</v>
      </c>
      <c r="AG3400">
        <v>-1.162774</v>
      </c>
      <c r="AH3400">
        <v>59.881894234924403</v>
      </c>
      <c r="AI3400">
        <v>91.070159437908899</v>
      </c>
      <c r="AJ3400">
        <v>105.845107556798</v>
      </c>
      <c r="AK3400">
        <v>62.257934806203799</v>
      </c>
      <c r="AL3400">
        <v>88.862455681982397</v>
      </c>
      <c r="AM3400">
        <v>107.19643785288901</v>
      </c>
      <c r="AN3400">
        <v>1.00000002833705</v>
      </c>
    </row>
    <row r="3401" spans="1:40" x14ac:dyDescent="0.25">
      <c r="A3401" t="str">
        <f>"20190305135656179"</f>
        <v>20190305135656179</v>
      </c>
      <c r="B3401" t="str">
        <f>"1551765416175931"</f>
        <v>1551765416175931</v>
      </c>
      <c r="C3401" t="s">
        <v>40</v>
      </c>
      <c r="D3401">
        <v>3.6791619999999998</v>
      </c>
      <c r="E3401">
        <v>0.51298650000000001</v>
      </c>
      <c r="F3401" t="s">
        <v>73</v>
      </c>
      <c r="G3401">
        <v>-421.25049999999999</v>
      </c>
      <c r="H3401" s="1">
        <v>-6.54873399999999E-6</v>
      </c>
      <c r="I3401">
        <v>131.18100000000001</v>
      </c>
      <c r="J3401">
        <v>-398.62909999999999</v>
      </c>
      <c r="K3401">
        <v>1.1128049999999901</v>
      </c>
      <c r="L3401">
        <v>140.72200000000001</v>
      </c>
      <c r="M3401">
        <v>-0.99263579999999996</v>
      </c>
      <c r="N3401">
        <v>-1.4169620000000001E-2</v>
      </c>
      <c r="O3401">
        <v>-0.12030639999999899</v>
      </c>
      <c r="P3401">
        <v>-0.91171190000000002</v>
      </c>
      <c r="Q3401">
        <v>9.8584180000000007E-3</v>
      </c>
      <c r="R3401">
        <v>-0.41071229999999997</v>
      </c>
      <c r="S3401">
        <v>-2.7709350000000001</v>
      </c>
      <c r="T3401">
        <v>-0.1340404</v>
      </c>
      <c r="U3401">
        <v>-1.15509</v>
      </c>
      <c r="V3401">
        <v>-0.29821819999999999</v>
      </c>
      <c r="W3401">
        <v>2.0888070000000002E-2</v>
      </c>
      <c r="X3401">
        <v>0.95426920000000004</v>
      </c>
      <c r="Y3401">
        <v>-0.27061809999999997</v>
      </c>
      <c r="Z3401">
        <v>-4.384827E-3</v>
      </c>
      <c r="AA3401">
        <v>0.9626768</v>
      </c>
      <c r="AB3401">
        <v>37</v>
      </c>
      <c r="AC3401">
        <v>-22.621399999999898</v>
      </c>
      <c r="AD3401">
        <v>-1.11281154873399</v>
      </c>
      <c r="AE3401">
        <v>-9.5409999999999897</v>
      </c>
      <c r="AF3401">
        <v>-6.7360767417128802</v>
      </c>
      <c r="AG3401">
        <v>-1.11281154873399</v>
      </c>
      <c r="AH3401">
        <v>23.556625429134002</v>
      </c>
      <c r="AI3401">
        <v>92.600552179460607</v>
      </c>
      <c r="AJ3401">
        <v>105.95801550966</v>
      </c>
      <c r="AK3401">
        <v>24.526061261885602</v>
      </c>
      <c r="AL3401">
        <v>88.803114767510905</v>
      </c>
      <c r="AM3401">
        <v>107.354521035182</v>
      </c>
      <c r="AN3401">
        <v>1.0000000561741</v>
      </c>
    </row>
    <row r="3402" spans="1:40" x14ac:dyDescent="0.25">
      <c r="A3402" t="str">
        <f>"20190305135656202"</f>
        <v>20190305135656202</v>
      </c>
      <c r="B3402" t="str">
        <f>"1551765416195450"</f>
        <v>1551765416195450</v>
      </c>
      <c r="C3402" t="s">
        <v>40</v>
      </c>
      <c r="D3402">
        <v>3.7828499999999998</v>
      </c>
      <c r="E3402">
        <v>0.55933789999999906</v>
      </c>
      <c r="F3402" t="s">
        <v>73</v>
      </c>
      <c r="G3402">
        <v>-424.70650000000001</v>
      </c>
      <c r="H3402" s="1">
        <v>-6.7041029999999998E-6</v>
      </c>
      <c r="I3402">
        <v>130.2157</v>
      </c>
      <c r="J3402">
        <v>-399.00540000000001</v>
      </c>
      <c r="K3402">
        <v>1.1128690000000001</v>
      </c>
      <c r="L3402">
        <v>140.673</v>
      </c>
      <c r="M3402">
        <v>-0.99219939999999995</v>
      </c>
      <c r="N3402">
        <v>-1.419493E-2</v>
      </c>
      <c r="O3402">
        <v>-0.1238504</v>
      </c>
      <c r="P3402">
        <v>-0.90883729999999996</v>
      </c>
      <c r="Q3402">
        <v>1.0179489999999999E-2</v>
      </c>
      <c r="R3402">
        <v>-0.41702719999999999</v>
      </c>
      <c r="S3402">
        <v>-2.7861630000000002</v>
      </c>
      <c r="T3402">
        <v>-0.11889520000000001</v>
      </c>
      <c r="U3402">
        <v>-1.1225130000000001</v>
      </c>
      <c r="V3402">
        <v>-0.30143490000000001</v>
      </c>
      <c r="W3402">
        <v>2.1162670000000001E-2</v>
      </c>
      <c r="X3402">
        <v>0.95325179999999998</v>
      </c>
      <c r="Y3402">
        <v>-0.25570110000000001</v>
      </c>
      <c r="Z3402">
        <v>-3.7942739999999998E-3</v>
      </c>
      <c r="AA3402">
        <v>0.96674839999999995</v>
      </c>
      <c r="AB3402">
        <v>37</v>
      </c>
      <c r="AC3402">
        <v>-25.7011</v>
      </c>
      <c r="AD3402">
        <v>-1.112875704103</v>
      </c>
      <c r="AE3402">
        <v>-10.4573</v>
      </c>
      <c r="AF3402">
        <v>-7.1818068619993296</v>
      </c>
      <c r="AG3402">
        <v>-1.112875704103</v>
      </c>
      <c r="AH3402">
        <v>26.7554161636772</v>
      </c>
      <c r="AI3402">
        <v>92.300468360091202</v>
      </c>
      <c r="AJ3402">
        <v>105.025401141849</v>
      </c>
      <c r="AK3402">
        <v>27.7248829795078</v>
      </c>
      <c r="AL3402">
        <v>88.787377710499698</v>
      </c>
      <c r="AM3402">
        <v>107.54786582717701</v>
      </c>
      <c r="AN3402">
        <v>0.99999992587138598</v>
      </c>
    </row>
    <row r="3403" spans="1:40" x14ac:dyDescent="0.25">
      <c r="A3403" t="str">
        <f>"20190305135656224"</f>
        <v>20190305135656224</v>
      </c>
      <c r="B3403" t="str">
        <f>"1551765416215946"</f>
        <v>1551765416215946</v>
      </c>
      <c r="C3403" t="s">
        <v>40</v>
      </c>
      <c r="D3403">
        <v>3.7350279999999998</v>
      </c>
      <c r="E3403">
        <v>0.5619111</v>
      </c>
      <c r="F3403" t="s">
        <v>82</v>
      </c>
      <c r="G3403">
        <v>-593.02880000000005</v>
      </c>
      <c r="H3403">
        <v>-0.1</v>
      </c>
      <c r="I3403">
        <v>86.755259999999893</v>
      </c>
      <c r="J3403">
        <v>-399.36919999999998</v>
      </c>
      <c r="K3403">
        <v>1.1129690000000001</v>
      </c>
      <c r="L3403">
        <v>140.62430000000001</v>
      </c>
      <c r="M3403">
        <v>-0.99174799999999996</v>
      </c>
      <c r="N3403">
        <v>-1.4249799999999899E-2</v>
      </c>
      <c r="O3403">
        <v>-0.12740950000000001</v>
      </c>
      <c r="P3403">
        <v>-0.90582419999999997</v>
      </c>
      <c r="Q3403">
        <v>1.035265E-2</v>
      </c>
      <c r="R3403">
        <v>-0.4235276</v>
      </c>
      <c r="S3403">
        <v>-2.9277950000000001</v>
      </c>
      <c r="T3403">
        <v>-1.8302079999999998E-2</v>
      </c>
      <c r="U3403">
        <v>-0.8136139</v>
      </c>
      <c r="V3403">
        <v>-0.30484860000000003</v>
      </c>
      <c r="W3403">
        <v>2.1287560000000001E-2</v>
      </c>
      <c r="X3403">
        <v>0.95216290000000003</v>
      </c>
      <c r="Y3403">
        <v>-0.1427891</v>
      </c>
      <c r="Z3403">
        <v>-2.4913460000000002E-3</v>
      </c>
      <c r="AA3403">
        <v>0.98975000000000002</v>
      </c>
      <c r="AB3403">
        <v>37</v>
      </c>
      <c r="AC3403">
        <v>-193.65960000000001</v>
      </c>
      <c r="AD3403">
        <v>-1.212969</v>
      </c>
      <c r="AE3403">
        <v>-53.869039999999998</v>
      </c>
      <c r="AF3403">
        <v>-28.752307565204902</v>
      </c>
      <c r="AG3403">
        <v>-1.212969</v>
      </c>
      <c r="AH3403">
        <v>198.937871018772</v>
      </c>
      <c r="AI3403">
        <v>90.345748582101294</v>
      </c>
      <c r="AJ3403">
        <v>98.223959369331098</v>
      </c>
      <c r="AK3403">
        <v>201.00856451803401</v>
      </c>
      <c r="AL3403">
        <v>88.780220528649807</v>
      </c>
      <c r="AM3403">
        <v>107.753212219242</v>
      </c>
      <c r="AN3403">
        <v>1.00000000863456</v>
      </c>
    </row>
    <row r="3404" spans="1:40" x14ac:dyDescent="0.25">
      <c r="A3404" t="str">
        <f>"20190305135656245"</f>
        <v>20190305135656245</v>
      </c>
      <c r="B3404" t="str">
        <f>"1551765416235467"</f>
        <v>1551765416235467</v>
      </c>
      <c r="C3404" t="s">
        <v>40</v>
      </c>
      <c r="D3404">
        <v>3.7399800000000001</v>
      </c>
      <c r="E3404">
        <v>0.56311919999999904</v>
      </c>
      <c r="F3404" t="s">
        <v>43</v>
      </c>
      <c r="G3404">
        <v>-472.70830000000001</v>
      </c>
      <c r="H3404">
        <v>-0.05</v>
      </c>
      <c r="I3404">
        <v>120.286</v>
      </c>
      <c r="J3404">
        <v>-399.7045</v>
      </c>
      <c r="K3404">
        <v>1.1131059999999999</v>
      </c>
      <c r="L3404">
        <v>140.578</v>
      </c>
      <c r="M3404">
        <v>-0.99129800000000001</v>
      </c>
      <c r="N3404">
        <v>-1.434349E-2</v>
      </c>
      <c r="O3404">
        <v>-0.13085430000000001</v>
      </c>
      <c r="P3404">
        <v>-0.90301739999999997</v>
      </c>
      <c r="Q3404">
        <v>9.6433979999999992E-3</v>
      </c>
      <c r="R3404">
        <v>-0.42949589999999999</v>
      </c>
      <c r="S3404">
        <v>-2.93222</v>
      </c>
      <c r="T3404">
        <v>-4.6497459999999997E-2</v>
      </c>
      <c r="U3404">
        <v>-0.81315609999999905</v>
      </c>
      <c r="V3404">
        <v>-0.30782159999999997</v>
      </c>
      <c r="W3404">
        <v>2.0545290000000001E-2</v>
      </c>
      <c r="X3404">
        <v>0.95122220000000002</v>
      </c>
      <c r="Y3404">
        <v>-0.13879379999999999</v>
      </c>
      <c r="Z3404">
        <v>-1.9257289999999999E-3</v>
      </c>
      <c r="AA3404">
        <v>0.99031939999999996</v>
      </c>
      <c r="AB3404">
        <v>37</v>
      </c>
      <c r="AC3404">
        <v>-73.003799999999998</v>
      </c>
      <c r="AD3404">
        <v>-1.163106</v>
      </c>
      <c r="AE3404">
        <v>-20.292000000000002</v>
      </c>
      <c r="AF3404">
        <v>-10.561154452738201</v>
      </c>
      <c r="AG3404">
        <v>-1.163106</v>
      </c>
      <c r="AH3404">
        <v>75.013848187612197</v>
      </c>
      <c r="AI3404">
        <v>90.879638532631802</v>
      </c>
      <c r="AJ3404">
        <v>98.013965244591901</v>
      </c>
      <c r="AK3404">
        <v>75.762577958091896</v>
      </c>
      <c r="AL3404">
        <v>88.822758716531496</v>
      </c>
      <c r="AM3404">
        <v>107.931913256679</v>
      </c>
      <c r="AN3404">
        <v>0.99999996007029102</v>
      </c>
    </row>
    <row r="3405" spans="1:40" x14ac:dyDescent="0.25">
      <c r="A3405" t="str">
        <f>"20190305135656267"</f>
        <v>20190305135656267</v>
      </c>
      <c r="B3405" t="str">
        <f>"1551765416255962"</f>
        <v>1551765416255962</v>
      </c>
      <c r="C3405" t="s">
        <v>40</v>
      </c>
      <c r="D3405">
        <v>3.7739799999999999</v>
      </c>
      <c r="E3405">
        <v>0.56159619999999999</v>
      </c>
      <c r="F3405" t="s">
        <v>42</v>
      </c>
      <c r="G3405">
        <v>-451.98200000000003</v>
      </c>
      <c r="H3405">
        <v>7.9987420000000004E-2</v>
      </c>
      <c r="I3405">
        <v>125.9033</v>
      </c>
      <c r="J3405">
        <v>-400.07389999999998</v>
      </c>
      <c r="K3405">
        <v>1.1133090000000001</v>
      </c>
      <c r="L3405">
        <v>140.52549999999999</v>
      </c>
      <c r="M3405">
        <v>-0.99075679999999999</v>
      </c>
      <c r="N3405">
        <v>-1.452198E-2</v>
      </c>
      <c r="O3405">
        <v>-0.1348712</v>
      </c>
      <c r="P3405">
        <v>-0.90017049999999998</v>
      </c>
      <c r="Q3405">
        <v>1.0058640000000001E-2</v>
      </c>
      <c r="R3405">
        <v>-0.43542199999999998</v>
      </c>
      <c r="S3405">
        <v>-2.9314580000000001</v>
      </c>
      <c r="T3405">
        <v>-5.793214E-2</v>
      </c>
      <c r="U3405">
        <v>-0.82287600000000005</v>
      </c>
      <c r="V3405">
        <v>-0.31023230000000002</v>
      </c>
      <c r="W3405">
        <v>2.0970539999999999E-2</v>
      </c>
      <c r="X3405">
        <v>0.95042939999999998</v>
      </c>
      <c r="Y3405">
        <v>-0.137881</v>
      </c>
      <c r="Z3405">
        <v>-1.695546E-3</v>
      </c>
      <c r="AA3405">
        <v>0.99044730000000003</v>
      </c>
      <c r="AB3405">
        <v>37</v>
      </c>
      <c r="AC3405">
        <v>-51.908099999999898</v>
      </c>
      <c r="AD3405">
        <v>-1.03332158</v>
      </c>
      <c r="AE3405">
        <v>-14.6221999999999</v>
      </c>
      <c r="AF3405">
        <v>-7.4841774385392403</v>
      </c>
      <c r="AG3405">
        <v>-1.03332158</v>
      </c>
      <c r="AH3405">
        <v>53.386443363734799</v>
      </c>
      <c r="AI3405">
        <v>91.098114908514006</v>
      </c>
      <c r="AJ3405">
        <v>97.980215413514301</v>
      </c>
      <c r="AK3405">
        <v>53.9183920424978</v>
      </c>
      <c r="AL3405">
        <v>88.798388414726702</v>
      </c>
      <c r="AM3405">
        <v>108.07734421824399</v>
      </c>
      <c r="AN3405">
        <v>0.99999994394776903</v>
      </c>
    </row>
    <row r="3406" spans="1:40" x14ac:dyDescent="0.25">
      <c r="A3406" t="str">
        <f>"20190305135656290"</f>
        <v>20190305135656290</v>
      </c>
      <c r="B3406" t="str">
        <f>"1551765416286218"</f>
        <v>1551765416286218</v>
      </c>
      <c r="C3406" t="s">
        <v>40</v>
      </c>
      <c r="D3406">
        <v>3.6686839999999998</v>
      </c>
      <c r="E3406">
        <v>0.56130959999999996</v>
      </c>
      <c r="F3406" t="s">
        <v>73</v>
      </c>
      <c r="G3406">
        <v>-439.63069999999999</v>
      </c>
      <c r="H3406">
        <v>7.9986160000000001E-2</v>
      </c>
      <c r="I3406">
        <v>128.99770000000001</v>
      </c>
      <c r="J3406">
        <v>-400.43799999999999</v>
      </c>
      <c r="K3406">
        <v>1.1135820000000001</v>
      </c>
      <c r="L3406">
        <v>140.47190000000001</v>
      </c>
      <c r="M3406">
        <v>-0.99016590000000004</v>
      </c>
      <c r="N3406">
        <v>-1.4780629999999999E-2</v>
      </c>
      <c r="O3406">
        <v>-0.13911599999999999</v>
      </c>
      <c r="P3406">
        <v>-0.89720419999999901</v>
      </c>
      <c r="Q3406">
        <v>1.0076999999999999E-2</v>
      </c>
      <c r="R3406">
        <v>-0.44150159999999999</v>
      </c>
      <c r="S3406">
        <v>-2.9217219999999999</v>
      </c>
      <c r="T3406">
        <v>-7.6322669999999995E-2</v>
      </c>
      <c r="U3406">
        <v>-0.85145569999999904</v>
      </c>
      <c r="V3406">
        <v>-0.31260110000000002</v>
      </c>
      <c r="W3406">
        <v>2.1039189999999999E-2</v>
      </c>
      <c r="X3406">
        <v>0.94965149999999998</v>
      </c>
      <c r="Y3406">
        <v>-0.14342379999999999</v>
      </c>
      <c r="Z3406">
        <v>-1.413199E-3</v>
      </c>
      <c r="AA3406">
        <v>0.98966030000000005</v>
      </c>
      <c r="AB3406">
        <v>37</v>
      </c>
      <c r="AC3406">
        <v>-39.192699999999903</v>
      </c>
      <c r="AD3406">
        <v>-1.03359584</v>
      </c>
      <c r="AE3406">
        <v>-11.4741999999999</v>
      </c>
      <c r="AF3406">
        <v>-5.9058915548663897</v>
      </c>
      <c r="AG3406">
        <v>-1.03359584</v>
      </c>
      <c r="AH3406">
        <v>40.382061047580301</v>
      </c>
      <c r="AI3406">
        <v>91.450762937202299</v>
      </c>
      <c r="AJ3406">
        <v>98.320540684314807</v>
      </c>
      <c r="AK3406">
        <v>40.824731840745898</v>
      </c>
      <c r="AL3406">
        <v>88.794454299035706</v>
      </c>
      <c r="AM3406">
        <v>108.22022899423</v>
      </c>
      <c r="AN3406">
        <v>1.0000000333446499</v>
      </c>
    </row>
    <row r="3407" spans="1:40" x14ac:dyDescent="0.25">
      <c r="A3407" t="str">
        <f>"20190305135656313"</f>
        <v>20190305135656313</v>
      </c>
      <c r="B3407" t="str">
        <f>"1551765416305739"</f>
        <v>1551765416305739</v>
      </c>
      <c r="C3407" t="s">
        <v>40</v>
      </c>
      <c r="D3407">
        <v>3.8629980000000002</v>
      </c>
      <c r="E3407">
        <v>0.55955310000000003</v>
      </c>
      <c r="F3407" t="s">
        <v>73</v>
      </c>
      <c r="G3407">
        <v>-436.74970000000002</v>
      </c>
      <c r="H3407">
        <v>6.9720829999999998E-2</v>
      </c>
      <c r="I3407">
        <v>129.5966</v>
      </c>
      <c r="J3407">
        <v>-400.8091</v>
      </c>
      <c r="K3407">
        <v>1.1139019999999999</v>
      </c>
      <c r="L3407">
        <v>140.4152</v>
      </c>
      <c r="M3407">
        <v>-0.98948879999999995</v>
      </c>
      <c r="N3407">
        <v>-1.511817E-2</v>
      </c>
      <c r="O3407">
        <v>-0.143817</v>
      </c>
      <c r="P3407">
        <v>-0.89429069999999899</v>
      </c>
      <c r="Q3407">
        <v>1.0392200000000001E-2</v>
      </c>
      <c r="R3407">
        <v>-0.4473664</v>
      </c>
      <c r="S3407">
        <v>-2.9150700000000001</v>
      </c>
      <c r="T3407">
        <v>-8.3800199999999894E-2</v>
      </c>
      <c r="U3407">
        <v>-0.87306209999999995</v>
      </c>
      <c r="V3407">
        <v>-0.31432769999999999</v>
      </c>
      <c r="W3407">
        <v>2.144822E-2</v>
      </c>
      <c r="X3407">
        <v>0.94907220000000003</v>
      </c>
      <c r="Y3407">
        <v>-0.1460639</v>
      </c>
      <c r="Z3407">
        <v>-1.313954E-3</v>
      </c>
      <c r="AA3407">
        <v>0.98927430000000005</v>
      </c>
      <c r="AB3407">
        <v>37</v>
      </c>
      <c r="AC3407">
        <v>-35.940600000000003</v>
      </c>
      <c r="AD3407">
        <v>-1.0441811700000001</v>
      </c>
      <c r="AE3407">
        <v>-10.8186</v>
      </c>
      <c r="AF3407">
        <v>-5.5323653303753302</v>
      </c>
      <c r="AG3407">
        <v>-1.0441811700000001</v>
      </c>
      <c r="AH3407">
        <v>37.094253847068302</v>
      </c>
      <c r="AI3407">
        <v>91.594786083030598</v>
      </c>
      <c r="AJ3407">
        <v>98.482763325184607</v>
      </c>
      <c r="AK3407">
        <v>37.519075800654598</v>
      </c>
      <c r="AL3407">
        <v>88.771013257503498</v>
      </c>
      <c r="AM3407">
        <v>108.32459791002999</v>
      </c>
      <c r="AN3407">
        <v>0.99999998497064901</v>
      </c>
    </row>
    <row r="3408" spans="1:40" x14ac:dyDescent="0.25">
      <c r="A3408" t="str">
        <f>"20190305135656335"</f>
        <v>20190305135656335</v>
      </c>
      <c r="B3408" t="str">
        <f>"1551765416326235"</f>
        <v>1551765416326235</v>
      </c>
      <c r="C3408" t="s">
        <v>40</v>
      </c>
      <c r="D3408">
        <v>3.901837</v>
      </c>
      <c r="E3408">
        <v>0.55907580000000001</v>
      </c>
      <c r="F3408" t="s">
        <v>73</v>
      </c>
      <c r="G3408">
        <v>-430.60169999999999</v>
      </c>
      <c r="H3408" s="1">
        <v>-7.6506930000000003E-6</v>
      </c>
      <c r="I3408">
        <v>131.15</v>
      </c>
      <c r="J3408">
        <v>-401.15899999999999</v>
      </c>
      <c r="K3408">
        <v>1.114209</v>
      </c>
      <c r="L3408">
        <v>140.35980000000001</v>
      </c>
      <c r="M3408">
        <v>-0.98878489999999997</v>
      </c>
      <c r="N3408">
        <v>-1.5466769999999999E-2</v>
      </c>
      <c r="O3408">
        <v>-0.1485445</v>
      </c>
      <c r="P3408">
        <v>-0.89126039999999995</v>
      </c>
      <c r="Q3408">
        <v>8.9024310000000006E-3</v>
      </c>
      <c r="R3408">
        <v>-0.45340439999999999</v>
      </c>
      <c r="S3408">
        <v>-2.904083</v>
      </c>
      <c r="T3408">
        <v>-0.1085801</v>
      </c>
      <c r="U3408">
        <v>-0.90313719999999997</v>
      </c>
      <c r="V3408">
        <v>-0.31620789999999999</v>
      </c>
      <c r="W3408">
        <v>2.0062360000000001E-2</v>
      </c>
      <c r="X3408">
        <v>0.94847769999999998</v>
      </c>
      <c r="Y3408">
        <v>-0.15169659999999999</v>
      </c>
      <c r="Z3408">
        <v>-8.556328E-4</v>
      </c>
      <c r="AA3408">
        <v>0.98842669999999999</v>
      </c>
      <c r="AB3408">
        <v>37</v>
      </c>
      <c r="AC3408">
        <v>-29.442699999999999</v>
      </c>
      <c r="AD3408">
        <v>-1.114216650693</v>
      </c>
      <c r="AE3408">
        <v>-9.2097999999999995</v>
      </c>
      <c r="AF3408">
        <v>-4.7273587850262802</v>
      </c>
      <c r="AG3408">
        <v>-1.114216650693</v>
      </c>
      <c r="AH3408">
        <v>30.444489991292102</v>
      </c>
      <c r="AI3408">
        <v>92.071193975924302</v>
      </c>
      <c r="AJ3408">
        <v>98.826285515371495</v>
      </c>
      <c r="AK3408">
        <v>30.829472435591999</v>
      </c>
      <c r="AL3408">
        <v>88.850434251760703</v>
      </c>
      <c r="AM3408">
        <v>108.43759465899301</v>
      </c>
      <c r="AN3408">
        <v>0.99999994085423305</v>
      </c>
    </row>
    <row r="3409" spans="1:40" x14ac:dyDescent="0.25">
      <c r="A3409" t="str">
        <f>"20190305135656357"</f>
        <v>20190305135656357</v>
      </c>
      <c r="B3409" t="str">
        <f>"1551765416345755"</f>
        <v>1551765416345755</v>
      </c>
      <c r="C3409" t="s">
        <v>40</v>
      </c>
      <c r="D3409">
        <v>3.8105929999999999</v>
      </c>
      <c r="E3409">
        <v>0.55843959999999904</v>
      </c>
      <c r="F3409" t="s">
        <v>73</v>
      </c>
      <c r="G3409">
        <v>-427.1782</v>
      </c>
      <c r="H3409" s="1">
        <v>-7.8136969999999995E-6</v>
      </c>
      <c r="I3409">
        <v>132.0487</v>
      </c>
      <c r="J3409">
        <v>-401.51330000000002</v>
      </c>
      <c r="K3409">
        <v>1.1145259999999999</v>
      </c>
      <c r="L3409">
        <v>140.3015</v>
      </c>
      <c r="M3409">
        <v>-0.98799709999999996</v>
      </c>
      <c r="N3409">
        <v>-1.5822559999999999E-2</v>
      </c>
      <c r="O3409">
        <v>-0.153660299999999</v>
      </c>
      <c r="P3409">
        <v>-0.88755379999999995</v>
      </c>
      <c r="Q3409">
        <v>6.0934539999999999E-3</v>
      </c>
      <c r="R3409">
        <v>-0.46066390000000002</v>
      </c>
      <c r="S3409">
        <v>-2.8966059999999998</v>
      </c>
      <c r="T3409">
        <v>-0.1240411</v>
      </c>
      <c r="U3409">
        <v>-0.9252319</v>
      </c>
      <c r="V3409">
        <v>-0.3190192</v>
      </c>
      <c r="W3409">
        <v>1.7335329999999999E-2</v>
      </c>
      <c r="X3409">
        <v>0.94758969999999998</v>
      </c>
      <c r="Y3409">
        <v>-0.15413760000000001</v>
      </c>
      <c r="Z3409">
        <v>-5.0205089999999996E-4</v>
      </c>
      <c r="AA3409">
        <v>0.98804930000000002</v>
      </c>
      <c r="AB3409">
        <v>37</v>
      </c>
      <c r="AC3409">
        <v>-25.6648999999999</v>
      </c>
      <c r="AD3409">
        <v>-1.114533813697</v>
      </c>
      <c r="AE3409">
        <v>-8.2528000000000006</v>
      </c>
      <c r="AF3409">
        <v>-4.2034089455920096</v>
      </c>
      <c r="AG3409">
        <v>-1.114533813697</v>
      </c>
      <c r="AH3409">
        <v>26.5828729921055</v>
      </c>
      <c r="AI3409">
        <v>92.371391309251194</v>
      </c>
      <c r="AJ3409">
        <v>98.985481852720099</v>
      </c>
      <c r="AK3409">
        <v>26.936220390028101</v>
      </c>
      <c r="AL3409">
        <v>89.006709002290094</v>
      </c>
      <c r="AM3409">
        <v>108.606519161592</v>
      </c>
      <c r="AN3409">
        <v>1.00000000159046</v>
      </c>
    </row>
    <row r="3410" spans="1:40" x14ac:dyDescent="0.25">
      <c r="A3410" t="str">
        <f>"20190305135656382"</f>
        <v>20190305135656382</v>
      </c>
      <c r="B3410" t="str">
        <f>"1551765416376011"</f>
        <v>1551765416376011</v>
      </c>
      <c r="C3410" t="s">
        <v>40</v>
      </c>
      <c r="D3410">
        <v>3.812989</v>
      </c>
      <c r="E3410">
        <v>0.55802669999999999</v>
      </c>
      <c r="F3410" t="s">
        <v>73</v>
      </c>
      <c r="G3410">
        <v>-423.76819999999998</v>
      </c>
      <c r="H3410" s="1">
        <v>-7.6405109999999992E-6</v>
      </c>
      <c r="I3410">
        <v>132.95930000000001</v>
      </c>
      <c r="J3410">
        <v>-401.92349999999999</v>
      </c>
      <c r="K3410">
        <v>1.1149</v>
      </c>
      <c r="L3410">
        <v>140.2313</v>
      </c>
      <c r="M3410">
        <v>-0.98697849999999998</v>
      </c>
      <c r="N3410">
        <v>-1.6236750000000001E-2</v>
      </c>
      <c r="O3410">
        <v>-0.1600309</v>
      </c>
      <c r="P3410">
        <v>-0.88343579999999999</v>
      </c>
      <c r="Q3410">
        <v>4.333567E-3</v>
      </c>
      <c r="R3410">
        <v>-0.46853250000000002</v>
      </c>
      <c r="S3410">
        <v>-2.886749</v>
      </c>
      <c r="T3410">
        <v>-0.14456939999999999</v>
      </c>
      <c r="U3410">
        <v>-0.95237729999999998</v>
      </c>
      <c r="V3410">
        <v>-0.32131929999999997</v>
      </c>
      <c r="W3410">
        <v>1.5669010000000001E-2</v>
      </c>
      <c r="X3410">
        <v>0.9468413</v>
      </c>
      <c r="Y3410">
        <v>-0.15711220000000001</v>
      </c>
      <c r="Z3410" s="1">
        <v>3.2254259999999998E-5</v>
      </c>
      <c r="AA3410">
        <v>0.98758080000000004</v>
      </c>
      <c r="AB3410">
        <v>37</v>
      </c>
      <c r="AC3410">
        <v>-21.8446999999999</v>
      </c>
      <c r="AD3410">
        <v>-1.1149076405110001</v>
      </c>
      <c r="AE3410">
        <v>-7.2719999999999896</v>
      </c>
      <c r="AF3410">
        <v>-3.6733518797780298</v>
      </c>
      <c r="AG3410">
        <v>-1.1149076405110001</v>
      </c>
      <c r="AH3410">
        <v>22.673818984185001</v>
      </c>
      <c r="AI3410">
        <v>92.778882795582106</v>
      </c>
      <c r="AJ3410">
        <v>99.202448901331906</v>
      </c>
      <c r="AK3410">
        <v>22.996491045529702</v>
      </c>
      <c r="AL3410">
        <v>89.102195143392294</v>
      </c>
      <c r="AM3410">
        <v>108.74511580388101</v>
      </c>
      <c r="AN3410">
        <v>1.00000002890627</v>
      </c>
    </row>
    <row r="3411" spans="1:40" x14ac:dyDescent="0.25">
      <c r="A3411" t="str">
        <f>"20190305135656424"</f>
        <v>20190305135656424</v>
      </c>
      <c r="B3411" t="str">
        <f>"1551765416416030"</f>
        <v>1551765416416030</v>
      </c>
      <c r="C3411" t="s">
        <v>40</v>
      </c>
      <c r="D3411">
        <v>3.856217</v>
      </c>
      <c r="E3411">
        <v>0.55833679999999997</v>
      </c>
      <c r="F3411" t="s">
        <v>73</v>
      </c>
      <c r="G3411">
        <v>-421.6232</v>
      </c>
      <c r="H3411" s="1">
        <v>-7.5554440000000001E-6</v>
      </c>
      <c r="I3411">
        <v>133.52119999999999</v>
      </c>
      <c r="J3411">
        <v>-402.58710000000002</v>
      </c>
      <c r="K3411">
        <v>1.1155569999999999</v>
      </c>
      <c r="L3411">
        <v>140.11060000000001</v>
      </c>
      <c r="M3411">
        <v>-0.98504360000000002</v>
      </c>
      <c r="N3411">
        <v>-1.6895650000000002E-2</v>
      </c>
      <c r="O3411">
        <v>-0.1714746</v>
      </c>
      <c r="P3411">
        <v>-0.8751177</v>
      </c>
      <c r="Q3411">
        <v>3.095549E-3</v>
      </c>
      <c r="R3411">
        <v>-0.48390030000000001</v>
      </c>
      <c r="S3411">
        <v>-2.8769230000000001</v>
      </c>
      <c r="T3411">
        <v>-0.16281989999999999</v>
      </c>
      <c r="U3411">
        <v>-0.97993470000000005</v>
      </c>
      <c r="V3411">
        <v>-0.32688420000000001</v>
      </c>
      <c r="W3411">
        <v>1.4480389999999999E-2</v>
      </c>
      <c r="X3411">
        <v>0.94495340000000005</v>
      </c>
      <c r="Y3411">
        <v>-0.15513540000000001</v>
      </c>
      <c r="Z3411">
        <v>8.6760470000000003E-4</v>
      </c>
      <c r="AA3411">
        <v>0.98789280000000002</v>
      </c>
      <c r="AB3411">
        <v>36</v>
      </c>
      <c r="AC3411">
        <v>-19.036099999999902</v>
      </c>
      <c r="AD3411">
        <v>-1.1155645554439999</v>
      </c>
      <c r="AE3411">
        <v>-6.5894000000000101</v>
      </c>
      <c r="AF3411">
        <v>-3.2172328861036901</v>
      </c>
      <c r="AG3411">
        <v>-1.1155645554439999</v>
      </c>
      <c r="AH3411">
        <v>19.8233484220317</v>
      </c>
      <c r="AI3411">
        <v>93.179425581253994</v>
      </c>
      <c r="AJ3411">
        <v>99.218449608710998</v>
      </c>
      <c r="AK3411">
        <v>20.113682268099399</v>
      </c>
      <c r="AL3411">
        <v>89.170305724686798</v>
      </c>
      <c r="AM3411">
        <v>109.081846964948</v>
      </c>
      <c r="AN3411">
        <v>0.99999994503787404</v>
      </c>
    </row>
    <row r="3412" spans="1:40" x14ac:dyDescent="0.25">
      <c r="A3412" t="str">
        <f>"20190305135656445"</f>
        <v>20190305135656445</v>
      </c>
      <c r="B3412" t="str">
        <f>"1551765416435546"</f>
        <v>1551765416435546</v>
      </c>
      <c r="C3412" t="s">
        <v>40</v>
      </c>
      <c r="D3412">
        <v>4.1427360000000002</v>
      </c>
      <c r="E3412">
        <v>0.55767690000000003</v>
      </c>
      <c r="F3412" t="s">
        <v>73</v>
      </c>
      <c r="G3412">
        <v>-421.80540000000002</v>
      </c>
      <c r="H3412" s="1">
        <v>-7.4519349999999997E-6</v>
      </c>
      <c r="I3412">
        <v>133.2028</v>
      </c>
      <c r="J3412">
        <v>-402.92099999999999</v>
      </c>
      <c r="K3412">
        <v>1.1158840000000001</v>
      </c>
      <c r="L3412">
        <v>140.0463</v>
      </c>
      <c r="M3412">
        <v>-0.98392329999999995</v>
      </c>
      <c r="N3412">
        <v>-1.7221029999999998E-2</v>
      </c>
      <c r="O3412">
        <v>-0.17775920000000001</v>
      </c>
      <c r="P3412">
        <v>-0.86979779999999995</v>
      </c>
      <c r="Q3412">
        <v>2.5139260000000001E-3</v>
      </c>
      <c r="R3412">
        <v>-0.4934018</v>
      </c>
      <c r="S3412">
        <v>-2.8602289999999999</v>
      </c>
      <c r="T3412">
        <v>-0.16602739999999999</v>
      </c>
      <c r="U3412">
        <v>-1.028076</v>
      </c>
      <c r="V3412">
        <v>-0.33114539999999998</v>
      </c>
      <c r="W3412">
        <v>1.387296E-2</v>
      </c>
      <c r="X3412">
        <v>0.94347769999999997</v>
      </c>
      <c r="Y3412">
        <v>-0.16535920000000001</v>
      </c>
      <c r="Z3412">
        <v>7.5885190000000004E-4</v>
      </c>
      <c r="AA3412">
        <v>0.98623309999999997</v>
      </c>
      <c r="AB3412">
        <v>36</v>
      </c>
      <c r="AC3412">
        <v>-18.884399999999999</v>
      </c>
      <c r="AD3412">
        <v>-1.1158914519350001</v>
      </c>
      <c r="AE3412">
        <v>-6.8434999999999997</v>
      </c>
      <c r="AF3412">
        <v>-3.3667131735331499</v>
      </c>
      <c r="AG3412">
        <v>-1.1158914519350001</v>
      </c>
      <c r="AH3412">
        <v>19.739309838682999</v>
      </c>
      <c r="AI3412">
        <v>93.189605100875198</v>
      </c>
      <c r="AJ3412">
        <v>99.679160516245602</v>
      </c>
      <c r="AK3412">
        <v>20.0554312901237</v>
      </c>
      <c r="AL3412">
        <v>89.205112406425002</v>
      </c>
      <c r="AM3412">
        <v>109.340247550342</v>
      </c>
      <c r="AN3412">
        <v>0.99999995267880404</v>
      </c>
    </row>
    <row r="3413" spans="1:40" x14ac:dyDescent="0.25">
      <c r="A3413" t="str">
        <f>"20190305135656468"</f>
        <v>20190305135656468</v>
      </c>
      <c r="B3413" t="str">
        <f>"1551765416465804"</f>
        <v>1551765416465804</v>
      </c>
      <c r="C3413" t="s">
        <v>40</v>
      </c>
      <c r="D3413">
        <v>3.724205</v>
      </c>
      <c r="E3413">
        <v>0.45965459999999903</v>
      </c>
      <c r="F3413" t="s">
        <v>73</v>
      </c>
      <c r="G3413">
        <v>-421.94439999999997</v>
      </c>
      <c r="H3413" s="1">
        <v>-7.3647699999999998E-6</v>
      </c>
      <c r="I3413">
        <v>132.93979999999999</v>
      </c>
      <c r="J3413">
        <v>-403.27420000000001</v>
      </c>
      <c r="K3413">
        <v>1.116228</v>
      </c>
      <c r="L3413">
        <v>139.97550000000001</v>
      </c>
      <c r="M3413">
        <v>-0.98261869999999996</v>
      </c>
      <c r="N3413">
        <v>-1.7551560000000001E-2</v>
      </c>
      <c r="O3413">
        <v>-0.1848043</v>
      </c>
      <c r="P3413">
        <v>-0.86331119999999995</v>
      </c>
      <c r="Q3413">
        <v>-1.458265E-4</v>
      </c>
      <c r="R3413">
        <v>-0.50467229999999996</v>
      </c>
      <c r="S3413">
        <v>-2.8463750000000001</v>
      </c>
      <c r="T3413">
        <v>-0.1669649</v>
      </c>
      <c r="U3413">
        <v>-1.0633090000000001</v>
      </c>
      <c r="V3413">
        <v>-0.3366228</v>
      </c>
      <c r="W3413">
        <v>1.114042E-2</v>
      </c>
      <c r="X3413">
        <v>0.94157369999999996</v>
      </c>
      <c r="Y3413">
        <v>-0.170562299999999</v>
      </c>
      <c r="Z3413">
        <v>7.8577009999999904E-4</v>
      </c>
      <c r="AA3413">
        <v>0.98534659999999996</v>
      </c>
      <c r="AB3413">
        <v>36</v>
      </c>
      <c r="AC3413">
        <v>-18.670199999999902</v>
      </c>
      <c r="AD3413">
        <v>-1.1162353647700001</v>
      </c>
      <c r="AE3413">
        <v>-7.0357000000000101</v>
      </c>
      <c r="AF3413">
        <v>-3.4528030773260898</v>
      </c>
      <c r="AG3413">
        <v>-1.1162353647700001</v>
      </c>
      <c r="AH3413">
        <v>19.587630836302399</v>
      </c>
      <c r="AI3413">
        <v>93.212155122879395</v>
      </c>
      <c r="AJ3413">
        <v>99.997092927791797</v>
      </c>
      <c r="AK3413">
        <v>19.920921471147299</v>
      </c>
      <c r="AL3413">
        <v>89.3616877644223</v>
      </c>
      <c r="AM3413">
        <v>109.672520452394</v>
      </c>
      <c r="AN3413">
        <v>1.0000000254846499</v>
      </c>
    </row>
    <row r="3414" spans="1:40" x14ac:dyDescent="0.25">
      <c r="A3414" t="str">
        <f>"20190305135656491"</f>
        <v>20190305135656491</v>
      </c>
      <c r="B3414" t="str">
        <f>"1551765416486299"</f>
        <v>1551765416486299</v>
      </c>
      <c r="C3414" t="s">
        <v>40</v>
      </c>
      <c r="D3414">
        <v>3.8893740000000001</v>
      </c>
      <c r="E3414">
        <v>0.43799769999999999</v>
      </c>
      <c r="F3414" t="s">
        <v>73</v>
      </c>
      <c r="G3414">
        <v>-416.77659999999997</v>
      </c>
      <c r="H3414" s="1">
        <v>-6.1220820000000001E-6</v>
      </c>
      <c r="I3414">
        <v>130.13589999999999</v>
      </c>
      <c r="J3414">
        <v>-403.62580000000003</v>
      </c>
      <c r="K3414">
        <v>1.116587</v>
      </c>
      <c r="L3414">
        <v>139.90190000000001</v>
      </c>
      <c r="M3414">
        <v>-0.98117940000000003</v>
      </c>
      <c r="N3414">
        <v>-1.786896E-2</v>
      </c>
      <c r="O3414">
        <v>-0.1922702</v>
      </c>
      <c r="P3414">
        <v>-0.85662099999999997</v>
      </c>
      <c r="Q3414">
        <v>-3.0888280000000001E-3</v>
      </c>
      <c r="R3414">
        <v>-0.51593719999999998</v>
      </c>
      <c r="S3414">
        <v>-2.4368590000000001</v>
      </c>
      <c r="T3414">
        <v>-0.20145270000000001</v>
      </c>
      <c r="U3414">
        <v>-1.77580299999999</v>
      </c>
      <c r="V3414">
        <v>-0.3417578</v>
      </c>
      <c r="W3414">
        <v>8.1016760000000004E-3</v>
      </c>
      <c r="X3414">
        <v>0.93975319999999996</v>
      </c>
      <c r="Y3414">
        <v>-0.4215893</v>
      </c>
      <c r="Z3414">
        <v>-8.9655759999999994E-3</v>
      </c>
      <c r="AA3414">
        <v>0.90674259999999995</v>
      </c>
      <c r="AB3414">
        <v>36</v>
      </c>
      <c r="AC3414">
        <v>-13.150799999999901</v>
      </c>
      <c r="AD3414">
        <v>-1.116593122082</v>
      </c>
      <c r="AE3414">
        <v>-9.7660000000000196</v>
      </c>
      <c r="AF3414">
        <v>-7.0221873345926102</v>
      </c>
      <c r="AG3414">
        <v>-1.116593122082</v>
      </c>
      <c r="AH3414">
        <v>14.7149887618133</v>
      </c>
      <c r="AI3414">
        <v>93.917673279709902</v>
      </c>
      <c r="AJ3414">
        <v>115.5110939325</v>
      </c>
      <c r="AK3414">
        <v>16.342851324744</v>
      </c>
      <c r="AL3414">
        <v>89.535803105078799</v>
      </c>
      <c r="AM3414">
        <v>109.984687693849</v>
      </c>
      <c r="AN3414">
        <v>1.00000005396254</v>
      </c>
    </row>
    <row r="3415" spans="1:40" x14ac:dyDescent="0.25">
      <c r="A3415" t="str">
        <f>"20190305135656513"</f>
        <v>20190305135656513</v>
      </c>
      <c r="B3415" t="str">
        <f>"1551765416505819"</f>
        <v>1551765416505819</v>
      </c>
      <c r="C3415" t="s">
        <v>40</v>
      </c>
      <c r="D3415">
        <v>3.8220339999999999</v>
      </c>
      <c r="E3415">
        <v>0.4296719</v>
      </c>
      <c r="F3415" t="s">
        <v>41</v>
      </c>
      <c r="G3415">
        <v>-404.50069999999999</v>
      </c>
      <c r="H3415">
        <v>1.0336540000000001</v>
      </c>
      <c r="I3415">
        <v>139.166</v>
      </c>
      <c r="J3415">
        <v>-403.97289999999998</v>
      </c>
      <c r="K3415">
        <v>1.116946</v>
      </c>
      <c r="L3415">
        <v>139.82579999999999</v>
      </c>
      <c r="M3415">
        <v>-0.97960950000000002</v>
      </c>
      <c r="N3415">
        <v>-1.8169620000000001E-2</v>
      </c>
      <c r="O3415">
        <v>-0.2000873</v>
      </c>
      <c r="P3415">
        <v>-0.84948690000000004</v>
      </c>
      <c r="Q3415">
        <v>-4.2976550000000001E-3</v>
      </c>
      <c r="R3415">
        <v>-0.52759230000000001</v>
      </c>
      <c r="S3415">
        <v>-2.3238219999999998</v>
      </c>
      <c r="T3415">
        <v>-0.2202711</v>
      </c>
      <c r="U3415">
        <v>-1.9550780000000001</v>
      </c>
      <c r="V3415">
        <v>-0.34708860000000002</v>
      </c>
      <c r="W3415">
        <v>6.7684759999999998E-3</v>
      </c>
      <c r="X3415">
        <v>0.93780790000000003</v>
      </c>
      <c r="Y3415">
        <v>-0.476383</v>
      </c>
      <c r="Z3415">
        <v>-1.1652650000000001E-2</v>
      </c>
      <c r="AA3415">
        <v>0.87916070000000002</v>
      </c>
      <c r="AB3415">
        <v>36</v>
      </c>
      <c r="AC3415">
        <v>-0.52780000000001304</v>
      </c>
      <c r="AD3415">
        <v>-8.3291999999999894E-2</v>
      </c>
      <c r="AE3415">
        <v>-0.65979999999998995</v>
      </c>
      <c r="AF3415">
        <v>-0.53562455407821796</v>
      </c>
      <c r="AG3415">
        <v>-8.3291999999999894E-2</v>
      </c>
      <c r="AH3415">
        <v>0.64291505262369297</v>
      </c>
      <c r="AI3415">
        <v>95.684291841607902</v>
      </c>
      <c r="AJ3415">
        <v>129.79831279998001</v>
      </c>
      <c r="AK3415">
        <v>0.84093459025397299</v>
      </c>
      <c r="AL3415">
        <v>89.612191923737001</v>
      </c>
      <c r="AM3415">
        <v>110.309830028714</v>
      </c>
      <c r="AN3415">
        <v>0.99999998290986603</v>
      </c>
    </row>
    <row r="3416" spans="1:40" x14ac:dyDescent="0.25">
      <c r="A3416" t="str">
        <f>"20190305135656536"</f>
        <v>20190305135656536</v>
      </c>
      <c r="B3416" t="str">
        <f>"1551765416526315"</f>
        <v>1551765416526315</v>
      </c>
      <c r="C3416" t="s">
        <v>40</v>
      </c>
      <c r="D3416">
        <v>3.8325239999999998</v>
      </c>
      <c r="E3416">
        <v>0.4268613</v>
      </c>
      <c r="F3416" t="s">
        <v>41</v>
      </c>
      <c r="G3416">
        <v>-404.79730000000001</v>
      </c>
      <c r="H3416">
        <v>1.036154</v>
      </c>
      <c r="I3416">
        <v>139.08070000000001</v>
      </c>
      <c r="J3416">
        <v>-404.322</v>
      </c>
      <c r="K3416">
        <v>1.1172869999999999</v>
      </c>
      <c r="L3416">
        <v>139.74610000000001</v>
      </c>
      <c r="M3416">
        <v>-0.97788759999999997</v>
      </c>
      <c r="N3416">
        <v>-1.8450589999999999E-2</v>
      </c>
      <c r="O3416">
        <v>-0.20831559999999999</v>
      </c>
      <c r="P3416">
        <v>-0.84102189999999999</v>
      </c>
      <c r="Q3416">
        <v>-3.5243700000000002E-3</v>
      </c>
      <c r="R3416">
        <v>-0.54099010000000003</v>
      </c>
      <c r="S3416">
        <v>-2.2611690000000002</v>
      </c>
      <c r="T3416">
        <v>-0.22161249999999999</v>
      </c>
      <c r="U3416">
        <v>-2.0436860000000001</v>
      </c>
      <c r="V3416">
        <v>-0.35407939999999999</v>
      </c>
      <c r="W3416">
        <v>7.3659379999999998E-3</v>
      </c>
      <c r="X3416">
        <v>0.93518639999999997</v>
      </c>
      <c r="Y3416">
        <v>-0.4999208</v>
      </c>
      <c r="Z3416">
        <v>-1.258569E-2</v>
      </c>
      <c r="AA3416">
        <v>0.86597969999999902</v>
      </c>
      <c r="AB3416">
        <v>36</v>
      </c>
      <c r="AC3416">
        <v>-0.47530000000006101</v>
      </c>
      <c r="AD3416">
        <v>-8.1133000000000094E-2</v>
      </c>
      <c r="AE3416">
        <v>-0.66540000000000499</v>
      </c>
      <c r="AF3416">
        <v>-0.54638911718383998</v>
      </c>
      <c r="AG3416">
        <v>-8.1133000000000094E-2</v>
      </c>
      <c r="AH3416">
        <v>0.59762273791966003</v>
      </c>
      <c r="AI3416">
        <v>95.721666484619206</v>
      </c>
      <c r="AJ3416">
        <v>132.43576947965599</v>
      </c>
      <c r="AK3416">
        <v>0.81380376501004603</v>
      </c>
      <c r="AL3416">
        <v>89.577959041091603</v>
      </c>
      <c r="AM3416">
        <v>110.737621116946</v>
      </c>
      <c r="AN3416">
        <v>1.0000000406459599</v>
      </c>
    </row>
    <row r="3417" spans="1:40" x14ac:dyDescent="0.25">
      <c r="A3417" t="str">
        <f>"20190305135656557"</f>
        <v>20190305135656557</v>
      </c>
      <c r="B3417" t="str">
        <f>"1551765416545835"</f>
        <v>1551765416545835</v>
      </c>
      <c r="C3417" t="s">
        <v>40</v>
      </c>
      <c r="D3417">
        <v>3.9500120000000001</v>
      </c>
      <c r="E3417">
        <v>0.42589850000000001</v>
      </c>
      <c r="F3417" t="s">
        <v>41</v>
      </c>
      <c r="G3417">
        <v>-405.0994</v>
      </c>
      <c r="H3417">
        <v>1.0397050000000001</v>
      </c>
      <c r="I3417">
        <v>139.01009999999999</v>
      </c>
      <c r="J3417">
        <v>-404.64409999999998</v>
      </c>
      <c r="K3417">
        <v>1.117594</v>
      </c>
      <c r="L3417">
        <v>139.6694</v>
      </c>
      <c r="M3417">
        <v>-0.97616329999999996</v>
      </c>
      <c r="N3417">
        <v>-1.868597E-2</v>
      </c>
      <c r="O3417">
        <v>-0.21623210000000001</v>
      </c>
      <c r="P3417">
        <v>-0.83157000000000003</v>
      </c>
      <c r="Q3417">
        <v>-1.844563E-3</v>
      </c>
      <c r="R3417">
        <v>-0.55541739999999995</v>
      </c>
      <c r="S3417">
        <v>-2.2162480000000002</v>
      </c>
      <c r="T3417">
        <v>-0.2211591</v>
      </c>
      <c r="U3417">
        <v>-2.0985870000000002</v>
      </c>
      <c r="V3417">
        <v>-0.36265629999999999</v>
      </c>
      <c r="W3417">
        <v>8.8107080000000004E-3</v>
      </c>
      <c r="X3417">
        <v>0.93188130000000002</v>
      </c>
      <c r="Y3417">
        <v>-0.51291140000000002</v>
      </c>
      <c r="Z3417">
        <v>-1.293567E-2</v>
      </c>
      <c r="AA3417">
        <v>0.85834409999999906</v>
      </c>
      <c r="AB3417">
        <v>35</v>
      </c>
      <c r="AC3417">
        <v>-0.45530000000002202</v>
      </c>
      <c r="AD3417">
        <v>-7.7889000000000097E-2</v>
      </c>
      <c r="AE3417">
        <v>-0.659300000000001</v>
      </c>
      <c r="AF3417">
        <v>-0.540124898496402</v>
      </c>
      <c r="AG3417">
        <v>-7.7889000000000097E-2</v>
      </c>
      <c r="AH3417">
        <v>0.58161510594224597</v>
      </c>
      <c r="AI3417">
        <v>95.604494537061498</v>
      </c>
      <c r="AJ3417">
        <v>132.881745684213</v>
      </c>
      <c r="AK3417">
        <v>0.79754481614324302</v>
      </c>
      <c r="AL3417">
        <v>89.495177079881898</v>
      </c>
      <c r="AM3417">
        <v>111.264284115249</v>
      </c>
      <c r="AN3417">
        <v>0.99999998889742003</v>
      </c>
    </row>
    <row r="3418" spans="1:40" x14ac:dyDescent="0.25">
      <c r="A3418" t="str">
        <f>"20190305135656581"</f>
        <v>20190305135656581</v>
      </c>
      <c r="B3418" t="str">
        <f>"1551765416576092"</f>
        <v>1551765416576092</v>
      </c>
      <c r="C3418" t="s">
        <v>40</v>
      </c>
      <c r="D3418">
        <v>3.8463799999999999</v>
      </c>
      <c r="E3418">
        <v>0.42584339999999998</v>
      </c>
      <c r="F3418" t="s">
        <v>41</v>
      </c>
      <c r="G3418">
        <v>-405.39609999999999</v>
      </c>
      <c r="H3418">
        <v>1.035528</v>
      </c>
      <c r="I3418">
        <v>138.9299</v>
      </c>
      <c r="J3418">
        <v>-405.0147</v>
      </c>
      <c r="K3418">
        <v>1.117907</v>
      </c>
      <c r="L3418">
        <v>139.57740000000001</v>
      </c>
      <c r="M3418">
        <v>-0.97400120000000001</v>
      </c>
      <c r="N3418">
        <v>-1.8920030000000001E-2</v>
      </c>
      <c r="O3418">
        <v>-0.22575100000000001</v>
      </c>
      <c r="P3418">
        <v>-0.82048650000000001</v>
      </c>
      <c r="Q3418">
        <v>-5.8579819999999996E-4</v>
      </c>
      <c r="R3418">
        <v>-0.57166549999999905</v>
      </c>
      <c r="S3418">
        <v>-2.1771850000000001</v>
      </c>
      <c r="T3418">
        <v>-0.23759469999999999</v>
      </c>
      <c r="U3418">
        <v>-2.14093</v>
      </c>
      <c r="V3418">
        <v>-0.37190319999999999</v>
      </c>
      <c r="W3418">
        <v>9.7714919999999997E-3</v>
      </c>
      <c r="X3418">
        <v>0.92822009999999999</v>
      </c>
      <c r="Y3418">
        <v>-0.5205225</v>
      </c>
      <c r="Z3418">
        <v>-1.3167699999999999E-2</v>
      </c>
      <c r="AA3418">
        <v>0.85374640000000002</v>
      </c>
      <c r="AB3418">
        <v>35</v>
      </c>
      <c r="AC3418">
        <v>-0.38139999999998497</v>
      </c>
      <c r="AD3418">
        <v>-8.2378999999999897E-2</v>
      </c>
      <c r="AE3418">
        <v>-0.64750000000000696</v>
      </c>
      <c r="AF3418">
        <v>-0.53819437610769005</v>
      </c>
      <c r="AG3418">
        <v>-8.2378999999999897E-2</v>
      </c>
      <c r="AH3418">
        <v>0.51160259609727399</v>
      </c>
      <c r="AI3418">
        <v>96.330489148091701</v>
      </c>
      <c r="AJ3418">
        <v>136.45101488060899</v>
      </c>
      <c r="AK3418">
        <v>0.74711224220221095</v>
      </c>
      <c r="AL3418">
        <v>89.440125846311304</v>
      </c>
      <c r="AM3418">
        <v>111.83413620618801</v>
      </c>
      <c r="AN3418">
        <v>1.0000000131350699</v>
      </c>
    </row>
    <row r="3419" spans="1:40" x14ac:dyDescent="0.25">
      <c r="A3419" t="str">
        <f>"20190305135656624"</f>
        <v>20190305135656624</v>
      </c>
      <c r="B3419" t="str">
        <f>"1551765416616114"</f>
        <v>1551765416616114</v>
      </c>
      <c r="C3419" t="s">
        <v>40</v>
      </c>
      <c r="D3419">
        <v>3.8805079999999998</v>
      </c>
      <c r="E3419">
        <v>0.42635659999999997</v>
      </c>
      <c r="F3419" t="s">
        <v>41</v>
      </c>
      <c r="G3419">
        <v>-405.70319999999998</v>
      </c>
      <c r="H3419">
        <v>1.039863</v>
      </c>
      <c r="I3419">
        <v>138.87370000000001</v>
      </c>
      <c r="J3419">
        <v>-405.65309999999999</v>
      </c>
      <c r="K3419">
        <v>1.118404</v>
      </c>
      <c r="L3419">
        <v>139.40880000000001</v>
      </c>
      <c r="M3419">
        <v>-0.9697673</v>
      </c>
      <c r="N3419">
        <v>-1.9225099999999998E-2</v>
      </c>
      <c r="O3419">
        <v>-0.2432733</v>
      </c>
      <c r="P3419">
        <v>-0.80014890000000005</v>
      </c>
      <c r="Q3419">
        <v>-8.3166360000000005E-3</v>
      </c>
      <c r="R3419">
        <v>-0.5997441</v>
      </c>
      <c r="S3419">
        <v>-2.1351619999999998</v>
      </c>
      <c r="T3419">
        <v>-0.2420167</v>
      </c>
      <c r="U3419">
        <v>-2.1829830000000001</v>
      </c>
      <c r="V3419">
        <v>-0.38714080000000001</v>
      </c>
      <c r="W3419">
        <v>1.3802679999999901E-3</v>
      </c>
      <c r="X3419">
        <v>0.92201949999999999</v>
      </c>
      <c r="Y3419">
        <v>-0.52172890000000005</v>
      </c>
      <c r="Z3419">
        <v>-1.2294299999999999E-2</v>
      </c>
      <c r="AA3419">
        <v>0.85302279999999997</v>
      </c>
      <c r="AB3419">
        <v>35</v>
      </c>
      <c r="AC3419">
        <v>-5.0099999999986197E-2</v>
      </c>
      <c r="AD3419">
        <v>-7.8541000000000194E-2</v>
      </c>
      <c r="AE3419">
        <v>-0.53509999999999902</v>
      </c>
      <c r="AF3419">
        <v>-0.49623032974912601</v>
      </c>
      <c r="AG3419">
        <v>-7.8541000000000194E-2</v>
      </c>
      <c r="AH3419">
        <v>0.17505532869679399</v>
      </c>
      <c r="AI3419">
        <v>98.489299261149398</v>
      </c>
      <c r="AJ3419">
        <v>160.56867099565099</v>
      </c>
      <c r="AK3419">
        <v>0.53203157514293198</v>
      </c>
      <c r="AL3419">
        <v>89.920916438456899</v>
      </c>
      <c r="AM3419">
        <v>112.776732774534</v>
      </c>
      <c r="AN3419">
        <v>0.99999993127231801</v>
      </c>
    </row>
    <row r="3420" spans="1:40" x14ac:dyDescent="0.25">
      <c r="A3420" t="str">
        <f>"20190305135656646"</f>
        <v>20190305135656646</v>
      </c>
      <c r="B3420" t="str">
        <f>"1551765416635627"</f>
        <v>1551765416635627</v>
      </c>
      <c r="C3420" t="s">
        <v>40</v>
      </c>
      <c r="D3420">
        <v>3.8586580000000001</v>
      </c>
      <c r="E3420">
        <v>0.4268923</v>
      </c>
      <c r="F3420" t="s">
        <v>41</v>
      </c>
      <c r="G3420">
        <v>-406.29180000000002</v>
      </c>
      <c r="H3420">
        <v>1.031048</v>
      </c>
      <c r="I3420">
        <v>138.71170000000001</v>
      </c>
      <c r="J3420">
        <v>-405.97919999999999</v>
      </c>
      <c r="K3420">
        <v>1.118644</v>
      </c>
      <c r="L3420">
        <v>139.31729999999999</v>
      </c>
      <c r="M3420">
        <v>-0.96732649999999998</v>
      </c>
      <c r="N3420">
        <v>-1.9332289999999999E-2</v>
      </c>
      <c r="O3420">
        <v>-0.25279580000000001</v>
      </c>
      <c r="P3420">
        <v>-0.78997830000000002</v>
      </c>
      <c r="Q3420">
        <v>-1.7002980000000001E-2</v>
      </c>
      <c r="R3420">
        <v>-0.61289890000000002</v>
      </c>
      <c r="S3420">
        <v>-2.0603940000000001</v>
      </c>
      <c r="T3420">
        <v>-0.28180369999999999</v>
      </c>
      <c r="U3420">
        <v>-2.2494049999999999</v>
      </c>
      <c r="V3420">
        <v>-0.39316950000000001</v>
      </c>
      <c r="W3420">
        <v>-7.6748769999999897E-3</v>
      </c>
      <c r="X3420">
        <v>0.91943399999999997</v>
      </c>
      <c r="Y3420">
        <v>-0.54063899999999998</v>
      </c>
      <c r="Z3420">
        <v>-1.327477E-2</v>
      </c>
      <c r="AA3420">
        <v>0.84114999999999995</v>
      </c>
      <c r="AB3420">
        <v>35</v>
      </c>
      <c r="AC3420">
        <v>-0.31260000000003102</v>
      </c>
      <c r="AD3420">
        <v>-8.7595999999999993E-2</v>
      </c>
      <c r="AE3420">
        <v>-0.60559999999998104</v>
      </c>
      <c r="AF3420">
        <v>-0.49864604156791098</v>
      </c>
      <c r="AG3420">
        <v>-8.7595999999999993E-2</v>
      </c>
      <c r="AH3420">
        <v>0.44816090591962598</v>
      </c>
      <c r="AI3420">
        <v>97.4437342501123</v>
      </c>
      <c r="AJ3420">
        <v>138.052204566603</v>
      </c>
      <c r="AK3420">
        <v>0.67614283371344497</v>
      </c>
      <c r="AL3420">
        <v>90.439742368776095</v>
      </c>
      <c r="AM3420">
        <v>113.15258038629899</v>
      </c>
      <c r="AN3420">
        <v>1.0000000199115999</v>
      </c>
    </row>
    <row r="3421" spans="1:40" x14ac:dyDescent="0.25">
      <c r="A3421" t="str">
        <f>"20190305135656668"</f>
        <v>20190305135656668</v>
      </c>
      <c r="B3421" t="str">
        <f>"1551765416665883"</f>
        <v>1551765416665883</v>
      </c>
      <c r="C3421" t="s">
        <v>40</v>
      </c>
      <c r="D3421">
        <v>3.8613729999999999</v>
      </c>
      <c r="E3421">
        <v>0.42791869999999999</v>
      </c>
      <c r="F3421" t="s">
        <v>41</v>
      </c>
      <c r="G3421">
        <v>-406.58640000000003</v>
      </c>
      <c r="H3421">
        <v>1.0258</v>
      </c>
      <c r="I3421">
        <v>138.6336</v>
      </c>
      <c r="J3421">
        <v>-406.30709999999999</v>
      </c>
      <c r="K3421">
        <v>1.118911</v>
      </c>
      <c r="L3421">
        <v>139.2216</v>
      </c>
      <c r="M3421">
        <v>-0.96464870000000003</v>
      </c>
      <c r="N3421">
        <v>-1.9405680000000002E-2</v>
      </c>
      <c r="O3421">
        <v>-0.26282359999999999</v>
      </c>
      <c r="P3421">
        <v>-0.7807383</v>
      </c>
      <c r="Q3421">
        <v>-2.5125229999999998E-2</v>
      </c>
      <c r="R3421">
        <v>-0.62435299999999905</v>
      </c>
      <c r="S3421">
        <v>-2.0234070000000002</v>
      </c>
      <c r="T3421">
        <v>-0.30939470000000002</v>
      </c>
      <c r="U3421">
        <v>-2.2781220000000002</v>
      </c>
      <c r="V3421">
        <v>-0.39689829999999998</v>
      </c>
      <c r="W3421">
        <v>-1.6165599999999999E-2</v>
      </c>
      <c r="X3421">
        <v>0.91772030000000004</v>
      </c>
      <c r="Y3421">
        <v>-0.54446569999999905</v>
      </c>
      <c r="Z3421">
        <v>-1.2971740000000001E-2</v>
      </c>
      <c r="AA3421">
        <v>0.83868279999999995</v>
      </c>
      <c r="AB3421">
        <v>35</v>
      </c>
      <c r="AC3421">
        <v>-0.27930000000003402</v>
      </c>
      <c r="AD3421">
        <v>-9.3110999999999902E-2</v>
      </c>
      <c r="AE3421">
        <v>-0.58799999999999297</v>
      </c>
      <c r="AF3421">
        <v>-0.48399759627121702</v>
      </c>
      <c r="AG3421">
        <v>-9.3110999999999902E-2</v>
      </c>
      <c r="AH3421">
        <v>0.41554478796719102</v>
      </c>
      <c r="AI3421">
        <v>98.304376964389405</v>
      </c>
      <c r="AJ3421">
        <v>139.35167108034901</v>
      </c>
      <c r="AK3421">
        <v>0.64467108072567803</v>
      </c>
      <c r="AL3421">
        <v>90.926260935977595</v>
      </c>
      <c r="AM3421">
        <v>113.387655124226</v>
      </c>
      <c r="AN3421">
        <v>1.0000000680991601</v>
      </c>
    </row>
    <row r="3422" spans="1:40" x14ac:dyDescent="0.25">
      <c r="A3422" t="str">
        <f>"20190305135656693"</f>
        <v>20190305135656693</v>
      </c>
      <c r="B3422" t="str">
        <f>"1551765416685403"</f>
        <v>1551765416685403</v>
      </c>
      <c r="C3422" t="s">
        <v>40</v>
      </c>
      <c r="D3422">
        <v>3.8626070000000001</v>
      </c>
      <c r="E3422">
        <v>0.42878319999999998</v>
      </c>
      <c r="F3422" t="s">
        <v>41</v>
      </c>
      <c r="G3422">
        <v>-406.88200000000001</v>
      </c>
      <c r="H3422">
        <v>1.0238069999999999</v>
      </c>
      <c r="I3422">
        <v>138.5583</v>
      </c>
      <c r="J3422">
        <v>-406.65030000000002</v>
      </c>
      <c r="K3422">
        <v>1.119264</v>
      </c>
      <c r="L3422">
        <v>139.1165</v>
      </c>
      <c r="M3422">
        <v>-0.96155100000000004</v>
      </c>
      <c r="N3422">
        <v>-1.946061E-2</v>
      </c>
      <c r="O3422">
        <v>-0.27393630000000002</v>
      </c>
      <c r="P3422">
        <v>-0.77240410000000004</v>
      </c>
      <c r="Q3422">
        <v>-2.932003E-2</v>
      </c>
      <c r="R3422">
        <v>-0.63445430000000003</v>
      </c>
      <c r="S3422">
        <v>-1.992615</v>
      </c>
      <c r="T3422">
        <v>-0.32968989999999998</v>
      </c>
      <c r="U3422">
        <v>-2.299973</v>
      </c>
      <c r="V3422">
        <v>-0.39817180000000002</v>
      </c>
      <c r="W3422">
        <v>-2.0732899999999999E-2</v>
      </c>
      <c r="X3422">
        <v>0.91707649999999996</v>
      </c>
      <c r="Y3422">
        <v>-0.54492209999999996</v>
      </c>
      <c r="Z3422">
        <v>-1.209052E-2</v>
      </c>
      <c r="AA3422">
        <v>0.83839949999999996</v>
      </c>
      <c r="AB3422">
        <v>35</v>
      </c>
      <c r="AC3422">
        <v>-0.23169999999993199</v>
      </c>
      <c r="AD3422">
        <v>-9.5457000000000097E-2</v>
      </c>
      <c r="AE3422">
        <v>-0.55819999999999903</v>
      </c>
      <c r="AF3422">
        <v>-0.46183544041181601</v>
      </c>
      <c r="AG3422">
        <v>-9.5457000000000097E-2</v>
      </c>
      <c r="AH3422">
        <v>0.36662788651516498</v>
      </c>
      <c r="AI3422">
        <v>99.195424378563104</v>
      </c>
      <c r="AJ3422">
        <v>141.55570995504101</v>
      </c>
      <c r="AK3422">
        <v>0.597344138700592</v>
      </c>
      <c r="AL3422">
        <v>91.187992822112903</v>
      </c>
      <c r="AM3422">
        <v>113.469286296692</v>
      </c>
      <c r="AN3422">
        <v>0.99999997115494899</v>
      </c>
    </row>
    <row r="3423" spans="1:40" x14ac:dyDescent="0.25">
      <c r="A3423" t="str">
        <f>"20190305135656714"</f>
        <v>20190305135656714</v>
      </c>
      <c r="B3423" t="str">
        <f>"1551765416705899"</f>
        <v>1551765416705899</v>
      </c>
      <c r="C3423" t="s">
        <v>40</v>
      </c>
      <c r="D3423">
        <v>3.8479350000000001</v>
      </c>
      <c r="E3423">
        <v>0.42963390000000001</v>
      </c>
      <c r="F3423" t="s">
        <v>73</v>
      </c>
      <c r="G3423">
        <v>-413.18459999999999</v>
      </c>
      <c r="H3423" s="1">
        <v>-6.8452010000000004E-6</v>
      </c>
      <c r="I3423">
        <v>131.39940000000001</v>
      </c>
      <c r="J3423">
        <v>-406.96510000000001</v>
      </c>
      <c r="K3423">
        <v>1.1196549999999901</v>
      </c>
      <c r="L3423">
        <v>139.01580000000001</v>
      </c>
      <c r="M3423">
        <v>-0.95842579999999999</v>
      </c>
      <c r="N3423">
        <v>-1.950816E-2</v>
      </c>
      <c r="O3423">
        <v>-0.2846745</v>
      </c>
      <c r="P3423">
        <v>-0.76476469999999996</v>
      </c>
      <c r="Q3423">
        <v>-2.6997469999999999E-2</v>
      </c>
      <c r="R3423">
        <v>-0.64374409999999904</v>
      </c>
      <c r="S3423">
        <v>-1.964966</v>
      </c>
      <c r="T3423">
        <v>-0.33658549999999998</v>
      </c>
      <c r="U3423">
        <v>-2.3206630000000001</v>
      </c>
      <c r="V3423">
        <v>-0.39901049999999999</v>
      </c>
      <c r="W3423">
        <v>-1.876997E-2</v>
      </c>
      <c r="X3423">
        <v>0.91675419999999996</v>
      </c>
      <c r="Y3423">
        <v>-0.54500079999999995</v>
      </c>
      <c r="Z3423">
        <v>-1.105211E-2</v>
      </c>
      <c r="AA3423">
        <v>0.83836270000000002</v>
      </c>
      <c r="AB3423">
        <v>35</v>
      </c>
      <c r="AC3423">
        <v>-6.2194999999999796</v>
      </c>
      <c r="AD3423">
        <v>-1.1196618452010001</v>
      </c>
      <c r="AE3423">
        <v>-7.6163999999999898</v>
      </c>
      <c r="AF3423">
        <v>-5.45948899380946</v>
      </c>
      <c r="AG3423">
        <v>-1.1196618452010001</v>
      </c>
      <c r="AH3423">
        <v>8.02660302430413</v>
      </c>
      <c r="AI3423">
        <v>96.579524981218299</v>
      </c>
      <c r="AJ3423">
        <v>124.22253004133</v>
      </c>
      <c r="AK3423">
        <v>9.7716947778209793</v>
      </c>
      <c r="AL3423">
        <v>91.075503245651603</v>
      </c>
      <c r="AM3423">
        <v>113.52072840285</v>
      </c>
      <c r="AN3423">
        <v>0.99999997705084498</v>
      </c>
    </row>
    <row r="3424" spans="1:40" x14ac:dyDescent="0.25">
      <c r="A3424" t="str">
        <f>"20190305135656736"</f>
        <v>20190305135656736</v>
      </c>
      <c r="B3424" t="str">
        <f>"1551765416725419"</f>
        <v>1551765416725419</v>
      </c>
      <c r="C3424" t="s">
        <v>40</v>
      </c>
      <c r="D3424">
        <v>3.8037350000000001</v>
      </c>
      <c r="E3424">
        <v>0.43063980000000002</v>
      </c>
      <c r="F3424" t="s">
        <v>41</v>
      </c>
      <c r="G3424">
        <v>-407.67290000000003</v>
      </c>
      <c r="H3424">
        <v>1.002572</v>
      </c>
      <c r="I3424">
        <v>138.16229999999999</v>
      </c>
      <c r="J3424">
        <v>-407.27780000000001</v>
      </c>
      <c r="K3424">
        <v>1.12007099999999</v>
      </c>
      <c r="L3424">
        <v>138.91149999999999</v>
      </c>
      <c r="M3424">
        <v>-0.95503879999999997</v>
      </c>
      <c r="N3424">
        <v>-1.9557109999999999E-2</v>
      </c>
      <c r="O3424">
        <v>-0.29583530000000002</v>
      </c>
      <c r="P3424">
        <v>-0.7564092</v>
      </c>
      <c r="Q3424">
        <v>-2.1426549999999999E-2</v>
      </c>
      <c r="R3424">
        <v>-0.65374779999999999</v>
      </c>
      <c r="S3424">
        <v>-1.940887</v>
      </c>
      <c r="T3424">
        <v>-0.32105280000000003</v>
      </c>
      <c r="U3424">
        <v>-2.3410030000000002</v>
      </c>
      <c r="V3424">
        <v>-0.40044390000000002</v>
      </c>
      <c r="W3424">
        <v>-1.357292E-2</v>
      </c>
      <c r="X3424">
        <v>0.9162207</v>
      </c>
      <c r="Y3424">
        <v>-0.54414849999999904</v>
      </c>
      <c r="Z3424">
        <v>-9.9323989999999997E-3</v>
      </c>
      <c r="AA3424">
        <v>0.83893009999999901</v>
      </c>
      <c r="AB3424">
        <v>34</v>
      </c>
      <c r="AC3424">
        <v>-0.395100000000013</v>
      </c>
      <c r="AD3424">
        <v>-0.11749899999999899</v>
      </c>
      <c r="AE3424">
        <v>-0.74920000000000098</v>
      </c>
      <c r="AF3424">
        <v>-0.58744009625550897</v>
      </c>
      <c r="AG3424">
        <v>-0.11749899999999899</v>
      </c>
      <c r="AH3424">
        <v>0.58777873996890095</v>
      </c>
      <c r="AI3424">
        <v>98.047919806667494</v>
      </c>
      <c r="AJ3424">
        <v>134.98349000679599</v>
      </c>
      <c r="AK3424">
        <v>0.83927095079545699</v>
      </c>
      <c r="AL3424">
        <v>90.777694945379096</v>
      </c>
      <c r="AM3424">
        <v>113.608239570878</v>
      </c>
      <c r="AN3424">
        <v>0.99999995615651205</v>
      </c>
    </row>
    <row r="3425" spans="1:40" x14ac:dyDescent="0.25">
      <c r="A3425" t="str">
        <f>"20190305135656758"</f>
        <v>20190305135656758</v>
      </c>
      <c r="B3425" t="str">
        <f>"1551765416755677"</f>
        <v>1551765416755677</v>
      </c>
      <c r="C3425" t="s">
        <v>40</v>
      </c>
      <c r="D3425">
        <v>3.9285420000000002</v>
      </c>
      <c r="E3425">
        <v>0.43220540000000002</v>
      </c>
      <c r="F3425" t="s">
        <v>41</v>
      </c>
      <c r="G3425">
        <v>-407.95670000000001</v>
      </c>
      <c r="H3425">
        <v>1.016446</v>
      </c>
      <c r="I3425">
        <v>138.07409999999999</v>
      </c>
      <c r="J3425">
        <v>-407.59359999999998</v>
      </c>
      <c r="K3425">
        <v>1.120484</v>
      </c>
      <c r="L3425">
        <v>138.8015</v>
      </c>
      <c r="M3425">
        <v>-0.95130199999999998</v>
      </c>
      <c r="N3425">
        <v>-1.9602979999999999E-2</v>
      </c>
      <c r="O3425">
        <v>-0.307637099999999</v>
      </c>
      <c r="P3425">
        <v>-0.74540490000000004</v>
      </c>
      <c r="Q3425">
        <v>-1.5754959999999998E-2</v>
      </c>
      <c r="R3425">
        <v>-0.66642650000000003</v>
      </c>
      <c r="S3425">
        <v>-1.9155580000000001</v>
      </c>
      <c r="T3425">
        <v>-0.29239009999999999</v>
      </c>
      <c r="U3425">
        <v>-2.362946</v>
      </c>
      <c r="V3425">
        <v>-0.4046555</v>
      </c>
      <c r="W3425">
        <v>-8.3839929999999993E-3</v>
      </c>
      <c r="X3425">
        <v>0.91443070000000004</v>
      </c>
      <c r="Y3425">
        <v>-0.54336289999999998</v>
      </c>
      <c r="Z3425">
        <v>-8.9968500000000007E-3</v>
      </c>
      <c r="AA3425">
        <v>0.83944969999999997</v>
      </c>
      <c r="AB3425">
        <v>34</v>
      </c>
      <c r="AC3425">
        <v>-0.36310000000003101</v>
      </c>
      <c r="AD3425">
        <v>-0.10403800000000001</v>
      </c>
      <c r="AE3425">
        <v>-0.72740000000001703</v>
      </c>
      <c r="AF3425">
        <v>-0.57103408190512905</v>
      </c>
      <c r="AG3425">
        <v>-0.10403800000000001</v>
      </c>
      <c r="AH3425">
        <v>0.56012946952254306</v>
      </c>
      <c r="AI3425">
        <v>97.410590720995302</v>
      </c>
      <c r="AJ3425">
        <v>135.55232412021101</v>
      </c>
      <c r="AK3425">
        <v>0.80662807462227504</v>
      </c>
      <c r="AL3425">
        <v>90.480373073352496</v>
      </c>
      <c r="AM3425">
        <v>113.87043356671199</v>
      </c>
      <c r="AN3425">
        <v>0.99999993506067897</v>
      </c>
    </row>
    <row r="3426" spans="1:40" x14ac:dyDescent="0.25">
      <c r="A3426" t="str">
        <f>"20190305135656783"</f>
        <v>20190305135656783</v>
      </c>
      <c r="B3426" t="str">
        <f>"1551765416776171"</f>
        <v>1551765416776171</v>
      </c>
      <c r="C3426" t="s">
        <v>40</v>
      </c>
      <c r="D3426">
        <v>3.7724229999999999</v>
      </c>
      <c r="E3426">
        <v>0.3904725</v>
      </c>
      <c r="F3426" t="s">
        <v>41</v>
      </c>
      <c r="G3426">
        <v>-408.23970000000003</v>
      </c>
      <c r="H3426">
        <v>1.028634</v>
      </c>
      <c r="I3426">
        <v>137.98330000000001</v>
      </c>
      <c r="J3426">
        <v>-407.93709999999999</v>
      </c>
      <c r="K3426">
        <v>1.1209279999999999</v>
      </c>
      <c r="L3426">
        <v>138.6764</v>
      </c>
      <c r="M3426">
        <v>-0.94684020000000002</v>
      </c>
      <c r="N3426">
        <v>-1.965503E-2</v>
      </c>
      <c r="O3426">
        <v>-0.32110349999999999</v>
      </c>
      <c r="P3426">
        <v>-0.73106190000000004</v>
      </c>
      <c r="Q3426">
        <v>-1.371559E-2</v>
      </c>
      <c r="R3426">
        <v>-0.68217340000000004</v>
      </c>
      <c r="S3426">
        <v>-1.8850100000000001</v>
      </c>
      <c r="T3426">
        <v>-0.26797749999999998</v>
      </c>
      <c r="U3426">
        <v>-2.386841</v>
      </c>
      <c r="V3426">
        <v>-0.41120449999999997</v>
      </c>
      <c r="W3426">
        <v>-6.959898E-3</v>
      </c>
      <c r="X3426">
        <v>0.91151649999999995</v>
      </c>
      <c r="Y3426">
        <v>-0.54244099999999995</v>
      </c>
      <c r="Z3426">
        <v>-8.1156719999999904E-3</v>
      </c>
      <c r="AA3426">
        <v>0.84005469999999904</v>
      </c>
      <c r="AB3426">
        <v>34</v>
      </c>
      <c r="AC3426">
        <v>-0.30260000000004</v>
      </c>
      <c r="AD3426">
        <v>-9.2294000000000098E-2</v>
      </c>
      <c r="AE3426">
        <v>-0.69309999999998695</v>
      </c>
      <c r="AF3426">
        <v>-0.550991035645781</v>
      </c>
      <c r="AG3426">
        <v>-9.2294000000000098E-2</v>
      </c>
      <c r="AH3426">
        <v>0.50169717092284605</v>
      </c>
      <c r="AI3426">
        <v>97.060405491145204</v>
      </c>
      <c r="AJ3426">
        <v>137.68101111248899</v>
      </c>
      <c r="AK3426">
        <v>0.75087239602345102</v>
      </c>
      <c r="AL3426">
        <v>90.398776018540403</v>
      </c>
      <c r="AM3426">
        <v>114.281149277298</v>
      </c>
      <c r="AN3426">
        <v>0.99999995538633402</v>
      </c>
    </row>
    <row r="3427" spans="1:40" x14ac:dyDescent="0.25">
      <c r="A3427" t="str">
        <f>"20190305135656807"</f>
        <v>20190305135656807</v>
      </c>
      <c r="B3427" t="str">
        <f>"1551765416795691"</f>
        <v>1551765416795691</v>
      </c>
      <c r="C3427" t="s">
        <v>40</v>
      </c>
      <c r="D3427">
        <v>3.7727029999999999</v>
      </c>
      <c r="E3427">
        <v>0.38131619999999999</v>
      </c>
      <c r="F3427" t="s">
        <v>42</v>
      </c>
      <c r="G3427">
        <v>-420.21030000000002</v>
      </c>
      <c r="H3427" s="1">
        <v>-3.7175509999999999E-6</v>
      </c>
      <c r="I3427">
        <v>118.12439999999999</v>
      </c>
      <c r="J3427">
        <v>-408.27800000000002</v>
      </c>
      <c r="K3427">
        <v>1.1213679999999999</v>
      </c>
      <c r="L3427">
        <v>138.54640000000001</v>
      </c>
      <c r="M3427">
        <v>-0.94196899999999995</v>
      </c>
      <c r="N3427">
        <v>-1.9715940000000001E-2</v>
      </c>
      <c r="O3427">
        <v>-0.3351208</v>
      </c>
      <c r="P3427">
        <v>-0.71546650000000001</v>
      </c>
      <c r="Q3427">
        <v>-1.3118019999999999E-2</v>
      </c>
      <c r="R3427">
        <v>-0.69852419999999904</v>
      </c>
      <c r="S3427">
        <v>-1.600311</v>
      </c>
      <c r="T3427">
        <v>-0.14615999999999901</v>
      </c>
      <c r="U3427">
        <v>-2.6798099999999998</v>
      </c>
      <c r="V3427">
        <v>-0.41827009999999998</v>
      </c>
      <c r="W3427">
        <v>-7.0138960000000004E-3</v>
      </c>
      <c r="X3427">
        <v>0.90829559999999998</v>
      </c>
      <c r="Y3427">
        <v>-0.63619769999999998</v>
      </c>
      <c r="Z3427">
        <v>-1.343627E-2</v>
      </c>
      <c r="AA3427">
        <v>0.77140909999999996</v>
      </c>
      <c r="AB3427">
        <v>34</v>
      </c>
      <c r="AC3427">
        <v>-11.9322999999999</v>
      </c>
      <c r="AD3427">
        <v>-1.1213717175509901</v>
      </c>
      <c r="AE3427">
        <v>-20.422000000000001</v>
      </c>
      <c r="AF3427">
        <v>-15.206908227634599</v>
      </c>
      <c r="AG3427">
        <v>-1.1213717175509901</v>
      </c>
      <c r="AH3427">
        <v>18.046642748689699</v>
      </c>
      <c r="AI3427">
        <v>92.720475692046094</v>
      </c>
      <c r="AJ3427">
        <v>130.11898702978601</v>
      </c>
      <c r="AK3427">
        <v>23.626020546665501</v>
      </c>
      <c r="AL3427">
        <v>90.401869940146199</v>
      </c>
      <c r="AM3427">
        <v>114.726069176385</v>
      </c>
      <c r="AN3427">
        <v>0.99999998413523405</v>
      </c>
    </row>
    <row r="3428" spans="1:40" x14ac:dyDescent="0.25">
      <c r="A3428" t="str">
        <f>"20190305135656828"</f>
        <v>20190305135656828</v>
      </c>
      <c r="B3428" t="str">
        <f>"1551765416825947"</f>
        <v>1551765416825947</v>
      </c>
      <c r="C3428" t="s">
        <v>40</v>
      </c>
      <c r="D3428">
        <v>3.671306</v>
      </c>
      <c r="E3428">
        <v>0.38197890000000001</v>
      </c>
      <c r="F3428" t="s">
        <v>42</v>
      </c>
      <c r="G3428">
        <v>-422.3356</v>
      </c>
      <c r="H3428" s="1">
        <v>-1.8067720000000001E-6</v>
      </c>
      <c r="I3428">
        <v>112.35209999999999</v>
      </c>
      <c r="J3428">
        <v>-408.58019999999999</v>
      </c>
      <c r="K3428">
        <v>1.121774</v>
      </c>
      <c r="L3428">
        <v>138.42570000000001</v>
      </c>
      <c r="M3428">
        <v>-0.93722919999999998</v>
      </c>
      <c r="N3428">
        <v>-1.978069E-2</v>
      </c>
      <c r="O3428">
        <v>-0.34815279999999998</v>
      </c>
      <c r="P3428">
        <v>-0.70061580000000001</v>
      </c>
      <c r="Q3428">
        <v>-1.3297420000000001E-2</v>
      </c>
      <c r="R3428">
        <v>-0.71341519999999903</v>
      </c>
      <c r="S3428">
        <v>-1.486542</v>
      </c>
      <c r="T3428">
        <v>-0.11858050000000001</v>
      </c>
      <c r="U3428">
        <v>-2.769943</v>
      </c>
      <c r="V3428">
        <v>-0.42474840000000003</v>
      </c>
      <c r="W3428">
        <v>-7.7987219999999897E-3</v>
      </c>
      <c r="X3428">
        <v>0.90527780000000002</v>
      </c>
      <c r="Y3428">
        <v>-0.66065410000000002</v>
      </c>
      <c r="Z3428">
        <v>-1.4101850000000001E-2</v>
      </c>
      <c r="AA3428">
        <v>0.75055799999999995</v>
      </c>
      <c r="AB3428">
        <v>34</v>
      </c>
      <c r="AC3428">
        <v>-13.7554</v>
      </c>
      <c r="AD3428">
        <v>-1.1217758067720001</v>
      </c>
      <c r="AE3428">
        <v>-26.073599999999999</v>
      </c>
      <c r="AF3428">
        <v>-19.623386289107302</v>
      </c>
      <c r="AG3428">
        <v>-1.1217758067720001</v>
      </c>
      <c r="AH3428">
        <v>21.942084008686098</v>
      </c>
      <c r="AI3428">
        <v>92.182359121574805</v>
      </c>
      <c r="AJ3428">
        <v>131.80710832821299</v>
      </c>
      <c r="AK3428">
        <v>29.458287816104001</v>
      </c>
      <c r="AL3428">
        <v>90.446838403930499</v>
      </c>
      <c r="AM3428">
        <v>115.135557601682</v>
      </c>
      <c r="AN3428">
        <v>0.99999995927011498</v>
      </c>
    </row>
    <row r="3429" spans="1:40" x14ac:dyDescent="0.25">
      <c r="A3429" t="str">
        <f>"20190305135656849"</f>
        <v>20190305135656849</v>
      </c>
      <c r="B3429" t="str">
        <f>"1551765416845467"</f>
        <v>1551765416845467</v>
      </c>
      <c r="C3429" t="s">
        <v>40</v>
      </c>
      <c r="D3429">
        <v>3.6603150000000002</v>
      </c>
      <c r="E3429">
        <v>0.38246530000000001</v>
      </c>
      <c r="F3429" t="s">
        <v>42</v>
      </c>
      <c r="G3429">
        <v>-423.56119999999999</v>
      </c>
      <c r="H3429" s="1">
        <v>-5.1835219999999998E-6</v>
      </c>
      <c r="I3429">
        <v>109.13930000000001</v>
      </c>
      <c r="J3429">
        <v>-408.85390000000001</v>
      </c>
      <c r="K3429">
        <v>1.1221380000000001</v>
      </c>
      <c r="L3429">
        <v>138.3115</v>
      </c>
      <c r="M3429">
        <v>-0.93255600000000005</v>
      </c>
      <c r="N3429">
        <v>-1.9850320000000001E-2</v>
      </c>
      <c r="O3429">
        <v>-0.36047960000000001</v>
      </c>
      <c r="P3429">
        <v>-0.68712589999999996</v>
      </c>
      <c r="Q3429">
        <v>-1.446558E-2</v>
      </c>
      <c r="R3429">
        <v>-0.72639500000000001</v>
      </c>
      <c r="S3429">
        <v>-1.4310909999999999</v>
      </c>
      <c r="T3429">
        <v>-0.1071603</v>
      </c>
      <c r="U3429">
        <v>-2.7976380000000001</v>
      </c>
      <c r="V3429">
        <v>-0.4297028</v>
      </c>
      <c r="W3429">
        <v>-9.493886E-3</v>
      </c>
      <c r="X3429">
        <v>0.90292050000000001</v>
      </c>
      <c r="Y3429">
        <v>-0.66561400000000004</v>
      </c>
      <c r="Z3429">
        <v>-1.405008E-2</v>
      </c>
      <c r="AA3429">
        <v>0.74616389999999999</v>
      </c>
      <c r="AB3429">
        <v>34</v>
      </c>
      <c r="AC3429">
        <v>-14.707299999999901</v>
      </c>
      <c r="AD3429">
        <v>-1.1221431835219999</v>
      </c>
      <c r="AE3429">
        <v>-29.172199999999901</v>
      </c>
      <c r="AF3429">
        <v>-21.881526724438299</v>
      </c>
      <c r="AG3429">
        <v>-1.1221431835219999</v>
      </c>
      <c r="AH3429">
        <v>24.207576364547599</v>
      </c>
      <c r="AI3429">
        <v>91.969537055789999</v>
      </c>
      <c r="AJ3429">
        <v>132.11081711045799</v>
      </c>
      <c r="AK3429">
        <v>32.650684074947598</v>
      </c>
      <c r="AL3429">
        <v>90.543967754651703</v>
      </c>
      <c r="AM3429">
        <v>115.44992862628401</v>
      </c>
      <c r="AN3429">
        <v>1.00000002975973</v>
      </c>
    </row>
    <row r="3430" spans="1:40" x14ac:dyDescent="0.25">
      <c r="A3430" t="str">
        <f>"20190305135656872"</f>
        <v>20190305135656872</v>
      </c>
      <c r="B3430" t="str">
        <f>"1551765416865964"</f>
        <v>1551765416865964</v>
      </c>
      <c r="C3430" t="s">
        <v>40</v>
      </c>
      <c r="D3430">
        <v>3.6782509999999999</v>
      </c>
      <c r="E3430">
        <v>0.38301239999999998</v>
      </c>
      <c r="F3430" t="s">
        <v>42</v>
      </c>
      <c r="G3430">
        <v>-422.97210000000001</v>
      </c>
      <c r="H3430" s="1">
        <v>-5.20646499999999E-6</v>
      </c>
      <c r="I3430">
        <v>109.4712</v>
      </c>
      <c r="J3430">
        <v>-409.1678</v>
      </c>
      <c r="K3430">
        <v>1.1225700000000001</v>
      </c>
      <c r="L3430">
        <v>138.17449999999999</v>
      </c>
      <c r="M3430">
        <v>-0.92671420000000004</v>
      </c>
      <c r="N3430">
        <v>-1.994518E-2</v>
      </c>
      <c r="O3430">
        <v>-0.3752374</v>
      </c>
      <c r="P3430">
        <v>-0.67185890000000004</v>
      </c>
      <c r="Q3430">
        <v>-1.4634619999999999E-2</v>
      </c>
      <c r="R3430">
        <v>-0.74053500000000005</v>
      </c>
      <c r="S3430">
        <v>-1.3811340000000001</v>
      </c>
      <c r="T3430">
        <v>-0.1097754</v>
      </c>
      <c r="U3430">
        <v>-2.8213499999999998</v>
      </c>
      <c r="V3430">
        <v>-0.43413679999999899</v>
      </c>
      <c r="W3430">
        <v>-1.0218990000000001E-2</v>
      </c>
      <c r="X3430">
        <v>0.90078899999999995</v>
      </c>
      <c r="Y3430">
        <v>-0.66688069999999999</v>
      </c>
      <c r="Z3430">
        <v>-1.381985E-2</v>
      </c>
      <c r="AA3430">
        <v>0.74503640000000004</v>
      </c>
      <c r="AB3430">
        <v>34</v>
      </c>
      <c r="AC3430">
        <v>-13.8043</v>
      </c>
      <c r="AD3430">
        <v>-1.1225752064650001</v>
      </c>
      <c r="AE3430">
        <v>-28.703299999999999</v>
      </c>
      <c r="AF3430">
        <v>-21.397545632290502</v>
      </c>
      <c r="AG3430">
        <v>-1.1225752064650001</v>
      </c>
      <c r="AH3430">
        <v>23.538638632192001</v>
      </c>
      <c r="AI3430">
        <v>92.021083593691003</v>
      </c>
      <c r="AJ3430">
        <v>132.27206738007499</v>
      </c>
      <c r="AK3430">
        <v>31.8305300432941</v>
      </c>
      <c r="AL3430">
        <v>90.585515185525693</v>
      </c>
      <c r="AM3430">
        <v>115.73182152985601</v>
      </c>
      <c r="AN3430">
        <v>1.0000000056959299</v>
      </c>
    </row>
    <row r="3431" spans="1:40" x14ac:dyDescent="0.25">
      <c r="A3431" t="str">
        <f>"20190305135656905"</f>
        <v>20190305135656905</v>
      </c>
      <c r="B3431" t="str">
        <f>"1551765416896218"</f>
        <v>1551765416896218</v>
      </c>
      <c r="C3431" t="s">
        <v>40</v>
      </c>
      <c r="D3431">
        <v>3.7083499999999998</v>
      </c>
      <c r="E3431">
        <v>0.38419920000000002</v>
      </c>
      <c r="F3431" t="s">
        <v>42</v>
      </c>
      <c r="G3431">
        <v>-422.77100000000002</v>
      </c>
      <c r="H3431" s="1">
        <v>-4.9755589999999998E-6</v>
      </c>
      <c r="I3431">
        <v>108.9628</v>
      </c>
      <c r="J3431">
        <v>-409.5967</v>
      </c>
      <c r="K3431">
        <v>1.123156</v>
      </c>
      <c r="L3431">
        <v>137.9768</v>
      </c>
      <c r="M3431">
        <v>-0.91786429999999997</v>
      </c>
      <c r="N3431">
        <v>-2.0097050000000002E-2</v>
      </c>
      <c r="O3431">
        <v>-0.3963854</v>
      </c>
      <c r="P3431">
        <v>-0.6506923</v>
      </c>
      <c r="Q3431">
        <v>-1.6055050000000001E-2</v>
      </c>
      <c r="R3431">
        <v>-0.75917190000000001</v>
      </c>
      <c r="S3431">
        <v>-1.3254999999999999</v>
      </c>
      <c r="T3431">
        <v>-0.1093843</v>
      </c>
      <c r="U3431">
        <v>-2.8464049999999999</v>
      </c>
      <c r="V3431">
        <v>-0.43881229999999899</v>
      </c>
      <c r="W3431">
        <v>-1.232076E-2</v>
      </c>
      <c r="X3431">
        <v>0.89849419999999902</v>
      </c>
      <c r="Y3431">
        <v>-0.66427369999999997</v>
      </c>
      <c r="Z3431">
        <v>-1.3334489999999999E-2</v>
      </c>
      <c r="AA3431">
        <v>0.74737049999999905</v>
      </c>
      <c r="AB3431">
        <v>33</v>
      </c>
      <c r="AC3431">
        <v>-13.174299999999899</v>
      </c>
      <c r="AD3431">
        <v>-1.123160975559</v>
      </c>
      <c r="AE3431">
        <v>-29.013999999999999</v>
      </c>
      <c r="AF3431">
        <v>-21.386567298012299</v>
      </c>
      <c r="AG3431">
        <v>-1.123160975559</v>
      </c>
      <c r="AH3431">
        <v>23.568428639928101</v>
      </c>
      <c r="AI3431">
        <v>92.0212059211228</v>
      </c>
      <c r="AJ3431">
        <v>132.22136719184499</v>
      </c>
      <c r="AK3431">
        <v>31.845212825867801</v>
      </c>
      <c r="AL3431">
        <v>90.705945458005203</v>
      </c>
      <c r="AM3431">
        <v>116.030251597617</v>
      </c>
      <c r="AN3431">
        <v>0.99999993159595102</v>
      </c>
    </row>
    <row r="3432" spans="1:40" x14ac:dyDescent="0.25">
      <c r="A3432" t="str">
        <f>"20190305135656934"</f>
        <v>20190305135656934</v>
      </c>
      <c r="B3432" t="str">
        <f>"1551765416925499"</f>
        <v>1551765416925499</v>
      </c>
      <c r="C3432" t="s">
        <v>40</v>
      </c>
      <c r="D3432">
        <v>3.7197520000000002</v>
      </c>
      <c r="E3432">
        <v>0.3857508</v>
      </c>
      <c r="F3432" t="s">
        <v>42</v>
      </c>
      <c r="G3432">
        <v>-422.56180000000001</v>
      </c>
      <c r="H3432" s="1">
        <v>-4.6359209999999999E-6</v>
      </c>
      <c r="I3432">
        <v>108.175</v>
      </c>
      <c r="J3432">
        <v>-409.96690000000001</v>
      </c>
      <c r="K3432">
        <v>1.123618</v>
      </c>
      <c r="L3432">
        <v>137.79599999999999</v>
      </c>
      <c r="M3432">
        <v>-0.90936740000000005</v>
      </c>
      <c r="N3432">
        <v>-2.0237950000000001E-2</v>
      </c>
      <c r="O3432">
        <v>-0.41550160000000003</v>
      </c>
      <c r="P3432">
        <v>-0.63316969999999995</v>
      </c>
      <c r="Q3432">
        <v>-1.707854E-2</v>
      </c>
      <c r="R3432">
        <v>-0.77382499999999999</v>
      </c>
      <c r="S3432">
        <v>-1.251495</v>
      </c>
      <c r="T3432">
        <v>-0.10841679999999999</v>
      </c>
      <c r="U3432">
        <v>-2.8767239999999998</v>
      </c>
      <c r="V3432">
        <v>-0.44048379999999998</v>
      </c>
      <c r="W3432">
        <v>-1.3792509999999999E-2</v>
      </c>
      <c r="X3432">
        <v>0.89765459999999997</v>
      </c>
      <c r="Y3432">
        <v>-0.66766539999999996</v>
      </c>
      <c r="Z3432">
        <v>-1.3131800000000001E-2</v>
      </c>
      <c r="AA3432">
        <v>0.744345699999999</v>
      </c>
      <c r="AB3432">
        <v>33</v>
      </c>
      <c r="AC3432">
        <v>-12.5948999999999</v>
      </c>
      <c r="AD3432">
        <v>-1.123622635921</v>
      </c>
      <c r="AE3432">
        <v>-29.620999999999899</v>
      </c>
      <c r="AF3432">
        <v>-21.681193114145401</v>
      </c>
      <c r="AG3432">
        <v>-1.123622635921</v>
      </c>
      <c r="AH3432">
        <v>23.7369030123693</v>
      </c>
      <c r="AI3432">
        <v>92.001741688372604</v>
      </c>
      <c r="AJ3432">
        <v>132.40845218524899</v>
      </c>
      <c r="AK3432">
        <v>32.167953421059401</v>
      </c>
      <c r="AL3432">
        <v>90.790277672479405</v>
      </c>
      <c r="AM3432">
        <v>116.137427993591</v>
      </c>
      <c r="AN3432">
        <v>0.99999999614784996</v>
      </c>
    </row>
    <row r="3433" spans="1:40" x14ac:dyDescent="0.25">
      <c r="A3433" t="str">
        <f>"20190305135656955"</f>
        <v>20190305135656955</v>
      </c>
      <c r="B3433" t="str">
        <f>"1551765416945996"</f>
        <v>1551765416945996</v>
      </c>
      <c r="C3433" t="s">
        <v>40</v>
      </c>
      <c r="D3433">
        <v>3.7858869999999998</v>
      </c>
      <c r="E3433">
        <v>0.38690950000000002</v>
      </c>
      <c r="F3433" t="s">
        <v>42</v>
      </c>
      <c r="G3433">
        <v>-422.86779999999999</v>
      </c>
      <c r="H3433" s="1">
        <v>-4.0361229999999998E-6</v>
      </c>
      <c r="I3433">
        <v>106.5157</v>
      </c>
      <c r="J3433">
        <v>-410.25369999999998</v>
      </c>
      <c r="K3433">
        <v>1.123956</v>
      </c>
      <c r="L3433">
        <v>137.64840000000001</v>
      </c>
      <c r="M3433">
        <v>-0.90216859999999999</v>
      </c>
      <c r="N3433">
        <v>-2.0349229999999999E-2</v>
      </c>
      <c r="O3433">
        <v>-0.43090349999999999</v>
      </c>
      <c r="P3433">
        <v>-0.61814930000000001</v>
      </c>
      <c r="Q3433">
        <v>-1.7987220000000002E-2</v>
      </c>
      <c r="R3433">
        <v>-0.78585519999999998</v>
      </c>
      <c r="S3433">
        <v>-1.1947939999999999</v>
      </c>
      <c r="T3433">
        <v>-0.10406269999999999</v>
      </c>
      <c r="U3433">
        <v>-2.896973</v>
      </c>
      <c r="V3433">
        <v>-0.44244620000000001</v>
      </c>
      <c r="W3433">
        <v>-1.506159E-2</v>
      </c>
      <c r="X3433">
        <v>0.89666859999999904</v>
      </c>
      <c r="Y3433">
        <v>-0.6693017</v>
      </c>
      <c r="Z3433">
        <v>-1.3023089999999999E-2</v>
      </c>
      <c r="AA3433">
        <v>0.7428766</v>
      </c>
      <c r="AB3433">
        <v>33</v>
      </c>
      <c r="AC3433">
        <v>-12.614100000000001</v>
      </c>
      <c r="AD3433">
        <v>-1.123960036123</v>
      </c>
      <c r="AE3433">
        <v>-31.1327</v>
      </c>
      <c r="AF3433">
        <v>-22.630837785186898</v>
      </c>
      <c r="AG3433">
        <v>-1.123960036123</v>
      </c>
      <c r="AH3433">
        <v>24.772633562607201</v>
      </c>
      <c r="AI3433">
        <v>91.918550140508202</v>
      </c>
      <c r="AJ3433">
        <v>132.41300685924699</v>
      </c>
      <c r="AK3433">
        <v>33.572332040676798</v>
      </c>
      <c r="AL3433">
        <v>90.862998140550602</v>
      </c>
      <c r="AM3433">
        <v>116.263268670241</v>
      </c>
      <c r="AN3433">
        <v>1.0000000348068601</v>
      </c>
    </row>
    <row r="3434" spans="1:40" x14ac:dyDescent="0.25">
      <c r="A3434" t="str">
        <f>"20190305135656976"</f>
        <v>20190305135656976</v>
      </c>
      <c r="B3434" t="str">
        <f>"1551765416965515"</f>
        <v>1551765416965515</v>
      </c>
      <c r="C3434" t="s">
        <v>40</v>
      </c>
      <c r="D3434">
        <v>3.7865890000000002</v>
      </c>
      <c r="E3434">
        <v>0.38809959999999999</v>
      </c>
      <c r="F3434" t="s">
        <v>42</v>
      </c>
      <c r="G3434">
        <v>-422.92320000000001</v>
      </c>
      <c r="H3434" s="1">
        <v>-3.5330739999999998E-6</v>
      </c>
      <c r="I3434">
        <v>105.4203</v>
      </c>
      <c r="J3434">
        <v>-410.51089999999999</v>
      </c>
      <c r="K3434">
        <v>1.1242350000000001</v>
      </c>
      <c r="L3434">
        <v>137.51050000000001</v>
      </c>
      <c r="M3434">
        <v>-0.89524709999999996</v>
      </c>
      <c r="N3434">
        <v>-2.0453659999999999E-2</v>
      </c>
      <c r="O3434">
        <v>-0.4451002</v>
      </c>
      <c r="P3434">
        <v>-0.60369329999999999</v>
      </c>
      <c r="Q3434">
        <v>-1.964076E-2</v>
      </c>
      <c r="R3434">
        <v>-0.79697499999999999</v>
      </c>
      <c r="S3434">
        <v>-1.1455690000000001</v>
      </c>
      <c r="T3434">
        <v>-0.1016275</v>
      </c>
      <c r="U3434">
        <v>-2.9140320000000002</v>
      </c>
      <c r="V3434">
        <v>-0.44455459999999902</v>
      </c>
      <c r="W3434">
        <v>-1.703433E-2</v>
      </c>
      <c r="X3434">
        <v>0.89558979999999999</v>
      </c>
      <c r="Y3434">
        <v>-0.66992130000000005</v>
      </c>
      <c r="Z3434">
        <v>-1.287921E-2</v>
      </c>
      <c r="AA3434">
        <v>0.74232039999999999</v>
      </c>
      <c r="AB3434">
        <v>33</v>
      </c>
      <c r="AC3434">
        <v>-12.4123</v>
      </c>
      <c r="AD3434">
        <v>-1.1242385330739999</v>
      </c>
      <c r="AE3434">
        <v>-32.090200000000003</v>
      </c>
      <c r="AF3434">
        <v>-23.184045516537299</v>
      </c>
      <c r="AG3434">
        <v>-1.1242385330739999</v>
      </c>
      <c r="AH3434">
        <v>25.373655209372799</v>
      </c>
      <c r="AI3434">
        <v>91.873449864954196</v>
      </c>
      <c r="AJ3434">
        <v>132.41811363935199</v>
      </c>
      <c r="AK3434">
        <v>34.388751903438703</v>
      </c>
      <c r="AL3434">
        <v>90.976042397774506</v>
      </c>
      <c r="AM3434">
        <v>116.398971511265</v>
      </c>
      <c r="AN3434">
        <v>1.0000000253218699</v>
      </c>
    </row>
    <row r="3435" spans="1:40" x14ac:dyDescent="0.25">
      <c r="A3435" t="str">
        <f>"20190305135656998"</f>
        <v>20190305135656998</v>
      </c>
      <c r="B3435" t="str">
        <f>"1551765416995772"</f>
        <v>1551765416995772</v>
      </c>
      <c r="C3435" t="s">
        <v>40</v>
      </c>
      <c r="D3435">
        <v>3.7893400000000002</v>
      </c>
      <c r="E3435">
        <v>0.40129769999999998</v>
      </c>
      <c r="F3435" t="s">
        <v>42</v>
      </c>
      <c r="G3435">
        <v>-422.55200000000002</v>
      </c>
      <c r="H3435" s="1">
        <v>-3.4492459999999999E-6</v>
      </c>
      <c r="I3435">
        <v>105.45189999999999</v>
      </c>
      <c r="J3435">
        <v>-410.7937</v>
      </c>
      <c r="K3435">
        <v>1.12452</v>
      </c>
      <c r="L3435">
        <v>137.35239999999999</v>
      </c>
      <c r="M3435">
        <v>-0.88707400000000003</v>
      </c>
      <c r="N3435">
        <v>-2.0568380000000001E-2</v>
      </c>
      <c r="O3435">
        <v>-0.4611692</v>
      </c>
      <c r="P3435">
        <v>-0.58829379999999998</v>
      </c>
      <c r="Q3435">
        <v>-2.108413E-2</v>
      </c>
      <c r="R3435">
        <v>-0.80837320000000001</v>
      </c>
      <c r="S3435">
        <v>-1.099945</v>
      </c>
      <c r="T3435">
        <v>-0.1026977</v>
      </c>
      <c r="U3435">
        <v>-2.9285130000000001</v>
      </c>
      <c r="V3435">
        <v>-0.44549129999999998</v>
      </c>
      <c r="W3435">
        <v>-1.875288E-2</v>
      </c>
      <c r="X3435">
        <v>0.89508989999999999</v>
      </c>
      <c r="Y3435">
        <v>-0.66786440000000002</v>
      </c>
      <c r="Z3435">
        <v>-1.249227E-2</v>
      </c>
      <c r="AA3435">
        <v>0.74417809999999995</v>
      </c>
      <c r="AB3435">
        <v>33</v>
      </c>
      <c r="AC3435">
        <v>-11.758299999999901</v>
      </c>
      <c r="AD3435">
        <v>-1.1245234492459999</v>
      </c>
      <c r="AE3435">
        <v>-31.900499999999901</v>
      </c>
      <c r="AF3435">
        <v>-22.8553707137389</v>
      </c>
      <c r="AG3435">
        <v>-1.1245234492459999</v>
      </c>
      <c r="AH3435">
        <v>25.119844484302099</v>
      </c>
      <c r="AI3435">
        <v>91.896475868908993</v>
      </c>
      <c r="AJ3435">
        <v>132.29759285058299</v>
      </c>
      <c r="AK3435">
        <v>33.979981023624198</v>
      </c>
      <c r="AL3435">
        <v>91.074523811077697</v>
      </c>
      <c r="AM3435">
        <v>116.45978941007</v>
      </c>
      <c r="AN3435">
        <v>1.0000000489829901</v>
      </c>
    </row>
    <row r="3436" spans="1:40" x14ac:dyDescent="0.25">
      <c r="A3436" t="str">
        <f>"20190305135657038"</f>
        <v>20190305135657038</v>
      </c>
      <c r="B3436" t="str">
        <f>"1551765417035788"</f>
        <v>1551765417035788</v>
      </c>
      <c r="C3436" t="s">
        <v>40</v>
      </c>
      <c r="D3436">
        <v>3.8104930000000001</v>
      </c>
      <c r="E3436">
        <v>0.4033294</v>
      </c>
      <c r="F3436" t="s">
        <v>42</v>
      </c>
      <c r="G3436">
        <v>-423.38889999999998</v>
      </c>
      <c r="H3436" s="1">
        <v>-3.5176309999999998E-6</v>
      </c>
      <c r="I3436">
        <v>105.12560000000001</v>
      </c>
      <c r="J3436">
        <v>-411.2749</v>
      </c>
      <c r="K3436">
        <v>1.1249849999999999</v>
      </c>
      <c r="L3436">
        <v>137.0667</v>
      </c>
      <c r="M3436">
        <v>-0.87172590000000005</v>
      </c>
      <c r="N3436">
        <v>-2.075428E-2</v>
      </c>
      <c r="O3436">
        <v>-0.4895543</v>
      </c>
      <c r="P3436">
        <v>-0.5626449</v>
      </c>
      <c r="Q3436">
        <v>-2.1242810000000001E-2</v>
      </c>
      <c r="R3436">
        <v>-0.82642610000000005</v>
      </c>
      <c r="S3436">
        <v>-1.1284479999999999</v>
      </c>
      <c r="T3436">
        <v>-0.10075000000000001</v>
      </c>
      <c r="U3436">
        <v>-2.8873139999999999</v>
      </c>
      <c r="V3436">
        <v>-0.44465939999999998</v>
      </c>
      <c r="W3436">
        <v>-1.924234E-2</v>
      </c>
      <c r="X3436">
        <v>0.89549299999999998</v>
      </c>
      <c r="Y3436">
        <v>-0.63333899999999999</v>
      </c>
      <c r="Z3436">
        <v>-1.0833819999999999E-2</v>
      </c>
      <c r="AA3436">
        <v>0.7737986</v>
      </c>
      <c r="AB3436">
        <v>33</v>
      </c>
      <c r="AC3436">
        <v>-12.1139999999999</v>
      </c>
      <c r="AD3436">
        <v>-1.1249885176309999</v>
      </c>
      <c r="AE3436">
        <v>-31.941099999999899</v>
      </c>
      <c r="AF3436">
        <v>-21.894397618026399</v>
      </c>
      <c r="AG3436">
        <v>-1.1249885176309999</v>
      </c>
      <c r="AH3436">
        <v>26.174245577003202</v>
      </c>
      <c r="AI3436">
        <v>91.888217233638102</v>
      </c>
      <c r="AJ3436">
        <v>129.91201973038201</v>
      </c>
      <c r="AK3436">
        <v>34.142662136194303</v>
      </c>
      <c r="AL3436">
        <v>91.102572938837696</v>
      </c>
      <c r="AM3436">
        <v>116.406817361238</v>
      </c>
      <c r="AN3436">
        <v>0.99999998135301704</v>
      </c>
    </row>
    <row r="3437" spans="1:40" x14ac:dyDescent="0.25">
      <c r="A3437" t="str">
        <f>"20190305135657062"</f>
        <v>20190305135657062</v>
      </c>
      <c r="B3437" t="str">
        <f>"1551765417055307"</f>
        <v>1551765417055307</v>
      </c>
      <c r="C3437" t="s">
        <v>40</v>
      </c>
      <c r="D3437">
        <v>3.83318</v>
      </c>
      <c r="E3437">
        <v>0.40433330000000001</v>
      </c>
      <c r="F3437" t="s">
        <v>42</v>
      </c>
      <c r="G3437">
        <v>-422.66340000000002</v>
      </c>
      <c r="H3437" s="1">
        <v>-3.5065479999999999E-6</v>
      </c>
      <c r="I3437">
        <v>105.51049999999999</v>
      </c>
      <c r="J3437">
        <v>-411.54579999999999</v>
      </c>
      <c r="K3437">
        <v>1.125243</v>
      </c>
      <c r="L3437">
        <v>136.89599999999999</v>
      </c>
      <c r="M3437">
        <v>-0.86222799999999999</v>
      </c>
      <c r="N3437">
        <v>-2.0860469999999999E-2</v>
      </c>
      <c r="O3437">
        <v>-0.50609090000000001</v>
      </c>
      <c r="P3437">
        <v>-0.54665430000000004</v>
      </c>
      <c r="Q3437">
        <v>-1.910355E-2</v>
      </c>
      <c r="R3437">
        <v>-0.83714059999999901</v>
      </c>
      <c r="S3437">
        <v>-1.0509029999999999</v>
      </c>
      <c r="T3437">
        <v>-0.1038115</v>
      </c>
      <c r="U3437">
        <v>-2.9119419999999998</v>
      </c>
      <c r="V3437">
        <v>-0.44491000000000003</v>
      </c>
      <c r="W3437">
        <v>-1.7295729999999999E-2</v>
      </c>
      <c r="X3437">
        <v>0.89540830000000005</v>
      </c>
      <c r="Y3437">
        <v>-0.63883650000000003</v>
      </c>
      <c r="Z3437">
        <v>-1.0529480000000001E-2</v>
      </c>
      <c r="AA3437">
        <v>0.76927049999999997</v>
      </c>
      <c r="AB3437">
        <v>32</v>
      </c>
      <c r="AC3437">
        <v>-11.117599999999999</v>
      </c>
      <c r="AD3437">
        <v>-1.125246506548</v>
      </c>
      <c r="AE3437">
        <v>-31.3855</v>
      </c>
      <c r="AF3437">
        <v>-21.4151449655877</v>
      </c>
      <c r="AG3437">
        <v>-1.125246506548</v>
      </c>
      <c r="AH3437">
        <v>25.446299895890299</v>
      </c>
      <c r="AI3437">
        <v>91.937773623436698</v>
      </c>
      <c r="AJ3437">
        <v>130.08335765432199</v>
      </c>
      <c r="AK3437">
        <v>33.2774517051595</v>
      </c>
      <c r="AL3437">
        <v>90.991021709489402</v>
      </c>
      <c r="AM3437">
        <v>116.421838076762</v>
      </c>
      <c r="AN3437">
        <v>1.0000000370425599</v>
      </c>
    </row>
    <row r="3438" spans="1:40" x14ac:dyDescent="0.25">
      <c r="A3438" t="str">
        <f>"20190305135657084"</f>
        <v>20190305135657084</v>
      </c>
      <c r="B3438" t="str">
        <f>"1551765417075349"</f>
        <v>1551765417075349</v>
      </c>
      <c r="C3438" t="s">
        <v>40</v>
      </c>
      <c r="D3438">
        <v>3.83128</v>
      </c>
      <c r="E3438">
        <v>0.40515089999999998</v>
      </c>
      <c r="F3438" t="s">
        <v>42</v>
      </c>
      <c r="G3438">
        <v>-422.69319999999999</v>
      </c>
      <c r="H3438" s="1">
        <v>-2.948837E-6</v>
      </c>
      <c r="I3438">
        <v>104.3139</v>
      </c>
      <c r="J3438">
        <v>-411.81130000000002</v>
      </c>
      <c r="K3438">
        <v>1.1254729999999999</v>
      </c>
      <c r="L3438">
        <v>136.72139999999999</v>
      </c>
      <c r="M3438">
        <v>-0.85227949999999997</v>
      </c>
      <c r="N3438">
        <v>-2.0965259999999999E-2</v>
      </c>
      <c r="O3438">
        <v>-0.52266629999999903</v>
      </c>
      <c r="P3438">
        <v>-0.52879980000000004</v>
      </c>
      <c r="Q3438">
        <v>-1.6954159999999999E-2</v>
      </c>
      <c r="R3438">
        <v>-0.84857739999999904</v>
      </c>
      <c r="S3438">
        <v>-1.0015259999999999</v>
      </c>
      <c r="T3438">
        <v>-0.1010971</v>
      </c>
      <c r="U3438">
        <v>-2.9273220000000002</v>
      </c>
      <c r="V3438">
        <v>-0.44667570000000001</v>
      </c>
      <c r="W3438">
        <v>-1.538987E-2</v>
      </c>
      <c r="X3438">
        <v>0.89456360000000001</v>
      </c>
      <c r="Y3438">
        <v>-0.63682550000000004</v>
      </c>
      <c r="Z3438">
        <v>-1.032769E-2</v>
      </c>
      <c r="AA3438">
        <v>0.77093880000000004</v>
      </c>
      <c r="AB3438">
        <v>32</v>
      </c>
      <c r="AC3438">
        <v>-10.8818999999999</v>
      </c>
      <c r="AD3438">
        <v>-1.1254759488370001</v>
      </c>
      <c r="AE3438">
        <v>-32.407499999999899</v>
      </c>
      <c r="AF3438">
        <v>-21.913715823184901</v>
      </c>
      <c r="AG3438">
        <v>-1.1254759488370001</v>
      </c>
      <c r="AH3438">
        <v>26.190104684322701</v>
      </c>
      <c r="AI3438">
        <v>91.887677163694406</v>
      </c>
      <c r="AJ3438">
        <v>129.91980870543699</v>
      </c>
      <c r="AK3438">
        <v>34.167224362925602</v>
      </c>
      <c r="AL3438">
        <v>90.881809381732296</v>
      </c>
      <c r="AM3438">
        <v>116.533986749565</v>
      </c>
      <c r="AN3438">
        <v>1.0000000317570299</v>
      </c>
    </row>
    <row r="3439" spans="1:40" x14ac:dyDescent="0.25">
      <c r="A3439" t="str">
        <f>"20190305135657106"</f>
        <v>20190305135657106</v>
      </c>
      <c r="B3439" t="str">
        <f>"1551765417095845"</f>
        <v>1551765417095845</v>
      </c>
      <c r="C3439" t="s">
        <v>40</v>
      </c>
      <c r="D3439">
        <v>3.8577650000000001</v>
      </c>
      <c r="E3439">
        <v>0.40550809999999998</v>
      </c>
      <c r="F3439" t="s">
        <v>42</v>
      </c>
      <c r="G3439">
        <v>-422.65559999999999</v>
      </c>
      <c r="H3439" s="1">
        <v>-2.2820360000000001E-6</v>
      </c>
      <c r="I3439">
        <v>102.92440000000001</v>
      </c>
      <c r="J3439">
        <v>-412.07960000000003</v>
      </c>
      <c r="K3439">
        <v>1.125677</v>
      </c>
      <c r="L3439">
        <v>136.53710000000001</v>
      </c>
      <c r="M3439">
        <v>-0.84153899999999904</v>
      </c>
      <c r="N3439">
        <v>-2.10698E-2</v>
      </c>
      <c r="O3439">
        <v>-0.53978549999999903</v>
      </c>
      <c r="P3439">
        <v>-0.51061469999999998</v>
      </c>
      <c r="Q3439">
        <v>-1.7333250000000001E-2</v>
      </c>
      <c r="R3439">
        <v>-0.85963509999999999</v>
      </c>
      <c r="S3439">
        <v>-0.9448242</v>
      </c>
      <c r="T3439">
        <v>-9.8058699999999999E-2</v>
      </c>
      <c r="U3439">
        <v>-2.9446110000000001</v>
      </c>
      <c r="V3439">
        <v>-0.44761119999999999</v>
      </c>
      <c r="W3439">
        <v>-1.5964079999999999E-2</v>
      </c>
      <c r="X3439">
        <v>0.89408580000000004</v>
      </c>
      <c r="Y3439">
        <v>-0.63603009999999904</v>
      </c>
      <c r="Z3439">
        <v>-1.021153E-2</v>
      </c>
      <c r="AA3439">
        <v>0.77159669999999903</v>
      </c>
      <c r="AB3439">
        <v>32</v>
      </c>
      <c r="AC3439">
        <v>-10.575999999999899</v>
      </c>
      <c r="AD3439">
        <v>-1.125679282036</v>
      </c>
      <c r="AE3439">
        <v>-33.612699999999997</v>
      </c>
      <c r="AF3439">
        <v>-22.5596145884812</v>
      </c>
      <c r="AG3439">
        <v>-1.125679282036</v>
      </c>
      <c r="AH3439">
        <v>27.022189649280001</v>
      </c>
      <c r="AI3439">
        <v>91.831597451764097</v>
      </c>
      <c r="AJ3439">
        <v>129.85699164871099</v>
      </c>
      <c r="AK3439">
        <v>35.219342663775997</v>
      </c>
      <c r="AL3439">
        <v>90.914713237739207</v>
      </c>
      <c r="AM3439">
        <v>116.594178504376</v>
      </c>
      <c r="AN3439">
        <v>1.0000000279886601</v>
      </c>
    </row>
    <row r="3440" spans="1:40" x14ac:dyDescent="0.25">
      <c r="A3440" t="str">
        <f>"20190305135657129"</f>
        <v>20190305135657129</v>
      </c>
      <c r="B3440" t="str">
        <f>"1551765417115366"</f>
        <v>1551765417115366</v>
      </c>
      <c r="C3440" t="s">
        <v>40</v>
      </c>
      <c r="D3440">
        <v>3.8526910000000001</v>
      </c>
      <c r="E3440">
        <v>0.411528</v>
      </c>
      <c r="F3440" t="s">
        <v>42</v>
      </c>
      <c r="G3440">
        <v>-422.17500000000001</v>
      </c>
      <c r="H3440" s="1">
        <v>-2.0594990000000001E-6</v>
      </c>
      <c r="I3440">
        <v>102.7242</v>
      </c>
      <c r="J3440">
        <v>-412.32549999999998</v>
      </c>
      <c r="K3440">
        <v>1.125831</v>
      </c>
      <c r="L3440">
        <v>136.36089999999999</v>
      </c>
      <c r="M3440">
        <v>-0.8310478</v>
      </c>
      <c r="N3440">
        <v>-2.1167020000000002E-2</v>
      </c>
      <c r="O3440">
        <v>-0.55579799999999902</v>
      </c>
      <c r="P3440">
        <v>-0.49441259999999998</v>
      </c>
      <c r="Q3440">
        <v>-1.97571E-2</v>
      </c>
      <c r="R3440">
        <v>-0.86900299999999997</v>
      </c>
      <c r="S3440">
        <v>-0.88449100000000003</v>
      </c>
      <c r="T3440">
        <v>-9.8624939999999994E-2</v>
      </c>
      <c r="U3440">
        <v>-2.9624790000000001</v>
      </c>
      <c r="V3440">
        <v>-0.44710830000000001</v>
      </c>
      <c r="W3440">
        <v>-1.8486900000000001E-2</v>
      </c>
      <c r="X3440">
        <v>0.89428879999999999</v>
      </c>
      <c r="Y3440">
        <v>-0.63695419999999903</v>
      </c>
      <c r="Z3440">
        <v>-9.9060929999999995E-3</v>
      </c>
      <c r="AA3440">
        <v>0.77083800000000002</v>
      </c>
      <c r="AB3440">
        <v>32</v>
      </c>
      <c r="AC3440">
        <v>-9.8495000000000292</v>
      </c>
      <c r="AD3440">
        <v>-1.125833059499</v>
      </c>
      <c r="AE3440">
        <v>-33.636699999999898</v>
      </c>
      <c r="AF3440">
        <v>-22.4612363294438</v>
      </c>
      <c r="AG3440">
        <v>-1.125833059499</v>
      </c>
      <c r="AH3440">
        <v>26.8589280789868</v>
      </c>
      <c r="AI3440">
        <v>91.841695709701199</v>
      </c>
      <c r="AJ3440">
        <v>129.904628204255</v>
      </c>
      <c r="AK3440">
        <v>35.031081271881597</v>
      </c>
      <c r="AL3440">
        <v>91.059281660532505</v>
      </c>
      <c r="AM3440">
        <v>116.563200847709</v>
      </c>
      <c r="AN3440">
        <v>1.0000000276029599</v>
      </c>
    </row>
    <row r="3441" spans="1:40" x14ac:dyDescent="0.25">
      <c r="A3441" t="str">
        <f>"20190305135657173"</f>
        <v>20190305135657173</v>
      </c>
      <c r="B3441" t="str">
        <f>"1551765417166121"</f>
        <v>1551765417166121</v>
      </c>
      <c r="C3441" t="s">
        <v>40</v>
      </c>
      <c r="D3441">
        <v>3.8576990000000002</v>
      </c>
      <c r="E3441">
        <v>0.41848469999999999</v>
      </c>
      <c r="F3441" t="s">
        <v>42</v>
      </c>
      <c r="G3441">
        <v>-424.08010000000002</v>
      </c>
      <c r="H3441" s="1">
        <v>-3.9352099999999999E-6</v>
      </c>
      <c r="I3441">
        <v>96.423810000000003</v>
      </c>
      <c r="J3441">
        <v>-412.80619999999999</v>
      </c>
      <c r="K3441">
        <v>1.126125</v>
      </c>
      <c r="L3441">
        <v>135.99340000000001</v>
      </c>
      <c r="M3441">
        <v>-0.80855739999999998</v>
      </c>
      <c r="N3441">
        <v>-2.136507E-2</v>
      </c>
      <c r="O3441">
        <v>-0.58802959999999904</v>
      </c>
      <c r="P3441">
        <v>-0.45969379999999999</v>
      </c>
      <c r="Q3441">
        <v>-2.3905719999999998E-2</v>
      </c>
      <c r="R3441">
        <v>-0.88775599999999999</v>
      </c>
      <c r="S3441">
        <v>-0.86987300000000001</v>
      </c>
      <c r="T3441">
        <v>-8.3314540000000006E-2</v>
      </c>
      <c r="U3441">
        <v>-2.955444</v>
      </c>
      <c r="V3441">
        <v>-0.44703359999999898</v>
      </c>
      <c r="W3441">
        <v>-2.2826260000000001E-2</v>
      </c>
      <c r="X3441">
        <v>0.89422579999999996</v>
      </c>
      <c r="Y3441">
        <v>-0.60936239999999997</v>
      </c>
      <c r="Z3441">
        <v>-9.9723099999999999E-3</v>
      </c>
      <c r="AA3441">
        <v>0.79282909999999995</v>
      </c>
      <c r="AB3441">
        <v>32</v>
      </c>
      <c r="AC3441">
        <v>-11.273899999999999</v>
      </c>
      <c r="AD3441">
        <v>-1.1261289352099999</v>
      </c>
      <c r="AE3441">
        <v>-39.569589999999998</v>
      </c>
      <c r="AF3441">
        <v>-25.351692903925699</v>
      </c>
      <c r="AG3441">
        <v>-1.1261289352099999</v>
      </c>
      <c r="AH3441">
        <v>32.366826463900701</v>
      </c>
      <c r="AI3441">
        <v>91.568981190821901</v>
      </c>
      <c r="AJ3441">
        <v>128.07023537367499</v>
      </c>
      <c r="AK3441">
        <v>41.128918716858401</v>
      </c>
      <c r="AL3441">
        <v>91.307962052041006</v>
      </c>
      <c r="AM3441">
        <v>116.560986238238</v>
      </c>
      <c r="AN3441">
        <v>0.99999992953009098</v>
      </c>
    </row>
    <row r="3442" spans="1:40" x14ac:dyDescent="0.25">
      <c r="A3442" t="str">
        <f>"20190305135657200"</f>
        <v>20190305135657200</v>
      </c>
      <c r="B3442" t="str">
        <f>"1551765417195991"</f>
        <v>1551765417195991</v>
      </c>
      <c r="C3442" t="s">
        <v>40</v>
      </c>
      <c r="D3442">
        <v>3.8838349999999999</v>
      </c>
      <c r="E3442">
        <v>0.42051060000000001</v>
      </c>
      <c r="F3442" t="s">
        <v>42</v>
      </c>
      <c r="G3442">
        <v>-423.33010000000002</v>
      </c>
      <c r="H3442" s="1">
        <v>-4.0253229999999998E-6</v>
      </c>
      <c r="I3442">
        <v>97.079580000000007</v>
      </c>
      <c r="J3442">
        <v>-413.09750000000003</v>
      </c>
      <c r="K3442">
        <v>1.126293</v>
      </c>
      <c r="L3442">
        <v>135.75479999999999</v>
      </c>
      <c r="M3442">
        <v>-0.79355259999999905</v>
      </c>
      <c r="N3442">
        <v>-2.1490180000000001E-2</v>
      </c>
      <c r="O3442">
        <v>-0.6081221</v>
      </c>
      <c r="P3442">
        <v>-0.43721900000000002</v>
      </c>
      <c r="Q3442">
        <v>-2.627819E-2</v>
      </c>
      <c r="R3442">
        <v>-0.89897090000000002</v>
      </c>
      <c r="S3442">
        <v>-0.80108639999999998</v>
      </c>
      <c r="T3442">
        <v>-8.5722090000000001E-2</v>
      </c>
      <c r="U3442">
        <v>-2.9621580000000001</v>
      </c>
      <c r="V3442">
        <v>-0.44694329999999999</v>
      </c>
      <c r="W3442">
        <v>-2.527925E-2</v>
      </c>
      <c r="X3442">
        <v>0.89420499999999903</v>
      </c>
      <c r="Y3442">
        <v>-0.60700489999999996</v>
      </c>
      <c r="Z3442">
        <v>-9.3543399999999992E-3</v>
      </c>
      <c r="AA3442">
        <v>0.79464299999999999</v>
      </c>
      <c r="AB3442">
        <v>32</v>
      </c>
      <c r="AC3442">
        <v>-10.2325999999999</v>
      </c>
      <c r="AD3442">
        <v>-1.126297025323</v>
      </c>
      <c r="AE3442">
        <v>-38.675219999999896</v>
      </c>
      <c r="AF3442">
        <v>-24.454419967950301</v>
      </c>
      <c r="AG3442">
        <v>-1.126297025323</v>
      </c>
      <c r="AH3442">
        <v>31.6216067276142</v>
      </c>
      <c r="AI3442">
        <v>91.613911876450103</v>
      </c>
      <c r="AJ3442">
        <v>127.71640428862899</v>
      </c>
      <c r="AK3442">
        <v>39.990163953077698</v>
      </c>
      <c r="AL3442">
        <v>91.448548688823905</v>
      </c>
      <c r="AM3442">
        <v>116.556890061752</v>
      </c>
      <c r="AN3442">
        <v>0.99999996796022494</v>
      </c>
    </row>
    <row r="3443" spans="1:40" x14ac:dyDescent="0.25">
      <c r="A3443" t="str">
        <f>"20190305135657223"</f>
        <v>20190305135657223</v>
      </c>
      <c r="B3443" t="str">
        <f>"1551765417215511"</f>
        <v>1551765417215511</v>
      </c>
      <c r="C3443" t="s">
        <v>40</v>
      </c>
      <c r="D3443">
        <v>3.8989319999999998</v>
      </c>
      <c r="E3443">
        <v>0.42208709999999999</v>
      </c>
      <c r="F3443" t="s">
        <v>73</v>
      </c>
      <c r="G3443">
        <v>-416.8365</v>
      </c>
      <c r="H3443" s="1">
        <v>-1.32842E-6</v>
      </c>
      <c r="I3443">
        <v>120.92</v>
      </c>
      <c r="J3443">
        <v>-413.33069999999998</v>
      </c>
      <c r="K3443">
        <v>1.1264149999999999</v>
      </c>
      <c r="L3443">
        <v>135.5549</v>
      </c>
      <c r="M3443">
        <v>-0.78075469999999902</v>
      </c>
      <c r="N3443">
        <v>-2.158757E-2</v>
      </c>
      <c r="O3443">
        <v>-0.62446459999999904</v>
      </c>
      <c r="P3443">
        <v>-0.41936469999999998</v>
      </c>
      <c r="Q3443">
        <v>-2.7818059999999999E-2</v>
      </c>
      <c r="R3443">
        <v>-0.90739170000000002</v>
      </c>
      <c r="S3443">
        <v>-0.7477722</v>
      </c>
      <c r="T3443">
        <v>-0.22525319999999999</v>
      </c>
      <c r="U3443">
        <v>-2.966888</v>
      </c>
      <c r="V3443">
        <v>-0.44595119999999999</v>
      </c>
      <c r="W3443">
        <v>-2.6822769999999999E-2</v>
      </c>
      <c r="X3443">
        <v>0.89465530000000004</v>
      </c>
      <c r="Y3443">
        <v>-0.60355449999999999</v>
      </c>
      <c r="Z3443">
        <v>7.4955990000000004E-3</v>
      </c>
      <c r="AA3443">
        <v>0.79728650000000001</v>
      </c>
      <c r="AB3443">
        <v>31</v>
      </c>
      <c r="AC3443">
        <v>-3.5058000000000198</v>
      </c>
      <c r="AD3443">
        <v>-1.1264163284199999</v>
      </c>
      <c r="AE3443">
        <v>-14.6349</v>
      </c>
      <c r="AF3443">
        <v>-9.1876977313269794</v>
      </c>
      <c r="AG3443">
        <v>-1.1264163284199999</v>
      </c>
      <c r="AH3443">
        <v>11.812733897042699</v>
      </c>
      <c r="AI3443">
        <v>94.304508226601499</v>
      </c>
      <c r="AJ3443">
        <v>127.87503143526899</v>
      </c>
      <c r="AK3443">
        <v>15.0074410033658</v>
      </c>
      <c r="AL3443">
        <v>91.537015826826405</v>
      </c>
      <c r="AM3443">
        <v>116.494486972171</v>
      </c>
      <c r="AN3443">
        <v>1.0000000197950001</v>
      </c>
    </row>
    <row r="3444" spans="1:40" x14ac:dyDescent="0.25">
      <c r="A3444" t="str">
        <f>"20190305135657245"</f>
        <v>20190305135657245</v>
      </c>
      <c r="B3444" t="str">
        <f>"1551765417236007"</f>
        <v>1551765417236007</v>
      </c>
      <c r="C3444" t="s">
        <v>40</v>
      </c>
      <c r="D3444">
        <v>4.1710039999999999</v>
      </c>
      <c r="E3444">
        <v>0.42357020000000001</v>
      </c>
      <c r="F3444" t="s">
        <v>41</v>
      </c>
      <c r="G3444">
        <v>-413.55849999999998</v>
      </c>
      <c r="H3444">
        <v>1.062765</v>
      </c>
      <c r="I3444">
        <v>134.5849</v>
      </c>
      <c r="J3444">
        <v>-413.56819999999999</v>
      </c>
      <c r="K3444">
        <v>1.126525</v>
      </c>
      <c r="L3444">
        <v>135.3424</v>
      </c>
      <c r="M3444">
        <v>-0.76692780000000005</v>
      </c>
      <c r="N3444">
        <v>-2.1681559999999999E-2</v>
      </c>
      <c r="O3444">
        <v>-0.64136709999999997</v>
      </c>
      <c r="P3444">
        <v>-0.39992030000000001</v>
      </c>
      <c r="Q3444">
        <v>-2.8386169999999999E-2</v>
      </c>
      <c r="R3444">
        <v>-0.91611050000000005</v>
      </c>
      <c r="S3444">
        <v>-0.6984863</v>
      </c>
      <c r="T3444">
        <v>-0.1952518</v>
      </c>
      <c r="U3444">
        <v>-2.9773559999999999</v>
      </c>
      <c r="V3444">
        <v>-0.44544739999999999</v>
      </c>
      <c r="W3444">
        <v>-2.7414299999999999E-2</v>
      </c>
      <c r="X3444">
        <v>0.89488829999999997</v>
      </c>
      <c r="Y3444">
        <v>-0.59943259999999998</v>
      </c>
      <c r="Z3444">
        <v>5.1787400000000003E-3</v>
      </c>
      <c r="AA3444">
        <v>0.80040849999999997</v>
      </c>
      <c r="AB3444">
        <v>31</v>
      </c>
      <c r="AC3444">
        <v>9.7000000000093695E-3</v>
      </c>
      <c r="AD3444">
        <v>-6.3759999999999997E-2</v>
      </c>
      <c r="AE3444">
        <v>-0.75749999999999296</v>
      </c>
      <c r="AF3444">
        <v>-0.58317605660334304</v>
      </c>
      <c r="AG3444">
        <v>-6.3759999999999997E-2</v>
      </c>
      <c r="AH3444">
        <v>0.47514306885880198</v>
      </c>
      <c r="AI3444">
        <v>94.844862320095203</v>
      </c>
      <c r="AJ3444">
        <v>140.82855169698701</v>
      </c>
      <c r="AK3444">
        <v>0.75493084880668804</v>
      </c>
      <c r="AL3444">
        <v>91.570920499895294</v>
      </c>
      <c r="AM3444">
        <v>116.46268539538001</v>
      </c>
      <c r="AN3444">
        <v>0.99999999974406995</v>
      </c>
    </row>
    <row r="3445" spans="1:40" x14ac:dyDescent="0.25">
      <c r="A3445" t="str">
        <f>"20190305135657265"</f>
        <v>20190305135657265</v>
      </c>
      <c r="B3445" t="str">
        <f>"1551765417255527"</f>
        <v>1551765417255527</v>
      </c>
      <c r="C3445" t="s">
        <v>40</v>
      </c>
      <c r="D3445">
        <v>4.0176970000000001</v>
      </c>
      <c r="E3445">
        <v>0.47747079999999997</v>
      </c>
      <c r="F3445" t="s">
        <v>41</v>
      </c>
      <c r="G3445">
        <v>-413.7672</v>
      </c>
      <c r="H3445">
        <v>1.0658160000000001</v>
      </c>
      <c r="I3445">
        <v>134.42179999999999</v>
      </c>
      <c r="J3445">
        <v>-413.7525</v>
      </c>
      <c r="K3445">
        <v>1.1266020000000001</v>
      </c>
      <c r="L3445">
        <v>135.1703</v>
      </c>
      <c r="M3445">
        <v>-0.75557819999999998</v>
      </c>
      <c r="N3445">
        <v>-2.1753370000000001E-2</v>
      </c>
      <c r="O3445">
        <v>-0.65469719999999998</v>
      </c>
      <c r="P3445">
        <v>-0.38593549999999999</v>
      </c>
      <c r="Q3445">
        <v>-2.9079790000000001E-2</v>
      </c>
      <c r="R3445">
        <v>-0.92206739999999998</v>
      </c>
      <c r="S3445">
        <v>-0.64569089999999996</v>
      </c>
      <c r="T3445">
        <v>-0.196961</v>
      </c>
      <c r="U3445">
        <v>-2.9867400000000002</v>
      </c>
      <c r="V3445">
        <v>-0.44334639999999997</v>
      </c>
      <c r="W3445">
        <v>-2.803073E-2</v>
      </c>
      <c r="X3445">
        <v>0.89591200000000004</v>
      </c>
      <c r="Y3445">
        <v>-0.59944529999999996</v>
      </c>
      <c r="Z3445">
        <v>6.2429499999999997E-3</v>
      </c>
      <c r="AA3445">
        <v>0.80039139999999998</v>
      </c>
      <c r="AB3445">
        <v>31</v>
      </c>
      <c r="AC3445">
        <v>-1.47000000000048E-2</v>
      </c>
      <c r="AD3445">
        <v>-6.0786000000000201E-2</v>
      </c>
      <c r="AE3445">
        <v>-0.74850000000000705</v>
      </c>
      <c r="AF3445">
        <v>-0.55241594988681497</v>
      </c>
      <c r="AG3445">
        <v>-6.0786000000000201E-2</v>
      </c>
      <c r="AH3445">
        <v>0.49798345678941602</v>
      </c>
      <c r="AI3445">
        <v>94.672401686338205</v>
      </c>
      <c r="AJ3445">
        <v>137.96645723803601</v>
      </c>
      <c r="AK3445">
        <v>0.74622104146243895</v>
      </c>
      <c r="AL3445">
        <v>91.606252865796407</v>
      </c>
      <c r="AM3445">
        <v>116.328729930571</v>
      </c>
      <c r="AN3445">
        <v>1.0000000319806399</v>
      </c>
    </row>
    <row r="3446" spans="1:40" x14ac:dyDescent="0.25">
      <c r="A3446" t="str">
        <f>"20190305135657306"</f>
        <v>20190305135657306</v>
      </c>
      <c r="B3446" t="str">
        <f>"1551765417295573"</f>
        <v>1551765417295573</v>
      </c>
      <c r="C3446" t="s">
        <v>40</v>
      </c>
      <c r="D3446">
        <v>4.059742</v>
      </c>
      <c r="E3446">
        <v>0.48467130000000003</v>
      </c>
      <c r="F3446" t="s">
        <v>41</v>
      </c>
      <c r="G3446">
        <v>-414.05329999999998</v>
      </c>
      <c r="H3446">
        <v>1.079672</v>
      </c>
      <c r="I3446">
        <v>134.31460000000001</v>
      </c>
      <c r="J3446">
        <v>-414.14159999999998</v>
      </c>
      <c r="K3446">
        <v>1.1267659999999999</v>
      </c>
      <c r="L3446">
        <v>134.7859</v>
      </c>
      <c r="M3446">
        <v>-0.72974839999999996</v>
      </c>
      <c r="N3446">
        <v>-2.1907719999999999E-2</v>
      </c>
      <c r="O3446">
        <v>-0.68336490000000005</v>
      </c>
      <c r="P3446">
        <v>-0.35923270000000002</v>
      </c>
      <c r="Q3446">
        <v>-2.98841E-2</v>
      </c>
      <c r="R3446">
        <v>-0.93276999999999999</v>
      </c>
      <c r="S3446">
        <v>-0.99533079999999996</v>
      </c>
      <c r="T3446">
        <v>-0.15528889999999901</v>
      </c>
      <c r="U3446">
        <v>-2.8320470000000002</v>
      </c>
      <c r="V3446">
        <v>-0.43449520000000003</v>
      </c>
      <c r="W3446">
        <v>-2.8412219999999998E-2</v>
      </c>
      <c r="X3446">
        <v>0.90022590000000002</v>
      </c>
      <c r="Y3446">
        <v>-0.46150229999999998</v>
      </c>
      <c r="Z3446">
        <v>7.2192519999999998E-3</v>
      </c>
      <c r="AA3446">
        <v>0.88710959999999905</v>
      </c>
      <c r="AB3446">
        <v>31</v>
      </c>
      <c r="AC3446">
        <v>8.8300000000003806E-2</v>
      </c>
      <c r="AD3446">
        <v>-4.70939999999999E-2</v>
      </c>
      <c r="AE3446">
        <v>-0.47129999999998501</v>
      </c>
      <c r="AF3446">
        <v>-0.40050521108720999</v>
      </c>
      <c r="AG3446">
        <v>-4.70939999999999E-2</v>
      </c>
      <c r="AH3446">
        <v>0.25523289655641002</v>
      </c>
      <c r="AI3446">
        <v>95.663058053948603</v>
      </c>
      <c r="AJ3446">
        <v>147.49156117758099</v>
      </c>
      <c r="AK3446">
        <v>0.47724846823073902</v>
      </c>
      <c r="AL3446">
        <v>91.628119390430598</v>
      </c>
      <c r="AM3446">
        <v>115.764340551071</v>
      </c>
      <c r="AN3446">
        <v>1.0000000020495801</v>
      </c>
    </row>
    <row r="3447" spans="1:40" x14ac:dyDescent="0.25">
      <c r="A3447" t="str">
        <f>"20190305135657333"</f>
        <v>20190305135657333</v>
      </c>
      <c r="B3447" t="str">
        <f>"1551765417325829"</f>
        <v>1551765417325829</v>
      </c>
      <c r="C3447" t="s">
        <v>40</v>
      </c>
      <c r="D3447">
        <v>3.9974069999999999</v>
      </c>
      <c r="E3447">
        <v>0.48894100000000001</v>
      </c>
      <c r="F3447" t="s">
        <v>41</v>
      </c>
      <c r="G3447">
        <v>-414.4391</v>
      </c>
      <c r="H3447">
        <v>1.072406</v>
      </c>
      <c r="I3447">
        <v>133.9144</v>
      </c>
      <c r="J3447">
        <v>-414.38409999999999</v>
      </c>
      <c r="K3447">
        <v>1.1268579999999999</v>
      </c>
      <c r="L3447">
        <v>134.53020000000001</v>
      </c>
      <c r="M3447">
        <v>-0.71223149999999902</v>
      </c>
      <c r="N3447">
        <v>-2.20079E-2</v>
      </c>
      <c r="O3447">
        <v>-0.70159969999999905</v>
      </c>
      <c r="P3447">
        <v>-0.34098070000000003</v>
      </c>
      <c r="Q3447">
        <v>-2.978374E-2</v>
      </c>
      <c r="R3447">
        <v>-0.93959839999999994</v>
      </c>
      <c r="S3447">
        <v>-0.967804</v>
      </c>
      <c r="T3447">
        <v>-0.17692720000000001</v>
      </c>
      <c r="U3447">
        <v>-2.83786</v>
      </c>
      <c r="V3447">
        <v>-0.42928339999999998</v>
      </c>
      <c r="W3447">
        <v>-2.8039709999999999E-2</v>
      </c>
      <c r="X3447">
        <v>0.9027345</v>
      </c>
      <c r="Y3447">
        <v>-0.44724799999999998</v>
      </c>
      <c r="Z3447">
        <v>1.2307530000000001E-2</v>
      </c>
      <c r="AA3447">
        <v>0.89432529999999999</v>
      </c>
      <c r="AB3447">
        <v>31</v>
      </c>
      <c r="AC3447">
        <v>-5.50000000000068E-2</v>
      </c>
      <c r="AD3447">
        <v>-5.4451999999999903E-2</v>
      </c>
      <c r="AE3447">
        <v>-0.61580000000000701</v>
      </c>
      <c r="AF3447">
        <v>-0.39702131907178401</v>
      </c>
      <c r="AG3447">
        <v>-5.4451999999999903E-2</v>
      </c>
      <c r="AH3447">
        <v>0.46770392814420703</v>
      </c>
      <c r="AI3447">
        <v>95.0721341880284</v>
      </c>
      <c r="AJ3447">
        <v>130.32703401835499</v>
      </c>
      <c r="AK3447">
        <v>0.61590414230058699</v>
      </c>
      <c r="AL3447">
        <v>91.606767603177005</v>
      </c>
      <c r="AM3447">
        <v>115.432803427002</v>
      </c>
      <c r="AN3447">
        <v>1.0000000201713399</v>
      </c>
    </row>
    <row r="3448" spans="1:40" x14ac:dyDescent="0.25">
      <c r="A3448" t="str">
        <f>"20190305135657352"</f>
        <v>20190305135657352</v>
      </c>
      <c r="B3448" t="str">
        <f>"1551765417345350"</f>
        <v>1551765417345350</v>
      </c>
      <c r="C3448" t="s">
        <v>40</v>
      </c>
      <c r="D3448">
        <v>4.0067440000000003</v>
      </c>
      <c r="E3448">
        <v>0.49038890000000002</v>
      </c>
      <c r="F3448" t="s">
        <v>41</v>
      </c>
      <c r="G3448">
        <v>-414.7174</v>
      </c>
      <c r="H3448">
        <v>1.069374</v>
      </c>
      <c r="I3448">
        <v>133.52590000000001</v>
      </c>
      <c r="J3448">
        <v>-414.5609</v>
      </c>
      <c r="K3448">
        <v>1.1269180000000001</v>
      </c>
      <c r="L3448">
        <v>134.3349</v>
      </c>
      <c r="M3448">
        <v>-0.69867840000000003</v>
      </c>
      <c r="N3448">
        <v>-2.2081279999999998E-2</v>
      </c>
      <c r="O3448">
        <v>-0.71509519999999904</v>
      </c>
      <c r="P3448">
        <v>-0.3290363</v>
      </c>
      <c r="Q3448">
        <v>-2.8717240000000002E-2</v>
      </c>
      <c r="R3448">
        <v>-0.94388070000000002</v>
      </c>
      <c r="S3448">
        <v>-0.94381709999999996</v>
      </c>
      <c r="T3448">
        <v>-0.16278870000000001</v>
      </c>
      <c r="U3448">
        <v>-2.8451840000000002</v>
      </c>
      <c r="V3448">
        <v>-0.42353160000000001</v>
      </c>
      <c r="W3448">
        <v>-2.6662229999999999E-2</v>
      </c>
      <c r="X3448">
        <v>0.90548890000000004</v>
      </c>
      <c r="Y3448">
        <v>-0.43764049999999999</v>
      </c>
      <c r="Z3448">
        <v>1.072095E-2</v>
      </c>
      <c r="AA3448">
        <v>0.899086099999999</v>
      </c>
      <c r="AB3448">
        <v>30</v>
      </c>
      <c r="AC3448">
        <v>-0.15649999999999401</v>
      </c>
      <c r="AD3448">
        <v>-5.7543999999999998E-2</v>
      </c>
      <c r="AE3448">
        <v>-0.80899999999999705</v>
      </c>
      <c r="AF3448">
        <v>-0.45122831566524002</v>
      </c>
      <c r="AG3448">
        <v>-5.7543999999999998E-2</v>
      </c>
      <c r="AH3448">
        <v>0.68468369876745405</v>
      </c>
      <c r="AI3448">
        <v>94.014189142699493</v>
      </c>
      <c r="AJ3448">
        <v>123.386151594075</v>
      </c>
      <c r="AK3448">
        <v>0.82201585882023698</v>
      </c>
      <c r="AL3448">
        <v>91.527814272325998</v>
      </c>
      <c r="AM3448">
        <v>115.06728013572101</v>
      </c>
      <c r="AN3448">
        <v>1.0000000193651699</v>
      </c>
    </row>
    <row r="3449" spans="1:40" x14ac:dyDescent="0.25">
      <c r="A3449" t="str">
        <f>"20190305135657377"</f>
        <v>20190305135657377</v>
      </c>
      <c r="B3449" t="str">
        <f>"1551765417365846"</f>
        <v>1551765417365846</v>
      </c>
      <c r="C3449" t="s">
        <v>40</v>
      </c>
      <c r="D3449">
        <v>4.0366289999999996</v>
      </c>
      <c r="E3449">
        <v>0.49168990000000001</v>
      </c>
      <c r="F3449" t="s">
        <v>41</v>
      </c>
      <c r="G3449">
        <v>-414.88389999999998</v>
      </c>
      <c r="H3449">
        <v>1.0722700000000001</v>
      </c>
      <c r="I3449">
        <v>133.33080000000001</v>
      </c>
      <c r="J3449">
        <v>-414.76929999999999</v>
      </c>
      <c r="K3449">
        <v>1.1269769999999999</v>
      </c>
      <c r="L3449">
        <v>134.09389999999999</v>
      </c>
      <c r="M3449">
        <v>-0.68176389999999998</v>
      </c>
      <c r="N3449">
        <v>-2.2168449999999999E-2</v>
      </c>
      <c r="O3449">
        <v>-0.73123640000000001</v>
      </c>
      <c r="P3449">
        <v>-0.3126486</v>
      </c>
      <c r="Q3449">
        <v>-2.6212070000000001E-2</v>
      </c>
      <c r="R3449">
        <v>-0.9495074</v>
      </c>
      <c r="S3449">
        <v>-0.91793820000000004</v>
      </c>
      <c r="T3449">
        <v>-0.1552982</v>
      </c>
      <c r="U3449">
        <v>-2.8536830000000002</v>
      </c>
      <c r="V3449">
        <v>-0.41818739999999999</v>
      </c>
      <c r="W3449">
        <v>-2.3853389999999999E-2</v>
      </c>
      <c r="X3449">
        <v>0.90804759999999995</v>
      </c>
      <c r="Y3449">
        <v>-0.42477870000000001</v>
      </c>
      <c r="Z3449">
        <v>1.0406200000000001E-2</v>
      </c>
      <c r="AA3449">
        <v>0.90523739999999997</v>
      </c>
      <c r="AB3449">
        <v>30</v>
      </c>
      <c r="AC3449">
        <v>-0.114599999999995</v>
      </c>
      <c r="AD3449">
        <v>-5.4706999999999999E-2</v>
      </c>
      <c r="AE3449">
        <v>-0.76309999999998002</v>
      </c>
      <c r="AF3449">
        <v>-0.43437833918610402</v>
      </c>
      <c r="AG3449">
        <v>-5.4706999999999999E-2</v>
      </c>
      <c r="AH3449">
        <v>0.633110846535614</v>
      </c>
      <c r="AI3449">
        <v>94.075540183835997</v>
      </c>
      <c r="AJ3449">
        <v>124.454079152264</v>
      </c>
      <c r="AK3449">
        <v>0.769744594917119</v>
      </c>
      <c r="AL3449">
        <v>91.366828123674395</v>
      </c>
      <c r="AM3449">
        <v>114.727709198491</v>
      </c>
      <c r="AN3449">
        <v>1.0000000647995</v>
      </c>
    </row>
    <row r="3450" spans="1:40" x14ac:dyDescent="0.25">
      <c r="A3450" t="str">
        <f>"20190305135657419"</f>
        <v>20190305135657419</v>
      </c>
      <c r="B3450" t="str">
        <f>"1551765417405602"</f>
        <v>1551765417405602</v>
      </c>
      <c r="C3450" t="s">
        <v>40</v>
      </c>
      <c r="D3450">
        <v>4.0433329999999996</v>
      </c>
      <c r="E3450">
        <v>0.49405700000000002</v>
      </c>
      <c r="F3450" t="s">
        <v>41</v>
      </c>
      <c r="G3450">
        <v>-415.06490000000002</v>
      </c>
      <c r="H3450">
        <v>1.078587</v>
      </c>
      <c r="I3450">
        <v>133.1294</v>
      </c>
      <c r="J3450">
        <v>-415.11099999999999</v>
      </c>
      <c r="K3450">
        <v>1.127038</v>
      </c>
      <c r="L3450">
        <v>133.672</v>
      </c>
      <c r="M3450">
        <v>-0.65165550000000005</v>
      </c>
      <c r="N3450">
        <v>-2.2310460000000001E-2</v>
      </c>
      <c r="O3450">
        <v>-0.7581869</v>
      </c>
      <c r="P3450">
        <v>-0.284999</v>
      </c>
      <c r="Q3450">
        <v>-2.5810280000000001E-2</v>
      </c>
      <c r="R3450">
        <v>-0.95818020000000004</v>
      </c>
      <c r="S3450">
        <v>-0.87811280000000003</v>
      </c>
      <c r="T3450">
        <v>-0.14376529999999901</v>
      </c>
      <c r="U3450">
        <v>-2.866425</v>
      </c>
      <c r="V3450">
        <v>-0.40781879999999998</v>
      </c>
      <c r="W3450">
        <v>-2.285713E-2</v>
      </c>
      <c r="X3450">
        <v>0.9127767</v>
      </c>
      <c r="Y3450">
        <v>-0.40072829999999998</v>
      </c>
      <c r="Z3450">
        <v>9.8485759999999995E-3</v>
      </c>
      <c r="AA3450">
        <v>0.91614399999999996</v>
      </c>
      <c r="AB3450">
        <v>30</v>
      </c>
      <c r="AC3450">
        <v>4.6099999999967098E-2</v>
      </c>
      <c r="AD3450">
        <v>-4.84509999999998E-2</v>
      </c>
      <c r="AE3450">
        <v>-0.54259999999999298</v>
      </c>
      <c r="AF3450">
        <v>-0.38558501475516099</v>
      </c>
      <c r="AG3450">
        <v>-4.84509999999998E-2</v>
      </c>
      <c r="AH3450">
        <v>0.37844991140335599</v>
      </c>
      <c r="AI3450">
        <v>95.124459274668595</v>
      </c>
      <c r="AJ3450">
        <v>135.53505332114301</v>
      </c>
      <c r="AK3450">
        <v>0.54244597744471001</v>
      </c>
      <c r="AL3450">
        <v>91.309731190566893</v>
      </c>
      <c r="AM3450">
        <v>114.07457744257</v>
      </c>
      <c r="AN3450">
        <v>0.99999996304408201</v>
      </c>
    </row>
    <row r="3451" spans="1:40" x14ac:dyDescent="0.25">
      <c r="A3451" t="str">
        <f>"20190305135657443"</f>
        <v>20190305135657443</v>
      </c>
      <c r="B3451" t="str">
        <f>"1551765417435859"</f>
        <v>1551765417435859</v>
      </c>
      <c r="C3451" t="s">
        <v>40</v>
      </c>
      <c r="D3451">
        <v>4.0709710000000001</v>
      </c>
      <c r="E3451">
        <v>0.4954268</v>
      </c>
      <c r="F3451" t="s">
        <v>42</v>
      </c>
      <c r="G3451">
        <v>-421.67649999999998</v>
      </c>
      <c r="H3451" s="1">
        <v>-7.8201750000000005E-7</v>
      </c>
      <c r="I3451">
        <v>110.37220000000001</v>
      </c>
      <c r="J3451">
        <v>-415.3057</v>
      </c>
      <c r="K3451">
        <v>1.1270500000000001</v>
      </c>
      <c r="L3451">
        <v>133.41470000000001</v>
      </c>
      <c r="M3451">
        <v>-0.63299729999999998</v>
      </c>
      <c r="N3451">
        <v>-2.238973E-2</v>
      </c>
      <c r="O3451">
        <v>-0.77383019999999902</v>
      </c>
      <c r="P3451">
        <v>-0.26909440000000001</v>
      </c>
      <c r="Q3451">
        <v>-2.768963E-2</v>
      </c>
      <c r="R3451">
        <v>-0.96271589999999996</v>
      </c>
      <c r="S3451">
        <v>-0.81304929999999997</v>
      </c>
      <c r="T3451">
        <v>-0.1395681</v>
      </c>
      <c r="U3451">
        <v>-2.8853610000000001</v>
      </c>
      <c r="V3451">
        <v>-0.40059030000000001</v>
      </c>
      <c r="W3451">
        <v>-2.4323580000000001E-2</v>
      </c>
      <c r="X3451">
        <v>0.91593440000000004</v>
      </c>
      <c r="Y3451">
        <v>-0.39913490000000001</v>
      </c>
      <c r="Z3451">
        <v>9.5963699999999999E-3</v>
      </c>
      <c r="AA3451">
        <v>0.91684200000000005</v>
      </c>
      <c r="AB3451">
        <v>30</v>
      </c>
      <c r="AC3451">
        <v>-6.3707999999999698</v>
      </c>
      <c r="AD3451">
        <v>-1.1270507820175</v>
      </c>
      <c r="AE3451">
        <v>-23.0425</v>
      </c>
      <c r="AF3451">
        <v>-9.6369258723520801</v>
      </c>
      <c r="AG3451">
        <v>-1.1270507820175</v>
      </c>
      <c r="AH3451">
        <v>21.8206671741601</v>
      </c>
      <c r="AI3451">
        <v>92.705095507828005</v>
      </c>
      <c r="AJ3451">
        <v>113.828272970219</v>
      </c>
      <c r="AK3451">
        <v>23.880579969086199</v>
      </c>
      <c r="AL3451">
        <v>91.393775899568197</v>
      </c>
      <c r="AM3451">
        <v>113.622499250457</v>
      </c>
      <c r="AN3451">
        <v>1.0000000250507299</v>
      </c>
    </row>
    <row r="3452" spans="1:40" x14ac:dyDescent="0.25">
      <c r="A3452" t="str">
        <f>"20190305135657468"</f>
        <v>20190305135657468</v>
      </c>
      <c r="B3452" t="str">
        <f>"1551765417455379"</f>
        <v>1551765417455379</v>
      </c>
      <c r="C3452" t="s">
        <v>40</v>
      </c>
      <c r="D3452">
        <v>4.0940059999999896</v>
      </c>
      <c r="E3452">
        <v>0.49627090000000001</v>
      </c>
      <c r="F3452" t="s">
        <v>42</v>
      </c>
      <c r="G3452">
        <v>-421.4785</v>
      </c>
      <c r="H3452" s="1">
        <v>-7.2122509999999901E-7</v>
      </c>
      <c r="I3452">
        <v>110.3533</v>
      </c>
      <c r="J3452">
        <v>-415.49180000000001</v>
      </c>
      <c r="K3452">
        <v>1.1270690000000001</v>
      </c>
      <c r="L3452">
        <v>133.15610000000001</v>
      </c>
      <c r="M3452">
        <v>-0.61402590000000001</v>
      </c>
      <c r="N3452">
        <v>-2.2463420000000001E-2</v>
      </c>
      <c r="O3452">
        <v>-0.78896619999999995</v>
      </c>
      <c r="P3452">
        <v>-0.2538938</v>
      </c>
      <c r="Q3452">
        <v>-3.3348000000000003E-2</v>
      </c>
      <c r="R3452">
        <v>-0.96665710000000005</v>
      </c>
      <c r="S3452">
        <v>-0.77502439999999995</v>
      </c>
      <c r="T3452">
        <v>-0.14150679999999999</v>
      </c>
      <c r="U3452">
        <v>-2.8954770000000001</v>
      </c>
      <c r="V3452">
        <v>-0.39243430000000001</v>
      </c>
      <c r="W3452">
        <v>-2.9524020000000002E-2</v>
      </c>
      <c r="X3452">
        <v>0.91930610000000001</v>
      </c>
      <c r="Y3452">
        <v>-0.38890059999999999</v>
      </c>
      <c r="Z3452">
        <v>1.084471E-2</v>
      </c>
      <c r="AA3452">
        <v>0.92121589999999998</v>
      </c>
      <c r="AB3452">
        <v>30</v>
      </c>
      <c r="AC3452">
        <v>-5.9866999999999804</v>
      </c>
      <c r="AD3452">
        <v>-1.1270697212251</v>
      </c>
      <c r="AE3452">
        <v>-22.802800000000001</v>
      </c>
      <c r="AF3452">
        <v>-9.2593851950125394</v>
      </c>
      <c r="AG3452">
        <v>-1.1270697212251</v>
      </c>
      <c r="AH3452">
        <v>21.622677017097399</v>
      </c>
      <c r="AI3452">
        <v>92.743281099959006</v>
      </c>
      <c r="AJ3452">
        <v>113.181851602541</v>
      </c>
      <c r="AK3452">
        <v>23.548814444294901</v>
      </c>
      <c r="AL3452">
        <v>91.691847544248702</v>
      </c>
      <c r="AM3452">
        <v>113.116714785768</v>
      </c>
      <c r="AN3452">
        <v>1.0000000265353299</v>
      </c>
    </row>
    <row r="3453" spans="1:40" x14ac:dyDescent="0.25">
      <c r="A3453" t="str">
        <f>"20190305135657488"</f>
        <v>20190305135657488</v>
      </c>
      <c r="B3453" t="str">
        <f>"1551765417475875"</f>
        <v>1551765417475875</v>
      </c>
      <c r="C3453" t="s">
        <v>40</v>
      </c>
      <c r="D3453">
        <v>4.0720359999999998</v>
      </c>
      <c r="E3453">
        <v>0.49713099999999999</v>
      </c>
      <c r="F3453" t="s">
        <v>42</v>
      </c>
      <c r="G3453">
        <v>-420.77780000000001</v>
      </c>
      <c r="H3453" s="1">
        <v>-1.362734E-6</v>
      </c>
      <c r="I3453">
        <v>112.28319999999999</v>
      </c>
      <c r="J3453">
        <v>-415.63290000000001</v>
      </c>
      <c r="K3453">
        <v>1.1270899999999999</v>
      </c>
      <c r="L3453">
        <v>132.9496</v>
      </c>
      <c r="M3453">
        <v>-0.59873999999999905</v>
      </c>
      <c r="N3453">
        <v>-2.2517289999999999E-2</v>
      </c>
      <c r="O3453">
        <v>-0.80062690000000003</v>
      </c>
      <c r="P3453">
        <v>-0.24185989999999999</v>
      </c>
      <c r="Q3453">
        <v>-3.3212579999999998E-2</v>
      </c>
      <c r="R3453">
        <v>-0.96974280000000002</v>
      </c>
      <c r="S3453">
        <v>-0.73565669999999905</v>
      </c>
      <c r="T3453">
        <v>-0.15685270000000001</v>
      </c>
      <c r="U3453">
        <v>-2.904846</v>
      </c>
      <c r="V3453">
        <v>-0.38619340000000002</v>
      </c>
      <c r="W3453">
        <v>-2.9027170000000001E-2</v>
      </c>
      <c r="X3453">
        <v>0.92196100000000003</v>
      </c>
      <c r="Y3453">
        <v>-0.38360549999999999</v>
      </c>
      <c r="Z3453">
        <v>1.491425E-2</v>
      </c>
      <c r="AA3453">
        <v>0.92337659999999999</v>
      </c>
      <c r="AB3453">
        <v>30</v>
      </c>
      <c r="AC3453">
        <v>-5.1448999999999998</v>
      </c>
      <c r="AD3453">
        <v>-1.127091362734</v>
      </c>
      <c r="AE3453">
        <v>-20.666399999999999</v>
      </c>
      <c r="AF3453">
        <v>-8.2336877898677905</v>
      </c>
      <c r="AG3453">
        <v>-1.127091362734</v>
      </c>
      <c r="AH3453">
        <v>19.5766808833508</v>
      </c>
      <c r="AI3453">
        <v>93.037854533709094</v>
      </c>
      <c r="AJ3453">
        <v>112.81096507797101</v>
      </c>
      <c r="AK3453">
        <v>21.267589989689</v>
      </c>
      <c r="AL3453">
        <v>91.663367970222097</v>
      </c>
      <c r="AM3453">
        <v>112.727960704932</v>
      </c>
      <c r="AN3453">
        <v>1.00000000216138</v>
      </c>
    </row>
    <row r="3454" spans="1:40" x14ac:dyDescent="0.25">
      <c r="A3454" t="str">
        <f>"20190305135657510"</f>
        <v>20190305135657510</v>
      </c>
      <c r="B3454" t="str">
        <f>"1551765417506131"</f>
        <v>1551765417506131</v>
      </c>
      <c r="C3454" t="s">
        <v>40</v>
      </c>
      <c r="D3454">
        <v>4.0886579999999997</v>
      </c>
      <c r="E3454">
        <v>0.49836209999999997</v>
      </c>
      <c r="F3454" t="s">
        <v>42</v>
      </c>
      <c r="G3454">
        <v>-420.75409999999999</v>
      </c>
      <c r="H3454" s="1">
        <v>-1.161829E-6</v>
      </c>
      <c r="I3454">
        <v>111.8297</v>
      </c>
      <c r="J3454">
        <v>-415.78440000000001</v>
      </c>
      <c r="K3454">
        <v>1.1271249999999999</v>
      </c>
      <c r="L3454">
        <v>132.71789999999999</v>
      </c>
      <c r="M3454">
        <v>-0.58145269999999905</v>
      </c>
      <c r="N3454">
        <v>-2.257808E-2</v>
      </c>
      <c r="O3454">
        <v>-0.81326709999999902</v>
      </c>
      <c r="P3454">
        <v>-0.22682359999999999</v>
      </c>
      <c r="Q3454">
        <v>-2.8699499999999999E-2</v>
      </c>
      <c r="R3454">
        <v>-0.97351319999999997</v>
      </c>
      <c r="S3454">
        <v>-0.70614619999999995</v>
      </c>
      <c r="T3454">
        <v>-0.15541269999999999</v>
      </c>
      <c r="U3454">
        <v>-2.9121860000000002</v>
      </c>
      <c r="V3454">
        <v>-0.38099430000000001</v>
      </c>
      <c r="W3454">
        <v>-2.4187400000000001E-2</v>
      </c>
      <c r="X3454">
        <v>0.924261</v>
      </c>
      <c r="Y3454">
        <v>-0.3731893</v>
      </c>
      <c r="Z3454">
        <v>1.541025E-2</v>
      </c>
      <c r="AA3454">
        <v>0.92762730000000004</v>
      </c>
      <c r="AB3454">
        <v>29</v>
      </c>
      <c r="AC3454">
        <v>-4.96969999999998</v>
      </c>
      <c r="AD3454">
        <v>-1.1271261618289901</v>
      </c>
      <c r="AE3454">
        <v>-20.888199999999902</v>
      </c>
      <c r="AF3454">
        <v>-8.0835956613272408</v>
      </c>
      <c r="AG3454">
        <v>-1.1271261618289901</v>
      </c>
      <c r="AH3454">
        <v>19.827756703169101</v>
      </c>
      <c r="AI3454">
        <v>93.0132294787782</v>
      </c>
      <c r="AJ3454">
        <v>112.18027436441901</v>
      </c>
      <c r="AK3454">
        <v>21.441895160656301</v>
      </c>
      <c r="AL3454">
        <v>91.385971041408396</v>
      </c>
      <c r="AM3454">
        <v>112.402194026101</v>
      </c>
      <c r="AN3454">
        <v>1.0000000415361201</v>
      </c>
    </row>
    <row r="3455" spans="1:40" x14ac:dyDescent="0.25">
      <c r="A3455" t="str">
        <f>"20190305135657530"</f>
        <v>20190305135657530</v>
      </c>
      <c r="B3455" t="str">
        <f>"1551765417525652"</f>
        <v>1551765417525652</v>
      </c>
      <c r="C3455" t="s">
        <v>40</v>
      </c>
      <c r="D3455">
        <v>4.180955</v>
      </c>
      <c r="E3455">
        <v>0.4988995</v>
      </c>
      <c r="F3455" t="s">
        <v>42</v>
      </c>
      <c r="G3455">
        <v>-421.16019999999997</v>
      </c>
      <c r="H3455" s="1">
        <v>-4.8124629999999997E-6</v>
      </c>
      <c r="I3455">
        <v>109.2821</v>
      </c>
      <c r="J3455">
        <v>-415.92360000000002</v>
      </c>
      <c r="K3455">
        <v>1.1271519999999999</v>
      </c>
      <c r="L3455">
        <v>132.494</v>
      </c>
      <c r="M3455">
        <v>-0.56462129999999999</v>
      </c>
      <c r="N3455">
        <v>-2.2637170000000002E-2</v>
      </c>
      <c r="O3455">
        <v>-0.82503969999999904</v>
      </c>
      <c r="P3455">
        <v>-0.21157110000000001</v>
      </c>
      <c r="Q3455">
        <v>-2.5383490000000002E-2</v>
      </c>
      <c r="R3455">
        <v>-0.97703309999999999</v>
      </c>
      <c r="S3455">
        <v>-0.67010499999999995</v>
      </c>
      <c r="T3455">
        <v>-0.14050079999999901</v>
      </c>
      <c r="U3455">
        <v>-2.9213559999999998</v>
      </c>
      <c r="V3455">
        <v>-0.37665939999999998</v>
      </c>
      <c r="W3455">
        <v>-2.0584430000000001E-2</v>
      </c>
      <c r="X3455">
        <v>0.92612309999999998</v>
      </c>
      <c r="Y3455">
        <v>-0.36565300000000001</v>
      </c>
      <c r="Z3455">
        <v>1.2544720000000001E-2</v>
      </c>
      <c r="AA3455">
        <v>0.93066669999999996</v>
      </c>
      <c r="AB3455">
        <v>29</v>
      </c>
      <c r="AC3455">
        <v>-5.2365999999999504</v>
      </c>
      <c r="AD3455">
        <v>-1.127156812463</v>
      </c>
      <c r="AE3455">
        <v>-23.2119</v>
      </c>
      <c r="AF3455">
        <v>-8.7681074077603895</v>
      </c>
      <c r="AG3455">
        <v>-1.127156812463</v>
      </c>
      <c r="AH3455">
        <v>22.063592984385799</v>
      </c>
      <c r="AI3455">
        <v>92.718090937594795</v>
      </c>
      <c r="AJ3455">
        <v>111.67295262710201</v>
      </c>
      <c r="AK3455">
        <v>23.768725783570002</v>
      </c>
      <c r="AL3455">
        <v>91.179484256577595</v>
      </c>
      <c r="AM3455">
        <v>112.13184815194801</v>
      </c>
      <c r="AN3455">
        <v>1.00000000936019</v>
      </c>
    </row>
    <row r="3456" spans="1:40" x14ac:dyDescent="0.25">
      <c r="A3456" t="str">
        <f>"20190305135657557"</f>
        <v>20190305135657557</v>
      </c>
      <c r="B3456" t="str">
        <f>"1551765417546148"</f>
        <v>1551765417546148</v>
      </c>
      <c r="C3456" t="s">
        <v>40</v>
      </c>
      <c r="D3456">
        <v>4.1081770000000004</v>
      </c>
      <c r="E3456">
        <v>0.51079010000000002</v>
      </c>
      <c r="F3456" t="s">
        <v>42</v>
      </c>
      <c r="G3456">
        <v>-421.29950000000002</v>
      </c>
      <c r="H3456" s="1">
        <v>-4.057933E-6</v>
      </c>
      <c r="I3456">
        <v>107.44459999999999</v>
      </c>
      <c r="J3456">
        <v>-416.09140000000002</v>
      </c>
      <c r="K3456">
        <v>1.1271580000000001</v>
      </c>
      <c r="L3456">
        <v>132.20820000000001</v>
      </c>
      <c r="M3456">
        <v>-0.54295689999999996</v>
      </c>
      <c r="N3456">
        <v>-2.2702989999999999E-2</v>
      </c>
      <c r="O3456">
        <v>-0.83945360000000002</v>
      </c>
      <c r="P3456">
        <v>-0.19069720000000001</v>
      </c>
      <c r="Q3456">
        <v>-2.3197599999999999E-2</v>
      </c>
      <c r="R3456">
        <v>-0.98137470000000004</v>
      </c>
      <c r="S3456">
        <v>-0.62899780000000005</v>
      </c>
      <c r="T3456">
        <v>-0.13188150000000001</v>
      </c>
      <c r="U3456">
        <v>-2.9308779999999999</v>
      </c>
      <c r="V3456">
        <v>-0.37242510000000001</v>
      </c>
      <c r="W3456">
        <v>-1.8103270000000001E-2</v>
      </c>
      <c r="X3456">
        <v>0.92788570000000004</v>
      </c>
      <c r="Y3456">
        <v>-0.35452679999999998</v>
      </c>
      <c r="Z3456">
        <v>1.1221E-2</v>
      </c>
      <c r="AA3456">
        <v>0.93497850000000005</v>
      </c>
      <c r="AB3456">
        <v>29</v>
      </c>
      <c r="AC3456">
        <v>-5.2081</v>
      </c>
      <c r="AD3456">
        <v>-1.127162057933</v>
      </c>
      <c r="AE3456">
        <v>-24.7636</v>
      </c>
      <c r="AF3456">
        <v>-9.0579773267261992</v>
      </c>
      <c r="AG3456">
        <v>-1.127162057933</v>
      </c>
      <c r="AH3456">
        <v>23.574982308646899</v>
      </c>
      <c r="AI3456">
        <v>92.555462551010905</v>
      </c>
      <c r="AJ3456">
        <v>111.017768823374</v>
      </c>
      <c r="AK3456">
        <v>25.280372592375802</v>
      </c>
      <c r="AL3456">
        <v>91.037297601371293</v>
      </c>
      <c r="AM3456">
        <v>111.869025403706</v>
      </c>
      <c r="AN3456">
        <v>1.00000002787959</v>
      </c>
    </row>
    <row r="3457" spans="1:40" x14ac:dyDescent="0.25">
      <c r="A3457" t="str">
        <f>"20190305135657579"</f>
        <v>20190305135657579</v>
      </c>
      <c r="B3457" t="str">
        <f>"1551765417565667"</f>
        <v>1551765417565667</v>
      </c>
      <c r="C3457" t="s">
        <v>40</v>
      </c>
      <c r="D3457">
        <v>4.1033710000000001</v>
      </c>
      <c r="E3457">
        <v>0.51045609999999997</v>
      </c>
      <c r="F3457" t="s">
        <v>42</v>
      </c>
      <c r="G3457">
        <v>-423.21660000000003</v>
      </c>
      <c r="H3457" s="1">
        <v>-1.3025020000000001E-6</v>
      </c>
      <c r="I3457">
        <v>100.5365</v>
      </c>
      <c r="J3457">
        <v>-416.22160000000002</v>
      </c>
      <c r="K3457">
        <v>1.1271439999999999</v>
      </c>
      <c r="L3457">
        <v>131.9742</v>
      </c>
      <c r="M3457">
        <v>-0.52507609999999905</v>
      </c>
      <c r="N3457">
        <v>-2.2747110000000001E-2</v>
      </c>
      <c r="O3457">
        <v>-0.85075129999999999</v>
      </c>
      <c r="P3457">
        <v>-0.17289640000000001</v>
      </c>
      <c r="Q3457">
        <v>-2.2508509999999999E-2</v>
      </c>
      <c r="R3457">
        <v>-0.98468310000000003</v>
      </c>
      <c r="S3457">
        <v>-0.65838619999999903</v>
      </c>
      <c r="T3457">
        <v>-0.1041521</v>
      </c>
      <c r="U3457">
        <v>-2.9265439999999998</v>
      </c>
      <c r="V3457">
        <v>-0.3696392</v>
      </c>
      <c r="W3457">
        <v>-1.720963E-2</v>
      </c>
      <c r="X3457">
        <v>0.92901599999999995</v>
      </c>
      <c r="Y3457">
        <v>-0.32539940000000001</v>
      </c>
      <c r="Z3457">
        <v>5.1294440000000004E-3</v>
      </c>
      <c r="AA3457">
        <v>0.94556280000000004</v>
      </c>
      <c r="AB3457">
        <v>29</v>
      </c>
      <c r="AC3457">
        <v>-6.9950000000000001</v>
      </c>
      <c r="AD3457">
        <v>-1.127145302502</v>
      </c>
      <c r="AE3457">
        <v>-31.4376999999999</v>
      </c>
      <c r="AF3457">
        <v>-10.545994104802899</v>
      </c>
      <c r="AG3457">
        <v>-1.127145302502</v>
      </c>
      <c r="AH3457">
        <v>30.389221151565401</v>
      </c>
      <c r="AI3457">
        <v>92.006840638865597</v>
      </c>
      <c r="AJ3457">
        <v>109.138346492819</v>
      </c>
      <c r="AK3457">
        <v>32.186848407233697</v>
      </c>
      <c r="AL3457">
        <v>90.986087826593106</v>
      </c>
      <c r="AM3457">
        <v>111.69674322557501</v>
      </c>
      <c r="AN3457">
        <v>1.00000001889868</v>
      </c>
    </row>
    <row r="3458" spans="1:40" x14ac:dyDescent="0.25">
      <c r="A3458" t="str">
        <f>"20190305135657603"</f>
        <v>20190305135657603</v>
      </c>
      <c r="B3458" t="str">
        <f>"1551765417595924"</f>
        <v>1551765417595924</v>
      </c>
      <c r="C3458" t="s">
        <v>40</v>
      </c>
      <c r="D3458">
        <v>4.4249729999999996</v>
      </c>
      <c r="E3458">
        <v>0.51229089999999999</v>
      </c>
      <c r="F3458" t="s">
        <v>42</v>
      </c>
      <c r="G3458">
        <v>-422.93189999999998</v>
      </c>
      <c r="H3458" s="1">
        <v>-4.7015980000000004E-6</v>
      </c>
      <c r="I3458">
        <v>99.274389999999997</v>
      </c>
      <c r="J3458">
        <v>-416.36110000000002</v>
      </c>
      <c r="K3458">
        <v>1.127087</v>
      </c>
      <c r="L3458">
        <v>131.709</v>
      </c>
      <c r="M3458">
        <v>-0.50470219999999999</v>
      </c>
      <c r="N3458">
        <v>-2.2782500000000001E-2</v>
      </c>
      <c r="O3458">
        <v>-0.86299300000000001</v>
      </c>
      <c r="P3458">
        <v>-0.15188579999999999</v>
      </c>
      <c r="Q3458">
        <v>-2.4787360000000001E-2</v>
      </c>
      <c r="R3458">
        <v>-0.98808739999999995</v>
      </c>
      <c r="S3458">
        <v>-0.6029968</v>
      </c>
      <c r="T3458">
        <v>-0.1012875</v>
      </c>
      <c r="U3458">
        <v>-2.9384610000000002</v>
      </c>
      <c r="V3458">
        <v>-0.36721989999999999</v>
      </c>
      <c r="W3458">
        <v>-1.929647E-2</v>
      </c>
      <c r="X3458">
        <v>0.92993400000000004</v>
      </c>
      <c r="Y3458">
        <v>-0.32078220000000002</v>
      </c>
      <c r="Z3458">
        <v>4.766747E-3</v>
      </c>
      <c r="AA3458">
        <v>0.94714100000000001</v>
      </c>
      <c r="AB3458">
        <v>29</v>
      </c>
      <c r="AC3458">
        <v>-6.5707999999999602</v>
      </c>
      <c r="AD3458">
        <v>-1.127091701598</v>
      </c>
      <c r="AE3458">
        <v>-32.434609999999999</v>
      </c>
      <c r="AF3458">
        <v>-10.689641656173899</v>
      </c>
      <c r="AG3458">
        <v>-1.127091701598</v>
      </c>
      <c r="AH3458">
        <v>31.278980834369399</v>
      </c>
      <c r="AI3458">
        <v>91.952875252889996</v>
      </c>
      <c r="AJ3458">
        <v>108.867944923095</v>
      </c>
      <c r="AK3458">
        <v>33.074361920951198</v>
      </c>
      <c r="AL3458">
        <v>91.105674885434794</v>
      </c>
      <c r="AM3458">
        <v>111.548475215061</v>
      </c>
      <c r="AN3458">
        <v>1.0000000265332301</v>
      </c>
    </row>
    <row r="3459" spans="1:40" x14ac:dyDescent="0.25">
      <c r="A3459" t="str">
        <f>"20190305135657642"</f>
        <v>20190305135657642</v>
      </c>
      <c r="B3459" t="str">
        <f>"1551765417635942"</f>
        <v>1551765417635942</v>
      </c>
      <c r="C3459" t="s">
        <v>40</v>
      </c>
      <c r="D3459">
        <v>4.2391209999999999</v>
      </c>
      <c r="E3459">
        <v>0.51011770000000001</v>
      </c>
      <c r="F3459" t="s">
        <v>42</v>
      </c>
      <c r="G3459">
        <v>-419.42509999999999</v>
      </c>
      <c r="H3459" s="1">
        <v>-2.6598579999999998E-6</v>
      </c>
      <c r="I3459">
        <v>115.59529999999999</v>
      </c>
      <c r="J3459">
        <v>-416.57589999999999</v>
      </c>
      <c r="K3459">
        <v>1.126906</v>
      </c>
      <c r="L3459">
        <v>131.26609999999999</v>
      </c>
      <c r="M3459">
        <v>-0.4705974</v>
      </c>
      <c r="N3459">
        <v>-2.2782480000000001E-2</v>
      </c>
      <c r="O3459">
        <v>-0.882054</v>
      </c>
      <c r="P3459">
        <v>-0.1176126</v>
      </c>
      <c r="Q3459">
        <v>-2.759549E-2</v>
      </c>
      <c r="R3459">
        <v>-0.99267609999999995</v>
      </c>
      <c r="S3459">
        <v>-0.55996699999999999</v>
      </c>
      <c r="T3459">
        <v>-0.20598530000000001</v>
      </c>
      <c r="U3459">
        <v>-2.944931</v>
      </c>
      <c r="V3459">
        <v>-0.36290929999999999</v>
      </c>
      <c r="W3459">
        <v>-2.1750889999999998E-2</v>
      </c>
      <c r="X3459">
        <v>0.93157060000000003</v>
      </c>
      <c r="Y3459">
        <v>-0.29739409999999999</v>
      </c>
      <c r="Z3459">
        <v>3.3882009999999997E-2</v>
      </c>
      <c r="AA3459">
        <v>0.95415340000000004</v>
      </c>
      <c r="AB3459">
        <v>29</v>
      </c>
      <c r="AC3459">
        <v>-2.84919999999999</v>
      </c>
      <c r="AD3459">
        <v>-1.126908659858</v>
      </c>
      <c r="AE3459">
        <v>-15.6708</v>
      </c>
      <c r="AF3459">
        <v>-4.8385305425432401</v>
      </c>
      <c r="AG3459">
        <v>-1.126908659858</v>
      </c>
      <c r="AH3459">
        <v>15.091707443009099</v>
      </c>
      <c r="AI3459">
        <v>94.067206826504403</v>
      </c>
      <c r="AJ3459">
        <v>107.77629496764899</v>
      </c>
      <c r="AK3459">
        <v>15.8883899273703</v>
      </c>
      <c r="AL3459">
        <v>91.246332456958299</v>
      </c>
      <c r="AM3459">
        <v>111.284253944235</v>
      </c>
      <c r="AN3459">
        <v>1.0000000220133201</v>
      </c>
    </row>
    <row r="3460" spans="1:40" x14ac:dyDescent="0.25">
      <c r="A3460" t="str">
        <f>"20190305135657666"</f>
        <v>20190305135657666</v>
      </c>
      <c r="B3460" t="str">
        <f>"1551765417655459"</f>
        <v>1551765417655459</v>
      </c>
      <c r="C3460" t="s">
        <v>40</v>
      </c>
      <c r="D3460">
        <v>4.2473299999999998</v>
      </c>
      <c r="E3460">
        <v>0.5094149</v>
      </c>
      <c r="F3460" t="s">
        <v>42</v>
      </c>
      <c r="G3460">
        <v>-418.81330000000003</v>
      </c>
      <c r="H3460" s="1">
        <v>-3.050435E-6</v>
      </c>
      <c r="I3460">
        <v>116.2527</v>
      </c>
      <c r="J3460">
        <v>-416.69130000000001</v>
      </c>
      <c r="K3460">
        <v>1.126757</v>
      </c>
      <c r="L3460">
        <v>131.00790000000001</v>
      </c>
      <c r="M3460">
        <v>-0.45078000000000001</v>
      </c>
      <c r="N3460">
        <v>-2.2735579999999998E-2</v>
      </c>
      <c r="O3460">
        <v>-0.89234559999999996</v>
      </c>
      <c r="P3460">
        <v>-0.10211629999999999</v>
      </c>
      <c r="Q3460">
        <v>-2.716609E-2</v>
      </c>
      <c r="R3460">
        <v>-0.99440189999999995</v>
      </c>
      <c r="S3460">
        <v>-0.4416504</v>
      </c>
      <c r="T3460">
        <v>-0.22245190000000001</v>
      </c>
      <c r="U3460">
        <v>-2.963638</v>
      </c>
      <c r="V3460">
        <v>-0.35666249999999999</v>
      </c>
      <c r="W3460">
        <v>-2.0913560000000001E-2</v>
      </c>
      <c r="X3460">
        <v>0.93399920000000003</v>
      </c>
      <c r="Y3460">
        <v>-0.3141389</v>
      </c>
      <c r="Z3460">
        <v>3.8808469999999998E-2</v>
      </c>
      <c r="AA3460">
        <v>0.94858350000000002</v>
      </c>
      <c r="AB3460">
        <v>28</v>
      </c>
      <c r="AC3460">
        <v>-2.1220000000000101</v>
      </c>
      <c r="AD3460">
        <v>-1.1267600504349999</v>
      </c>
      <c r="AE3460">
        <v>-14.7552</v>
      </c>
      <c r="AF3460">
        <v>-4.7319864476923996</v>
      </c>
      <c r="AG3460">
        <v>-1.1267600504349999</v>
      </c>
      <c r="AH3460">
        <v>14.0466912351412</v>
      </c>
      <c r="AI3460">
        <v>94.347137357072398</v>
      </c>
      <c r="AJ3460">
        <v>108.61741154508699</v>
      </c>
      <c r="AK3460">
        <v>14.865087238485801</v>
      </c>
      <c r="AL3460">
        <v>91.198346075372498</v>
      </c>
      <c r="AM3460">
        <v>110.90015458048499</v>
      </c>
      <c r="AN3460">
        <v>1.0000000107493801</v>
      </c>
    </row>
    <row r="3461" spans="1:40" x14ac:dyDescent="0.25">
      <c r="A3461" t="str">
        <f>"20190305135657686"</f>
        <v>20190305135657686</v>
      </c>
      <c r="B3461" t="str">
        <f>"1551765417675955"</f>
        <v>1551765417675955</v>
      </c>
      <c r="C3461" t="s">
        <v>40</v>
      </c>
      <c r="D3461">
        <v>4.2511580000000002</v>
      </c>
      <c r="E3461">
        <v>0.50925069999999995</v>
      </c>
      <c r="F3461" t="s">
        <v>42</v>
      </c>
      <c r="G3461">
        <v>-418.56060000000002</v>
      </c>
      <c r="H3461" s="1">
        <v>-3.3224249999999998E-6</v>
      </c>
      <c r="I3461">
        <v>116.78230000000001</v>
      </c>
      <c r="J3461">
        <v>-416.78960000000001</v>
      </c>
      <c r="K3461">
        <v>1.1265480000000001</v>
      </c>
      <c r="L3461">
        <v>130.77449999999999</v>
      </c>
      <c r="M3461">
        <v>-0.43300889999999997</v>
      </c>
      <c r="N3461">
        <v>-2.2663429999999998E-2</v>
      </c>
      <c r="O3461">
        <v>-0.90110480000000004</v>
      </c>
      <c r="P3461">
        <v>-8.9398759999999994E-2</v>
      </c>
      <c r="Q3461">
        <v>-2.6240030000000001E-2</v>
      </c>
      <c r="R3461">
        <v>-0.99565029999999999</v>
      </c>
      <c r="S3461">
        <v>-0.39031979999999999</v>
      </c>
      <c r="T3461">
        <v>-0.2352725</v>
      </c>
      <c r="U3461">
        <v>-2.970383</v>
      </c>
      <c r="V3461">
        <v>-0.35014780000000001</v>
      </c>
      <c r="W3461">
        <v>-1.9555619999999999E-2</v>
      </c>
      <c r="X3461">
        <v>0.93649039999999995</v>
      </c>
      <c r="Y3461">
        <v>-0.31172620000000001</v>
      </c>
      <c r="Z3461">
        <v>4.3206300000000003E-2</v>
      </c>
      <c r="AA3461">
        <v>0.94918910000000001</v>
      </c>
      <c r="AB3461">
        <v>28</v>
      </c>
      <c r="AC3461">
        <v>-1.7710000000000099</v>
      </c>
      <c r="AD3461">
        <v>-1.1265513224249999</v>
      </c>
      <c r="AE3461">
        <v>-13.992199999999899</v>
      </c>
      <c r="AF3461">
        <v>-4.4357362146286201</v>
      </c>
      <c r="AG3461">
        <v>-1.1265513224249999</v>
      </c>
      <c r="AH3461">
        <v>13.2939157741725</v>
      </c>
      <c r="AI3461">
        <v>94.595848183114299</v>
      </c>
      <c r="AJ3461">
        <v>108.452134485296</v>
      </c>
      <c r="AK3461">
        <v>14.0596255376385</v>
      </c>
      <c r="AL3461">
        <v>91.120525821345197</v>
      </c>
      <c r="AM3461">
        <v>110.500450191832</v>
      </c>
      <c r="AN3461">
        <v>1.0000000867052801</v>
      </c>
    </row>
    <row r="3462" spans="1:40" x14ac:dyDescent="0.25">
      <c r="A3462" t="str">
        <f>"20190305135657709"</f>
        <v>20190305135657709</v>
      </c>
      <c r="B3462" t="str">
        <f>"1551765417706211"</f>
        <v>1551765417706211</v>
      </c>
      <c r="C3462" t="s">
        <v>40</v>
      </c>
      <c r="D3462">
        <v>4.2346979999999999</v>
      </c>
      <c r="E3462">
        <v>0.50967410000000002</v>
      </c>
      <c r="F3462" t="s">
        <v>42</v>
      </c>
      <c r="G3462">
        <v>-418.42489999999998</v>
      </c>
      <c r="H3462" s="1">
        <v>-3.4053499999999999E-6</v>
      </c>
      <c r="I3462">
        <v>116.9194</v>
      </c>
      <c r="J3462">
        <v>-416.88979999999998</v>
      </c>
      <c r="K3462">
        <v>1.126223</v>
      </c>
      <c r="L3462">
        <v>130.5223</v>
      </c>
      <c r="M3462">
        <v>-0.41410000000000002</v>
      </c>
      <c r="N3462">
        <v>-2.2554979999999999E-2</v>
      </c>
      <c r="O3462">
        <v>-0.90995199999999998</v>
      </c>
      <c r="P3462">
        <v>-7.6030159999999999E-2</v>
      </c>
      <c r="Q3462">
        <v>-2.6764070000000001E-2</v>
      </c>
      <c r="R3462">
        <v>-0.99674649999999998</v>
      </c>
      <c r="S3462">
        <v>-0.35116579999999997</v>
      </c>
      <c r="T3462">
        <v>-0.24191190000000001</v>
      </c>
      <c r="U3462">
        <v>-2.9751889999999999</v>
      </c>
      <c r="V3462">
        <v>-0.34314410000000001</v>
      </c>
      <c r="W3462">
        <v>-1.9573960000000001E-2</v>
      </c>
      <c r="X3462">
        <v>0.93907879999999999</v>
      </c>
      <c r="Y3462">
        <v>-0.30439569999999999</v>
      </c>
      <c r="Z3462">
        <v>4.6136200000000002E-2</v>
      </c>
      <c r="AA3462">
        <v>0.95142780000000005</v>
      </c>
      <c r="AB3462">
        <v>28</v>
      </c>
      <c r="AC3462">
        <v>-1.5350999999999999</v>
      </c>
      <c r="AD3462">
        <v>-1.12622640535</v>
      </c>
      <c r="AE3462">
        <v>-13.6029</v>
      </c>
      <c r="AF3462">
        <v>-4.20868463139663</v>
      </c>
      <c r="AG3462">
        <v>-1.12622640535</v>
      </c>
      <c r="AH3462">
        <v>12.9294681634704</v>
      </c>
      <c r="AI3462">
        <v>94.734872190341207</v>
      </c>
      <c r="AJ3462">
        <v>108.03064078996501</v>
      </c>
      <c r="AK3462">
        <v>13.643773643419101</v>
      </c>
      <c r="AL3462">
        <v>91.1215769209809</v>
      </c>
      <c r="AM3462">
        <v>110.07255684383399</v>
      </c>
      <c r="AN3462">
        <v>1.0000000029421601</v>
      </c>
    </row>
    <row r="3463" spans="1:40" x14ac:dyDescent="0.25">
      <c r="A3463" t="str">
        <f>"20190305135657732"</f>
        <v>20190305135657732</v>
      </c>
      <c r="B3463" t="str">
        <f>"1551765417725731"</f>
        <v>1551765417725731</v>
      </c>
      <c r="C3463" t="s">
        <v>40</v>
      </c>
      <c r="D3463">
        <v>4.2565710000000001</v>
      </c>
      <c r="E3463">
        <v>0.51000049999999997</v>
      </c>
      <c r="F3463" t="s">
        <v>42</v>
      </c>
      <c r="G3463">
        <v>-418.28919999999999</v>
      </c>
      <c r="H3463" s="1">
        <v>-3.5928909999999999E-6</v>
      </c>
      <c r="I3463">
        <v>117.3005</v>
      </c>
      <c r="J3463">
        <v>-416.98739999999998</v>
      </c>
      <c r="K3463">
        <v>1.125764</v>
      </c>
      <c r="L3463">
        <v>130.26070000000001</v>
      </c>
      <c r="M3463">
        <v>-0.39499099999999998</v>
      </c>
      <c r="N3463">
        <v>-2.2394689999999998E-2</v>
      </c>
      <c r="O3463">
        <v>-0.91841229999999996</v>
      </c>
      <c r="P3463">
        <v>-6.2677540000000004E-2</v>
      </c>
      <c r="Q3463">
        <v>-2.8792760000000001E-2</v>
      </c>
      <c r="R3463">
        <v>-0.99761889999999998</v>
      </c>
      <c r="S3463">
        <v>-0.31527709999999998</v>
      </c>
      <c r="T3463">
        <v>-0.25374400000000003</v>
      </c>
      <c r="U3463">
        <v>-2.9789430000000001</v>
      </c>
      <c r="V3463">
        <v>-0.33600079999999999</v>
      </c>
      <c r="W3463">
        <v>-2.1037589999999998E-2</v>
      </c>
      <c r="X3463">
        <v>0.94162670000000004</v>
      </c>
      <c r="Y3463">
        <v>-0.29595769999999999</v>
      </c>
      <c r="Z3463">
        <v>5.0645240000000001E-2</v>
      </c>
      <c r="AA3463">
        <v>0.95385750000000002</v>
      </c>
      <c r="AB3463">
        <v>28</v>
      </c>
      <c r="AC3463">
        <v>-1.3018000000000101</v>
      </c>
      <c r="AD3463">
        <v>-1.125767592891</v>
      </c>
      <c r="AE3463">
        <v>-12.9602</v>
      </c>
      <c r="AF3463">
        <v>-3.8954577217377802</v>
      </c>
      <c r="AG3463">
        <v>-1.125767592891</v>
      </c>
      <c r="AH3463">
        <v>12.328028706131899</v>
      </c>
      <c r="AI3463">
        <v>94.976429290677302</v>
      </c>
      <c r="AJ3463">
        <v>107.535693788101</v>
      </c>
      <c r="AK3463">
        <v>12.9777592562916</v>
      </c>
      <c r="AL3463">
        <v>91.205454071771697</v>
      </c>
      <c r="AM3463">
        <v>109.63793265544901</v>
      </c>
      <c r="AN3463">
        <v>0.99999997997326895</v>
      </c>
    </row>
    <row r="3464" spans="1:40" x14ac:dyDescent="0.25">
      <c r="A3464" t="str">
        <f>"20190305135657754"</f>
        <v>20190305135657754</v>
      </c>
      <c r="B3464" t="str">
        <f>"1551765417745251"</f>
        <v>1551765417745251</v>
      </c>
      <c r="C3464" t="s">
        <v>40</v>
      </c>
      <c r="D3464">
        <v>4.2468599999999999</v>
      </c>
      <c r="E3464">
        <v>0.51055150000000005</v>
      </c>
      <c r="F3464" t="s">
        <v>42</v>
      </c>
      <c r="G3464">
        <v>-418.16219999999998</v>
      </c>
      <c r="H3464" s="1">
        <v>-3.7676250000000002E-6</v>
      </c>
      <c r="I3464">
        <v>117.6553</v>
      </c>
      <c r="J3464">
        <v>-417.07709999999997</v>
      </c>
      <c r="K3464">
        <v>1.1252120000000001</v>
      </c>
      <c r="L3464">
        <v>130.00489999999999</v>
      </c>
      <c r="M3464">
        <v>-0.37689400000000001</v>
      </c>
      <c r="N3464">
        <v>-2.2200319999999999E-2</v>
      </c>
      <c r="O3464">
        <v>-0.92599030000000004</v>
      </c>
      <c r="P3464">
        <v>-5.0553819999999999E-2</v>
      </c>
      <c r="Q3464">
        <v>-3.0428190000000001E-2</v>
      </c>
      <c r="R3464">
        <v>-0.99825799999999998</v>
      </c>
      <c r="S3464">
        <v>-0.27792359999999999</v>
      </c>
      <c r="T3464">
        <v>-0.2663219</v>
      </c>
      <c r="U3464">
        <v>-2.98204</v>
      </c>
      <c r="V3464">
        <v>-0.32890190000000002</v>
      </c>
      <c r="W3464">
        <v>-2.208125E-2</v>
      </c>
      <c r="X3464">
        <v>0.94410590000000005</v>
      </c>
      <c r="Y3464">
        <v>-0.2891629</v>
      </c>
      <c r="Z3464">
        <v>5.5382470000000003E-2</v>
      </c>
      <c r="AA3464">
        <v>0.95567650000000004</v>
      </c>
      <c r="AB3464">
        <v>28</v>
      </c>
      <c r="AC3464">
        <v>-1.0851000000000099</v>
      </c>
      <c r="AD3464">
        <v>-1.1252157676250001</v>
      </c>
      <c r="AE3464">
        <v>-12.349599999999899</v>
      </c>
      <c r="AF3464">
        <v>-3.6207696485703398</v>
      </c>
      <c r="AG3464">
        <v>-1.1252157676250001</v>
      </c>
      <c r="AH3464">
        <v>11.750694405998599</v>
      </c>
      <c r="AI3464">
        <v>95.228663662154105</v>
      </c>
      <c r="AJ3464">
        <v>107.12576066554701</v>
      </c>
      <c r="AK3464">
        <v>12.3472629515568</v>
      </c>
      <c r="AL3464">
        <v>91.265265270755094</v>
      </c>
      <c r="AM3464">
        <v>109.20700560079899</v>
      </c>
      <c r="AN3464">
        <v>0.999999995919991</v>
      </c>
    </row>
    <row r="3465" spans="1:40" x14ac:dyDescent="0.25">
      <c r="A3465" t="str">
        <f>"20190305135657775"</f>
        <v>20190305135657775</v>
      </c>
      <c r="B3465" t="str">
        <f>"1551765417765747"</f>
        <v>1551765417765747</v>
      </c>
      <c r="C3465" t="s">
        <v>40</v>
      </c>
      <c r="D3465">
        <v>4.2681300000000002</v>
      </c>
      <c r="E3465">
        <v>0.51098690000000002</v>
      </c>
      <c r="F3465" t="s">
        <v>42</v>
      </c>
      <c r="G3465">
        <v>-418.08769999999998</v>
      </c>
      <c r="H3465" s="1">
        <v>-3.8296690000000001E-6</v>
      </c>
      <c r="I3465">
        <v>117.76909999999999</v>
      </c>
      <c r="J3465">
        <v>-417.15800000000002</v>
      </c>
      <c r="K3465">
        <v>1.124665</v>
      </c>
      <c r="L3465">
        <v>129.7612</v>
      </c>
      <c r="M3465">
        <v>-0.36015659999999999</v>
      </c>
      <c r="N3465">
        <v>-2.2001610000000001E-2</v>
      </c>
      <c r="O3465">
        <v>-0.93263240000000003</v>
      </c>
      <c r="P3465">
        <v>-4.087607E-2</v>
      </c>
      <c r="Q3465">
        <v>-3.185429E-2</v>
      </c>
      <c r="R3465">
        <v>-0.99865669999999995</v>
      </c>
      <c r="S3465">
        <v>-0.2464905</v>
      </c>
      <c r="T3465">
        <v>-0.274447099999999</v>
      </c>
      <c r="U3465">
        <v>-2.9843899999999999</v>
      </c>
      <c r="V3465">
        <v>-0.32100190000000001</v>
      </c>
      <c r="W3465">
        <v>-2.2893070000000001E-2</v>
      </c>
      <c r="X3465">
        <v>0.94680180000000003</v>
      </c>
      <c r="Y3465">
        <v>-0.28199360000000001</v>
      </c>
      <c r="Z3465">
        <v>5.8822140000000002E-2</v>
      </c>
      <c r="AA3465">
        <v>0.9576114</v>
      </c>
      <c r="AB3465">
        <v>28</v>
      </c>
      <c r="AC3465">
        <v>-0.929699999999968</v>
      </c>
      <c r="AD3465">
        <v>-1.1246688296689999</v>
      </c>
      <c r="AE3465">
        <v>-11.992100000000001</v>
      </c>
      <c r="AF3465">
        <v>-3.4228754315583299</v>
      </c>
      <c r="AG3465">
        <v>-1.1246688296689999</v>
      </c>
      <c r="AH3465">
        <v>11.421985904102501</v>
      </c>
      <c r="AI3465">
        <v>95.388257982447399</v>
      </c>
      <c r="AJ3465">
        <v>106.682121384867</v>
      </c>
      <c r="AK3465">
        <v>11.9767574155074</v>
      </c>
      <c r="AL3465">
        <v>91.311790917068393</v>
      </c>
      <c r="AM3465">
        <v>108.728617706276</v>
      </c>
      <c r="AN3465">
        <v>0.99999998047043703</v>
      </c>
    </row>
    <row r="3466" spans="1:40" x14ac:dyDescent="0.25">
      <c r="A3466" t="str">
        <f>"20190305135657822"</f>
        <v>20190305135657822</v>
      </c>
      <c r="B3466" t="str">
        <f>"1551765417815523"</f>
        <v>1551765417815523</v>
      </c>
      <c r="C3466" t="s">
        <v>40</v>
      </c>
      <c r="D3466">
        <v>4.2355989999999997</v>
      </c>
      <c r="E3466">
        <v>0.51208240000000005</v>
      </c>
      <c r="F3466" t="s">
        <v>42</v>
      </c>
      <c r="G3466">
        <v>-418.04169999999999</v>
      </c>
      <c r="H3466" s="1">
        <v>-3.8620670000000004E-6</v>
      </c>
      <c r="I3466">
        <v>117.82559999999999</v>
      </c>
      <c r="J3466">
        <v>-417.3177</v>
      </c>
      <c r="K3466">
        <v>1.123453</v>
      </c>
      <c r="L3466">
        <v>129.2364</v>
      </c>
      <c r="M3466">
        <v>-0.32612259999999998</v>
      </c>
      <c r="N3466">
        <v>-2.157125E-2</v>
      </c>
      <c r="O3466">
        <v>-0.94508139999999996</v>
      </c>
      <c r="P3466">
        <v>-2.3597239999999998E-2</v>
      </c>
      <c r="Q3466">
        <v>-3.2793830000000003E-2</v>
      </c>
      <c r="R3466">
        <v>-0.99918390000000001</v>
      </c>
      <c r="S3466">
        <v>-0.2210693</v>
      </c>
      <c r="T3466">
        <v>-0.28136729999999999</v>
      </c>
      <c r="U3466">
        <v>-2.9860229999999999</v>
      </c>
      <c r="V3466">
        <v>-0.30303740000000001</v>
      </c>
      <c r="W3466">
        <v>-2.2511239999999998E-2</v>
      </c>
      <c r="X3466">
        <v>0.95271280000000003</v>
      </c>
      <c r="Y3466">
        <v>-0.25532070000000001</v>
      </c>
      <c r="Z3466">
        <v>6.3257450000000007E-2</v>
      </c>
      <c r="AA3466">
        <v>0.96478489999999995</v>
      </c>
      <c r="AB3466">
        <v>28</v>
      </c>
      <c r="AC3466">
        <v>-0.72399999999998899</v>
      </c>
      <c r="AD3466">
        <v>-1.123456862067</v>
      </c>
      <c r="AE3466">
        <v>-11.4108</v>
      </c>
      <c r="AF3466">
        <v>-3.0087392245544899</v>
      </c>
      <c r="AG3466">
        <v>-1.123456862067</v>
      </c>
      <c r="AH3466">
        <v>10.9174082198383</v>
      </c>
      <c r="AI3466">
        <v>95.665583331066998</v>
      </c>
      <c r="AJ3466">
        <v>105.407726447474</v>
      </c>
      <c r="AK3466">
        <v>11.3800030439754</v>
      </c>
      <c r="AL3466">
        <v>91.289907938849595</v>
      </c>
      <c r="AM3466">
        <v>107.64474538889399</v>
      </c>
      <c r="AN3466">
        <v>1.0000000505044599</v>
      </c>
    </row>
    <row r="3467" spans="1:40" x14ac:dyDescent="0.25">
      <c r="A3467" t="str">
        <f>"20190305135657843"</f>
        <v>20190305135657843</v>
      </c>
      <c r="B3467" t="str">
        <f>"1551765417836019"</f>
        <v>1551765417836019</v>
      </c>
      <c r="C3467" t="s">
        <v>40</v>
      </c>
      <c r="D3467">
        <v>4.2068690000000002</v>
      </c>
      <c r="E3467">
        <v>0.51256040000000003</v>
      </c>
      <c r="F3467" t="s">
        <v>42</v>
      </c>
      <c r="G3467">
        <v>-418.0104</v>
      </c>
      <c r="H3467" s="1">
        <v>-3.8020720000000001E-6</v>
      </c>
      <c r="I3467">
        <v>117.6728</v>
      </c>
      <c r="J3467">
        <v>-417.3904</v>
      </c>
      <c r="K3467">
        <v>1.1228910000000001</v>
      </c>
      <c r="L3467">
        <v>128.9751</v>
      </c>
      <c r="M3467">
        <v>-0.31022739999999999</v>
      </c>
      <c r="N3467">
        <v>-2.1352820000000002E-2</v>
      </c>
      <c r="O3467">
        <v>-0.95042269999999895</v>
      </c>
      <c r="P3467">
        <v>-1.7154869999999999E-2</v>
      </c>
      <c r="Q3467">
        <v>-3.1740270000000001E-2</v>
      </c>
      <c r="R3467">
        <v>-0.99934900000000004</v>
      </c>
      <c r="S3467">
        <v>-0.1790466</v>
      </c>
      <c r="T3467">
        <v>-0.29036380000000001</v>
      </c>
      <c r="U3467">
        <v>-2.9886780000000002</v>
      </c>
      <c r="V3467">
        <v>-0.29326740000000001</v>
      </c>
      <c r="W3467">
        <v>-2.083519E-2</v>
      </c>
      <c r="X3467">
        <v>0.95580339999999997</v>
      </c>
      <c r="Y3467">
        <v>-0.25268449999999998</v>
      </c>
      <c r="Z3467">
        <v>6.6854510000000006E-2</v>
      </c>
      <c r="AA3467">
        <v>0.96523619999999999</v>
      </c>
      <c r="AB3467">
        <v>27</v>
      </c>
      <c r="AC3467">
        <v>-0.62000000000000399</v>
      </c>
      <c r="AD3467">
        <v>-1.122894802072</v>
      </c>
      <c r="AE3467">
        <v>-11.302300000000001</v>
      </c>
      <c r="AF3467">
        <v>-2.8892527108937802</v>
      </c>
      <c r="AG3467">
        <v>-1.122894802072</v>
      </c>
      <c r="AH3467">
        <v>10.830215207754099</v>
      </c>
      <c r="AI3467">
        <v>95.7206962587438</v>
      </c>
      <c r="AJ3467">
        <v>104.937320875103</v>
      </c>
      <c r="AK3467">
        <v>11.265089232234001</v>
      </c>
      <c r="AL3467">
        <v>91.193854831939703</v>
      </c>
      <c r="AM3467">
        <v>107.057488174055</v>
      </c>
      <c r="AN3467">
        <v>1.0000000062483201</v>
      </c>
    </row>
    <row r="3468" spans="1:40" x14ac:dyDescent="0.25">
      <c r="A3468" t="str">
        <f>"20190305135657866"</f>
        <v>20190305135657866</v>
      </c>
      <c r="B3468" t="str">
        <f>"1551765417855540"</f>
        <v>1551765417855540</v>
      </c>
      <c r="C3468" t="s">
        <v>40</v>
      </c>
      <c r="D3468">
        <v>4.2769879999999896</v>
      </c>
      <c r="E3468">
        <v>0.51302329999999996</v>
      </c>
      <c r="F3468" t="s">
        <v>42</v>
      </c>
      <c r="G3468">
        <v>-418.02409999999998</v>
      </c>
      <c r="H3468" s="1">
        <v>-3.6624700000000001E-6</v>
      </c>
      <c r="I3468">
        <v>117.3531</v>
      </c>
      <c r="J3468">
        <v>-417.4572</v>
      </c>
      <c r="K3468">
        <v>1.122357</v>
      </c>
      <c r="L3468">
        <v>128.721</v>
      </c>
      <c r="M3468">
        <v>-0.29548799999999997</v>
      </c>
      <c r="N3468">
        <v>-2.114502E-2</v>
      </c>
      <c r="O3468">
        <v>-0.95511250000000003</v>
      </c>
      <c r="P3468">
        <v>-1.337531E-2</v>
      </c>
      <c r="Q3468">
        <v>-2.8948109999999999E-2</v>
      </c>
      <c r="R3468">
        <v>-0.99949160000000004</v>
      </c>
      <c r="S3468">
        <v>-0.1630249</v>
      </c>
      <c r="T3468">
        <v>-0.2888869</v>
      </c>
      <c r="U3468">
        <v>-2.990005</v>
      </c>
      <c r="V3468">
        <v>-0.28222199999999997</v>
      </c>
      <c r="W3468">
        <v>-1.7415610000000002E-2</v>
      </c>
      <c r="X3468">
        <v>0.95919100000000002</v>
      </c>
      <c r="Y3468">
        <v>-0.2429065</v>
      </c>
      <c r="Z3468">
        <v>6.7353350000000006E-2</v>
      </c>
      <c r="AA3468">
        <v>0.96770860000000003</v>
      </c>
      <c r="AB3468">
        <v>27</v>
      </c>
      <c r="AC3468">
        <v>-0.56689999999997498</v>
      </c>
      <c r="AD3468">
        <v>-1.12236066247</v>
      </c>
      <c r="AE3468">
        <v>-11.367900000000001</v>
      </c>
      <c r="AF3468">
        <v>-2.7911150454593998</v>
      </c>
      <c r="AG3468">
        <v>-1.12236066247</v>
      </c>
      <c r="AH3468">
        <v>10.9214051923955</v>
      </c>
      <c r="AI3468">
        <v>95.686027583377495</v>
      </c>
      <c r="AJ3468">
        <v>104.335875055413</v>
      </c>
      <c r="AK3468">
        <v>11.328155544047499</v>
      </c>
      <c r="AL3468">
        <v>90.997891431285694</v>
      </c>
      <c r="AM3468">
        <v>106.395422758968</v>
      </c>
      <c r="AN3468">
        <v>0.99999996761833498</v>
      </c>
    </row>
    <row r="3469" spans="1:40" x14ac:dyDescent="0.25">
      <c r="A3469" t="str">
        <f>"20190305135657888"</f>
        <v>20190305135657888</v>
      </c>
      <c r="B3469" t="str">
        <f>"1551765417885795"</f>
        <v>1551765417885795</v>
      </c>
      <c r="C3469" t="s">
        <v>40</v>
      </c>
      <c r="D3469">
        <v>4.2638780000000001</v>
      </c>
      <c r="E3469">
        <v>0.52139990000000003</v>
      </c>
      <c r="F3469" t="s">
        <v>42</v>
      </c>
      <c r="G3469">
        <v>-418.07780000000002</v>
      </c>
      <c r="H3469" s="1">
        <v>-3.413753E-6</v>
      </c>
      <c r="I3469">
        <v>116.7955</v>
      </c>
      <c r="J3469">
        <v>-417.52019999999999</v>
      </c>
      <c r="K3469">
        <v>1.1217820000000001</v>
      </c>
      <c r="L3469">
        <v>128.46719999999999</v>
      </c>
      <c r="M3469">
        <v>-0.28154499999999999</v>
      </c>
      <c r="N3469">
        <v>-2.0935760000000001E-2</v>
      </c>
      <c r="O3469">
        <v>-0.95931960000000005</v>
      </c>
      <c r="P3469">
        <v>-9.9040510000000005E-3</v>
      </c>
      <c r="Q3469">
        <v>-2.5969269999999999E-2</v>
      </c>
      <c r="R3469">
        <v>-0.99961359999999999</v>
      </c>
      <c r="S3469">
        <v>-0.15567020000000001</v>
      </c>
      <c r="T3469">
        <v>-0.28152529999999998</v>
      </c>
      <c r="U3469">
        <v>-2.9913020000000001</v>
      </c>
      <c r="V3469">
        <v>-0.27170440000000001</v>
      </c>
      <c r="W3469">
        <v>-1.3850660000000001E-2</v>
      </c>
      <c r="X3469">
        <v>0.9622811</v>
      </c>
      <c r="Y3469">
        <v>-0.2311773</v>
      </c>
      <c r="Z3469">
        <v>6.599998E-2</v>
      </c>
      <c r="AA3469">
        <v>0.97067040000000004</v>
      </c>
      <c r="AB3469">
        <v>27</v>
      </c>
      <c r="AC3469">
        <v>-0.55760000000003596</v>
      </c>
      <c r="AD3469">
        <v>-1.1217854137529999</v>
      </c>
      <c r="AE3469">
        <v>-11.6716999999999</v>
      </c>
      <c r="AF3469">
        <v>-2.7266652789280901</v>
      </c>
      <c r="AG3469">
        <v>-1.1217854137529999</v>
      </c>
      <c r="AH3469">
        <v>11.252660183442201</v>
      </c>
      <c r="AI3469">
        <v>95.533936191110598</v>
      </c>
      <c r="AJ3469">
        <v>103.62097204147599</v>
      </c>
      <c r="AK3469">
        <v>11.6325176665177</v>
      </c>
      <c r="AL3469">
        <v>90.793609722548396</v>
      </c>
      <c r="AM3469">
        <v>105.76726532522</v>
      </c>
      <c r="AN3469">
        <v>1.0000000185894999</v>
      </c>
    </row>
    <row r="3470" spans="1:40" x14ac:dyDescent="0.25">
      <c r="A3470" t="str">
        <f>"20190305135657910"</f>
        <v>20190305135657910</v>
      </c>
      <c r="B3470" t="str">
        <f>"1551765417906291"</f>
        <v>1551765417906291</v>
      </c>
      <c r="C3470" t="s">
        <v>40</v>
      </c>
      <c r="D3470">
        <v>4.2930849999999996</v>
      </c>
      <c r="E3470">
        <v>0.52136099999999996</v>
      </c>
      <c r="F3470" t="s">
        <v>42</v>
      </c>
      <c r="G3470">
        <v>-418.34480000000002</v>
      </c>
      <c r="H3470" s="1">
        <v>-3.4039409999999998E-6</v>
      </c>
      <c r="I3470">
        <v>116.883</v>
      </c>
      <c r="J3470">
        <v>-417.57960000000003</v>
      </c>
      <c r="K3470">
        <v>1.121149</v>
      </c>
      <c r="L3470">
        <v>128.214</v>
      </c>
      <c r="M3470">
        <v>-0.26844709999999899</v>
      </c>
      <c r="N3470">
        <v>-2.0719580000000001E-2</v>
      </c>
      <c r="O3470">
        <v>-0.96307180000000003</v>
      </c>
      <c r="P3470">
        <v>-5.5854119999999997E-3</v>
      </c>
      <c r="Q3470">
        <v>-2.47905E-2</v>
      </c>
      <c r="R3470">
        <v>-0.99967740000000005</v>
      </c>
      <c r="S3470">
        <v>-0.21295169999999999</v>
      </c>
      <c r="T3470">
        <v>-0.28969499999999998</v>
      </c>
      <c r="U3470">
        <v>-2.9915470000000002</v>
      </c>
      <c r="V3470">
        <v>-0.2628006</v>
      </c>
      <c r="W3470">
        <v>-1.2157329999999999E-2</v>
      </c>
      <c r="X3470">
        <v>0.96477360000000001</v>
      </c>
      <c r="Y3470">
        <v>-0.1993499</v>
      </c>
      <c r="Z3470">
        <v>6.9580130000000004E-2</v>
      </c>
      <c r="AA3470">
        <v>0.97745499999999996</v>
      </c>
      <c r="AB3470">
        <v>27</v>
      </c>
      <c r="AC3470">
        <v>-0.765199999999992</v>
      </c>
      <c r="AD3470">
        <v>-1.1211524039409999</v>
      </c>
      <c r="AE3470">
        <v>-11.331</v>
      </c>
      <c r="AF3470">
        <v>-2.28307557725363</v>
      </c>
      <c r="AG3470">
        <v>-1.1211524039409999</v>
      </c>
      <c r="AH3470">
        <v>11.013036436882</v>
      </c>
      <c r="AI3470">
        <v>95.692600658259295</v>
      </c>
      <c r="AJ3470">
        <v>101.711899153798</v>
      </c>
      <c r="AK3470">
        <v>11.3029371565273</v>
      </c>
      <c r="AL3470">
        <v>90.696580839795004</v>
      </c>
      <c r="AM3470">
        <v>105.237457937622</v>
      </c>
      <c r="AN3470">
        <v>1.0000000276450201</v>
      </c>
    </row>
    <row r="3471" spans="1:40" x14ac:dyDescent="0.25">
      <c r="A3471" t="str">
        <f>"20190305135657956"</f>
        <v>20190305135657956</v>
      </c>
      <c r="B3471" t="str">
        <f>"1551765417945331"</f>
        <v>1551765417945331</v>
      </c>
      <c r="C3471" t="s">
        <v>40</v>
      </c>
      <c r="D3471">
        <v>4.2391220000000001</v>
      </c>
      <c r="E3471">
        <v>0.52256800000000003</v>
      </c>
      <c r="F3471" t="s">
        <v>42</v>
      </c>
      <c r="G3471">
        <v>-418.36790000000002</v>
      </c>
      <c r="H3471" s="1">
        <v>-3.2043540000000002E-6</v>
      </c>
      <c r="I3471">
        <v>116.42740000000001</v>
      </c>
      <c r="J3471">
        <v>-417.69209999999998</v>
      </c>
      <c r="K3471">
        <v>1.119715</v>
      </c>
      <c r="L3471">
        <v>127.69280000000001</v>
      </c>
      <c r="M3471">
        <v>-0.24397450000000001</v>
      </c>
      <c r="N3471">
        <v>-2.0252610000000001E-2</v>
      </c>
      <c r="O3471">
        <v>-0.96957020000000005</v>
      </c>
      <c r="P3471">
        <v>7.0419439999999996E-3</v>
      </c>
      <c r="Q3471">
        <v>-3.180268E-2</v>
      </c>
      <c r="R3471">
        <v>-0.99946959999999996</v>
      </c>
      <c r="S3471">
        <v>-0.2001648</v>
      </c>
      <c r="T3471">
        <v>-0.28467700000000001</v>
      </c>
      <c r="U3471">
        <v>-2.9928129999999999</v>
      </c>
      <c r="V3471">
        <v>-0.2503493</v>
      </c>
      <c r="W3471">
        <v>-1.835212E-2</v>
      </c>
      <c r="X3471">
        <v>0.9679816</v>
      </c>
      <c r="Y3471">
        <v>-0.17871229999999999</v>
      </c>
      <c r="Z3471">
        <v>6.9542039999999999E-2</v>
      </c>
      <c r="AA3471">
        <v>0.98144070000000005</v>
      </c>
      <c r="AB3471">
        <v>27</v>
      </c>
      <c r="AC3471">
        <v>-0.67580000000003704</v>
      </c>
      <c r="AD3471">
        <v>-1.1197182043539999</v>
      </c>
      <c r="AE3471">
        <v>-11.2654</v>
      </c>
      <c r="AF3471">
        <v>-2.0732553344282199</v>
      </c>
      <c r="AG3471">
        <v>-1.1197182043539999</v>
      </c>
      <c r="AH3471">
        <v>10.9816466440765</v>
      </c>
      <c r="AI3471">
        <v>95.721527367951495</v>
      </c>
      <c r="AJ3471">
        <v>100.69119237929399</v>
      </c>
      <c r="AK3471">
        <v>11.2315947021896</v>
      </c>
      <c r="AL3471">
        <v>91.051558080420705</v>
      </c>
      <c r="AM3471">
        <v>104.50067890505601</v>
      </c>
      <c r="AN3471">
        <v>0.99999997512877103</v>
      </c>
    </row>
    <row r="3472" spans="1:40" x14ac:dyDescent="0.25">
      <c r="A3472" t="str">
        <f>"20190305135657977"</f>
        <v>20190305135657977</v>
      </c>
      <c r="B3472" t="str">
        <f>"1551765417965827"</f>
        <v>1551765417965827</v>
      </c>
      <c r="C3472" t="s">
        <v>40</v>
      </c>
      <c r="D3472">
        <v>4.2675789999999996</v>
      </c>
      <c r="E3472">
        <v>0.52298549999999999</v>
      </c>
      <c r="F3472" t="s">
        <v>42</v>
      </c>
      <c r="G3472">
        <v>-418.31720000000001</v>
      </c>
      <c r="H3472" s="1">
        <v>-3.4618719999999999E-6</v>
      </c>
      <c r="I3472">
        <v>117.0067</v>
      </c>
      <c r="J3472">
        <v>-417.74220000000003</v>
      </c>
      <c r="K3472">
        <v>1.1190549999999999</v>
      </c>
      <c r="L3472">
        <v>127.4426</v>
      </c>
      <c r="M3472">
        <v>-0.23322950000000001</v>
      </c>
      <c r="N3472">
        <v>-2.00223E-2</v>
      </c>
      <c r="O3472">
        <v>-0.97221550000000001</v>
      </c>
      <c r="P3472">
        <v>1.252179E-2</v>
      </c>
      <c r="Q3472">
        <v>-3.6630410000000002E-2</v>
      </c>
      <c r="R3472">
        <v>-0.99925050000000004</v>
      </c>
      <c r="S3472">
        <v>-0.17504879999999901</v>
      </c>
      <c r="T3472">
        <v>-0.31359710000000002</v>
      </c>
      <c r="U3472">
        <v>-2.9928439999999998</v>
      </c>
      <c r="V3472">
        <v>-0.24481729999999999</v>
      </c>
      <c r="W3472">
        <v>-2.2857229999999999E-2</v>
      </c>
      <c r="X3472">
        <v>0.96929980000000004</v>
      </c>
      <c r="Y3472">
        <v>-0.17605689999999999</v>
      </c>
      <c r="Z3472">
        <v>7.922353E-2</v>
      </c>
      <c r="AA3472">
        <v>0.98118680000000003</v>
      </c>
      <c r="AB3472">
        <v>27</v>
      </c>
      <c r="AC3472">
        <v>-0.57499999999998797</v>
      </c>
      <c r="AD3472">
        <v>-1.1190584618720001</v>
      </c>
      <c r="AE3472">
        <v>-10.4359</v>
      </c>
      <c r="AF3472">
        <v>-1.85405730884704</v>
      </c>
      <c r="AG3472">
        <v>-1.1190584618720001</v>
      </c>
      <c r="AH3472">
        <v>10.165576263363301</v>
      </c>
      <c r="AI3472">
        <v>96.180852384100902</v>
      </c>
      <c r="AJ3472">
        <v>100.336327736968</v>
      </c>
      <c r="AK3472">
        <v>10.393688522937</v>
      </c>
      <c r="AL3472">
        <v>91.309736830249804</v>
      </c>
      <c r="AM3472">
        <v>104.174817253482</v>
      </c>
      <c r="AN3472">
        <v>1.0000000328112999</v>
      </c>
    </row>
    <row r="3473" spans="1:40" x14ac:dyDescent="0.25">
      <c r="A3473" t="str">
        <f>"20190305135657999"</f>
        <v>20190305135657999</v>
      </c>
      <c r="B3473" t="str">
        <f>"1551765417996083"</f>
        <v>1551765417996083</v>
      </c>
      <c r="C3473" t="s">
        <v>40</v>
      </c>
      <c r="D3473">
        <v>4.1879289999999996</v>
      </c>
      <c r="E3473">
        <v>0.52819559999999999</v>
      </c>
      <c r="F3473" t="s">
        <v>42</v>
      </c>
      <c r="G3473">
        <v>-418.29340000000002</v>
      </c>
      <c r="H3473" s="1">
        <v>-3.5843250000000002E-6</v>
      </c>
      <c r="I3473">
        <v>117.28230000000001</v>
      </c>
      <c r="J3473">
        <v>-417.79259999999999</v>
      </c>
      <c r="K3473">
        <v>1.1184000000000001</v>
      </c>
      <c r="L3473">
        <v>127.1782</v>
      </c>
      <c r="M3473">
        <v>-0.22258700000000001</v>
      </c>
      <c r="N3473">
        <v>-1.9777110000000001E-2</v>
      </c>
      <c r="O3473">
        <v>-0.97471229999999998</v>
      </c>
      <c r="P3473">
        <v>1.8576039999999999E-2</v>
      </c>
      <c r="Q3473">
        <v>-3.8316599999999999E-2</v>
      </c>
      <c r="R3473">
        <v>-0.99909340000000002</v>
      </c>
      <c r="S3473">
        <v>-0.162323</v>
      </c>
      <c r="T3473">
        <v>-0.3295614</v>
      </c>
      <c r="U3473">
        <v>-2.9922179999999998</v>
      </c>
      <c r="V3473">
        <v>-0.24007490000000001</v>
      </c>
      <c r="W3473">
        <v>-2.426215E-2</v>
      </c>
      <c r="X3473">
        <v>0.97045110000000001</v>
      </c>
      <c r="Y3473">
        <v>-0.16946629999999999</v>
      </c>
      <c r="Z3473">
        <v>8.494662E-2</v>
      </c>
      <c r="AA3473">
        <v>0.98186830000000003</v>
      </c>
      <c r="AB3473">
        <v>27</v>
      </c>
      <c r="AC3473">
        <v>-0.500800000000026</v>
      </c>
      <c r="AD3473">
        <v>-1.118403584325</v>
      </c>
      <c r="AE3473">
        <v>-9.8958999999999904</v>
      </c>
      <c r="AF3473">
        <v>-1.69332476629857</v>
      </c>
      <c r="AG3473">
        <v>-1.118403584325</v>
      </c>
      <c r="AH3473">
        <v>9.6362670910790094</v>
      </c>
      <c r="AI3473">
        <v>96.521199923357699</v>
      </c>
      <c r="AJ3473">
        <v>99.966497946087003</v>
      </c>
      <c r="AK3473">
        <v>9.8476301104480708</v>
      </c>
      <c r="AL3473">
        <v>91.390255252569006</v>
      </c>
      <c r="AM3473">
        <v>103.89513382171501</v>
      </c>
      <c r="AN3473">
        <v>0.99999997351192005</v>
      </c>
    </row>
    <row r="3474" spans="1:40" x14ac:dyDescent="0.25">
      <c r="A3474" t="str">
        <f>"20190305135658023"</f>
        <v>20190305135658023</v>
      </c>
      <c r="B3474" t="str">
        <f>"1551765418015603"</f>
        <v>1551765418015603</v>
      </c>
      <c r="C3474" t="s">
        <v>40</v>
      </c>
      <c r="D3474">
        <v>4.1444539999999996</v>
      </c>
      <c r="E3474">
        <v>0.52817979999999998</v>
      </c>
      <c r="F3474" t="s">
        <v>42</v>
      </c>
      <c r="G3474">
        <v>-418.38780000000003</v>
      </c>
      <c r="H3474" s="1">
        <v>-3.7247460000000001E-6</v>
      </c>
      <c r="I3474">
        <v>117.6486</v>
      </c>
      <c r="J3474">
        <v>-417.84210000000002</v>
      </c>
      <c r="K3474">
        <v>1.1176280000000001</v>
      </c>
      <c r="L3474">
        <v>126.90730000000001</v>
      </c>
      <c r="M3474">
        <v>-0.21263840000000001</v>
      </c>
      <c r="N3474">
        <v>-1.9409599999999999E-2</v>
      </c>
      <c r="O3474">
        <v>-0.97693810000000003</v>
      </c>
      <c r="P3474">
        <v>2.5494880000000001E-2</v>
      </c>
      <c r="Q3474">
        <v>-3.8110209999999999E-2</v>
      </c>
      <c r="R3474">
        <v>-0.99894859999999996</v>
      </c>
      <c r="S3474">
        <v>-0.18692020000000001</v>
      </c>
      <c r="T3474">
        <v>-0.35122900000000001</v>
      </c>
      <c r="U3474">
        <v>-2.9927060000000001</v>
      </c>
      <c r="V3474">
        <v>-0.23694589999999999</v>
      </c>
      <c r="W3474">
        <v>-2.388614E-2</v>
      </c>
      <c r="X3474">
        <v>0.97122920000000001</v>
      </c>
      <c r="Y3474">
        <v>-0.151418</v>
      </c>
      <c r="Z3474">
        <v>9.2631619999999998E-2</v>
      </c>
      <c r="AA3474">
        <v>0.98411990000000005</v>
      </c>
      <c r="AB3474">
        <v>27</v>
      </c>
      <c r="AC3474">
        <v>-0.54570000000000995</v>
      </c>
      <c r="AD3474">
        <v>-1.1176317247459999</v>
      </c>
      <c r="AE3474">
        <v>-9.2586999999999993</v>
      </c>
      <c r="AF3474">
        <v>-1.4153584507293</v>
      </c>
      <c r="AG3474">
        <v>-1.1176317247459999</v>
      </c>
      <c r="AH3474">
        <v>9.0317912121120099</v>
      </c>
      <c r="AI3474">
        <v>96.969948554625404</v>
      </c>
      <c r="AJ3474">
        <v>98.906301380209996</v>
      </c>
      <c r="AK3474">
        <v>9.2100810373955699</v>
      </c>
      <c r="AL3474">
        <v>91.368705138559207</v>
      </c>
      <c r="AM3474">
        <v>103.71034240364099</v>
      </c>
      <c r="AN3474">
        <v>1.00000003307177</v>
      </c>
    </row>
    <row r="3475" spans="1:40" x14ac:dyDescent="0.25">
      <c r="A3475" t="str">
        <f>"20190305135658045"</f>
        <v>20190305135658045</v>
      </c>
      <c r="B3475" t="str">
        <f>"1551765418036100"</f>
        <v>1551765418036100</v>
      </c>
      <c r="C3475" t="s">
        <v>40</v>
      </c>
      <c r="D3475">
        <v>4.203112</v>
      </c>
      <c r="E3475">
        <v>0.53578029999999999</v>
      </c>
      <c r="F3475" t="s">
        <v>42</v>
      </c>
      <c r="G3475">
        <v>-418.3766</v>
      </c>
      <c r="H3475" s="1">
        <v>-3.5939500000000001E-6</v>
      </c>
      <c r="I3475">
        <v>117.3391</v>
      </c>
      <c r="J3475">
        <v>-417.8879</v>
      </c>
      <c r="K3475">
        <v>1.1167199999999999</v>
      </c>
      <c r="L3475">
        <v>126.6481</v>
      </c>
      <c r="M3475">
        <v>-0.20424329999999999</v>
      </c>
      <c r="N3475">
        <v>-1.8901230000000002E-2</v>
      </c>
      <c r="O3475">
        <v>-0.97873779999999999</v>
      </c>
      <c r="P3475">
        <v>2.9471000000000001E-2</v>
      </c>
      <c r="Q3475">
        <v>-3.7180060000000001E-2</v>
      </c>
      <c r="R3475">
        <v>-0.99887420000000005</v>
      </c>
      <c r="S3475">
        <v>-0.16726679999999999</v>
      </c>
      <c r="T3475">
        <v>-0.34973219999999999</v>
      </c>
      <c r="U3475">
        <v>-2.9940950000000002</v>
      </c>
      <c r="V3475">
        <v>-0.2325383</v>
      </c>
      <c r="W3475">
        <v>-2.2841400000000001E-2</v>
      </c>
      <c r="X3475">
        <v>0.97231900000000004</v>
      </c>
      <c r="Y3475">
        <v>-0.14940580000000001</v>
      </c>
      <c r="Z3475">
        <v>9.29421E-2</v>
      </c>
      <c r="AA3475">
        <v>0.98439810000000005</v>
      </c>
      <c r="AB3475">
        <v>27</v>
      </c>
      <c r="AC3475">
        <v>-0.48869999999999397</v>
      </c>
      <c r="AD3475">
        <v>-1.11672359395</v>
      </c>
      <c r="AE3475">
        <v>-9.3089999999999904</v>
      </c>
      <c r="AF3475">
        <v>-1.4031093952809699</v>
      </c>
      <c r="AG3475">
        <v>-1.11672359395</v>
      </c>
      <c r="AH3475">
        <v>9.0821875905550105</v>
      </c>
      <c r="AI3475">
        <v>96.928384351103901</v>
      </c>
      <c r="AJ3475">
        <v>98.782209265528294</v>
      </c>
      <c r="AK3475">
        <v>9.2575330942126097</v>
      </c>
      <c r="AL3475">
        <v>91.308829625671393</v>
      </c>
      <c r="AM3475">
        <v>103.45013309687801</v>
      </c>
      <c r="AN3475">
        <v>1.00000001414092</v>
      </c>
    </row>
    <row r="3476" spans="1:40" x14ac:dyDescent="0.25">
      <c r="A3476" t="str">
        <f>"20190305135658066"</f>
        <v>20190305135658066</v>
      </c>
      <c r="B3476" t="str">
        <f>"1551765418055619"</f>
        <v>1551765418055619</v>
      </c>
      <c r="C3476" t="s">
        <v>40</v>
      </c>
      <c r="D3476">
        <v>4.2000149999999996</v>
      </c>
      <c r="E3476">
        <v>0.53587580000000001</v>
      </c>
      <c r="F3476" t="s">
        <v>42</v>
      </c>
      <c r="G3476">
        <v>-418.6678</v>
      </c>
      <c r="H3476" s="1">
        <v>-2.8128439999999999E-6</v>
      </c>
      <c r="I3476">
        <v>115.6387</v>
      </c>
      <c r="J3476">
        <v>-417.92860000000002</v>
      </c>
      <c r="K3476">
        <v>1.115772</v>
      </c>
      <c r="L3476">
        <v>126.4122</v>
      </c>
      <c r="M3476">
        <v>-0.19768839999999999</v>
      </c>
      <c r="N3476">
        <v>-1.8417739999999998E-2</v>
      </c>
      <c r="O3476">
        <v>-0.98009210000000002</v>
      </c>
      <c r="P3476">
        <v>3.007758E-2</v>
      </c>
      <c r="Q3476">
        <v>-3.3959030000000001E-2</v>
      </c>
      <c r="R3476">
        <v>-0.99897100000000005</v>
      </c>
      <c r="S3476">
        <v>-0.21240229999999999</v>
      </c>
      <c r="T3476">
        <v>-0.30413129999999999</v>
      </c>
      <c r="U3476">
        <v>-2.9983219999999999</v>
      </c>
      <c r="V3476">
        <v>-0.22673560000000001</v>
      </c>
      <c r="W3476">
        <v>-1.943814E-2</v>
      </c>
      <c r="X3476">
        <v>0.97376229999999997</v>
      </c>
      <c r="Y3476">
        <v>-0.12803989999999901</v>
      </c>
      <c r="Z3476">
        <v>7.9192819999999997E-2</v>
      </c>
      <c r="AA3476">
        <v>0.98860219999999999</v>
      </c>
      <c r="AB3476">
        <v>27</v>
      </c>
      <c r="AC3476">
        <v>-0.73919999999998198</v>
      </c>
      <c r="AD3476">
        <v>-1.1157748128439999</v>
      </c>
      <c r="AE3476">
        <v>-10.7735</v>
      </c>
      <c r="AF3476">
        <v>-1.3907031526857401</v>
      </c>
      <c r="AG3476">
        <v>-1.1157748128439999</v>
      </c>
      <c r="AH3476">
        <v>10.5938694177482</v>
      </c>
      <c r="AI3476">
        <v>95.961603919177804</v>
      </c>
      <c r="AJ3476">
        <v>97.4787009287719</v>
      </c>
      <c r="AK3476">
        <v>10.742861719866299</v>
      </c>
      <c r="AL3476">
        <v>91.113793591615206</v>
      </c>
      <c r="AM3476">
        <v>103.10748005411899</v>
      </c>
      <c r="AN3476">
        <v>0.99999994524765301</v>
      </c>
    </row>
    <row r="3477" spans="1:40" x14ac:dyDescent="0.25">
      <c r="A3477" t="str">
        <f>"20190305135658088"</f>
        <v>20190305135658088</v>
      </c>
      <c r="B3477" t="str">
        <f>"1551765418085886"</f>
        <v>1551765418085886</v>
      </c>
      <c r="C3477" t="s">
        <v>40</v>
      </c>
      <c r="D3477">
        <v>4.2766419999999998</v>
      </c>
      <c r="E3477">
        <v>0.53625429999999996</v>
      </c>
      <c r="F3477" t="s">
        <v>42</v>
      </c>
      <c r="G3477">
        <v>-418.69920000000002</v>
      </c>
      <c r="H3477" s="1">
        <v>-2.7472749999999999E-6</v>
      </c>
      <c r="I3477">
        <v>115.49890000000001</v>
      </c>
      <c r="J3477">
        <v>-417.97269999999997</v>
      </c>
      <c r="K3477">
        <v>1.114663</v>
      </c>
      <c r="L3477">
        <v>126.1549</v>
      </c>
      <c r="M3477">
        <v>-0.19165689999999999</v>
      </c>
      <c r="N3477">
        <v>-1.7913789999999999E-2</v>
      </c>
      <c r="O3477">
        <v>-0.98129849999999996</v>
      </c>
      <c r="P3477">
        <v>3.1208E-2</v>
      </c>
      <c r="Q3477">
        <v>-3.0263379999999999E-2</v>
      </c>
      <c r="R3477">
        <v>-0.99905469999999996</v>
      </c>
      <c r="S3477">
        <v>-0.21176149999999999</v>
      </c>
      <c r="T3477">
        <v>-0.30662289999999998</v>
      </c>
      <c r="U3477">
        <v>-2.9990540000000001</v>
      </c>
      <c r="V3477">
        <v>-0.2219613</v>
      </c>
      <c r="W3477">
        <v>-1.5532509999999999E-2</v>
      </c>
      <c r="X3477">
        <v>0.97493180000000002</v>
      </c>
      <c r="Y3477">
        <v>-0.1221821</v>
      </c>
      <c r="Z3477">
        <v>8.0674590000000004E-2</v>
      </c>
      <c r="AA3477">
        <v>0.98922350000000003</v>
      </c>
      <c r="AB3477">
        <v>27</v>
      </c>
      <c r="AC3477">
        <v>-0.726500000000044</v>
      </c>
      <c r="AD3477">
        <v>-1.1146657472749999</v>
      </c>
      <c r="AE3477">
        <v>-10.655999999999899</v>
      </c>
      <c r="AF3477">
        <v>-1.31527066425451</v>
      </c>
      <c r="AG3477">
        <v>-1.1146657472749999</v>
      </c>
      <c r="AH3477">
        <v>10.4834754528829</v>
      </c>
      <c r="AI3477">
        <v>96.022365296640203</v>
      </c>
      <c r="AJ3477">
        <v>97.151039894308298</v>
      </c>
      <c r="AK3477">
        <v>10.6242964105674</v>
      </c>
      <c r="AL3477">
        <v>90.889983015703294</v>
      </c>
      <c r="AM3477">
        <v>102.82582877591901</v>
      </c>
      <c r="AN3477">
        <v>1.0000000461079099</v>
      </c>
    </row>
    <row r="3478" spans="1:40" x14ac:dyDescent="0.25">
      <c r="A3478" t="str">
        <f>"20190305135658112"</f>
        <v>20190305135658112</v>
      </c>
      <c r="B3478" t="str">
        <f>"1551765418105395"</f>
        <v>1551765418105395</v>
      </c>
      <c r="C3478" t="s">
        <v>40</v>
      </c>
      <c r="D3478">
        <v>4.2685399999999998</v>
      </c>
      <c r="E3478">
        <v>0.53660859999999899</v>
      </c>
      <c r="F3478" t="s">
        <v>42</v>
      </c>
      <c r="G3478">
        <v>-418.73899999999998</v>
      </c>
      <c r="H3478" s="1">
        <v>-2.6538540000000001E-6</v>
      </c>
      <c r="I3478">
        <v>115.2976</v>
      </c>
      <c r="J3478">
        <v>-418.0181</v>
      </c>
      <c r="K3478">
        <v>1.113553</v>
      </c>
      <c r="L3478">
        <v>125.88979999999999</v>
      </c>
      <c r="M3478">
        <v>-0.18677569999999999</v>
      </c>
      <c r="N3478">
        <v>-1.7415110000000001E-2</v>
      </c>
      <c r="O3478">
        <v>-0.98224840000000002</v>
      </c>
      <c r="P3478">
        <v>3.4093619999999998E-2</v>
      </c>
      <c r="Q3478">
        <v>-2.7585080000000001E-2</v>
      </c>
      <c r="R3478">
        <v>-0.99903850000000005</v>
      </c>
      <c r="S3478">
        <v>-0.21176149999999999</v>
      </c>
      <c r="T3478">
        <v>-0.308006</v>
      </c>
      <c r="U3478">
        <v>-3.0001069999999999</v>
      </c>
      <c r="V3478">
        <v>-0.22000639999999999</v>
      </c>
      <c r="W3478">
        <v>-1.270132E-2</v>
      </c>
      <c r="X3478">
        <v>0.9754157</v>
      </c>
      <c r="Y3478">
        <v>-0.117284</v>
      </c>
      <c r="Z3478">
        <v>8.1744250000000004E-2</v>
      </c>
      <c r="AA3478">
        <v>0.98972839999999995</v>
      </c>
      <c r="AB3478">
        <v>27</v>
      </c>
      <c r="AC3478">
        <v>-0.72090000000002796</v>
      </c>
      <c r="AD3478">
        <v>-1.1135556538539999</v>
      </c>
      <c r="AE3478">
        <v>-10.592199999999901</v>
      </c>
      <c r="AF3478">
        <v>-1.2566305507166</v>
      </c>
      <c r="AG3478">
        <v>-1.1135556538539999</v>
      </c>
      <c r="AH3478">
        <v>10.425718097334</v>
      </c>
      <c r="AI3478">
        <v>96.053082902370093</v>
      </c>
      <c r="AJ3478">
        <v>96.872808781261796</v>
      </c>
      <c r="AK3478">
        <v>10.5600532375695</v>
      </c>
      <c r="AL3478">
        <v>90.7277516248094</v>
      </c>
      <c r="AM3478">
        <v>102.71045181017899</v>
      </c>
      <c r="AN3478">
        <v>0.99999996368859501</v>
      </c>
    </row>
    <row r="3479" spans="1:40" x14ac:dyDescent="0.25">
      <c r="A3479" t="str">
        <f>"20190305135658134"</f>
        <v>20190305135658134</v>
      </c>
      <c r="B3479" t="str">
        <f>"1551765418125891"</f>
        <v>1551765418125891</v>
      </c>
      <c r="C3479" t="s">
        <v>40</v>
      </c>
      <c r="D3479">
        <v>4.3586869999999998</v>
      </c>
      <c r="E3479">
        <v>0.53714640000000002</v>
      </c>
      <c r="F3479" t="s">
        <v>42</v>
      </c>
      <c r="G3479">
        <v>-418.77379999999999</v>
      </c>
      <c r="H3479" s="1">
        <v>-2.4959620000000001E-6</v>
      </c>
      <c r="I3479">
        <v>114.9439</v>
      </c>
      <c r="J3479">
        <v>-418.06509999999997</v>
      </c>
      <c r="K3479">
        <v>1.112536</v>
      </c>
      <c r="L3479">
        <v>125.6161</v>
      </c>
      <c r="M3479">
        <v>-0.18314510000000001</v>
      </c>
      <c r="N3479">
        <v>-1.6932160000000002E-2</v>
      </c>
      <c r="O3479">
        <v>-0.98294009999999998</v>
      </c>
      <c r="P3479">
        <v>3.6090509999999999E-2</v>
      </c>
      <c r="Q3479">
        <v>-2.6337929999999999E-2</v>
      </c>
      <c r="R3479">
        <v>-0.99900149999999999</v>
      </c>
      <c r="S3479">
        <v>-0.20724490000000001</v>
      </c>
      <c r="T3479">
        <v>-0.30535099999999998</v>
      </c>
      <c r="U3479">
        <v>-3.0015109999999998</v>
      </c>
      <c r="V3479">
        <v>-0.2183939</v>
      </c>
      <c r="W3479">
        <v>-1.135397E-2</v>
      </c>
      <c r="X3479">
        <v>0.97579470000000001</v>
      </c>
      <c r="Y3479">
        <v>-0.1151327</v>
      </c>
      <c r="Z3479">
        <v>8.1447359999999996E-2</v>
      </c>
      <c r="AA3479">
        <v>0.99000540000000004</v>
      </c>
      <c r="AB3479">
        <v>27</v>
      </c>
      <c r="AC3479">
        <v>-0.70870000000002098</v>
      </c>
      <c r="AD3479">
        <v>-1.1125384959619999</v>
      </c>
      <c r="AE3479">
        <v>-10.6722</v>
      </c>
      <c r="AF3479">
        <v>-1.2446650316007599</v>
      </c>
      <c r="AG3479">
        <v>-1.1125384959619999</v>
      </c>
      <c r="AH3479">
        <v>10.507760820430001</v>
      </c>
      <c r="AI3479">
        <v>96.002181905499</v>
      </c>
      <c r="AJ3479">
        <v>96.755321299803697</v>
      </c>
      <c r="AK3479">
        <v>10.6395474718265</v>
      </c>
      <c r="AL3479">
        <v>90.650548505478994</v>
      </c>
      <c r="AM3479">
        <v>102.61554241950699</v>
      </c>
      <c r="AN3479">
        <v>1.0000000523700201</v>
      </c>
    </row>
    <row r="3480" spans="1:40" x14ac:dyDescent="0.25">
      <c r="A3480" t="str">
        <f>"20190305135658156"</f>
        <v>20190305135658156</v>
      </c>
      <c r="B3480" t="str">
        <f>"1551765418145411"</f>
        <v>1551765418145411</v>
      </c>
      <c r="C3480" t="s">
        <v>40</v>
      </c>
      <c r="D3480">
        <v>4.2464370000000002</v>
      </c>
      <c r="E3480">
        <v>0.53916269999999999</v>
      </c>
      <c r="F3480" t="s">
        <v>42</v>
      </c>
      <c r="G3480">
        <v>-418.82760000000002</v>
      </c>
      <c r="H3480" s="1">
        <v>-2.308693E-6</v>
      </c>
      <c r="I3480">
        <v>114.5296</v>
      </c>
      <c r="J3480">
        <v>-418.10820000000001</v>
      </c>
      <c r="K3480">
        <v>1.111782</v>
      </c>
      <c r="L3480">
        <v>125.3677</v>
      </c>
      <c r="M3480">
        <v>-0.18084040000000001</v>
      </c>
      <c r="N3480">
        <v>-1.6528379999999999E-2</v>
      </c>
      <c r="O3480">
        <v>-0.98337370000000002</v>
      </c>
      <c r="P3480">
        <v>3.6069150000000001E-2</v>
      </c>
      <c r="Q3480">
        <v>-2.5837639999999999E-2</v>
      </c>
      <c r="R3480">
        <v>-0.9990154</v>
      </c>
      <c r="S3480">
        <v>-0.20651249999999999</v>
      </c>
      <c r="T3480">
        <v>-0.3013054</v>
      </c>
      <c r="U3480">
        <v>-3.0025019999999998</v>
      </c>
      <c r="V3480">
        <v>-0.2161081</v>
      </c>
      <c r="W3480">
        <v>-1.0822790000000001E-2</v>
      </c>
      <c r="X3480">
        <v>0.97630950000000005</v>
      </c>
      <c r="Y3480">
        <v>-0.11306720000000001</v>
      </c>
      <c r="Z3480">
        <v>8.0599749999999998E-2</v>
      </c>
      <c r="AA3480">
        <v>0.99031279999999999</v>
      </c>
      <c r="AB3480">
        <v>27</v>
      </c>
      <c r="AC3480">
        <v>-0.71940000000000703</v>
      </c>
      <c r="AD3480">
        <v>-1.1117843086929999</v>
      </c>
      <c r="AE3480">
        <v>-10.838099999999899</v>
      </c>
      <c r="AF3480">
        <v>-1.23971015020758</v>
      </c>
      <c r="AG3480">
        <v>-1.1117843086929999</v>
      </c>
      <c r="AH3480">
        <v>10.677605165026501</v>
      </c>
      <c r="AI3480">
        <v>95.905004470399703</v>
      </c>
      <c r="AJ3480">
        <v>96.622604130742999</v>
      </c>
      <c r="AK3480">
        <v>10.8066737558688</v>
      </c>
      <c r="AL3480">
        <v>90.620112269993299</v>
      </c>
      <c r="AM3480">
        <v>102.48128747067599</v>
      </c>
      <c r="AN3480">
        <v>1.00000004172962</v>
      </c>
    </row>
    <row r="3481" spans="1:40" x14ac:dyDescent="0.25">
      <c r="A3481" t="str">
        <f>"20190305135658180"</f>
        <v>20190305135658180</v>
      </c>
      <c r="B3481" t="str">
        <f>"1551765418175667"</f>
        <v>1551765418175667</v>
      </c>
      <c r="C3481" t="s">
        <v>40</v>
      </c>
      <c r="D3481">
        <v>4.2639709999999997</v>
      </c>
      <c r="E3481">
        <v>0.54016229999999998</v>
      </c>
      <c r="F3481" t="s">
        <v>42</v>
      </c>
      <c r="G3481">
        <v>-418.95330000000001</v>
      </c>
      <c r="H3481" s="1">
        <v>-2.0197450000000001E-6</v>
      </c>
      <c r="I3481">
        <v>113.908</v>
      </c>
      <c r="J3481">
        <v>-418.15530000000001</v>
      </c>
      <c r="K3481">
        <v>1.111083</v>
      </c>
      <c r="L3481">
        <v>125.0977</v>
      </c>
      <c r="M3481">
        <v>-0.17934710000000001</v>
      </c>
      <c r="N3481">
        <v>-1.612568E-2</v>
      </c>
      <c r="O3481">
        <v>-0.98365369999999996</v>
      </c>
      <c r="P3481">
        <v>3.5467640000000002E-2</v>
      </c>
      <c r="Q3481">
        <v>-2.7880599999999998E-2</v>
      </c>
      <c r="R3481">
        <v>-0.99898180000000003</v>
      </c>
      <c r="S3481">
        <v>-0.22149659999999999</v>
      </c>
      <c r="T3481">
        <v>-0.29138229999999998</v>
      </c>
      <c r="U3481">
        <v>-3.003403</v>
      </c>
      <c r="V3481">
        <v>-0.21403630000000001</v>
      </c>
      <c r="W3481">
        <v>-1.2884400000000001E-2</v>
      </c>
      <c r="X3481">
        <v>0.97674070000000002</v>
      </c>
      <c r="Y3481">
        <v>-0.106656</v>
      </c>
      <c r="Z3481">
        <v>7.7866619999999998E-2</v>
      </c>
      <c r="AA3481">
        <v>0.99124230000000002</v>
      </c>
      <c r="AB3481">
        <v>27</v>
      </c>
      <c r="AC3481">
        <v>-0.79800000000000104</v>
      </c>
      <c r="AD3481">
        <v>-1.111085019745</v>
      </c>
      <c r="AE3481">
        <v>-11.1897</v>
      </c>
      <c r="AF3481">
        <v>-1.21017208620871</v>
      </c>
      <c r="AG3481">
        <v>-1.111085019745</v>
      </c>
      <c r="AH3481">
        <v>11.043030143803399</v>
      </c>
      <c r="AI3481">
        <v>95.711465530965</v>
      </c>
      <c r="AJ3481">
        <v>96.253914836623693</v>
      </c>
      <c r="AK3481">
        <v>11.164566321908399</v>
      </c>
      <c r="AL3481">
        <v>90.7382421901318</v>
      </c>
      <c r="AM3481">
        <v>102.36003785667501</v>
      </c>
      <c r="AN3481">
        <v>0.99999997025876897</v>
      </c>
    </row>
    <row r="3482" spans="1:40" x14ac:dyDescent="0.25">
      <c r="A3482" t="str">
        <f>"20190305135658202"</f>
        <v>20190305135658202</v>
      </c>
      <c r="B3482" t="str">
        <f>"1551765418196164"</f>
        <v>1551765418196164</v>
      </c>
      <c r="C3482" t="s">
        <v>40</v>
      </c>
      <c r="D3482">
        <v>4.236961</v>
      </c>
      <c r="E3482">
        <v>0.54058539999999999</v>
      </c>
      <c r="F3482" t="s">
        <v>42</v>
      </c>
      <c r="G3482">
        <v>-419.01299999999998</v>
      </c>
      <c r="H3482" s="1">
        <v>-2.033273E-6</v>
      </c>
      <c r="I3482">
        <v>113.96429999999999</v>
      </c>
      <c r="J3482">
        <v>-418.20229999999998</v>
      </c>
      <c r="K3482">
        <v>1.110452</v>
      </c>
      <c r="L3482">
        <v>124.8312</v>
      </c>
      <c r="M3482">
        <v>-0.17877899999999999</v>
      </c>
      <c r="N3482">
        <v>-1.5768299999999999E-2</v>
      </c>
      <c r="O3482">
        <v>-0.98376319999999995</v>
      </c>
      <c r="P3482">
        <v>3.5283839999999997E-2</v>
      </c>
      <c r="Q3482">
        <v>-2.9603529999999999E-2</v>
      </c>
      <c r="R3482">
        <v>-0.99893889999999996</v>
      </c>
      <c r="S3482">
        <v>-0.2313538</v>
      </c>
      <c r="T3482">
        <v>-0.29968329999999999</v>
      </c>
      <c r="U3482">
        <v>-3.0029140000000001</v>
      </c>
      <c r="V3482">
        <v>-0.2132976</v>
      </c>
      <c r="W3482">
        <v>-1.463359E-2</v>
      </c>
      <c r="X3482">
        <v>0.97687769999999996</v>
      </c>
      <c r="Y3482">
        <v>-0.1028553</v>
      </c>
      <c r="Z3482">
        <v>8.0915059999999997E-2</v>
      </c>
      <c r="AA3482">
        <v>0.99139980000000005</v>
      </c>
      <c r="AB3482">
        <v>26</v>
      </c>
      <c r="AC3482">
        <v>-0.81070000000005304</v>
      </c>
      <c r="AD3482">
        <v>-1.110454033273</v>
      </c>
      <c r="AE3482">
        <v>-10.866899999999999</v>
      </c>
      <c r="AF3482">
        <v>-1.13360697011587</v>
      </c>
      <c r="AG3482">
        <v>-1.110454033273</v>
      </c>
      <c r="AH3482">
        <v>10.7253605552228</v>
      </c>
      <c r="AI3482">
        <v>95.878564612687498</v>
      </c>
      <c r="AJ3482">
        <v>96.033423529289607</v>
      </c>
      <c r="AK3482">
        <v>10.842118425946</v>
      </c>
      <c r="AL3482">
        <v>90.838472852817503</v>
      </c>
      <c r="AM3482">
        <v>102.317009634618</v>
      </c>
      <c r="AN3482">
        <v>1.0000000244396601</v>
      </c>
    </row>
    <row r="3483" spans="1:40" x14ac:dyDescent="0.25">
      <c r="A3483" t="str">
        <f>"20190305135658228"</f>
        <v>20190305135658228</v>
      </c>
      <c r="B3483" t="str">
        <f>"1551765418215683"</f>
        <v>1551765418215683</v>
      </c>
      <c r="C3483" t="s">
        <v>40</v>
      </c>
      <c r="D3483">
        <v>4.2145390000000003</v>
      </c>
      <c r="E3483">
        <v>0.53964599999999996</v>
      </c>
      <c r="F3483" t="s">
        <v>42</v>
      </c>
      <c r="G3483">
        <v>-419.065</v>
      </c>
      <c r="H3483" s="1">
        <v>-1.9769000000000001E-6</v>
      </c>
      <c r="I3483">
        <v>113.8544</v>
      </c>
      <c r="J3483">
        <v>-418.25479999999999</v>
      </c>
      <c r="K3483">
        <v>1.1097539999999999</v>
      </c>
      <c r="L3483">
        <v>124.5377</v>
      </c>
      <c r="M3483">
        <v>-0.17903549999999999</v>
      </c>
      <c r="N3483">
        <v>-1.542353E-2</v>
      </c>
      <c r="O3483">
        <v>-0.98372179999999998</v>
      </c>
      <c r="P3483">
        <v>3.6089799999999998E-2</v>
      </c>
      <c r="Q3483">
        <v>-3.0171679999999999E-2</v>
      </c>
      <c r="R3483">
        <v>-0.99889300000000003</v>
      </c>
      <c r="S3483">
        <v>-0.23599239999999999</v>
      </c>
      <c r="T3483">
        <v>-0.30374479999999998</v>
      </c>
      <c r="U3483">
        <v>-3.0025019999999998</v>
      </c>
      <c r="V3483">
        <v>-0.21435950000000001</v>
      </c>
      <c r="W3483">
        <v>-1.519564E-2</v>
      </c>
      <c r="X3483">
        <v>0.97663659999999997</v>
      </c>
      <c r="Y3483">
        <v>-0.101594</v>
      </c>
      <c r="Z3483">
        <v>8.2562570000000002E-2</v>
      </c>
      <c r="AA3483">
        <v>0.991394</v>
      </c>
      <c r="AB3483">
        <v>26</v>
      </c>
      <c r="AC3483">
        <v>-0.81020000000000802</v>
      </c>
      <c r="AD3483">
        <v>-1.1097559769000001</v>
      </c>
      <c r="AE3483">
        <v>-10.683299999999999</v>
      </c>
      <c r="AF3483">
        <v>-1.1039668786683901</v>
      </c>
      <c r="AG3483">
        <v>-1.1097559769000001</v>
      </c>
      <c r="AH3483">
        <v>10.542606105904399</v>
      </c>
      <c r="AI3483">
        <v>95.976609239848401</v>
      </c>
      <c r="AJ3483">
        <v>95.977929846592801</v>
      </c>
      <c r="AK3483">
        <v>10.6581820542584</v>
      </c>
      <c r="AL3483">
        <v>90.8706795701858</v>
      </c>
      <c r="AM3483">
        <v>102.379405599604</v>
      </c>
      <c r="AN3483">
        <v>0.99999997558740905</v>
      </c>
    </row>
    <row r="3484" spans="1:40" x14ac:dyDescent="0.25">
      <c r="A3484" t="str">
        <f>"20190305135658250"</f>
        <v>20190305135658250</v>
      </c>
      <c r="B3484" t="str">
        <f>"1551765418245939"</f>
        <v>1551765418245939</v>
      </c>
      <c r="C3484" t="s">
        <v>40</v>
      </c>
      <c r="D3484">
        <v>4.21943</v>
      </c>
      <c r="E3484">
        <v>0.5384871</v>
      </c>
      <c r="F3484" t="s">
        <v>42</v>
      </c>
      <c r="G3484">
        <v>-419.10480000000001</v>
      </c>
      <c r="H3484" s="1">
        <v>-1.711891E-6</v>
      </c>
      <c r="I3484">
        <v>113.2531</v>
      </c>
      <c r="J3484">
        <v>-418.30200000000002</v>
      </c>
      <c r="K3484">
        <v>1.109127</v>
      </c>
      <c r="L3484">
        <v>124.27970000000001</v>
      </c>
      <c r="M3484">
        <v>-0.17997550000000001</v>
      </c>
      <c r="N3484">
        <v>-1.5163070000000001E-2</v>
      </c>
      <c r="O3484">
        <v>-0.98355429999999999</v>
      </c>
      <c r="P3484">
        <v>3.4955809999999997E-2</v>
      </c>
      <c r="Q3484">
        <v>-3.2161309999999999E-2</v>
      </c>
      <c r="R3484">
        <v>-0.99887150000000002</v>
      </c>
      <c r="S3484">
        <v>-0.2261658</v>
      </c>
      <c r="T3484">
        <v>-0.29528019999999999</v>
      </c>
      <c r="U3484">
        <v>-3.0025789999999999</v>
      </c>
      <c r="V3484">
        <v>-0.21419589999999999</v>
      </c>
      <c r="W3484">
        <v>-1.7130510000000002E-2</v>
      </c>
      <c r="X3484">
        <v>0.97664050000000002</v>
      </c>
      <c r="Y3484">
        <v>-0.10575519999999999</v>
      </c>
      <c r="Z3484">
        <v>8.0075899999999894E-2</v>
      </c>
      <c r="AA3484">
        <v>0.99116280000000001</v>
      </c>
      <c r="AB3484">
        <v>26</v>
      </c>
      <c r="AC3484">
        <v>-0.80280000000004703</v>
      </c>
      <c r="AD3484">
        <v>-1.109128711891</v>
      </c>
      <c r="AE3484">
        <v>-11.0266</v>
      </c>
      <c r="AF3484">
        <v>-1.18315014310248</v>
      </c>
      <c r="AG3484">
        <v>-1.109128711891</v>
      </c>
      <c r="AH3484">
        <v>10.881492007368401</v>
      </c>
      <c r="AI3484">
        <v>95.786076115991506</v>
      </c>
      <c r="AJ3484">
        <v>96.205421610956606</v>
      </c>
      <c r="AK3484">
        <v>11.001676193521099</v>
      </c>
      <c r="AL3484">
        <v>90.981553932724594</v>
      </c>
      <c r="AM3484">
        <v>102.37020069600899</v>
      </c>
      <c r="AN3484">
        <v>1.00000000209496</v>
      </c>
    </row>
    <row r="3485" spans="1:40" x14ac:dyDescent="0.25">
      <c r="A3485" t="str">
        <f>"20190305135658273"</f>
        <v>20190305135658273</v>
      </c>
      <c r="B3485" t="str">
        <f>"1551765418265460"</f>
        <v>1551765418265460</v>
      </c>
      <c r="C3485" t="s">
        <v>40</v>
      </c>
      <c r="D3485">
        <v>4.2776370000000004</v>
      </c>
      <c r="E3485">
        <v>0.53778950000000003</v>
      </c>
      <c r="F3485" t="s">
        <v>42</v>
      </c>
      <c r="G3485">
        <v>-419.16300000000001</v>
      </c>
      <c r="H3485" s="1">
        <v>-1.380494E-6</v>
      </c>
      <c r="I3485">
        <v>112.5047</v>
      </c>
      <c r="J3485">
        <v>-418.35129999999998</v>
      </c>
      <c r="K3485">
        <v>1.108528</v>
      </c>
      <c r="L3485">
        <v>124.01690000000001</v>
      </c>
      <c r="M3485">
        <v>-0.1815968</v>
      </c>
      <c r="N3485">
        <v>-1.4936720000000001E-2</v>
      </c>
      <c r="O3485">
        <v>-0.98325960000000001</v>
      </c>
      <c r="P3485">
        <v>3.3131899999999999E-2</v>
      </c>
      <c r="Q3485">
        <v>-3.5934420000000002E-2</v>
      </c>
      <c r="R3485">
        <v>-0.99880500000000005</v>
      </c>
      <c r="S3485">
        <v>-0.21951290000000001</v>
      </c>
      <c r="T3485">
        <v>-0.28276519999999999</v>
      </c>
      <c r="U3485">
        <v>-3.0019680000000002</v>
      </c>
      <c r="V3485">
        <v>-0.21403230000000001</v>
      </c>
      <c r="W3485">
        <v>-2.0829E-2</v>
      </c>
      <c r="X3485">
        <v>0.97660449999999999</v>
      </c>
      <c r="Y3485">
        <v>-0.10954220000000001</v>
      </c>
      <c r="Z3485">
        <v>7.6263310000000001E-2</v>
      </c>
      <c r="AA3485">
        <v>0.99105220000000005</v>
      </c>
      <c r="AB3485">
        <v>26</v>
      </c>
      <c r="AC3485">
        <v>-0.81170000000002995</v>
      </c>
      <c r="AD3485">
        <v>-1.108529380494</v>
      </c>
      <c r="AE3485">
        <v>-11.5122</v>
      </c>
      <c r="AF3485">
        <v>-1.2807942053886201</v>
      </c>
      <c r="AG3485">
        <v>-1.108529380494</v>
      </c>
      <c r="AH3485">
        <v>11.363322406523899</v>
      </c>
      <c r="AI3485">
        <v>95.536920873154202</v>
      </c>
      <c r="AJ3485">
        <v>96.430838153374793</v>
      </c>
      <c r="AK3485">
        <v>11.4888801585961</v>
      </c>
      <c r="AL3485">
        <v>91.193500088350106</v>
      </c>
      <c r="AM3485">
        <v>102.361484710087</v>
      </c>
      <c r="AN3485">
        <v>1.00000001105227</v>
      </c>
    </row>
    <row r="3486" spans="1:40" x14ac:dyDescent="0.25">
      <c r="A3486" t="str">
        <f>"20190305135658292"</f>
        <v>20190305135658292</v>
      </c>
      <c r="B3486" t="str">
        <f>"1551765418285956"</f>
        <v>1551765418285956</v>
      </c>
      <c r="C3486" t="s">
        <v>40</v>
      </c>
      <c r="D3486">
        <v>4.266769</v>
      </c>
      <c r="E3486">
        <v>0.53713350000000004</v>
      </c>
      <c r="F3486" t="s">
        <v>42</v>
      </c>
      <c r="G3486">
        <v>-419.19299999999998</v>
      </c>
      <c r="H3486" s="1">
        <v>-1.373734E-6</v>
      </c>
      <c r="I3486">
        <v>112.5013</v>
      </c>
      <c r="J3486">
        <v>-418.3956</v>
      </c>
      <c r="K3486">
        <v>1.1080840000000001</v>
      </c>
      <c r="L3486">
        <v>123.786</v>
      </c>
      <c r="M3486">
        <v>-0.18342169999999999</v>
      </c>
      <c r="N3486">
        <v>-1.47612E-2</v>
      </c>
      <c r="O3486">
        <v>-0.9829234</v>
      </c>
      <c r="P3486">
        <v>3.0728579999999998E-2</v>
      </c>
      <c r="Q3486">
        <v>-3.8904960000000002E-2</v>
      </c>
      <c r="R3486">
        <v>-0.99877020000000005</v>
      </c>
      <c r="S3486">
        <v>-0.2192993</v>
      </c>
      <c r="T3486">
        <v>-0.28883429999999999</v>
      </c>
      <c r="U3486">
        <v>-3.0004729999999999</v>
      </c>
      <c r="V3486">
        <v>-0.213507</v>
      </c>
      <c r="W3486">
        <v>-2.3752539999999999E-2</v>
      </c>
      <c r="X3486">
        <v>0.97665270000000004</v>
      </c>
      <c r="Y3486">
        <v>-0.1114309</v>
      </c>
      <c r="Z3486">
        <v>7.8365009999999999E-2</v>
      </c>
      <c r="AA3486">
        <v>0.99067760000000005</v>
      </c>
      <c r="AB3486">
        <v>26</v>
      </c>
      <c r="AC3486">
        <v>-0.79740000000003797</v>
      </c>
      <c r="AD3486">
        <v>-1.108085373734</v>
      </c>
      <c r="AE3486">
        <v>-11.284700000000001</v>
      </c>
      <c r="AF3486">
        <v>-1.2739931966871001</v>
      </c>
      <c r="AG3486">
        <v>-1.108085373734</v>
      </c>
      <c r="AH3486">
        <v>11.1326739573176</v>
      </c>
      <c r="AI3486">
        <v>95.647566931429907</v>
      </c>
      <c r="AJ3486">
        <v>96.528375089517795</v>
      </c>
      <c r="AK3486">
        <v>11.259988512455401</v>
      </c>
      <c r="AL3486">
        <v>91.361048350656205</v>
      </c>
      <c r="AM3486">
        <v>102.331485326359</v>
      </c>
      <c r="AN3486">
        <v>0.99999995931136998</v>
      </c>
    </row>
    <row r="3487" spans="1:40" x14ac:dyDescent="0.25">
      <c r="A3487" t="str">
        <f>"20190305135658314"</f>
        <v>20190305135658314</v>
      </c>
      <c r="B3487" t="str">
        <f>"1551765418305476"</f>
        <v>1551765418305476</v>
      </c>
      <c r="C3487" t="s">
        <v>40</v>
      </c>
      <c r="D3487">
        <v>4.2785409999999997</v>
      </c>
      <c r="E3487">
        <v>0.53677249999999999</v>
      </c>
      <c r="F3487" t="s">
        <v>42</v>
      </c>
      <c r="G3487">
        <v>-419.22719999999998</v>
      </c>
      <c r="H3487" s="1">
        <v>-1.3684469999999999E-6</v>
      </c>
      <c r="I3487">
        <v>112.5031</v>
      </c>
      <c r="J3487">
        <v>-418.44479999999999</v>
      </c>
      <c r="K3487">
        <v>1.1077109999999999</v>
      </c>
      <c r="L3487">
        <v>123.5352</v>
      </c>
      <c r="M3487">
        <v>-0.18580450000000001</v>
      </c>
      <c r="N3487">
        <v>-1.4591750000000001E-2</v>
      </c>
      <c r="O3487">
        <v>-0.98247850000000003</v>
      </c>
      <c r="P3487">
        <v>2.734106E-2</v>
      </c>
      <c r="Q3487">
        <v>-3.9909680000000003E-2</v>
      </c>
      <c r="R3487">
        <v>-0.99882950000000004</v>
      </c>
      <c r="S3487">
        <v>-0.22103880000000001</v>
      </c>
      <c r="T3487">
        <v>-0.29453059999999998</v>
      </c>
      <c r="U3487">
        <v>-2.9990079999999999</v>
      </c>
      <c r="V3487">
        <v>-0.21258070000000001</v>
      </c>
      <c r="W3487">
        <v>-2.47408E-2</v>
      </c>
      <c r="X3487">
        <v>0.97683019999999998</v>
      </c>
      <c r="Y3487">
        <v>-0.1132428</v>
      </c>
      <c r="Z3487">
        <v>8.0322450000000004E-2</v>
      </c>
      <c r="AA3487">
        <v>0.99031530000000001</v>
      </c>
      <c r="AB3487">
        <v>26</v>
      </c>
      <c r="AC3487">
        <v>-0.78239999999999499</v>
      </c>
      <c r="AD3487">
        <v>-1.1077123684469901</v>
      </c>
      <c r="AE3487">
        <v>-11.0321</v>
      </c>
      <c r="AF3487">
        <v>-1.26853381764836</v>
      </c>
      <c r="AG3487">
        <v>-1.1077123684469901</v>
      </c>
      <c r="AH3487">
        <v>10.8762395669036</v>
      </c>
      <c r="AI3487">
        <v>95.776461889767603</v>
      </c>
      <c r="AJ3487">
        <v>96.652549883656405</v>
      </c>
      <c r="AK3487">
        <v>11.0058526182394</v>
      </c>
      <c r="AL3487">
        <v>91.417688146688803</v>
      </c>
      <c r="AM3487">
        <v>102.277448197979</v>
      </c>
      <c r="AN3487">
        <v>0.99999995041458301</v>
      </c>
    </row>
    <row r="3488" spans="1:40" x14ac:dyDescent="0.25">
      <c r="A3488" t="str">
        <f>"20190305135658334"</f>
        <v>20190305135658334</v>
      </c>
      <c r="B3488" t="str">
        <f>"1551765418325972"</f>
        <v>1551765418325972</v>
      </c>
      <c r="C3488" t="s">
        <v>40</v>
      </c>
      <c r="D3488">
        <v>4.3211870000000001</v>
      </c>
      <c r="E3488">
        <v>0.53641539999999999</v>
      </c>
      <c r="F3488" t="s">
        <v>42</v>
      </c>
      <c r="G3488">
        <v>-419.31760000000003</v>
      </c>
      <c r="H3488" s="1">
        <v>-1.1442570000000001E-6</v>
      </c>
      <c r="I3488">
        <v>112.0179</v>
      </c>
      <c r="J3488">
        <v>-418.49380000000002</v>
      </c>
      <c r="K3488">
        <v>1.1074550000000001</v>
      </c>
      <c r="L3488">
        <v>123.29040000000001</v>
      </c>
      <c r="M3488">
        <v>-0.18845300000000001</v>
      </c>
      <c r="N3488">
        <v>-1.444554E-2</v>
      </c>
      <c r="O3488">
        <v>-0.98197590000000001</v>
      </c>
      <c r="P3488">
        <v>2.2945130000000001E-2</v>
      </c>
      <c r="Q3488">
        <v>-4.1992630000000003E-2</v>
      </c>
      <c r="R3488">
        <v>-0.99885460000000004</v>
      </c>
      <c r="S3488">
        <v>-0.2272034</v>
      </c>
      <c r="T3488">
        <v>-0.28836209999999901</v>
      </c>
      <c r="U3488">
        <v>-2.9982150000000001</v>
      </c>
      <c r="V3488">
        <v>-0.21092569999999999</v>
      </c>
      <c r="W3488">
        <v>-2.683982E-2</v>
      </c>
      <c r="X3488">
        <v>0.97713360000000005</v>
      </c>
      <c r="Y3488">
        <v>-0.11386839999999999</v>
      </c>
      <c r="Z3488">
        <v>7.8444440000000004E-2</v>
      </c>
      <c r="AA3488">
        <v>0.99039410000000005</v>
      </c>
      <c r="AB3488">
        <v>26</v>
      </c>
      <c r="AC3488">
        <v>-0.82380000000000497</v>
      </c>
      <c r="AD3488">
        <v>-1.1074561442569999</v>
      </c>
      <c r="AE3488">
        <v>-11.272500000000001</v>
      </c>
      <c r="AF3488">
        <v>-1.30301231630509</v>
      </c>
      <c r="AG3488">
        <v>-1.1074561442569999</v>
      </c>
      <c r="AH3488">
        <v>11.1189936981659</v>
      </c>
      <c r="AI3488">
        <v>95.649515617482393</v>
      </c>
      <c r="AJ3488">
        <v>96.683890755477904</v>
      </c>
      <c r="AK3488">
        <v>11.249725377436899</v>
      </c>
      <c r="AL3488">
        <v>91.537993025899993</v>
      </c>
      <c r="AM3488">
        <v>102.181061080258</v>
      </c>
      <c r="AN3488">
        <v>1.0000000495535399</v>
      </c>
    </row>
    <row r="3489" spans="1:40" x14ac:dyDescent="0.25">
      <c r="A3489" t="str">
        <f>"20190305135658357"</f>
        <v>20190305135658357</v>
      </c>
      <c r="B3489" t="str">
        <f>"1551765418345493"</f>
        <v>1551765418345493</v>
      </c>
      <c r="C3489" t="s">
        <v>40</v>
      </c>
      <c r="D3489">
        <v>4.2982239999999896</v>
      </c>
      <c r="E3489">
        <v>0.53605849999999999</v>
      </c>
      <c r="F3489" t="s">
        <v>42</v>
      </c>
      <c r="G3489">
        <v>-419.40660000000003</v>
      </c>
      <c r="H3489" s="1">
        <v>-9.9869039999999997E-7</v>
      </c>
      <c r="I3489">
        <v>111.7154</v>
      </c>
      <c r="J3489">
        <v>-418.5453</v>
      </c>
      <c r="K3489">
        <v>1.107273</v>
      </c>
      <c r="L3489">
        <v>123.0386</v>
      </c>
      <c r="M3489">
        <v>-0.19142029999999999</v>
      </c>
      <c r="N3489">
        <v>-1.431471E-2</v>
      </c>
      <c r="O3489">
        <v>-0.98140380000000005</v>
      </c>
      <c r="P3489">
        <v>1.8722510000000001E-2</v>
      </c>
      <c r="Q3489">
        <v>-4.2618009999999998E-2</v>
      </c>
      <c r="R3489">
        <v>-0.99891600000000003</v>
      </c>
      <c r="S3489">
        <v>-0.23632810000000001</v>
      </c>
      <c r="T3489">
        <v>-0.28672389999999998</v>
      </c>
      <c r="U3489">
        <v>-2.9968110000000001</v>
      </c>
      <c r="V3489">
        <v>-0.20975969999999999</v>
      </c>
      <c r="W3489">
        <v>-2.7502200000000001E-2</v>
      </c>
      <c r="X3489">
        <v>0.97736610000000002</v>
      </c>
      <c r="Y3489">
        <v>-0.1138372</v>
      </c>
      <c r="Z3489">
        <v>7.8007969999999996E-2</v>
      </c>
      <c r="AA3489">
        <v>0.99043210000000004</v>
      </c>
      <c r="AB3489">
        <v>26</v>
      </c>
      <c r="AC3489">
        <v>-0.86130000000002804</v>
      </c>
      <c r="AD3489">
        <v>-1.1072739986904001</v>
      </c>
      <c r="AE3489">
        <v>-11.3232</v>
      </c>
      <c r="AF3489">
        <v>-1.30988892778461</v>
      </c>
      <c r="AG3489">
        <v>-1.1072739986904001</v>
      </c>
      <c r="AH3489">
        <v>11.1724351681265</v>
      </c>
      <c r="AI3489">
        <v>95.621711344874697</v>
      </c>
      <c r="AJ3489">
        <v>96.686996430363493</v>
      </c>
      <c r="AK3489">
        <v>11.3033257184467</v>
      </c>
      <c r="AL3489">
        <v>91.575958701173107</v>
      </c>
      <c r="AM3489">
        <v>102.112921711111</v>
      </c>
      <c r="AN3489">
        <v>0.99999999808907003</v>
      </c>
    </row>
    <row r="3490" spans="1:40" x14ac:dyDescent="0.25">
      <c r="A3490" t="str">
        <f>"20190305135658378"</f>
        <v>20190305135658378</v>
      </c>
      <c r="B3490" t="str">
        <f>"1551765418375748"</f>
        <v>1551765418375748</v>
      </c>
      <c r="C3490" t="s">
        <v>40</v>
      </c>
      <c r="D3490">
        <v>4.280297</v>
      </c>
      <c r="E3490">
        <v>0.53559599999999996</v>
      </c>
      <c r="F3490" t="s">
        <v>42</v>
      </c>
      <c r="G3490">
        <v>-419.51010000000002</v>
      </c>
      <c r="H3490" s="1">
        <v>-7.9031919999999996E-7</v>
      </c>
      <c r="I3490">
        <v>111.27249999999999</v>
      </c>
      <c r="J3490">
        <v>-418.59840000000003</v>
      </c>
      <c r="K3490">
        <v>1.107151</v>
      </c>
      <c r="L3490">
        <v>122.7841</v>
      </c>
      <c r="M3490">
        <v>-0.19456860000000001</v>
      </c>
      <c r="N3490">
        <v>-1.419958E-2</v>
      </c>
      <c r="O3490">
        <v>-0.9807863</v>
      </c>
      <c r="P3490">
        <v>1.483251E-2</v>
      </c>
      <c r="Q3490">
        <v>-4.2991710000000002E-2</v>
      </c>
      <c r="R3490">
        <v>-0.9989654</v>
      </c>
      <c r="S3490">
        <v>-0.24566650000000001</v>
      </c>
      <c r="T3490">
        <v>-0.28192780000000001</v>
      </c>
      <c r="U3490">
        <v>-2.9958339999999999</v>
      </c>
      <c r="V3490">
        <v>-0.20909820000000001</v>
      </c>
      <c r="W3490">
        <v>-2.792743E-2</v>
      </c>
      <c r="X3490">
        <v>0.97749580000000003</v>
      </c>
      <c r="Y3490">
        <v>-0.113925</v>
      </c>
      <c r="Z3490">
        <v>7.6529349999999996E-2</v>
      </c>
      <c r="AA3490">
        <v>0.99053740000000001</v>
      </c>
      <c r="AB3490">
        <v>26</v>
      </c>
      <c r="AC3490">
        <v>-0.91169999999999596</v>
      </c>
      <c r="AD3490">
        <v>-1.1071517903192001</v>
      </c>
      <c r="AE3490">
        <v>-11.5116</v>
      </c>
      <c r="AF3490">
        <v>-1.3334905424674699</v>
      </c>
      <c r="AG3490">
        <v>-1.1071517903192001</v>
      </c>
      <c r="AH3490">
        <v>11.3644955122192</v>
      </c>
      <c r="AI3490">
        <v>95.5266307259527</v>
      </c>
      <c r="AJ3490">
        <v>96.692386909849404</v>
      </c>
      <c r="AK3490">
        <v>11.4959010243177</v>
      </c>
      <c r="AL3490">
        <v>91.600331915044805</v>
      </c>
      <c r="AM3490">
        <v>102.07428994707</v>
      </c>
      <c r="AN3490">
        <v>1.00000001880364</v>
      </c>
    </row>
    <row r="3491" spans="1:40" x14ac:dyDescent="0.25">
      <c r="A3491" t="str">
        <f>"20190305135658403"</f>
        <v>20190305135658403</v>
      </c>
      <c r="B3491" t="str">
        <f>"1551765418396244"</f>
        <v>1551765418396244</v>
      </c>
      <c r="C3491" t="s">
        <v>40</v>
      </c>
      <c r="D3491">
        <v>4.2849389999999996</v>
      </c>
      <c r="E3491">
        <v>0.53538399999999997</v>
      </c>
      <c r="F3491" t="s">
        <v>42</v>
      </c>
      <c r="G3491">
        <v>-419.6155</v>
      </c>
      <c r="H3491" s="1">
        <v>-5.3084549999999995E-7</v>
      </c>
      <c r="I3491">
        <v>110.71120000000001</v>
      </c>
      <c r="J3491">
        <v>-418.65679999999998</v>
      </c>
      <c r="K3491">
        <v>1.107075</v>
      </c>
      <c r="L3491">
        <v>122.50920000000001</v>
      </c>
      <c r="M3491">
        <v>-0.19804189999999999</v>
      </c>
      <c r="N3491">
        <v>-1.409123E-2</v>
      </c>
      <c r="O3491">
        <v>-0.98009230000000003</v>
      </c>
      <c r="P3491">
        <v>1.0934910000000001E-2</v>
      </c>
      <c r="Q3491">
        <v>-4.249874E-2</v>
      </c>
      <c r="R3491">
        <v>-0.99903699999999995</v>
      </c>
      <c r="S3491">
        <v>-0.25231930000000002</v>
      </c>
      <c r="T3491">
        <v>-0.27466170000000001</v>
      </c>
      <c r="U3491">
        <v>-2.9950410000000001</v>
      </c>
      <c r="V3491">
        <v>-0.20875389999999999</v>
      </c>
      <c r="W3491">
        <v>-2.7502309999999999E-2</v>
      </c>
      <c r="X3491">
        <v>0.97758140000000004</v>
      </c>
      <c r="Y3491">
        <v>-0.1152248</v>
      </c>
      <c r="Z3491">
        <v>7.4237990000000004E-2</v>
      </c>
      <c r="AA3491">
        <v>0.99056140000000004</v>
      </c>
      <c r="AB3491">
        <v>26</v>
      </c>
      <c r="AC3491">
        <v>-0.95870000000002098</v>
      </c>
      <c r="AD3491">
        <v>-1.1070755308455</v>
      </c>
      <c r="AE3491">
        <v>-11.798</v>
      </c>
      <c r="AF3491">
        <v>-1.3849081436319099</v>
      </c>
      <c r="AG3491">
        <v>-1.1070755308455</v>
      </c>
      <c r="AH3491">
        <v>11.652231481511301</v>
      </c>
      <c r="AI3491">
        <v>95.389657474418399</v>
      </c>
      <c r="AJ3491">
        <v>96.778005846674105</v>
      </c>
      <c r="AK3491">
        <v>11.7863516533327</v>
      </c>
      <c r="AL3491">
        <v>91.575965033468606</v>
      </c>
      <c r="AM3491">
        <v>102.05396581046899</v>
      </c>
      <c r="AN3491">
        <v>0.99999998072325202</v>
      </c>
    </row>
    <row r="3492" spans="1:40" x14ac:dyDescent="0.25">
      <c r="A3492" t="str">
        <f>"20190305135658425"</f>
        <v>20190305135658425</v>
      </c>
      <c r="B3492" t="str">
        <f>"1551765418415763"</f>
        <v>1551765418415763</v>
      </c>
      <c r="C3492" t="s">
        <v>40</v>
      </c>
      <c r="D3492">
        <v>4.2476250000000002</v>
      </c>
      <c r="E3492">
        <v>0.5351283</v>
      </c>
      <c r="F3492" t="s">
        <v>42</v>
      </c>
      <c r="G3492">
        <v>-419.72919999999999</v>
      </c>
      <c r="H3492" s="1">
        <v>-3.163797E-7</v>
      </c>
      <c r="I3492">
        <v>110.25830000000001</v>
      </c>
      <c r="J3492">
        <v>-418.71300000000002</v>
      </c>
      <c r="K3492">
        <v>1.1070530000000001</v>
      </c>
      <c r="L3492">
        <v>122.2497</v>
      </c>
      <c r="M3492">
        <v>-0.20132949999999999</v>
      </c>
      <c r="N3492">
        <v>-1.4002270000000001E-2</v>
      </c>
      <c r="O3492">
        <v>-0.97942340000000006</v>
      </c>
      <c r="P3492">
        <v>7.68475699999999E-3</v>
      </c>
      <c r="Q3492">
        <v>-4.1127039999999997E-2</v>
      </c>
      <c r="R3492">
        <v>-0.99912449999999997</v>
      </c>
      <c r="S3492">
        <v>-0.26208500000000001</v>
      </c>
      <c r="T3492">
        <v>-0.27057979999999998</v>
      </c>
      <c r="U3492">
        <v>-2.9942470000000001</v>
      </c>
      <c r="V3492">
        <v>-0.2088595</v>
      </c>
      <c r="W3492">
        <v>-2.6203770000000001E-2</v>
      </c>
      <c r="X3492">
        <v>0.97759459999999998</v>
      </c>
      <c r="Y3492">
        <v>-0.1153222</v>
      </c>
      <c r="Z3492">
        <v>7.2952069999999994E-2</v>
      </c>
      <c r="AA3492">
        <v>0.99064560000000002</v>
      </c>
      <c r="AB3492">
        <v>26</v>
      </c>
      <c r="AC3492">
        <v>-1.01619999999996</v>
      </c>
      <c r="AD3492">
        <v>-1.1070533163797001</v>
      </c>
      <c r="AE3492">
        <v>-11.991400000000001</v>
      </c>
      <c r="AF3492">
        <v>-1.40716387713207</v>
      </c>
      <c r="AG3492">
        <v>-1.1070533163797001</v>
      </c>
      <c r="AH3492">
        <v>11.850141694524201</v>
      </c>
      <c r="AI3492">
        <v>95.300121532794407</v>
      </c>
      <c r="AJ3492">
        <v>96.771967113026506</v>
      </c>
      <c r="AK3492">
        <v>11.9846374748139</v>
      </c>
      <c r="AL3492">
        <v>91.501537199280406</v>
      </c>
      <c r="AM3492">
        <v>102.05972687745</v>
      </c>
      <c r="AN3492">
        <v>1.0000000651258001</v>
      </c>
    </row>
    <row r="3493" spans="1:40" x14ac:dyDescent="0.25">
      <c r="A3493" t="str">
        <f>"20190305135658469"</f>
        <v>20190305135658469</v>
      </c>
      <c r="B3493" t="str">
        <f>"1551765418465540"</f>
        <v>1551765418465540</v>
      </c>
      <c r="C3493" t="s">
        <v>40</v>
      </c>
      <c r="D3493">
        <v>4.2245429999999997</v>
      </c>
      <c r="E3493">
        <v>0.53449769999999996</v>
      </c>
      <c r="F3493" t="s">
        <v>42</v>
      </c>
      <c r="G3493">
        <v>-419.83769999999998</v>
      </c>
      <c r="H3493" s="1">
        <v>-6.3855449999999897E-8</v>
      </c>
      <c r="I3493">
        <v>109.7088</v>
      </c>
      <c r="J3493">
        <v>-418.82339999999999</v>
      </c>
      <c r="K3493">
        <v>1.1071249999999999</v>
      </c>
      <c r="L3493">
        <v>121.7518</v>
      </c>
      <c r="M3493">
        <v>-0.20752329999999999</v>
      </c>
      <c r="N3493">
        <v>-1.386219E-2</v>
      </c>
      <c r="O3493">
        <v>-0.97813190000000005</v>
      </c>
      <c r="P3493">
        <v>4.3626610000000003E-3</v>
      </c>
      <c r="Q3493">
        <v>-3.6617919999999998E-2</v>
      </c>
      <c r="R3493">
        <v>-0.99931990000000004</v>
      </c>
      <c r="S3493">
        <v>-0.2684937</v>
      </c>
      <c r="T3493">
        <v>-0.26427850000000003</v>
      </c>
      <c r="U3493">
        <v>-2.993805</v>
      </c>
      <c r="V3493">
        <v>-0.21179980000000001</v>
      </c>
      <c r="W3493">
        <v>-2.1849250000000001E-2</v>
      </c>
      <c r="X3493">
        <v>0.97706879999999996</v>
      </c>
      <c r="Y3493">
        <v>-0.1194762</v>
      </c>
      <c r="Z3493">
        <v>7.0903469999999996E-2</v>
      </c>
      <c r="AA3493">
        <v>0.99030200000000002</v>
      </c>
      <c r="AB3493">
        <v>26</v>
      </c>
      <c r="AC3493">
        <v>-1.01429999999999</v>
      </c>
      <c r="AD3493">
        <v>-1.10712506385545</v>
      </c>
      <c r="AE3493">
        <v>-12.042999999999999</v>
      </c>
      <c r="AF3493">
        <v>-1.4946855912544701</v>
      </c>
      <c r="AG3493">
        <v>-1.10712506385545</v>
      </c>
      <c r="AH3493">
        <v>11.8914941468888</v>
      </c>
      <c r="AI3493">
        <v>95.277743190822406</v>
      </c>
      <c r="AJ3493">
        <v>97.164146151639002</v>
      </c>
      <c r="AK3493">
        <v>12.0360892306933</v>
      </c>
      <c r="AL3493">
        <v>91.251969446323599</v>
      </c>
      <c r="AM3493">
        <v>102.230811037373</v>
      </c>
      <c r="AN3493">
        <v>0.99999999246952098</v>
      </c>
    </row>
    <row r="3494" spans="1:40" x14ac:dyDescent="0.25">
      <c r="A3494" t="str">
        <f>"20190305135658491"</f>
        <v>20190305135658491</v>
      </c>
      <c r="B3494" t="str">
        <f>"1551765418486037"</f>
        <v>1551765418486037</v>
      </c>
      <c r="C3494" t="s">
        <v>40</v>
      </c>
      <c r="D3494">
        <v>4.2900419999999997</v>
      </c>
      <c r="E3494">
        <v>0.53428439999999999</v>
      </c>
      <c r="F3494" t="s">
        <v>42</v>
      </c>
      <c r="G3494">
        <v>-420.05650000000003</v>
      </c>
      <c r="H3494" s="1">
        <v>-4.0900919999999998E-6</v>
      </c>
      <c r="I3494">
        <v>108.2123</v>
      </c>
      <c r="J3494">
        <v>-418.88189999999997</v>
      </c>
      <c r="K3494">
        <v>1.1071899999999999</v>
      </c>
      <c r="L3494">
        <v>121.4936</v>
      </c>
      <c r="M3494">
        <v>-0.2106295</v>
      </c>
      <c r="N3494">
        <v>-1.380317E-2</v>
      </c>
      <c r="O3494">
        <v>-0.97746869999999997</v>
      </c>
      <c r="P3494">
        <v>2.335546E-3</v>
      </c>
      <c r="Q3494">
        <v>-3.4699649999999999E-2</v>
      </c>
      <c r="R3494">
        <v>-0.99939549999999999</v>
      </c>
      <c r="S3494">
        <v>-0.27270509999999998</v>
      </c>
      <c r="T3494">
        <v>-0.24484210000000001</v>
      </c>
      <c r="U3494">
        <v>-2.9942630000000001</v>
      </c>
      <c r="V3494">
        <v>-0.21292130000000001</v>
      </c>
      <c r="W3494">
        <v>-2.0016909999999999E-2</v>
      </c>
      <c r="X3494">
        <v>0.97686430000000002</v>
      </c>
      <c r="Y3494">
        <v>-0.1212275</v>
      </c>
      <c r="Z3494">
        <v>6.4673949999999994E-2</v>
      </c>
      <c r="AA3494">
        <v>0.99051560000000005</v>
      </c>
      <c r="AB3494">
        <v>26</v>
      </c>
      <c r="AC3494">
        <v>-1.17460000000005</v>
      </c>
      <c r="AD3494">
        <v>-1.1071940900920001</v>
      </c>
      <c r="AE3494">
        <v>-13.2813</v>
      </c>
      <c r="AF3494">
        <v>-1.63815930933633</v>
      </c>
      <c r="AG3494">
        <v>-1.1071940900920001</v>
      </c>
      <c r="AH3494">
        <v>13.1401073196376</v>
      </c>
      <c r="AI3494">
        <v>94.779576861900196</v>
      </c>
      <c r="AJ3494">
        <v>97.106322144206402</v>
      </c>
      <c r="AK3494">
        <v>13.28803465707</v>
      </c>
      <c r="AL3494">
        <v>91.146961054097403</v>
      </c>
      <c r="AM3494">
        <v>102.296105094854</v>
      </c>
      <c r="AN3494">
        <v>1.00000000864706</v>
      </c>
    </row>
    <row r="3495" spans="1:40" x14ac:dyDescent="0.25">
      <c r="A3495" t="str">
        <f>"20190305135658514"</f>
        <v>20190305135658514</v>
      </c>
      <c r="B3495" t="str">
        <f>"1551765418505556"</f>
        <v>1551765418505556</v>
      </c>
      <c r="C3495" t="s">
        <v>40</v>
      </c>
      <c r="D3495">
        <v>4.3133379999999999</v>
      </c>
      <c r="E3495">
        <v>0.53403900000000004</v>
      </c>
      <c r="F3495" t="s">
        <v>42</v>
      </c>
      <c r="G3495">
        <v>-420.16789999999997</v>
      </c>
      <c r="H3495" s="1">
        <v>-3.8121759999999999E-6</v>
      </c>
      <c r="I3495">
        <v>107.5617</v>
      </c>
      <c r="J3495">
        <v>-418.94200000000001</v>
      </c>
      <c r="K3495">
        <v>1.1072820000000001</v>
      </c>
      <c r="L3495">
        <v>121.2317</v>
      </c>
      <c r="M3495">
        <v>-0.21366309999999999</v>
      </c>
      <c r="N3495">
        <v>-1.3750760000000001E-2</v>
      </c>
      <c r="O3495">
        <v>-0.97681079999999998</v>
      </c>
      <c r="P3495">
        <v>-1.049475E-4</v>
      </c>
      <c r="Q3495">
        <v>-3.3158670000000001E-2</v>
      </c>
      <c r="R3495">
        <v>-0.99945039999999996</v>
      </c>
      <c r="S3495">
        <v>-0.27639770000000002</v>
      </c>
      <c r="T3495">
        <v>-0.237952</v>
      </c>
      <c r="U3495">
        <v>-2.994186</v>
      </c>
      <c r="V3495">
        <v>-0.21356729999999999</v>
      </c>
      <c r="W3495">
        <v>-1.8568609999999999E-2</v>
      </c>
      <c r="X3495">
        <v>0.97675190000000001</v>
      </c>
      <c r="Y3495">
        <v>-0.1230831</v>
      </c>
      <c r="Z3495">
        <v>6.2448459999999997E-2</v>
      </c>
      <c r="AA3495">
        <v>0.99042960000000002</v>
      </c>
      <c r="AB3495">
        <v>26</v>
      </c>
      <c r="AC3495">
        <v>-1.22590000000002</v>
      </c>
      <c r="AD3495">
        <v>-1.1072858121760001</v>
      </c>
      <c r="AE3495">
        <v>-13.67</v>
      </c>
      <c r="AF3495">
        <v>-1.71231965054663</v>
      </c>
      <c r="AG3495">
        <v>-1.1072858121760001</v>
      </c>
      <c r="AH3495">
        <v>13.528165563381499</v>
      </c>
      <c r="AI3495">
        <v>94.6423754119362</v>
      </c>
      <c r="AJ3495">
        <v>97.213818634512904</v>
      </c>
      <c r="AK3495">
        <v>13.680986220508901</v>
      </c>
      <c r="AL3495">
        <v>91.063964100255802</v>
      </c>
      <c r="AM3495">
        <v>102.333647062409</v>
      </c>
      <c r="AN3495">
        <v>1.0000000295301099</v>
      </c>
    </row>
    <row r="3496" spans="1:40" x14ac:dyDescent="0.25">
      <c r="A3496" t="str">
        <f>"20190305135658534"</f>
        <v>20190305135658534</v>
      </c>
      <c r="B3496" t="str">
        <f>"1551765418526052"</f>
        <v>1551765418526052</v>
      </c>
      <c r="C3496" t="s">
        <v>40</v>
      </c>
      <c r="D3496">
        <v>4.3272199999999996</v>
      </c>
      <c r="E3496">
        <v>0.53377629999999998</v>
      </c>
      <c r="F3496" t="s">
        <v>42</v>
      </c>
      <c r="G3496">
        <v>-420.2878</v>
      </c>
      <c r="H3496" s="1">
        <v>-3.518451E-6</v>
      </c>
      <c r="I3496">
        <v>106.8728</v>
      </c>
      <c r="J3496">
        <v>-418.99810000000002</v>
      </c>
      <c r="K3496">
        <v>1.1073599999999999</v>
      </c>
      <c r="L3496">
        <v>120.99039999999999</v>
      </c>
      <c r="M3496">
        <v>-0.21635560000000001</v>
      </c>
      <c r="N3496">
        <v>-1.3707779999999999E-2</v>
      </c>
      <c r="O3496">
        <v>-0.97621849999999999</v>
      </c>
      <c r="P3496">
        <v>-2.3416560000000001E-3</v>
      </c>
      <c r="Q3496">
        <v>-3.1833309999999997E-2</v>
      </c>
      <c r="R3496">
        <v>-0.99949089999999996</v>
      </c>
      <c r="S3496">
        <v>-0.2806091</v>
      </c>
      <c r="T3496">
        <v>-0.2308801</v>
      </c>
      <c r="U3496">
        <v>-2.993973</v>
      </c>
      <c r="V3496">
        <v>-0.21407309999999999</v>
      </c>
      <c r="W3496">
        <v>-1.7328699999999999E-2</v>
      </c>
      <c r="X3496">
        <v>0.97666390000000003</v>
      </c>
      <c r="Y3496">
        <v>-0.12441969999999999</v>
      </c>
      <c r="Z3496">
        <v>6.0172660000000003E-2</v>
      </c>
      <c r="AA3496">
        <v>0.99040349999999999</v>
      </c>
      <c r="AB3496">
        <v>26</v>
      </c>
      <c r="AC3496">
        <v>-1.2896999999999801</v>
      </c>
      <c r="AD3496">
        <v>-1.107363518451</v>
      </c>
      <c r="AE3496">
        <v>-14.1175999999999</v>
      </c>
      <c r="AF3496">
        <v>-1.7846718426542401</v>
      </c>
      <c r="AG3496">
        <v>-1.107363518451</v>
      </c>
      <c r="AH3496">
        <v>13.9769331302405</v>
      </c>
      <c r="AI3496">
        <v>94.493631057010802</v>
      </c>
      <c r="AJ3496">
        <v>97.276547822694198</v>
      </c>
      <c r="AK3496">
        <v>14.133858895403399</v>
      </c>
      <c r="AL3496">
        <v>90.992911096250793</v>
      </c>
      <c r="AM3496">
        <v>102.36303982688</v>
      </c>
      <c r="AN3496">
        <v>0.99999997477525404</v>
      </c>
    </row>
    <row r="3497" spans="1:40" x14ac:dyDescent="0.25">
      <c r="A3497" t="str">
        <f>"20190305135658557"</f>
        <v>20190305135658557</v>
      </c>
      <c r="B3497" t="str">
        <f>"1551765418545572"</f>
        <v>1551765418545572</v>
      </c>
      <c r="C3497" t="s">
        <v>40</v>
      </c>
      <c r="D3497">
        <v>4.2827400000000004</v>
      </c>
      <c r="E3497">
        <v>0.53351709999999997</v>
      </c>
      <c r="F3497" t="s">
        <v>42</v>
      </c>
      <c r="G3497">
        <v>-420.41269999999997</v>
      </c>
      <c r="H3497" s="1">
        <v>-3.2032500000000002E-6</v>
      </c>
      <c r="I3497">
        <v>106.1357</v>
      </c>
      <c r="J3497">
        <v>-419.05709999999999</v>
      </c>
      <c r="K3497">
        <v>1.1074569999999999</v>
      </c>
      <c r="L3497">
        <v>120.739</v>
      </c>
      <c r="M3497">
        <v>-0.21903069999999999</v>
      </c>
      <c r="N3497">
        <v>-1.366792E-2</v>
      </c>
      <c r="O3497">
        <v>-0.97562219999999999</v>
      </c>
      <c r="P3497">
        <v>-5.1432559999999997E-3</v>
      </c>
      <c r="Q3497">
        <v>-3.2045009999999999E-2</v>
      </c>
      <c r="R3497">
        <v>-0.99947359999999996</v>
      </c>
      <c r="S3497">
        <v>-0.28509519999999999</v>
      </c>
      <c r="T3497">
        <v>-0.22317339999999999</v>
      </c>
      <c r="U3497">
        <v>-2.993744</v>
      </c>
      <c r="V3497">
        <v>-0.21400820000000001</v>
      </c>
      <c r="W3497">
        <v>-1.76334E-2</v>
      </c>
      <c r="X3497">
        <v>0.97667269999999995</v>
      </c>
      <c r="Y3497">
        <v>-0.12564900000000001</v>
      </c>
      <c r="Z3497">
        <v>5.7695679999999999E-2</v>
      </c>
      <c r="AA3497">
        <v>0.99039569999999999</v>
      </c>
      <c r="AB3497">
        <v>26</v>
      </c>
      <c r="AC3497">
        <v>-1.3555999999999799</v>
      </c>
      <c r="AD3497">
        <v>-1.1074602032499901</v>
      </c>
      <c r="AE3497">
        <v>-14.6032999999999</v>
      </c>
      <c r="AF3497">
        <v>-1.86555546774791</v>
      </c>
      <c r="AG3497">
        <v>-1.1074602032499901</v>
      </c>
      <c r="AH3497">
        <v>14.4631120601855</v>
      </c>
      <c r="AI3497">
        <v>94.342832676927799</v>
      </c>
      <c r="AJ3497">
        <v>97.349836635188794</v>
      </c>
      <c r="AK3497">
        <v>14.6249231030631</v>
      </c>
      <c r="AL3497">
        <v>91.010371758629404</v>
      </c>
      <c r="AM3497">
        <v>102.35929902641099</v>
      </c>
      <c r="AN3497">
        <v>1.00000000469404</v>
      </c>
    </row>
    <row r="3498" spans="1:40" x14ac:dyDescent="0.25">
      <c r="A3498" t="str">
        <f>"20190305135658580"</f>
        <v>20190305135658580</v>
      </c>
      <c r="B3498" t="str">
        <f>"1551765418575828"</f>
        <v>1551765418575828</v>
      </c>
      <c r="C3498" t="s">
        <v>40</v>
      </c>
      <c r="D3498">
        <v>4.2774140000000003</v>
      </c>
      <c r="E3498">
        <v>0.52561999999999998</v>
      </c>
      <c r="F3498" t="s">
        <v>42</v>
      </c>
      <c r="G3498">
        <v>-420.51979999999998</v>
      </c>
      <c r="H3498" s="1">
        <v>-3.0326310000000002E-6</v>
      </c>
      <c r="I3498">
        <v>105.7145</v>
      </c>
      <c r="J3498">
        <v>-419.11790000000002</v>
      </c>
      <c r="K3498">
        <v>1.107572</v>
      </c>
      <c r="L3498">
        <v>120.4823</v>
      </c>
      <c r="M3498">
        <v>-0.2215984</v>
      </c>
      <c r="N3498">
        <v>-1.3631529999999999E-2</v>
      </c>
      <c r="O3498">
        <v>-0.97504279999999999</v>
      </c>
      <c r="P3498">
        <v>-7.6748010000000002E-3</v>
      </c>
      <c r="Q3498">
        <v>-3.3503789999999999E-2</v>
      </c>
      <c r="R3498">
        <v>-0.99940910000000005</v>
      </c>
      <c r="S3498">
        <v>-0.29138180000000002</v>
      </c>
      <c r="T3498">
        <v>-0.22061420000000001</v>
      </c>
      <c r="U3498">
        <v>-2.9929960000000002</v>
      </c>
      <c r="V3498">
        <v>-0.21409610000000001</v>
      </c>
      <c r="W3498">
        <v>-1.9193020000000002E-2</v>
      </c>
      <c r="X3498">
        <v>0.97662400000000005</v>
      </c>
      <c r="Y3498">
        <v>-0.12617219999999901</v>
      </c>
      <c r="Z3498">
        <v>5.6868500000000002E-2</v>
      </c>
      <c r="AA3498">
        <v>0.9903769</v>
      </c>
      <c r="AB3498">
        <v>26</v>
      </c>
      <c r="AC3498">
        <v>-1.40189999999995</v>
      </c>
      <c r="AD3498">
        <v>-1.1075750326309901</v>
      </c>
      <c r="AE3498">
        <v>-14.7677999999999</v>
      </c>
      <c r="AF3498">
        <v>-1.89522008693135</v>
      </c>
      <c r="AG3498">
        <v>-1.1075750326309901</v>
      </c>
      <c r="AH3498">
        <v>14.629706101644301</v>
      </c>
      <c r="AI3498">
        <v>94.2937047334417</v>
      </c>
      <c r="AJ3498">
        <v>97.381331357693895</v>
      </c>
      <c r="AK3498">
        <v>14.793474313064699</v>
      </c>
      <c r="AL3498">
        <v>91.099746596280497</v>
      </c>
      <c r="AM3498">
        <v>102.36481686449</v>
      </c>
      <c r="AN3498">
        <v>0.99999997471396496</v>
      </c>
    </row>
    <row r="3499" spans="1:40" x14ac:dyDescent="0.25">
      <c r="A3499" t="str">
        <f>"20190305135658604"</f>
        <v>20190305135658604</v>
      </c>
      <c r="B3499" t="str">
        <f>"1551765418596324"</f>
        <v>1551765418596324</v>
      </c>
      <c r="C3499" t="s">
        <v>40</v>
      </c>
      <c r="D3499">
        <v>4.2146999999999997</v>
      </c>
      <c r="E3499">
        <v>0.52608540000000004</v>
      </c>
      <c r="F3499" t="s">
        <v>42</v>
      </c>
      <c r="G3499">
        <v>-420.82889999999998</v>
      </c>
      <c r="H3499" s="1">
        <v>-3.9703820000000001E-6</v>
      </c>
      <c r="I3499">
        <v>98.330060000000003</v>
      </c>
      <c r="J3499">
        <v>-419.18150000000003</v>
      </c>
      <c r="K3499">
        <v>1.10771</v>
      </c>
      <c r="L3499">
        <v>120.2161</v>
      </c>
      <c r="M3499">
        <v>-0.22406039999999999</v>
      </c>
      <c r="N3499">
        <v>-1.359754E-2</v>
      </c>
      <c r="O3499">
        <v>-0.97448049999999997</v>
      </c>
      <c r="P3499">
        <v>-8.8454390000000001E-3</v>
      </c>
      <c r="Q3499">
        <v>-3.4568920000000003E-2</v>
      </c>
      <c r="R3499">
        <v>-0.99936320000000001</v>
      </c>
      <c r="S3499">
        <v>-0.23132320000000001</v>
      </c>
      <c r="T3499">
        <v>-0.14974319999999999</v>
      </c>
      <c r="U3499">
        <v>-2.9949650000000001</v>
      </c>
      <c r="V3499">
        <v>-0.2154074</v>
      </c>
      <c r="W3499">
        <v>-2.0369439999999999E-2</v>
      </c>
      <c r="X3499">
        <v>0.97631179999999995</v>
      </c>
      <c r="Y3499">
        <v>-0.14834610000000001</v>
      </c>
      <c r="Z3499">
        <v>3.4223730000000001E-2</v>
      </c>
      <c r="AA3499">
        <v>0.98834310000000003</v>
      </c>
      <c r="AB3499">
        <v>26</v>
      </c>
      <c r="AC3499">
        <v>-1.64739999999994</v>
      </c>
      <c r="AD3499">
        <v>-1.107713970382</v>
      </c>
      <c r="AE3499">
        <v>-21.886039999999898</v>
      </c>
      <c r="AF3499">
        <v>-3.2903590584731299</v>
      </c>
      <c r="AG3499">
        <v>-1.107713970382</v>
      </c>
      <c r="AH3499">
        <v>21.643509309879999</v>
      </c>
      <c r="AI3499">
        <v>92.896615492568102</v>
      </c>
      <c r="AJ3499">
        <v>98.644214410074198</v>
      </c>
      <c r="AK3499">
        <v>21.9201958983199</v>
      </c>
      <c r="AL3499">
        <v>91.167163668798594</v>
      </c>
      <c r="AM3499">
        <v>102.44205250588</v>
      </c>
      <c r="AN3499">
        <v>0.99999999643995596</v>
      </c>
    </row>
    <row r="3500" spans="1:40" x14ac:dyDescent="0.25">
      <c r="A3500" t="str">
        <f>"20190305135658626"</f>
        <v>20190305135658626</v>
      </c>
      <c r="B3500" t="str">
        <f>"1551765418615844"</f>
        <v>1551765418615844</v>
      </c>
      <c r="C3500" t="s">
        <v>40</v>
      </c>
      <c r="D3500">
        <v>4.3051919999999999</v>
      </c>
      <c r="E3500">
        <v>0.52572580000000002</v>
      </c>
      <c r="F3500" t="s">
        <v>42</v>
      </c>
      <c r="G3500">
        <v>-420.76690000000002</v>
      </c>
      <c r="H3500" s="1">
        <v>-5.7772500000000005E-7</v>
      </c>
      <c r="I3500">
        <v>100.38209999999999</v>
      </c>
      <c r="J3500">
        <v>-419.24299999999999</v>
      </c>
      <c r="K3500">
        <v>1.1078619999999999</v>
      </c>
      <c r="L3500">
        <v>119.96040000000001</v>
      </c>
      <c r="M3500">
        <v>-0.22620599999999999</v>
      </c>
      <c r="N3500">
        <v>-1.356825E-2</v>
      </c>
      <c r="O3500">
        <v>-0.97398530000000005</v>
      </c>
      <c r="P3500">
        <v>-8.3019700000000005E-3</v>
      </c>
      <c r="Q3500">
        <v>-3.5946640000000002E-2</v>
      </c>
      <c r="R3500">
        <v>-0.99931950000000003</v>
      </c>
      <c r="S3500">
        <v>-0.2393188</v>
      </c>
      <c r="T3500">
        <v>-0.1672121</v>
      </c>
      <c r="U3500">
        <v>-2.9940030000000002</v>
      </c>
      <c r="V3500">
        <v>-0.21807289999999999</v>
      </c>
      <c r="W3500">
        <v>-2.1862139999999999E-2</v>
      </c>
      <c r="X3500">
        <v>0.97568759999999999</v>
      </c>
      <c r="Y3500">
        <v>-0.147887299999999</v>
      </c>
      <c r="Z3500">
        <v>3.9781480000000001E-2</v>
      </c>
      <c r="AA3500">
        <v>0.98820379999999997</v>
      </c>
      <c r="AB3500">
        <v>26</v>
      </c>
      <c r="AC3500">
        <v>-1.5238999999999601</v>
      </c>
      <c r="AD3500">
        <v>-1.107862577725</v>
      </c>
      <c r="AE3500">
        <v>-19.578299999999999</v>
      </c>
      <c r="AF3500">
        <v>-2.9354003345712001</v>
      </c>
      <c r="AG3500">
        <v>-1.107862577725</v>
      </c>
      <c r="AH3500">
        <v>19.353874999309401</v>
      </c>
      <c r="AI3500">
        <v>93.239208752187295</v>
      </c>
      <c r="AJ3500">
        <v>98.624315584319007</v>
      </c>
      <c r="AK3500">
        <v>19.606540033984</v>
      </c>
      <c r="AL3500">
        <v>91.252708133597807</v>
      </c>
      <c r="AM3500">
        <v>102.598930764513</v>
      </c>
      <c r="AN3500">
        <v>1.0000000178367701</v>
      </c>
    </row>
    <row r="3501" spans="1:40" x14ac:dyDescent="0.25">
      <c r="A3501" t="str">
        <f>"20190305135658670"</f>
        <v>20190305135658670</v>
      </c>
      <c r="B3501" t="str">
        <f>"1551765418665620"</f>
        <v>1551765418665620</v>
      </c>
      <c r="C3501" t="s">
        <v>40</v>
      </c>
      <c r="D3501">
        <v>4.293221</v>
      </c>
      <c r="E3501">
        <v>0.52497859999999996</v>
      </c>
      <c r="F3501" t="s">
        <v>42</v>
      </c>
      <c r="G3501">
        <v>-420.64980000000003</v>
      </c>
      <c r="H3501" s="1">
        <v>-1.3554409999999901E-6</v>
      </c>
      <c r="I3501">
        <v>102.0933</v>
      </c>
      <c r="J3501">
        <v>-419.36110000000002</v>
      </c>
      <c r="K3501">
        <v>1.1082179999999999</v>
      </c>
      <c r="L3501">
        <v>119.4725</v>
      </c>
      <c r="M3501">
        <v>-0.22955980000000001</v>
      </c>
      <c r="N3501">
        <v>-1.3520020000000001E-2</v>
      </c>
      <c r="O3501">
        <v>-0.97320099999999998</v>
      </c>
      <c r="P3501">
        <v>-7.2673080000000001E-3</v>
      </c>
      <c r="Q3501">
        <v>-3.4716190000000001E-2</v>
      </c>
      <c r="R3501">
        <v>-0.99937120000000002</v>
      </c>
      <c r="S3501">
        <v>-0.23568729999999999</v>
      </c>
      <c r="T3501">
        <v>-0.185608</v>
      </c>
      <c r="U3501">
        <v>-2.9934080000000001</v>
      </c>
      <c r="V3501">
        <v>-0.22242590000000001</v>
      </c>
      <c r="W3501">
        <v>-2.0882950000000001E-2</v>
      </c>
      <c r="X3501">
        <v>0.97472590000000003</v>
      </c>
      <c r="Y3501">
        <v>-0.15247920000000001</v>
      </c>
      <c r="Z3501">
        <v>4.5587009999999997E-2</v>
      </c>
      <c r="AA3501">
        <v>0.98725469999999904</v>
      </c>
      <c r="AB3501">
        <v>26</v>
      </c>
      <c r="AC3501">
        <v>-1.2887</v>
      </c>
      <c r="AD3501">
        <v>-1.108219355441</v>
      </c>
      <c r="AE3501">
        <v>-17.379199999999901</v>
      </c>
      <c r="AF3501">
        <v>-2.72463226019214</v>
      </c>
      <c r="AG3501">
        <v>-1.108219355441</v>
      </c>
      <c r="AH3501">
        <v>17.1415354929368</v>
      </c>
      <c r="AI3501">
        <v>93.653351668823902</v>
      </c>
      <c r="AJ3501">
        <v>99.031560159377406</v>
      </c>
      <c r="AK3501">
        <v>17.392067448945401</v>
      </c>
      <c r="AL3501">
        <v>91.196591906039302</v>
      </c>
      <c r="AM3501">
        <v>102.85440929140501</v>
      </c>
      <c r="AN3501">
        <v>0.99999997936116103</v>
      </c>
    </row>
    <row r="3502" spans="1:40" x14ac:dyDescent="0.25">
      <c r="A3502" t="str">
        <f>"20190305135658692"</f>
        <v>20190305135658692</v>
      </c>
      <c r="B3502" t="str">
        <f>"1551765418685826"</f>
        <v>1551765418685826</v>
      </c>
      <c r="C3502" t="s">
        <v>40</v>
      </c>
      <c r="D3502">
        <v>4.252078</v>
      </c>
      <c r="E3502">
        <v>0.52513299999999996</v>
      </c>
      <c r="F3502" t="s">
        <v>42</v>
      </c>
      <c r="G3502">
        <v>-420.71929999999998</v>
      </c>
      <c r="H3502" s="1">
        <v>-1.1146469999999999E-6</v>
      </c>
      <c r="I3502">
        <v>101.54470000000001</v>
      </c>
      <c r="J3502">
        <v>-419.42439999999999</v>
      </c>
      <c r="K3502">
        <v>1.10842</v>
      </c>
      <c r="L3502">
        <v>119.21210000000001</v>
      </c>
      <c r="M3502">
        <v>-0.2309264</v>
      </c>
      <c r="N3502">
        <v>-1.3498309999999999E-2</v>
      </c>
      <c r="O3502">
        <v>-0.97287769999999996</v>
      </c>
      <c r="P3502">
        <v>-7.0295289999999996E-3</v>
      </c>
      <c r="Q3502">
        <v>-3.3330119999999998E-2</v>
      </c>
      <c r="R3502">
        <v>-0.99941990000000003</v>
      </c>
      <c r="S3502">
        <v>-0.2268066</v>
      </c>
      <c r="T3502">
        <v>-0.1850648</v>
      </c>
      <c r="U3502">
        <v>-2.993805</v>
      </c>
      <c r="V3502">
        <v>-0.22402259999999999</v>
      </c>
      <c r="W3502">
        <v>-1.963231E-2</v>
      </c>
      <c r="X3502">
        <v>0.97438619999999998</v>
      </c>
      <c r="Y3502">
        <v>-0.15678449999999999</v>
      </c>
      <c r="Z3502">
        <v>4.5380719999999999E-2</v>
      </c>
      <c r="AA3502">
        <v>0.98658970000000001</v>
      </c>
      <c r="AB3502">
        <v>26</v>
      </c>
      <c r="AC3502">
        <v>-1.29489999999998</v>
      </c>
      <c r="AD3502">
        <v>-1.108421114647</v>
      </c>
      <c r="AE3502">
        <v>-17.667400000000001</v>
      </c>
      <c r="AF3502">
        <v>-2.8093476360127299</v>
      </c>
      <c r="AG3502">
        <v>-1.108421114647</v>
      </c>
      <c r="AH3502">
        <v>17.420634747468299</v>
      </c>
      <c r="AI3502">
        <v>93.594331618654095</v>
      </c>
      <c r="AJ3502">
        <v>99.160961715316702</v>
      </c>
      <c r="AK3502">
        <v>17.6804849060218</v>
      </c>
      <c r="AL3502">
        <v>91.124920764512694</v>
      </c>
      <c r="AM3502">
        <v>102.947948906606</v>
      </c>
      <c r="AN3502">
        <v>1.00000000982856</v>
      </c>
    </row>
    <row r="3503" spans="1:40" x14ac:dyDescent="0.25">
      <c r="A3503" t="str">
        <f>"20190305135658715"</f>
        <v>20190305135658715</v>
      </c>
      <c r="B3503" t="str">
        <f>"1551765418706319"</f>
        <v>1551765418706319</v>
      </c>
      <c r="C3503" t="s">
        <v>40</v>
      </c>
      <c r="D3503">
        <v>4.2749860000000002</v>
      </c>
      <c r="E3503">
        <v>0.52554179999999995</v>
      </c>
      <c r="F3503" t="s">
        <v>42</v>
      </c>
      <c r="G3503">
        <v>-420.85840000000002</v>
      </c>
      <c r="H3503" s="1">
        <v>-5.5617530000000004E-7</v>
      </c>
      <c r="I3503">
        <v>100.285</v>
      </c>
      <c r="J3503">
        <v>-419.4853</v>
      </c>
      <c r="K3503">
        <v>1.1086259999999999</v>
      </c>
      <c r="L3503">
        <v>118.96169999999999</v>
      </c>
      <c r="M3503">
        <v>-0.2319166</v>
      </c>
      <c r="N3503">
        <v>-1.347956E-2</v>
      </c>
      <c r="O3503">
        <v>-0.97264249999999997</v>
      </c>
      <c r="P3503">
        <v>-6.8451369999999899E-3</v>
      </c>
      <c r="Q3503">
        <v>-3.3934930000000002E-2</v>
      </c>
      <c r="R3503">
        <v>-0.99940090000000004</v>
      </c>
      <c r="S3503">
        <v>-0.22686770000000001</v>
      </c>
      <c r="T3503">
        <v>-0.17535519999999999</v>
      </c>
      <c r="U3503">
        <v>-2.9943080000000002</v>
      </c>
      <c r="V3503">
        <v>-0.2251793</v>
      </c>
      <c r="W3503">
        <v>-2.03768E-2</v>
      </c>
      <c r="X3503">
        <v>0.97410419999999998</v>
      </c>
      <c r="Y3503">
        <v>-0.157775</v>
      </c>
      <c r="Z3503">
        <v>4.2291780000000001E-2</v>
      </c>
      <c r="AA3503">
        <v>0.98656900000000003</v>
      </c>
      <c r="AB3503">
        <v>26</v>
      </c>
      <c r="AC3503">
        <v>-1.37310000000002</v>
      </c>
      <c r="AD3503">
        <v>-1.1086265561752999</v>
      </c>
      <c r="AE3503">
        <v>-18.6767</v>
      </c>
      <c r="AF3503">
        <v>-2.9857094049211499</v>
      </c>
      <c r="AG3503">
        <v>-1.1086265561752999</v>
      </c>
      <c r="AH3503">
        <v>18.421314333974198</v>
      </c>
      <c r="AI3503">
        <v>93.399745792690794</v>
      </c>
      <c r="AJ3503">
        <v>99.206387361105996</v>
      </c>
      <c r="AK3503">
        <v>18.694607117636298</v>
      </c>
      <c r="AL3503">
        <v>91.167585493740006</v>
      </c>
      <c r="AM3503">
        <v>103.016172359349</v>
      </c>
      <c r="AN3503">
        <v>0.99999996179218398</v>
      </c>
    </row>
    <row r="3504" spans="1:40" x14ac:dyDescent="0.25">
      <c r="A3504" t="str">
        <f>"20190305135658736"</f>
        <v>20190305135658736</v>
      </c>
      <c r="B3504" t="str">
        <f>"1551765418725840"</f>
        <v>1551765418725840</v>
      </c>
      <c r="C3504" t="s">
        <v>40</v>
      </c>
      <c r="D3504">
        <v>4.5048149999999998</v>
      </c>
      <c r="E3504">
        <v>0.52623619999999904</v>
      </c>
      <c r="F3504" t="s">
        <v>42</v>
      </c>
      <c r="G3504">
        <v>-420.94740000000002</v>
      </c>
      <c r="H3504" s="1">
        <v>-3.5664440000000002E-7</v>
      </c>
      <c r="I3504">
        <v>99.812820000000002</v>
      </c>
      <c r="J3504">
        <v>-419.54480000000001</v>
      </c>
      <c r="K3504">
        <v>1.108822</v>
      </c>
      <c r="L3504">
        <v>118.7162</v>
      </c>
      <c r="M3504">
        <v>-0.23260310000000001</v>
      </c>
      <c r="N3504">
        <v>-1.3456920000000001E-2</v>
      </c>
      <c r="O3504">
        <v>-0.97247890000000003</v>
      </c>
      <c r="P3504">
        <v>-5.9724660000000001E-3</v>
      </c>
      <c r="Q3504">
        <v>-3.5509499999999999E-2</v>
      </c>
      <c r="R3504">
        <v>-0.99935160000000001</v>
      </c>
      <c r="S3504">
        <v>-0.2286377</v>
      </c>
      <c r="T3504">
        <v>-0.17335739999999999</v>
      </c>
      <c r="U3504">
        <v>-2.9943390000000001</v>
      </c>
      <c r="V3504">
        <v>-0.2266957</v>
      </c>
      <c r="W3504">
        <v>-2.2094760000000001E-2</v>
      </c>
      <c r="X3504">
        <v>0.973715</v>
      </c>
      <c r="Y3504">
        <v>-0.15789159999999999</v>
      </c>
      <c r="Z3504">
        <v>4.1666880000000003E-2</v>
      </c>
      <c r="AA3504">
        <v>0.98657700000000004</v>
      </c>
      <c r="AB3504">
        <v>26</v>
      </c>
      <c r="AC3504">
        <v>-1.4026000000000001</v>
      </c>
      <c r="AD3504">
        <v>-1.1088223566444</v>
      </c>
      <c r="AE3504">
        <v>-18.903379999999999</v>
      </c>
      <c r="AF3504">
        <v>-3.0229158232070601</v>
      </c>
      <c r="AG3504">
        <v>-1.1088223566444</v>
      </c>
      <c r="AH3504">
        <v>18.647268756683399</v>
      </c>
      <c r="AI3504">
        <v>93.359220212865097</v>
      </c>
      <c r="AJ3504">
        <v>99.208135635319096</v>
      </c>
      <c r="AK3504">
        <v>18.923216935203499</v>
      </c>
      <c r="AL3504">
        <v>91.266039507778302</v>
      </c>
      <c r="AM3504">
        <v>103.105867710295</v>
      </c>
      <c r="AN3504">
        <v>1.0000000100214701</v>
      </c>
    </row>
    <row r="3505" spans="1:40" x14ac:dyDescent="0.25">
      <c r="A3505" t="str">
        <f>"20190305135658758"</f>
        <v>20190305135658758</v>
      </c>
      <c r="B3505" t="str">
        <f>"1551765418746336"</f>
        <v>1551765418746336</v>
      </c>
      <c r="C3505" t="s">
        <v>40</v>
      </c>
      <c r="D3505">
        <v>4.3294870000000003</v>
      </c>
      <c r="E3505">
        <v>0.57200660000000003</v>
      </c>
      <c r="F3505" t="s">
        <v>42</v>
      </c>
      <c r="G3505">
        <v>-421.01170000000002</v>
      </c>
      <c r="H3505" s="1">
        <v>-3.5707260000000002E-7</v>
      </c>
      <c r="I3505">
        <v>99.777510000000007</v>
      </c>
      <c r="J3505">
        <v>-419.60410000000002</v>
      </c>
      <c r="K3505">
        <v>1.1090070000000001</v>
      </c>
      <c r="L3505">
        <v>118.4713</v>
      </c>
      <c r="M3505">
        <v>-0.2330063</v>
      </c>
      <c r="N3505">
        <v>-1.33972E-2</v>
      </c>
      <c r="O3505">
        <v>-0.97238290000000005</v>
      </c>
      <c r="P3505">
        <v>-4.7692129999999996E-3</v>
      </c>
      <c r="Q3505">
        <v>-3.7461710000000002E-2</v>
      </c>
      <c r="R3505">
        <v>-0.99928680000000003</v>
      </c>
      <c r="S3505">
        <v>-0.23193359999999999</v>
      </c>
      <c r="T3505">
        <v>-0.17531179999999999</v>
      </c>
      <c r="U3505">
        <v>-2.9943240000000002</v>
      </c>
      <c r="V3505">
        <v>-0.22824420000000001</v>
      </c>
      <c r="W3505">
        <v>-2.4227990000000001E-2</v>
      </c>
      <c r="X3505">
        <v>0.97330240000000001</v>
      </c>
      <c r="Y3505">
        <v>-0.15722329999999901</v>
      </c>
      <c r="Z3505">
        <v>4.2339010000000003E-2</v>
      </c>
      <c r="AA3505">
        <v>0.98665510000000001</v>
      </c>
      <c r="AB3505">
        <v>26</v>
      </c>
      <c r="AC3505">
        <v>-1.4076</v>
      </c>
      <c r="AD3505">
        <v>-1.1090073570726</v>
      </c>
      <c r="AE3505">
        <v>-18.69379</v>
      </c>
      <c r="AF3505">
        <v>-2.97689493406043</v>
      </c>
      <c r="AG3505">
        <v>-1.1090073570726</v>
      </c>
      <c r="AH3505">
        <v>18.442621199462401</v>
      </c>
      <c r="AI3505">
        <v>93.397346298118805</v>
      </c>
      <c r="AJ3505">
        <v>99.169246397984793</v>
      </c>
      <c r="AK3505">
        <v>18.714221262808</v>
      </c>
      <c r="AL3505">
        <v>91.388297435719394</v>
      </c>
      <c r="AM3505">
        <v>103.197666683674</v>
      </c>
      <c r="AN3505">
        <v>0.99999998608941898</v>
      </c>
    </row>
    <row r="3506" spans="1:40" x14ac:dyDescent="0.25">
      <c r="A3506" t="str">
        <f>"20190305135658782"</f>
        <v>20190305135658782</v>
      </c>
      <c r="B3506" t="str">
        <f>"1551765418775615"</f>
        <v>1551765418775615</v>
      </c>
      <c r="C3506" t="s">
        <v>40</v>
      </c>
      <c r="D3506">
        <v>4.2574009999999998</v>
      </c>
      <c r="E3506">
        <v>0.5799204</v>
      </c>
      <c r="F3506" t="s">
        <v>42</v>
      </c>
      <c r="G3506">
        <v>-423.0471</v>
      </c>
      <c r="H3506" s="1">
        <v>-1.552379E-6</v>
      </c>
      <c r="I3506">
        <v>101.1605</v>
      </c>
      <c r="J3506">
        <v>-419.66820000000001</v>
      </c>
      <c r="K3506">
        <v>1.109199</v>
      </c>
      <c r="L3506">
        <v>118.20569999999999</v>
      </c>
      <c r="M3506">
        <v>-0.23312840000000001</v>
      </c>
      <c r="N3506">
        <v>-1.326366E-2</v>
      </c>
      <c r="O3506">
        <v>-0.97235550000000004</v>
      </c>
      <c r="P3506">
        <v>-4.0465290000000001E-3</v>
      </c>
      <c r="Q3506">
        <v>-3.7936480000000002E-2</v>
      </c>
      <c r="R3506">
        <v>-0.9992723</v>
      </c>
      <c r="S3506">
        <v>-0.59512330000000002</v>
      </c>
      <c r="T3506">
        <v>-0.19168950000000001</v>
      </c>
      <c r="U3506">
        <v>-2.9921259999999998</v>
      </c>
      <c r="V3506">
        <v>-0.2290517</v>
      </c>
      <c r="W3506">
        <v>-2.4963260000000001E-2</v>
      </c>
      <c r="X3506">
        <v>0.97309409999999996</v>
      </c>
      <c r="Y3506">
        <v>-3.9179459999999999E-2</v>
      </c>
      <c r="Z3506">
        <v>4.7759049999999997E-2</v>
      </c>
      <c r="AA3506">
        <v>0.99809020000000004</v>
      </c>
      <c r="AB3506">
        <v>26</v>
      </c>
      <c r="AC3506">
        <v>-3.3788999999999798</v>
      </c>
      <c r="AD3506">
        <v>-1.1092005523790001</v>
      </c>
      <c r="AE3506">
        <v>-17.045199999999902</v>
      </c>
      <c r="AF3506">
        <v>-0.68549568507651903</v>
      </c>
      <c r="AG3506">
        <v>-1.1092005523790001</v>
      </c>
      <c r="AH3506">
        <v>17.292779125106399</v>
      </c>
      <c r="AI3506">
        <v>93.667189521383705</v>
      </c>
      <c r="AJ3506">
        <v>92.270049034465501</v>
      </c>
      <c r="AK3506">
        <v>17.341869566726999</v>
      </c>
      <c r="AL3506">
        <v>91.430438052718102</v>
      </c>
      <c r="AM3506">
        <v>103.24545077392</v>
      </c>
      <c r="AN3506">
        <v>0.99999998653876299</v>
      </c>
    </row>
    <row r="3507" spans="1:40" x14ac:dyDescent="0.25">
      <c r="A3507" t="str">
        <f>"20190305135658804"</f>
        <v>20190305135658804</v>
      </c>
      <c r="B3507" t="str">
        <f>"1551765418796153"</f>
        <v>1551765418796153</v>
      </c>
      <c r="C3507" t="s">
        <v>40</v>
      </c>
      <c r="D3507">
        <v>4.2749230000000003</v>
      </c>
      <c r="E3507">
        <v>0.58128829999999998</v>
      </c>
      <c r="F3507" t="s">
        <v>42</v>
      </c>
      <c r="G3507">
        <v>-424.02679999999998</v>
      </c>
      <c r="H3507" s="1">
        <v>-4.5556239999999999E-6</v>
      </c>
      <c r="I3507">
        <v>98.274720000000002</v>
      </c>
      <c r="J3507">
        <v>-419.72820000000002</v>
      </c>
      <c r="K3507">
        <v>1.1093770000000001</v>
      </c>
      <c r="L3507">
        <v>117.9554</v>
      </c>
      <c r="M3507">
        <v>-0.23293910000000001</v>
      </c>
      <c r="N3507">
        <v>-1.309565E-2</v>
      </c>
      <c r="O3507">
        <v>-0.97240340000000003</v>
      </c>
      <c r="P3507">
        <v>-3.7413949999999998E-3</v>
      </c>
      <c r="Q3507">
        <v>-3.8232009999999997E-2</v>
      </c>
      <c r="R3507">
        <v>-0.99926219999999999</v>
      </c>
      <c r="S3507">
        <v>-0.65457149999999997</v>
      </c>
      <c r="T3507">
        <v>-0.166579</v>
      </c>
      <c r="U3507">
        <v>-2.9932099999999999</v>
      </c>
      <c r="V3507">
        <v>-0.22914300000000001</v>
      </c>
      <c r="W3507">
        <v>-2.5543960000000001E-2</v>
      </c>
      <c r="X3507">
        <v>0.97305759999999997</v>
      </c>
      <c r="Y3507">
        <v>-1.9988209999999999E-2</v>
      </c>
      <c r="Z3507">
        <v>3.9917149999999998E-2</v>
      </c>
      <c r="AA3507">
        <v>0.99900310000000003</v>
      </c>
      <c r="AB3507">
        <v>26</v>
      </c>
      <c r="AC3507">
        <v>-4.2985999999999596</v>
      </c>
      <c r="AD3507">
        <v>-1.1093815556240001</v>
      </c>
      <c r="AE3507">
        <v>-19.680679999999899</v>
      </c>
      <c r="AF3507">
        <v>-0.403238278281006</v>
      </c>
      <c r="AG3507">
        <v>-1.1093815556240001</v>
      </c>
      <c r="AH3507">
        <v>20.079696804054301</v>
      </c>
      <c r="AI3507">
        <v>93.161678772172195</v>
      </c>
      <c r="AJ3507">
        <v>91.150452950987997</v>
      </c>
      <c r="AK3507">
        <v>20.114361841425101</v>
      </c>
      <c r="AL3507">
        <v>91.463720233458403</v>
      </c>
      <c r="AM3507">
        <v>103.251023700281</v>
      </c>
      <c r="AN3507">
        <v>1.0000000506296101</v>
      </c>
    </row>
    <row r="3508" spans="1:40" x14ac:dyDescent="0.25">
      <c r="A3508" t="str">
        <f>"20190305135658826"</f>
        <v>20190305135658826</v>
      </c>
      <c r="B3508" t="str">
        <f>"1551765418815673"</f>
        <v>1551765418815673</v>
      </c>
      <c r="C3508" t="s">
        <v>40</v>
      </c>
      <c r="D3508">
        <v>4.369237</v>
      </c>
      <c r="E3508">
        <v>0.58259229999999995</v>
      </c>
      <c r="F3508" t="s">
        <v>42</v>
      </c>
      <c r="G3508">
        <v>-424.31</v>
      </c>
      <c r="H3508" s="1">
        <v>-4.2799999999999997E-6</v>
      </c>
      <c r="I3508">
        <v>97.3172</v>
      </c>
      <c r="J3508">
        <v>-419.78789999999998</v>
      </c>
      <c r="K3508">
        <v>1.109553</v>
      </c>
      <c r="L3508">
        <v>117.70489999999999</v>
      </c>
      <c r="M3508">
        <v>-0.23245199999999999</v>
      </c>
      <c r="N3508">
        <v>-1.290374E-2</v>
      </c>
      <c r="O3508">
        <v>-0.97252229999999995</v>
      </c>
      <c r="P3508">
        <v>-2.9273390000000002E-3</v>
      </c>
      <c r="Q3508">
        <v>-3.8819329999999999E-2</v>
      </c>
      <c r="R3508">
        <v>-0.99924199999999996</v>
      </c>
      <c r="S3508">
        <v>-0.66458130000000004</v>
      </c>
      <c r="T3508">
        <v>-0.16091549999999999</v>
      </c>
      <c r="U3508">
        <v>-2.9935610000000001</v>
      </c>
      <c r="V3508">
        <v>-0.2294281</v>
      </c>
      <c r="W3508">
        <v>-2.6441510000000001E-2</v>
      </c>
      <c r="X3508">
        <v>0.97296640000000001</v>
      </c>
      <c r="Y3508">
        <v>-1.6313299999999999E-2</v>
      </c>
      <c r="Z3508">
        <v>3.8308700000000001E-2</v>
      </c>
      <c r="AA3508">
        <v>0.99913280000000004</v>
      </c>
      <c r="AB3508">
        <v>26</v>
      </c>
      <c r="AC3508">
        <v>-4.5221000000000204</v>
      </c>
      <c r="AD3508">
        <v>-1.10955728</v>
      </c>
      <c r="AE3508">
        <v>-20.387699999999899</v>
      </c>
      <c r="AF3508">
        <v>-0.34038605789250398</v>
      </c>
      <c r="AG3508">
        <v>-1.10955728</v>
      </c>
      <c r="AH3508">
        <v>20.821623121630299</v>
      </c>
      <c r="AI3508">
        <v>93.049925856716598</v>
      </c>
      <c r="AJ3508">
        <v>90.936571915465194</v>
      </c>
      <c r="AK3508">
        <v>20.8539437384207</v>
      </c>
      <c r="AL3508">
        <v>91.515163500531997</v>
      </c>
      <c r="AM3508">
        <v>103.268127538703</v>
      </c>
      <c r="AN3508">
        <v>1.0000000110248199</v>
      </c>
    </row>
    <row r="3509" spans="1:40" x14ac:dyDescent="0.25">
      <c r="A3509" t="str">
        <f>"20190305135658851"</f>
        <v>20190305135658851</v>
      </c>
      <c r="B3509" t="str">
        <f>"1551765418845929"</f>
        <v>1551765418845929</v>
      </c>
      <c r="C3509" t="s">
        <v>40</v>
      </c>
      <c r="D3509">
        <v>4.2763410000000004</v>
      </c>
      <c r="E3509">
        <v>0.58362899999999995</v>
      </c>
      <c r="F3509" t="s">
        <v>42</v>
      </c>
      <c r="G3509">
        <v>-425.18560000000002</v>
      </c>
      <c r="H3509" s="1">
        <v>-3.092983E-6</v>
      </c>
      <c r="I3509">
        <v>93.582679999999996</v>
      </c>
      <c r="J3509">
        <v>-419.8519</v>
      </c>
      <c r="K3509">
        <v>1.1097459999999999</v>
      </c>
      <c r="L3509">
        <v>117.4342</v>
      </c>
      <c r="M3509">
        <v>-0.23160749999999999</v>
      </c>
      <c r="N3509">
        <v>-1.266348E-2</v>
      </c>
      <c r="O3509">
        <v>-0.97272689999999995</v>
      </c>
      <c r="P3509">
        <v>-1.2518290000000001E-3</v>
      </c>
      <c r="Q3509">
        <v>-3.8722390000000002E-2</v>
      </c>
      <c r="R3509">
        <v>-0.99924939999999995</v>
      </c>
      <c r="S3509">
        <v>-0.67016600000000004</v>
      </c>
      <c r="T3509">
        <v>-0.137760299999999</v>
      </c>
      <c r="U3509">
        <v>-2.9949650000000001</v>
      </c>
      <c r="V3509">
        <v>-0.23019919999999999</v>
      </c>
      <c r="W3509">
        <v>-2.6712989999999999E-2</v>
      </c>
      <c r="X3509">
        <v>0.9727768</v>
      </c>
      <c r="Y3509">
        <v>-1.3715E-2</v>
      </c>
      <c r="Z3509">
        <v>3.1221840000000001E-2</v>
      </c>
      <c r="AA3509">
        <v>0.99941840000000004</v>
      </c>
      <c r="AB3509">
        <v>26</v>
      </c>
      <c r="AC3509">
        <v>-5.3337000000000199</v>
      </c>
      <c r="AD3509">
        <v>-1.1097490929829901</v>
      </c>
      <c r="AE3509">
        <v>-23.851519999999901</v>
      </c>
      <c r="AF3509">
        <v>-0.33529311553264401</v>
      </c>
      <c r="AG3509">
        <v>-1.1097490929829901</v>
      </c>
      <c r="AH3509">
        <v>24.388018590310299</v>
      </c>
      <c r="AI3509">
        <v>92.605136288084495</v>
      </c>
      <c r="AJ3509">
        <v>90.787668342325503</v>
      </c>
      <c r="AK3509">
        <v>24.415556829284501</v>
      </c>
      <c r="AL3509">
        <v>91.5307237039911</v>
      </c>
      <c r="AM3509">
        <v>103.31363844322399</v>
      </c>
      <c r="AN3509">
        <v>0.99999997906680904</v>
      </c>
    </row>
    <row r="3510" spans="1:40" x14ac:dyDescent="0.25">
      <c r="A3510" t="str">
        <f>"20190305135658873"</f>
        <v>20190305135658873</v>
      </c>
      <c r="B3510" t="str">
        <f>"1551765418866426"</f>
        <v>1551765418866426</v>
      </c>
      <c r="C3510" t="s">
        <v>40</v>
      </c>
      <c r="D3510">
        <v>4.2338879999999897</v>
      </c>
      <c r="E3510">
        <v>0.58378680000000005</v>
      </c>
      <c r="F3510" t="s">
        <v>42</v>
      </c>
      <c r="G3510">
        <v>-425.02510000000001</v>
      </c>
      <c r="H3510" s="1">
        <v>-3.415717E-6</v>
      </c>
      <c r="I3510">
        <v>94.434510000000003</v>
      </c>
      <c r="J3510">
        <v>-419.91059999999999</v>
      </c>
      <c r="K3510">
        <v>1.109909</v>
      </c>
      <c r="L3510">
        <v>117.1835</v>
      </c>
      <c r="M3510">
        <v>-0.2305402</v>
      </c>
      <c r="N3510">
        <v>-1.241487E-2</v>
      </c>
      <c r="O3510">
        <v>-0.97298379999999995</v>
      </c>
      <c r="P3510">
        <v>1.9216E-4</v>
      </c>
      <c r="Q3510">
        <v>-3.9087669999999998E-2</v>
      </c>
      <c r="R3510">
        <v>-0.99923620000000002</v>
      </c>
      <c r="S3510">
        <v>-0.67382810000000004</v>
      </c>
      <c r="T3510">
        <v>-0.14454929999999999</v>
      </c>
      <c r="U3510">
        <v>-2.9958040000000001</v>
      </c>
      <c r="V3510">
        <v>-0.230519</v>
      </c>
      <c r="W3510">
        <v>-2.7436269999999999E-2</v>
      </c>
      <c r="X3510">
        <v>0.97268100000000002</v>
      </c>
      <c r="Y3510">
        <v>-1.153182E-2</v>
      </c>
      <c r="Z3510">
        <v>3.3606919999999998E-2</v>
      </c>
      <c r="AA3510">
        <v>0.99936860000000005</v>
      </c>
      <c r="AB3510">
        <v>26</v>
      </c>
      <c r="AC3510">
        <v>-5.11450000000002</v>
      </c>
      <c r="AD3510">
        <v>-1.1099124157169999</v>
      </c>
      <c r="AE3510">
        <v>-22.7489899999999</v>
      </c>
      <c r="AF3510">
        <v>-0.267645226792185</v>
      </c>
      <c r="AG3510">
        <v>-1.1099124157169999</v>
      </c>
      <c r="AH3510">
        <v>23.262578533159999</v>
      </c>
      <c r="AI3510">
        <v>92.731464512049698</v>
      </c>
      <c r="AJ3510">
        <v>90.659181667403899</v>
      </c>
      <c r="AK3510">
        <v>23.290579631031601</v>
      </c>
      <c r="AL3510">
        <v>91.5721796937856</v>
      </c>
      <c r="AM3510">
        <v>103.332740371067</v>
      </c>
      <c r="AN3510">
        <v>1.0000000430167499</v>
      </c>
    </row>
    <row r="3511" spans="1:40" x14ac:dyDescent="0.25">
      <c r="A3511" t="str">
        <f>"20190305135658894"</f>
        <v>20190305135658894</v>
      </c>
      <c r="B3511" t="str">
        <f>"1551765418885945"</f>
        <v>1551765418885945</v>
      </c>
      <c r="C3511" t="s">
        <v>40</v>
      </c>
      <c r="D3511">
        <v>4.2906969999999998</v>
      </c>
      <c r="E3511">
        <v>0.58429679999999995</v>
      </c>
      <c r="F3511" t="s">
        <v>42</v>
      </c>
      <c r="G3511">
        <v>-424.81630000000001</v>
      </c>
      <c r="H3511" s="1">
        <v>-3.6821950000000002E-6</v>
      </c>
      <c r="I3511">
        <v>95.296589999999995</v>
      </c>
      <c r="J3511">
        <v>-419.96800000000002</v>
      </c>
      <c r="K3511">
        <v>1.110047</v>
      </c>
      <c r="L3511">
        <v>116.9355</v>
      </c>
      <c r="M3511">
        <v>-0.2292921</v>
      </c>
      <c r="N3511">
        <v>-1.217274E-2</v>
      </c>
      <c r="O3511">
        <v>-0.97328170000000003</v>
      </c>
      <c r="P3511">
        <v>4.5210580000000001E-4</v>
      </c>
      <c r="Q3511">
        <v>-3.8526619999999998E-2</v>
      </c>
      <c r="R3511">
        <v>-0.99925790000000003</v>
      </c>
      <c r="S3511">
        <v>-0.67163090000000003</v>
      </c>
      <c r="T3511">
        <v>-0.15195600000000001</v>
      </c>
      <c r="U3511">
        <v>-2.9964900000000001</v>
      </c>
      <c r="V3511">
        <v>-0.2295189</v>
      </c>
      <c r="W3511">
        <v>-2.7198130000000001E-2</v>
      </c>
      <c r="X3511">
        <v>0.97292409999999996</v>
      </c>
      <c r="Y3511">
        <v>-1.101569E-2</v>
      </c>
      <c r="Z3511">
        <v>3.6191960000000002E-2</v>
      </c>
      <c r="AA3511">
        <v>0.99928410000000001</v>
      </c>
      <c r="AB3511">
        <v>26</v>
      </c>
      <c r="AC3511">
        <v>-4.8482999999999903</v>
      </c>
      <c r="AD3511">
        <v>-1.110050682195</v>
      </c>
      <c r="AE3511">
        <v>-21.638909999999999</v>
      </c>
      <c r="AF3511">
        <v>-0.242280306766811</v>
      </c>
      <c r="AG3511">
        <v>-1.110050682195</v>
      </c>
      <c r="AH3511">
        <v>22.1186470246152</v>
      </c>
      <c r="AI3511">
        <v>92.872874526439205</v>
      </c>
      <c r="AJ3511">
        <v>90.627573823808504</v>
      </c>
      <c r="AK3511">
        <v>22.147809337801501</v>
      </c>
      <c r="AL3511">
        <v>91.558530275553196</v>
      </c>
      <c r="AM3511">
        <v>103.27374944361701</v>
      </c>
      <c r="AN3511">
        <v>0.99999998404675805</v>
      </c>
    </row>
    <row r="3512" spans="1:40" x14ac:dyDescent="0.25">
      <c r="A3512" t="str">
        <f>"20190305135658918"</f>
        <v>20190305135658918</v>
      </c>
      <c r="B3512" t="str">
        <f>"1551765418906442"</f>
        <v>1551765418906442</v>
      </c>
      <c r="C3512" t="s">
        <v>40</v>
      </c>
      <c r="D3512">
        <v>4.329275</v>
      </c>
      <c r="E3512">
        <v>0.58449669999999998</v>
      </c>
      <c r="F3512" t="s">
        <v>42</v>
      </c>
      <c r="G3512">
        <v>-424.80880000000002</v>
      </c>
      <c r="H3512" s="1">
        <v>-3.738067E-6</v>
      </c>
      <c r="I3512">
        <v>95.464690000000004</v>
      </c>
      <c r="J3512">
        <v>-420.02769999999998</v>
      </c>
      <c r="K3512">
        <v>1.110134</v>
      </c>
      <c r="L3512">
        <v>116.6754</v>
      </c>
      <c r="M3512">
        <v>-0.22778680000000001</v>
      </c>
      <c r="N3512">
        <v>-1.1898010000000001E-2</v>
      </c>
      <c r="O3512">
        <v>-0.97363849999999996</v>
      </c>
      <c r="P3512">
        <v>4.2535689999999998E-4</v>
      </c>
      <c r="Q3512">
        <v>-3.5588259999999997E-2</v>
      </c>
      <c r="R3512">
        <v>-0.99936670000000005</v>
      </c>
      <c r="S3512">
        <v>-0.67559809999999998</v>
      </c>
      <c r="T3512">
        <v>-0.15492359999999999</v>
      </c>
      <c r="U3512">
        <v>-2.9965670000000002</v>
      </c>
      <c r="V3512">
        <v>-0.2280105</v>
      </c>
      <c r="W3512">
        <v>-2.4594299999999999E-2</v>
      </c>
      <c r="X3512">
        <v>0.97334799999999999</v>
      </c>
      <c r="Y3512">
        <v>-8.2259220000000001E-3</v>
      </c>
      <c r="Z3512">
        <v>3.7414889999999999E-2</v>
      </c>
      <c r="AA3512">
        <v>0.99926599999999999</v>
      </c>
      <c r="AB3512">
        <v>26</v>
      </c>
      <c r="AC3512">
        <v>-4.7811000000000297</v>
      </c>
      <c r="AD3512">
        <v>-1.1101377380669999</v>
      </c>
      <c r="AE3512">
        <v>-21.210709999999899</v>
      </c>
      <c r="AF3512">
        <v>-0.17601035137743101</v>
      </c>
      <c r="AG3512">
        <v>-1.1101377380669999</v>
      </c>
      <c r="AH3512">
        <v>21.685639244609799</v>
      </c>
      <c r="AI3512">
        <v>92.930448155902695</v>
      </c>
      <c r="AJ3512">
        <v>90.465027972274697</v>
      </c>
      <c r="AK3512">
        <v>21.714749247657299</v>
      </c>
      <c r="AL3512">
        <v>91.4092916919831</v>
      </c>
      <c r="AM3512">
        <v>103.184029683578</v>
      </c>
      <c r="AN3512">
        <v>0.99999999840336995</v>
      </c>
    </row>
    <row r="3513" spans="1:40" x14ac:dyDescent="0.25">
      <c r="A3513" t="str">
        <f>"20190305135658939"</f>
        <v>20190305135658939</v>
      </c>
      <c r="B3513" t="str">
        <f>"1551765418935722"</f>
        <v>1551765418935722</v>
      </c>
      <c r="C3513" t="s">
        <v>40</v>
      </c>
      <c r="D3513">
        <v>4.2693899999999996</v>
      </c>
      <c r="E3513">
        <v>0.58452169999999903</v>
      </c>
      <c r="F3513" t="s">
        <v>42</v>
      </c>
      <c r="G3513">
        <v>-424.85270000000003</v>
      </c>
      <c r="H3513" s="1">
        <v>-3.696712E-6</v>
      </c>
      <c r="I3513">
        <v>95.320269999999994</v>
      </c>
      <c r="J3513">
        <v>-420.0831</v>
      </c>
      <c r="K3513">
        <v>1.1101939999999999</v>
      </c>
      <c r="L3513">
        <v>116.4318</v>
      </c>
      <c r="M3513">
        <v>-0.2262112</v>
      </c>
      <c r="N3513">
        <v>-1.161539E-2</v>
      </c>
      <c r="O3513">
        <v>-0.97400909999999996</v>
      </c>
      <c r="P3513" s="1">
        <v>-1.9190830000000001E-5</v>
      </c>
      <c r="Q3513">
        <v>-3.4230030000000002E-2</v>
      </c>
      <c r="R3513">
        <v>-0.99941409999999997</v>
      </c>
      <c r="S3513">
        <v>-0.67706299999999997</v>
      </c>
      <c r="T3513">
        <v>-0.15577949999999999</v>
      </c>
      <c r="U3513">
        <v>-2.9966430000000002</v>
      </c>
      <c r="V3513">
        <v>-0.22600970000000001</v>
      </c>
      <c r="W3513">
        <v>-2.3559070000000001E-2</v>
      </c>
      <c r="X3513">
        <v>0.97384009999999999</v>
      </c>
      <c r="Y3513">
        <v>-6.1536029999999997E-3</v>
      </c>
      <c r="Z3513">
        <v>3.7983330000000003E-2</v>
      </c>
      <c r="AA3513">
        <v>0.99925940000000002</v>
      </c>
      <c r="AB3513">
        <v>26</v>
      </c>
      <c r="AC3513">
        <v>-4.76960000000002</v>
      </c>
      <c r="AD3513">
        <v>-1.110197696712</v>
      </c>
      <c r="AE3513">
        <v>-21.111529999999998</v>
      </c>
      <c r="AF3513">
        <v>-0.12969824237612701</v>
      </c>
      <c r="AG3513">
        <v>-1.110197696712</v>
      </c>
      <c r="AH3513">
        <v>21.586421159717901</v>
      </c>
      <c r="AI3513">
        <v>92.944096265725506</v>
      </c>
      <c r="AJ3513">
        <v>90.344247544499694</v>
      </c>
      <c r="AK3513">
        <v>21.6153403638383</v>
      </c>
      <c r="AL3513">
        <v>91.349960208535407</v>
      </c>
      <c r="AM3513">
        <v>103.065950222864</v>
      </c>
      <c r="AN3513">
        <v>0.99999997732068202</v>
      </c>
    </row>
    <row r="3514" spans="1:40" x14ac:dyDescent="0.25">
      <c r="A3514" t="str">
        <f>"20190305135658962"</f>
        <v>20190305135658962</v>
      </c>
      <c r="B3514" t="str">
        <f>"1551765418956217"</f>
        <v>1551765418956217</v>
      </c>
      <c r="C3514" t="s">
        <v>40</v>
      </c>
      <c r="D3514">
        <v>4.3146959999999996</v>
      </c>
      <c r="E3514">
        <v>0.58461819999999998</v>
      </c>
      <c r="F3514" t="s">
        <v>42</v>
      </c>
      <c r="G3514">
        <v>-424.79390000000001</v>
      </c>
      <c r="H3514" s="1">
        <v>-3.7952550000000001E-6</v>
      </c>
      <c r="I3514">
        <v>95.640469999999993</v>
      </c>
      <c r="J3514">
        <v>-420.14010000000002</v>
      </c>
      <c r="K3514">
        <v>1.1102529999999999</v>
      </c>
      <c r="L3514">
        <v>116.17789999999999</v>
      </c>
      <c r="M3514">
        <v>-0.22441800000000001</v>
      </c>
      <c r="N3514">
        <v>-1.1314039999999999E-2</v>
      </c>
      <c r="O3514">
        <v>-0.9744275</v>
      </c>
      <c r="P3514">
        <v>1.4466149999999901E-4</v>
      </c>
      <c r="Q3514">
        <v>-3.4649430000000002E-2</v>
      </c>
      <c r="R3514">
        <v>-0.99939979999999995</v>
      </c>
      <c r="S3514">
        <v>-0.678894</v>
      </c>
      <c r="T3514">
        <v>-0.15999289999999999</v>
      </c>
      <c r="U3514">
        <v>-2.9962770000000001</v>
      </c>
      <c r="V3514">
        <v>-0.2243647</v>
      </c>
      <c r="W3514">
        <v>-2.4319810000000001E-2</v>
      </c>
      <c r="X3514">
        <v>0.97420169999999995</v>
      </c>
      <c r="Y3514">
        <v>-3.720349E-3</v>
      </c>
      <c r="Z3514">
        <v>3.9641129999999997E-2</v>
      </c>
      <c r="AA3514">
        <v>0.99920710000000001</v>
      </c>
      <c r="AB3514">
        <v>26</v>
      </c>
      <c r="AC3514">
        <v>-4.6537999999999897</v>
      </c>
      <c r="AD3514">
        <v>-1.110256795255</v>
      </c>
      <c r="AE3514">
        <v>-20.537430000000001</v>
      </c>
      <c r="AF3514">
        <v>-7.39773598467863E-2</v>
      </c>
      <c r="AG3514">
        <v>-1.110256795255</v>
      </c>
      <c r="AH3514">
        <v>20.9996027135617</v>
      </c>
      <c r="AI3514">
        <v>93.026412594989097</v>
      </c>
      <c r="AJ3514">
        <v>90.201840626363193</v>
      </c>
      <c r="AK3514">
        <v>21.029062198029798</v>
      </c>
      <c r="AL3514">
        <v>91.393559918417395</v>
      </c>
      <c r="AM3514">
        <v>102.969426390173</v>
      </c>
      <c r="AN3514">
        <v>0.999999962023707</v>
      </c>
    </row>
    <row r="3515" spans="1:40" x14ac:dyDescent="0.25">
      <c r="A3515" t="str">
        <f>"20190305135658983"</f>
        <v>20190305135658983</v>
      </c>
      <c r="B3515" t="str">
        <f>"1551765418975737"</f>
        <v>1551765418975737</v>
      </c>
      <c r="C3515" t="s">
        <v>40</v>
      </c>
      <c r="D3515">
        <v>4.3214589999999999</v>
      </c>
      <c r="E3515">
        <v>0.58447740000000004</v>
      </c>
      <c r="F3515" t="s">
        <v>42</v>
      </c>
      <c r="G3515">
        <v>-424.61450000000002</v>
      </c>
      <c r="H3515" s="1">
        <v>-4.0458040000000004E-6</v>
      </c>
      <c r="I3515">
        <v>96.470280000000002</v>
      </c>
      <c r="J3515">
        <v>-420.19630000000001</v>
      </c>
      <c r="K3515">
        <v>1.1103080000000001</v>
      </c>
      <c r="L3515">
        <v>115.92529999999999</v>
      </c>
      <c r="M3515">
        <v>-0.22250110000000001</v>
      </c>
      <c r="N3515">
        <v>-1.1012600000000001E-2</v>
      </c>
      <c r="O3515">
        <v>-0.97487040000000003</v>
      </c>
      <c r="P3515">
        <v>9.4857290000000005E-4</v>
      </c>
      <c r="Q3515">
        <v>-3.486707E-2</v>
      </c>
      <c r="R3515">
        <v>-0.9993919</v>
      </c>
      <c r="S3515">
        <v>-0.68020630000000004</v>
      </c>
      <c r="T3515">
        <v>-0.168786299999999</v>
      </c>
      <c r="U3515">
        <v>-2.996048</v>
      </c>
      <c r="V3515">
        <v>-0.22322239999999999</v>
      </c>
      <c r="W3515">
        <v>-2.4879869999999998E-2</v>
      </c>
      <c r="X3515">
        <v>0.97445000000000004</v>
      </c>
      <c r="Y3515">
        <v>-1.3500579999999999E-3</v>
      </c>
      <c r="Z3515">
        <v>4.2748290000000001E-2</v>
      </c>
      <c r="AA3515">
        <v>0.99908490000000005</v>
      </c>
      <c r="AB3515">
        <v>26</v>
      </c>
      <c r="AC3515">
        <v>-4.4182000000000103</v>
      </c>
      <c r="AD3515">
        <v>-1.1103120458039999</v>
      </c>
      <c r="AE3515">
        <v>-19.455019999999902</v>
      </c>
      <c r="AF3515">
        <v>-2.1525583448664901E-2</v>
      </c>
      <c r="AG3515">
        <v>-1.1103120458039999</v>
      </c>
      <c r="AH3515">
        <v>19.8887820988379</v>
      </c>
      <c r="AI3515">
        <v>93.195278242104095</v>
      </c>
      <c r="AJ3515">
        <v>90.062011067116998</v>
      </c>
      <c r="AK3515">
        <v>19.919761784842098</v>
      </c>
      <c r="AL3515">
        <v>91.425658618116401</v>
      </c>
      <c r="AM3515">
        <v>102.902433397203</v>
      </c>
      <c r="AN3515">
        <v>1.00000002514648</v>
      </c>
    </row>
    <row r="3516" spans="1:40" x14ac:dyDescent="0.25">
      <c r="A3516" t="str">
        <f>"20190305135659005"</f>
        <v>20190305135659005</v>
      </c>
      <c r="B3516" t="str">
        <f>"1551765418996233"</f>
        <v>1551765418996233</v>
      </c>
      <c r="C3516" t="s">
        <v>40</v>
      </c>
      <c r="D3516">
        <v>4.2579699999999896</v>
      </c>
      <c r="E3516">
        <v>0.58439869999999905</v>
      </c>
      <c r="F3516" t="s">
        <v>42</v>
      </c>
      <c r="G3516">
        <v>-424.52080000000001</v>
      </c>
      <c r="H3516" s="1">
        <v>-4.1325569999999999E-6</v>
      </c>
      <c r="I3516">
        <v>96.774060000000006</v>
      </c>
      <c r="J3516">
        <v>-420.25099999999998</v>
      </c>
      <c r="K3516">
        <v>1.110363</v>
      </c>
      <c r="L3516">
        <v>115.67619999999999</v>
      </c>
      <c r="M3516">
        <v>-0.22050030000000001</v>
      </c>
      <c r="N3516">
        <v>-1.071389E-2</v>
      </c>
      <c r="O3516">
        <v>-0.97532799999999997</v>
      </c>
      <c r="P3516">
        <v>2.8840559999999999E-3</v>
      </c>
      <c r="Q3516">
        <v>-3.6123229999999999E-2</v>
      </c>
      <c r="R3516">
        <v>-0.99934310000000004</v>
      </c>
      <c r="S3516">
        <v>-0.67660520000000002</v>
      </c>
      <c r="T3516">
        <v>-0.1737194</v>
      </c>
      <c r="U3516">
        <v>-2.9963989999999998</v>
      </c>
      <c r="V3516">
        <v>-0.22308829999999999</v>
      </c>
      <c r="W3516">
        <v>-2.64789E-2</v>
      </c>
      <c r="X3516">
        <v>0.97443849999999999</v>
      </c>
      <c r="Y3516">
        <v>-4.8368279999999998E-4</v>
      </c>
      <c r="Z3516">
        <v>4.4633590000000001E-2</v>
      </c>
      <c r="AA3516">
        <v>0.99900330000000004</v>
      </c>
      <c r="AB3516">
        <v>26</v>
      </c>
      <c r="AC3516">
        <v>-4.2698000000000302</v>
      </c>
      <c r="AD3516">
        <v>-1.1103671325569999</v>
      </c>
      <c r="AE3516">
        <v>-18.902139999999999</v>
      </c>
      <c r="AF3516">
        <v>-3.46088296517432E-3</v>
      </c>
      <c r="AG3516">
        <v>-1.1103671325569999</v>
      </c>
      <c r="AH3516">
        <v>19.314977015057501</v>
      </c>
      <c r="AI3516">
        <v>93.290162083107006</v>
      </c>
      <c r="AJ3516">
        <v>90.010266332960995</v>
      </c>
      <c r="AK3516">
        <v>19.346867039367801</v>
      </c>
      <c r="AL3516">
        <v>91.517306623542893</v>
      </c>
      <c r="AM3516">
        <v>102.895088576427</v>
      </c>
      <c r="AN3516">
        <v>0.99999995601217395</v>
      </c>
    </row>
    <row r="3517" spans="1:40" x14ac:dyDescent="0.25">
      <c r="A3517" t="str">
        <f>"20190305135659029"</f>
        <v>20190305135659029</v>
      </c>
      <c r="B3517" t="str">
        <f>"1551765419026489"</f>
        <v>1551765419026489</v>
      </c>
      <c r="C3517" t="s">
        <v>40</v>
      </c>
      <c r="D3517">
        <v>4.221794</v>
      </c>
      <c r="E3517">
        <v>0.58430869999999901</v>
      </c>
      <c r="F3517" t="s">
        <v>42</v>
      </c>
      <c r="G3517">
        <v>-424.33969999999999</v>
      </c>
      <c r="H3517" s="1">
        <v>-4.3160769999999996E-6</v>
      </c>
      <c r="I3517">
        <v>97.407709999999994</v>
      </c>
      <c r="J3517">
        <v>-420.31</v>
      </c>
      <c r="K3517">
        <v>1.1104149999999999</v>
      </c>
      <c r="L3517">
        <v>115.40430000000001</v>
      </c>
      <c r="M3517">
        <v>-0.21820880000000001</v>
      </c>
      <c r="N3517">
        <v>-1.038265E-2</v>
      </c>
      <c r="O3517">
        <v>-0.97584709999999997</v>
      </c>
      <c r="P3517">
        <v>5.3909800000000001E-3</v>
      </c>
      <c r="Q3517">
        <v>-3.5745359999999997E-2</v>
      </c>
      <c r="R3517">
        <v>-0.99934690000000004</v>
      </c>
      <c r="S3517">
        <v>-0.67083740000000003</v>
      </c>
      <c r="T3517">
        <v>-0.18217800000000001</v>
      </c>
      <c r="U3517">
        <v>-2.9973139999999998</v>
      </c>
      <c r="V3517">
        <v>-0.2232403</v>
      </c>
      <c r="W3517">
        <v>-2.6475970000000001E-2</v>
      </c>
      <c r="X3517">
        <v>0.97440380000000004</v>
      </c>
      <c r="Y3517" s="1">
        <v>-6.0995280000000001E-5</v>
      </c>
      <c r="Z3517">
        <v>4.7665689999999997E-2</v>
      </c>
      <c r="AA3517">
        <v>0.99886330000000001</v>
      </c>
      <c r="AB3517">
        <v>26</v>
      </c>
      <c r="AC3517">
        <v>-4.0296999999999903</v>
      </c>
      <c r="AD3517">
        <v>-1.110419316077</v>
      </c>
      <c r="AE3517">
        <v>-17.996590000000001</v>
      </c>
      <c r="AF3517">
        <v>5.3376875758877002E-3</v>
      </c>
      <c r="AG3517">
        <v>-1.110419316077</v>
      </c>
      <c r="AH3517">
        <v>18.375608534342199</v>
      </c>
      <c r="AI3517">
        <v>93.4581202749429</v>
      </c>
      <c r="AJ3517">
        <v>89.983356906995198</v>
      </c>
      <c r="AK3517">
        <v>18.409129489354299</v>
      </c>
      <c r="AL3517">
        <v>91.517138641011996</v>
      </c>
      <c r="AM3517">
        <v>102.904024722168</v>
      </c>
      <c r="AN3517">
        <v>0.99999998699298498</v>
      </c>
    </row>
    <row r="3518" spans="1:40" x14ac:dyDescent="0.25">
      <c r="A3518" t="str">
        <f>"20190305135659052"</f>
        <v>20190305135659052</v>
      </c>
      <c r="B3518" t="str">
        <f>"1551765419046010"</f>
        <v>1551765419046010</v>
      </c>
      <c r="C3518" t="s">
        <v>40</v>
      </c>
      <c r="D3518">
        <v>4.2872079999999997</v>
      </c>
      <c r="E3518">
        <v>0.58430559999999998</v>
      </c>
      <c r="F3518" t="s">
        <v>42</v>
      </c>
      <c r="G3518">
        <v>-424.27690000000001</v>
      </c>
      <c r="H3518" s="1">
        <v>-4.32066899999999E-6</v>
      </c>
      <c r="I3518">
        <v>97.453909999999993</v>
      </c>
      <c r="J3518">
        <v>-420.36619999999999</v>
      </c>
      <c r="K3518">
        <v>1.1104449999999999</v>
      </c>
      <c r="L3518">
        <v>115.1412</v>
      </c>
      <c r="M3518">
        <v>-0.2158931</v>
      </c>
      <c r="N3518">
        <v>-1.0058589999999999E-2</v>
      </c>
      <c r="O3518">
        <v>-0.97636540000000005</v>
      </c>
      <c r="P3518">
        <v>8.2535730000000002E-3</v>
      </c>
      <c r="Q3518">
        <v>-3.4988030000000003E-2</v>
      </c>
      <c r="R3518">
        <v>-0.99935410000000002</v>
      </c>
      <c r="S3518">
        <v>-0.66275019999999996</v>
      </c>
      <c r="T3518">
        <v>-0.1855137</v>
      </c>
      <c r="U3518">
        <v>-2.998901</v>
      </c>
      <c r="V3518">
        <v>-0.22372159999999999</v>
      </c>
      <c r="W3518">
        <v>-2.6076930000000002E-2</v>
      </c>
      <c r="X3518">
        <v>0.97430419999999995</v>
      </c>
      <c r="Y3518">
        <v>-3.8193819999999997E-4</v>
      </c>
      <c r="Z3518">
        <v>4.9063849999999999E-2</v>
      </c>
      <c r="AA3518">
        <v>0.99879560000000001</v>
      </c>
      <c r="AB3518">
        <v>26</v>
      </c>
      <c r="AC3518">
        <v>-3.9107000000000198</v>
      </c>
      <c r="AD3518">
        <v>-1.110449320669</v>
      </c>
      <c r="AE3518">
        <v>-17.687290000000001</v>
      </c>
      <c r="AF3518">
        <v>-2.90621488328923E-4</v>
      </c>
      <c r="AG3518">
        <v>-1.110449320669</v>
      </c>
      <c r="AH3518">
        <v>18.046646193906799</v>
      </c>
      <c r="AI3518">
        <v>93.521094318227796</v>
      </c>
      <c r="AJ3518">
        <v>90.000922685829593</v>
      </c>
      <c r="AK3518">
        <v>18.080778097921701</v>
      </c>
      <c r="AL3518">
        <v>91.494267390220799</v>
      </c>
      <c r="AM3518">
        <v>102.932188732732</v>
      </c>
      <c r="AN3518">
        <v>1.00000001736121</v>
      </c>
    </row>
    <row r="3519" spans="1:40" x14ac:dyDescent="0.25">
      <c r="A3519" t="str">
        <f>"20190305135659074"</f>
        <v>20190305135659074</v>
      </c>
      <c r="B3519" t="str">
        <f>"1551765419066505"</f>
        <v>1551765419066505</v>
      </c>
      <c r="C3519" t="s">
        <v>40</v>
      </c>
      <c r="D3519">
        <v>4.2586050000000002</v>
      </c>
      <c r="E3519">
        <v>0.58441709999999902</v>
      </c>
      <c r="F3519" t="s">
        <v>42</v>
      </c>
      <c r="G3519">
        <v>-424.24549999999999</v>
      </c>
      <c r="H3519" s="1">
        <v>-4.2771190000000004E-6</v>
      </c>
      <c r="I3519">
        <v>97.342320000000001</v>
      </c>
      <c r="J3519">
        <v>-420.42169999999999</v>
      </c>
      <c r="K3519">
        <v>1.1104560000000001</v>
      </c>
      <c r="L3519">
        <v>114.87860000000001</v>
      </c>
      <c r="M3519">
        <v>-0.21351439999999999</v>
      </c>
      <c r="N3519">
        <v>-9.7254790000000004E-3</v>
      </c>
      <c r="O3519">
        <v>-0.97689179999999998</v>
      </c>
      <c r="P3519">
        <v>1.138814E-2</v>
      </c>
      <c r="Q3519">
        <v>-3.4217919999999999E-2</v>
      </c>
      <c r="R3519">
        <v>-0.99934970000000001</v>
      </c>
      <c r="S3519">
        <v>-0.6540222</v>
      </c>
      <c r="T3519">
        <v>-0.1872152</v>
      </c>
      <c r="U3519">
        <v>-3.0007779999999999</v>
      </c>
      <c r="V3519">
        <v>-0.22440779999999999</v>
      </c>
      <c r="W3519">
        <v>-2.56645E-2</v>
      </c>
      <c r="X3519">
        <v>0.9741573</v>
      </c>
      <c r="Y3519">
        <v>-8.5813779999999997E-4</v>
      </c>
      <c r="Z3519">
        <v>4.9950889999999998E-2</v>
      </c>
      <c r="AA3519">
        <v>0.99875130000000001</v>
      </c>
      <c r="AB3519">
        <v>26</v>
      </c>
      <c r="AC3519">
        <v>-3.8237999999999999</v>
      </c>
      <c r="AD3519">
        <v>-1.110460277119</v>
      </c>
      <c r="AE3519">
        <v>-17.536280000000001</v>
      </c>
      <c r="AF3519">
        <v>-8.7762572867426895E-3</v>
      </c>
      <c r="AG3519">
        <v>-1.110460277119</v>
      </c>
      <c r="AH3519">
        <v>17.879886196206002</v>
      </c>
      <c r="AI3519">
        <v>93.553885212656695</v>
      </c>
      <c r="AJ3519">
        <v>90.028123359206504</v>
      </c>
      <c r="AK3519">
        <v>17.914338654804698</v>
      </c>
      <c r="AL3519">
        <v>91.470629026106394</v>
      </c>
      <c r="AM3519">
        <v>102.97240476120101</v>
      </c>
      <c r="AN3519">
        <v>0.99999998620218999</v>
      </c>
    </row>
    <row r="3520" spans="1:40" x14ac:dyDescent="0.25">
      <c r="A3520" t="str">
        <f>"20190305135659094"</f>
        <v>20190305135659094</v>
      </c>
      <c r="B3520" t="str">
        <f>"1551765419086025"</f>
        <v>1551765419086025</v>
      </c>
      <c r="C3520" t="s">
        <v>40</v>
      </c>
      <c r="D3520">
        <v>4.1806650000000003</v>
      </c>
      <c r="E3520">
        <v>0.58432169999999894</v>
      </c>
      <c r="F3520" t="s">
        <v>42</v>
      </c>
      <c r="G3520">
        <v>-424.23309999999998</v>
      </c>
      <c r="H3520" s="1">
        <v>-4.211414E-6</v>
      </c>
      <c r="I3520">
        <v>97.155730000000005</v>
      </c>
      <c r="J3520">
        <v>-420.47089999999997</v>
      </c>
      <c r="K3520">
        <v>1.1104540000000001</v>
      </c>
      <c r="L3520">
        <v>114.6426</v>
      </c>
      <c r="M3520">
        <v>-0.211342</v>
      </c>
      <c r="N3520">
        <v>-9.4320080000000004E-3</v>
      </c>
      <c r="O3520">
        <v>-0.97736670000000003</v>
      </c>
      <c r="P3520">
        <v>1.46327E-2</v>
      </c>
      <c r="Q3520">
        <v>-3.3905159999999997E-2</v>
      </c>
      <c r="R3520">
        <v>-0.99931809999999999</v>
      </c>
      <c r="S3520">
        <v>-0.64578250000000004</v>
      </c>
      <c r="T3520">
        <v>-0.18815119999999999</v>
      </c>
      <c r="U3520">
        <v>-3.0028839999999999</v>
      </c>
      <c r="V3520">
        <v>-0.2254041</v>
      </c>
      <c r="W3520">
        <v>-2.5661900000000001E-2</v>
      </c>
      <c r="X3520">
        <v>0.97392730000000005</v>
      </c>
      <c r="Y3520">
        <v>-1.4040809999999999E-3</v>
      </c>
      <c r="Z3520">
        <v>5.0547799999999997E-2</v>
      </c>
      <c r="AA3520">
        <v>0.99872059999999996</v>
      </c>
      <c r="AB3520">
        <v>27</v>
      </c>
      <c r="AC3520">
        <v>-3.7622</v>
      </c>
      <c r="AD3520">
        <v>-1.110458211414</v>
      </c>
      <c r="AE3520">
        <v>-17.4868699999999</v>
      </c>
      <c r="AF3520">
        <v>-1.85902604867966E-2</v>
      </c>
      <c r="AG3520">
        <v>-1.110458211414</v>
      </c>
      <c r="AH3520">
        <v>17.8183157376812</v>
      </c>
      <c r="AI3520">
        <v>93.566125756678403</v>
      </c>
      <c r="AJ3520">
        <v>90.059777988848396</v>
      </c>
      <c r="AK3520">
        <v>17.852894408604399</v>
      </c>
      <c r="AL3520">
        <v>91.470480041319405</v>
      </c>
      <c r="AM3520">
        <v>103.03100920979399</v>
      </c>
      <c r="AN3520">
        <v>0.99999996354685405</v>
      </c>
    </row>
    <row r="3521" spans="1:40" x14ac:dyDescent="0.25">
      <c r="A3521" t="str">
        <f>"20190305135659116"</f>
        <v>20190305135659116</v>
      </c>
      <c r="B3521" t="str">
        <f>"1551765419105546"</f>
        <v>1551765419105546</v>
      </c>
      <c r="C3521" t="s">
        <v>40</v>
      </c>
      <c r="D3521">
        <v>4.2218359999999997</v>
      </c>
      <c r="E3521">
        <v>0.58271269999999997</v>
      </c>
      <c r="F3521" t="s">
        <v>42</v>
      </c>
      <c r="G3521">
        <v>-424.20850000000002</v>
      </c>
      <c r="H3521" s="1">
        <v>-4.1394660000000003E-6</v>
      </c>
      <c r="I3521">
        <v>96.957130000000006</v>
      </c>
      <c r="J3521">
        <v>-420.52300000000002</v>
      </c>
      <c r="K3521">
        <v>1.1104350000000001</v>
      </c>
      <c r="L3521">
        <v>114.3899</v>
      </c>
      <c r="M3521">
        <v>-0.2089908</v>
      </c>
      <c r="N3521">
        <v>-9.1043089999999997E-3</v>
      </c>
      <c r="O3521">
        <v>-0.97787539999999995</v>
      </c>
      <c r="P3521">
        <v>1.8620189999999998E-2</v>
      </c>
      <c r="Q3521">
        <v>-3.3544169999999998E-2</v>
      </c>
      <c r="R3521">
        <v>-0.99926400000000004</v>
      </c>
      <c r="S3521">
        <v>-0.6350403</v>
      </c>
      <c r="T3521">
        <v>-0.18867709999999999</v>
      </c>
      <c r="U3521">
        <v>-3.0049290000000002</v>
      </c>
      <c r="V3521">
        <v>-0.22694810000000001</v>
      </c>
      <c r="W3521">
        <v>-2.5642479999999999E-2</v>
      </c>
      <c r="X3521">
        <v>0.97356920000000002</v>
      </c>
      <c r="Y3521">
        <v>-2.5582209999999998E-3</v>
      </c>
      <c r="Z3521">
        <v>5.1056869999999997E-2</v>
      </c>
      <c r="AA3521">
        <v>0.99869249999999998</v>
      </c>
      <c r="AB3521">
        <v>27</v>
      </c>
      <c r="AC3521">
        <v>-3.68549999999999</v>
      </c>
      <c r="AD3521">
        <v>-1.110439139466</v>
      </c>
      <c r="AE3521">
        <v>-17.432769999999898</v>
      </c>
      <c r="AF3521">
        <v>-3.9178221179218202E-2</v>
      </c>
      <c r="AG3521">
        <v>-1.110439139466</v>
      </c>
      <c r="AH3521">
        <v>17.749112326379201</v>
      </c>
      <c r="AI3521">
        <v>93.579925833209899</v>
      </c>
      <c r="AJ3521">
        <v>90.1264707234605</v>
      </c>
      <c r="AK3521">
        <v>17.7838578039159</v>
      </c>
      <c r="AL3521">
        <v>91.469366963800894</v>
      </c>
      <c r="AM3521">
        <v>103.121851956253</v>
      </c>
      <c r="AN3521">
        <v>0.99999998203139995</v>
      </c>
    </row>
    <row r="3522" spans="1:40" x14ac:dyDescent="0.25">
      <c r="A3522" t="str">
        <f>"20190305135659138"</f>
        <v>20190305135659138</v>
      </c>
      <c r="B3522" t="str">
        <f>"1551765419126041"</f>
        <v>1551765419126041</v>
      </c>
      <c r="C3522" t="s">
        <v>40</v>
      </c>
      <c r="D3522">
        <v>4.092765</v>
      </c>
      <c r="E3522">
        <v>0.49853500000000001</v>
      </c>
      <c r="F3522" t="s">
        <v>42</v>
      </c>
      <c r="G3522">
        <v>-424.21429999999998</v>
      </c>
      <c r="H3522" s="1">
        <v>-3.881797E-6</v>
      </c>
      <c r="I3522">
        <v>96.196899999999999</v>
      </c>
      <c r="J3522">
        <v>-420.57560000000001</v>
      </c>
      <c r="K3522">
        <v>1.1103940000000001</v>
      </c>
      <c r="L3522">
        <v>114.13209999999999</v>
      </c>
      <c r="M3522">
        <v>-0.20658019999999999</v>
      </c>
      <c r="N3522">
        <v>-8.7485830000000007E-3</v>
      </c>
      <c r="O3522">
        <v>-0.97839050000000005</v>
      </c>
      <c r="P3522">
        <v>2.230768E-2</v>
      </c>
      <c r="Q3522">
        <v>-3.3269170000000001E-2</v>
      </c>
      <c r="R3522">
        <v>-0.99919769999999997</v>
      </c>
      <c r="S3522">
        <v>-0.61019899999999905</v>
      </c>
      <c r="T3522">
        <v>-0.18356249999999999</v>
      </c>
      <c r="U3522">
        <v>-3.0074160000000001</v>
      </c>
      <c r="V3522">
        <v>-0.22814090000000001</v>
      </c>
      <c r="W3522">
        <v>-2.573019E-2</v>
      </c>
      <c r="X3522">
        <v>0.97328809999999999</v>
      </c>
      <c r="Y3522">
        <v>-8.1557809999999904E-3</v>
      </c>
      <c r="Z3522">
        <v>4.9820290000000003E-2</v>
      </c>
      <c r="AA3522">
        <v>0.99872490000000003</v>
      </c>
      <c r="AB3522">
        <v>27</v>
      </c>
      <c r="AC3522">
        <v>-3.6386999999999698</v>
      </c>
      <c r="AD3522">
        <v>-1.1103978817969999</v>
      </c>
      <c r="AE3522">
        <v>-17.935199999999899</v>
      </c>
      <c r="AF3522">
        <v>-0.14446141015460301</v>
      </c>
      <c r="AG3522">
        <v>-1.1103978817969999</v>
      </c>
      <c r="AH3522">
        <v>18.232889292130299</v>
      </c>
      <c r="AI3522">
        <v>93.484946423577298</v>
      </c>
      <c r="AJ3522">
        <v>90.453951964444798</v>
      </c>
      <c r="AK3522">
        <v>18.267241294021499</v>
      </c>
      <c r="AL3522">
        <v>91.474393980477402</v>
      </c>
      <c r="AM3522">
        <v>103.19208956774899</v>
      </c>
      <c r="AN3522">
        <v>1.00000001926592</v>
      </c>
    </row>
    <row r="3523" spans="1:40" x14ac:dyDescent="0.25">
      <c r="A3523" t="str">
        <f>"20190305135659162"</f>
        <v>20190305135659162</v>
      </c>
      <c r="B3523" t="str">
        <f>"1551765419156298"</f>
        <v>1551765419156298</v>
      </c>
      <c r="C3523" t="s">
        <v>40</v>
      </c>
      <c r="D3523">
        <v>4.0160049999999998</v>
      </c>
      <c r="E3523">
        <v>0.50137829999999906</v>
      </c>
      <c r="F3523" t="s">
        <v>42</v>
      </c>
      <c r="G3523">
        <v>-419.95769999999999</v>
      </c>
      <c r="H3523" s="1">
        <v>-8.3990439999999994E-8</v>
      </c>
      <c r="I3523">
        <v>89.811080000000004</v>
      </c>
      <c r="J3523">
        <v>-420.62979999999999</v>
      </c>
      <c r="K3523">
        <v>1.1103379999999901</v>
      </c>
      <c r="L3523">
        <v>113.8623</v>
      </c>
      <c r="M3523">
        <v>-0.2040574</v>
      </c>
      <c r="N3523">
        <v>-8.3641480000000001E-3</v>
      </c>
      <c r="O3523">
        <v>-0.97892330000000005</v>
      </c>
      <c r="P3523">
        <v>2.5349400000000001E-2</v>
      </c>
      <c r="Q3523">
        <v>-3.2699680000000002E-2</v>
      </c>
      <c r="R3523">
        <v>-0.99914389999999997</v>
      </c>
      <c r="S3523">
        <v>7.6110839999999999E-2</v>
      </c>
      <c r="T3523">
        <v>-0.136791</v>
      </c>
      <c r="U3523">
        <v>-2.99614</v>
      </c>
      <c r="V3523">
        <v>-0.2285982</v>
      </c>
      <c r="W3523">
        <v>-2.5544790000000001E-2</v>
      </c>
      <c r="X3523">
        <v>0.97318570000000004</v>
      </c>
      <c r="Y3523">
        <v>-0.22878809999999999</v>
      </c>
      <c r="Z3523">
        <v>3.5177119999999999E-2</v>
      </c>
      <c r="AA3523">
        <v>0.9728405</v>
      </c>
      <c r="AB3523">
        <v>27</v>
      </c>
      <c r="AC3523">
        <v>0.67210000000000003</v>
      </c>
      <c r="AD3523">
        <v>-1.11033808399043</v>
      </c>
      <c r="AE3523">
        <v>-24.051220000000001</v>
      </c>
      <c r="AF3523">
        <v>-5.5541298334854901</v>
      </c>
      <c r="AG3523">
        <v>-1.11033808399043</v>
      </c>
      <c r="AH3523">
        <v>23.358225456702499</v>
      </c>
      <c r="AI3523">
        <v>92.647803940629998</v>
      </c>
      <c r="AJ3523">
        <v>103.37542921095</v>
      </c>
      <c r="AK3523">
        <v>24.035138970975801</v>
      </c>
      <c r="AL3523">
        <v>91.463767820021104</v>
      </c>
      <c r="AM3523">
        <v>103.21894721495001</v>
      </c>
      <c r="AN3523">
        <v>1.00000004001193</v>
      </c>
    </row>
    <row r="3524" spans="1:40" x14ac:dyDescent="0.25">
      <c r="A3524" t="str">
        <f>"20190305135659184"</f>
        <v>20190305135659184</v>
      </c>
      <c r="B3524" t="str">
        <f>"1551765419175817"</f>
        <v>1551765419175817</v>
      </c>
      <c r="C3524" t="s">
        <v>40</v>
      </c>
      <c r="D3524">
        <v>3.9818199999999999</v>
      </c>
      <c r="E3524">
        <v>0.50370859999999995</v>
      </c>
      <c r="F3524" t="s">
        <v>42</v>
      </c>
      <c r="G3524">
        <v>-420.08330000000001</v>
      </c>
      <c r="H3524" s="1">
        <v>-3.5879E-6</v>
      </c>
      <c r="I3524">
        <v>87.900919999999999</v>
      </c>
      <c r="J3524">
        <v>-420.68380000000002</v>
      </c>
      <c r="K3524">
        <v>1.11029</v>
      </c>
      <c r="L3524">
        <v>113.5899</v>
      </c>
      <c r="M3524">
        <v>-0.2015121</v>
      </c>
      <c r="N3524">
        <v>-7.964779E-3</v>
      </c>
      <c r="O3524">
        <v>-0.97945380000000004</v>
      </c>
      <c r="P3524">
        <v>2.733172E-2</v>
      </c>
      <c r="Q3524">
        <v>-3.3131050000000002E-2</v>
      </c>
      <c r="R3524">
        <v>-0.99907769999999996</v>
      </c>
      <c r="S3524">
        <v>6.3079830000000003E-2</v>
      </c>
      <c r="T3524">
        <v>-0.1281698</v>
      </c>
      <c r="U3524">
        <v>-2.9967959999999998</v>
      </c>
      <c r="V3524">
        <v>-0.22799140000000001</v>
      </c>
      <c r="W3524">
        <v>-2.636844E-2</v>
      </c>
      <c r="X3524">
        <v>0.97330609999999995</v>
      </c>
      <c r="Y3524">
        <v>-0.22202740000000001</v>
      </c>
      <c r="Z3524">
        <v>3.2900720000000001E-2</v>
      </c>
      <c r="AA3524">
        <v>0.97448520000000005</v>
      </c>
      <c r="AB3524">
        <v>27</v>
      </c>
      <c r="AC3524">
        <v>0.60050000000001003</v>
      </c>
      <c r="AD3524">
        <v>-1.1102935879</v>
      </c>
      <c r="AE3524">
        <v>-25.688979999999901</v>
      </c>
      <c r="AF3524">
        <v>-5.7542411026357101</v>
      </c>
      <c r="AG3524">
        <v>-1.1102935879</v>
      </c>
      <c r="AH3524">
        <v>24.9942870836847</v>
      </c>
      <c r="AI3524">
        <v>92.478757190323407</v>
      </c>
      <c r="AJ3524">
        <v>102.96485833232499</v>
      </c>
      <c r="AK3524">
        <v>25.672133322734201</v>
      </c>
      <c r="AL3524">
        <v>91.510975350541997</v>
      </c>
      <c r="AM3524">
        <v>103.183511547237</v>
      </c>
      <c r="AN3524">
        <v>1.00000006869959</v>
      </c>
    </row>
    <row r="3525" spans="1:40" x14ac:dyDescent="0.25">
      <c r="A3525" t="str">
        <f>"20190305135659206"</f>
        <v>20190305135659206</v>
      </c>
      <c r="B3525" t="str">
        <f>"1551765419196313"</f>
        <v>1551765419196313</v>
      </c>
      <c r="C3525" t="s">
        <v>40</v>
      </c>
      <c r="D3525">
        <v>4.0607939999999996</v>
      </c>
      <c r="E3525">
        <v>0.50356029999999996</v>
      </c>
      <c r="F3525" t="s">
        <v>42</v>
      </c>
      <c r="G3525">
        <v>-420.23239999999998</v>
      </c>
      <c r="H3525" s="1">
        <v>-3.2643810000000001E-6</v>
      </c>
      <c r="I3525">
        <v>87.054339999999996</v>
      </c>
      <c r="J3525">
        <v>-420.73390000000001</v>
      </c>
      <c r="K3525">
        <v>1.1102369999999999</v>
      </c>
      <c r="L3525">
        <v>113.33450000000001</v>
      </c>
      <c r="M3525">
        <v>-0.1991269</v>
      </c>
      <c r="N3525">
        <v>-7.5721259999999898E-3</v>
      </c>
      <c r="O3525">
        <v>-0.97994460000000005</v>
      </c>
      <c r="P3525">
        <v>2.9423990000000001E-2</v>
      </c>
      <c r="Q3525">
        <v>-3.3491699999999999E-2</v>
      </c>
      <c r="R3525">
        <v>-0.99900619999999996</v>
      </c>
      <c r="S3525">
        <v>5.0994869999999998E-2</v>
      </c>
      <c r="T3525">
        <v>-0.12540970000000001</v>
      </c>
      <c r="U3525">
        <v>-2.9972379999999998</v>
      </c>
      <c r="V3525">
        <v>-0.22765270000000001</v>
      </c>
      <c r="W3525">
        <v>-2.7116999999999999E-2</v>
      </c>
      <c r="X3525">
        <v>0.97336480000000003</v>
      </c>
      <c r="Y3525">
        <v>-0.21572269999999999</v>
      </c>
      <c r="Z3525">
        <v>3.2474259999999998E-2</v>
      </c>
      <c r="AA3525">
        <v>0.97591450000000002</v>
      </c>
      <c r="AB3525">
        <v>27</v>
      </c>
      <c r="AC3525">
        <v>0.50150000000002104</v>
      </c>
      <c r="AD3525">
        <v>-1.1102402643809901</v>
      </c>
      <c r="AE3525">
        <v>-26.280159999999999</v>
      </c>
      <c r="AF3525">
        <v>-5.7144970842183902</v>
      </c>
      <c r="AG3525">
        <v>-1.1102402643809901</v>
      </c>
      <c r="AH3525">
        <v>25.608282836518299</v>
      </c>
      <c r="AI3525">
        <v>92.422968002491899</v>
      </c>
      <c r="AJ3525">
        <v>102.579472644815</v>
      </c>
      <c r="AK3525">
        <v>26.261611911787</v>
      </c>
      <c r="AL3525">
        <v>91.553880037740399</v>
      </c>
      <c r="AM3525">
        <v>103.163842628498</v>
      </c>
      <c r="AN3525">
        <v>1.0000000586926601</v>
      </c>
    </row>
    <row r="3526" spans="1:40" x14ac:dyDescent="0.25">
      <c r="A3526" t="str">
        <f>"20190305135659228"</f>
        <v>20190305135659228</v>
      </c>
      <c r="B3526" t="str">
        <f>"1551765419215833"</f>
        <v>1551765419215833</v>
      </c>
      <c r="C3526" t="s">
        <v>40</v>
      </c>
      <c r="D3526">
        <v>4.0582060000000002</v>
      </c>
      <c r="E3526">
        <v>0.50373219999999996</v>
      </c>
      <c r="F3526" t="s">
        <v>42</v>
      </c>
      <c r="G3526">
        <v>-420.26909999999998</v>
      </c>
      <c r="H3526" s="1">
        <v>-4.2286630000000003E-6</v>
      </c>
      <c r="I3526">
        <v>89.279300000000006</v>
      </c>
      <c r="J3526">
        <v>-420.78579999999999</v>
      </c>
      <c r="K3526">
        <v>1.1101829999999999</v>
      </c>
      <c r="L3526">
        <v>113.0663</v>
      </c>
      <c r="M3526">
        <v>-0.19661729999999999</v>
      </c>
      <c r="N3526">
        <v>-7.1447699999999999E-3</v>
      </c>
      <c r="O3526">
        <v>-0.98045420000000005</v>
      </c>
      <c r="P3526">
        <v>3.1350990000000002E-2</v>
      </c>
      <c r="Q3526">
        <v>-3.423433E-2</v>
      </c>
      <c r="R3526">
        <v>-0.99892210000000004</v>
      </c>
      <c r="S3526">
        <v>5.7891850000000002E-2</v>
      </c>
      <c r="T3526">
        <v>-0.13830580000000001</v>
      </c>
      <c r="U3526">
        <v>-2.9966279999999998</v>
      </c>
      <c r="V3526">
        <v>-0.22702710000000001</v>
      </c>
      <c r="W3526">
        <v>-2.8282000000000002E-2</v>
      </c>
      <c r="X3526">
        <v>0.9734777</v>
      </c>
      <c r="Y3526">
        <v>-0.21546670000000001</v>
      </c>
      <c r="Z3526">
        <v>3.705671E-2</v>
      </c>
      <c r="AA3526">
        <v>0.9758078</v>
      </c>
      <c r="AB3526">
        <v>27</v>
      </c>
      <c r="AC3526">
        <v>0.51670000000001404</v>
      </c>
      <c r="AD3526">
        <v>-1.1101872286629999</v>
      </c>
      <c r="AE3526">
        <v>-23.7869999999999</v>
      </c>
      <c r="AF3526">
        <v>-5.1724074787826799</v>
      </c>
      <c r="AG3526">
        <v>-1.1101872286629999</v>
      </c>
      <c r="AH3526">
        <v>23.170618131032398</v>
      </c>
      <c r="AI3526">
        <v>92.677349254334104</v>
      </c>
      <c r="AJ3526">
        <v>102.58389171100799</v>
      </c>
      <c r="AK3526">
        <v>23.766864736085498</v>
      </c>
      <c r="AL3526">
        <v>91.620655331319497</v>
      </c>
      <c r="AM3526">
        <v>103.127452558527</v>
      </c>
      <c r="AN3526">
        <v>1.0000000040278401</v>
      </c>
    </row>
    <row r="3527" spans="1:40" x14ac:dyDescent="0.25">
      <c r="A3527" t="str">
        <f>"20190305135659253"</f>
        <v>20190305135659253</v>
      </c>
      <c r="B3527" t="str">
        <f>"1551765419246089"</f>
        <v>1551765419246089</v>
      </c>
      <c r="C3527" t="s">
        <v>40</v>
      </c>
      <c r="D3527">
        <v>4.0710150000000001</v>
      </c>
      <c r="E3527">
        <v>0.50402199999999997</v>
      </c>
      <c r="F3527" t="s">
        <v>42</v>
      </c>
      <c r="G3527">
        <v>-420.32420000000002</v>
      </c>
      <c r="H3527" s="1">
        <v>-5.864894E-7</v>
      </c>
      <c r="I3527">
        <v>90.755120000000005</v>
      </c>
      <c r="J3527">
        <v>-420.84379999999999</v>
      </c>
      <c r="K3527">
        <v>1.1101319999999999</v>
      </c>
      <c r="L3527">
        <v>112.7617</v>
      </c>
      <c r="M3527">
        <v>-0.1937577</v>
      </c>
      <c r="N3527">
        <v>-6.6589140000000002E-3</v>
      </c>
      <c r="O3527">
        <v>-0.98102710000000004</v>
      </c>
      <c r="P3527">
        <v>3.3111670000000003E-2</v>
      </c>
      <c r="Q3527">
        <v>-3.3978090000000002E-2</v>
      </c>
      <c r="R3527">
        <v>-0.99887409999999999</v>
      </c>
      <c r="S3527">
        <v>6.19812E-2</v>
      </c>
      <c r="T3527">
        <v>-0.14908660000000001</v>
      </c>
      <c r="U3527">
        <v>-2.9961700000000002</v>
      </c>
      <c r="V3527">
        <v>-0.22590260000000001</v>
      </c>
      <c r="W3527">
        <v>-2.8506460000000001E-2</v>
      </c>
      <c r="X3527">
        <v>0.97373270000000001</v>
      </c>
      <c r="Y3527">
        <v>-0.2139498</v>
      </c>
      <c r="Z3527">
        <v>4.1038699999999997E-2</v>
      </c>
      <c r="AA3527">
        <v>0.97598220000000002</v>
      </c>
      <c r="AB3527">
        <v>27</v>
      </c>
      <c r="AC3527">
        <v>0.51959999999996798</v>
      </c>
      <c r="AD3527">
        <v>-1.1101325864893901</v>
      </c>
      <c r="AE3527">
        <v>-22.00658</v>
      </c>
      <c r="AF3527">
        <v>-4.7616799939046297</v>
      </c>
      <c r="AG3527">
        <v>-1.1101325864893901</v>
      </c>
      <c r="AH3527">
        <v>21.434330727593998</v>
      </c>
      <c r="AI3527">
        <v>92.894392384717193</v>
      </c>
      <c r="AJ3527">
        <v>102.524974964907</v>
      </c>
      <c r="AK3527">
        <v>21.984915839361701</v>
      </c>
      <c r="AL3527">
        <v>91.633521157245696</v>
      </c>
      <c r="AM3527">
        <v>103.06136199993701</v>
      </c>
      <c r="AN3527">
        <v>0.99999998699889003</v>
      </c>
    </row>
    <row r="3528" spans="1:40" x14ac:dyDescent="0.25">
      <c r="A3528" t="str">
        <f>"20190305135659276"</f>
        <v>20190305135659276</v>
      </c>
      <c r="B3528" t="str">
        <f>"1551765419265609"</f>
        <v>1551765419265609</v>
      </c>
      <c r="C3528" t="s">
        <v>40</v>
      </c>
      <c r="D3528">
        <v>4.0485329999999999</v>
      </c>
      <c r="E3528">
        <v>0.50421709999999997</v>
      </c>
      <c r="F3528" t="s">
        <v>42</v>
      </c>
      <c r="G3528">
        <v>-420.38709999999998</v>
      </c>
      <c r="H3528" s="1">
        <v>-8.3585059999999996E-7</v>
      </c>
      <c r="I3528">
        <v>91.297399999999996</v>
      </c>
      <c r="J3528">
        <v>-420.8954</v>
      </c>
      <c r="K3528">
        <v>1.1100950000000001</v>
      </c>
      <c r="L3528">
        <v>112.48699999999999</v>
      </c>
      <c r="M3528">
        <v>-0.19116540000000001</v>
      </c>
      <c r="N3528">
        <v>-6.2354799999999998E-3</v>
      </c>
      <c r="O3528">
        <v>-0.98153809999999997</v>
      </c>
      <c r="P3528">
        <v>3.3558310000000001E-2</v>
      </c>
      <c r="Q3528">
        <v>-3.4636199999999999E-2</v>
      </c>
      <c r="R3528">
        <v>-0.99883630000000001</v>
      </c>
      <c r="S3528">
        <v>6.3751219999999997E-2</v>
      </c>
      <c r="T3528">
        <v>-0.15495320000000001</v>
      </c>
      <c r="U3528">
        <v>-2.9960019999999998</v>
      </c>
      <c r="V3528">
        <v>-0.2237536</v>
      </c>
      <c r="W3528">
        <v>-2.9579899999999999E-2</v>
      </c>
      <c r="X3528">
        <v>0.97419679999999997</v>
      </c>
      <c r="Y3528">
        <v>-0.21194560000000001</v>
      </c>
      <c r="Z3528">
        <v>4.338844E-2</v>
      </c>
      <c r="AA3528">
        <v>0.97631780000000001</v>
      </c>
      <c r="AB3528">
        <v>28</v>
      </c>
      <c r="AC3528">
        <v>0.50830000000001896</v>
      </c>
      <c r="AD3528">
        <v>-1.1100958358505999</v>
      </c>
      <c r="AE3528">
        <v>-21.189599999999999</v>
      </c>
      <c r="AF3528">
        <v>-4.5372765798981796</v>
      </c>
      <c r="AG3528">
        <v>-1.1100958358505999</v>
      </c>
      <c r="AH3528">
        <v>20.645002215877401</v>
      </c>
      <c r="AI3528">
        <v>93.006258165044997</v>
      </c>
      <c r="AJ3528">
        <v>102.395177715112</v>
      </c>
      <c r="AK3528">
        <v>21.166844545676899</v>
      </c>
      <c r="AL3528">
        <v>91.695050634629197</v>
      </c>
      <c r="AM3528">
        <v>102.935354232143</v>
      </c>
      <c r="AN3528">
        <v>1.0000000245636</v>
      </c>
    </row>
    <row r="3529" spans="1:40" x14ac:dyDescent="0.25">
      <c r="A3529" t="str">
        <f>"20190305135659297"</f>
        <v>20190305135659297</v>
      </c>
      <c r="B3529" t="str">
        <f>"1551765419286105"</f>
        <v>1551765419286105</v>
      </c>
      <c r="C3529" t="s">
        <v>40</v>
      </c>
      <c r="D3529">
        <v>4.0428860000000002</v>
      </c>
      <c r="E3529">
        <v>0.5044845</v>
      </c>
      <c r="F3529" t="s">
        <v>42</v>
      </c>
      <c r="G3529">
        <v>-420.45409999999998</v>
      </c>
      <c r="H3529" s="1">
        <v>-1.0527589999999901E-6</v>
      </c>
      <c r="I3529">
        <v>91.761439999999993</v>
      </c>
      <c r="J3529">
        <v>-420.94450000000001</v>
      </c>
      <c r="K3529">
        <v>1.1100760000000001</v>
      </c>
      <c r="L3529">
        <v>112.22190000000001</v>
      </c>
      <c r="M3529">
        <v>-0.1886516</v>
      </c>
      <c r="N3529">
        <v>-5.8483989999999998E-3</v>
      </c>
      <c r="O3529">
        <v>-0.98202659999999997</v>
      </c>
      <c r="P3529">
        <v>3.4309680000000002E-2</v>
      </c>
      <c r="Q3529">
        <v>-3.5021789999999997E-2</v>
      </c>
      <c r="R3529">
        <v>-0.99879759999999995</v>
      </c>
      <c r="S3529">
        <v>6.3781740000000003E-2</v>
      </c>
      <c r="T3529">
        <v>-0.1604595</v>
      </c>
      <c r="U3529">
        <v>-2.9957889999999998</v>
      </c>
      <c r="V3529">
        <v>-0.2219834</v>
      </c>
      <c r="W3529">
        <v>-3.0348449999999999E-2</v>
      </c>
      <c r="X3529">
        <v>0.97457800000000006</v>
      </c>
      <c r="Y3529">
        <v>-0.20945330000000001</v>
      </c>
      <c r="Z3529">
        <v>4.5592319999999999E-2</v>
      </c>
      <c r="AA3529">
        <v>0.97675509999999999</v>
      </c>
      <c r="AB3529">
        <v>28</v>
      </c>
      <c r="AC3529">
        <v>0.49040000000002198</v>
      </c>
      <c r="AD3529">
        <v>-1.110077052759</v>
      </c>
      <c r="AE3529">
        <v>-20.460460000000001</v>
      </c>
      <c r="AF3529">
        <v>-4.3288239727713398</v>
      </c>
      <c r="AG3529">
        <v>-1.110077052759</v>
      </c>
      <c r="AH3529">
        <v>19.941877784273402</v>
      </c>
      <c r="AI3529">
        <v>93.113748858586305</v>
      </c>
      <c r="AJ3529">
        <v>102.247305217574</v>
      </c>
      <c r="AK3529">
        <v>20.436474197209201</v>
      </c>
      <c r="AL3529">
        <v>91.739105185677204</v>
      </c>
      <c r="AM3529">
        <v>102.831566037093</v>
      </c>
      <c r="AN3529">
        <v>0.99999996818848003</v>
      </c>
    </row>
    <row r="3530" spans="1:40" x14ac:dyDescent="0.25">
      <c r="A3530" t="str">
        <f>"20190305135659317"</f>
        <v>20190305135659317</v>
      </c>
      <c r="B3530" t="str">
        <f>"1551765419305626"</f>
        <v>1551765419305626</v>
      </c>
      <c r="C3530" t="s">
        <v>40</v>
      </c>
      <c r="D3530">
        <v>3.9612219999999998</v>
      </c>
      <c r="E3530">
        <v>0.50471189999999999</v>
      </c>
      <c r="F3530" t="s">
        <v>42</v>
      </c>
      <c r="G3530">
        <v>-420.51209999999998</v>
      </c>
      <c r="H3530" s="1">
        <v>-1.1507709999999999E-6</v>
      </c>
      <c r="I3530">
        <v>91.953959999999995</v>
      </c>
      <c r="J3530">
        <v>-420.98840000000001</v>
      </c>
      <c r="K3530">
        <v>1.110063</v>
      </c>
      <c r="L3530">
        <v>111.9811</v>
      </c>
      <c r="M3530">
        <v>-0.1863563</v>
      </c>
      <c r="N3530">
        <v>-5.5126730000000001E-3</v>
      </c>
      <c r="O3530">
        <v>-0.98246679999999997</v>
      </c>
      <c r="P3530">
        <v>3.5134619999999998E-2</v>
      </c>
      <c r="Q3530">
        <v>-3.5436809999999999E-2</v>
      </c>
      <c r="R3530">
        <v>-0.99875420000000004</v>
      </c>
      <c r="S3530">
        <v>6.3903810000000005E-2</v>
      </c>
      <c r="T3530">
        <v>-0.16407240000000001</v>
      </c>
      <c r="U3530">
        <v>-2.9956510000000001</v>
      </c>
      <c r="V3530">
        <v>-0.22050259999999999</v>
      </c>
      <c r="W3530">
        <v>-3.1097840000000002E-2</v>
      </c>
      <c r="X3530">
        <v>0.97489049999999999</v>
      </c>
      <c r="Y3530">
        <v>-0.20720859999999999</v>
      </c>
      <c r="Z3530">
        <v>4.7135150000000001E-2</v>
      </c>
      <c r="AA3530">
        <v>0.97716060000000005</v>
      </c>
      <c r="AB3530">
        <v>28</v>
      </c>
      <c r="AC3530">
        <v>0.47630000000003703</v>
      </c>
      <c r="AD3530">
        <v>-1.1100641507709901</v>
      </c>
      <c r="AE3530">
        <v>-20.027139999999999</v>
      </c>
      <c r="AF3530">
        <v>-4.1873389833807799</v>
      </c>
      <c r="AG3530">
        <v>-1.1100641507709901</v>
      </c>
      <c r="AH3530">
        <v>19.527575637348299</v>
      </c>
      <c r="AI3530">
        <v>93.1813673319418</v>
      </c>
      <c r="AJ3530">
        <v>102.10277570587201</v>
      </c>
      <c r="AK3530">
        <v>20.002306378338702</v>
      </c>
      <c r="AL3530">
        <v>91.782062330545898</v>
      </c>
      <c r="AM3530">
        <v>102.74482281528999</v>
      </c>
      <c r="AN3530">
        <v>0.999999979624837</v>
      </c>
    </row>
    <row r="3531" spans="1:40" x14ac:dyDescent="0.25">
      <c r="A3531" t="str">
        <f>"20190305135659339"</f>
        <v>20190305135659339</v>
      </c>
      <c r="B3531" t="str">
        <f>"1551765419335881"</f>
        <v>1551765419335881</v>
      </c>
      <c r="C3531" t="s">
        <v>40</v>
      </c>
      <c r="D3531">
        <v>3.9415740000000001</v>
      </c>
      <c r="E3531">
        <v>0.50497159999999996</v>
      </c>
      <c r="F3531" t="s">
        <v>42</v>
      </c>
      <c r="G3531">
        <v>-420.56310000000002</v>
      </c>
      <c r="H3531" s="1">
        <v>-1.259554E-6</v>
      </c>
      <c r="I3531">
        <v>92.175920000000005</v>
      </c>
      <c r="J3531">
        <v>-421.03899999999999</v>
      </c>
      <c r="K3531">
        <v>1.1100559999999999</v>
      </c>
      <c r="L3531">
        <v>111.7</v>
      </c>
      <c r="M3531">
        <v>-0.18365989999999999</v>
      </c>
      <c r="N3531">
        <v>-5.1480110000000001E-3</v>
      </c>
      <c r="O3531">
        <v>-0.98297630000000003</v>
      </c>
      <c r="P3531">
        <v>3.6860179999999999E-2</v>
      </c>
      <c r="Q3531">
        <v>-3.6031050000000002E-2</v>
      </c>
      <c r="R3531">
        <v>-0.99867079999999997</v>
      </c>
      <c r="S3531">
        <v>6.4331050000000001E-2</v>
      </c>
      <c r="T3531">
        <v>-0.16789670000000001</v>
      </c>
      <c r="U3531">
        <v>-2.9955289999999999</v>
      </c>
      <c r="V3531">
        <v>-0.219501</v>
      </c>
      <c r="W3531">
        <v>-3.2061439999999997E-2</v>
      </c>
      <c r="X3531">
        <v>0.97508530000000004</v>
      </c>
      <c r="Y3531">
        <v>-0.20466400000000001</v>
      </c>
      <c r="Z3531">
        <v>4.8783729999999997E-2</v>
      </c>
      <c r="AA3531">
        <v>0.97761589999999998</v>
      </c>
      <c r="AB3531">
        <v>28</v>
      </c>
      <c r="AC3531">
        <v>0.47589999999996702</v>
      </c>
      <c r="AD3531">
        <v>-1.1100572595539999</v>
      </c>
      <c r="AE3531">
        <v>-19.524080000000001</v>
      </c>
      <c r="AF3531">
        <v>-4.0405892040498301</v>
      </c>
      <c r="AG3531">
        <v>-1.1100572595539999</v>
      </c>
      <c r="AH3531">
        <v>19.043036963573499</v>
      </c>
      <c r="AI3531">
        <v>93.263617127453799</v>
      </c>
      <c r="AJ3531">
        <v>101.97946398709</v>
      </c>
      <c r="AK3531">
        <v>19.498611361617499</v>
      </c>
      <c r="AL3531">
        <v>91.837300090093805</v>
      </c>
      <c r="AM3531">
        <v>102.686356922841</v>
      </c>
      <c r="AN3531">
        <v>0.99999998360598097</v>
      </c>
    </row>
    <row r="3532" spans="1:40" x14ac:dyDescent="0.25">
      <c r="A3532" t="str">
        <f>"20190305135659363"</f>
        <v>20190305135659363</v>
      </c>
      <c r="B3532" t="str">
        <f>"1551765419355401"</f>
        <v>1551765419355401</v>
      </c>
      <c r="C3532" t="s">
        <v>40</v>
      </c>
      <c r="D3532">
        <v>3.9710030000000001</v>
      </c>
      <c r="E3532">
        <v>0.50507630000000003</v>
      </c>
      <c r="F3532" t="s">
        <v>42</v>
      </c>
      <c r="G3532">
        <v>-420.60270000000003</v>
      </c>
      <c r="H3532" s="1">
        <v>-1.3403210000000001E-6</v>
      </c>
      <c r="I3532">
        <v>92.339650000000006</v>
      </c>
      <c r="J3532">
        <v>-421.09030000000001</v>
      </c>
      <c r="K3532">
        <v>1.1100559999999999</v>
      </c>
      <c r="L3532">
        <v>111.4098</v>
      </c>
      <c r="M3532">
        <v>-0.1808621</v>
      </c>
      <c r="N3532">
        <v>-4.8090049999999999E-3</v>
      </c>
      <c r="O3532">
        <v>-0.98349699999999995</v>
      </c>
      <c r="P3532">
        <v>3.9316509999999999E-2</v>
      </c>
      <c r="Q3532">
        <v>-3.5998410000000002E-2</v>
      </c>
      <c r="R3532">
        <v>-0.99857850000000004</v>
      </c>
      <c r="S3532">
        <v>6.7504880000000003E-2</v>
      </c>
      <c r="T3532">
        <v>-0.1717408</v>
      </c>
      <c r="U3532">
        <v>-2.9952999999999999</v>
      </c>
      <c r="V3532">
        <v>-0.2191198</v>
      </c>
      <c r="W3532">
        <v>-3.2377660000000003E-2</v>
      </c>
      <c r="X3532">
        <v>0.97516060000000004</v>
      </c>
      <c r="Y3532">
        <v>-0.20291509999999999</v>
      </c>
      <c r="Z3532">
        <v>5.0412329999999998E-2</v>
      </c>
      <c r="AA3532">
        <v>0.97789780000000004</v>
      </c>
      <c r="AB3532">
        <v>28</v>
      </c>
      <c r="AC3532">
        <v>0.48759999999998599</v>
      </c>
      <c r="AD3532">
        <v>-1.1100573403209999</v>
      </c>
      <c r="AE3532">
        <v>-19.070150000000002</v>
      </c>
      <c r="AF3532">
        <v>-3.9154068843491401</v>
      </c>
      <c r="AG3532">
        <v>-1.1100573403209999</v>
      </c>
      <c r="AH3532">
        <v>18.6044610280907</v>
      </c>
      <c r="AI3532">
        <v>93.341544987689602</v>
      </c>
      <c r="AJ3532">
        <v>101.884760164136</v>
      </c>
      <c r="AK3532">
        <v>19.044385222803999</v>
      </c>
      <c r="AL3532">
        <v>91.855427547202297</v>
      </c>
      <c r="AM3532">
        <v>102.664089811398</v>
      </c>
      <c r="AN3532">
        <v>0.999999997705737</v>
      </c>
    </row>
    <row r="3533" spans="1:40" x14ac:dyDescent="0.25">
      <c r="A3533" t="str">
        <f>"20190305135659384"</f>
        <v>20190305135659384</v>
      </c>
      <c r="B3533" t="str">
        <f>"1551765419375898"</f>
        <v>1551765419375898</v>
      </c>
      <c r="C3533" t="s">
        <v>40</v>
      </c>
      <c r="D3533">
        <v>3.9619460000000002</v>
      </c>
      <c r="E3533">
        <v>0.50522199999999995</v>
      </c>
      <c r="F3533" t="s">
        <v>42</v>
      </c>
      <c r="G3533">
        <v>-420.61750000000001</v>
      </c>
      <c r="H3533" s="1">
        <v>-1.3017679999999999E-6</v>
      </c>
      <c r="I3533">
        <v>92.240589999999997</v>
      </c>
      <c r="J3533">
        <v>-421.13900000000001</v>
      </c>
      <c r="K3533">
        <v>1.1100650000000001</v>
      </c>
      <c r="L3533">
        <v>111.13039999999999</v>
      </c>
      <c r="M3533">
        <v>-0.17815699999999901</v>
      </c>
      <c r="N3533">
        <v>-4.5180539999999996E-3</v>
      </c>
      <c r="O3533">
        <v>-0.98399190000000003</v>
      </c>
      <c r="P3533">
        <v>4.2695829999999997E-2</v>
      </c>
      <c r="Q3533">
        <v>-3.5658040000000002E-2</v>
      </c>
      <c r="R3533">
        <v>-0.99845159999999999</v>
      </c>
      <c r="S3533">
        <v>7.388306E-2</v>
      </c>
      <c r="T3533">
        <v>-0.17344119999999999</v>
      </c>
      <c r="U3533">
        <v>-2.9951020000000002</v>
      </c>
      <c r="V3533">
        <v>-0.21973799999999999</v>
      </c>
      <c r="W3533">
        <v>-3.2343549999999999E-2</v>
      </c>
      <c r="X3533">
        <v>0.97502259999999996</v>
      </c>
      <c r="Y3533">
        <v>-0.2023057</v>
      </c>
      <c r="Z3533">
        <v>5.129653E-2</v>
      </c>
      <c r="AA3533">
        <v>0.97797809999999996</v>
      </c>
      <c r="AB3533">
        <v>28</v>
      </c>
      <c r="AC3533">
        <v>0.52150000000000296</v>
      </c>
      <c r="AD3533">
        <v>-1.1100663017679999</v>
      </c>
      <c r="AE3533">
        <v>-18.889810000000001</v>
      </c>
      <c r="AF3533">
        <v>-3.8652046860809501</v>
      </c>
      <c r="AG3533">
        <v>-1.1100663017679999</v>
      </c>
      <c r="AH3533">
        <v>18.431095476733201</v>
      </c>
      <c r="AI3533">
        <v>93.373434902745998</v>
      </c>
      <c r="AJ3533">
        <v>101.843922745646</v>
      </c>
      <c r="AK3533">
        <v>18.864711366254099</v>
      </c>
      <c r="AL3533">
        <v>91.853472192809903</v>
      </c>
      <c r="AM3533">
        <v>102.700400813166</v>
      </c>
      <c r="AN3533">
        <v>0.99999998219068098</v>
      </c>
    </row>
    <row r="3534" spans="1:40" x14ac:dyDescent="0.25">
      <c r="A3534" t="str">
        <f>"20190305135659408"</f>
        <v>20190305135659408</v>
      </c>
      <c r="B3534" t="str">
        <f>"1551765419395418"</f>
        <v>1551765419395418</v>
      </c>
      <c r="C3534" t="s">
        <v>40</v>
      </c>
      <c r="D3534">
        <v>3.9536600000000002</v>
      </c>
      <c r="E3534">
        <v>0.50529219999999997</v>
      </c>
      <c r="F3534" t="s">
        <v>42</v>
      </c>
      <c r="G3534">
        <v>-420.60969999999998</v>
      </c>
      <c r="H3534" s="1">
        <v>-1.177287E-6</v>
      </c>
      <c r="I3534">
        <v>91.955219999999997</v>
      </c>
      <c r="J3534">
        <v>-421.18950000000001</v>
      </c>
      <c r="K3534">
        <v>1.1100829999999999</v>
      </c>
      <c r="L3534">
        <v>110.83580000000001</v>
      </c>
      <c r="M3534">
        <v>-0.17529749999999999</v>
      </c>
      <c r="N3534">
        <v>-4.2452540000000004E-3</v>
      </c>
      <c r="O3534">
        <v>-0.98450649999999995</v>
      </c>
      <c r="P3534">
        <v>4.6188319999999998E-2</v>
      </c>
      <c r="Q3534">
        <v>-3.5139330000000003E-2</v>
      </c>
      <c r="R3534">
        <v>-0.9983147</v>
      </c>
      <c r="S3534">
        <v>8.2672120000000002E-2</v>
      </c>
      <c r="T3534">
        <v>-0.173377799999999</v>
      </c>
      <c r="U3534">
        <v>-2.9949189999999999</v>
      </c>
      <c r="V3534">
        <v>-0.22031800000000001</v>
      </c>
      <c r="W3534">
        <v>-3.2112729999999999E-2</v>
      </c>
      <c r="X3534">
        <v>0.97489939999999997</v>
      </c>
      <c r="Y3534">
        <v>-0.20233139999999999</v>
      </c>
      <c r="Z3534">
        <v>5.1593760000000002E-2</v>
      </c>
      <c r="AA3534">
        <v>0.97795710000000002</v>
      </c>
      <c r="AB3534">
        <v>29</v>
      </c>
      <c r="AC3534">
        <v>0.57980000000003395</v>
      </c>
      <c r="AD3534">
        <v>-1.110084177287</v>
      </c>
      <c r="AE3534">
        <v>-18.880579999999998</v>
      </c>
      <c r="AF3534">
        <v>-3.8672139551507199</v>
      </c>
      <c r="AG3534">
        <v>-1.110084177287</v>
      </c>
      <c r="AH3534">
        <v>18.422954718837602</v>
      </c>
      <c r="AI3534">
        <v>93.374839831136995</v>
      </c>
      <c r="AJ3534">
        <v>101.854993709575</v>
      </c>
      <c r="AK3534">
        <v>18.857170817169699</v>
      </c>
      <c r="AL3534">
        <v>91.840240192861302</v>
      </c>
      <c r="AM3534">
        <v>102.734388726097</v>
      </c>
      <c r="AN3534">
        <v>1.0000000443362</v>
      </c>
    </row>
    <row r="3535" spans="1:40" x14ac:dyDescent="0.25">
      <c r="A3535" t="str">
        <f>"20190305135659429"</f>
        <v>20190305135659429</v>
      </c>
      <c r="B3535" t="str">
        <f>"1551765419425673"</f>
        <v>1551765419425673</v>
      </c>
      <c r="C3535" t="s">
        <v>40</v>
      </c>
      <c r="D3535">
        <v>3.9468890000000001</v>
      </c>
      <c r="E3535">
        <v>0.50545390000000001</v>
      </c>
      <c r="F3535" t="s">
        <v>42</v>
      </c>
      <c r="G3535">
        <v>-420.59390000000002</v>
      </c>
      <c r="H3535" s="1">
        <v>-1.021958E-6</v>
      </c>
      <c r="I3535">
        <v>91.602969999999999</v>
      </c>
      <c r="J3535">
        <v>-421.23469999999998</v>
      </c>
      <c r="K3535">
        <v>1.1100890000000001</v>
      </c>
      <c r="L3535">
        <v>110.56740000000001</v>
      </c>
      <c r="M3535">
        <v>-0.1726888</v>
      </c>
      <c r="N3535">
        <v>-4.0194100000000002E-3</v>
      </c>
      <c r="O3535">
        <v>-0.98496839999999997</v>
      </c>
      <c r="P3535">
        <v>4.9701149999999999E-2</v>
      </c>
      <c r="Q3535">
        <v>-3.3489350000000001E-2</v>
      </c>
      <c r="R3535">
        <v>-0.9982027</v>
      </c>
      <c r="S3535">
        <v>9.2742920000000006E-2</v>
      </c>
      <c r="T3535">
        <v>-0.1728479</v>
      </c>
      <c r="U3535">
        <v>-2.9946899999999999</v>
      </c>
      <c r="V3535">
        <v>-0.22118019999999999</v>
      </c>
      <c r="W3535">
        <v>-3.0703089999999999E-2</v>
      </c>
      <c r="X3535">
        <v>0.97474950000000005</v>
      </c>
      <c r="Y3535">
        <v>-0.20302629999999999</v>
      </c>
      <c r="Z3535">
        <v>5.1685750000000003E-2</v>
      </c>
      <c r="AA3535">
        <v>0.97780820000000002</v>
      </c>
      <c r="AB3535">
        <v>29</v>
      </c>
      <c r="AC3535">
        <v>0.64079999999995596</v>
      </c>
      <c r="AD3535">
        <v>-1.1100900219580001</v>
      </c>
      <c r="AE3535">
        <v>-18.96443</v>
      </c>
      <c r="AF3535">
        <v>-3.8928202167962001</v>
      </c>
      <c r="AG3535">
        <v>-1.1100900219580001</v>
      </c>
      <c r="AH3535">
        <v>18.505517447333901</v>
      </c>
      <c r="AI3535">
        <v>93.359533475002806</v>
      </c>
      <c r="AJ3535">
        <v>101.879531677853</v>
      </c>
      <c r="AK3535">
        <v>18.943086472133501</v>
      </c>
      <c r="AL3535">
        <v>91.759434024783104</v>
      </c>
      <c r="AM3535">
        <v>102.78449085235999</v>
      </c>
      <c r="AN3535">
        <v>0.99999997417891795</v>
      </c>
    </row>
    <row r="3536" spans="1:40" x14ac:dyDescent="0.25">
      <c r="A3536" t="str">
        <f>"20190305135659453"</f>
        <v>20190305135659453</v>
      </c>
      <c r="B3536" t="str">
        <f>"1551765419446169"</f>
        <v>1551765419446169</v>
      </c>
      <c r="C3536" t="s">
        <v>40</v>
      </c>
      <c r="D3536">
        <v>3.9337949999999999</v>
      </c>
      <c r="E3536">
        <v>0.50555360000000005</v>
      </c>
      <c r="F3536" t="s">
        <v>42</v>
      </c>
      <c r="G3536">
        <v>-420.56229999999999</v>
      </c>
      <c r="H3536" s="1">
        <v>-6.9782770000000002E-7</v>
      </c>
      <c r="I3536">
        <v>90.866969999999995</v>
      </c>
      <c r="J3536">
        <v>-421.28300000000002</v>
      </c>
      <c r="K3536">
        <v>1.1100909999999999</v>
      </c>
      <c r="L3536">
        <v>110.2758</v>
      </c>
      <c r="M3536">
        <v>-0.16985420000000001</v>
      </c>
      <c r="N3536">
        <v>-3.79788E-3</v>
      </c>
      <c r="O3536">
        <v>-0.98546180000000005</v>
      </c>
      <c r="P3536">
        <v>5.3273260000000003E-2</v>
      </c>
      <c r="Q3536">
        <v>-3.2824529999999998E-2</v>
      </c>
      <c r="R3536">
        <v>-0.99804020000000004</v>
      </c>
      <c r="S3536">
        <v>0.1022034</v>
      </c>
      <c r="T3536">
        <v>-0.1687437</v>
      </c>
      <c r="U3536">
        <v>-2.9946440000000001</v>
      </c>
      <c r="V3536">
        <v>-0.2218677</v>
      </c>
      <c r="W3536">
        <v>-3.027295E-2</v>
      </c>
      <c r="X3536">
        <v>0.97460670000000005</v>
      </c>
      <c r="Y3536">
        <v>-0.20329929999999999</v>
      </c>
      <c r="Z3536">
        <v>5.062577E-2</v>
      </c>
      <c r="AA3536">
        <v>0.97780690000000003</v>
      </c>
      <c r="AB3536">
        <v>29</v>
      </c>
      <c r="AC3536">
        <v>0.72070000000002199</v>
      </c>
      <c r="AD3536">
        <v>-1.1100916978277</v>
      </c>
      <c r="AE3536">
        <v>-19.408829999999998</v>
      </c>
      <c r="AF3536">
        <v>-3.9938757109885001</v>
      </c>
      <c r="AG3536">
        <v>-1.1100916978277</v>
      </c>
      <c r="AH3536">
        <v>18.942504183250701</v>
      </c>
      <c r="AI3536">
        <v>93.281890065206895</v>
      </c>
      <c r="AJ3536">
        <v>101.90597738258499</v>
      </c>
      <c r="AK3536">
        <v>19.390766140224599</v>
      </c>
      <c r="AL3536">
        <v>91.734777356018697</v>
      </c>
      <c r="AM3536">
        <v>102.824734136749</v>
      </c>
      <c r="AN3536">
        <v>0.99999997374494098</v>
      </c>
    </row>
    <row r="3537" spans="1:40" x14ac:dyDescent="0.25">
      <c r="A3537" t="str">
        <f>"20190305135659476"</f>
        <v>20190305135659476</v>
      </c>
      <c r="B3537" t="str">
        <f>"1551765419465690"</f>
        <v>1551765419465690</v>
      </c>
      <c r="C3537" t="s">
        <v>40</v>
      </c>
      <c r="D3537">
        <v>4.009887</v>
      </c>
      <c r="E3537">
        <v>0.50574790000000003</v>
      </c>
      <c r="F3537" t="s">
        <v>42</v>
      </c>
      <c r="G3537">
        <v>-420.54</v>
      </c>
      <c r="H3537" s="1">
        <v>-5.0138799999999996E-7</v>
      </c>
      <c r="I3537">
        <v>90.422939999999997</v>
      </c>
      <c r="J3537">
        <v>-421.3338</v>
      </c>
      <c r="K3537">
        <v>1.110088</v>
      </c>
      <c r="L3537">
        <v>109.96299999999999</v>
      </c>
      <c r="M3537">
        <v>-0.1668171</v>
      </c>
      <c r="N3537">
        <v>-3.589877E-3</v>
      </c>
      <c r="O3537">
        <v>-0.98598140000000001</v>
      </c>
      <c r="P3537">
        <v>5.6992519999999998E-2</v>
      </c>
      <c r="Q3537">
        <v>-3.2261999999999999E-2</v>
      </c>
      <c r="R3537">
        <v>-0.99785330000000005</v>
      </c>
      <c r="S3537">
        <v>0.11206049999999999</v>
      </c>
      <c r="T3537">
        <v>-0.16743350000000001</v>
      </c>
      <c r="U3537">
        <v>-2.9943849999999999</v>
      </c>
      <c r="V3537">
        <v>-0.22249969999999999</v>
      </c>
      <c r="W3537">
        <v>-2.9931949999999999E-2</v>
      </c>
      <c r="X3537">
        <v>0.97447320000000004</v>
      </c>
      <c r="Y3537">
        <v>-0.20350199999999999</v>
      </c>
      <c r="Z3537">
        <v>5.0455569999999998E-2</v>
      </c>
      <c r="AA3537">
        <v>0.97777360000000002</v>
      </c>
      <c r="AB3537">
        <v>29</v>
      </c>
      <c r="AC3537">
        <v>0.79379999999997597</v>
      </c>
      <c r="AD3537">
        <v>-1.110088501388</v>
      </c>
      <c r="AE3537">
        <v>-19.54006</v>
      </c>
      <c r="AF3537">
        <v>-4.0293307619774001</v>
      </c>
      <c r="AG3537">
        <v>-1.110088501388</v>
      </c>
      <c r="AH3537">
        <v>19.072383828341302</v>
      </c>
      <c r="AI3537">
        <v>93.259301855645006</v>
      </c>
      <c r="AJ3537">
        <v>101.929189595273</v>
      </c>
      <c r="AK3537">
        <v>19.524948854373601</v>
      </c>
      <c r="AL3537">
        <v>91.715230543599105</v>
      </c>
      <c r="AM3537">
        <v>102.861756168768</v>
      </c>
      <c r="AN3537">
        <v>1.00000002782456</v>
      </c>
    </row>
    <row r="3538" spans="1:40" x14ac:dyDescent="0.25">
      <c r="A3538" t="str">
        <f>"20190305135659497"</f>
        <v>20190305135659497</v>
      </c>
      <c r="B3538" t="str">
        <f>"1551765419486186"</f>
        <v>1551765419486186</v>
      </c>
      <c r="C3538" t="s">
        <v>40</v>
      </c>
      <c r="D3538">
        <v>3.9981949999999999</v>
      </c>
      <c r="E3538">
        <v>0.50593299999999997</v>
      </c>
      <c r="F3538" t="s">
        <v>42</v>
      </c>
      <c r="G3538">
        <v>-420.52</v>
      </c>
      <c r="H3538" s="1">
        <v>-2.8967880000000003E-7</v>
      </c>
      <c r="I3538">
        <v>89.941839999999999</v>
      </c>
      <c r="J3538">
        <v>-421.37860000000001</v>
      </c>
      <c r="K3538">
        <v>1.11009</v>
      </c>
      <c r="L3538">
        <v>109.6827</v>
      </c>
      <c r="M3538">
        <v>-0.16409939999999901</v>
      </c>
      <c r="N3538">
        <v>-3.4261880000000002E-3</v>
      </c>
      <c r="O3538">
        <v>-0.98643800000000004</v>
      </c>
      <c r="P3538">
        <v>6.040674E-2</v>
      </c>
      <c r="Q3538">
        <v>-3.2947459999999998E-2</v>
      </c>
      <c r="R3538">
        <v>-0.99763040000000003</v>
      </c>
      <c r="S3538">
        <v>0.1217041</v>
      </c>
      <c r="T3538">
        <v>-0.16601199999999999</v>
      </c>
      <c r="U3538">
        <v>-2.9941409999999999</v>
      </c>
      <c r="V3538">
        <v>-0.22313920000000001</v>
      </c>
      <c r="W3538">
        <v>-3.0794229999999999E-2</v>
      </c>
      <c r="X3538">
        <v>0.9743001</v>
      </c>
      <c r="Y3538">
        <v>-0.2039531</v>
      </c>
      <c r="Z3538">
        <v>5.0197430000000001E-2</v>
      </c>
      <c r="AA3538">
        <v>0.97769289999999998</v>
      </c>
      <c r="AB3538">
        <v>29</v>
      </c>
      <c r="AC3538">
        <v>0.85860000000002401</v>
      </c>
      <c r="AD3538">
        <v>-1.1100902896788001</v>
      </c>
      <c r="AE3538">
        <v>-19.740860000000001</v>
      </c>
      <c r="AF3538">
        <v>-4.0735853359828598</v>
      </c>
      <c r="AG3538">
        <v>-1.1100902896788001</v>
      </c>
      <c r="AH3538">
        <v>19.271524805683701</v>
      </c>
      <c r="AI3538">
        <v>93.225625002683898</v>
      </c>
      <c r="AJ3538">
        <v>101.935402435292</v>
      </c>
      <c r="AK3538">
        <v>19.7286103483458</v>
      </c>
      <c r="AL3538">
        <v>91.764658323474507</v>
      </c>
      <c r="AM3538">
        <v>102.899703222304</v>
      </c>
      <c r="AN3538">
        <v>1.00000003601897</v>
      </c>
    </row>
    <row r="3539" spans="1:40" x14ac:dyDescent="0.25">
      <c r="A3539" t="str">
        <f>"20190305135659518"</f>
        <v>20190305135659518</v>
      </c>
      <c r="B3539" t="str">
        <f>"1551765419505706"</f>
        <v>1551765419505706</v>
      </c>
      <c r="C3539" t="s">
        <v>40</v>
      </c>
      <c r="D3539">
        <v>4.0428810000000004</v>
      </c>
      <c r="E3539">
        <v>0.50613620000000004</v>
      </c>
      <c r="F3539" t="s">
        <v>42</v>
      </c>
      <c r="G3539">
        <v>-420.51740000000001</v>
      </c>
      <c r="H3539" s="1">
        <v>-2.8660859999999899E-7</v>
      </c>
      <c r="I3539">
        <v>89.936269999999993</v>
      </c>
      <c r="J3539">
        <v>-421.42079999999999</v>
      </c>
      <c r="K3539">
        <v>1.110088</v>
      </c>
      <c r="L3539">
        <v>109.4135</v>
      </c>
      <c r="M3539">
        <v>-0.16149530000000001</v>
      </c>
      <c r="N3539">
        <v>-3.287538E-3</v>
      </c>
      <c r="O3539">
        <v>-0.98686810000000003</v>
      </c>
      <c r="P3539">
        <v>6.3435370000000005E-2</v>
      </c>
      <c r="Q3539">
        <v>-3.4138170000000002E-2</v>
      </c>
      <c r="R3539">
        <v>-0.99740220000000002</v>
      </c>
      <c r="S3539">
        <v>0.13055419999999901</v>
      </c>
      <c r="T3539">
        <v>-0.168296</v>
      </c>
      <c r="U3539">
        <v>-2.993668</v>
      </c>
      <c r="V3539">
        <v>-0.22350980000000001</v>
      </c>
      <c r="W3539">
        <v>-3.2135329999999997E-2</v>
      </c>
      <c r="X3539">
        <v>0.97417180000000003</v>
      </c>
      <c r="Y3539">
        <v>-0.2042592</v>
      </c>
      <c r="Z3539">
        <v>5.1110910000000002E-2</v>
      </c>
      <c r="AA3539">
        <v>0.97758160000000005</v>
      </c>
      <c r="AB3539">
        <v>30</v>
      </c>
      <c r="AC3539">
        <v>0.903399999999976</v>
      </c>
      <c r="AD3539">
        <v>-1.1100882866085999</v>
      </c>
      <c r="AE3539">
        <v>-19.477229999999999</v>
      </c>
      <c r="AF3539">
        <v>-4.0239959608724396</v>
      </c>
      <c r="AG3539">
        <v>-1.1100882866085999</v>
      </c>
      <c r="AH3539">
        <v>19.014032078961598</v>
      </c>
      <c r="AI3539">
        <v>93.269039140961397</v>
      </c>
      <c r="AJ3539">
        <v>101.94935974829799</v>
      </c>
      <c r="AK3539">
        <v>19.466850166294599</v>
      </c>
      <c r="AL3539">
        <v>91.841535822175004</v>
      </c>
      <c r="AM3539">
        <v>102.922053775865</v>
      </c>
      <c r="AN3539">
        <v>1.0000000030227401</v>
      </c>
    </row>
    <row r="3540" spans="1:40" x14ac:dyDescent="0.25">
      <c r="A3540" t="str">
        <f>"20190305135659540"</f>
        <v>20190305135659540</v>
      </c>
      <c r="B3540" t="str">
        <f>"1551765419535962"</f>
        <v>1551765419535962</v>
      </c>
      <c r="C3540" t="s">
        <v>40</v>
      </c>
      <c r="D3540">
        <v>3.9887280000000001</v>
      </c>
      <c r="E3540">
        <v>0.50645010000000001</v>
      </c>
      <c r="F3540" t="s">
        <v>42</v>
      </c>
      <c r="G3540">
        <v>-420.5274</v>
      </c>
      <c r="H3540" s="1">
        <v>-3.3010709999999899E-7</v>
      </c>
      <c r="I3540">
        <v>90.031509999999997</v>
      </c>
      <c r="J3540">
        <v>-421.46690000000001</v>
      </c>
      <c r="K3540">
        <v>1.110088</v>
      </c>
      <c r="L3540">
        <v>109.1147</v>
      </c>
      <c r="M3540">
        <v>-0.158609</v>
      </c>
      <c r="N3540">
        <v>-3.1525670000000002E-3</v>
      </c>
      <c r="O3540">
        <v>-0.98733660000000001</v>
      </c>
      <c r="P3540">
        <v>6.7097210000000004E-2</v>
      </c>
      <c r="Q3540">
        <v>-3.5736450000000003E-2</v>
      </c>
      <c r="R3540">
        <v>-0.99710659999999895</v>
      </c>
      <c r="S3540">
        <v>0.13797000000000001</v>
      </c>
      <c r="T3540">
        <v>-0.17143169999999999</v>
      </c>
      <c r="U3540">
        <v>-2.993179</v>
      </c>
      <c r="V3540">
        <v>-0.22421820000000001</v>
      </c>
      <c r="W3540">
        <v>-3.388393E-2</v>
      </c>
      <c r="X3540">
        <v>0.97394970000000003</v>
      </c>
      <c r="Y3540">
        <v>-0.20381850000000001</v>
      </c>
      <c r="Z3540">
        <v>5.2304990000000003E-2</v>
      </c>
      <c r="AA3540">
        <v>0.97761050000000005</v>
      </c>
      <c r="AB3540">
        <v>30</v>
      </c>
      <c r="AC3540">
        <v>0.93950000000000899</v>
      </c>
      <c r="AD3540">
        <v>-1.1100883301071001</v>
      </c>
      <c r="AE3540">
        <v>-19.083189999999998</v>
      </c>
      <c r="AF3540">
        <v>-3.9410835934973498</v>
      </c>
      <c r="AG3540">
        <v>-1.1100883301071001</v>
      </c>
      <c r="AH3540">
        <v>18.6297206722728</v>
      </c>
      <c r="AI3540">
        <v>93.336382439401802</v>
      </c>
      <c r="AJ3540">
        <v>101.94471043326899</v>
      </c>
      <c r="AK3540">
        <v>19.0743526317011</v>
      </c>
      <c r="AL3540">
        <v>91.941777927380699</v>
      </c>
      <c r="AM3540">
        <v>102.964484303863</v>
      </c>
      <c r="AN3540">
        <v>0.99999997002678698</v>
      </c>
    </row>
    <row r="3541" spans="1:40" x14ac:dyDescent="0.25">
      <c r="A3541" t="str">
        <f>"20190305135659565"</f>
        <v>20190305135659565</v>
      </c>
      <c r="B3541" t="str">
        <f>"1551765419555482"</f>
        <v>1551765419555482</v>
      </c>
      <c r="C3541" t="s">
        <v>40</v>
      </c>
      <c r="D3541">
        <v>4.0391339999999998</v>
      </c>
      <c r="E3541">
        <v>0.50671029999999995</v>
      </c>
      <c r="F3541" t="s">
        <v>42</v>
      </c>
      <c r="G3541">
        <v>-420.54419999999999</v>
      </c>
      <c r="H3541" s="1">
        <v>-4.127809E-7</v>
      </c>
      <c r="I3541">
        <v>90.213790000000003</v>
      </c>
      <c r="J3541">
        <v>-421.51609999999999</v>
      </c>
      <c r="K3541">
        <v>1.1100969999999999</v>
      </c>
      <c r="L3541">
        <v>108.78870000000001</v>
      </c>
      <c r="M3541">
        <v>-0.15546380000000001</v>
      </c>
      <c r="N3541">
        <v>-3.025139E-3</v>
      </c>
      <c r="O3541">
        <v>-0.98783699999999997</v>
      </c>
      <c r="P3541">
        <v>7.0511519999999994E-2</v>
      </c>
      <c r="Q3541">
        <v>-3.6325780000000002E-2</v>
      </c>
      <c r="R3541">
        <v>-0.9968494</v>
      </c>
      <c r="S3541">
        <v>0.14608759999999901</v>
      </c>
      <c r="T3541">
        <v>-0.17575969999999999</v>
      </c>
      <c r="U3541">
        <v>-2.992569</v>
      </c>
      <c r="V3541">
        <v>-0.2244419</v>
      </c>
      <c r="W3541">
        <v>-3.4614760000000001E-2</v>
      </c>
      <c r="X3541">
        <v>0.97387250000000003</v>
      </c>
      <c r="Y3541">
        <v>-0.203352</v>
      </c>
      <c r="Z3541">
        <v>5.388275E-2</v>
      </c>
      <c r="AA3541">
        <v>0.97762190000000004</v>
      </c>
      <c r="AB3541">
        <v>30</v>
      </c>
      <c r="AC3541">
        <v>0.97190000000000498</v>
      </c>
      <c r="AD3541">
        <v>-1.11009741278089</v>
      </c>
      <c r="AE3541">
        <v>-18.574909999999999</v>
      </c>
      <c r="AF3541">
        <v>-3.83416541688042</v>
      </c>
      <c r="AG3541">
        <v>-1.11009741278089</v>
      </c>
      <c r="AH3541">
        <v>18.133381373404902</v>
      </c>
      <c r="AI3541">
        <v>93.427590889554807</v>
      </c>
      <c r="AJ3541">
        <v>101.938908119552</v>
      </c>
      <c r="AK3541">
        <v>18.567516278253599</v>
      </c>
      <c r="AL3541">
        <v>91.983675931039201</v>
      </c>
      <c r="AM3541">
        <v>102.977975078223</v>
      </c>
      <c r="AN3541">
        <v>0.99999999717085797</v>
      </c>
    </row>
    <row r="3542" spans="1:40" x14ac:dyDescent="0.25">
      <c r="A3542" t="str">
        <f>"20190305135659586"</f>
        <v>20190305135659586</v>
      </c>
      <c r="B3542" t="str">
        <f>"1551765419575978"</f>
        <v>1551765419575978</v>
      </c>
      <c r="C3542" t="s">
        <v>40</v>
      </c>
      <c r="D3542">
        <v>4.0847360000000004</v>
      </c>
      <c r="E3542">
        <v>0.50683590000000001</v>
      </c>
      <c r="F3542" t="s">
        <v>42</v>
      </c>
      <c r="G3542">
        <v>-420.55040000000002</v>
      </c>
      <c r="H3542" s="1">
        <v>-3.5883409999999999E-7</v>
      </c>
      <c r="I3542">
        <v>90.084180000000003</v>
      </c>
      <c r="J3542">
        <v>-421.55799999999999</v>
      </c>
      <c r="K3542">
        <v>1.1100969999999999</v>
      </c>
      <c r="L3542">
        <v>108.5067</v>
      </c>
      <c r="M3542">
        <v>-0.1527414</v>
      </c>
      <c r="N3542">
        <v>-2.9304349999999999E-3</v>
      </c>
      <c r="O3542">
        <v>-0.98826210000000003</v>
      </c>
      <c r="P3542">
        <v>7.3636989999999999E-2</v>
      </c>
      <c r="Q3542">
        <v>-3.653145E-2</v>
      </c>
      <c r="R3542">
        <v>-0.9966161</v>
      </c>
      <c r="S3542">
        <v>0.15448000000000001</v>
      </c>
      <c r="T3542">
        <v>-0.17757729999999999</v>
      </c>
      <c r="U3542">
        <v>-2.9920810000000002</v>
      </c>
      <c r="V3542">
        <v>-0.22480729999999999</v>
      </c>
      <c r="W3542">
        <v>-3.4929689999999999E-2</v>
      </c>
      <c r="X3542">
        <v>0.973777</v>
      </c>
      <c r="Y3542">
        <v>-0.20339560000000001</v>
      </c>
      <c r="Z3542">
        <v>5.4606580000000002E-2</v>
      </c>
      <c r="AA3542">
        <v>0.97757269999999996</v>
      </c>
      <c r="AB3542">
        <v>30</v>
      </c>
      <c r="AC3542">
        <v>1.00760000000002</v>
      </c>
      <c r="AD3542">
        <v>-1.1100973588341001</v>
      </c>
      <c r="AE3542">
        <v>-18.422519999999899</v>
      </c>
      <c r="AF3542">
        <v>-3.7959279542159399</v>
      </c>
      <c r="AG3542">
        <v>-1.1100973588341001</v>
      </c>
      <c r="AH3542">
        <v>17.9873321754974</v>
      </c>
      <c r="AI3542">
        <v>93.4556391713447</v>
      </c>
      <c r="AJ3542">
        <v>101.916476196269</v>
      </c>
      <c r="AK3542">
        <v>18.416989546920298</v>
      </c>
      <c r="AL3542">
        <v>92.001730952738995</v>
      </c>
      <c r="AM3542">
        <v>102.999618212629</v>
      </c>
      <c r="AN3542">
        <v>1.00000002555289</v>
      </c>
    </row>
    <row r="3543" spans="1:40" x14ac:dyDescent="0.25">
      <c r="A3543" t="str">
        <f>"20190305135659608"</f>
        <v>20190305135659608</v>
      </c>
      <c r="B3543" t="str">
        <f>"1551765419595498"</f>
        <v>1551765419595498</v>
      </c>
      <c r="C3543" t="s">
        <v>40</v>
      </c>
      <c r="D3543">
        <v>4.003552</v>
      </c>
      <c r="E3543">
        <v>0.5070057</v>
      </c>
      <c r="F3543" t="s">
        <v>42</v>
      </c>
      <c r="G3543">
        <v>-420.54329999999999</v>
      </c>
      <c r="H3543" s="1">
        <v>-2.6463699999999999E-7</v>
      </c>
      <c r="I3543">
        <v>89.869029999999995</v>
      </c>
      <c r="J3543">
        <v>-421.5992</v>
      </c>
      <c r="K3543">
        <v>1.1101110000000001</v>
      </c>
      <c r="L3543">
        <v>108.2227</v>
      </c>
      <c r="M3543">
        <v>-0.1499925</v>
      </c>
      <c r="N3543">
        <v>-2.847713E-3</v>
      </c>
      <c r="O3543">
        <v>-0.98868319999999998</v>
      </c>
      <c r="P3543">
        <v>7.6862219999999995E-2</v>
      </c>
      <c r="Q3543">
        <v>-3.6865259999999997E-2</v>
      </c>
      <c r="R3543">
        <v>-0.99636020000000003</v>
      </c>
      <c r="S3543">
        <v>0.1628723</v>
      </c>
      <c r="T3543">
        <v>-0.1781884</v>
      </c>
      <c r="U3543">
        <v>-2.991638</v>
      </c>
      <c r="V3543">
        <v>-0.225244</v>
      </c>
      <c r="W3543">
        <v>-3.5363550000000001E-2</v>
      </c>
      <c r="X3543">
        <v>0.97366039999999998</v>
      </c>
      <c r="Y3543">
        <v>-0.2034144</v>
      </c>
      <c r="Z3543">
        <v>5.4928110000000002E-2</v>
      </c>
      <c r="AA3543">
        <v>0.97755069999999999</v>
      </c>
      <c r="AB3543">
        <v>30</v>
      </c>
      <c r="AC3543">
        <v>1.0559000000000001</v>
      </c>
      <c r="AD3543">
        <v>-1.1101112646369999</v>
      </c>
      <c r="AE3543">
        <v>-18.353669999999902</v>
      </c>
      <c r="AF3543">
        <v>-3.7830839575412201</v>
      </c>
      <c r="AG3543">
        <v>-1.1101112646369999</v>
      </c>
      <c r="AH3543">
        <v>17.9223080065257</v>
      </c>
      <c r="AI3543">
        <v>93.468155157013399</v>
      </c>
      <c r="AJ3543">
        <v>101.91916421277099</v>
      </c>
      <c r="AK3543">
        <v>18.350836371415198</v>
      </c>
      <c r="AL3543">
        <v>92.026604703879897</v>
      </c>
      <c r="AM3543">
        <v>103.025517013159</v>
      </c>
      <c r="AN3543">
        <v>1.00000000736638</v>
      </c>
    </row>
    <row r="3544" spans="1:40" x14ac:dyDescent="0.25">
      <c r="A3544" t="str">
        <f>"20190305135659630"</f>
        <v>20190305135659630</v>
      </c>
      <c r="B3544" t="str">
        <f>"1551765419615993"</f>
        <v>1551765419615993</v>
      </c>
      <c r="C3544" t="s">
        <v>40</v>
      </c>
      <c r="D3544">
        <v>4.0700529999999997</v>
      </c>
      <c r="E3544">
        <v>0.50716759999999905</v>
      </c>
      <c r="F3544" t="s">
        <v>42</v>
      </c>
      <c r="G3544">
        <v>-420.5421</v>
      </c>
      <c r="H3544" s="1">
        <v>-2.018327E-7</v>
      </c>
      <c r="I3544">
        <v>89.72336</v>
      </c>
      <c r="J3544">
        <v>-421.64269999999999</v>
      </c>
      <c r="K3544">
        <v>1.1101369999999999</v>
      </c>
      <c r="L3544">
        <v>107.9174</v>
      </c>
      <c r="M3544">
        <v>-0.14702000000000001</v>
      </c>
      <c r="N3544">
        <v>-2.7712470000000001E-3</v>
      </c>
      <c r="O3544">
        <v>-0.98912979999999995</v>
      </c>
      <c r="P3544">
        <v>7.9855449999999994E-2</v>
      </c>
      <c r="Q3544">
        <v>-3.6693299999999998E-2</v>
      </c>
      <c r="R3544">
        <v>-0.9961314</v>
      </c>
      <c r="S3544">
        <v>0.170929</v>
      </c>
      <c r="T3544">
        <v>-0.17949270000000001</v>
      </c>
      <c r="U3544">
        <v>-2.9911349999999999</v>
      </c>
      <c r="V3544">
        <v>-0.22524089999999999</v>
      </c>
      <c r="W3544">
        <v>-3.5286909999999998E-2</v>
      </c>
      <c r="X3544">
        <v>0.97366390000000003</v>
      </c>
      <c r="Y3544">
        <v>-0.2031039</v>
      </c>
      <c r="Z3544">
        <v>5.5473340000000003E-2</v>
      </c>
      <c r="AA3544">
        <v>0.97758449999999997</v>
      </c>
      <c r="AB3544">
        <v>30</v>
      </c>
      <c r="AC3544">
        <v>1.10059999999998</v>
      </c>
      <c r="AD3544">
        <v>-1.1101372018327</v>
      </c>
      <c r="AE3544">
        <v>-18.194040000000001</v>
      </c>
      <c r="AF3544">
        <v>-3.74962883107824</v>
      </c>
      <c r="AG3544">
        <v>-1.1101372018327</v>
      </c>
      <c r="AH3544">
        <v>17.768610901883999</v>
      </c>
      <c r="AI3544">
        <v>93.498201955157398</v>
      </c>
      <c r="AJ3544">
        <v>101.91603898024999</v>
      </c>
      <c r="AK3544">
        <v>18.193835614303499</v>
      </c>
      <c r="AL3544">
        <v>92.022210808474895</v>
      </c>
      <c r="AM3544">
        <v>103.025298632736</v>
      </c>
      <c r="AN3544">
        <v>1.0000000096066799</v>
      </c>
    </row>
    <row r="3545" spans="1:40" x14ac:dyDescent="0.25">
      <c r="A3545" t="str">
        <f>"20190305135659656"</f>
        <v>20190305135659656</v>
      </c>
      <c r="B3545" t="str">
        <f>"1551765419646249"</f>
        <v>1551765419646249</v>
      </c>
      <c r="C3545" t="s">
        <v>40</v>
      </c>
      <c r="D3545">
        <v>4.1088329999999997</v>
      </c>
      <c r="E3545">
        <v>0.50746289999999905</v>
      </c>
      <c r="F3545" t="s">
        <v>42</v>
      </c>
      <c r="G3545">
        <v>-420.53530000000001</v>
      </c>
      <c r="H3545" s="1">
        <v>-4.3176290000000001E-6</v>
      </c>
      <c r="I3545">
        <v>89.395290000000003</v>
      </c>
      <c r="J3545">
        <v>-421.6909</v>
      </c>
      <c r="K3545">
        <v>1.1101730000000001</v>
      </c>
      <c r="L3545">
        <v>107.5699</v>
      </c>
      <c r="M3545">
        <v>-0.14360000000000001</v>
      </c>
      <c r="N3545">
        <v>-2.699711E-3</v>
      </c>
      <c r="O3545">
        <v>-0.98963239999999997</v>
      </c>
      <c r="P3545">
        <v>8.3566340000000003E-2</v>
      </c>
      <c r="Q3545">
        <v>-3.6375560000000001E-2</v>
      </c>
      <c r="R3545">
        <v>-0.99583829999999995</v>
      </c>
      <c r="S3545">
        <v>0.1788025</v>
      </c>
      <c r="T3545">
        <v>-0.17925179999999999</v>
      </c>
      <c r="U3545">
        <v>-2.990723</v>
      </c>
      <c r="V3545">
        <v>-0.2255017</v>
      </c>
      <c r="W3545">
        <v>-3.5069450000000002E-2</v>
      </c>
      <c r="X3545">
        <v>0.97361140000000002</v>
      </c>
      <c r="Y3545">
        <v>-0.20229240000000001</v>
      </c>
      <c r="Z3545">
        <v>5.5520489999999999E-2</v>
      </c>
      <c r="AA3545">
        <v>0.97775009999999996</v>
      </c>
      <c r="AB3545">
        <v>31</v>
      </c>
      <c r="AC3545">
        <v>1.15559999999999</v>
      </c>
      <c r="AD3545">
        <v>-1.110177317629</v>
      </c>
      <c r="AE3545">
        <v>-18.174610000000001</v>
      </c>
      <c r="AF3545">
        <v>-3.7396086354501299</v>
      </c>
      <c r="AG3545">
        <v>-1.110177317629</v>
      </c>
      <c r="AH3545">
        <v>17.754319835537199</v>
      </c>
      <c r="AI3545">
        <v>93.5014151095111</v>
      </c>
      <c r="AJ3545">
        <v>101.894396673279</v>
      </c>
      <c r="AK3545">
        <v>18.177817229949898</v>
      </c>
      <c r="AL3545">
        <v>92.009743529687796</v>
      </c>
      <c r="AM3545">
        <v>103.040544235986</v>
      </c>
      <c r="AN3545">
        <v>1.0000000206180699</v>
      </c>
    </row>
    <row r="3546" spans="1:40" x14ac:dyDescent="0.25">
      <c r="A3546" t="str">
        <f>"20190305135659678"</f>
        <v>20190305135659678</v>
      </c>
      <c r="B3546" t="str">
        <f>"1551765419665769"</f>
        <v>1551765419665769</v>
      </c>
      <c r="C3546" t="s">
        <v>40</v>
      </c>
      <c r="D3546">
        <v>4.0871230000000001</v>
      </c>
      <c r="E3546">
        <v>0.50764629999999999</v>
      </c>
      <c r="F3546" t="s">
        <v>42</v>
      </c>
      <c r="G3546">
        <v>-420.51960000000003</v>
      </c>
      <c r="H3546" s="1">
        <v>-4.1356330000000001E-6</v>
      </c>
      <c r="I3546">
        <v>88.907110000000003</v>
      </c>
      <c r="J3546">
        <v>-421.73250000000002</v>
      </c>
      <c r="K3546">
        <v>1.1102050000000001</v>
      </c>
      <c r="L3546">
        <v>107.26300000000001</v>
      </c>
      <c r="M3546">
        <v>-0.1405516</v>
      </c>
      <c r="N3546">
        <v>-2.6463179999999999E-3</v>
      </c>
      <c r="O3546">
        <v>-0.99006970000000005</v>
      </c>
      <c r="P3546">
        <v>8.6338390000000001E-2</v>
      </c>
      <c r="Q3546">
        <v>-3.6213919999999997E-2</v>
      </c>
      <c r="R3546">
        <v>-0.99560740000000003</v>
      </c>
      <c r="S3546">
        <v>0.18768309999999999</v>
      </c>
      <c r="T3546">
        <v>-0.17788209999999999</v>
      </c>
      <c r="U3546">
        <v>-2.9903110000000002</v>
      </c>
      <c r="V3546">
        <v>-0.22521079999999999</v>
      </c>
      <c r="W3546">
        <v>-3.4985450000000001E-2</v>
      </c>
      <c r="X3546">
        <v>0.97368169999999998</v>
      </c>
      <c r="Y3546">
        <v>-0.2021792</v>
      </c>
      <c r="Z3546">
        <v>5.5172579999999999E-2</v>
      </c>
      <c r="AA3546">
        <v>0.97779320000000003</v>
      </c>
      <c r="AB3546">
        <v>31</v>
      </c>
      <c r="AC3546">
        <v>1.2128999999999901</v>
      </c>
      <c r="AD3546">
        <v>-1.1102091356329999</v>
      </c>
      <c r="AE3546">
        <v>-18.355889999999899</v>
      </c>
      <c r="AF3546">
        <v>-3.76709831350554</v>
      </c>
      <c r="AG3546">
        <v>-1.1102091356329999</v>
      </c>
      <c r="AH3546">
        <v>17.937866887312701</v>
      </c>
      <c r="AI3546">
        <v>93.466207844663103</v>
      </c>
      <c r="AJ3546">
        <v>101.860226582666</v>
      </c>
      <c r="AK3546">
        <v>18.362752040350799</v>
      </c>
      <c r="AL3546">
        <v>92.004927831559897</v>
      </c>
      <c r="AM3546">
        <v>103.023387374176</v>
      </c>
      <c r="AN3546">
        <v>0.99999996953161496</v>
      </c>
    </row>
    <row r="3547" spans="1:40" x14ac:dyDescent="0.25">
      <c r="A3547" t="str">
        <f>"20190305135659697"</f>
        <v>20190305135659697</v>
      </c>
      <c r="B3547" t="str">
        <f>"1551765419686266"</f>
        <v>1551765419686266</v>
      </c>
      <c r="C3547" t="s">
        <v>40</v>
      </c>
      <c r="D3547">
        <v>4.1061290000000001</v>
      </c>
      <c r="E3547">
        <v>0.50786179999999903</v>
      </c>
      <c r="F3547" t="s">
        <v>42</v>
      </c>
      <c r="G3547">
        <v>-420.51310000000001</v>
      </c>
      <c r="H3547" s="1">
        <v>-3.9675459999999997E-6</v>
      </c>
      <c r="I3547">
        <v>88.519310000000004</v>
      </c>
      <c r="J3547">
        <v>-421.76909999999998</v>
      </c>
      <c r="K3547">
        <v>1.1102379999999901</v>
      </c>
      <c r="L3547">
        <v>106.9873</v>
      </c>
      <c r="M3547">
        <v>-0.13777909999999999</v>
      </c>
      <c r="N3547">
        <v>-2.6055290000000001E-3</v>
      </c>
      <c r="O3547">
        <v>-0.9904596</v>
      </c>
      <c r="P3547">
        <v>8.9440729999999996E-2</v>
      </c>
      <c r="Q3547">
        <v>-3.6451820000000003E-2</v>
      </c>
      <c r="R3547">
        <v>-0.99532529999999997</v>
      </c>
      <c r="S3547">
        <v>0.194519</v>
      </c>
      <c r="T3547">
        <v>-0.17709539999999999</v>
      </c>
      <c r="U3547">
        <v>-2.9899140000000002</v>
      </c>
      <c r="V3547">
        <v>-0.22551199999999999</v>
      </c>
      <c r="W3547">
        <v>-3.5292280000000002E-2</v>
      </c>
      <c r="X3547">
        <v>0.97360089999999999</v>
      </c>
      <c r="Y3547">
        <v>-0.20167299999999999</v>
      </c>
      <c r="Z3547">
        <v>5.4999449999999998E-2</v>
      </c>
      <c r="AA3547">
        <v>0.97790750000000004</v>
      </c>
      <c r="AB3547">
        <v>31</v>
      </c>
      <c r="AC3547">
        <v>1.25599999999997</v>
      </c>
      <c r="AD3547">
        <v>-1.11024196754599</v>
      </c>
      <c r="AE3547">
        <v>-18.46799</v>
      </c>
      <c r="AF3547">
        <v>-3.7749528761216502</v>
      </c>
      <c r="AG3547">
        <v>-1.11024196754599</v>
      </c>
      <c r="AH3547">
        <v>18.053860706564901</v>
      </c>
      <c r="AI3547">
        <v>93.444723849632098</v>
      </c>
      <c r="AJ3547">
        <v>101.810049367757</v>
      </c>
      <c r="AK3547">
        <v>18.477683644209499</v>
      </c>
      <c r="AL3547">
        <v>92.022518779295297</v>
      </c>
      <c r="AM3547">
        <v>103.041255352646</v>
      </c>
      <c r="AN3547">
        <v>0.99999995982620304</v>
      </c>
    </row>
    <row r="3548" spans="1:40" x14ac:dyDescent="0.25">
      <c r="A3548" t="str">
        <f>"20190305135659720"</f>
        <v>20190305135659720</v>
      </c>
      <c r="B3548" t="str">
        <f>"1551765419715546"</f>
        <v>1551765419715546</v>
      </c>
      <c r="C3548" t="s">
        <v>40</v>
      </c>
      <c r="D3548">
        <v>4.0512240000000004</v>
      </c>
      <c r="E3548">
        <v>0.50803019999999999</v>
      </c>
      <c r="F3548" t="s">
        <v>42</v>
      </c>
      <c r="G3548">
        <v>-420.50470000000001</v>
      </c>
      <c r="H3548" s="1">
        <v>-3.855133E-6</v>
      </c>
      <c r="I3548">
        <v>88.262500000000003</v>
      </c>
      <c r="J3548">
        <v>-421.8091</v>
      </c>
      <c r="K3548">
        <v>1.110287</v>
      </c>
      <c r="L3548">
        <v>106.67829999999999</v>
      </c>
      <c r="M3548">
        <v>-0.13462249999999901</v>
      </c>
      <c r="N3548">
        <v>-2.5674299999999999E-3</v>
      </c>
      <c r="O3548">
        <v>-0.99089369999999999</v>
      </c>
      <c r="P3548">
        <v>9.2511969999999999E-2</v>
      </c>
      <c r="Q3548">
        <v>-3.6808100000000003E-2</v>
      </c>
      <c r="R3548">
        <v>-0.99503109999999995</v>
      </c>
      <c r="S3548">
        <v>0.20187379999999999</v>
      </c>
      <c r="T3548">
        <v>-0.17725239999999901</v>
      </c>
      <c r="U3548">
        <v>-2.9894560000000001</v>
      </c>
      <c r="V3548">
        <v>-0.22540499999999999</v>
      </c>
      <c r="W3548">
        <v>-3.5719760000000003E-2</v>
      </c>
      <c r="X3548">
        <v>0.97361010000000003</v>
      </c>
      <c r="Y3548">
        <v>-0.2009571</v>
      </c>
      <c r="Z3548">
        <v>5.5135370000000003E-2</v>
      </c>
      <c r="AA3548">
        <v>0.97804720000000001</v>
      </c>
      <c r="AB3548">
        <v>31</v>
      </c>
      <c r="AC3548">
        <v>1.30439999999998</v>
      </c>
      <c r="AD3548">
        <v>-1.110290855133</v>
      </c>
      <c r="AE3548">
        <v>-18.415799999999901</v>
      </c>
      <c r="AF3548">
        <v>-3.7581227512217099</v>
      </c>
      <c r="AG3548">
        <v>-1.110290855133</v>
      </c>
      <c r="AH3548">
        <v>18.007428528906299</v>
      </c>
      <c r="AI3548">
        <v>93.454009049048196</v>
      </c>
      <c r="AJ3548">
        <v>101.788337914563</v>
      </c>
      <c r="AK3548">
        <v>18.4288826199504</v>
      </c>
      <c r="AL3548">
        <v>92.047027010681404</v>
      </c>
      <c r="AM3548">
        <v>103.03515999069199</v>
      </c>
      <c r="AN3548">
        <v>0.99999997105073302</v>
      </c>
    </row>
    <row r="3549" spans="1:40" x14ac:dyDescent="0.25">
      <c r="A3549" t="str">
        <f>"20190305135659742"</f>
        <v>20190305135659742</v>
      </c>
      <c r="B3549" t="str">
        <f>"1551765419736044"</f>
        <v>1551765419736044</v>
      </c>
      <c r="C3549" t="s">
        <v>40</v>
      </c>
      <c r="D3549">
        <v>4.0390079999999999</v>
      </c>
      <c r="E3549">
        <v>0.50806340000000005</v>
      </c>
      <c r="F3549" t="s">
        <v>42</v>
      </c>
      <c r="G3549">
        <v>-420.50220000000002</v>
      </c>
      <c r="H3549" s="1">
        <v>-3.7793669999999999E-6</v>
      </c>
      <c r="I3549">
        <v>88.087409999999906</v>
      </c>
      <c r="J3549">
        <v>-421.8492</v>
      </c>
      <c r="K3549">
        <v>1.110344</v>
      </c>
      <c r="L3549">
        <v>106.36150000000001</v>
      </c>
      <c r="M3549">
        <v>-0.1313261</v>
      </c>
      <c r="N3549">
        <v>-2.535608E-3</v>
      </c>
      <c r="O3549">
        <v>-0.99133599999999999</v>
      </c>
      <c r="P3549">
        <v>9.5803459999999993E-2</v>
      </c>
      <c r="Q3549">
        <v>-3.6969120000000001E-2</v>
      </c>
      <c r="R3549">
        <v>-0.99471359999999998</v>
      </c>
      <c r="S3549">
        <v>0.21011350000000001</v>
      </c>
      <c r="T3549">
        <v>-0.17850150000000001</v>
      </c>
      <c r="U3549">
        <v>-2.988861</v>
      </c>
      <c r="V3549">
        <v>-0.22537940000000001</v>
      </c>
      <c r="W3549">
        <v>-3.5951429999999999E-2</v>
      </c>
      <c r="X3549">
        <v>0.97360749999999996</v>
      </c>
      <c r="Y3549">
        <v>-0.20039399999999999</v>
      </c>
      <c r="Z3549">
        <v>5.5621379999999998E-2</v>
      </c>
      <c r="AA3549">
        <v>0.97813519999999998</v>
      </c>
      <c r="AB3549">
        <v>31</v>
      </c>
      <c r="AC3549">
        <v>1.34699999999998</v>
      </c>
      <c r="AD3549">
        <v>-1.110347779367</v>
      </c>
      <c r="AE3549">
        <v>-18.274090000000001</v>
      </c>
      <c r="AF3549">
        <v>-3.7215412939411099</v>
      </c>
      <c r="AG3549">
        <v>-1.110347779367</v>
      </c>
      <c r="AH3549">
        <v>17.873295028673201</v>
      </c>
      <c r="AI3549">
        <v>93.480378070133995</v>
      </c>
      <c r="AJ3549">
        <v>101.761954169232</v>
      </c>
      <c r="AK3549">
        <v>18.290364047105498</v>
      </c>
      <c r="AL3549">
        <v>92.060309254282203</v>
      </c>
      <c r="AM3549">
        <v>103.033763711879</v>
      </c>
      <c r="AN3549">
        <v>0.99999997165982701</v>
      </c>
    </row>
    <row r="3550" spans="1:40" x14ac:dyDescent="0.25">
      <c r="A3550" t="str">
        <f>"20190305135659765"</f>
        <v>20190305135659765</v>
      </c>
      <c r="B3550" t="str">
        <f>"1551765419755562"</f>
        <v>1551765419755562</v>
      </c>
      <c r="C3550" t="s">
        <v>40</v>
      </c>
      <c r="D3550">
        <v>4.0583130000000001</v>
      </c>
      <c r="E3550">
        <v>0.50803149999999997</v>
      </c>
      <c r="F3550" t="s">
        <v>42</v>
      </c>
      <c r="G3550">
        <v>-420.48750000000001</v>
      </c>
      <c r="H3550" s="1">
        <v>-3.6663809999999999E-6</v>
      </c>
      <c r="I3550">
        <v>87.833179999999999</v>
      </c>
      <c r="J3550">
        <v>-421.887</v>
      </c>
      <c r="K3550">
        <v>1.1104000000000001</v>
      </c>
      <c r="L3550">
        <v>106.05329999999999</v>
      </c>
      <c r="M3550">
        <v>-0.12806149999999999</v>
      </c>
      <c r="N3550">
        <v>-2.5105209999999999E-3</v>
      </c>
      <c r="O3550">
        <v>-0.99176310000000001</v>
      </c>
      <c r="P3550">
        <v>9.9372870000000002E-2</v>
      </c>
      <c r="Q3550">
        <v>-3.7173089999999999E-2</v>
      </c>
      <c r="R3550">
        <v>-0.99435580000000001</v>
      </c>
      <c r="S3550">
        <v>0.21960450000000001</v>
      </c>
      <c r="T3550">
        <v>-0.17907200000000001</v>
      </c>
      <c r="U3550">
        <v>-2.988159</v>
      </c>
      <c r="V3550">
        <v>-0.2256591</v>
      </c>
      <c r="W3550">
        <v>-3.622268E-2</v>
      </c>
      <c r="X3550">
        <v>0.97353270000000003</v>
      </c>
      <c r="Y3550">
        <v>-0.20027439999999999</v>
      </c>
      <c r="Z3550">
        <v>5.5877620000000003E-2</v>
      </c>
      <c r="AA3550">
        <v>0.97814509999999999</v>
      </c>
      <c r="AB3550">
        <v>32</v>
      </c>
      <c r="AC3550">
        <v>1.39949999999993</v>
      </c>
      <c r="AD3550">
        <v>-1.110403666381</v>
      </c>
      <c r="AE3550">
        <v>-18.220119999999898</v>
      </c>
      <c r="AF3550">
        <v>-3.7075901287420101</v>
      </c>
      <c r="AG3550">
        <v>-1.110403666381</v>
      </c>
      <c r="AH3550">
        <v>17.8250595224908</v>
      </c>
      <c r="AI3550">
        <v>93.490100355783696</v>
      </c>
      <c r="AJ3550">
        <v>101.74991501264</v>
      </c>
      <c r="AK3550">
        <v>18.240393851158998</v>
      </c>
      <c r="AL3550">
        <v>92.075860774570501</v>
      </c>
      <c r="AM3550">
        <v>103.050353904716</v>
      </c>
      <c r="AN3550">
        <v>1.0000000149642401</v>
      </c>
    </row>
    <row r="3551" spans="1:40" x14ac:dyDescent="0.25">
      <c r="A3551" t="str">
        <f>"20190305135659786"</f>
        <v>20190305135659786</v>
      </c>
      <c r="B3551" t="str">
        <f>"1551765419776058"</f>
        <v>1551765419776058</v>
      </c>
      <c r="C3551" t="s">
        <v>40</v>
      </c>
      <c r="D3551">
        <v>4.0482230000000001</v>
      </c>
      <c r="E3551">
        <v>0.50809119999999997</v>
      </c>
      <c r="F3551" t="s">
        <v>42</v>
      </c>
      <c r="G3551">
        <v>-420.459</v>
      </c>
      <c r="H3551" s="1">
        <v>-3.520921E-6</v>
      </c>
      <c r="I3551">
        <v>87.511769999999999</v>
      </c>
      <c r="J3551">
        <v>-421.92329999999998</v>
      </c>
      <c r="K3551">
        <v>1.1104639999999999</v>
      </c>
      <c r="L3551">
        <v>105.7492</v>
      </c>
      <c r="M3551">
        <v>-0.124787</v>
      </c>
      <c r="N3551">
        <v>-2.4905230000000001E-3</v>
      </c>
      <c r="O3551">
        <v>-0.99218039999999996</v>
      </c>
      <c r="P3551">
        <v>0.1031111</v>
      </c>
      <c r="Q3551">
        <v>-3.720975E-2</v>
      </c>
      <c r="R3551">
        <v>-0.99397369999999996</v>
      </c>
      <c r="S3551">
        <v>0.230072</v>
      </c>
      <c r="T3551">
        <v>-0.17890429999999999</v>
      </c>
      <c r="U3551">
        <v>-2.9873500000000002</v>
      </c>
      <c r="V3551">
        <v>-0.2260992</v>
      </c>
      <c r="W3551">
        <v>-3.6322199999999999E-2</v>
      </c>
      <c r="X3551">
        <v>0.97342689999999998</v>
      </c>
      <c r="Y3551">
        <v>-0.20046800000000001</v>
      </c>
      <c r="Z3551">
        <v>5.588717E-2</v>
      </c>
      <c r="AA3551">
        <v>0.97810490000000005</v>
      </c>
      <c r="AB3551">
        <v>32</v>
      </c>
      <c r="AC3551">
        <v>1.46429999999998</v>
      </c>
      <c r="AD3551">
        <v>-1.110467520921</v>
      </c>
      <c r="AE3551">
        <v>-18.23743</v>
      </c>
      <c r="AF3551">
        <v>-3.7149704708064801</v>
      </c>
      <c r="AG3551">
        <v>-1.110467520921</v>
      </c>
      <c r="AH3551">
        <v>17.846408794649001</v>
      </c>
      <c r="AI3551">
        <v>93.486021245990997</v>
      </c>
      <c r="AJ3551">
        <v>101.758961281832</v>
      </c>
      <c r="AK3551">
        <v>18.262761307636602</v>
      </c>
      <c r="AL3551">
        <v>92.081566553014298</v>
      </c>
      <c r="AM3551">
        <v>103.076304445028</v>
      </c>
      <c r="AN3551">
        <v>1.00000004004854</v>
      </c>
    </row>
    <row r="3552" spans="1:40" x14ac:dyDescent="0.25">
      <c r="A3552" t="str">
        <f>"20190305135659808"</f>
        <v>20190305135659808</v>
      </c>
      <c r="B3552" t="str">
        <f>"1551765419806314"</f>
        <v>1551765419806314</v>
      </c>
      <c r="C3552" t="s">
        <v>40</v>
      </c>
      <c r="D3552">
        <v>4.0259900000000002</v>
      </c>
      <c r="E3552">
        <v>0.50821930000000004</v>
      </c>
      <c r="F3552" t="s">
        <v>42</v>
      </c>
      <c r="G3552">
        <v>-420.41759999999999</v>
      </c>
      <c r="H3552" s="1">
        <v>-3.3312509999999999E-6</v>
      </c>
      <c r="I3552">
        <v>87.095309999999998</v>
      </c>
      <c r="J3552">
        <v>-421.9599</v>
      </c>
      <c r="K3552">
        <v>1.110533</v>
      </c>
      <c r="L3552">
        <v>105.43340000000001</v>
      </c>
      <c r="M3552">
        <v>-0.1213388</v>
      </c>
      <c r="N3552">
        <v>-2.4738170000000001E-3</v>
      </c>
      <c r="O3552">
        <v>-0.99260800000000005</v>
      </c>
      <c r="P3552">
        <v>0.1068268</v>
      </c>
      <c r="Q3552">
        <v>-3.6378069999999998E-2</v>
      </c>
      <c r="R3552">
        <v>-0.99361180000000004</v>
      </c>
      <c r="S3552">
        <v>0.2410583</v>
      </c>
      <c r="T3552">
        <v>-0.17778859999999999</v>
      </c>
      <c r="U3552">
        <v>-2.986542</v>
      </c>
      <c r="V3552">
        <v>-0.22635939999999999</v>
      </c>
      <c r="W3552">
        <v>-3.5548179999999999E-2</v>
      </c>
      <c r="X3552">
        <v>0.97339500000000001</v>
      </c>
      <c r="Y3552">
        <v>-0.2006618</v>
      </c>
      <c r="Z3552">
        <v>5.5584990000000001E-2</v>
      </c>
      <c r="AA3552">
        <v>0.97808240000000002</v>
      </c>
      <c r="AB3552">
        <v>32</v>
      </c>
      <c r="AC3552">
        <v>1.54230000000001</v>
      </c>
      <c r="AD3552">
        <v>-1.1105363312509999</v>
      </c>
      <c r="AE3552">
        <v>-18.338090000000001</v>
      </c>
      <c r="AF3552">
        <v>-3.74240443382938</v>
      </c>
      <c r="AG3552">
        <v>-1.1105363312509999</v>
      </c>
      <c r="AH3552">
        <v>17.950082722959198</v>
      </c>
      <c r="AI3552">
        <v>93.465925475800304</v>
      </c>
      <c r="AJ3552">
        <v>101.776866180276</v>
      </c>
      <c r="AK3552">
        <v>18.3696584521992</v>
      </c>
      <c r="AL3552">
        <v>92.037189815541595</v>
      </c>
      <c r="AM3552">
        <v>103.091249194932</v>
      </c>
      <c r="AN3552">
        <v>1.00000003854733</v>
      </c>
    </row>
    <row r="3553" spans="1:40" x14ac:dyDescent="0.25">
      <c r="A3553" t="str">
        <f>"20190305135659832"</f>
        <v>20190305135659832</v>
      </c>
      <c r="B3553" t="str">
        <f>"1551765419825834"</f>
        <v>1551765419825834</v>
      </c>
      <c r="C3553" t="s">
        <v>40</v>
      </c>
      <c r="D3553">
        <v>4.0399960000000004</v>
      </c>
      <c r="E3553">
        <v>0.50825819999999999</v>
      </c>
      <c r="F3553" t="s">
        <v>42</v>
      </c>
      <c r="G3553">
        <v>-420.35840000000002</v>
      </c>
      <c r="H3553" s="1">
        <v>-3.020678E-6</v>
      </c>
      <c r="I3553">
        <v>86.408079999999998</v>
      </c>
      <c r="J3553">
        <v>-421.99680000000001</v>
      </c>
      <c r="K3553">
        <v>1.1106009999999999</v>
      </c>
      <c r="L3553">
        <v>105.1041</v>
      </c>
      <c r="M3553">
        <v>-0.1177034</v>
      </c>
      <c r="N3553">
        <v>-2.4603070000000001E-3</v>
      </c>
      <c r="O3553">
        <v>-0.99304599999999998</v>
      </c>
      <c r="P3553">
        <v>0.1105796</v>
      </c>
      <c r="Q3553">
        <v>-3.5794640000000003E-2</v>
      </c>
      <c r="R3553">
        <v>-0.99322279999999996</v>
      </c>
      <c r="S3553">
        <v>0.25134279999999998</v>
      </c>
      <c r="T3553">
        <v>-0.17429140000000001</v>
      </c>
      <c r="U3553">
        <v>-2.9859010000000001</v>
      </c>
      <c r="V3553">
        <v>-0.22647320000000001</v>
      </c>
      <c r="W3553">
        <v>-3.5015299999999999E-2</v>
      </c>
      <c r="X3553">
        <v>0.97338780000000003</v>
      </c>
      <c r="Y3553">
        <v>-0.20044319999999999</v>
      </c>
      <c r="Z3553">
        <v>5.450356E-2</v>
      </c>
      <c r="AA3553">
        <v>0.97818799999999995</v>
      </c>
      <c r="AB3553">
        <v>32</v>
      </c>
      <c r="AC3553">
        <v>1.6383999999999801</v>
      </c>
      <c r="AD3553">
        <v>-1.1106040206779999</v>
      </c>
      <c r="AE3553">
        <v>-18.696020000000001</v>
      </c>
      <c r="AF3553">
        <v>-3.8142453922577002</v>
      </c>
      <c r="AG3553">
        <v>-1.1106040206779999</v>
      </c>
      <c r="AH3553">
        <v>18.309097892868301</v>
      </c>
      <c r="AI3553">
        <v>93.398442451562701</v>
      </c>
      <c r="AJ3553">
        <v>101.767839046809</v>
      </c>
      <c r="AK3553">
        <v>18.735126763748902</v>
      </c>
      <c r="AL3553">
        <v>92.006639107291804</v>
      </c>
      <c r="AM3553">
        <v>103.097697390062</v>
      </c>
      <c r="AN3553">
        <v>0.99999999537058404</v>
      </c>
    </row>
    <row r="3554" spans="1:40" x14ac:dyDescent="0.25">
      <c r="A3554" t="str">
        <f>"20190305135659856"</f>
        <v>20190305135659856</v>
      </c>
      <c r="B3554" t="str">
        <f>"1551765419846330"</f>
        <v>1551765419846330</v>
      </c>
      <c r="C3554" t="s">
        <v>40</v>
      </c>
      <c r="D3554">
        <v>4.0201209999999996</v>
      </c>
      <c r="E3554">
        <v>0.50830140000000001</v>
      </c>
      <c r="F3554" t="s">
        <v>42</v>
      </c>
      <c r="G3554">
        <v>-420.31079999999997</v>
      </c>
      <c r="H3554" s="1">
        <v>-2.7914629999999999E-6</v>
      </c>
      <c r="I3554">
        <v>85.903310000000005</v>
      </c>
      <c r="J3554">
        <v>-422.03370000000001</v>
      </c>
      <c r="K3554">
        <v>1.1106549999999999</v>
      </c>
      <c r="L3554">
        <v>104.7629</v>
      </c>
      <c r="M3554">
        <v>-0.1139109</v>
      </c>
      <c r="N3554">
        <v>-2.449863E-3</v>
      </c>
      <c r="O3554">
        <v>-0.99348809999999999</v>
      </c>
      <c r="P3554">
        <v>0.1148549</v>
      </c>
      <c r="Q3554">
        <v>-3.5118650000000001E-2</v>
      </c>
      <c r="R3554">
        <v>-0.99276140000000002</v>
      </c>
      <c r="S3554">
        <v>0.2621155</v>
      </c>
      <c r="T3554">
        <v>-0.17266010000000001</v>
      </c>
      <c r="U3554">
        <v>-2.9850460000000001</v>
      </c>
      <c r="V3554">
        <v>-0.2269497</v>
      </c>
      <c r="W3554">
        <v>-3.4385680000000002E-2</v>
      </c>
      <c r="X3554">
        <v>0.97329929999999998</v>
      </c>
      <c r="Y3554">
        <v>-0.20023299999999999</v>
      </c>
      <c r="Z3554">
        <v>5.4029269999999997E-2</v>
      </c>
      <c r="AA3554">
        <v>0.97825740000000005</v>
      </c>
      <c r="AB3554">
        <v>32</v>
      </c>
      <c r="AC3554">
        <v>1.7229000000000301</v>
      </c>
      <c r="AD3554">
        <v>-1.110657791463</v>
      </c>
      <c r="AE3554">
        <v>-18.859590000000001</v>
      </c>
      <c r="AF3554">
        <v>-3.8467738083982601</v>
      </c>
      <c r="AG3554">
        <v>-1.110657791463</v>
      </c>
      <c r="AH3554">
        <v>18.477023551087999</v>
      </c>
      <c r="AI3554">
        <v>93.367879398842604</v>
      </c>
      <c r="AJ3554">
        <v>101.76054357189</v>
      </c>
      <c r="AK3554">
        <v>18.905862285814301</v>
      </c>
      <c r="AL3554">
        <v>91.970542722226597</v>
      </c>
      <c r="AM3554">
        <v>103.125454075485</v>
      </c>
      <c r="AN3554">
        <v>1.0000000343498201</v>
      </c>
    </row>
    <row r="3555" spans="1:40" x14ac:dyDescent="0.25">
      <c r="A3555" t="str">
        <f>"20190305135659880"</f>
        <v>20190305135659880</v>
      </c>
      <c r="B3555" t="str">
        <f>"1551765419875610"</f>
        <v>1551765419875610</v>
      </c>
      <c r="C3555" t="s">
        <v>40</v>
      </c>
      <c r="D3555">
        <v>4.0046030000000004</v>
      </c>
      <c r="E3555">
        <v>0.50842349999999903</v>
      </c>
      <c r="F3555" t="s">
        <v>42</v>
      </c>
      <c r="G3555">
        <v>-420.2475</v>
      </c>
      <c r="H3555" s="1">
        <v>-2.5484060000000002E-6</v>
      </c>
      <c r="I3555">
        <v>85.376009999999994</v>
      </c>
      <c r="J3555">
        <v>-422.07089999999999</v>
      </c>
      <c r="K3555">
        <v>1.110698</v>
      </c>
      <c r="L3555">
        <v>104.40649999999999</v>
      </c>
      <c r="M3555">
        <v>-0.1099349</v>
      </c>
      <c r="N3555">
        <v>-2.442044E-3</v>
      </c>
      <c r="O3555">
        <v>-0.99393589999999998</v>
      </c>
      <c r="P3555">
        <v>0.1186844</v>
      </c>
      <c r="Q3555">
        <v>-3.4244799999999999E-2</v>
      </c>
      <c r="R3555">
        <v>-0.99234129999999998</v>
      </c>
      <c r="S3555">
        <v>0.27493289999999998</v>
      </c>
      <c r="T3555">
        <v>-0.17095089999999999</v>
      </c>
      <c r="U3555">
        <v>-2.9840089999999999</v>
      </c>
      <c r="V3555">
        <v>-0.2268165</v>
      </c>
      <c r="W3555">
        <v>-3.354741E-2</v>
      </c>
      <c r="X3555">
        <v>0.97335959999999999</v>
      </c>
      <c r="Y3555">
        <v>-0.20051359999999999</v>
      </c>
      <c r="Z3555">
        <v>5.3524849999999999E-2</v>
      </c>
      <c r="AA3555">
        <v>0.97822770000000003</v>
      </c>
      <c r="AB3555">
        <v>33</v>
      </c>
      <c r="AC3555">
        <v>1.8233999999999899</v>
      </c>
      <c r="AD3555">
        <v>-1.110700548406</v>
      </c>
      <c r="AE3555">
        <v>-19.03049</v>
      </c>
      <c r="AF3555">
        <v>-3.89133414175007</v>
      </c>
      <c r="AG3555">
        <v>-1.110700548406</v>
      </c>
      <c r="AH3555">
        <v>18.651728623336101</v>
      </c>
      <c r="AI3555">
        <v>93.336241360503394</v>
      </c>
      <c r="AJ3555">
        <v>101.784649300613</v>
      </c>
      <c r="AK3555">
        <v>19.0856783413521</v>
      </c>
      <c r="AL3555">
        <v>91.922485663255202</v>
      </c>
      <c r="AM3555">
        <v>103.11723246901001</v>
      </c>
      <c r="AN3555">
        <v>1.00000003215105</v>
      </c>
    </row>
    <row r="3556" spans="1:40" x14ac:dyDescent="0.25">
      <c r="A3556" t="str">
        <f>"20190305135659902"</f>
        <v>20190305135659902</v>
      </c>
      <c r="B3556" t="str">
        <f>"1551765419896362"</f>
        <v>1551765419896362</v>
      </c>
      <c r="C3556" t="s">
        <v>40</v>
      </c>
      <c r="D3556">
        <v>3.9823940000000002</v>
      </c>
      <c r="E3556">
        <v>0.50854840000000001</v>
      </c>
      <c r="F3556" t="s">
        <v>42</v>
      </c>
      <c r="G3556">
        <v>-420.18549999999999</v>
      </c>
      <c r="H3556" s="1">
        <v>-2.2494419999999999E-6</v>
      </c>
      <c r="I3556">
        <v>84.717579999999998</v>
      </c>
      <c r="J3556">
        <v>-422.10239999999999</v>
      </c>
      <c r="K3556">
        <v>1.110727</v>
      </c>
      <c r="L3556">
        <v>104.0945</v>
      </c>
      <c r="M3556">
        <v>-0.10644960000000001</v>
      </c>
      <c r="N3556">
        <v>-2.437668E-3</v>
      </c>
      <c r="O3556">
        <v>-0.99431530000000001</v>
      </c>
      <c r="P3556">
        <v>0.1220881</v>
      </c>
      <c r="Q3556">
        <v>-3.3803859999999998E-2</v>
      </c>
      <c r="R3556">
        <v>-0.99194369999999998</v>
      </c>
      <c r="S3556">
        <v>0.28567500000000001</v>
      </c>
      <c r="T3556">
        <v>-0.16828860000000001</v>
      </c>
      <c r="U3556">
        <v>-2.9831850000000002</v>
      </c>
      <c r="V3556">
        <v>-0.2267449</v>
      </c>
      <c r="W3556">
        <v>-3.3132660000000001E-2</v>
      </c>
      <c r="X3556">
        <v>0.97339050000000005</v>
      </c>
      <c r="Y3556">
        <v>-0.2005999</v>
      </c>
      <c r="Z3556">
        <v>5.2697479999999998E-2</v>
      </c>
      <c r="AA3556">
        <v>0.97825490000000004</v>
      </c>
      <c r="AB3556">
        <v>33</v>
      </c>
      <c r="AC3556">
        <v>1.9168999999999901</v>
      </c>
      <c r="AD3556">
        <v>-1.110729249442</v>
      </c>
      <c r="AE3556">
        <v>-19.376919999999998</v>
      </c>
      <c r="AF3556">
        <v>-3.9558072376207001</v>
      </c>
      <c r="AG3556">
        <v>-1.110729249442</v>
      </c>
      <c r="AH3556">
        <v>19.000938818557199</v>
      </c>
      <c r="AI3556">
        <v>93.275433152543798</v>
      </c>
      <c r="AJ3556">
        <v>101.760423084393</v>
      </c>
      <c r="AK3556">
        <v>19.440108187799002</v>
      </c>
      <c r="AL3556">
        <v>91.898708998249603</v>
      </c>
      <c r="AM3556">
        <v>103.112832925066</v>
      </c>
      <c r="AN3556">
        <v>1.0000000441624599</v>
      </c>
    </row>
    <row r="3557" spans="1:40" x14ac:dyDescent="0.25">
      <c r="A3557" t="str">
        <f>"20190305135659945"</f>
        <v>20190305135659945</v>
      </c>
      <c r="B3557" t="str">
        <f>"1551765419935402"</f>
        <v>1551765419935402</v>
      </c>
      <c r="C3557" t="s">
        <v>40</v>
      </c>
      <c r="D3557">
        <v>3.8947630000000002</v>
      </c>
      <c r="E3557">
        <v>0.50877829999999902</v>
      </c>
      <c r="F3557" t="s">
        <v>42</v>
      </c>
      <c r="G3557">
        <v>-420.13749999999999</v>
      </c>
      <c r="H3557" s="1">
        <v>-2.0306819999999998E-6</v>
      </c>
      <c r="I3557">
        <v>84.237399999999994</v>
      </c>
      <c r="J3557">
        <v>-422.16340000000002</v>
      </c>
      <c r="K3557">
        <v>1.110768</v>
      </c>
      <c r="L3557">
        <v>103.4554</v>
      </c>
      <c r="M3557">
        <v>-9.9316379999999996E-2</v>
      </c>
      <c r="N3557">
        <v>-2.4348600000000001E-3</v>
      </c>
      <c r="O3557">
        <v>-0.99505290000000002</v>
      </c>
      <c r="P3557">
        <v>0.12893019999999999</v>
      </c>
      <c r="Q3557">
        <v>-3.4932860000000003E-2</v>
      </c>
      <c r="R3557">
        <v>-0.99103850000000004</v>
      </c>
      <c r="S3557">
        <v>0.29510500000000001</v>
      </c>
      <c r="T3557">
        <v>-0.16682139999999901</v>
      </c>
      <c r="U3557">
        <v>-2.982361</v>
      </c>
      <c r="V3557">
        <v>-0.22646250000000001</v>
      </c>
      <c r="W3557">
        <v>-3.4303739999999999E-2</v>
      </c>
      <c r="X3557">
        <v>0.97341560000000005</v>
      </c>
      <c r="Y3557">
        <v>-0.19666549999999999</v>
      </c>
      <c r="Z3557">
        <v>5.2312039999999997E-2</v>
      </c>
      <c r="AA3557">
        <v>0.97907409999999995</v>
      </c>
      <c r="AB3557">
        <v>33</v>
      </c>
      <c r="AC3557">
        <v>2.0259000000000298</v>
      </c>
      <c r="AD3557">
        <v>-1.1107700306820001</v>
      </c>
      <c r="AE3557">
        <v>-19.218</v>
      </c>
      <c r="AF3557">
        <v>-3.9116278111121798</v>
      </c>
      <c r="AG3557">
        <v>-1.1107700306820001</v>
      </c>
      <c r="AH3557">
        <v>18.859467601520201</v>
      </c>
      <c r="AI3557">
        <v>93.300582287965398</v>
      </c>
      <c r="AJ3557">
        <v>101.717535282342</v>
      </c>
      <c r="AK3557">
        <v>19.292852573077901</v>
      </c>
      <c r="AL3557">
        <v>91.965845260612298</v>
      </c>
      <c r="AM3557">
        <v>103.096738756834</v>
      </c>
      <c r="AN3557">
        <v>0.99999997040379796</v>
      </c>
    </row>
    <row r="3558" spans="1:40" x14ac:dyDescent="0.25">
      <c r="A3558" t="str">
        <f>"20190305135659964"</f>
        <v>20190305135659964</v>
      </c>
      <c r="B3558" t="str">
        <f>"1551765419955898"</f>
        <v>1551765419955898</v>
      </c>
      <c r="C3558" t="s">
        <v>40</v>
      </c>
      <c r="D3558">
        <v>3.8867370000000001</v>
      </c>
      <c r="E3558">
        <v>0.51621660000000003</v>
      </c>
      <c r="F3558" t="s">
        <v>42</v>
      </c>
      <c r="G3558">
        <v>-420.10759999999999</v>
      </c>
      <c r="H3558" s="1">
        <v>-1.8866930000000001E-6</v>
      </c>
      <c r="I3558">
        <v>83.920270000000002</v>
      </c>
      <c r="J3558">
        <v>-422.19080000000002</v>
      </c>
      <c r="K3558">
        <v>1.110789</v>
      </c>
      <c r="L3558">
        <v>103.1516</v>
      </c>
      <c r="M3558">
        <v>-9.5931249999999996E-2</v>
      </c>
      <c r="N3558">
        <v>-2.436091E-3</v>
      </c>
      <c r="O3558">
        <v>-0.99538510000000002</v>
      </c>
      <c r="P3558">
        <v>0.1323416</v>
      </c>
      <c r="Q3558">
        <v>-3.5162159999999998E-2</v>
      </c>
      <c r="R3558">
        <v>-0.99058060000000003</v>
      </c>
      <c r="S3558">
        <v>0.3136292</v>
      </c>
      <c r="T3558">
        <v>-0.16946449999999999</v>
      </c>
      <c r="U3558">
        <v>-2.9803769999999998</v>
      </c>
      <c r="V3558">
        <v>-0.22649820000000001</v>
      </c>
      <c r="W3558">
        <v>-3.4550530000000003E-2</v>
      </c>
      <c r="X3558">
        <v>0.9733986</v>
      </c>
      <c r="Y3558">
        <v>-0.1994108</v>
      </c>
      <c r="Z3558">
        <v>5.320714E-2</v>
      </c>
      <c r="AA3558">
        <v>0.97847039999999996</v>
      </c>
      <c r="AB3558">
        <v>33</v>
      </c>
      <c r="AC3558">
        <v>2.0832000000000299</v>
      </c>
      <c r="AD3558">
        <v>-1.1107908866930001</v>
      </c>
      <c r="AE3558">
        <v>-19.23133</v>
      </c>
      <c r="AF3558">
        <v>-3.9056043522094499</v>
      </c>
      <c r="AG3558">
        <v>-1.1107908866930001</v>
      </c>
      <c r="AH3558">
        <v>18.880531507377501</v>
      </c>
      <c r="AI3558">
        <v>93.297329568561196</v>
      </c>
      <c r="AJ3558">
        <v>101.68729569530301</v>
      </c>
      <c r="AK3558">
        <v>19.31222596572</v>
      </c>
      <c r="AL3558">
        <v>91.979993606770904</v>
      </c>
      <c r="AM3558">
        <v>103.098953044252</v>
      </c>
      <c r="AN3558">
        <v>1.0000000041042401</v>
      </c>
    </row>
    <row r="3559" spans="1:40" x14ac:dyDescent="0.25">
      <c r="A3559" t="str">
        <f>"20190305135659987"</f>
        <v>20190305135659987</v>
      </c>
      <c r="B3559" t="str">
        <f>"1551765419976394"</f>
        <v>1551765419976394</v>
      </c>
      <c r="C3559" t="s">
        <v>40</v>
      </c>
      <c r="D3559">
        <v>3.865478</v>
      </c>
      <c r="E3559">
        <v>0.50091370000000002</v>
      </c>
      <c r="F3559" t="s">
        <v>42</v>
      </c>
      <c r="G3559">
        <v>-420.34480000000002</v>
      </c>
      <c r="H3559" s="1">
        <v>-1.2882199999999999E-6</v>
      </c>
      <c r="I3559">
        <v>82.378150000000005</v>
      </c>
      <c r="J3559">
        <v>-422.21929999999998</v>
      </c>
      <c r="K3559">
        <v>1.110803</v>
      </c>
      <c r="L3559">
        <v>102.8219</v>
      </c>
      <c r="M3559">
        <v>-9.2263819999999996E-2</v>
      </c>
      <c r="N3559">
        <v>-2.4389149999999998E-3</v>
      </c>
      <c r="O3559">
        <v>-0.9957317</v>
      </c>
      <c r="P3559">
        <v>0.13571739999999999</v>
      </c>
      <c r="Q3559">
        <v>-3.537734E-2</v>
      </c>
      <c r="R3559">
        <v>-0.990116</v>
      </c>
      <c r="S3559">
        <v>0.2654724</v>
      </c>
      <c r="T3559">
        <v>-0.159741299999999</v>
      </c>
      <c r="U3559">
        <v>-2.9873959999999999</v>
      </c>
      <c r="V3559">
        <v>-0.22622439999999999</v>
      </c>
      <c r="W3559">
        <v>-3.4779839999999999E-2</v>
      </c>
      <c r="X3559">
        <v>0.97345409999999999</v>
      </c>
      <c r="Y3559">
        <v>-0.17991499999999999</v>
      </c>
      <c r="Z3559">
        <v>5.0068969999999997E-2</v>
      </c>
      <c r="AA3559">
        <v>0.98240709999999998</v>
      </c>
      <c r="AB3559">
        <v>33</v>
      </c>
      <c r="AC3559">
        <v>1.8744999999999501</v>
      </c>
      <c r="AD3559">
        <v>-1.11080428822</v>
      </c>
      <c r="AE3559">
        <v>-20.443749999999898</v>
      </c>
      <c r="AF3559">
        <v>-3.74177379068959</v>
      </c>
      <c r="AG3559">
        <v>-1.11080428822</v>
      </c>
      <c r="AH3559">
        <v>20.124681758042399</v>
      </c>
      <c r="AI3559">
        <v>93.106171967395099</v>
      </c>
      <c r="AJ3559">
        <v>100.532708494574</v>
      </c>
      <c r="AK3559">
        <v>20.499696903366701</v>
      </c>
      <c r="AL3559">
        <v>91.993140010123398</v>
      </c>
      <c r="AM3559">
        <v>103.082943287465</v>
      </c>
      <c r="AN3559">
        <v>1.0000000006162899</v>
      </c>
    </row>
    <row r="3560" spans="1:40" x14ac:dyDescent="0.25">
      <c r="A3560" t="str">
        <f>"20190305135700014"</f>
        <v>20190305135700014</v>
      </c>
      <c r="B3560" t="str">
        <f>"1551765420005675"</f>
        <v>1551765420005675</v>
      </c>
      <c r="C3560" t="s">
        <v>40</v>
      </c>
      <c r="D3560">
        <v>3.778273</v>
      </c>
      <c r="E3560">
        <v>0.48951099999999997</v>
      </c>
      <c r="F3560" t="s">
        <v>42</v>
      </c>
      <c r="G3560">
        <v>-418.50369999999998</v>
      </c>
      <c r="H3560" s="1">
        <v>-2.6387039999999999E-6</v>
      </c>
      <c r="I3560">
        <v>75.164959999999994</v>
      </c>
      <c r="J3560">
        <v>-422.25200000000001</v>
      </c>
      <c r="K3560">
        <v>1.110832</v>
      </c>
      <c r="L3560">
        <v>102.426</v>
      </c>
      <c r="M3560">
        <v>-8.7869550000000005E-2</v>
      </c>
      <c r="N3560">
        <v>-2.4532500000000001E-3</v>
      </c>
      <c r="O3560">
        <v>-0.99612900000000004</v>
      </c>
      <c r="P3560">
        <v>0.14053979999999999</v>
      </c>
      <c r="Q3560">
        <v>-3.6213479999999999E-2</v>
      </c>
      <c r="R3560">
        <v>-0.98941259999999998</v>
      </c>
      <c r="S3560">
        <v>0.39913939999999998</v>
      </c>
      <c r="T3560">
        <v>-0.11932429999999999</v>
      </c>
      <c r="U3560">
        <v>-2.9709469999999998</v>
      </c>
      <c r="V3560">
        <v>-0.22665950000000001</v>
      </c>
      <c r="W3560">
        <v>-3.5628720000000003E-2</v>
      </c>
      <c r="X3560">
        <v>0.97332220000000003</v>
      </c>
      <c r="Y3560">
        <v>-0.21962100000000001</v>
      </c>
      <c r="Z3560">
        <v>3.676633E-2</v>
      </c>
      <c r="AA3560">
        <v>0.97489219999999999</v>
      </c>
      <c r="AB3560">
        <v>33</v>
      </c>
      <c r="AC3560">
        <v>3.7482999999999702</v>
      </c>
      <c r="AD3560">
        <v>-1.110834638704</v>
      </c>
      <c r="AE3560">
        <v>-27.261040000000001</v>
      </c>
      <c r="AF3560">
        <v>-6.1192519921967801</v>
      </c>
      <c r="AG3560">
        <v>-1.110834638704</v>
      </c>
      <c r="AH3560">
        <v>26.782586172700601</v>
      </c>
      <c r="AI3560">
        <v>92.315439039889199</v>
      </c>
      <c r="AJ3560">
        <v>102.869955387196</v>
      </c>
      <c r="AK3560">
        <v>27.495201774794801</v>
      </c>
      <c r="AL3560">
        <v>92.041807380761199</v>
      </c>
      <c r="AM3560">
        <v>103.108952796327</v>
      </c>
      <c r="AN3560">
        <v>1.00000001982096</v>
      </c>
    </row>
    <row r="3561" spans="1:40" x14ac:dyDescent="0.25">
      <c r="A3561" t="str">
        <f>"20190305135700033"</f>
        <v>20190305135700033</v>
      </c>
      <c r="B3561" t="str">
        <f>"1551765420026170"</f>
        <v>1551765420026170</v>
      </c>
      <c r="C3561" t="s">
        <v>40</v>
      </c>
      <c r="D3561">
        <v>3.7410160000000001</v>
      </c>
      <c r="E3561">
        <v>0.48898799999999998</v>
      </c>
      <c r="F3561" t="s">
        <v>83</v>
      </c>
      <c r="G3561">
        <v>-404.69290000000001</v>
      </c>
      <c r="H3561">
        <v>0.99735399999999996</v>
      </c>
      <c r="I3561">
        <v>0.63306430000000002</v>
      </c>
      <c r="J3561">
        <v>-422.2756</v>
      </c>
      <c r="K3561">
        <v>1.1108610000000001</v>
      </c>
      <c r="L3561">
        <v>102.12739999999999</v>
      </c>
      <c r="M3561">
        <v>-8.4560460000000004E-2</v>
      </c>
      <c r="N3561">
        <v>-2.4701860000000001E-3</v>
      </c>
      <c r="O3561">
        <v>-0.99641539999999995</v>
      </c>
      <c r="P3561">
        <v>0.1446993</v>
      </c>
      <c r="Q3561">
        <v>-3.6958770000000002E-2</v>
      </c>
      <c r="R3561">
        <v>-0.98878560000000004</v>
      </c>
      <c r="S3561">
        <v>0.51049800000000001</v>
      </c>
      <c r="T3561">
        <v>-3.2998319999999999E-3</v>
      </c>
      <c r="U3561">
        <v>-2.9594420000000001</v>
      </c>
      <c r="V3561">
        <v>-0.22750860000000001</v>
      </c>
      <c r="W3561">
        <v>-3.6382049999999999E-2</v>
      </c>
      <c r="X3561">
        <v>0.97309619999999997</v>
      </c>
      <c r="Y3561">
        <v>-0.25270749999999997</v>
      </c>
      <c r="Z3561">
        <v>-1.40524799999999E-3</v>
      </c>
      <c r="AA3561">
        <v>0.96754169999999995</v>
      </c>
      <c r="AB3561">
        <v>34</v>
      </c>
      <c r="AC3561">
        <v>17.5826999999999</v>
      </c>
      <c r="AD3561">
        <v>-0.113507</v>
      </c>
      <c r="AE3561">
        <v>-101.49433569999999</v>
      </c>
      <c r="AF3561">
        <v>-26.1021258030548</v>
      </c>
      <c r="AG3561">
        <v>-0.113507</v>
      </c>
      <c r="AH3561">
        <v>99.643889824738494</v>
      </c>
      <c r="AI3561">
        <v>90.063136832465503</v>
      </c>
      <c r="AJ3561">
        <v>104.67903868494901</v>
      </c>
      <c r="AK3561">
        <v>103.00601261422599</v>
      </c>
      <c r="AL3561">
        <v>92.084998024413906</v>
      </c>
      <c r="AM3561">
        <v>103.15930503872301</v>
      </c>
      <c r="AN3561">
        <v>1.0000000155452999</v>
      </c>
    </row>
    <row r="3562" spans="1:40" x14ac:dyDescent="0.25">
      <c r="A3562" t="str">
        <f>"20190305135700058"</f>
        <v>20190305135700058</v>
      </c>
      <c r="B3562" t="str">
        <f>"1551765420056426"</f>
        <v>1551765420056426</v>
      </c>
      <c r="C3562" t="s">
        <v>40</v>
      </c>
      <c r="D3562">
        <v>3.7925360000000001</v>
      </c>
      <c r="E3562">
        <v>0.48730329999999999</v>
      </c>
      <c r="F3562" t="s">
        <v>83</v>
      </c>
      <c r="G3562">
        <v>-404.13400000000001</v>
      </c>
      <c r="H3562">
        <v>1.681643</v>
      </c>
      <c r="I3562">
        <v>0.63874819999999999</v>
      </c>
      <c r="J3562">
        <v>-422.3039</v>
      </c>
      <c r="K3562">
        <v>1.1109059999999999</v>
      </c>
      <c r="L3562">
        <v>101.75020000000001</v>
      </c>
      <c r="M3562">
        <v>-8.0383899999999994E-2</v>
      </c>
      <c r="N3562">
        <v>-2.4940180000000002E-3</v>
      </c>
      <c r="O3562">
        <v>-0.9967608</v>
      </c>
      <c r="P3562">
        <v>0.14974849999999901</v>
      </c>
      <c r="Q3562">
        <v>-3.6124900000000001E-2</v>
      </c>
      <c r="R3562">
        <v>-0.9880641</v>
      </c>
      <c r="S3562">
        <v>0.52862549999999997</v>
      </c>
      <c r="T3562">
        <v>1.663125E-2</v>
      </c>
      <c r="U3562">
        <v>-2.9572750000000001</v>
      </c>
      <c r="V3562">
        <v>-0.2284071</v>
      </c>
      <c r="W3562">
        <v>-3.5553559999999998E-2</v>
      </c>
      <c r="X3562">
        <v>0.97291629999999996</v>
      </c>
      <c r="Y3562">
        <v>-0.25452079999999999</v>
      </c>
      <c r="Z3562">
        <v>-7.9723399999999996E-3</v>
      </c>
      <c r="AA3562">
        <v>0.96703450000000002</v>
      </c>
      <c r="AB3562">
        <v>34</v>
      </c>
      <c r="AC3562">
        <v>18.169899999999899</v>
      </c>
      <c r="AD3562">
        <v>0.57073699999999905</v>
      </c>
      <c r="AE3562">
        <v>-101.1114518</v>
      </c>
      <c r="AF3562">
        <v>-26.2380501762158</v>
      </c>
      <c r="AG3562">
        <v>0.57073699999999905</v>
      </c>
      <c r="AH3562">
        <v>99.320613282332403</v>
      </c>
      <c r="AI3562">
        <v>89.6816786105598</v>
      </c>
      <c r="AJ3562">
        <v>104.798065324574</v>
      </c>
      <c r="AK3562">
        <v>102.729476006409</v>
      </c>
      <c r="AL3562">
        <v>92.037498354883795</v>
      </c>
      <c r="AM3562">
        <v>103.211813274333</v>
      </c>
      <c r="AN3562">
        <v>0.99999999288238595</v>
      </c>
    </row>
    <row r="3563" spans="1:40" x14ac:dyDescent="0.25">
      <c r="A3563" t="str">
        <f>"20190305135700100"</f>
        <v>20190305135700100</v>
      </c>
      <c r="B3563" t="str">
        <f>"1551765420095467"</f>
        <v>1551765420095467</v>
      </c>
      <c r="C3563" t="s">
        <v>40</v>
      </c>
      <c r="D3563">
        <v>3.9713889999999998</v>
      </c>
      <c r="E3563">
        <v>0.48707509999999998</v>
      </c>
      <c r="F3563" t="s">
        <v>83</v>
      </c>
      <c r="G3563">
        <v>-403.2552</v>
      </c>
      <c r="H3563">
        <v>1.1684540000000001</v>
      </c>
      <c r="I3563">
        <v>0.64768599999999998</v>
      </c>
      <c r="J3563">
        <v>-422.34750000000003</v>
      </c>
      <c r="K3563">
        <v>1.110965</v>
      </c>
      <c r="L3563">
        <v>101.122</v>
      </c>
      <c r="M3563">
        <v>-7.3446360000000002E-2</v>
      </c>
      <c r="N3563">
        <v>-2.5342089999999999E-3</v>
      </c>
      <c r="O3563">
        <v>-0.99729599999999996</v>
      </c>
      <c r="P3563">
        <v>0.15650899999999901</v>
      </c>
      <c r="Q3563">
        <v>-3.3887420000000001E-2</v>
      </c>
      <c r="R3563">
        <v>-0.98709530000000001</v>
      </c>
      <c r="S3563">
        <v>0.55618290000000004</v>
      </c>
      <c r="T3563">
        <v>1.679659E-3</v>
      </c>
      <c r="U3563">
        <v>-2.9519959999999998</v>
      </c>
      <c r="V3563">
        <v>-0.2283182</v>
      </c>
      <c r="W3563">
        <v>-3.3306830000000003E-2</v>
      </c>
      <c r="X3563">
        <v>0.97301669999999996</v>
      </c>
      <c r="Y3563">
        <v>-0.25682660000000002</v>
      </c>
      <c r="Z3563">
        <v>-3.1039499999999999E-3</v>
      </c>
      <c r="AA3563">
        <v>0.96645250000000005</v>
      </c>
      <c r="AB3563">
        <v>34</v>
      </c>
      <c r="AC3563">
        <v>19.092300000000002</v>
      </c>
      <c r="AD3563">
        <v>5.7489000000000103E-2</v>
      </c>
      <c r="AE3563">
        <v>-100.47431400000001</v>
      </c>
      <c r="AF3563">
        <v>-26.420222205248901</v>
      </c>
      <c r="AG3563">
        <v>5.7489000000000103E-2</v>
      </c>
      <c r="AH3563">
        <v>98.800652536907705</v>
      </c>
      <c r="AI3563">
        <v>89.967793030400301</v>
      </c>
      <c r="AJ3563">
        <v>104.971139505149</v>
      </c>
      <c r="AK3563">
        <v>102.272187754436</v>
      </c>
      <c r="AL3563">
        <v>91.908693757039401</v>
      </c>
      <c r="AM3563">
        <v>103.20553627308099</v>
      </c>
      <c r="AN3563">
        <v>1.0000000219273799</v>
      </c>
    </row>
    <row r="3564" spans="1:40" x14ac:dyDescent="0.25">
      <c r="A3564" t="str">
        <f>"20190305135700122"</f>
        <v>20190305135700122</v>
      </c>
      <c r="B3564" t="str">
        <f>"1551765420115961"</f>
        <v>1551765420115961</v>
      </c>
      <c r="C3564" t="s">
        <v>40</v>
      </c>
      <c r="D3564">
        <v>3.8144550000000002</v>
      </c>
      <c r="E3564">
        <v>0.48668359999999999</v>
      </c>
      <c r="F3564" t="s">
        <v>83</v>
      </c>
      <c r="G3564">
        <v>-402.67759999999998</v>
      </c>
      <c r="H3564">
        <v>0.98463940000000005</v>
      </c>
      <c r="I3564">
        <v>0.65355869999999905</v>
      </c>
      <c r="J3564">
        <v>-422.37040000000002</v>
      </c>
      <c r="K3564">
        <v>1.110995</v>
      </c>
      <c r="L3564">
        <v>100.7659</v>
      </c>
      <c r="M3564">
        <v>-6.9530120000000001E-2</v>
      </c>
      <c r="N3564">
        <v>-2.5566740000000001E-3</v>
      </c>
      <c r="O3564">
        <v>-0.99757649999999998</v>
      </c>
      <c r="P3564">
        <v>0.16048019999999999</v>
      </c>
      <c r="Q3564">
        <v>-3.4114140000000001E-2</v>
      </c>
      <c r="R3564">
        <v>-0.98644929999999997</v>
      </c>
      <c r="S3564">
        <v>0.57708740000000003</v>
      </c>
      <c r="T3564">
        <v>-3.706932E-3</v>
      </c>
      <c r="U3564">
        <v>-2.9476010000000001</v>
      </c>
      <c r="V3564">
        <v>-0.22840930000000001</v>
      </c>
      <c r="W3564">
        <v>-3.3527519999999998E-2</v>
      </c>
      <c r="X3564">
        <v>0.97298770000000001</v>
      </c>
      <c r="Y3564">
        <v>-0.25990289999999999</v>
      </c>
      <c r="Z3564">
        <v>-1.3541499999999999E-3</v>
      </c>
      <c r="AA3564">
        <v>0.96563379999999999</v>
      </c>
      <c r="AB3564">
        <v>34</v>
      </c>
      <c r="AC3564">
        <v>19.692799999999998</v>
      </c>
      <c r="AD3564">
        <v>-0.12635560000000001</v>
      </c>
      <c r="AE3564">
        <v>-100.1123413</v>
      </c>
      <c r="AF3564">
        <v>-26.605945783735901</v>
      </c>
      <c r="AG3564">
        <v>-0.12635560000000001</v>
      </c>
      <c r="AH3564">
        <v>98.5006546676657</v>
      </c>
      <c r="AI3564">
        <v>90.070955524416604</v>
      </c>
      <c r="AJ3564">
        <v>105.115413452398</v>
      </c>
      <c r="AK3564">
        <v>102.0307369705</v>
      </c>
      <c r="AL3564">
        <v>91.921345502045895</v>
      </c>
      <c r="AM3564">
        <v>103.211000545782</v>
      </c>
      <c r="AN3564">
        <v>0.99999998363756504</v>
      </c>
    </row>
    <row r="3565" spans="1:40" x14ac:dyDescent="0.25">
      <c r="A3565" t="str">
        <f>"20190305135700145"</f>
        <v>20190305135700145</v>
      </c>
      <c r="B3565" t="str">
        <f>"1551765420135482"</f>
        <v>1551765420135482</v>
      </c>
      <c r="C3565" t="s">
        <v>40</v>
      </c>
      <c r="D3565">
        <v>3.7793320000000001</v>
      </c>
      <c r="E3565">
        <v>0.48655379999999998</v>
      </c>
      <c r="F3565" t="s">
        <v>50</v>
      </c>
      <c r="G3565">
        <v>-408.72579999999999</v>
      </c>
      <c r="H3565">
        <v>0.73245519999999997</v>
      </c>
      <c r="I3565">
        <v>32.829520000000002</v>
      </c>
      <c r="J3565">
        <v>-422.39150000000001</v>
      </c>
      <c r="K3565">
        <v>1.111016</v>
      </c>
      <c r="L3565">
        <v>100.4175</v>
      </c>
      <c r="M3565">
        <v>-6.5717730000000002E-2</v>
      </c>
      <c r="N3565">
        <v>-2.580476E-3</v>
      </c>
      <c r="O3565">
        <v>-0.99783500000000003</v>
      </c>
      <c r="P3565">
        <v>0.1645441</v>
      </c>
      <c r="Q3565">
        <v>-3.4172880000000003E-2</v>
      </c>
      <c r="R3565">
        <v>-0.98577789999999998</v>
      </c>
      <c r="S3565">
        <v>0.59136959999999905</v>
      </c>
      <c r="T3565">
        <v>-1.6406299999999999E-2</v>
      </c>
      <c r="U3565">
        <v>-2.9444270000000001</v>
      </c>
      <c r="V3565">
        <v>-0.22869880000000001</v>
      </c>
      <c r="W3565">
        <v>-3.3577679999999999E-2</v>
      </c>
      <c r="X3565">
        <v>0.97291799999999995</v>
      </c>
      <c r="Y3565">
        <v>-0.26091360000000002</v>
      </c>
      <c r="Z3565">
        <v>2.805952E-3</v>
      </c>
      <c r="AA3565">
        <v>0.9653581</v>
      </c>
      <c r="AB3565">
        <v>35</v>
      </c>
      <c r="AC3565">
        <v>13.665699999999999</v>
      </c>
      <c r="AD3565">
        <v>-0.37856079999999998</v>
      </c>
      <c r="AE3565">
        <v>-67.587980000000002</v>
      </c>
      <c r="AF3565">
        <v>-18.077356231702101</v>
      </c>
      <c r="AG3565">
        <v>-0.37856079999999998</v>
      </c>
      <c r="AH3565">
        <v>66.541783753074995</v>
      </c>
      <c r="AI3565">
        <v>90.314555241459701</v>
      </c>
      <c r="AJ3565">
        <v>105.198679908241</v>
      </c>
      <c r="AK3565">
        <v>68.954645250687406</v>
      </c>
      <c r="AL3565">
        <v>91.924221010908894</v>
      </c>
      <c r="AM3565">
        <v>103.22807099137</v>
      </c>
      <c r="AN3565">
        <v>1.0000000182198101</v>
      </c>
    </row>
    <row r="3566" spans="1:40" x14ac:dyDescent="0.25">
      <c r="A3566" t="str">
        <f>"20190305135700165"</f>
        <v>20190305135700165</v>
      </c>
      <c r="B3566" t="str">
        <f>"1551765420155978"</f>
        <v>1551765420155978</v>
      </c>
      <c r="C3566" t="s">
        <v>40</v>
      </c>
      <c r="D3566">
        <v>3.7999390000000002</v>
      </c>
      <c r="E3566">
        <v>0.48651919999999999</v>
      </c>
      <c r="F3566" t="s">
        <v>50</v>
      </c>
      <c r="G3566">
        <v>-408.51990000000001</v>
      </c>
      <c r="H3566">
        <v>0.50653950000000003</v>
      </c>
      <c r="I3566">
        <v>32.890169999999998</v>
      </c>
      <c r="J3566">
        <v>-422.4101</v>
      </c>
      <c r="K3566">
        <v>1.111027</v>
      </c>
      <c r="L3566">
        <v>100.09050000000001</v>
      </c>
      <c r="M3566">
        <v>-6.2166520000000003E-2</v>
      </c>
      <c r="N3566">
        <v>-2.605123E-3</v>
      </c>
      <c r="O3566">
        <v>-0.99806229999999996</v>
      </c>
      <c r="P3566">
        <v>0.16817489999999999</v>
      </c>
      <c r="Q3566">
        <v>-3.4145080000000001E-2</v>
      </c>
      <c r="R3566">
        <v>-0.98516570000000003</v>
      </c>
      <c r="S3566">
        <v>0.60424800000000001</v>
      </c>
      <c r="T3566">
        <v>-2.6331070000000002E-2</v>
      </c>
      <c r="U3566">
        <v>-2.9414980000000002</v>
      </c>
      <c r="V3566">
        <v>-0.2288202</v>
      </c>
      <c r="W3566">
        <v>-3.353507E-2</v>
      </c>
      <c r="X3566">
        <v>0.9728909</v>
      </c>
      <c r="Y3566">
        <v>-0.26171860000000002</v>
      </c>
      <c r="Z3566">
        <v>6.057018E-3</v>
      </c>
      <c r="AA3566">
        <v>0.96512520000000002</v>
      </c>
      <c r="AB3566">
        <v>35</v>
      </c>
      <c r="AC3566">
        <v>13.890199999999901</v>
      </c>
      <c r="AD3566">
        <v>-0.60448749999999996</v>
      </c>
      <c r="AE3566">
        <v>-67.200329999999994</v>
      </c>
      <c r="AF3566">
        <v>-18.039558611376702</v>
      </c>
      <c r="AG3566">
        <v>-0.60448749999999996</v>
      </c>
      <c r="AH3566">
        <v>66.201703966272106</v>
      </c>
      <c r="AI3566">
        <v>90.504749950053494</v>
      </c>
      <c r="AJ3566">
        <v>105.242670875161</v>
      </c>
      <c r="AK3566">
        <v>68.618195021939201</v>
      </c>
      <c r="AL3566">
        <v>91.921778308513794</v>
      </c>
      <c r="AM3566">
        <v>103.235201457784</v>
      </c>
      <c r="AN3566">
        <v>0.99999999407537699</v>
      </c>
    </row>
    <row r="3567" spans="1:40" x14ac:dyDescent="0.25">
      <c r="A3567" t="str">
        <f>"20190305135700189"</f>
        <v>20190305135700189</v>
      </c>
      <c r="B3567" t="str">
        <f>"1551765420175498"</f>
        <v>1551765420175498</v>
      </c>
      <c r="C3567" t="s">
        <v>40</v>
      </c>
      <c r="D3567">
        <v>3.80091</v>
      </c>
      <c r="E3567">
        <v>0.48675689999999999</v>
      </c>
      <c r="F3567" t="s">
        <v>50</v>
      </c>
      <c r="G3567">
        <v>-408.36</v>
      </c>
      <c r="H3567">
        <v>0.33699179999999901</v>
      </c>
      <c r="I3567">
        <v>32.92812</v>
      </c>
      <c r="J3567">
        <v>-422.4289</v>
      </c>
      <c r="K3567">
        <v>1.111032</v>
      </c>
      <c r="L3567">
        <v>99.737949999999998</v>
      </c>
      <c r="M3567">
        <v>-5.8371449999999998E-2</v>
      </c>
      <c r="N3567">
        <v>-2.6321000000000001E-3</v>
      </c>
      <c r="O3567">
        <v>-0.99829159999999995</v>
      </c>
      <c r="P3567">
        <v>0.17236279999999901</v>
      </c>
      <c r="Q3567">
        <v>-3.4536709999999998E-2</v>
      </c>
      <c r="R3567">
        <v>-0.98442799999999997</v>
      </c>
      <c r="S3567">
        <v>0.61483759999999998</v>
      </c>
      <c r="T3567">
        <v>-3.387213E-2</v>
      </c>
      <c r="U3567">
        <v>-2.9390559999999999</v>
      </c>
      <c r="V3567">
        <v>-0.22925429999999999</v>
      </c>
      <c r="W3567">
        <v>-3.3910160000000002E-2</v>
      </c>
      <c r="X3567">
        <v>0.97277570000000002</v>
      </c>
      <c r="Y3567">
        <v>-0.26153650000000001</v>
      </c>
      <c r="Z3567">
        <v>8.5251330000000007E-3</v>
      </c>
      <c r="AA3567">
        <v>0.96515589999999996</v>
      </c>
      <c r="AB3567">
        <v>35</v>
      </c>
      <c r="AC3567">
        <v>14.0688999999999</v>
      </c>
      <c r="AD3567">
        <v>-0.77404019999999996</v>
      </c>
      <c r="AE3567">
        <v>-66.809830000000005</v>
      </c>
      <c r="AF3567">
        <v>-17.942404928686301</v>
      </c>
      <c r="AG3567">
        <v>-0.77404019999999996</v>
      </c>
      <c r="AH3567">
        <v>65.866223451269605</v>
      </c>
      <c r="AI3567">
        <v>90.649622562785694</v>
      </c>
      <c r="AJ3567">
        <v>105.238024969783</v>
      </c>
      <c r="AK3567">
        <v>68.270699605238804</v>
      </c>
      <c r="AL3567">
        <v>91.9432816059483</v>
      </c>
      <c r="AM3567">
        <v>103.260938888185</v>
      </c>
      <c r="AN3567">
        <v>0.99999999776510196</v>
      </c>
    </row>
    <row r="3568" spans="1:40" x14ac:dyDescent="0.25">
      <c r="A3568" t="str">
        <f>"20190305135700211"</f>
        <v>20190305135700211</v>
      </c>
      <c r="B3568" t="str">
        <f>"1551765420205755"</f>
        <v>1551765420205755</v>
      </c>
      <c r="C3568" t="s">
        <v>40</v>
      </c>
      <c r="D3568">
        <v>3.8060320000000001</v>
      </c>
      <c r="E3568">
        <v>0.487261</v>
      </c>
      <c r="F3568" t="s">
        <v>50</v>
      </c>
      <c r="G3568">
        <v>-408.25380000000001</v>
      </c>
      <c r="H3568">
        <v>0.20043130000000001</v>
      </c>
      <c r="I3568">
        <v>33.138030000000001</v>
      </c>
      <c r="J3568">
        <v>-422.44659999999999</v>
      </c>
      <c r="K3568">
        <v>1.111022</v>
      </c>
      <c r="L3568">
        <v>99.381469999999993</v>
      </c>
      <c r="M3568">
        <v>-5.4580160000000003E-2</v>
      </c>
      <c r="N3568">
        <v>-2.6582509999999999E-3</v>
      </c>
      <c r="O3568">
        <v>-0.998506</v>
      </c>
      <c r="P3568">
        <v>0.1759725</v>
      </c>
      <c r="Q3568">
        <v>-3.4381620000000002E-2</v>
      </c>
      <c r="R3568">
        <v>-0.98379490000000003</v>
      </c>
      <c r="S3568">
        <v>0.62503050000000004</v>
      </c>
      <c r="T3568">
        <v>-4.0151480000000003E-2</v>
      </c>
      <c r="U3568">
        <v>-2.9366150000000002</v>
      </c>
      <c r="V3568">
        <v>-0.22912950000000001</v>
      </c>
      <c r="W3568">
        <v>-3.3730280000000001E-2</v>
      </c>
      <c r="X3568">
        <v>0.97281130000000005</v>
      </c>
      <c r="Y3568">
        <v>-0.26123439999999998</v>
      </c>
      <c r="Z3568">
        <v>1.058163E-2</v>
      </c>
      <c r="AA3568">
        <v>0.9652174</v>
      </c>
      <c r="AB3568">
        <v>35</v>
      </c>
      <c r="AC3568">
        <v>14.192799999999901</v>
      </c>
      <c r="AD3568">
        <v>-0.91059069999999998</v>
      </c>
      <c r="AE3568">
        <v>-66.243439999999893</v>
      </c>
      <c r="AF3568">
        <v>-17.7840208454645</v>
      </c>
      <c r="AG3568">
        <v>-0.91059069999999998</v>
      </c>
      <c r="AH3568">
        <v>65.358240611962401</v>
      </c>
      <c r="AI3568">
        <v>90.770210347954006</v>
      </c>
      <c r="AJ3568">
        <v>105.22169702528601</v>
      </c>
      <c r="AK3568">
        <v>67.740683409203996</v>
      </c>
      <c r="AL3568">
        <v>91.932969448682101</v>
      </c>
      <c r="AM3568">
        <v>103.25350692454499</v>
      </c>
      <c r="AN3568">
        <v>0.99999994248340696</v>
      </c>
    </row>
    <row r="3569" spans="1:40" x14ac:dyDescent="0.25">
      <c r="A3569" t="str">
        <f>"20190305135700234"</f>
        <v>20190305135700234</v>
      </c>
      <c r="B3569" t="str">
        <f>"1551765420226250"</f>
        <v>1551765420226250</v>
      </c>
      <c r="C3569" t="s">
        <v>40</v>
      </c>
      <c r="D3569">
        <v>3.8362050000000001</v>
      </c>
      <c r="E3569">
        <v>0.48750650000000001</v>
      </c>
      <c r="F3569" t="s">
        <v>50</v>
      </c>
      <c r="G3569">
        <v>-408.1952</v>
      </c>
      <c r="H3569">
        <v>0.13847590000000001</v>
      </c>
      <c r="I3569">
        <v>33.177430000000001</v>
      </c>
      <c r="J3569">
        <v>-422.46350000000001</v>
      </c>
      <c r="K3569">
        <v>1.111008</v>
      </c>
      <c r="L3569">
        <v>99.012389999999996</v>
      </c>
      <c r="M3569">
        <v>-5.0715700000000002E-2</v>
      </c>
      <c r="N3569">
        <v>-2.6837200000000001E-3</v>
      </c>
      <c r="O3569">
        <v>-0.99870950000000003</v>
      </c>
      <c r="P3569">
        <v>0.17955189999999999</v>
      </c>
      <c r="Q3569">
        <v>-3.4414599999999997E-2</v>
      </c>
      <c r="R3569">
        <v>-0.98314650000000003</v>
      </c>
      <c r="S3569">
        <v>0.63177490000000003</v>
      </c>
      <c r="T3569">
        <v>-4.311371E-2</v>
      </c>
      <c r="U3569">
        <v>-2.9348749999999999</v>
      </c>
      <c r="V3569">
        <v>-0.2289059</v>
      </c>
      <c r="W3569">
        <v>-3.3733590000000001E-2</v>
      </c>
      <c r="X3569">
        <v>0.9728639</v>
      </c>
      <c r="Y3569">
        <v>-0.2597333</v>
      </c>
      <c r="Z3569">
        <v>1.154695E-2</v>
      </c>
      <c r="AA3569">
        <v>0.96561129999999995</v>
      </c>
      <c r="AB3569">
        <v>35</v>
      </c>
      <c r="AC3569">
        <v>14.2683</v>
      </c>
      <c r="AD3569">
        <v>-0.97253210000000001</v>
      </c>
      <c r="AE3569">
        <v>-65.834959999999995</v>
      </c>
      <c r="AF3569">
        <v>-17.585151348940901</v>
      </c>
      <c r="AG3569">
        <v>-0.97253210000000001</v>
      </c>
      <c r="AH3569">
        <v>65.013058296020304</v>
      </c>
      <c r="AI3569">
        <v>90.827299893858907</v>
      </c>
      <c r="AJ3569">
        <v>105.135549700114</v>
      </c>
      <c r="AK3569">
        <v>67.356373979397304</v>
      </c>
      <c r="AL3569">
        <v>91.9331590615338</v>
      </c>
      <c r="AM3569">
        <v>103.24033838657699</v>
      </c>
      <c r="AN3569">
        <v>1.00000001703615</v>
      </c>
    </row>
    <row r="3570" spans="1:40" x14ac:dyDescent="0.25">
      <c r="A3570" t="str">
        <f>"20190305135700257"</f>
        <v>20190305135700257</v>
      </c>
      <c r="B3570" t="str">
        <f>"1551765420245771"</f>
        <v>1551765420245771</v>
      </c>
      <c r="C3570" t="s">
        <v>40</v>
      </c>
      <c r="D3570">
        <v>3.7909660000000001</v>
      </c>
      <c r="E3570">
        <v>0.4876373</v>
      </c>
      <c r="F3570" t="s">
        <v>78</v>
      </c>
      <c r="G3570">
        <v>-408.26760000000002</v>
      </c>
      <c r="H3570">
        <v>7.9987760000000005E-2</v>
      </c>
      <c r="I3570">
        <v>33.97486</v>
      </c>
      <c r="J3570">
        <v>-422.4785</v>
      </c>
      <c r="K3570">
        <v>1.1109910000000001</v>
      </c>
      <c r="L3570">
        <v>98.655330000000006</v>
      </c>
      <c r="M3570">
        <v>-4.7030259999999997E-2</v>
      </c>
      <c r="N3570">
        <v>-2.707264E-3</v>
      </c>
      <c r="O3570">
        <v>-0.9988899</v>
      </c>
      <c r="P3570">
        <v>0.18266650000000001</v>
      </c>
      <c r="Q3570">
        <v>-3.545164E-2</v>
      </c>
      <c r="R3570">
        <v>-0.98253590000000002</v>
      </c>
      <c r="S3570">
        <v>0.64016719999999905</v>
      </c>
      <c r="T3570">
        <v>-4.6494250000000001E-2</v>
      </c>
      <c r="U3570">
        <v>-2.9328919999999998</v>
      </c>
      <c r="V3570">
        <v>-0.2283896</v>
      </c>
      <c r="W3570">
        <v>-3.4738570000000003E-2</v>
      </c>
      <c r="X3570">
        <v>0.97294990000000003</v>
      </c>
      <c r="Y3570">
        <v>-0.25894010000000001</v>
      </c>
      <c r="Z3570">
        <v>1.265236E-2</v>
      </c>
      <c r="AA3570">
        <v>0.96581050000000002</v>
      </c>
      <c r="AB3570">
        <v>36</v>
      </c>
      <c r="AC3570">
        <v>14.210899999999899</v>
      </c>
      <c r="AD3570">
        <v>-1.03100324</v>
      </c>
      <c r="AE3570">
        <v>-64.68047</v>
      </c>
      <c r="AF3570">
        <v>-17.2329482354493</v>
      </c>
      <c r="AG3570">
        <v>-1.03100324</v>
      </c>
      <c r="AH3570">
        <v>63.925059332511999</v>
      </c>
      <c r="AI3570">
        <v>90.892159732947206</v>
      </c>
      <c r="AJ3570">
        <v>105.08716929569199</v>
      </c>
      <c r="AK3570">
        <v>66.215184687741797</v>
      </c>
      <c r="AL3570">
        <v>91.990773899596704</v>
      </c>
      <c r="AM3570">
        <v>103.210396288629</v>
      </c>
      <c r="AN3570">
        <v>1.0000000427719</v>
      </c>
    </row>
    <row r="3571" spans="1:40" x14ac:dyDescent="0.25">
      <c r="A3571" t="str">
        <f>"20190305135700280"</f>
        <v>20190305135700280</v>
      </c>
      <c r="B3571" t="str">
        <f>"1551765420276026"</f>
        <v>1551765420276026</v>
      </c>
      <c r="C3571" t="s">
        <v>40</v>
      </c>
      <c r="D3571">
        <v>3.860554</v>
      </c>
      <c r="E3571">
        <v>0.48820910000000001</v>
      </c>
      <c r="F3571" t="s">
        <v>78</v>
      </c>
      <c r="G3571">
        <v>-408.56889999999999</v>
      </c>
      <c r="H3571">
        <v>7.9988379999999998E-2</v>
      </c>
      <c r="I3571">
        <v>35.772629999999999</v>
      </c>
      <c r="J3571">
        <v>-422.4932</v>
      </c>
      <c r="K3571">
        <v>1.110967</v>
      </c>
      <c r="L3571">
        <v>98.275239999999997</v>
      </c>
      <c r="M3571">
        <v>-4.3177060000000003E-2</v>
      </c>
      <c r="N3571">
        <v>-2.7309169999999998E-3</v>
      </c>
      <c r="O3571">
        <v>-0.99906379999999995</v>
      </c>
      <c r="P3571">
        <v>0.18586140000000001</v>
      </c>
      <c r="Q3571">
        <v>-3.6370529999999998E-2</v>
      </c>
      <c r="R3571">
        <v>-0.98190310000000003</v>
      </c>
      <c r="S3571">
        <v>0.64834590000000003</v>
      </c>
      <c r="T3571">
        <v>-4.8056130000000002E-2</v>
      </c>
      <c r="U3571">
        <v>-2.9310299999999998</v>
      </c>
      <c r="V3571">
        <v>-0.22779369999999999</v>
      </c>
      <c r="W3571">
        <v>-3.5620569999999997E-2</v>
      </c>
      <c r="X3571">
        <v>0.97305759999999997</v>
      </c>
      <c r="Y3571">
        <v>-0.25791120000000001</v>
      </c>
      <c r="Z3571">
        <v>1.3157490000000001E-2</v>
      </c>
      <c r="AA3571">
        <v>0.96607900000000002</v>
      </c>
      <c r="AB3571">
        <v>36</v>
      </c>
      <c r="AC3571">
        <v>13.924300000000001</v>
      </c>
      <c r="AD3571">
        <v>-1.03097862</v>
      </c>
      <c r="AE3571">
        <v>-62.502609999999997</v>
      </c>
      <c r="AF3571">
        <v>-16.605698839346999</v>
      </c>
      <c r="AG3571">
        <v>-1.03097862</v>
      </c>
      <c r="AH3571">
        <v>61.827082624265401</v>
      </c>
      <c r="AI3571">
        <v>90.922637063947207</v>
      </c>
      <c r="AJ3571">
        <v>105.033872633152</v>
      </c>
      <c r="AK3571">
        <v>64.026559306944804</v>
      </c>
      <c r="AL3571">
        <v>92.041340278735703</v>
      </c>
      <c r="AM3571">
        <v>103.175725038224</v>
      </c>
      <c r="AN3571">
        <v>0.99999994384228497</v>
      </c>
    </row>
    <row r="3572" spans="1:40" x14ac:dyDescent="0.25">
      <c r="A3572" t="str">
        <f>"20190305135700303"</f>
        <v>20190305135700303</v>
      </c>
      <c r="B3572" t="str">
        <f>"1551765420295547"</f>
        <v>1551765420295547</v>
      </c>
      <c r="C3572" t="s">
        <v>40</v>
      </c>
      <c r="D3572">
        <v>3.8170250000000001</v>
      </c>
      <c r="E3572">
        <v>0.48845339999999998</v>
      </c>
      <c r="F3572" t="s">
        <v>78</v>
      </c>
      <c r="G3572">
        <v>-408.98489999999998</v>
      </c>
      <c r="H3572">
        <v>7.9989149999999995E-2</v>
      </c>
      <c r="I3572">
        <v>37.727379999999997</v>
      </c>
      <c r="J3572">
        <v>-422.5059</v>
      </c>
      <c r="K3572">
        <v>1.110943</v>
      </c>
      <c r="L3572">
        <v>97.914490000000001</v>
      </c>
      <c r="M3572">
        <v>-3.9601919999999999E-2</v>
      </c>
      <c r="N3572">
        <v>-2.7516390000000002E-3</v>
      </c>
      <c r="O3572">
        <v>-0.99921179999999998</v>
      </c>
      <c r="P3572">
        <v>0.18891369999999999</v>
      </c>
      <c r="Q3572">
        <v>-3.6550890000000003E-2</v>
      </c>
      <c r="R3572">
        <v>-0.98131360000000001</v>
      </c>
      <c r="S3572">
        <v>0.65362549999999997</v>
      </c>
      <c r="T3572">
        <v>-4.988575E-2</v>
      </c>
      <c r="U3572">
        <v>-2.9297179999999998</v>
      </c>
      <c r="V3572">
        <v>-0.22733829999999999</v>
      </c>
      <c r="W3572">
        <v>-3.5762769999999999E-2</v>
      </c>
      <c r="X3572">
        <v>0.973159</v>
      </c>
      <c r="Y3572">
        <v>-0.25620209999999999</v>
      </c>
      <c r="Z3572">
        <v>1.3754499999999999E-2</v>
      </c>
      <c r="AA3572">
        <v>0.96652539999999998</v>
      </c>
      <c r="AB3572">
        <v>36</v>
      </c>
      <c r="AC3572">
        <v>13.521000000000001</v>
      </c>
      <c r="AD3572">
        <v>-1.0309538499999999</v>
      </c>
      <c r="AE3572">
        <v>-60.187109999999997</v>
      </c>
      <c r="AF3572">
        <v>-15.8894890826282</v>
      </c>
      <c r="AG3572">
        <v>-1.0309538499999999</v>
      </c>
      <c r="AH3572">
        <v>59.5877919245548</v>
      </c>
      <c r="AI3572">
        <v>90.957740644868693</v>
      </c>
      <c r="AJ3572">
        <v>104.93088864396501</v>
      </c>
      <c r="AK3572">
        <v>61.678551179415997</v>
      </c>
      <c r="AL3572">
        <v>92.049492697763995</v>
      </c>
      <c r="AM3572">
        <v>103.148978026799</v>
      </c>
      <c r="AN3572">
        <v>1.0000000588229701</v>
      </c>
    </row>
    <row r="3573" spans="1:40" x14ac:dyDescent="0.25">
      <c r="A3573" t="str">
        <f>"20190305135700323"</f>
        <v>20190305135700323</v>
      </c>
      <c r="B3573" t="str">
        <f>"1551765420316042"</f>
        <v>1551765420316042</v>
      </c>
      <c r="C3573" t="s">
        <v>40</v>
      </c>
      <c r="D3573">
        <v>3.7714859999999999</v>
      </c>
      <c r="E3573">
        <v>0.488763</v>
      </c>
      <c r="F3573" t="s">
        <v>78</v>
      </c>
      <c r="G3573">
        <v>-408.8236</v>
      </c>
      <c r="H3573">
        <v>7.9988980000000001E-2</v>
      </c>
      <c r="I3573">
        <v>37.277459999999998</v>
      </c>
      <c r="J3573">
        <v>-422.51639999999998</v>
      </c>
      <c r="K3573">
        <v>1.1109180000000001</v>
      </c>
      <c r="L3573">
        <v>97.585909999999998</v>
      </c>
      <c r="M3573">
        <v>-3.6430240000000003E-2</v>
      </c>
      <c r="N3573">
        <v>-2.7689469999999999E-3</v>
      </c>
      <c r="O3573">
        <v>-0.99933240000000001</v>
      </c>
      <c r="P3573">
        <v>0.19148560000000001</v>
      </c>
      <c r="Q3573">
        <v>-3.6347919999999999E-2</v>
      </c>
      <c r="R3573">
        <v>-0.98082239999999998</v>
      </c>
      <c r="S3573">
        <v>0.6607056</v>
      </c>
      <c r="T3573">
        <v>-4.9783710000000002E-2</v>
      </c>
      <c r="U3573">
        <v>-2.9281009999999998</v>
      </c>
      <c r="V3573">
        <v>-0.22680610000000001</v>
      </c>
      <c r="W3573">
        <v>-3.5519090000000003E-2</v>
      </c>
      <c r="X3573">
        <v>0.97329209999999999</v>
      </c>
      <c r="Y3573">
        <v>-0.25547249999999999</v>
      </c>
      <c r="Z3573">
        <v>1.371343E-2</v>
      </c>
      <c r="AA3573">
        <v>0.96671910000000005</v>
      </c>
      <c r="AB3573">
        <v>36</v>
      </c>
      <c r="AC3573">
        <v>13.692799999999901</v>
      </c>
      <c r="AD3573">
        <v>-1.0309290200000001</v>
      </c>
      <c r="AE3573">
        <v>-60.308450000000001</v>
      </c>
      <c r="AF3573">
        <v>-15.8763584124491</v>
      </c>
      <c r="AG3573">
        <v>-1.0309290200000001</v>
      </c>
      <c r="AH3573">
        <v>59.752978279066397</v>
      </c>
      <c r="AI3573">
        <v>90.955297631882601</v>
      </c>
      <c r="AJ3573">
        <v>104.879688807866</v>
      </c>
      <c r="AK3573">
        <v>61.834779730370201</v>
      </c>
      <c r="AL3573">
        <v>92.035521979695602</v>
      </c>
      <c r="AM3573">
        <v>103.117530027296</v>
      </c>
      <c r="AN3573">
        <v>1.00000006233702</v>
      </c>
    </row>
    <row r="3574" spans="1:40" x14ac:dyDescent="0.25">
      <c r="A3574" t="str">
        <f>"20190305135700347"</f>
        <v>20190305135700347</v>
      </c>
      <c r="B3574" t="str">
        <f>"1551765420335563"</f>
        <v>1551765420335563</v>
      </c>
      <c r="C3574" t="s">
        <v>40</v>
      </c>
      <c r="D3574">
        <v>3.7661769999999999</v>
      </c>
      <c r="E3574">
        <v>0.48905720000000003</v>
      </c>
      <c r="F3574" t="s">
        <v>78</v>
      </c>
      <c r="G3574">
        <v>-408.48079999999999</v>
      </c>
      <c r="H3574">
        <v>7.9988420000000005E-2</v>
      </c>
      <c r="I3574">
        <v>35.89687</v>
      </c>
      <c r="J3574">
        <v>-422.52730000000003</v>
      </c>
      <c r="K3574">
        <v>1.1108610000000001</v>
      </c>
      <c r="L3574">
        <v>97.211579999999998</v>
      </c>
      <c r="M3574">
        <v>-3.2923340000000002E-2</v>
      </c>
      <c r="N3574">
        <v>-2.7871200000000001E-3</v>
      </c>
      <c r="O3574">
        <v>-0.99945399999999995</v>
      </c>
      <c r="P3574">
        <v>0.1948539</v>
      </c>
      <c r="Q3574">
        <v>-3.5811839999999998E-2</v>
      </c>
      <c r="R3574">
        <v>-0.98017849999999995</v>
      </c>
      <c r="S3574">
        <v>0.66592410000000002</v>
      </c>
      <c r="T3574">
        <v>-4.891264E-2</v>
      </c>
      <c r="U3574">
        <v>-2.9268489999999998</v>
      </c>
      <c r="V3574">
        <v>-0.226744</v>
      </c>
      <c r="W3574">
        <v>-3.4935399999999998E-2</v>
      </c>
      <c r="X3574">
        <v>0.97332759999999996</v>
      </c>
      <c r="Y3574">
        <v>-0.2538087</v>
      </c>
      <c r="Z3574">
        <v>1.341792E-2</v>
      </c>
      <c r="AA3574">
        <v>0.96716139999999995</v>
      </c>
      <c r="AB3574">
        <v>36</v>
      </c>
      <c r="AC3574">
        <v>14.0465</v>
      </c>
      <c r="AD3574">
        <v>-1.03087258</v>
      </c>
      <c r="AE3574">
        <v>-61.314709999999998</v>
      </c>
      <c r="AF3574">
        <v>-16.053266411962099</v>
      </c>
      <c r="AG3574">
        <v>-1.03087258</v>
      </c>
      <c r="AH3574">
        <v>60.802680216626698</v>
      </c>
      <c r="AI3574">
        <v>90.939146661149906</v>
      </c>
      <c r="AJ3574">
        <v>104.78987464074299</v>
      </c>
      <c r="AK3574">
        <v>62.894641920397298</v>
      </c>
      <c r="AL3574">
        <v>92.002058422061296</v>
      </c>
      <c r="AM3574">
        <v>103.113600788029</v>
      </c>
      <c r="AN3574">
        <v>0.99999997031545895</v>
      </c>
    </row>
    <row r="3575" spans="1:40" x14ac:dyDescent="0.25">
      <c r="A3575" t="str">
        <f>"20190305135700368"</f>
        <v>20190305135700368</v>
      </c>
      <c r="B3575" t="str">
        <f>"1551765420356059"</f>
        <v>1551765420356059</v>
      </c>
      <c r="C3575" t="s">
        <v>40</v>
      </c>
      <c r="D3575">
        <v>3.7554069999999999</v>
      </c>
      <c r="E3575">
        <v>0.48931429999999998</v>
      </c>
      <c r="F3575" t="s">
        <v>78</v>
      </c>
      <c r="G3575">
        <v>-407.84609999999998</v>
      </c>
      <c r="H3575">
        <v>7.998769E-2</v>
      </c>
      <c r="I3575">
        <v>33.440249999999999</v>
      </c>
      <c r="J3575">
        <v>-422.53629999999998</v>
      </c>
      <c r="K3575">
        <v>1.1108049999999901</v>
      </c>
      <c r="L3575">
        <v>96.862489999999994</v>
      </c>
      <c r="M3575">
        <v>-2.9768059999999999E-2</v>
      </c>
      <c r="N3575">
        <v>-2.8028459999999999E-3</v>
      </c>
      <c r="O3575">
        <v>-0.99955309999999997</v>
      </c>
      <c r="P3575">
        <v>0.1979303</v>
      </c>
      <c r="Q3575">
        <v>-3.5304460000000003E-2</v>
      </c>
      <c r="R3575">
        <v>-0.97958029999999996</v>
      </c>
      <c r="S3575">
        <v>0.67340089999999997</v>
      </c>
      <c r="T3575">
        <v>-4.7284359999999998E-2</v>
      </c>
      <c r="U3575">
        <v>-2.9250790000000002</v>
      </c>
      <c r="V3575">
        <v>-0.22673670000000001</v>
      </c>
      <c r="W3575">
        <v>-3.4379300000000002E-2</v>
      </c>
      <c r="X3575">
        <v>0.97334909999999997</v>
      </c>
      <c r="Y3575">
        <v>-0.25323269999999998</v>
      </c>
      <c r="Z3575">
        <v>1.287175E-2</v>
      </c>
      <c r="AA3575">
        <v>0.96731979999999995</v>
      </c>
      <c r="AB3575">
        <v>36</v>
      </c>
      <c r="AC3575">
        <v>14.690200000000001</v>
      </c>
      <c r="AD3575">
        <v>-1.03081730999999</v>
      </c>
      <c r="AE3575">
        <v>-63.422240000000002</v>
      </c>
      <c r="AF3575">
        <v>-16.567500077936501</v>
      </c>
      <c r="AG3575">
        <v>-1.03081730999999</v>
      </c>
      <c r="AH3575">
        <v>62.941052375446503</v>
      </c>
      <c r="AI3575">
        <v>90.907375544983196</v>
      </c>
      <c r="AJ3575">
        <v>104.74702372857899</v>
      </c>
      <c r="AK3575">
        <v>65.093169513303906</v>
      </c>
      <c r="AL3575">
        <v>91.970177087840696</v>
      </c>
      <c r="AM3575">
        <v>103.11291354255199</v>
      </c>
      <c r="AN3575">
        <v>0.99999996893309395</v>
      </c>
    </row>
    <row r="3576" spans="1:40" x14ac:dyDescent="0.25">
      <c r="A3576" t="str">
        <f>"20190305135700389"</f>
        <v>20190305135700389</v>
      </c>
      <c r="B3576" t="str">
        <f>"1551765420386314"</f>
        <v>1551765420386314</v>
      </c>
      <c r="C3576" t="s">
        <v>40</v>
      </c>
      <c r="D3576">
        <v>3.7515390000000002</v>
      </c>
      <c r="E3576">
        <v>0.48972090000000001</v>
      </c>
      <c r="F3576" t="s">
        <v>78</v>
      </c>
      <c r="G3576">
        <v>-407.19170000000003</v>
      </c>
      <c r="H3576">
        <v>7.9987199999999994E-2</v>
      </c>
      <c r="I3576">
        <v>30.97167</v>
      </c>
      <c r="J3576">
        <v>-422.5444</v>
      </c>
      <c r="K3576">
        <v>1.1107400000000001</v>
      </c>
      <c r="L3576">
        <v>96.509219999999999</v>
      </c>
      <c r="M3576">
        <v>-2.6687059999999999E-2</v>
      </c>
      <c r="N3576">
        <v>-2.818049E-3</v>
      </c>
      <c r="O3576">
        <v>-0.99963999999999997</v>
      </c>
      <c r="P3576">
        <v>0.20103860000000001</v>
      </c>
      <c r="Q3576">
        <v>-3.432023E-2</v>
      </c>
      <c r="R3576">
        <v>-0.97898229999999997</v>
      </c>
      <c r="S3576">
        <v>0.68078609999999995</v>
      </c>
      <c r="T3576">
        <v>-4.573369E-2</v>
      </c>
      <c r="U3576">
        <v>-2.92334</v>
      </c>
      <c r="V3576">
        <v>-0.22684080000000001</v>
      </c>
      <c r="W3576">
        <v>-3.3344039999999998E-2</v>
      </c>
      <c r="X3576">
        <v>0.97336089999999997</v>
      </c>
      <c r="Y3576">
        <v>-0.25269770000000003</v>
      </c>
      <c r="Z3576">
        <v>1.235078E-2</v>
      </c>
      <c r="AA3576">
        <v>0.96746650000000001</v>
      </c>
      <c r="AB3576">
        <v>36</v>
      </c>
      <c r="AC3576">
        <v>15.352699999999899</v>
      </c>
      <c r="AD3576">
        <v>-1.0307527999999999</v>
      </c>
      <c r="AE3576">
        <v>-65.537549999999996</v>
      </c>
      <c r="AF3576">
        <v>-17.092235150006601</v>
      </c>
      <c r="AG3576">
        <v>-1.0307527999999999</v>
      </c>
      <c r="AH3576">
        <v>65.089224909914094</v>
      </c>
      <c r="AI3576">
        <v>90.877513773570499</v>
      </c>
      <c r="AJ3576">
        <v>104.71350315806301</v>
      </c>
      <c r="AK3576">
        <v>67.303894041364501</v>
      </c>
      <c r="AL3576">
        <v>91.910826945195495</v>
      </c>
      <c r="AM3576">
        <v>103.11857226972499</v>
      </c>
      <c r="AN3576">
        <v>1.0000000075984801</v>
      </c>
    </row>
    <row r="3577" spans="1:40" x14ac:dyDescent="0.25">
      <c r="A3577" t="str">
        <f>"20190305135700413"</f>
        <v>20190305135700413</v>
      </c>
      <c r="B3577" t="str">
        <f>"1551765420405460"</f>
        <v>1551765420405460</v>
      </c>
      <c r="C3577" t="s">
        <v>40</v>
      </c>
      <c r="D3577">
        <v>3.6760899999999999</v>
      </c>
      <c r="E3577">
        <v>0.48992639999999998</v>
      </c>
      <c r="F3577" t="s">
        <v>78</v>
      </c>
      <c r="G3577">
        <v>-404.67450000000002</v>
      </c>
      <c r="H3577" s="1">
        <v>-4.1249750000000003E-6</v>
      </c>
      <c r="I3577">
        <v>20.516559999999998</v>
      </c>
      <c r="J3577">
        <v>-422.5521</v>
      </c>
      <c r="K3577">
        <v>1.1106670000000001</v>
      </c>
      <c r="L3577">
        <v>96.121309999999994</v>
      </c>
      <c r="M3577">
        <v>-2.3439450000000001E-2</v>
      </c>
      <c r="N3577">
        <v>-2.8343930000000002E-3</v>
      </c>
      <c r="O3577">
        <v>-0.99972130000000003</v>
      </c>
      <c r="P3577">
        <v>0.20347560000000001</v>
      </c>
      <c r="Q3577">
        <v>-3.3610630000000002E-2</v>
      </c>
      <c r="R3577">
        <v>-0.97850309999999996</v>
      </c>
      <c r="S3577">
        <v>0.68707280000000004</v>
      </c>
      <c r="T3577">
        <v>-4.2706609999999999E-2</v>
      </c>
      <c r="U3577">
        <v>-2.9218139999999999</v>
      </c>
      <c r="V3577">
        <v>-0.2261145</v>
      </c>
      <c r="W3577">
        <v>-3.2571530000000001E-2</v>
      </c>
      <c r="X3577">
        <v>0.97355599999999998</v>
      </c>
      <c r="Y3577">
        <v>-0.25164259999999999</v>
      </c>
      <c r="Z3577">
        <v>1.13385E-2</v>
      </c>
      <c r="AA3577">
        <v>0.9677538</v>
      </c>
      <c r="AB3577">
        <v>37</v>
      </c>
      <c r="AC3577">
        <v>17.877599999999902</v>
      </c>
      <c r="AD3577">
        <v>-1.1106711249750001</v>
      </c>
      <c r="AE3577">
        <v>-75.604749999999996</v>
      </c>
      <c r="AF3577">
        <v>-19.640814766022601</v>
      </c>
      <c r="AG3577">
        <v>-1.1106711249750001</v>
      </c>
      <c r="AH3577">
        <v>75.149576014248495</v>
      </c>
      <c r="AI3577">
        <v>90.819226367714506</v>
      </c>
      <c r="AJ3577">
        <v>104.646981544564</v>
      </c>
      <c r="AK3577">
        <v>77.681747985883902</v>
      </c>
      <c r="AL3577">
        <v>91.866541377901299</v>
      </c>
      <c r="AM3577">
        <v>103.075484370022</v>
      </c>
      <c r="AN3577">
        <v>0.99999997840639498</v>
      </c>
    </row>
    <row r="3578" spans="1:40" x14ac:dyDescent="0.25">
      <c r="A3578" t="str">
        <f>"20190305135700434"</f>
        <v>20190305135700434</v>
      </c>
      <c r="B3578" t="str">
        <f>"1551765420425956"</f>
        <v>1551765420425956</v>
      </c>
      <c r="C3578" t="s">
        <v>40</v>
      </c>
      <c r="D3578">
        <v>3.657292</v>
      </c>
      <c r="E3578">
        <v>0.48991469999999998</v>
      </c>
      <c r="F3578" t="s">
        <v>78</v>
      </c>
      <c r="G3578">
        <v>-402.40010000000001</v>
      </c>
      <c r="H3578" s="1">
        <v>-5.7331969999999997E-6</v>
      </c>
      <c r="I3578">
        <v>11.14358</v>
      </c>
      <c r="J3578">
        <v>-422.55829999999997</v>
      </c>
      <c r="K3578">
        <v>1.1105969999999901</v>
      </c>
      <c r="L3578">
        <v>95.760959999999997</v>
      </c>
      <c r="M3578">
        <v>-2.052211E-2</v>
      </c>
      <c r="N3578">
        <v>-2.8495590000000002E-3</v>
      </c>
      <c r="O3578">
        <v>-0.99978549999999999</v>
      </c>
      <c r="P3578">
        <v>0.20503660000000001</v>
      </c>
      <c r="Q3578">
        <v>-3.3276470000000002E-2</v>
      </c>
      <c r="R3578">
        <v>-0.97818879999999997</v>
      </c>
      <c r="S3578">
        <v>0.6925964</v>
      </c>
      <c r="T3578">
        <v>-3.8172249999999998E-2</v>
      </c>
      <c r="U3578">
        <v>-2.920563</v>
      </c>
      <c r="V3578">
        <v>-0.22483449999999999</v>
      </c>
      <c r="W3578">
        <v>-3.2177200000000003E-2</v>
      </c>
      <c r="X3578">
        <v>0.97386550000000005</v>
      </c>
      <c r="Y3578">
        <v>-0.2506485</v>
      </c>
      <c r="Z3578">
        <v>9.8242929999999996E-3</v>
      </c>
      <c r="AA3578">
        <v>0.96802829999999995</v>
      </c>
      <c r="AB3578">
        <v>37</v>
      </c>
      <c r="AC3578">
        <v>20.158199999999901</v>
      </c>
      <c r="AD3578">
        <v>-1.1106027331970001</v>
      </c>
      <c r="AE3578">
        <v>-84.617379999999997</v>
      </c>
      <c r="AF3578">
        <v>-21.886920710585098</v>
      </c>
      <c r="AG3578">
        <v>-1.1106027331970001</v>
      </c>
      <c r="AH3578">
        <v>84.172147729063795</v>
      </c>
      <c r="AI3578">
        <v>90.731614589132903</v>
      </c>
      <c r="AJ3578">
        <v>104.575594864137</v>
      </c>
      <c r="AK3578">
        <v>86.978279989580003</v>
      </c>
      <c r="AL3578">
        <v>91.8439361016936</v>
      </c>
      <c r="AM3578">
        <v>102.999996292007</v>
      </c>
      <c r="AN3578">
        <v>0.99999996834016902</v>
      </c>
    </row>
    <row r="3579" spans="1:40" x14ac:dyDescent="0.25">
      <c r="A3579" t="str">
        <f>"20190305135700457"</f>
        <v>20190305135700457</v>
      </c>
      <c r="B3579" t="str">
        <f>"1551765420445477"</f>
        <v>1551765420445477</v>
      </c>
      <c r="C3579" t="s">
        <v>40</v>
      </c>
      <c r="D3579">
        <v>3.6735540000000002</v>
      </c>
      <c r="E3579">
        <v>0.48990089999999997</v>
      </c>
      <c r="F3579" t="s">
        <v>78</v>
      </c>
      <c r="G3579">
        <v>-401.23630000000003</v>
      </c>
      <c r="H3579">
        <v>7.998711E-2</v>
      </c>
      <c r="I3579">
        <v>6.502186</v>
      </c>
      <c r="J3579">
        <v>-422.56349999999998</v>
      </c>
      <c r="K3579">
        <v>1.110535</v>
      </c>
      <c r="L3579">
        <v>95.400049999999993</v>
      </c>
      <c r="M3579">
        <v>-1.7677669999999999E-2</v>
      </c>
      <c r="N3579">
        <v>-2.8649869999999998E-3</v>
      </c>
      <c r="O3579">
        <v>-0.99983979999999995</v>
      </c>
      <c r="P3579">
        <v>0.2057745</v>
      </c>
      <c r="Q3579">
        <v>-3.3757370000000002E-2</v>
      </c>
      <c r="R3579">
        <v>-0.97801720000000003</v>
      </c>
      <c r="S3579">
        <v>0.69741819999999999</v>
      </c>
      <c r="T3579">
        <v>-3.3710120000000003E-2</v>
      </c>
      <c r="U3579">
        <v>-2.919556</v>
      </c>
      <c r="V3579">
        <v>-0.22279889999999999</v>
      </c>
      <c r="W3579">
        <v>-3.2597889999999997E-2</v>
      </c>
      <c r="X3579">
        <v>0.9743193</v>
      </c>
      <c r="Y3579">
        <v>-0.24948580000000001</v>
      </c>
      <c r="Z3579">
        <v>8.3319050000000006E-3</v>
      </c>
      <c r="AA3579">
        <v>0.96834260000000005</v>
      </c>
      <c r="AB3579">
        <v>37</v>
      </c>
      <c r="AC3579">
        <v>21.327199999999898</v>
      </c>
      <c r="AD3579">
        <v>-1.03054789</v>
      </c>
      <c r="AE3579">
        <v>-88.897863999999998</v>
      </c>
      <c r="AF3579">
        <v>-22.892471631696399</v>
      </c>
      <c r="AG3579">
        <v>-1.03054789</v>
      </c>
      <c r="AH3579">
        <v>88.495710478428606</v>
      </c>
      <c r="AI3579">
        <v>90.645928926166604</v>
      </c>
      <c r="AJ3579">
        <v>104.50359540194</v>
      </c>
      <c r="AK3579">
        <v>91.414539650120602</v>
      </c>
      <c r="AL3579">
        <v>91.868052390778104</v>
      </c>
      <c r="AM3579">
        <v>102.880441722554</v>
      </c>
      <c r="AN3579">
        <v>1.00000003531307</v>
      </c>
    </row>
    <row r="3580" spans="1:40" x14ac:dyDescent="0.25">
      <c r="A3580" t="str">
        <f>"20190305135700502"</f>
        <v>20190305135700502</v>
      </c>
      <c r="B3580" t="str">
        <f>"1551765420496314"</f>
        <v>1551765420496314</v>
      </c>
      <c r="C3580" t="s">
        <v>40</v>
      </c>
      <c r="D3580">
        <v>3.6693280000000001</v>
      </c>
      <c r="E3580">
        <v>0.4900196</v>
      </c>
      <c r="F3580" t="s">
        <v>43</v>
      </c>
      <c r="G3580">
        <v>-397.1703</v>
      </c>
      <c r="H3580">
        <v>-0.05</v>
      </c>
      <c r="I3580">
        <v>-10.51437</v>
      </c>
      <c r="J3580">
        <v>-422.57119999999998</v>
      </c>
      <c r="K3580">
        <v>1.110433</v>
      </c>
      <c r="L3580">
        <v>94.644289999999998</v>
      </c>
      <c r="M3580">
        <v>-1.18992E-2</v>
      </c>
      <c r="N3580">
        <v>-2.897929E-3</v>
      </c>
      <c r="O3580">
        <v>-0.99992499999999995</v>
      </c>
      <c r="P3580">
        <v>0.20752139999999999</v>
      </c>
      <c r="Q3580">
        <v>-3.5849510000000001E-2</v>
      </c>
      <c r="R3580">
        <v>-0.97757340000000004</v>
      </c>
      <c r="S3580">
        <v>0.69985959999999903</v>
      </c>
      <c r="T3580">
        <v>-3.1985399999999997E-2</v>
      </c>
      <c r="U3580">
        <v>-2.919098</v>
      </c>
      <c r="V3580">
        <v>-0.21889810000000001</v>
      </c>
      <c r="W3580">
        <v>-3.4587550000000002E-2</v>
      </c>
      <c r="X3580">
        <v>0.97513459999999996</v>
      </c>
      <c r="Y3580">
        <v>-0.24468799999999999</v>
      </c>
      <c r="Z3580">
        <v>7.7363350000000004E-3</v>
      </c>
      <c r="AA3580">
        <v>0.96957099999999996</v>
      </c>
      <c r="AB3580">
        <v>37</v>
      </c>
      <c r="AC3580">
        <v>25.400899999999901</v>
      </c>
      <c r="AD3580">
        <v>-1.160433</v>
      </c>
      <c r="AE3580">
        <v>-105.15866</v>
      </c>
      <c r="AF3580">
        <v>-26.647344806417099</v>
      </c>
      <c r="AG3580">
        <v>-1.160433</v>
      </c>
      <c r="AH3580">
        <v>104.83690077366001</v>
      </c>
      <c r="AI3580">
        <v>90.614634893867503</v>
      </c>
      <c r="AJ3580">
        <v>104.261378534348</v>
      </c>
      <c r="AK3580">
        <v>108.176722791023</v>
      </c>
      <c r="AL3580">
        <v>91.982115809659703</v>
      </c>
      <c r="AM3580">
        <v>102.652015729589</v>
      </c>
      <c r="AN3580">
        <v>1.0000000824578801</v>
      </c>
    </row>
    <row r="3581" spans="1:40" x14ac:dyDescent="0.25">
      <c r="A3581" t="str">
        <f>"20190305135700524"</f>
        <v>20190305135700524</v>
      </c>
      <c r="B3581" t="str">
        <f>"1551765420515833"</f>
        <v>1551765420515833</v>
      </c>
      <c r="C3581" t="s">
        <v>40</v>
      </c>
      <c r="D3581">
        <v>3.6705009999999998</v>
      </c>
      <c r="E3581">
        <v>0.49009229999999998</v>
      </c>
      <c r="F3581" t="s">
        <v>43</v>
      </c>
      <c r="G3581">
        <v>-397.15309999999999</v>
      </c>
      <c r="H3581">
        <v>-0.05</v>
      </c>
      <c r="I3581">
        <v>-10.630280000000001</v>
      </c>
      <c r="J3581">
        <v>-422.5736</v>
      </c>
      <c r="K3581">
        <v>1.1103940000000001</v>
      </c>
      <c r="L3581">
        <v>94.257199999999997</v>
      </c>
      <c r="M3581">
        <v>-8.9971640000000002E-3</v>
      </c>
      <c r="N3581">
        <v>-2.9149449999999999E-3</v>
      </c>
      <c r="O3581">
        <v>-0.99995540000000005</v>
      </c>
      <c r="P3581">
        <v>0.2087618</v>
      </c>
      <c r="Q3581">
        <v>-3.6981960000000001E-2</v>
      </c>
      <c r="R3581">
        <v>-0.9772672</v>
      </c>
      <c r="S3581">
        <v>0.7045593</v>
      </c>
      <c r="T3581">
        <v>-3.2165880000000001E-2</v>
      </c>
      <c r="U3581">
        <v>-2.918091</v>
      </c>
      <c r="V3581">
        <v>-0.2172983</v>
      </c>
      <c r="W3581">
        <v>-3.567965E-2</v>
      </c>
      <c r="X3581">
        <v>0.97545300000000001</v>
      </c>
      <c r="Y3581">
        <v>-0.24342569999999999</v>
      </c>
      <c r="Z3581">
        <v>7.7841219999999897E-3</v>
      </c>
      <c r="AA3581">
        <v>0.96988830000000004</v>
      </c>
      <c r="AB3581">
        <v>38</v>
      </c>
      <c r="AC3581">
        <v>25.420500000000001</v>
      </c>
      <c r="AD3581">
        <v>-1.1603939999999999</v>
      </c>
      <c r="AE3581">
        <v>-104.88748</v>
      </c>
      <c r="AF3581">
        <v>-26.360117490193002</v>
      </c>
      <c r="AG3581">
        <v>-1.1603939999999999</v>
      </c>
      <c r="AH3581">
        <v>104.642424118284</v>
      </c>
      <c r="AI3581">
        <v>90.616089238021004</v>
      </c>
      <c r="AJ3581">
        <v>104.139011608345</v>
      </c>
      <c r="AK3581">
        <v>107.917742904875</v>
      </c>
      <c r="AL3581">
        <v>92.044727204733803</v>
      </c>
      <c r="AM3581">
        <v>102.558524337816</v>
      </c>
      <c r="AN3581">
        <v>1.000000071908</v>
      </c>
    </row>
    <row r="3582" spans="1:40" x14ac:dyDescent="0.25">
      <c r="A3582" t="str">
        <f>"20190305135700546"</f>
        <v>20190305135700546</v>
      </c>
      <c r="B3582" t="str">
        <f>"1551765420535354"</f>
        <v>1551765420535354</v>
      </c>
      <c r="C3582" t="s">
        <v>40</v>
      </c>
      <c r="D3582">
        <v>3.661111</v>
      </c>
      <c r="E3582">
        <v>0.4901836</v>
      </c>
      <c r="F3582" t="s">
        <v>78</v>
      </c>
      <c r="G3582">
        <v>-400.88150000000002</v>
      </c>
      <c r="H3582">
        <v>7.9987169999999996E-2</v>
      </c>
      <c r="I3582">
        <v>4.83596</v>
      </c>
      <c r="J3582">
        <v>-422.57479999999998</v>
      </c>
      <c r="K3582">
        <v>1.1103749999999999</v>
      </c>
      <c r="L3582">
        <v>93.895079999999993</v>
      </c>
      <c r="M3582">
        <v>-6.3020510000000004E-3</v>
      </c>
      <c r="N3582">
        <v>-2.9332709999999999E-3</v>
      </c>
      <c r="O3582">
        <v>-0.99997590000000003</v>
      </c>
      <c r="P3582">
        <v>0.2099113</v>
      </c>
      <c r="Q3582">
        <v>-3.7866419999999998E-2</v>
      </c>
      <c r="R3582">
        <v>-0.97698700000000005</v>
      </c>
      <c r="S3582">
        <v>0.70770259999999996</v>
      </c>
      <c r="T3582">
        <v>-3.3616899999999998E-2</v>
      </c>
      <c r="U3582">
        <v>-2.9173580000000001</v>
      </c>
      <c r="V3582">
        <v>-0.2158118</v>
      </c>
      <c r="W3582">
        <v>-3.6528209999999998E-2</v>
      </c>
      <c r="X3582">
        <v>0.97575149999999999</v>
      </c>
      <c r="Y3582">
        <v>-0.24185290000000001</v>
      </c>
      <c r="Z3582">
        <v>8.2533550000000004E-3</v>
      </c>
      <c r="AA3582">
        <v>0.97027779999999997</v>
      </c>
      <c r="AB3582">
        <v>38</v>
      </c>
      <c r="AC3582">
        <v>21.693299999999901</v>
      </c>
      <c r="AD3582">
        <v>-1.03038783</v>
      </c>
      <c r="AE3582">
        <v>-89.059119999999993</v>
      </c>
      <c r="AF3582">
        <v>-22.251315011995899</v>
      </c>
      <c r="AG3582">
        <v>-1.03038783</v>
      </c>
      <c r="AH3582">
        <v>88.909403915133893</v>
      </c>
      <c r="AI3582">
        <v>90.644117847512305</v>
      </c>
      <c r="AJ3582">
        <v>104.05077724039</v>
      </c>
      <c r="AK3582">
        <v>91.657322802860193</v>
      </c>
      <c r="AL3582">
        <v>92.093377943743306</v>
      </c>
      <c r="AM3582">
        <v>102.47161509971301</v>
      </c>
      <c r="AN3582">
        <v>1.00000001644864</v>
      </c>
    </row>
    <row r="3583" spans="1:40" x14ac:dyDescent="0.25">
      <c r="A3583" t="str">
        <f>"20190305135700568"</f>
        <v>20190305135700568</v>
      </c>
      <c r="B3583" t="str">
        <f>"1551765420555850"</f>
        <v>1551765420555850</v>
      </c>
      <c r="C3583" t="s">
        <v>40</v>
      </c>
      <c r="D3583">
        <v>3.6612439999999999</v>
      </c>
      <c r="E3583">
        <v>0.49024319999999999</v>
      </c>
      <c r="F3583" t="s">
        <v>78</v>
      </c>
      <c r="G3583">
        <v>-401.21730000000002</v>
      </c>
      <c r="H3583">
        <v>7.9987119999999995E-2</v>
      </c>
      <c r="I3583">
        <v>6.2727089999999999</v>
      </c>
      <c r="J3583">
        <v>-422.57510000000002</v>
      </c>
      <c r="K3583">
        <v>1.1103639999999999</v>
      </c>
      <c r="L3583">
        <v>93.520939999999996</v>
      </c>
      <c r="M3583">
        <v>-3.5313499999999999E-3</v>
      </c>
      <c r="N3583">
        <v>-2.9552239999999998E-3</v>
      </c>
      <c r="O3583">
        <v>-0.99998949999999998</v>
      </c>
      <c r="P3583">
        <v>0.21165619999999999</v>
      </c>
      <c r="Q3583">
        <v>-3.8694439999999997E-2</v>
      </c>
      <c r="R3583">
        <v>-0.9765781</v>
      </c>
      <c r="S3583">
        <v>0.71090699999999996</v>
      </c>
      <c r="T3583">
        <v>-3.4297469999999997E-2</v>
      </c>
      <c r="U3583">
        <v>-2.916595</v>
      </c>
      <c r="V3583">
        <v>-0.21484600000000001</v>
      </c>
      <c r="W3583">
        <v>-3.7323879999999997E-2</v>
      </c>
      <c r="X3583">
        <v>0.97593450000000004</v>
      </c>
      <c r="Y3583">
        <v>-0.2402282</v>
      </c>
      <c r="Z3583">
        <v>8.4628619999999998E-3</v>
      </c>
      <c r="AA3583">
        <v>0.97067959999999998</v>
      </c>
      <c r="AB3583">
        <v>38</v>
      </c>
      <c r="AC3583">
        <v>21.357800000000001</v>
      </c>
      <c r="AD3583">
        <v>-1.0303768799999999</v>
      </c>
      <c r="AE3583">
        <v>-87.248230999999905</v>
      </c>
      <c r="AF3583">
        <v>-21.662921680726399</v>
      </c>
      <c r="AG3583">
        <v>-1.0303768799999999</v>
      </c>
      <c r="AH3583">
        <v>87.160795795592307</v>
      </c>
      <c r="AI3583">
        <v>90.657298836175798</v>
      </c>
      <c r="AJ3583">
        <v>103.957471386086</v>
      </c>
      <c r="AK3583">
        <v>89.8184177993638</v>
      </c>
      <c r="AL3583">
        <v>92.138997599131699</v>
      </c>
      <c r="AM3583">
        <v>102.415281013206</v>
      </c>
      <c r="AN3583">
        <v>1.0000000120122501</v>
      </c>
    </row>
    <row r="3584" spans="1:40" x14ac:dyDescent="0.25">
      <c r="A3584" t="str">
        <f>"20190305135700591"</f>
        <v>20190305135700591</v>
      </c>
      <c r="B3584" t="str">
        <f>"1551765420586106"</f>
        <v>1551765420586106</v>
      </c>
      <c r="C3584" t="s">
        <v>40</v>
      </c>
      <c r="D3584">
        <v>3.6768930000000002</v>
      </c>
      <c r="E3584">
        <v>0.49043039999999999</v>
      </c>
      <c r="F3584" t="s">
        <v>78</v>
      </c>
      <c r="G3584">
        <v>-401.35059999999999</v>
      </c>
      <c r="H3584">
        <v>7.9987089999999997E-2</v>
      </c>
      <c r="I3584">
        <v>7.0101509999999996</v>
      </c>
      <c r="J3584">
        <v>-422.57420000000002</v>
      </c>
      <c r="K3584">
        <v>1.110358</v>
      </c>
      <c r="L3584">
        <v>93.131529999999998</v>
      </c>
      <c r="M3584">
        <v>-6.6168779999999897E-4</v>
      </c>
      <c r="N3584">
        <v>-2.9792120000000002E-3</v>
      </c>
      <c r="O3584">
        <v>-0.99999539999999998</v>
      </c>
      <c r="P3584">
        <v>0.21409239999999999</v>
      </c>
      <c r="Q3584">
        <v>-3.8657490000000003E-2</v>
      </c>
      <c r="R3584">
        <v>-0.97604840000000004</v>
      </c>
      <c r="S3584">
        <v>0.71530150000000003</v>
      </c>
      <c r="T3584">
        <v>-3.4725430000000002E-2</v>
      </c>
      <c r="U3584">
        <v>-2.9155579999999999</v>
      </c>
      <c r="V3584">
        <v>-0.21448159999999999</v>
      </c>
      <c r="W3584">
        <v>-3.725796E-2</v>
      </c>
      <c r="X3584">
        <v>0.97601720000000003</v>
      </c>
      <c r="Y3584">
        <v>-0.2389019</v>
      </c>
      <c r="Z3584">
        <v>8.5863450000000004E-3</v>
      </c>
      <c r="AA3584">
        <v>0.97100569999999997</v>
      </c>
      <c r="AB3584">
        <v>38</v>
      </c>
      <c r="AC3584">
        <v>21.223600000000001</v>
      </c>
      <c r="AD3584">
        <v>-1.03037091</v>
      </c>
      <c r="AE3584">
        <v>-86.121379000000005</v>
      </c>
      <c r="AF3584">
        <v>-21.277709729927501</v>
      </c>
      <c r="AG3584">
        <v>-1.03037091</v>
      </c>
      <c r="AH3584">
        <v>86.095698427799306</v>
      </c>
      <c r="AI3584">
        <v>90.665643222456495</v>
      </c>
      <c r="AJ3584">
        <v>103.881925032525</v>
      </c>
      <c r="AK3584">
        <v>88.692005746480802</v>
      </c>
      <c r="AL3584">
        <v>92.135217965236606</v>
      </c>
      <c r="AM3584">
        <v>102.39385707503401</v>
      </c>
      <c r="AN3584">
        <v>1.0000000435088701</v>
      </c>
    </row>
    <row r="3585" spans="1:40" x14ac:dyDescent="0.25">
      <c r="A3585" t="str">
        <f>"20190305135700615"</f>
        <v>20190305135700615</v>
      </c>
      <c r="B3585" t="str">
        <f>"1551765420605625"</f>
        <v>1551765420605625</v>
      </c>
      <c r="C3585" t="s">
        <v>40</v>
      </c>
      <c r="D3585">
        <v>3.680145</v>
      </c>
      <c r="E3585">
        <v>0.49047669999999999</v>
      </c>
      <c r="F3585" t="s">
        <v>43</v>
      </c>
      <c r="G3585">
        <v>-396.76609999999999</v>
      </c>
      <c r="H3585">
        <v>-0.05</v>
      </c>
      <c r="I3585">
        <v>-11.115019999999999</v>
      </c>
      <c r="J3585">
        <v>-422.57209999999998</v>
      </c>
      <c r="K3585">
        <v>1.110358</v>
      </c>
      <c r="L3585">
        <v>92.71472</v>
      </c>
      <c r="M3585">
        <v>2.3815830000000001E-3</v>
      </c>
      <c r="N3585">
        <v>-3.00395E-3</v>
      </c>
      <c r="O3585">
        <v>-0.99999280000000002</v>
      </c>
      <c r="P3585">
        <v>0.21684790000000001</v>
      </c>
      <c r="Q3585">
        <v>-3.8149139999999998E-2</v>
      </c>
      <c r="R3585">
        <v>-0.97545990000000005</v>
      </c>
      <c r="S3585">
        <v>0.72143550000000001</v>
      </c>
      <c r="T3585">
        <v>-3.2436489999999998E-2</v>
      </c>
      <c r="U3585">
        <v>-2.9140929999999998</v>
      </c>
      <c r="V3585">
        <v>-0.2142723</v>
      </c>
      <c r="W3585">
        <v>-3.6718859999999999E-2</v>
      </c>
      <c r="X3585">
        <v>0.97608360000000005</v>
      </c>
      <c r="Y3585">
        <v>-0.23798820000000001</v>
      </c>
      <c r="Z3585">
        <v>7.8042160000000001E-3</v>
      </c>
      <c r="AA3585">
        <v>0.97123669999999995</v>
      </c>
      <c r="AB3585">
        <v>38</v>
      </c>
      <c r="AC3585">
        <v>25.805999999999901</v>
      </c>
      <c r="AD3585">
        <v>-1.160358</v>
      </c>
      <c r="AE3585">
        <v>-103.82974</v>
      </c>
      <c r="AF3585">
        <v>-25.5556405455103</v>
      </c>
      <c r="AG3585">
        <v>-1.160358</v>
      </c>
      <c r="AH3585">
        <v>103.878685948837</v>
      </c>
      <c r="AI3585">
        <v>90.621457026851203</v>
      </c>
      <c r="AJ3585">
        <v>103.82111123589701</v>
      </c>
      <c r="AK3585">
        <v>106.98232839509799</v>
      </c>
      <c r="AL3585">
        <v>92.104308659647998</v>
      </c>
      <c r="AM3585">
        <v>102.381319534892</v>
      </c>
      <c r="AN3585">
        <v>1.0000000437079699</v>
      </c>
    </row>
    <row r="3586" spans="1:40" x14ac:dyDescent="0.25">
      <c r="A3586" t="str">
        <f>"20190305135700635"</f>
        <v>20190305135700635</v>
      </c>
      <c r="B3586" t="str">
        <f>"1551765420626122"</f>
        <v>1551765420626122</v>
      </c>
      <c r="C3586" t="s">
        <v>40</v>
      </c>
      <c r="D3586">
        <v>3.698553</v>
      </c>
      <c r="E3586">
        <v>0.49049700000000002</v>
      </c>
      <c r="F3586" t="s">
        <v>83</v>
      </c>
      <c r="G3586">
        <v>-399.52809999999999</v>
      </c>
      <c r="H3586">
        <v>0.1858408</v>
      </c>
      <c r="I3586">
        <v>0.685585</v>
      </c>
      <c r="J3586">
        <v>-422.5693</v>
      </c>
      <c r="K3586">
        <v>1.110358</v>
      </c>
      <c r="L3586">
        <v>92.355620000000002</v>
      </c>
      <c r="M3586">
        <v>4.9782380000000003E-3</v>
      </c>
      <c r="N3586">
        <v>-3.0245070000000001E-3</v>
      </c>
      <c r="O3586">
        <v>-0.99998310000000001</v>
      </c>
      <c r="P3586">
        <v>0.21919259999999999</v>
      </c>
      <c r="Q3586">
        <v>-3.6826690000000002E-2</v>
      </c>
      <c r="R3586">
        <v>-0.97498640000000003</v>
      </c>
      <c r="S3586">
        <v>0.72921749999999996</v>
      </c>
      <c r="T3586">
        <v>-2.9256819999999999E-2</v>
      </c>
      <c r="U3586">
        <v>-2.9122309999999998</v>
      </c>
      <c r="V3586">
        <v>-0.2140947</v>
      </c>
      <c r="W3586">
        <v>-3.5369499999999998E-2</v>
      </c>
      <c r="X3586">
        <v>0.97617229999999999</v>
      </c>
      <c r="Y3586">
        <v>-0.23805699999999999</v>
      </c>
      <c r="Z3586">
        <v>6.7280459999999997E-3</v>
      </c>
      <c r="AA3586">
        <v>0.97122790000000003</v>
      </c>
      <c r="AB3586">
        <v>38</v>
      </c>
      <c r="AC3586">
        <v>23.0412</v>
      </c>
      <c r="AD3586">
        <v>-0.92451719999999904</v>
      </c>
      <c r="AE3586">
        <v>-91.670034999999999</v>
      </c>
      <c r="AF3586">
        <v>-22.582396744789001</v>
      </c>
      <c r="AG3586">
        <v>-0.92451719999999904</v>
      </c>
      <c r="AH3586">
        <v>91.7748241773199</v>
      </c>
      <c r="AI3586">
        <v>90.560447899943597</v>
      </c>
      <c r="AJ3586">
        <v>103.82374795278901</v>
      </c>
      <c r="AK3586">
        <v>94.516864778568106</v>
      </c>
      <c r="AL3586">
        <v>92.026945942091501</v>
      </c>
      <c r="AM3586">
        <v>102.37028386788</v>
      </c>
      <c r="AN3586">
        <v>0.999999950692813</v>
      </c>
    </row>
    <row r="3587" spans="1:40" x14ac:dyDescent="0.25">
      <c r="A3587" t="str">
        <f>"20190305135700658"</f>
        <v>20190305135700658</v>
      </c>
      <c r="B3587" t="str">
        <f>"1551765420645643"</f>
        <v>1551765420645643</v>
      </c>
      <c r="C3587" t="s">
        <v>40</v>
      </c>
      <c r="D3587">
        <v>3.7118289999999998</v>
      </c>
      <c r="E3587">
        <v>0.49052659999999998</v>
      </c>
      <c r="F3587" t="s">
        <v>83</v>
      </c>
      <c r="G3587">
        <v>-399.37920000000003</v>
      </c>
      <c r="H3587">
        <v>0.36044720000000002</v>
      </c>
      <c r="I3587">
        <v>0.68710139999999997</v>
      </c>
      <c r="J3587">
        <v>-422.56529999999998</v>
      </c>
      <c r="K3587">
        <v>1.1103459999999901</v>
      </c>
      <c r="L3587">
        <v>91.970370000000003</v>
      </c>
      <c r="M3587">
        <v>7.7217400000000004E-3</v>
      </c>
      <c r="N3587">
        <v>-3.045659E-3</v>
      </c>
      <c r="O3587">
        <v>-0.99996549999999995</v>
      </c>
      <c r="P3587">
        <v>0.2214739</v>
      </c>
      <c r="Q3587">
        <v>-3.5713979999999999E-2</v>
      </c>
      <c r="R3587">
        <v>-0.9745123</v>
      </c>
      <c r="S3587">
        <v>0.7362976</v>
      </c>
      <c r="T3587">
        <v>-2.3810979999999999E-2</v>
      </c>
      <c r="U3587">
        <v>-2.9105219999999998</v>
      </c>
      <c r="V3587">
        <v>-0.21370990000000001</v>
      </c>
      <c r="W3587">
        <v>-3.4223429999999999E-2</v>
      </c>
      <c r="X3587">
        <v>0.97629750000000004</v>
      </c>
      <c r="Y3587">
        <v>-0.23775160000000001</v>
      </c>
      <c r="Z3587">
        <v>4.8953779999999997E-3</v>
      </c>
      <c r="AA3587">
        <v>0.97131369999999895</v>
      </c>
      <c r="AB3587">
        <v>39</v>
      </c>
      <c r="AC3587">
        <v>23.1860999999999</v>
      </c>
      <c r="AD3587">
        <v>-0.74989879999999898</v>
      </c>
      <c r="AE3587">
        <v>-91.2832686</v>
      </c>
      <c r="AF3587">
        <v>-22.479114660401201</v>
      </c>
      <c r="AG3587">
        <v>-0.74989879999999898</v>
      </c>
      <c r="AH3587">
        <v>91.453787095552997</v>
      </c>
      <c r="AI3587">
        <v>90.456221969847505</v>
      </c>
      <c r="AJ3587">
        <v>103.80940011665901</v>
      </c>
      <c r="AK3587">
        <v>94.1789154654291</v>
      </c>
      <c r="AL3587">
        <v>91.961241101415396</v>
      </c>
      <c r="AM3587">
        <v>102.347198035592</v>
      </c>
      <c r="AN3587">
        <v>0.99999998651261202</v>
      </c>
    </row>
    <row r="3588" spans="1:40" x14ac:dyDescent="0.25">
      <c r="A3588" t="str">
        <f>"20190305135700681"</f>
        <v>20190305135700681</v>
      </c>
      <c r="B3588" t="str">
        <f>"1551765420675899"</f>
        <v>1551765420675899</v>
      </c>
      <c r="C3588" t="s">
        <v>40</v>
      </c>
      <c r="D3588">
        <v>4.0460099999999999</v>
      </c>
      <c r="E3588">
        <v>0.4909618</v>
      </c>
      <c r="F3588" t="s">
        <v>83</v>
      </c>
      <c r="G3588">
        <v>-399.25850000000003</v>
      </c>
      <c r="H3588">
        <v>0.5145113</v>
      </c>
      <c r="I3588">
        <v>0.68832780000000005</v>
      </c>
      <c r="J3588">
        <v>-422.56020000000001</v>
      </c>
      <c r="K3588">
        <v>1.1103160000000001</v>
      </c>
      <c r="L3588">
        <v>91.57159</v>
      </c>
      <c r="M3588">
        <v>1.049289E-2</v>
      </c>
      <c r="N3588">
        <v>-3.066259E-3</v>
      </c>
      <c r="O3588">
        <v>-0.99994050000000001</v>
      </c>
      <c r="P3588">
        <v>0.22289049999999999</v>
      </c>
      <c r="Q3588">
        <v>-3.4315699999999998E-2</v>
      </c>
      <c r="R3588">
        <v>-0.97423959999999998</v>
      </c>
      <c r="S3588">
        <v>0.74273679999999997</v>
      </c>
      <c r="T3588">
        <v>-1.8988850000000002E-2</v>
      </c>
      <c r="U3588">
        <v>-2.9089659999999999</v>
      </c>
      <c r="V3588">
        <v>-0.2124356</v>
      </c>
      <c r="W3588">
        <v>-3.2778870000000002E-2</v>
      </c>
      <c r="X3588">
        <v>0.97662510000000002</v>
      </c>
      <c r="Y3588">
        <v>-0.2372051</v>
      </c>
      <c r="Z3588">
        <v>3.270116E-3</v>
      </c>
      <c r="AA3588">
        <v>0.97145409999999999</v>
      </c>
      <c r="AB3588">
        <v>39</v>
      </c>
      <c r="AC3588">
        <v>23.301699999999901</v>
      </c>
      <c r="AD3588">
        <v>-0.59580469999999996</v>
      </c>
      <c r="AE3588">
        <v>-90.883262200000004</v>
      </c>
      <c r="AF3588">
        <v>-22.3458837408478</v>
      </c>
      <c r="AG3588">
        <v>-0.59580469999999996</v>
      </c>
      <c r="AH3588">
        <v>91.119087612347798</v>
      </c>
      <c r="AI3588">
        <v>90.363855864816301</v>
      </c>
      <c r="AJ3588">
        <v>103.779176614287</v>
      </c>
      <c r="AK3588">
        <v>93.8210084720194</v>
      </c>
      <c r="AL3588">
        <v>91.878427462420703</v>
      </c>
      <c r="AM3588">
        <v>102.271820572175</v>
      </c>
      <c r="AN3588">
        <v>0.99999996220792198</v>
      </c>
    </row>
    <row r="3589" spans="1:40" x14ac:dyDescent="0.25">
      <c r="A3589" t="str">
        <f>"20190305135700704"</f>
        <v>20190305135700704</v>
      </c>
      <c r="B3589" t="str">
        <f>"1551765420695923"</f>
        <v>1551765420695923</v>
      </c>
      <c r="C3589" t="s">
        <v>40</v>
      </c>
      <c r="D3589">
        <v>4.6373749999999996</v>
      </c>
      <c r="E3589">
        <v>0.5713068</v>
      </c>
      <c r="F3589" t="s">
        <v>83</v>
      </c>
      <c r="G3589">
        <v>-399.3245</v>
      </c>
      <c r="H3589">
        <v>0.56626200000000004</v>
      </c>
      <c r="I3589">
        <v>0.68765829999999994</v>
      </c>
      <c r="J3589">
        <v>-422.55399999999997</v>
      </c>
      <c r="K3589">
        <v>1.1102700000000001</v>
      </c>
      <c r="L3589">
        <v>91.164550000000006</v>
      </c>
      <c r="M3589">
        <v>1.3227869999999999E-2</v>
      </c>
      <c r="N3589">
        <v>-3.0859160000000002E-3</v>
      </c>
      <c r="O3589">
        <v>-0.99990789999999996</v>
      </c>
      <c r="P3589">
        <v>0.22416159999999999</v>
      </c>
      <c r="Q3589">
        <v>-3.4306179999999999E-2</v>
      </c>
      <c r="R3589">
        <v>-0.97394809999999998</v>
      </c>
      <c r="S3589">
        <v>0.7436218</v>
      </c>
      <c r="T3589">
        <v>-1.7412420000000001E-2</v>
      </c>
      <c r="U3589">
        <v>-2.9085999999999999</v>
      </c>
      <c r="V3589">
        <v>-0.21104290000000001</v>
      </c>
      <c r="W3589">
        <v>-3.2715000000000001E-2</v>
      </c>
      <c r="X3589">
        <v>0.97692920000000005</v>
      </c>
      <c r="Y3589">
        <v>-0.2348547</v>
      </c>
      <c r="Z3589">
        <v>2.727752E-3</v>
      </c>
      <c r="AA3589">
        <v>0.97202659999999996</v>
      </c>
      <c r="AB3589">
        <v>39</v>
      </c>
      <c r="AC3589">
        <v>23.229500000000002</v>
      </c>
      <c r="AD3589">
        <v>-0.54400800000000005</v>
      </c>
      <c r="AE3589">
        <v>-90.476891699999996</v>
      </c>
      <c r="AF3589">
        <v>-22.029898330070001</v>
      </c>
      <c r="AG3589">
        <v>-0.54400800000000005</v>
      </c>
      <c r="AH3589">
        <v>90.773175124664803</v>
      </c>
      <c r="AI3589">
        <v>90.333686131273396</v>
      </c>
      <c r="AJ3589">
        <v>103.641468836455</v>
      </c>
      <c r="AK3589">
        <v>93.409751564546795</v>
      </c>
      <c r="AL3589">
        <v>91.874765909974897</v>
      </c>
      <c r="AM3589">
        <v>102.190100894509</v>
      </c>
      <c r="AN3589">
        <v>1.0000000193390199</v>
      </c>
    </row>
    <row r="3590" spans="1:40" x14ac:dyDescent="0.25">
      <c r="A3590" t="str">
        <f>"20190305135700726"</f>
        <v>20190305135700726</v>
      </c>
      <c r="B3590" t="str">
        <f>"1551765420715444"</f>
        <v>1551765420715444</v>
      </c>
      <c r="C3590" t="s">
        <v>40</v>
      </c>
      <c r="D3590">
        <v>3.9348779999999999</v>
      </c>
      <c r="E3590">
        <v>0.58556619999999904</v>
      </c>
      <c r="F3590" t="s">
        <v>42</v>
      </c>
      <c r="G3590">
        <v>-421.57900000000001</v>
      </c>
      <c r="H3590" s="1">
        <v>-2.981333E-6</v>
      </c>
      <c r="I3590">
        <v>65.55932</v>
      </c>
      <c r="J3590">
        <v>-422.5471</v>
      </c>
      <c r="K3590">
        <v>1.1102030000000001</v>
      </c>
      <c r="L3590">
        <v>90.778379999999999</v>
      </c>
      <c r="M3590">
        <v>1.571322E-2</v>
      </c>
      <c r="N3590">
        <v>-3.1034080000000002E-3</v>
      </c>
      <c r="O3590">
        <v>-0.99987190000000004</v>
      </c>
      <c r="P3590">
        <v>0.22451589999999999</v>
      </c>
      <c r="Q3590">
        <v>-3.4554630000000003E-2</v>
      </c>
      <c r="R3590">
        <v>-0.9738578</v>
      </c>
      <c r="S3590">
        <v>0.11608889999999999</v>
      </c>
      <c r="T3590">
        <v>-0.1322035</v>
      </c>
      <c r="U3590">
        <v>-3.048889</v>
      </c>
      <c r="V3590">
        <v>-0.2089733</v>
      </c>
      <c r="W3590">
        <v>-3.289984E-2</v>
      </c>
      <c r="X3590">
        <v>0.97736780000000001</v>
      </c>
      <c r="Y3590">
        <v>-2.2309249999999999E-2</v>
      </c>
      <c r="Z3590">
        <v>4.0191640000000001E-2</v>
      </c>
      <c r="AA3590">
        <v>0.99894289999999997</v>
      </c>
      <c r="AB3590">
        <v>39</v>
      </c>
      <c r="AC3590">
        <v>0.96809999999999197</v>
      </c>
      <c r="AD3590">
        <v>-1.1102059813330001</v>
      </c>
      <c r="AE3590">
        <v>-25.219059999999999</v>
      </c>
      <c r="AF3590">
        <v>-0.57060181278198596</v>
      </c>
      <c r="AG3590">
        <v>-1.1102059813330001</v>
      </c>
      <c r="AH3590">
        <v>25.182427223676498</v>
      </c>
      <c r="AI3590">
        <v>92.523690899409203</v>
      </c>
      <c r="AJ3590">
        <v>91.298027470345801</v>
      </c>
      <c r="AK3590">
        <v>25.213345367592598</v>
      </c>
      <c r="AL3590">
        <v>91.885362149329396</v>
      </c>
      <c r="AM3590">
        <v>102.068823156279</v>
      </c>
      <c r="AN3590">
        <v>1.0000000280308701</v>
      </c>
    </row>
    <row r="3591" spans="1:40" x14ac:dyDescent="0.25">
      <c r="A3591" t="str">
        <f>"20190305135700770"</f>
        <v>20190305135700770</v>
      </c>
      <c r="B3591" t="str">
        <f>"1551765420766196"</f>
        <v>1551765420766196</v>
      </c>
      <c r="C3591" t="s">
        <v>40</v>
      </c>
      <c r="D3591">
        <v>3.8770280000000001</v>
      </c>
      <c r="E3591">
        <v>0.58975959999999905</v>
      </c>
      <c r="F3591" t="s">
        <v>42</v>
      </c>
      <c r="G3591">
        <v>-422.524</v>
      </c>
      <c r="H3591" s="1">
        <v>-1.9840570000000001E-6</v>
      </c>
      <c r="I3591">
        <v>72.648529999999994</v>
      </c>
      <c r="J3591">
        <v>-422.53109999999998</v>
      </c>
      <c r="K3591">
        <v>1.110033</v>
      </c>
      <c r="L3591">
        <v>90.016689999999997</v>
      </c>
      <c r="M3591">
        <v>2.022291E-2</v>
      </c>
      <c r="N3591">
        <v>-3.1352250000000002E-3</v>
      </c>
      <c r="O3591">
        <v>-0.99979070000000003</v>
      </c>
      <c r="P3591">
        <v>0.2255365</v>
      </c>
      <c r="Q3591">
        <v>-3.4804830000000002E-2</v>
      </c>
      <c r="R3591">
        <v>-0.97361339999999996</v>
      </c>
      <c r="S3591">
        <v>3.90625E-3</v>
      </c>
      <c r="T3591">
        <v>-0.18817719999999999</v>
      </c>
      <c r="U3591">
        <v>-3.0729679999999999</v>
      </c>
      <c r="V3591">
        <v>-0.2056009</v>
      </c>
      <c r="W3591">
        <v>-3.3009719999999999E-2</v>
      </c>
      <c r="X3591">
        <v>0.97807900000000003</v>
      </c>
      <c r="Y3591">
        <v>1.895231E-2</v>
      </c>
      <c r="Z3591">
        <v>5.7967959999999999E-2</v>
      </c>
      <c r="AA3591">
        <v>0.99813850000000004</v>
      </c>
      <c r="AB3591">
        <v>39</v>
      </c>
      <c r="AC3591">
        <v>7.0999999999799002E-3</v>
      </c>
      <c r="AD3591">
        <v>-1.1100349840570001</v>
      </c>
      <c r="AE3591">
        <v>-17.3681599999999</v>
      </c>
      <c r="AF3591">
        <v>0.342737873706213</v>
      </c>
      <c r="AG3591">
        <v>-1.1100349840570001</v>
      </c>
      <c r="AH3591">
        <v>17.2941095524979</v>
      </c>
      <c r="AI3591">
        <v>93.671814351669397</v>
      </c>
      <c r="AJ3591">
        <v>88.864650229445502</v>
      </c>
      <c r="AK3591">
        <v>17.333086053259599</v>
      </c>
      <c r="AL3591">
        <v>91.891661376624</v>
      </c>
      <c r="AM3591">
        <v>101.871241584671</v>
      </c>
      <c r="AN3591">
        <v>0.99999995096814298</v>
      </c>
    </row>
    <row r="3592" spans="1:40" x14ac:dyDescent="0.25">
      <c r="A3592" t="str">
        <f>"20190305135700792"</f>
        <v>20190305135700792</v>
      </c>
      <c r="B3592" t="str">
        <f>"1551765420785733"</f>
        <v>1551765420785733</v>
      </c>
      <c r="C3592" t="s">
        <v>40</v>
      </c>
      <c r="D3592">
        <v>3.8279619999999999</v>
      </c>
      <c r="E3592">
        <v>0.59011480000000005</v>
      </c>
      <c r="F3592" t="s">
        <v>42</v>
      </c>
      <c r="G3592">
        <v>-422.67169999999999</v>
      </c>
      <c r="H3592" s="1">
        <v>-2.3985200000000001E-6</v>
      </c>
      <c r="I3592">
        <v>73.523069999999905</v>
      </c>
      <c r="J3592">
        <v>-422.52159999999998</v>
      </c>
      <c r="K3592">
        <v>1.1099349999999999</v>
      </c>
      <c r="L3592">
        <v>89.620269999999906</v>
      </c>
      <c r="M3592">
        <v>2.2349979999999998E-2</v>
      </c>
      <c r="N3592">
        <v>-3.1514410000000001E-3</v>
      </c>
      <c r="O3592">
        <v>-0.99974560000000001</v>
      </c>
      <c r="P3592">
        <v>0.22639380000000001</v>
      </c>
      <c r="Q3592">
        <v>-3.4722160000000002E-2</v>
      </c>
      <c r="R3592">
        <v>-0.97341739999999999</v>
      </c>
      <c r="S3592">
        <v>-2.624512E-2</v>
      </c>
      <c r="T3592">
        <v>-0.20728579999999999</v>
      </c>
      <c r="U3592">
        <v>-3.079987</v>
      </c>
      <c r="V3592">
        <v>-0.20438970000000001</v>
      </c>
      <c r="W3592">
        <v>-3.2853250000000001E-2</v>
      </c>
      <c r="X3592">
        <v>0.97833809999999999</v>
      </c>
      <c r="Y3592">
        <v>3.084713E-2</v>
      </c>
      <c r="Z3592">
        <v>6.3961660000000004E-2</v>
      </c>
      <c r="AA3592">
        <v>0.99747549999999996</v>
      </c>
      <c r="AB3592">
        <v>40</v>
      </c>
      <c r="AC3592">
        <v>-0.150100000000009</v>
      </c>
      <c r="AD3592">
        <v>-1.1099373985200001</v>
      </c>
      <c r="AE3592">
        <v>-16.097200000000001</v>
      </c>
      <c r="AF3592">
        <v>0.507423971388551</v>
      </c>
      <c r="AG3592">
        <v>-1.1099373985200001</v>
      </c>
      <c r="AH3592">
        <v>16.013695269817799</v>
      </c>
      <c r="AI3592">
        <v>93.962947408818593</v>
      </c>
      <c r="AJ3592">
        <v>88.185083021683894</v>
      </c>
      <c r="AK3592">
        <v>16.060133134876398</v>
      </c>
      <c r="AL3592">
        <v>91.882691420140006</v>
      </c>
      <c r="AM3592">
        <v>101.800236937807</v>
      </c>
      <c r="AN3592">
        <v>0.99999996170662997</v>
      </c>
    </row>
    <row r="3593" spans="1:40" x14ac:dyDescent="0.25">
      <c r="A3593" t="str">
        <f>"20190305135700814"</f>
        <v>20190305135700814</v>
      </c>
      <c r="B3593" t="str">
        <f>"1551765420806212"</f>
        <v>1551765420806212</v>
      </c>
      <c r="C3593" t="s">
        <v>40</v>
      </c>
      <c r="D3593">
        <v>3.9175339999999998</v>
      </c>
      <c r="E3593">
        <v>0.59046069999999995</v>
      </c>
      <c r="F3593" t="s">
        <v>41</v>
      </c>
      <c r="G3593">
        <v>-422.53059999999999</v>
      </c>
      <c r="H3593">
        <v>1.0395479999999999</v>
      </c>
      <c r="I3593">
        <v>88.576350000000005</v>
      </c>
      <c r="J3593">
        <v>-422.51069999999999</v>
      </c>
      <c r="K3593">
        <v>1.1098140000000001</v>
      </c>
      <c r="L3593">
        <v>89.202669999999998</v>
      </c>
      <c r="M3593">
        <v>2.4416920000000002E-2</v>
      </c>
      <c r="N3593">
        <v>-3.1683969999999999E-3</v>
      </c>
      <c r="O3593">
        <v>-0.99969699999999995</v>
      </c>
      <c r="P3593">
        <v>0.2272545</v>
      </c>
      <c r="Q3593">
        <v>-3.5039590000000002E-2</v>
      </c>
      <c r="R3593">
        <v>-0.97320519999999999</v>
      </c>
      <c r="S3593">
        <v>-2.6489260000000001E-2</v>
      </c>
      <c r="T3593">
        <v>-0.20774670000000001</v>
      </c>
      <c r="U3593">
        <v>-3.0806879999999999</v>
      </c>
      <c r="V3593">
        <v>-0.20324039999999999</v>
      </c>
      <c r="W3593">
        <v>-3.3088619999999999E-2</v>
      </c>
      <c r="X3593">
        <v>0.97856960000000004</v>
      </c>
      <c r="Y3593">
        <v>3.2990369999999998E-2</v>
      </c>
      <c r="Z3593">
        <v>6.4070849999999999E-2</v>
      </c>
      <c r="AA3593">
        <v>0.99739990000000001</v>
      </c>
      <c r="AB3593">
        <v>40</v>
      </c>
      <c r="AC3593">
        <v>-1.9900000000006898E-2</v>
      </c>
      <c r="AD3593">
        <v>-7.0265999999999898E-2</v>
      </c>
      <c r="AE3593">
        <v>-0.62631999999999199</v>
      </c>
      <c r="AF3593">
        <v>3.4750013851754802E-2</v>
      </c>
      <c r="AG3593">
        <v>-7.0265999999999898E-2</v>
      </c>
      <c r="AH3593">
        <v>0.61787841266562105</v>
      </c>
      <c r="AI3593">
        <v>96.477734580587395</v>
      </c>
      <c r="AJ3593">
        <v>86.7810270844423</v>
      </c>
      <c r="AK3593">
        <v>0.62283112242154803</v>
      </c>
      <c r="AL3593">
        <v>91.896184411603002</v>
      </c>
      <c r="AM3593">
        <v>101.73302923599999</v>
      </c>
      <c r="AN3593">
        <v>0.99999998950491198</v>
      </c>
    </row>
    <row r="3594" spans="1:40" x14ac:dyDescent="0.25">
      <c r="A3594" t="str">
        <f>"20190305135700836"</f>
        <v>20190305135700836</v>
      </c>
      <c r="B3594" t="str">
        <f>"1551765420825732"</f>
        <v>1551765420825732</v>
      </c>
      <c r="C3594" t="s">
        <v>40</v>
      </c>
      <c r="D3594">
        <v>3.9081419999999998</v>
      </c>
      <c r="E3594">
        <v>0.59067419999999904</v>
      </c>
      <c r="F3594" t="s">
        <v>41</v>
      </c>
      <c r="G3594">
        <v>-422.51940000000002</v>
      </c>
      <c r="H3594">
        <v>1.041768</v>
      </c>
      <c r="I3594">
        <v>88.21696</v>
      </c>
      <c r="J3594">
        <v>-422.50020000000001</v>
      </c>
      <c r="K3594">
        <v>1.109704</v>
      </c>
      <c r="L3594">
        <v>88.822019999999995</v>
      </c>
      <c r="M3594">
        <v>2.6163809999999999E-2</v>
      </c>
      <c r="N3594">
        <v>-3.1838069999999999E-3</v>
      </c>
      <c r="O3594">
        <v>-0.9996526</v>
      </c>
      <c r="P3594">
        <v>0.2281511</v>
      </c>
      <c r="Q3594">
        <v>-3.5234880000000003E-2</v>
      </c>
      <c r="R3594">
        <v>-0.97298810000000002</v>
      </c>
      <c r="S3594">
        <v>-2.6641850000000002E-2</v>
      </c>
      <c r="T3594">
        <v>-0.21274660000000001</v>
      </c>
      <c r="U3594">
        <v>-3.0811459999999999</v>
      </c>
      <c r="V3594">
        <v>-0.2024397</v>
      </c>
      <c r="W3594">
        <v>-3.3210900000000002E-2</v>
      </c>
      <c r="X3594">
        <v>0.97873149999999998</v>
      </c>
      <c r="Y3594">
        <v>3.478374E-2</v>
      </c>
      <c r="Z3594">
        <v>6.5649460000000007E-2</v>
      </c>
      <c r="AA3594">
        <v>0.99723629999999996</v>
      </c>
      <c r="AB3594">
        <v>40</v>
      </c>
      <c r="AC3594">
        <v>-1.9200000000011999E-2</v>
      </c>
      <c r="AD3594">
        <v>-6.7935999999999996E-2</v>
      </c>
      <c r="AE3594">
        <v>-0.60505999999999405</v>
      </c>
      <c r="AF3594">
        <v>3.4588571516837099E-2</v>
      </c>
      <c r="AG3594">
        <v>-6.7935999999999996E-2</v>
      </c>
      <c r="AH3594">
        <v>0.596833953107205</v>
      </c>
      <c r="AI3594">
        <v>96.483089003057501</v>
      </c>
      <c r="AJ3594">
        <v>86.683223282106297</v>
      </c>
      <c r="AK3594">
        <v>0.60168300371304195</v>
      </c>
      <c r="AL3594">
        <v>91.903194234199702</v>
      </c>
      <c r="AM3594">
        <v>101.686198901496</v>
      </c>
      <c r="AN3594">
        <v>1.00000007255357</v>
      </c>
    </row>
    <row r="3595" spans="1:40" x14ac:dyDescent="0.25">
      <c r="A3595" t="str">
        <f>"20190305135700858"</f>
        <v>20190305135700858</v>
      </c>
      <c r="B3595" t="str">
        <f>"1551765420855989"</f>
        <v>1551765420855989</v>
      </c>
      <c r="C3595" t="s">
        <v>40</v>
      </c>
      <c r="D3595">
        <v>3.910927</v>
      </c>
      <c r="E3595">
        <v>0.5908677</v>
      </c>
      <c r="F3595" t="s">
        <v>41</v>
      </c>
      <c r="G3595">
        <v>-422.50819999999999</v>
      </c>
      <c r="H3595">
        <v>1.0411919999999999</v>
      </c>
      <c r="I3595">
        <v>87.857529999999997</v>
      </c>
      <c r="J3595">
        <v>-422.48840000000001</v>
      </c>
      <c r="K3595">
        <v>1.109586</v>
      </c>
      <c r="L3595">
        <v>88.414119999999997</v>
      </c>
      <c r="M3595">
        <v>2.789343E-2</v>
      </c>
      <c r="N3595">
        <v>-3.2003589999999998E-3</v>
      </c>
      <c r="O3595">
        <v>-0.99960579999999999</v>
      </c>
      <c r="P3595">
        <v>0.22902339999999999</v>
      </c>
      <c r="Q3595">
        <v>-3.4555719999999998E-2</v>
      </c>
      <c r="R3595">
        <v>-0.97280750000000005</v>
      </c>
      <c r="S3595">
        <v>-2.572632E-2</v>
      </c>
      <c r="T3595">
        <v>-0.21886220000000001</v>
      </c>
      <c r="U3595">
        <v>-3.0813899999999999</v>
      </c>
      <c r="V3595">
        <v>-0.2016358</v>
      </c>
      <c r="W3595">
        <v>-3.2453919999999997E-2</v>
      </c>
      <c r="X3595">
        <v>0.97892270000000003</v>
      </c>
      <c r="Y3595">
        <v>3.6214580000000003E-2</v>
      </c>
      <c r="Z3595">
        <v>6.7589769999999993E-2</v>
      </c>
      <c r="AA3595">
        <v>0.99705569999999999</v>
      </c>
      <c r="AB3595">
        <v>40</v>
      </c>
      <c r="AC3595">
        <v>-1.9799999999975101E-2</v>
      </c>
      <c r="AD3595">
        <v>-6.8393999999999802E-2</v>
      </c>
      <c r="AE3595">
        <v>-0.55658999999998504</v>
      </c>
      <c r="AF3595">
        <v>3.4792884819654001E-2</v>
      </c>
      <c r="AG3595">
        <v>-6.8393999999999802E-2</v>
      </c>
      <c r="AH3595">
        <v>0.54756360027936002</v>
      </c>
      <c r="AI3595">
        <v>97.105532594842202</v>
      </c>
      <c r="AJ3595">
        <v>86.364241445929693</v>
      </c>
      <c r="AK3595">
        <v>0.55291426136514898</v>
      </c>
      <c r="AL3595">
        <v>91.859799304590496</v>
      </c>
      <c r="AM3595">
        <v>101.638849683801</v>
      </c>
      <c r="AN3595">
        <v>0.99999995267014696</v>
      </c>
    </row>
    <row r="3596" spans="1:40" x14ac:dyDescent="0.25">
      <c r="A3596" t="str">
        <f>"20190305135700894"</f>
        <v>20190305135700894</v>
      </c>
      <c r="B3596" t="str">
        <f>"1551765420886244"</f>
        <v>1551765420886244</v>
      </c>
      <c r="C3596" t="s">
        <v>40</v>
      </c>
      <c r="D3596">
        <v>4.6893909999999996</v>
      </c>
      <c r="E3596">
        <v>0.59102469999999996</v>
      </c>
      <c r="F3596" t="s">
        <v>41</v>
      </c>
      <c r="G3596">
        <v>-422.49590000000001</v>
      </c>
      <c r="H3596">
        <v>1.043288</v>
      </c>
      <c r="I3596">
        <v>87.495429999999999</v>
      </c>
      <c r="J3596">
        <v>-422.46940000000001</v>
      </c>
      <c r="K3596">
        <v>1.109405</v>
      </c>
      <c r="L3596">
        <v>87.800690000000003</v>
      </c>
      <c r="M3596">
        <v>3.0247329999999999E-2</v>
      </c>
      <c r="N3596">
        <v>-3.2251039999999999E-3</v>
      </c>
      <c r="O3596">
        <v>-0.99953729999999996</v>
      </c>
      <c r="P3596">
        <v>0.23041410000000001</v>
      </c>
      <c r="Q3596">
        <v>-3.447596E-2</v>
      </c>
      <c r="R3596">
        <v>-0.97248190000000001</v>
      </c>
      <c r="S3596">
        <v>-2.502441E-2</v>
      </c>
      <c r="T3596">
        <v>-0.2223889</v>
      </c>
      <c r="U3596">
        <v>-3.0818479999999999</v>
      </c>
      <c r="V3596">
        <v>-0.20074449999999999</v>
      </c>
      <c r="W3596">
        <v>-3.2261289999999998E-2</v>
      </c>
      <c r="X3596">
        <v>0.97911230000000005</v>
      </c>
      <c r="Y3596">
        <v>3.8338579999999997E-2</v>
      </c>
      <c r="Z3596">
        <v>6.8679229999999994E-2</v>
      </c>
      <c r="AA3596">
        <v>0.99690190000000001</v>
      </c>
      <c r="AB3596">
        <v>40</v>
      </c>
      <c r="AC3596">
        <v>-2.6499999999998601E-2</v>
      </c>
      <c r="AD3596">
        <v>-6.6116999999999898E-2</v>
      </c>
      <c r="AE3596">
        <v>-0.30526000000000397</v>
      </c>
      <c r="AF3596">
        <v>3.4131989633661097E-2</v>
      </c>
      <c r="AG3596">
        <v>-6.6116999999999898E-2</v>
      </c>
      <c r="AH3596">
        <v>0.29077966503679498</v>
      </c>
      <c r="AI3596">
        <v>102.72552551745</v>
      </c>
      <c r="AJ3596">
        <v>83.305203136821603</v>
      </c>
      <c r="AK3596">
        <v>0.30014873646954299</v>
      </c>
      <c r="AL3596">
        <v>91.848756510051899</v>
      </c>
      <c r="AM3596">
        <v>101.586613197761</v>
      </c>
      <c r="AN3596">
        <v>1.0000000205620001</v>
      </c>
    </row>
    <row r="3597" spans="1:40" x14ac:dyDescent="0.25">
      <c r="A3597" t="str">
        <f>"20190305135700917"</f>
        <v>20190305135700917</v>
      </c>
      <c r="B3597" t="str">
        <f>"1551765420905764"</f>
        <v>1551765420905764</v>
      </c>
      <c r="C3597" t="s">
        <v>40</v>
      </c>
      <c r="D3597">
        <v>3.9242170000000001</v>
      </c>
      <c r="E3597">
        <v>0.59124540000000003</v>
      </c>
      <c r="F3597" t="s">
        <v>41</v>
      </c>
      <c r="G3597">
        <v>-422.4769</v>
      </c>
      <c r="H3597">
        <v>1.035714</v>
      </c>
      <c r="I3597">
        <v>86.772689999999997</v>
      </c>
      <c r="J3597">
        <v>-422.4554</v>
      </c>
      <c r="K3597">
        <v>1.1092919999999999</v>
      </c>
      <c r="L3597">
        <v>87.372529999999998</v>
      </c>
      <c r="M3597">
        <v>3.1730439999999999E-2</v>
      </c>
      <c r="N3597">
        <v>-3.2425319999999998E-3</v>
      </c>
      <c r="O3597">
        <v>-0.99949120000000002</v>
      </c>
      <c r="P3597">
        <v>0.23103109999999999</v>
      </c>
      <c r="Q3597">
        <v>-3.4365329999999999E-2</v>
      </c>
      <c r="R3597">
        <v>-0.97233970000000003</v>
      </c>
      <c r="S3597">
        <v>-2.1453860000000002E-2</v>
      </c>
      <c r="T3597">
        <v>-0.2210337</v>
      </c>
      <c r="U3597">
        <v>-3.0821230000000002</v>
      </c>
      <c r="V3597">
        <v>-0.1999216</v>
      </c>
      <c r="W3597">
        <v>-3.207525E-2</v>
      </c>
      <c r="X3597">
        <v>0.97928669999999995</v>
      </c>
      <c r="Y3597">
        <v>3.8665959999999999E-2</v>
      </c>
      <c r="Z3597">
        <v>6.8214499999999997E-2</v>
      </c>
      <c r="AA3597">
        <v>0.9969211</v>
      </c>
      <c r="AB3597">
        <v>41</v>
      </c>
      <c r="AC3597">
        <v>-2.15000000000031E-2</v>
      </c>
      <c r="AD3597">
        <v>-7.3577999999999893E-2</v>
      </c>
      <c r="AE3597">
        <v>-0.59984000000000004</v>
      </c>
      <c r="AF3597">
        <v>3.99225514797555E-2</v>
      </c>
      <c r="AG3597">
        <v>-7.3577999999999893E-2</v>
      </c>
      <c r="AH3597">
        <v>0.58999006353189598</v>
      </c>
      <c r="AI3597">
        <v>97.092634632742602</v>
      </c>
      <c r="AJ3597">
        <v>86.128897295982995</v>
      </c>
      <c r="AK3597">
        <v>0.59589915863929899</v>
      </c>
      <c r="AL3597">
        <v>91.838091805870803</v>
      </c>
      <c r="AM3597">
        <v>101.538393507583</v>
      </c>
      <c r="AN3597">
        <v>0.99999995430300503</v>
      </c>
    </row>
    <row r="3598" spans="1:40" x14ac:dyDescent="0.25">
      <c r="A3598" t="str">
        <f>"20190305135700948"</f>
        <v>20190305135700948</v>
      </c>
      <c r="B3598" t="str">
        <f>"1551765420936020"</f>
        <v>1551765420936020</v>
      </c>
      <c r="C3598" t="s">
        <v>40</v>
      </c>
      <c r="D3598">
        <v>3.9392839999999998</v>
      </c>
      <c r="E3598">
        <v>0.5915281</v>
      </c>
      <c r="F3598" t="s">
        <v>41</v>
      </c>
      <c r="G3598">
        <v>-422.46230000000003</v>
      </c>
      <c r="H3598">
        <v>1.0410900000000001</v>
      </c>
      <c r="I3598">
        <v>86.405010000000004</v>
      </c>
      <c r="J3598">
        <v>-422.43549999999999</v>
      </c>
      <c r="K3598">
        <v>1.1091530000000001</v>
      </c>
      <c r="L3598">
        <v>86.791079999999994</v>
      </c>
      <c r="M3598">
        <v>3.3606589999999999E-2</v>
      </c>
      <c r="N3598">
        <v>-3.2667210000000002E-3</v>
      </c>
      <c r="O3598">
        <v>-0.99943009999999999</v>
      </c>
      <c r="P3598">
        <v>0.23189950000000001</v>
      </c>
      <c r="Q3598">
        <v>-3.4063309999999999E-2</v>
      </c>
      <c r="R3598">
        <v>-0.97214350000000005</v>
      </c>
      <c r="S3598">
        <v>-2.0904539999999999E-2</v>
      </c>
      <c r="T3598">
        <v>-0.21740960000000001</v>
      </c>
      <c r="U3598">
        <v>-3.0826419999999999</v>
      </c>
      <c r="V3598">
        <v>-0.19896949999999999</v>
      </c>
      <c r="W3598">
        <v>-3.168141E-2</v>
      </c>
      <c r="X3598">
        <v>0.97949339999999996</v>
      </c>
      <c r="Y3598">
        <v>4.036323E-2</v>
      </c>
      <c r="Z3598">
        <v>6.7003889999999997E-2</v>
      </c>
      <c r="AA3598">
        <v>0.99693600000000004</v>
      </c>
      <c r="AB3598">
        <v>41</v>
      </c>
      <c r="AC3598">
        <v>-2.6800000000036999E-2</v>
      </c>
      <c r="AD3598">
        <v>-6.8062999999999901E-2</v>
      </c>
      <c r="AE3598">
        <v>-0.38607000000000302</v>
      </c>
      <c r="AF3598">
        <v>3.8566499756248603E-2</v>
      </c>
      <c r="AG3598">
        <v>-6.8062999999999901E-2</v>
      </c>
      <c r="AH3598">
        <v>0.37340136101386701</v>
      </c>
      <c r="AI3598">
        <v>100.276873256511</v>
      </c>
      <c r="AJ3598">
        <v>84.103154451623496</v>
      </c>
      <c r="AK3598">
        <v>0.38150822177176802</v>
      </c>
      <c r="AL3598">
        <v>91.815514973340896</v>
      </c>
      <c r="AM3598">
        <v>101.482547685971</v>
      </c>
      <c r="AN3598">
        <v>0.99999994715669704</v>
      </c>
    </row>
    <row r="3599" spans="1:40" x14ac:dyDescent="0.25">
      <c r="A3599" t="str">
        <f>"20190305135700972"</f>
        <v>20190305135700972</v>
      </c>
      <c r="B3599" t="str">
        <f>"1551765420966276"</f>
        <v>1551765420966276</v>
      </c>
      <c r="C3599" t="s">
        <v>40</v>
      </c>
      <c r="D3599">
        <v>3.9344100000000002</v>
      </c>
      <c r="E3599">
        <v>0.59193050000000003</v>
      </c>
      <c r="F3599" t="s">
        <v>41</v>
      </c>
      <c r="G3599">
        <v>-422.44110000000001</v>
      </c>
      <c r="H3599">
        <v>1.055779</v>
      </c>
      <c r="I3599">
        <v>86.02834</v>
      </c>
      <c r="J3599">
        <v>-422.42039999999997</v>
      </c>
      <c r="K3599">
        <v>1.10907</v>
      </c>
      <c r="L3599">
        <v>86.368870000000001</v>
      </c>
      <c r="M3599">
        <v>3.4888370000000002E-2</v>
      </c>
      <c r="N3599">
        <v>-3.2846030000000001E-3</v>
      </c>
      <c r="O3599">
        <v>-0.99938610000000005</v>
      </c>
      <c r="P3599">
        <v>0.23279420000000001</v>
      </c>
      <c r="Q3599">
        <v>-3.4286530000000003E-2</v>
      </c>
      <c r="R3599">
        <v>-0.97192199999999995</v>
      </c>
      <c r="S3599">
        <v>-2.0843509999999999E-2</v>
      </c>
      <c r="T3599">
        <v>-0.21593560000000001</v>
      </c>
      <c r="U3599">
        <v>-3.0833740000000001</v>
      </c>
      <c r="V3599">
        <v>-0.19862050000000001</v>
      </c>
      <c r="W3599">
        <v>-3.1847510000000002E-2</v>
      </c>
      <c r="X3599">
        <v>0.97955890000000001</v>
      </c>
      <c r="Y3599">
        <v>4.1623439999999998E-2</v>
      </c>
      <c r="Z3599">
        <v>6.6488969999999994E-2</v>
      </c>
      <c r="AA3599">
        <v>0.99691859999999999</v>
      </c>
      <c r="AB3599">
        <v>41</v>
      </c>
      <c r="AC3599">
        <v>-2.07000000000334E-2</v>
      </c>
      <c r="AD3599">
        <v>-5.3290999999999901E-2</v>
      </c>
      <c r="AE3599">
        <v>-0.340530000000001</v>
      </c>
      <c r="AF3599">
        <v>3.1792254852109701E-2</v>
      </c>
      <c r="AG3599">
        <v>-5.3290999999999901E-2</v>
      </c>
      <c r="AH3599">
        <v>0.331511515139566</v>
      </c>
      <c r="AI3599">
        <v>99.091250418917298</v>
      </c>
      <c r="AJ3599">
        <v>84.5220353945748</v>
      </c>
      <c r="AK3599">
        <v>0.33726927345922297</v>
      </c>
      <c r="AL3599">
        <v>91.825036506140094</v>
      </c>
      <c r="AM3599">
        <v>101.462194268378</v>
      </c>
      <c r="AN3599">
        <v>1.0000000027413301</v>
      </c>
    </row>
    <row r="3600" spans="1:40" x14ac:dyDescent="0.25">
      <c r="A3600" t="str">
        <f>"20190305135700993"</f>
        <v>20190305135700993</v>
      </c>
      <c r="B3600" t="str">
        <f>"1551765420985796"</f>
        <v>1551765420985796</v>
      </c>
      <c r="C3600" t="s">
        <v>40</v>
      </c>
      <c r="D3600">
        <v>3.9382169999999999</v>
      </c>
      <c r="E3600">
        <v>0.592138099999999</v>
      </c>
      <c r="F3600" t="s">
        <v>41</v>
      </c>
      <c r="G3600">
        <v>-422.42809999999997</v>
      </c>
      <c r="H3600">
        <v>1.0334890000000001</v>
      </c>
      <c r="I3600">
        <v>85.304969999999997</v>
      </c>
      <c r="J3600">
        <v>-422.40499999999997</v>
      </c>
      <c r="K3600">
        <v>1.109005</v>
      </c>
      <c r="L3600">
        <v>85.951480000000004</v>
      </c>
      <c r="M3600">
        <v>3.6110839999999998E-2</v>
      </c>
      <c r="N3600">
        <v>-3.3023560000000002E-3</v>
      </c>
      <c r="O3600">
        <v>-0.99934239999999996</v>
      </c>
      <c r="P3600">
        <v>0.23350589999999999</v>
      </c>
      <c r="Q3600">
        <v>-3.4354080000000002E-2</v>
      </c>
      <c r="R3600">
        <v>-0.97174850000000002</v>
      </c>
      <c r="S3600">
        <v>-2.0935059999999998E-2</v>
      </c>
      <c r="T3600">
        <v>-0.21925210000000001</v>
      </c>
      <c r="U3600">
        <v>-3.0839539999999999</v>
      </c>
      <c r="V3600">
        <v>-0.1981444</v>
      </c>
      <c r="W3600">
        <v>-3.1865049999999999E-2</v>
      </c>
      <c r="X3600">
        <v>0.97965469999999999</v>
      </c>
      <c r="Y3600">
        <v>4.2873189999999999E-2</v>
      </c>
      <c r="Z3600">
        <v>6.751791E-2</v>
      </c>
      <c r="AA3600">
        <v>0.99679649999999997</v>
      </c>
      <c r="AB3600">
        <v>41</v>
      </c>
      <c r="AC3600">
        <v>-2.3099999999999399E-2</v>
      </c>
      <c r="AD3600">
        <v>-7.5516000000000097E-2</v>
      </c>
      <c r="AE3600">
        <v>-0.64651000000000602</v>
      </c>
      <c r="AF3600">
        <v>4.58069066742572E-2</v>
      </c>
      <c r="AG3600">
        <v>-7.5516000000000097E-2</v>
      </c>
      <c r="AH3600">
        <v>0.63658003175526301</v>
      </c>
      <c r="AI3600">
        <v>96.747961653868003</v>
      </c>
      <c r="AJ3600">
        <v>85.884214993343505</v>
      </c>
      <c r="AK3600">
        <v>0.64267804986991395</v>
      </c>
      <c r="AL3600">
        <v>91.826042066253706</v>
      </c>
      <c r="AM3600">
        <v>101.43435488134099</v>
      </c>
      <c r="AN3600">
        <v>0.99999995794747498</v>
      </c>
    </row>
    <row r="3601" spans="1:40" x14ac:dyDescent="0.25">
      <c r="A3601" t="str">
        <f>"20190305135701016"</f>
        <v>20190305135701016</v>
      </c>
      <c r="B3601" t="str">
        <f>"1551765421006292"</f>
        <v>1551765421006292</v>
      </c>
      <c r="C3601" t="s">
        <v>40</v>
      </c>
      <c r="D3601">
        <v>3.9478650000000002</v>
      </c>
      <c r="E3601">
        <v>0.59229419999999899</v>
      </c>
      <c r="F3601" t="s">
        <v>41</v>
      </c>
      <c r="G3601">
        <v>-422.41180000000003</v>
      </c>
      <c r="H3601">
        <v>1.0358320000000001</v>
      </c>
      <c r="I3601">
        <v>84.933419999999998</v>
      </c>
      <c r="J3601">
        <v>-422.38959999999997</v>
      </c>
      <c r="K3601">
        <v>1.1089500000000001</v>
      </c>
      <c r="L3601">
        <v>85.548739999999995</v>
      </c>
      <c r="M3601">
        <v>3.7265479999999997E-2</v>
      </c>
      <c r="N3601">
        <v>-3.3195999999999998E-3</v>
      </c>
      <c r="O3601">
        <v>-0.99929979999999996</v>
      </c>
      <c r="P3601">
        <v>0.23511290000000001</v>
      </c>
      <c r="Q3601">
        <v>-3.4572650000000003E-2</v>
      </c>
      <c r="R3601">
        <v>-0.97135300000000002</v>
      </c>
      <c r="S3601">
        <v>-2.0416259999999999E-2</v>
      </c>
      <c r="T3601">
        <v>-0.22174559999999999</v>
      </c>
      <c r="U3601">
        <v>-3.0842900000000002</v>
      </c>
      <c r="V3601">
        <v>-0.19863610000000001</v>
      </c>
      <c r="W3601">
        <v>-3.2044690000000001E-2</v>
      </c>
      <c r="X3601">
        <v>0.97954929999999996</v>
      </c>
      <c r="Y3601">
        <v>4.3858590000000003E-2</v>
      </c>
      <c r="Z3601">
        <v>6.8288310000000005E-2</v>
      </c>
      <c r="AA3601">
        <v>0.99670110000000001</v>
      </c>
      <c r="AB3601">
        <v>41</v>
      </c>
      <c r="AC3601">
        <v>-2.2200000000054801E-2</v>
      </c>
      <c r="AD3601">
        <v>-7.3118000000000197E-2</v>
      </c>
      <c r="AE3601">
        <v>-0.61532000000001097</v>
      </c>
      <c r="AF3601">
        <v>4.4487538660665099E-2</v>
      </c>
      <c r="AG3601">
        <v>-7.3118000000000197E-2</v>
      </c>
      <c r="AH3601">
        <v>0.60552614888118195</v>
      </c>
      <c r="AI3601">
        <v>96.866868016696202</v>
      </c>
      <c r="AJ3601">
        <v>85.798072748951299</v>
      </c>
      <c r="AK3601">
        <v>0.61154501060752597</v>
      </c>
      <c r="AL3601">
        <v>91.836339868236294</v>
      </c>
      <c r="AM3601">
        <v>101.463180067181</v>
      </c>
      <c r="AN3601">
        <v>0.99999999675544704</v>
      </c>
    </row>
    <row r="3602" spans="1:40" x14ac:dyDescent="0.25">
      <c r="A3602" t="str">
        <f>"20190305135701037"</f>
        <v>20190305135701037</v>
      </c>
      <c r="B3602" t="str">
        <f>"1551765421025813"</f>
        <v>1551765421025813</v>
      </c>
      <c r="C3602" t="s">
        <v>40</v>
      </c>
      <c r="D3602">
        <v>3.9356209999999998</v>
      </c>
      <c r="E3602">
        <v>0.59243199999999996</v>
      </c>
      <c r="F3602" t="s">
        <v>41</v>
      </c>
      <c r="G3602">
        <v>-422.3954</v>
      </c>
      <c r="H3602">
        <v>1.0381069999999999</v>
      </c>
      <c r="I3602">
        <v>84.560590000000005</v>
      </c>
      <c r="J3602">
        <v>-422.3734</v>
      </c>
      <c r="K3602">
        <v>1.1089059999999999</v>
      </c>
      <c r="L3602">
        <v>85.13776</v>
      </c>
      <c r="M3602">
        <v>3.8426780000000001E-2</v>
      </c>
      <c r="N3602">
        <v>-3.3383699999999998E-3</v>
      </c>
      <c r="O3602">
        <v>-0.99925580000000003</v>
      </c>
      <c r="P3602">
        <v>0.23617879999999999</v>
      </c>
      <c r="Q3602">
        <v>-3.4339880000000003E-2</v>
      </c>
      <c r="R3602">
        <v>-0.97110280000000004</v>
      </c>
      <c r="S3602">
        <v>-1.663208E-2</v>
      </c>
      <c r="T3602">
        <v>-0.22131500000000001</v>
      </c>
      <c r="U3602">
        <v>-3.0845950000000002</v>
      </c>
      <c r="V3602">
        <v>-0.19857659999999999</v>
      </c>
      <c r="W3602">
        <v>-3.1773250000000003E-2</v>
      </c>
      <c r="X3602">
        <v>0.97957019999999995</v>
      </c>
      <c r="Y3602">
        <v>4.3796290000000002E-2</v>
      </c>
      <c r="Z3602">
        <v>6.8119910000000006E-2</v>
      </c>
      <c r="AA3602">
        <v>0.99671540000000003</v>
      </c>
      <c r="AB3602">
        <v>42</v>
      </c>
      <c r="AC3602">
        <v>-2.1999999999991301E-2</v>
      </c>
      <c r="AD3602">
        <v>-7.0799000000000001E-2</v>
      </c>
      <c r="AE3602">
        <v>-0.57716999999999496</v>
      </c>
      <c r="AF3602">
        <v>4.35089357854999E-2</v>
      </c>
      <c r="AG3602">
        <v>-7.0799000000000001E-2</v>
      </c>
      <c r="AH3602">
        <v>0.56737349342639698</v>
      </c>
      <c r="AI3602">
        <v>97.0922076623919</v>
      </c>
      <c r="AJ3602">
        <v>85.614865549908899</v>
      </c>
      <c r="AK3602">
        <v>0.57342672324985</v>
      </c>
      <c r="AL3602">
        <v>91.820779588413401</v>
      </c>
      <c r="AM3602">
        <v>101.459599177535</v>
      </c>
      <c r="AN3602">
        <v>0.99999999110558102</v>
      </c>
    </row>
    <row r="3603" spans="1:40" x14ac:dyDescent="0.25">
      <c r="A3603" t="str">
        <f>"20190305135701059"</f>
        <v>20190305135701059</v>
      </c>
      <c r="B3603" t="str">
        <f>"1551765421056068"</f>
        <v>1551765421056068</v>
      </c>
      <c r="C3603" t="s">
        <v>40</v>
      </c>
      <c r="D3603">
        <v>3.9913569999999998</v>
      </c>
      <c r="E3603">
        <v>0.5927943</v>
      </c>
      <c r="F3603" t="s">
        <v>41</v>
      </c>
      <c r="G3603">
        <v>-422.37810000000002</v>
      </c>
      <c r="H3603">
        <v>1.0411520000000001</v>
      </c>
      <c r="I3603">
        <v>84.186080000000004</v>
      </c>
      <c r="J3603">
        <v>-422.3571</v>
      </c>
      <c r="K3603">
        <v>1.1088739999999999</v>
      </c>
      <c r="L3603">
        <v>84.733090000000004</v>
      </c>
      <c r="M3603">
        <v>3.9560310000000001E-2</v>
      </c>
      <c r="N3603">
        <v>-3.361513E-3</v>
      </c>
      <c r="O3603">
        <v>-0.99921150000000003</v>
      </c>
      <c r="P3603">
        <v>0.23731959999999999</v>
      </c>
      <c r="Q3603">
        <v>-3.4156899999999997E-2</v>
      </c>
      <c r="R3603">
        <v>-0.97083070000000005</v>
      </c>
      <c r="S3603">
        <v>-1.422119E-2</v>
      </c>
      <c r="T3603">
        <v>-0.21973470000000001</v>
      </c>
      <c r="U3603">
        <v>-3.0849609999999998</v>
      </c>
      <c r="V3603">
        <v>-0.19861909999999999</v>
      </c>
      <c r="W3603">
        <v>-3.155198E-2</v>
      </c>
      <c r="X3603">
        <v>0.97956869999999996</v>
      </c>
      <c r="Y3603">
        <v>4.4150170000000002E-2</v>
      </c>
      <c r="Z3603">
        <v>6.75756E-2</v>
      </c>
      <c r="AA3603">
        <v>0.99673679999999998</v>
      </c>
      <c r="AB3603">
        <v>42</v>
      </c>
      <c r="AC3603">
        <v>-2.1000000000015E-2</v>
      </c>
      <c r="AD3603">
        <v>-6.7721999999999796E-2</v>
      </c>
      <c r="AE3603">
        <v>-0.54701</v>
      </c>
      <c r="AF3603">
        <v>4.1981054539473199E-2</v>
      </c>
      <c r="AG3603">
        <v>-6.7721999999999796E-2</v>
      </c>
      <c r="AH3603">
        <v>0.53752428116454798</v>
      </c>
      <c r="AI3603">
        <v>97.159213702942495</v>
      </c>
      <c r="AJ3603">
        <v>85.534221401265597</v>
      </c>
      <c r="AK3603">
        <v>0.543397673040389</v>
      </c>
      <c r="AL3603">
        <v>91.808095454641304</v>
      </c>
      <c r="AM3603">
        <v>101.46200397758</v>
      </c>
      <c r="AN3603">
        <v>0.99999995617320903</v>
      </c>
    </row>
    <row r="3604" spans="1:40" x14ac:dyDescent="0.25">
      <c r="A3604" t="str">
        <f>"20190305135701084"</f>
        <v>20190305135701084</v>
      </c>
      <c r="B3604" t="str">
        <f>"1551765421076564"</f>
        <v>1551765421076564</v>
      </c>
      <c r="C3604" t="s">
        <v>40</v>
      </c>
      <c r="D3604">
        <v>4.1258319999999999</v>
      </c>
      <c r="E3604">
        <v>0.59267380000000003</v>
      </c>
      <c r="F3604" t="s">
        <v>41</v>
      </c>
      <c r="G3604">
        <v>-422.36149999999998</v>
      </c>
      <c r="H3604">
        <v>1.043072</v>
      </c>
      <c r="I3604">
        <v>83.810810000000004</v>
      </c>
      <c r="J3604">
        <v>-422.3381</v>
      </c>
      <c r="K3604">
        <v>1.108843</v>
      </c>
      <c r="L3604">
        <v>84.276119999999906</v>
      </c>
      <c r="M3604">
        <v>4.0832029999999998E-2</v>
      </c>
      <c r="N3604">
        <v>-3.402151E-3</v>
      </c>
      <c r="O3604">
        <v>-0.99916020000000005</v>
      </c>
      <c r="P3604">
        <v>0.2390419</v>
      </c>
      <c r="Q3604">
        <v>-3.4106860000000003E-2</v>
      </c>
      <c r="R3604">
        <v>-0.9704102</v>
      </c>
      <c r="S3604">
        <v>-1.330566E-2</v>
      </c>
      <c r="T3604">
        <v>-0.220274</v>
      </c>
      <c r="U3604">
        <v>-3.0856629999999998</v>
      </c>
      <c r="V3604">
        <v>-0.19911300000000001</v>
      </c>
      <c r="W3604">
        <v>-3.145017E-2</v>
      </c>
      <c r="X3604">
        <v>0.97947169999999895</v>
      </c>
      <c r="Y3604">
        <v>4.5124650000000002E-2</v>
      </c>
      <c r="Z3604">
        <v>6.7685229999999999E-2</v>
      </c>
      <c r="AA3604">
        <v>0.99668570000000001</v>
      </c>
      <c r="AB3604">
        <v>42</v>
      </c>
      <c r="AC3604">
        <v>-2.3399999999980901E-2</v>
      </c>
      <c r="AD3604">
        <v>-6.5770999999999996E-2</v>
      </c>
      <c r="AE3604">
        <v>-0.46530999999998801</v>
      </c>
      <c r="AF3604">
        <v>4.1552053159632701E-2</v>
      </c>
      <c r="AG3604">
        <v>-6.5770999999999996E-2</v>
      </c>
      <c r="AH3604">
        <v>0.454900712284597</v>
      </c>
      <c r="AI3604">
        <v>98.193352714077704</v>
      </c>
      <c r="AJ3604">
        <v>84.780907509297705</v>
      </c>
      <c r="AK3604">
        <v>0.46150520647097198</v>
      </c>
      <c r="AL3604">
        <v>91.802259275836505</v>
      </c>
      <c r="AM3604">
        <v>101.490856688683</v>
      </c>
      <c r="AN3604">
        <v>0.99999995553145804</v>
      </c>
    </row>
    <row r="3605" spans="1:40" x14ac:dyDescent="0.25">
      <c r="A3605" t="str">
        <f>"20190305135701107"</f>
        <v>20190305135701107</v>
      </c>
      <c r="B3605" t="str">
        <f>"1551765421096085"</f>
        <v>1551765421096085</v>
      </c>
      <c r="C3605" t="s">
        <v>40</v>
      </c>
      <c r="D3605">
        <v>4.0398880000000004</v>
      </c>
      <c r="E3605">
        <v>0.54474160000000005</v>
      </c>
      <c r="F3605" t="s">
        <v>41</v>
      </c>
      <c r="G3605">
        <v>-422.33980000000003</v>
      </c>
      <c r="H3605">
        <v>1.0481929999999999</v>
      </c>
      <c r="I3605">
        <v>83.432850000000002</v>
      </c>
      <c r="J3605">
        <v>-422.31880000000001</v>
      </c>
      <c r="K3605">
        <v>1.1088309999999999</v>
      </c>
      <c r="L3605">
        <v>83.826930000000004</v>
      </c>
      <c r="M3605">
        <v>4.2070589999999998E-2</v>
      </c>
      <c r="N3605">
        <v>-3.4874509999999999E-3</v>
      </c>
      <c r="O3605">
        <v>-0.99910849999999995</v>
      </c>
      <c r="P3605">
        <v>0.2409289</v>
      </c>
      <c r="Q3605">
        <v>-3.4213760000000003E-2</v>
      </c>
      <c r="R3605">
        <v>-0.96993960000000001</v>
      </c>
      <c r="S3605">
        <v>-6.9580079999999999E-3</v>
      </c>
      <c r="T3605">
        <v>-0.22184899999999999</v>
      </c>
      <c r="U3605">
        <v>-3.085388</v>
      </c>
      <c r="V3605">
        <v>-0.1998055</v>
      </c>
      <c r="W3605">
        <v>-3.1465380000000001E-2</v>
      </c>
      <c r="X3605">
        <v>0.97933020000000004</v>
      </c>
      <c r="Y3605">
        <v>4.4312780000000003E-2</v>
      </c>
      <c r="Z3605">
        <v>6.8108390000000005E-2</v>
      </c>
      <c r="AA3605">
        <v>0.99669339999999995</v>
      </c>
      <c r="AB3605">
        <v>42</v>
      </c>
      <c r="AC3605">
        <v>-2.1000000000015E-2</v>
      </c>
      <c r="AD3605">
        <v>-6.06379999999999E-2</v>
      </c>
      <c r="AE3605">
        <v>-0.39408000000000198</v>
      </c>
      <c r="AF3605">
        <v>3.6694346597514103E-2</v>
      </c>
      <c r="AG3605">
        <v>-6.06379999999999E-2</v>
      </c>
      <c r="AH3605">
        <v>0.38378654194449702</v>
      </c>
      <c r="AI3605">
        <v>98.938371421088107</v>
      </c>
      <c r="AJ3605">
        <v>84.538475439722106</v>
      </c>
      <c r="AK3605">
        <v>0.39027625074289901</v>
      </c>
      <c r="AL3605">
        <v>91.803131142347098</v>
      </c>
      <c r="AM3605">
        <v>101.531373888956</v>
      </c>
      <c r="AN3605">
        <v>0.99999997430041698</v>
      </c>
    </row>
    <row r="3606" spans="1:40" x14ac:dyDescent="0.25">
      <c r="A3606" t="str">
        <f>"20190305135701128"</f>
        <v>20190305135701128</v>
      </c>
      <c r="B3606" t="str">
        <f>"1551765421126341"</f>
        <v>1551765421126341</v>
      </c>
      <c r="C3606" t="s">
        <v>40</v>
      </c>
      <c r="D3606">
        <v>4.0166009999999996</v>
      </c>
      <c r="E3606">
        <v>0.53368490000000002</v>
      </c>
      <c r="F3606" t="s">
        <v>42</v>
      </c>
      <c r="G3606">
        <v>-420.61040000000003</v>
      </c>
      <c r="H3606" s="1">
        <v>-3.3681740000000001E-7</v>
      </c>
      <c r="I3606">
        <v>69.995660000000001</v>
      </c>
      <c r="J3606">
        <v>-422.30160000000001</v>
      </c>
      <c r="K3606">
        <v>1.1088439999999999</v>
      </c>
      <c r="L3606">
        <v>83.433899999999994</v>
      </c>
      <c r="M3606">
        <v>4.313173E-2</v>
      </c>
      <c r="N3606">
        <v>-3.6598860000000002E-3</v>
      </c>
      <c r="O3606">
        <v>-0.99906280000000003</v>
      </c>
      <c r="P3606">
        <v>0.24321180000000001</v>
      </c>
      <c r="Q3606">
        <v>-3.4962920000000001E-2</v>
      </c>
      <c r="R3606">
        <v>-0.96934330000000002</v>
      </c>
      <c r="S3606">
        <v>0.36965940000000003</v>
      </c>
      <c r="T3606">
        <v>-0.23992060000000001</v>
      </c>
      <c r="U3606">
        <v>-2.9927060000000001</v>
      </c>
      <c r="V3606">
        <v>-0.20107130000000001</v>
      </c>
      <c r="W3606">
        <v>-3.2042309999999997E-2</v>
      </c>
      <c r="X3606">
        <v>0.97905240000000004</v>
      </c>
      <c r="Y3606">
        <v>-7.9303440000000003E-2</v>
      </c>
      <c r="Z3606">
        <v>7.5736399999999995E-2</v>
      </c>
      <c r="AA3606">
        <v>0.99396929999999994</v>
      </c>
      <c r="AB3606">
        <v>42</v>
      </c>
      <c r="AC3606">
        <v>1.6911999999999801</v>
      </c>
      <c r="AD3606">
        <v>-1.1088443368173999</v>
      </c>
      <c r="AE3606">
        <v>-13.438239999999899</v>
      </c>
      <c r="AF3606">
        <v>-1.10261757085263</v>
      </c>
      <c r="AG3606">
        <v>-1.1088443368173999</v>
      </c>
      <c r="AH3606">
        <v>13.408807486565699</v>
      </c>
      <c r="AI3606">
        <v>94.711500357934398</v>
      </c>
      <c r="AJ3606">
        <v>94.700903707334604</v>
      </c>
      <c r="AK3606">
        <v>13.499682199319601</v>
      </c>
      <c r="AL3606">
        <v>91.8362034473069</v>
      </c>
      <c r="AM3606">
        <v>101.605654994959</v>
      </c>
      <c r="AN3606">
        <v>0.99999998962979297</v>
      </c>
    </row>
    <row r="3607" spans="1:40" x14ac:dyDescent="0.25">
      <c r="A3607" t="str">
        <f>"20190305135701148"</f>
        <v>20190305135701148</v>
      </c>
      <c r="B3607" t="str">
        <f>"1551765421145861"</f>
        <v>1551765421145861</v>
      </c>
      <c r="C3607" t="s">
        <v>40</v>
      </c>
      <c r="D3607">
        <v>4.0040310000000003</v>
      </c>
      <c r="E3607">
        <v>0.53229819999999906</v>
      </c>
      <c r="F3607" t="s">
        <v>42</v>
      </c>
      <c r="G3607">
        <v>-419.83909999999997</v>
      </c>
      <c r="H3607" s="1">
        <v>-3.463884E-6</v>
      </c>
      <c r="I3607">
        <v>67.640640000000005</v>
      </c>
      <c r="J3607">
        <v>-422.28390000000002</v>
      </c>
      <c r="K3607">
        <v>1.1088899999999999</v>
      </c>
      <c r="L3607">
        <v>83.041560000000004</v>
      </c>
      <c r="M3607">
        <v>4.4155239999999998E-2</v>
      </c>
      <c r="N3607">
        <v>-3.9860490000000002E-3</v>
      </c>
      <c r="O3607">
        <v>-0.99901680000000004</v>
      </c>
      <c r="P3607">
        <v>0.24540509999999999</v>
      </c>
      <c r="Q3607">
        <v>-3.5653339999999999E-2</v>
      </c>
      <c r="R3607">
        <v>-0.96876479999999998</v>
      </c>
      <c r="S3607">
        <v>0.46325680000000002</v>
      </c>
      <c r="T3607">
        <v>-0.2086036</v>
      </c>
      <c r="U3607">
        <v>-2.97113</v>
      </c>
      <c r="V3607">
        <v>-0.2022854</v>
      </c>
      <c r="W3607">
        <v>-3.2408199999999998E-2</v>
      </c>
      <c r="X3607">
        <v>0.97879020000000005</v>
      </c>
      <c r="Y3607">
        <v>-0.109934</v>
      </c>
      <c r="Z3607">
        <v>6.5343570000000004E-2</v>
      </c>
      <c r="AA3607">
        <v>0.99178860000000002</v>
      </c>
      <c r="AB3607">
        <v>42</v>
      </c>
      <c r="AC3607">
        <v>2.4448000000000398</v>
      </c>
      <c r="AD3607">
        <v>-1.108893463884</v>
      </c>
      <c r="AE3607">
        <v>-15.400919999999999</v>
      </c>
      <c r="AF3607">
        <v>-1.7535116300461899</v>
      </c>
      <c r="AG3607">
        <v>-1.108893463884</v>
      </c>
      <c r="AH3607">
        <v>15.4158950674077</v>
      </c>
      <c r="AI3607">
        <v>94.088032659012796</v>
      </c>
      <c r="AJ3607">
        <v>96.489331115421393</v>
      </c>
      <c r="AK3607">
        <v>15.5548792499421</v>
      </c>
      <c r="AL3607">
        <v>91.857178339748998</v>
      </c>
      <c r="AM3607">
        <v>101.67685527486699</v>
      </c>
      <c r="AN3607">
        <v>0.99999996504821898</v>
      </c>
    </row>
    <row r="3608" spans="1:40" x14ac:dyDescent="0.25">
      <c r="A3608" t="str">
        <f>"20190305135701173"</f>
        <v>20190305135701173</v>
      </c>
      <c r="B3608" t="str">
        <f>"1551765421166356"</f>
        <v>1551765421166356</v>
      </c>
      <c r="C3608" t="s">
        <v>40</v>
      </c>
      <c r="D3608">
        <v>4.0072029999999996</v>
      </c>
      <c r="E3608">
        <v>0.53223609999999999</v>
      </c>
      <c r="F3608" t="s">
        <v>42</v>
      </c>
      <c r="G3608">
        <v>-419.71010000000001</v>
      </c>
      <c r="H3608" s="1">
        <v>-3.2849040000000002E-6</v>
      </c>
      <c r="I3608">
        <v>67.170100000000005</v>
      </c>
      <c r="J3608">
        <v>-422.26350000000002</v>
      </c>
      <c r="K3608">
        <v>1.108986</v>
      </c>
      <c r="L3608">
        <v>82.59854</v>
      </c>
      <c r="M3608">
        <v>4.5248900000000002E-2</v>
      </c>
      <c r="N3608">
        <v>-4.5694250000000002E-3</v>
      </c>
      <c r="O3608">
        <v>-0.99896529999999994</v>
      </c>
      <c r="P3608">
        <v>0.24786540000000001</v>
      </c>
      <c r="Q3608">
        <v>-3.6203279999999997E-2</v>
      </c>
      <c r="R3608">
        <v>-0.96811789999999998</v>
      </c>
      <c r="S3608">
        <v>0.48117070000000001</v>
      </c>
      <c r="T3608">
        <v>-0.2073094</v>
      </c>
      <c r="U3608">
        <v>-2.9671940000000001</v>
      </c>
      <c r="V3608">
        <v>-0.2037033</v>
      </c>
      <c r="W3608">
        <v>-3.2376540000000002E-2</v>
      </c>
      <c r="X3608">
        <v>0.97849710000000001</v>
      </c>
      <c r="Y3608">
        <v>-0.11489149999999999</v>
      </c>
      <c r="Z3608">
        <v>6.4369399999999993E-2</v>
      </c>
      <c r="AA3608">
        <v>0.99129029999999996</v>
      </c>
      <c r="AB3608">
        <v>42</v>
      </c>
      <c r="AC3608">
        <v>2.5534000000000101</v>
      </c>
      <c r="AD3608">
        <v>-1.108989284904</v>
      </c>
      <c r="AE3608">
        <v>-15.428439999999901</v>
      </c>
      <c r="AF3608">
        <v>-1.8433871291683599</v>
      </c>
      <c r="AG3608">
        <v>-1.108989284904</v>
      </c>
      <c r="AH3608">
        <v>15.4504774284507</v>
      </c>
      <c r="AI3608">
        <v>94.076665710519705</v>
      </c>
      <c r="AJ3608">
        <v>96.803763235201401</v>
      </c>
      <c r="AK3608">
        <v>15.599525188577999</v>
      </c>
      <c r="AL3608">
        <v>91.855363477691796</v>
      </c>
      <c r="AM3608">
        <v>101.759856069416</v>
      </c>
      <c r="AN3608">
        <v>0.99999992474083299</v>
      </c>
    </row>
    <row r="3609" spans="1:40" x14ac:dyDescent="0.25">
      <c r="A3609" t="str">
        <f>"20190305135701194"</f>
        <v>20190305135701194</v>
      </c>
      <c r="B3609" t="str">
        <f>"1551765421185877"</f>
        <v>1551765421185877</v>
      </c>
      <c r="C3609" t="s">
        <v>40</v>
      </c>
      <c r="D3609">
        <v>4.0019210000000003</v>
      </c>
      <c r="E3609">
        <v>0.53220849999999997</v>
      </c>
      <c r="F3609" t="s">
        <v>42</v>
      </c>
      <c r="G3609">
        <v>-419.61750000000001</v>
      </c>
      <c r="H3609" s="1">
        <v>-3.0399150000000001E-6</v>
      </c>
      <c r="I3609">
        <v>66.560749999999999</v>
      </c>
      <c r="J3609">
        <v>-422.24360000000001</v>
      </c>
      <c r="K3609">
        <v>1.1091</v>
      </c>
      <c r="L3609">
        <v>82.175690000000003</v>
      </c>
      <c r="M3609">
        <v>4.6226490000000002E-2</v>
      </c>
      <c r="N3609">
        <v>-5.2858119999999896E-3</v>
      </c>
      <c r="O3609">
        <v>-0.99891700000000005</v>
      </c>
      <c r="P3609">
        <v>0.25078099999999998</v>
      </c>
      <c r="Q3609">
        <v>-3.6745880000000002E-2</v>
      </c>
      <c r="R3609">
        <v>-0.96734640000000005</v>
      </c>
      <c r="S3609">
        <v>0.4893188</v>
      </c>
      <c r="T3609">
        <v>-0.20508399999999999</v>
      </c>
      <c r="U3609">
        <v>-2.9658509999999998</v>
      </c>
      <c r="V3609">
        <v>-0.20569770000000001</v>
      </c>
      <c r="W3609">
        <v>-3.220601E-2</v>
      </c>
      <c r="X3609">
        <v>0.97808550000000005</v>
      </c>
      <c r="Y3609">
        <v>-0.11665399999999999</v>
      </c>
      <c r="Z3609">
        <v>6.2925099999999998E-2</v>
      </c>
      <c r="AA3609">
        <v>0.99117719999999998</v>
      </c>
      <c r="AB3609">
        <v>42</v>
      </c>
      <c r="AC3609">
        <v>2.6261000000000001</v>
      </c>
      <c r="AD3609">
        <v>-1.1091030399149999</v>
      </c>
      <c r="AE3609">
        <v>-15.614940000000001</v>
      </c>
      <c r="AF3609">
        <v>-1.8921751361185</v>
      </c>
      <c r="AG3609">
        <v>-1.1091030399149999</v>
      </c>
      <c r="AH3609">
        <v>15.6428959765326</v>
      </c>
      <c r="AI3609">
        <v>94.0263126865175</v>
      </c>
      <c r="AJ3609">
        <v>96.897028057688999</v>
      </c>
      <c r="AK3609">
        <v>15.795905508438301</v>
      </c>
      <c r="AL3609">
        <v>91.845587575741206</v>
      </c>
      <c r="AM3609">
        <v>101.87659536039099</v>
      </c>
      <c r="AN3609">
        <v>1.00000000808783</v>
      </c>
    </row>
    <row r="3610" spans="1:40" x14ac:dyDescent="0.25">
      <c r="A3610" t="str">
        <f>"20190305135701217"</f>
        <v>20190305135701217</v>
      </c>
      <c r="B3610" t="str">
        <f>"1551765421206373"</f>
        <v>1551765421206373</v>
      </c>
      <c r="C3610" t="s">
        <v>40</v>
      </c>
      <c r="D3610">
        <v>4.0474430000000003</v>
      </c>
      <c r="E3610">
        <v>0.53209280000000003</v>
      </c>
      <c r="F3610" t="s">
        <v>42</v>
      </c>
      <c r="G3610">
        <v>-419.5582</v>
      </c>
      <c r="H3610" s="1">
        <v>-2.896933E-6</v>
      </c>
      <c r="I3610">
        <v>66.202929999999995</v>
      </c>
      <c r="J3610">
        <v>-422.22370000000001</v>
      </c>
      <c r="K3610">
        <v>1.1091869999999999</v>
      </c>
      <c r="L3610">
        <v>81.761960000000002</v>
      </c>
      <c r="M3610">
        <v>4.7114459999999997E-2</v>
      </c>
      <c r="N3610">
        <v>-6.046905E-3</v>
      </c>
      <c r="O3610">
        <v>-0.99887130000000002</v>
      </c>
      <c r="P3610">
        <v>0.2545442</v>
      </c>
      <c r="Q3610">
        <v>-3.7216689999999997E-2</v>
      </c>
      <c r="R3610">
        <v>-0.96634500000000001</v>
      </c>
      <c r="S3610">
        <v>0.49835210000000002</v>
      </c>
      <c r="T3610">
        <v>-0.20582780000000001</v>
      </c>
      <c r="U3610">
        <v>-2.9642330000000001</v>
      </c>
      <c r="V3610">
        <v>-0.20863880000000001</v>
      </c>
      <c r="W3610">
        <v>-3.1920209999999997E-2</v>
      </c>
      <c r="X3610">
        <v>0.97747169999999906</v>
      </c>
      <c r="Y3610">
        <v>-0.11879770000000001</v>
      </c>
      <c r="Z3610">
        <v>6.2422209999999999E-2</v>
      </c>
      <c r="AA3610">
        <v>0.99095440000000001</v>
      </c>
      <c r="AB3610">
        <v>42</v>
      </c>
      <c r="AC3610">
        <v>2.6655000000000002</v>
      </c>
      <c r="AD3610">
        <v>-1.1091898969329901</v>
      </c>
      <c r="AE3610">
        <v>-15.5590299999999</v>
      </c>
      <c r="AF3610">
        <v>-1.91999176728383</v>
      </c>
      <c r="AG3610">
        <v>-1.1091898969329901</v>
      </c>
      <c r="AH3610">
        <v>15.590363549741101</v>
      </c>
      <c r="AI3610">
        <v>94.039088701416901</v>
      </c>
      <c r="AJ3610">
        <v>97.020765592120696</v>
      </c>
      <c r="AK3610">
        <v>15.7472571016984</v>
      </c>
      <c r="AL3610">
        <v>91.829204057893406</v>
      </c>
      <c r="AM3610">
        <v>102.048826439759</v>
      </c>
      <c r="AN3610">
        <v>0.99999998648638599</v>
      </c>
    </row>
    <row r="3611" spans="1:40" x14ac:dyDescent="0.25">
      <c r="A3611" t="str">
        <f>"20190305135701239"</f>
        <v>20190305135701239</v>
      </c>
      <c r="B3611" t="str">
        <f>"1551765421235653"</f>
        <v>1551765421235653</v>
      </c>
      <c r="C3611" t="s">
        <v>40</v>
      </c>
      <c r="D3611">
        <v>4.0334779999999997</v>
      </c>
      <c r="E3611">
        <v>0.53266659999999999</v>
      </c>
      <c r="F3611" t="s">
        <v>42</v>
      </c>
      <c r="G3611">
        <v>-419.50970000000001</v>
      </c>
      <c r="H3611" s="1">
        <v>-2.8224470000000001E-6</v>
      </c>
      <c r="I3611">
        <v>66.009249999999994</v>
      </c>
      <c r="J3611">
        <v>-422.20339999999999</v>
      </c>
      <c r="K3611">
        <v>1.109259</v>
      </c>
      <c r="L3611">
        <v>81.345669999999998</v>
      </c>
      <c r="M3611">
        <v>4.7907079999999998E-2</v>
      </c>
      <c r="N3611">
        <v>-6.871935E-3</v>
      </c>
      <c r="O3611">
        <v>-0.99882839999999995</v>
      </c>
      <c r="P3611">
        <v>0.25880910000000001</v>
      </c>
      <c r="Q3611">
        <v>-3.7873110000000001E-2</v>
      </c>
      <c r="R3611">
        <v>-0.96518619999999999</v>
      </c>
      <c r="S3611">
        <v>0.51031490000000002</v>
      </c>
      <c r="T3611">
        <v>-0.20856479999999999</v>
      </c>
      <c r="U3611">
        <v>-2.9620359999999999</v>
      </c>
      <c r="V3611">
        <v>-0.2121846</v>
      </c>
      <c r="W3611">
        <v>-3.174884E-2</v>
      </c>
      <c r="X3611">
        <v>0.97671370000000002</v>
      </c>
      <c r="Y3611">
        <v>-0.12201239999999999</v>
      </c>
      <c r="Z3611">
        <v>6.2518840000000006E-2</v>
      </c>
      <c r="AA3611">
        <v>0.99055760000000004</v>
      </c>
      <c r="AB3611">
        <v>42</v>
      </c>
      <c r="AC3611">
        <v>2.69369999999997</v>
      </c>
      <c r="AD3611">
        <v>-1.1092618224469999</v>
      </c>
      <c r="AE3611">
        <v>-15.33642</v>
      </c>
      <c r="AF3611">
        <v>-1.94599102049995</v>
      </c>
      <c r="AG3611">
        <v>-1.1092618224469999</v>
      </c>
      <c r="AH3611">
        <v>15.369860142815099</v>
      </c>
      <c r="AI3611">
        <v>94.095368230972497</v>
      </c>
      <c r="AJ3611">
        <v>97.215873110223995</v>
      </c>
      <c r="AK3611">
        <v>15.5322227531123</v>
      </c>
      <c r="AL3611">
        <v>91.819380326248805</v>
      </c>
      <c r="AM3611">
        <v>102.256681317721</v>
      </c>
      <c r="AN3611">
        <v>0.99999997254309703</v>
      </c>
    </row>
    <row r="3612" spans="1:40" x14ac:dyDescent="0.25">
      <c r="A3612" t="str">
        <f>"20190305135701262"</f>
        <v>20190305135701262</v>
      </c>
      <c r="B3612" t="str">
        <f>"1551765421256150"</f>
        <v>1551765421256150</v>
      </c>
      <c r="C3612" t="s">
        <v>40</v>
      </c>
      <c r="D3612">
        <v>3.9935499999999999</v>
      </c>
      <c r="E3612">
        <v>0.53281040000000002</v>
      </c>
      <c r="F3612" t="s">
        <v>42</v>
      </c>
      <c r="G3612">
        <v>-419.48630000000003</v>
      </c>
      <c r="H3612" s="1">
        <v>-2.7552899999999998E-6</v>
      </c>
      <c r="I3612">
        <v>65.843000000000004</v>
      </c>
      <c r="J3612">
        <v>-422.18220000000002</v>
      </c>
      <c r="K3612">
        <v>1.109289</v>
      </c>
      <c r="L3612">
        <v>80.917299999999997</v>
      </c>
      <c r="M3612">
        <v>4.8599299999999998E-2</v>
      </c>
      <c r="N3612">
        <v>-7.7148190000000004E-3</v>
      </c>
      <c r="O3612">
        <v>-0.99878869999999997</v>
      </c>
      <c r="P3612">
        <v>0.26316600000000001</v>
      </c>
      <c r="Q3612">
        <v>-3.8089820000000003E-2</v>
      </c>
      <c r="R3612">
        <v>-0.96399880000000004</v>
      </c>
      <c r="S3612">
        <v>0.51892090000000002</v>
      </c>
      <c r="T3612">
        <v>-0.2118506</v>
      </c>
      <c r="U3612">
        <v>-2.9607540000000001</v>
      </c>
      <c r="V3612">
        <v>-0.21592639999999999</v>
      </c>
      <c r="W3612">
        <v>-3.1104300000000001E-2</v>
      </c>
      <c r="X3612">
        <v>0.97591410000000001</v>
      </c>
      <c r="Y3612">
        <v>-0.1241823</v>
      </c>
      <c r="Z3612">
        <v>6.2769240000000004E-2</v>
      </c>
      <c r="AA3612">
        <v>0.99027200000000004</v>
      </c>
      <c r="AB3612">
        <v>42</v>
      </c>
      <c r="AC3612">
        <v>2.6958999999999902</v>
      </c>
      <c r="AD3612">
        <v>-1.1092917552899999</v>
      </c>
      <c r="AE3612">
        <v>-15.0742999999999</v>
      </c>
      <c r="AF3612">
        <v>-1.9498603878538401</v>
      </c>
      <c r="AG3612">
        <v>-1.1092917552899999</v>
      </c>
      <c r="AH3612">
        <v>15.108230271912999</v>
      </c>
      <c r="AI3612">
        <v>94.164873921660003</v>
      </c>
      <c r="AJ3612">
        <v>97.353913682647402</v>
      </c>
      <c r="AK3612">
        <v>15.273870029551199</v>
      </c>
      <c r="AL3612">
        <v>91.782432587807804</v>
      </c>
      <c r="AM3612">
        <v>102.47601647741899</v>
      </c>
      <c r="AN3612">
        <v>1.0000000091371299</v>
      </c>
    </row>
    <row r="3613" spans="1:40" x14ac:dyDescent="0.25">
      <c r="A3613" t="str">
        <f>"20190305135701285"</f>
        <v>20190305135701285</v>
      </c>
      <c r="B3613" t="str">
        <f>"1551765421275668"</f>
        <v>1551765421275668</v>
      </c>
      <c r="C3613" t="s">
        <v>40</v>
      </c>
      <c r="D3613">
        <v>4.4333689999999999</v>
      </c>
      <c r="E3613">
        <v>0.53287969999999996</v>
      </c>
      <c r="F3613" t="s">
        <v>42</v>
      </c>
      <c r="G3613">
        <v>-419.42899999999997</v>
      </c>
      <c r="H3613" s="1">
        <v>-2.6478100000000001E-6</v>
      </c>
      <c r="I3613">
        <v>65.568770000000001</v>
      </c>
      <c r="J3613">
        <v>-422.15969999999999</v>
      </c>
      <c r="K3613">
        <v>1.1092569999999999</v>
      </c>
      <c r="L3613">
        <v>80.467619999999997</v>
      </c>
      <c r="M3613">
        <v>4.9167269999999999E-2</v>
      </c>
      <c r="N3613">
        <v>-8.5369729999999998E-3</v>
      </c>
      <c r="O3613">
        <v>-0.99875429999999998</v>
      </c>
      <c r="P3613">
        <v>0.26822580000000001</v>
      </c>
      <c r="Q3613">
        <v>-3.9051559999999999E-2</v>
      </c>
      <c r="R3613">
        <v>-0.96256450000000005</v>
      </c>
      <c r="S3613">
        <v>0.53073119999999996</v>
      </c>
      <c r="T3613">
        <v>-0.21383640000000001</v>
      </c>
      <c r="U3613">
        <v>-2.95871</v>
      </c>
      <c r="V3613">
        <v>-0.22050600000000001</v>
      </c>
      <c r="W3613">
        <v>-3.120875E-2</v>
      </c>
      <c r="X3613">
        <v>0.97488620000000004</v>
      </c>
      <c r="Y3613">
        <v>-0.12756149999999999</v>
      </c>
      <c r="Z3613">
        <v>6.2616039999999998E-2</v>
      </c>
      <c r="AA3613">
        <v>0.98985210000000001</v>
      </c>
      <c r="AB3613">
        <v>42</v>
      </c>
      <c r="AC3613">
        <v>2.7306999999999499</v>
      </c>
      <c r="AD3613">
        <v>-1.1092596478100001</v>
      </c>
      <c r="AE3613">
        <v>-14.8988499999999</v>
      </c>
      <c r="AF3613">
        <v>-1.9841935059684701</v>
      </c>
      <c r="AG3613">
        <v>-1.1092596478100001</v>
      </c>
      <c r="AH3613">
        <v>14.9349982385469</v>
      </c>
      <c r="AI3613">
        <v>94.210837162461999</v>
      </c>
      <c r="AJ3613">
        <v>97.567730184356293</v>
      </c>
      <c r="AK3613">
        <v>15.1070067591428</v>
      </c>
      <c r="AL3613">
        <v>91.7884200684354</v>
      </c>
      <c r="AM3613">
        <v>102.745067292382</v>
      </c>
      <c r="AN3613">
        <v>0.99999999253150096</v>
      </c>
    </row>
    <row r="3614" spans="1:40" x14ac:dyDescent="0.25">
      <c r="A3614" t="str">
        <f>"20190305135701309"</f>
        <v>20190305135701309</v>
      </c>
      <c r="B3614" t="str">
        <f>"1551765421305924"</f>
        <v>1551765421305924</v>
      </c>
      <c r="C3614" t="s">
        <v>40</v>
      </c>
      <c r="D3614">
        <v>4.2471569999999996</v>
      </c>
      <c r="E3614">
        <v>0.4233615</v>
      </c>
      <c r="F3614" t="s">
        <v>42</v>
      </c>
      <c r="G3614">
        <v>-419.31610000000001</v>
      </c>
      <c r="H3614" s="1">
        <v>-2.4515979999999999E-6</v>
      </c>
      <c r="I3614">
        <v>65.064700000000002</v>
      </c>
      <c r="J3614">
        <v>-422.137</v>
      </c>
      <c r="K3614">
        <v>1.1091819999999999</v>
      </c>
      <c r="L3614">
        <v>80.016390000000001</v>
      </c>
      <c r="M3614">
        <v>4.9568840000000003E-2</v>
      </c>
      <c r="N3614">
        <v>-9.2865910000000003E-3</v>
      </c>
      <c r="O3614">
        <v>-0.99872780000000005</v>
      </c>
      <c r="P3614">
        <v>0.27424609999999999</v>
      </c>
      <c r="Q3614">
        <v>-3.9747320000000003E-2</v>
      </c>
      <c r="R3614">
        <v>-0.96083810000000003</v>
      </c>
      <c r="S3614">
        <v>0.54571530000000001</v>
      </c>
      <c r="T3614">
        <v>-0.21287729999999999</v>
      </c>
      <c r="U3614">
        <v>-2.9559630000000001</v>
      </c>
      <c r="V3614">
        <v>-0.2262245</v>
      </c>
      <c r="W3614">
        <v>-3.111067E-2</v>
      </c>
      <c r="X3614">
        <v>0.97357830000000001</v>
      </c>
      <c r="Y3614">
        <v>-0.13218369999999999</v>
      </c>
      <c r="Z3614">
        <v>6.1564180000000003E-2</v>
      </c>
      <c r="AA3614">
        <v>0.98931150000000001</v>
      </c>
      <c r="AB3614">
        <v>42</v>
      </c>
      <c r="AC3614">
        <v>2.8208999999999298</v>
      </c>
      <c r="AD3614">
        <v>-1.1091844515979901</v>
      </c>
      <c r="AE3614">
        <v>-14.951689999999999</v>
      </c>
      <c r="AF3614">
        <v>-2.0652869822317999</v>
      </c>
      <c r="AG3614">
        <v>-1.1091844515979901</v>
      </c>
      <c r="AH3614">
        <v>14.993465108787399</v>
      </c>
      <c r="AI3614">
        <v>94.191477685310602</v>
      </c>
      <c r="AJ3614">
        <v>97.842898542324207</v>
      </c>
      <c r="AK3614">
        <v>15.1756283703532</v>
      </c>
      <c r="AL3614">
        <v>91.7827976618224</v>
      </c>
      <c r="AM3614">
        <v>103.081337272906</v>
      </c>
      <c r="AN3614">
        <v>1.0000000522094901</v>
      </c>
    </row>
    <row r="3615" spans="1:40" x14ac:dyDescent="0.25">
      <c r="A3615" t="str">
        <f>"20190305135701352"</f>
        <v>20190305135701352</v>
      </c>
      <c r="B3615" t="str">
        <f>"1551765421345943"</f>
        <v>1551765421345943</v>
      </c>
      <c r="C3615" t="s">
        <v>40</v>
      </c>
      <c r="D3615">
        <v>3.9523510000000002</v>
      </c>
      <c r="E3615">
        <v>0.42622700000000002</v>
      </c>
      <c r="F3615" t="s">
        <v>42</v>
      </c>
      <c r="G3615">
        <v>-407.79309999999998</v>
      </c>
      <c r="H3615">
        <v>7.9986280000000007E-2</v>
      </c>
      <c r="I3615">
        <v>52.448140000000002</v>
      </c>
      <c r="J3615">
        <v>-422.09739999999999</v>
      </c>
      <c r="K3615">
        <v>1.1089910000000001</v>
      </c>
      <c r="L3615">
        <v>79.226680000000002</v>
      </c>
      <c r="M3615">
        <v>4.9806789999999997E-2</v>
      </c>
      <c r="N3615">
        <v>-1.0412350000000001E-2</v>
      </c>
      <c r="O3615">
        <v>-0.9987045</v>
      </c>
      <c r="P3615">
        <v>0.28606199999999998</v>
      </c>
      <c r="Q3615">
        <v>-3.9144940000000003E-2</v>
      </c>
      <c r="R3615">
        <v>-0.95741140000000002</v>
      </c>
      <c r="S3615">
        <v>1.4125669999999999</v>
      </c>
      <c r="T3615">
        <v>-0.1013534</v>
      </c>
      <c r="U3615">
        <v>-2.714874</v>
      </c>
      <c r="V3615">
        <v>-0.23798820000000001</v>
      </c>
      <c r="W3615">
        <v>-2.928714E-2</v>
      </c>
      <c r="X3615">
        <v>0.97082639999999998</v>
      </c>
      <c r="Y3615">
        <v>-0.41659609999999903</v>
      </c>
      <c r="Z3615">
        <v>2.31367E-2</v>
      </c>
      <c r="AA3615">
        <v>0.90879730000000003</v>
      </c>
      <c r="AB3615">
        <v>42</v>
      </c>
      <c r="AC3615">
        <v>14.3043</v>
      </c>
      <c r="AD3615">
        <v>-1.0290047200000001</v>
      </c>
      <c r="AE3615">
        <v>-26.77854</v>
      </c>
      <c r="AF3615">
        <v>-12.937856065437201</v>
      </c>
      <c r="AG3615">
        <v>-1.0290047200000001</v>
      </c>
      <c r="AH3615">
        <v>27.4262834824357</v>
      </c>
      <c r="AI3615">
        <v>91.943463892909094</v>
      </c>
      <c r="AJ3615">
        <v>115.254752435588</v>
      </c>
      <c r="AK3615">
        <v>30.342181792723402</v>
      </c>
      <c r="AL3615">
        <v>91.678269477375295</v>
      </c>
      <c r="AM3615">
        <v>103.77385740248199</v>
      </c>
      <c r="AN3615">
        <v>1.0000000094227799</v>
      </c>
    </row>
    <row r="3616" spans="1:40" x14ac:dyDescent="0.25">
      <c r="A3616" t="str">
        <f>"20190305135701374"</f>
        <v>20190305135701374</v>
      </c>
      <c r="B3616" t="str">
        <f>"1551765421366437"</f>
        <v>1551765421366437</v>
      </c>
      <c r="C3616" t="s">
        <v>40</v>
      </c>
      <c r="D3616">
        <v>3.9513769999999999</v>
      </c>
      <c r="E3616">
        <v>0.4282975</v>
      </c>
      <c r="F3616" t="s">
        <v>42</v>
      </c>
      <c r="G3616">
        <v>-390.03820000000002</v>
      </c>
      <c r="H3616" s="1">
        <v>-4.8913019999999997E-6</v>
      </c>
      <c r="I3616">
        <v>18.478459999999998</v>
      </c>
      <c r="J3616">
        <v>-422.07619999999997</v>
      </c>
      <c r="K3616">
        <v>1.1088739999999999</v>
      </c>
      <c r="L3616">
        <v>78.80283</v>
      </c>
      <c r="M3616">
        <v>4.9718140000000001E-2</v>
      </c>
      <c r="N3616">
        <v>-1.092446E-2</v>
      </c>
      <c r="O3616">
        <v>-0.99870349999999997</v>
      </c>
      <c r="P3616">
        <v>0.29055730000000002</v>
      </c>
      <c r="Q3616">
        <v>-3.8986720000000002E-2</v>
      </c>
      <c r="R3616">
        <v>-0.9560632</v>
      </c>
      <c r="S3616">
        <v>1.4274899999999999</v>
      </c>
      <c r="T3616">
        <v>-4.9380060000000003E-2</v>
      </c>
      <c r="U3616">
        <v>-2.7049259999999999</v>
      </c>
      <c r="V3616">
        <v>-0.24264260000000001</v>
      </c>
      <c r="W3616">
        <v>-2.855595E-2</v>
      </c>
      <c r="X3616">
        <v>0.96969539999999999</v>
      </c>
      <c r="Y3616">
        <v>-0.4221144</v>
      </c>
      <c r="Z3616">
        <v>5.5108689999999998E-3</v>
      </c>
      <c r="AA3616">
        <v>0.90652580000000005</v>
      </c>
      <c r="AB3616">
        <v>42</v>
      </c>
      <c r="AC3616">
        <v>32.037999999999897</v>
      </c>
      <c r="AD3616">
        <v>-1.108878891302</v>
      </c>
      <c r="AE3616">
        <v>-60.324369999999902</v>
      </c>
      <c r="AF3616">
        <v>-28.9913380713562</v>
      </c>
      <c r="AG3616">
        <v>-1.108878891302</v>
      </c>
      <c r="AH3616">
        <v>61.826427390016498</v>
      </c>
      <c r="AI3616">
        <v>90.930327048033504</v>
      </c>
      <c r="AJ3616">
        <v>115.12258429408099</v>
      </c>
      <c r="AK3616">
        <v>68.295200558869695</v>
      </c>
      <c r="AL3616">
        <v>91.636357824256905</v>
      </c>
      <c r="AM3616">
        <v>104.04840766260401</v>
      </c>
      <c r="AN3616">
        <v>1.0000000211981599</v>
      </c>
    </row>
    <row r="3617" spans="1:40" x14ac:dyDescent="0.25">
      <c r="A3617" t="str">
        <f>"20190305135701395"</f>
        <v>20190305135701395</v>
      </c>
      <c r="B3617" t="str">
        <f>"1551765421385957"</f>
        <v>1551765421385957</v>
      </c>
      <c r="C3617" t="s">
        <v>40</v>
      </c>
      <c r="D3617">
        <v>3.942094</v>
      </c>
      <c r="E3617">
        <v>0.42975970000000002</v>
      </c>
      <c r="F3617" t="s">
        <v>42</v>
      </c>
      <c r="G3617">
        <v>-392.44589999999999</v>
      </c>
      <c r="H3617" s="1">
        <v>-4.2941579999999996E-6</v>
      </c>
      <c r="I3617">
        <v>22.559909999999999</v>
      </c>
      <c r="J3617">
        <v>-422.05599999999998</v>
      </c>
      <c r="K3617">
        <v>1.1087689999999999</v>
      </c>
      <c r="L3617">
        <v>78.395480000000006</v>
      </c>
      <c r="M3617">
        <v>4.9533849999999997E-2</v>
      </c>
      <c r="N3617">
        <v>-1.136114E-2</v>
      </c>
      <c r="O3617">
        <v>-0.99870800000000004</v>
      </c>
      <c r="P3617">
        <v>0.29504059999999999</v>
      </c>
      <c r="Q3617">
        <v>-3.9092630000000003E-2</v>
      </c>
      <c r="R3617">
        <v>-0.95468500000000001</v>
      </c>
      <c r="S3617">
        <v>1.4239809999999999</v>
      </c>
      <c r="T3617">
        <v>-5.3290839999999999E-2</v>
      </c>
      <c r="U3617">
        <v>-2.7029420000000002</v>
      </c>
      <c r="V3617">
        <v>-0.24737629999999999</v>
      </c>
      <c r="W3617">
        <v>-2.8174009999999999E-2</v>
      </c>
      <c r="X3617">
        <v>0.96850979999999998</v>
      </c>
      <c r="Y3617">
        <v>-0.42162660000000002</v>
      </c>
      <c r="Z3617">
        <v>6.3883369999999896E-3</v>
      </c>
      <c r="AA3617">
        <v>0.90674699999999997</v>
      </c>
      <c r="AB3617">
        <v>42</v>
      </c>
      <c r="AC3617">
        <v>29.6100999999999</v>
      </c>
      <c r="AD3617">
        <v>-1.108773294158</v>
      </c>
      <c r="AE3617">
        <v>-55.835569999999997</v>
      </c>
      <c r="AF3617">
        <v>-26.799570207882802</v>
      </c>
      <c r="AG3617">
        <v>-1.108773294158</v>
      </c>
      <c r="AH3617">
        <v>57.216206743652897</v>
      </c>
      <c r="AI3617">
        <v>91.005380302845296</v>
      </c>
      <c r="AJ3617">
        <v>115.097980219763</v>
      </c>
      <c r="AK3617">
        <v>63.191302057146402</v>
      </c>
      <c r="AL3617">
        <v>91.614465466653201</v>
      </c>
      <c r="AM3617">
        <v>104.32811828700601</v>
      </c>
      <c r="AN3617">
        <v>1.0000000206685999</v>
      </c>
    </row>
    <row r="3618" spans="1:40" x14ac:dyDescent="0.25">
      <c r="A3618" t="str">
        <f>"20190305135701417"</f>
        <v>20190305135701417</v>
      </c>
      <c r="B3618" t="str">
        <f>"1551765421406453"</f>
        <v>1551765421406453</v>
      </c>
      <c r="C3618" t="s">
        <v>40</v>
      </c>
      <c r="D3618">
        <v>3.9511349999999998</v>
      </c>
      <c r="E3618">
        <v>0.43091089999999999</v>
      </c>
      <c r="F3618" t="s">
        <v>42</v>
      </c>
      <c r="G3618">
        <v>-397.14600000000002</v>
      </c>
      <c r="H3618">
        <v>7.9985940000000005E-2</v>
      </c>
      <c r="I3618">
        <v>31.203959999999999</v>
      </c>
      <c r="J3618">
        <v>-422.036</v>
      </c>
      <c r="K3618">
        <v>1.1086590000000001</v>
      </c>
      <c r="L3618">
        <v>77.99136</v>
      </c>
      <c r="M3618">
        <v>4.9271790000000003E-2</v>
      </c>
      <c r="N3618">
        <v>-1.1744060000000001E-2</v>
      </c>
      <c r="O3618">
        <v>-0.99871639999999995</v>
      </c>
      <c r="P3618">
        <v>0.29824699999999998</v>
      </c>
      <c r="Q3618">
        <v>-3.811751E-2</v>
      </c>
      <c r="R3618">
        <v>-0.95372749999999995</v>
      </c>
      <c r="S3618">
        <v>1.4249879999999999</v>
      </c>
      <c r="T3618">
        <v>-5.8852080000000001E-2</v>
      </c>
      <c r="U3618">
        <v>-2.6996150000000001</v>
      </c>
      <c r="V3618">
        <v>-0.2508881</v>
      </c>
      <c r="W3618">
        <v>-2.6766999999999999E-2</v>
      </c>
      <c r="X3618">
        <v>0.96764589999999995</v>
      </c>
      <c r="Y3618">
        <v>-0.42257679999999997</v>
      </c>
      <c r="Z3618">
        <v>7.8623479999999999E-3</v>
      </c>
      <c r="AA3618">
        <v>0.90629300000000002</v>
      </c>
      <c r="AB3618">
        <v>42</v>
      </c>
      <c r="AC3618">
        <v>24.89</v>
      </c>
      <c r="AD3618">
        <v>-1.02867306</v>
      </c>
      <c r="AE3618">
        <v>-46.787399999999998</v>
      </c>
      <c r="AF3618">
        <v>-22.545812336444602</v>
      </c>
      <c r="AG3618">
        <v>-1.02867306</v>
      </c>
      <c r="AH3618">
        <v>47.938962272442303</v>
      </c>
      <c r="AI3618">
        <v>91.112413291852206</v>
      </c>
      <c r="AJ3618">
        <v>115.187717497836</v>
      </c>
      <c r="AK3618">
        <v>52.9859974515267</v>
      </c>
      <c r="AL3618">
        <v>91.533819401559995</v>
      </c>
      <c r="AM3618">
        <v>104.53539498703699</v>
      </c>
      <c r="AN3618">
        <v>0.99999994939870795</v>
      </c>
    </row>
    <row r="3619" spans="1:40" x14ac:dyDescent="0.25">
      <c r="A3619" t="str">
        <f>"20190305135701439"</f>
        <v>20190305135701439</v>
      </c>
      <c r="B3619" t="str">
        <f>"1551765421435735"</f>
        <v>1551765421435735</v>
      </c>
      <c r="C3619" t="s">
        <v>40</v>
      </c>
      <c r="D3619">
        <v>3.9699520000000001</v>
      </c>
      <c r="E3619">
        <v>0.43265799999999999</v>
      </c>
      <c r="F3619" t="s">
        <v>42</v>
      </c>
      <c r="G3619">
        <v>-398.02420000000001</v>
      </c>
      <c r="H3619">
        <v>7.9986299999999996E-2</v>
      </c>
      <c r="I3619">
        <v>32.542209999999997</v>
      </c>
      <c r="J3619">
        <v>-422.01519999999999</v>
      </c>
      <c r="K3619">
        <v>1.108563</v>
      </c>
      <c r="L3619">
        <v>77.566469999999995</v>
      </c>
      <c r="M3619">
        <v>4.8942810000000003E-2</v>
      </c>
      <c r="N3619">
        <v>-1.2097399999999999E-2</v>
      </c>
      <c r="O3619">
        <v>-0.99872839999999996</v>
      </c>
      <c r="P3619">
        <v>0.30012240000000001</v>
      </c>
      <c r="Q3619">
        <v>-3.7209760000000001E-2</v>
      </c>
      <c r="R3619">
        <v>-0.95317479999999999</v>
      </c>
      <c r="S3619">
        <v>1.4251100000000001</v>
      </c>
      <c r="T3619">
        <v>-6.1051960000000002E-2</v>
      </c>
      <c r="U3619">
        <v>-2.6974179999999999</v>
      </c>
      <c r="V3619">
        <v>-0.2531137</v>
      </c>
      <c r="W3619">
        <v>-2.5459369999999999E-2</v>
      </c>
      <c r="X3619">
        <v>0.96710149999999995</v>
      </c>
      <c r="Y3619">
        <v>-0.42320560000000002</v>
      </c>
      <c r="Z3619">
        <v>8.2515090000000006E-3</v>
      </c>
      <c r="AA3619">
        <v>0.90599609999999997</v>
      </c>
      <c r="AB3619">
        <v>42</v>
      </c>
      <c r="AC3619">
        <v>23.9909999999999</v>
      </c>
      <c r="AD3619">
        <v>-1.0285766999999999</v>
      </c>
      <c r="AE3619">
        <v>-45.024259999999998</v>
      </c>
      <c r="AF3619">
        <v>-21.749628856914899</v>
      </c>
      <c r="AG3619">
        <v>-1.0285766999999999</v>
      </c>
      <c r="AH3619">
        <v>46.1258177544278</v>
      </c>
      <c r="AI3619">
        <v>91.155474935949798</v>
      </c>
      <c r="AJ3619">
        <v>115.245204542549</v>
      </c>
      <c r="AK3619">
        <v>51.006817083170603</v>
      </c>
      <c r="AL3619">
        <v>91.458872054620301</v>
      </c>
      <c r="AM3619">
        <v>104.666702130936</v>
      </c>
      <c r="AN3619">
        <v>1.0000000179753601</v>
      </c>
    </row>
    <row r="3620" spans="1:40" x14ac:dyDescent="0.25">
      <c r="A3620" t="str">
        <f>"20190305135701464"</f>
        <v>20190305135701464</v>
      </c>
      <c r="B3620" t="str">
        <f>"1551765421456229"</f>
        <v>1551765421456229</v>
      </c>
      <c r="C3620" t="s">
        <v>40</v>
      </c>
      <c r="D3620">
        <v>3.9843899999999999</v>
      </c>
      <c r="E3620">
        <v>0.43351450000000002</v>
      </c>
      <c r="F3620" t="s">
        <v>43</v>
      </c>
      <c r="G3620">
        <v>-396.91520000000003</v>
      </c>
      <c r="H3620">
        <v>-0.05</v>
      </c>
      <c r="I3620">
        <v>29.74465</v>
      </c>
      <c r="J3620">
        <v>-421.99369999999999</v>
      </c>
      <c r="K3620">
        <v>1.108492</v>
      </c>
      <c r="L3620">
        <v>77.121639999999999</v>
      </c>
      <c r="M3620">
        <v>4.8591460000000003E-2</v>
      </c>
      <c r="N3620">
        <v>-1.241948E-2</v>
      </c>
      <c r="O3620">
        <v>-0.99874160000000001</v>
      </c>
      <c r="P3620">
        <v>0.30034909999999998</v>
      </c>
      <c r="Q3620">
        <v>-3.7364469999999997E-2</v>
      </c>
      <c r="R3620">
        <v>-0.95309719999999998</v>
      </c>
      <c r="S3620">
        <v>1.416504</v>
      </c>
      <c r="T3620">
        <v>-6.5382720000000005E-2</v>
      </c>
      <c r="U3620">
        <v>-2.6987920000000001</v>
      </c>
      <c r="V3620">
        <v>-0.25368859999999999</v>
      </c>
      <c r="W3620">
        <v>-2.525693E-2</v>
      </c>
      <c r="X3620">
        <v>0.96695609999999999</v>
      </c>
      <c r="Y3620">
        <v>-0.42105979999999998</v>
      </c>
      <c r="Z3620">
        <v>9.3812740000000002E-3</v>
      </c>
      <c r="AA3620">
        <v>0.90698429999999997</v>
      </c>
      <c r="AB3620">
        <v>42</v>
      </c>
      <c r="AC3620">
        <v>25.078499999999899</v>
      </c>
      <c r="AD3620">
        <v>-1.1584920000000001</v>
      </c>
      <c r="AE3620">
        <v>-47.376989999999999</v>
      </c>
      <c r="AF3620">
        <v>-22.735957566215902</v>
      </c>
      <c r="AG3620">
        <v>-1.1584920000000001</v>
      </c>
      <c r="AH3620">
        <v>48.517051118039198</v>
      </c>
      <c r="AI3620">
        <v>91.238638058967496</v>
      </c>
      <c r="AJ3620">
        <v>115.108628258623</v>
      </c>
      <c r="AK3620">
        <v>53.592631203900197</v>
      </c>
      <c r="AL3620">
        <v>91.447269451786198</v>
      </c>
      <c r="AM3620">
        <v>104.700688318262</v>
      </c>
      <c r="AN3620">
        <v>0.99999995880509596</v>
      </c>
    </row>
    <row r="3621" spans="1:40" x14ac:dyDescent="0.25">
      <c r="A3621" t="str">
        <f>"20190305135701486"</f>
        <v>20190305135701486</v>
      </c>
      <c r="B3621" t="str">
        <f>"1551765421475749"</f>
        <v>1551765421475749</v>
      </c>
      <c r="C3621" t="s">
        <v>40</v>
      </c>
      <c r="D3621">
        <v>4.0047079999999999</v>
      </c>
      <c r="E3621">
        <v>0.43442599999999998</v>
      </c>
      <c r="F3621" t="s">
        <v>43</v>
      </c>
      <c r="G3621">
        <v>-398.47329999999999</v>
      </c>
      <c r="H3621">
        <v>-0.05</v>
      </c>
      <c r="I3621">
        <v>32.098730000000003</v>
      </c>
      <c r="J3621">
        <v>-421.97340000000003</v>
      </c>
      <c r="K3621">
        <v>1.1084560000000001</v>
      </c>
      <c r="L3621">
        <v>76.702789999999993</v>
      </c>
      <c r="M3621">
        <v>4.8308589999999998E-2</v>
      </c>
      <c r="N3621">
        <v>-1.2682580000000001E-2</v>
      </c>
      <c r="O3621">
        <v>-0.99875219999999998</v>
      </c>
      <c r="P3621">
        <v>0.30090609999999901</v>
      </c>
      <c r="Q3621">
        <v>-3.9462940000000002E-2</v>
      </c>
      <c r="R3621">
        <v>-0.95283700000000005</v>
      </c>
      <c r="S3621">
        <v>1.410706</v>
      </c>
      <c r="T3621">
        <v>-6.9483879999999998E-2</v>
      </c>
      <c r="U3621">
        <v>-2.7003780000000002</v>
      </c>
      <c r="V3621">
        <v>-0.25453350000000002</v>
      </c>
      <c r="W3621">
        <v>-2.7087179999999999E-2</v>
      </c>
      <c r="X3621">
        <v>0.96668449999999995</v>
      </c>
      <c r="Y3621">
        <v>-0.41955759999999998</v>
      </c>
      <c r="Z3621">
        <v>1.048513E-2</v>
      </c>
      <c r="AA3621">
        <v>0.90766820000000004</v>
      </c>
      <c r="AB3621">
        <v>42</v>
      </c>
      <c r="AC3621">
        <v>23.5001</v>
      </c>
      <c r="AD3621">
        <v>-1.1584559999999999</v>
      </c>
      <c r="AE3621">
        <v>-44.604059999999997</v>
      </c>
      <c r="AF3621">
        <v>-21.306476756937698</v>
      </c>
      <c r="AG3621">
        <v>-1.1584559999999999</v>
      </c>
      <c r="AH3621">
        <v>45.663212768009302</v>
      </c>
      <c r="AI3621">
        <v>91.317001312382104</v>
      </c>
      <c r="AJ3621">
        <v>115.013779106366</v>
      </c>
      <c r="AK3621">
        <v>50.4027476671099</v>
      </c>
      <c r="AL3621">
        <v>91.552170987186102</v>
      </c>
      <c r="AM3621">
        <v>104.75148052148501</v>
      </c>
      <c r="AN3621">
        <v>0.99999997024142495</v>
      </c>
    </row>
    <row r="3622" spans="1:40" x14ac:dyDescent="0.25">
      <c r="A3622" t="str">
        <f>"20190305135701511"</f>
        <v>20190305135701511</v>
      </c>
      <c r="B3622" t="str">
        <f>"1551765421506005"</f>
        <v>1551765421506005</v>
      </c>
      <c r="C3622" t="s">
        <v>40</v>
      </c>
      <c r="D3622">
        <v>4.0115379999999998</v>
      </c>
      <c r="E3622">
        <v>0.43553520000000001</v>
      </c>
      <c r="F3622" t="s">
        <v>43</v>
      </c>
      <c r="G3622">
        <v>-402.30520000000001</v>
      </c>
      <c r="H3622">
        <v>-0.05</v>
      </c>
      <c r="I3622">
        <v>38.871119999999998</v>
      </c>
      <c r="J3622">
        <v>-421.95100000000002</v>
      </c>
      <c r="K3622">
        <v>1.1084830000000001</v>
      </c>
      <c r="L3622">
        <v>76.234409999999997</v>
      </c>
      <c r="M3622">
        <v>4.8102399999999997E-2</v>
      </c>
      <c r="N3622">
        <v>-1.293616E-2</v>
      </c>
      <c r="O3622">
        <v>-0.99875879999999995</v>
      </c>
      <c r="P3622">
        <v>0.30220560000000002</v>
      </c>
      <c r="Q3622">
        <v>-4.1677550000000001E-2</v>
      </c>
      <c r="R3622">
        <v>-0.95233179999999995</v>
      </c>
      <c r="S3622">
        <v>1.40448</v>
      </c>
      <c r="T3622">
        <v>-8.2723740000000004E-2</v>
      </c>
      <c r="U3622">
        <v>-2.701508</v>
      </c>
      <c r="V3622">
        <v>-0.25605430000000001</v>
      </c>
      <c r="W3622">
        <v>-2.9077909999999998E-2</v>
      </c>
      <c r="X3622">
        <v>0.966225</v>
      </c>
      <c r="Y3622">
        <v>-0.41790640000000001</v>
      </c>
      <c r="Z3622">
        <v>1.4631740000000001E-2</v>
      </c>
      <c r="AA3622">
        <v>0.90837230000000002</v>
      </c>
      <c r="AB3622">
        <v>42</v>
      </c>
      <c r="AC3622">
        <v>19.645799999999898</v>
      </c>
      <c r="AD3622">
        <v>-1.1584829999999999</v>
      </c>
      <c r="AE3622">
        <v>-37.363289999999999</v>
      </c>
      <c r="AF3622">
        <v>-17.812225203301001</v>
      </c>
      <c r="AG3622">
        <v>-1.1584829999999999</v>
      </c>
      <c r="AH3622">
        <v>38.236322968516099</v>
      </c>
      <c r="AI3622">
        <v>91.573184128620497</v>
      </c>
      <c r="AJ3622">
        <v>114.978253527475</v>
      </c>
      <c r="AK3622">
        <v>42.1975573191989</v>
      </c>
      <c r="AL3622">
        <v>91.666276322664999</v>
      </c>
      <c r="AM3622">
        <v>104.842486088089</v>
      </c>
      <c r="AN3622">
        <v>1.0000000400117199</v>
      </c>
    </row>
    <row r="3623" spans="1:40" x14ac:dyDescent="0.25">
      <c r="A3623" t="str">
        <f>"20190305135701531"</f>
        <v>20190305135701531</v>
      </c>
      <c r="B3623" t="str">
        <f>"1551765421525524"</f>
        <v>1551765421525524</v>
      </c>
      <c r="C3623" t="s">
        <v>40</v>
      </c>
      <c r="D3623">
        <v>4.0327840000000004</v>
      </c>
      <c r="E3623">
        <v>0.43609949999999997</v>
      </c>
      <c r="F3623" t="s">
        <v>42</v>
      </c>
      <c r="G3623">
        <v>-407.38479999999998</v>
      </c>
      <c r="H3623">
        <v>7.9986489999999993E-2</v>
      </c>
      <c r="I3623">
        <v>48.104480000000002</v>
      </c>
      <c r="J3623">
        <v>-421.93290000000002</v>
      </c>
      <c r="K3623">
        <v>1.1085590000000001</v>
      </c>
      <c r="L3623">
        <v>75.860500000000002</v>
      </c>
      <c r="M3623">
        <v>4.8063380000000003E-2</v>
      </c>
      <c r="N3623">
        <v>-1.311059E-2</v>
      </c>
      <c r="O3623">
        <v>-0.99875829999999999</v>
      </c>
      <c r="P3623">
        <v>0.3042784</v>
      </c>
      <c r="Q3623">
        <v>-4.3726769999999998E-2</v>
      </c>
      <c r="R3623">
        <v>-0.95157899999999995</v>
      </c>
      <c r="S3623">
        <v>1.399078</v>
      </c>
      <c r="T3623">
        <v>-9.8786830000000006E-2</v>
      </c>
      <c r="U3623">
        <v>-2.7018740000000001</v>
      </c>
      <c r="V3623">
        <v>-0.25819439999999999</v>
      </c>
      <c r="W3623">
        <v>-3.1006010000000001E-2</v>
      </c>
      <c r="X3623">
        <v>0.96559530000000005</v>
      </c>
      <c r="Y3623">
        <v>-0.4164043</v>
      </c>
      <c r="Z3623">
        <v>1.9800089999999999E-2</v>
      </c>
      <c r="AA3623">
        <v>0.90896390000000005</v>
      </c>
      <c r="AB3623">
        <v>42</v>
      </c>
      <c r="AC3623">
        <v>14.5481</v>
      </c>
      <c r="AD3623">
        <v>-1.0285725100000001</v>
      </c>
      <c r="AE3623">
        <v>-27.756019999999999</v>
      </c>
      <c r="AF3623">
        <v>-13.182918935827299</v>
      </c>
      <c r="AG3623">
        <v>-1.0285725100000001</v>
      </c>
      <c r="AH3623">
        <v>28.392639886135399</v>
      </c>
      <c r="AI3623">
        <v>91.881930150229095</v>
      </c>
      <c r="AJ3623">
        <v>114.905801139448</v>
      </c>
      <c r="AK3623">
        <v>31.320748917940801</v>
      </c>
      <c r="AL3623">
        <v>91.7767982805819</v>
      </c>
      <c r="AM3623">
        <v>104.97031715100999</v>
      </c>
      <c r="AN3623">
        <v>1.0000000021147799</v>
      </c>
    </row>
    <row r="3624" spans="1:40" x14ac:dyDescent="0.25">
      <c r="A3624" t="str">
        <f>"20190305135701552"</f>
        <v>20190305135701552</v>
      </c>
      <c r="B3624" t="str">
        <f>"1551765421546021"</f>
        <v>1551765421546021</v>
      </c>
      <c r="C3624" t="s">
        <v>40</v>
      </c>
      <c r="D3624">
        <v>4.0471089999999998</v>
      </c>
      <c r="E3624">
        <v>0.43669580000000002</v>
      </c>
      <c r="F3624" t="s">
        <v>41</v>
      </c>
      <c r="G3624">
        <v>-421.35410000000002</v>
      </c>
      <c r="H3624">
        <v>1.062862</v>
      </c>
      <c r="I3624">
        <v>74.744389999999996</v>
      </c>
      <c r="J3624">
        <v>-421.91289999999998</v>
      </c>
      <c r="K3624">
        <v>1.108668</v>
      </c>
      <c r="L3624">
        <v>75.44623</v>
      </c>
      <c r="M3624">
        <v>4.8153990000000001E-2</v>
      </c>
      <c r="N3624">
        <v>-1.3278710000000001E-2</v>
      </c>
      <c r="O3624">
        <v>-0.99875170000000002</v>
      </c>
      <c r="P3624">
        <v>0.30678149999999998</v>
      </c>
      <c r="Q3624">
        <v>-4.4135019999999997E-2</v>
      </c>
      <c r="R3624">
        <v>-0.95075609999999999</v>
      </c>
      <c r="S3624">
        <v>1.4003909999999999</v>
      </c>
      <c r="T3624">
        <v>-0.1105343</v>
      </c>
      <c r="U3624">
        <v>-2.699738</v>
      </c>
      <c r="V3624">
        <v>-0.26063960000000003</v>
      </c>
      <c r="W3624">
        <v>-3.1318859999999997E-2</v>
      </c>
      <c r="X3624">
        <v>0.96492800000000001</v>
      </c>
      <c r="Y3624">
        <v>-0.41691400000000001</v>
      </c>
      <c r="Z3624">
        <v>2.3542730000000001E-2</v>
      </c>
      <c r="AA3624">
        <v>0.90864100000000003</v>
      </c>
      <c r="AB3624">
        <v>42</v>
      </c>
      <c r="AC3624">
        <v>0.55879999999996199</v>
      </c>
      <c r="AD3624">
        <v>-4.5805999999999999E-2</v>
      </c>
      <c r="AE3624">
        <v>-0.70184000000000402</v>
      </c>
      <c r="AF3624">
        <v>-0.52298884132925605</v>
      </c>
      <c r="AG3624">
        <v>-4.5805999999999999E-2</v>
      </c>
      <c r="AH3624">
        <v>0.72604371156525105</v>
      </c>
      <c r="AI3624">
        <v>92.930507685044006</v>
      </c>
      <c r="AJ3624">
        <v>125.766222004234</v>
      </c>
      <c r="AK3624">
        <v>0.89596595297721204</v>
      </c>
      <c r="AL3624">
        <v>91.794732053100205</v>
      </c>
      <c r="AM3624">
        <v>105.115609631757</v>
      </c>
      <c r="AN3624">
        <v>0.99999995863192803</v>
      </c>
    </row>
    <row r="3625" spans="1:40" x14ac:dyDescent="0.25">
      <c r="A3625" t="str">
        <f>"20190305135701576"</f>
        <v>20190305135701576</v>
      </c>
      <c r="B3625" t="str">
        <f>"1551765421566518"</f>
        <v>1551765421566518</v>
      </c>
      <c r="C3625" t="s">
        <v>40</v>
      </c>
      <c r="D3625">
        <v>4.0253940000000004</v>
      </c>
      <c r="E3625">
        <v>0.43727379999999999</v>
      </c>
      <c r="F3625" t="s">
        <v>41</v>
      </c>
      <c r="G3625">
        <v>-421.36669999999998</v>
      </c>
      <c r="H3625">
        <v>1.063331</v>
      </c>
      <c r="I3625">
        <v>74.396439999999998</v>
      </c>
      <c r="J3625">
        <v>-421.89210000000003</v>
      </c>
      <c r="K3625">
        <v>1.1088089999999999</v>
      </c>
      <c r="L3625">
        <v>75.019739999999999</v>
      </c>
      <c r="M3625">
        <v>4.841819E-2</v>
      </c>
      <c r="N3625">
        <v>-1.342866E-2</v>
      </c>
      <c r="O3625">
        <v>-0.99873690000000004</v>
      </c>
      <c r="P3625">
        <v>0.30863970000000002</v>
      </c>
      <c r="Q3625">
        <v>-4.2959879999999999E-2</v>
      </c>
      <c r="R3625">
        <v>-0.95020839999999995</v>
      </c>
      <c r="S3625">
        <v>1.402679</v>
      </c>
      <c r="T3625">
        <v>-0.1164927</v>
      </c>
      <c r="U3625">
        <v>-2.6973880000000001</v>
      </c>
      <c r="V3625">
        <v>-0.2622583</v>
      </c>
      <c r="W3625">
        <v>-3.0077590000000001E-2</v>
      </c>
      <c r="X3625">
        <v>0.96452890000000002</v>
      </c>
      <c r="Y3625">
        <v>-0.417576</v>
      </c>
      <c r="Z3625">
        <v>2.538553E-2</v>
      </c>
      <c r="AA3625">
        <v>0.90828730000000002</v>
      </c>
      <c r="AB3625">
        <v>42</v>
      </c>
      <c r="AC3625">
        <v>0.52540000000004705</v>
      </c>
      <c r="AD3625">
        <v>-4.54779999999999E-2</v>
      </c>
      <c r="AE3625">
        <v>-0.62329999999999997</v>
      </c>
      <c r="AF3625">
        <v>-0.49306734034147798</v>
      </c>
      <c r="AG3625">
        <v>-4.54779999999999E-2</v>
      </c>
      <c r="AH3625">
        <v>0.64599952159334195</v>
      </c>
      <c r="AI3625">
        <v>93.203004837171605</v>
      </c>
      <c r="AJ3625">
        <v>127.353143706184</v>
      </c>
      <c r="AK3625">
        <v>0.81394043547070805</v>
      </c>
      <c r="AL3625">
        <v>91.723578841705603</v>
      </c>
      <c r="AM3625">
        <v>105.211151666541</v>
      </c>
      <c r="AN3625">
        <v>1.0000000381371501</v>
      </c>
    </row>
    <row r="3626" spans="1:40" x14ac:dyDescent="0.25">
      <c r="A3626" t="str">
        <f>"20190305135701597"</f>
        <v>20190305135701597</v>
      </c>
      <c r="B3626" t="str">
        <f>"1551765421586037"</f>
        <v>1551765421586037</v>
      </c>
      <c r="C3626" t="s">
        <v>40</v>
      </c>
      <c r="D3626">
        <v>4.0710360000000003</v>
      </c>
      <c r="E3626">
        <v>0.43784859999999998</v>
      </c>
      <c r="F3626" t="s">
        <v>42</v>
      </c>
      <c r="G3626">
        <v>-409.29090000000002</v>
      </c>
      <c r="H3626">
        <v>7.9985730000000005E-2</v>
      </c>
      <c r="I3626">
        <v>50.81306</v>
      </c>
      <c r="J3626">
        <v>-421.87259999999998</v>
      </c>
      <c r="K3626">
        <v>1.1089659999999999</v>
      </c>
      <c r="L3626">
        <v>74.625119999999995</v>
      </c>
      <c r="M3626">
        <v>4.8830640000000002E-2</v>
      </c>
      <c r="N3626">
        <v>-1.354932E-2</v>
      </c>
      <c r="O3626">
        <v>-0.99871520000000003</v>
      </c>
      <c r="P3626">
        <v>0.31072100000000002</v>
      </c>
      <c r="Q3626">
        <v>-4.1904209999999997E-2</v>
      </c>
      <c r="R3626">
        <v>-0.94957720000000001</v>
      </c>
      <c r="S3626">
        <v>1.4035029999999999</v>
      </c>
      <c r="T3626">
        <v>-0.11458889999999999</v>
      </c>
      <c r="U3626">
        <v>-2.6961059999999999</v>
      </c>
      <c r="V3626">
        <v>-0.26396120000000001</v>
      </c>
      <c r="W3626">
        <v>-2.8990910000000002E-2</v>
      </c>
      <c r="X3626">
        <v>0.96409750000000005</v>
      </c>
      <c r="Y3626">
        <v>-0.41760449999999999</v>
      </c>
      <c r="Z3626">
        <v>2.4648920000000001E-2</v>
      </c>
      <c r="AA3626">
        <v>0.9082945</v>
      </c>
      <c r="AB3626">
        <v>42</v>
      </c>
      <c r="AC3626">
        <v>12.5816999999999</v>
      </c>
      <c r="AD3626">
        <v>-1.0289802699999999</v>
      </c>
      <c r="AE3626">
        <v>-23.812059999999899</v>
      </c>
      <c r="AF3626">
        <v>-11.387200507318299</v>
      </c>
      <c r="AG3626">
        <v>-1.0289802699999999</v>
      </c>
      <c r="AH3626">
        <v>24.3625135812498</v>
      </c>
      <c r="AI3626">
        <v>92.191232908895699</v>
      </c>
      <c r="AJ3626">
        <v>115.051698737674</v>
      </c>
      <c r="AK3626">
        <v>26.9120642795476</v>
      </c>
      <c r="AL3626">
        <v>91.661289572864703</v>
      </c>
      <c r="AM3626">
        <v>105.311830011165</v>
      </c>
      <c r="AN3626">
        <v>0.99999998873715901</v>
      </c>
    </row>
    <row r="3627" spans="1:40" x14ac:dyDescent="0.25">
      <c r="A3627" t="str">
        <f>"20190305135701619"</f>
        <v>20190305135701619</v>
      </c>
      <c r="B3627" t="str">
        <f>"1551765421616293"</f>
        <v>1551765421616293</v>
      </c>
      <c r="C3627" t="s">
        <v>40</v>
      </c>
      <c r="D3627">
        <v>4.0801489999999996</v>
      </c>
      <c r="E3627">
        <v>0.40536250000000001</v>
      </c>
      <c r="F3627" t="s">
        <v>42</v>
      </c>
      <c r="G3627">
        <v>-408.7201</v>
      </c>
      <c r="H3627">
        <v>7.9986810000000005E-2</v>
      </c>
      <c r="I3627">
        <v>49.405349999999999</v>
      </c>
      <c r="J3627">
        <v>-421.8526</v>
      </c>
      <c r="K3627">
        <v>1.109129</v>
      </c>
      <c r="L3627">
        <v>74.226169999999996</v>
      </c>
      <c r="M3627">
        <v>4.9413789999999999E-2</v>
      </c>
      <c r="N3627">
        <v>-1.36557E-2</v>
      </c>
      <c r="O3627">
        <v>-0.99868509999999999</v>
      </c>
      <c r="P3627">
        <v>0.31411559999999999</v>
      </c>
      <c r="Q3627">
        <v>-4.0034029999999998E-2</v>
      </c>
      <c r="R3627">
        <v>-0.94854039999999995</v>
      </c>
      <c r="S3627">
        <v>1.405273</v>
      </c>
      <c r="T3627">
        <v>-0.1099415</v>
      </c>
      <c r="U3627">
        <v>-2.6946110000000001</v>
      </c>
      <c r="V3627">
        <v>-0.26683210000000002</v>
      </c>
      <c r="W3627">
        <v>-2.7121860000000001E-2</v>
      </c>
      <c r="X3627">
        <v>0.96336129999999998</v>
      </c>
      <c r="Y3627">
        <v>-0.41777019999999998</v>
      </c>
      <c r="Z3627">
        <v>2.3014860000000002E-2</v>
      </c>
      <c r="AA3627">
        <v>0.90826119999999999</v>
      </c>
      <c r="AB3627">
        <v>42</v>
      </c>
      <c r="AC3627">
        <v>13.132499999999901</v>
      </c>
      <c r="AD3627">
        <v>-1.02914219</v>
      </c>
      <c r="AE3627">
        <v>-24.820820000000001</v>
      </c>
      <c r="AF3627">
        <v>-11.8739005575886</v>
      </c>
      <c r="AG3627">
        <v>-1.02914219</v>
      </c>
      <c r="AH3627">
        <v>25.4053565241752</v>
      </c>
      <c r="AI3627">
        <v>92.101722778594606</v>
      </c>
      <c r="AJ3627">
        <v>115.05034449141699</v>
      </c>
      <c r="AK3627">
        <v>28.062088094423601</v>
      </c>
      <c r="AL3627">
        <v>91.554158720605301</v>
      </c>
      <c r="AM3627">
        <v>105.481683138048</v>
      </c>
      <c r="AN3627">
        <v>0.99999997960897902</v>
      </c>
    </row>
    <row r="3628" spans="1:40" x14ac:dyDescent="0.25">
      <c r="A3628" t="str">
        <f>"20190305135701641"</f>
        <v>20190305135701641</v>
      </c>
      <c r="B3628" t="str">
        <f>"1551765421635814"</f>
        <v>1551765421635814</v>
      </c>
      <c r="C3628" t="s">
        <v>40</v>
      </c>
      <c r="D3628">
        <v>4.2572269999999897</v>
      </c>
      <c r="E3628">
        <v>0.39750619999999998</v>
      </c>
      <c r="F3628" t="s">
        <v>43</v>
      </c>
      <c r="G3628">
        <v>-400.45350000000002</v>
      </c>
      <c r="H3628">
        <v>-0.05</v>
      </c>
      <c r="I3628">
        <v>40.643059999999998</v>
      </c>
      <c r="J3628">
        <v>-421.83139999999997</v>
      </c>
      <c r="K3628">
        <v>1.109308</v>
      </c>
      <c r="L3628">
        <v>73.81277</v>
      </c>
      <c r="M3628">
        <v>5.0180099999999998E-2</v>
      </c>
      <c r="N3628">
        <v>-1.375155E-2</v>
      </c>
      <c r="O3628">
        <v>-0.99864569999999997</v>
      </c>
      <c r="P3628">
        <v>0.3183414</v>
      </c>
      <c r="Q3628">
        <v>-3.910201E-2</v>
      </c>
      <c r="R3628">
        <v>-0.94716990000000001</v>
      </c>
      <c r="S3628">
        <v>1.66214</v>
      </c>
      <c r="T3628">
        <v>-9.0033650000000007E-2</v>
      </c>
      <c r="U3628">
        <v>-2.6085210000000001</v>
      </c>
      <c r="V3628">
        <v>-0.27037339999999999</v>
      </c>
      <c r="W3628">
        <v>-2.6218379999999999E-2</v>
      </c>
      <c r="X3628">
        <v>0.96239850000000005</v>
      </c>
      <c r="Y3628">
        <v>-0.49417450000000002</v>
      </c>
      <c r="Z3628">
        <v>1.5897399999999999E-2</v>
      </c>
      <c r="AA3628">
        <v>0.86921740000000003</v>
      </c>
      <c r="AB3628">
        <v>42</v>
      </c>
      <c r="AC3628">
        <v>21.377899999999901</v>
      </c>
      <c r="AD3628">
        <v>-1.159308</v>
      </c>
      <c r="AE3628">
        <v>-33.169709999999903</v>
      </c>
      <c r="AF3628">
        <v>-19.669370426057601</v>
      </c>
      <c r="AG3628">
        <v>-1.159308</v>
      </c>
      <c r="AH3628">
        <v>34.1712689653654</v>
      </c>
      <c r="AI3628">
        <v>91.684196053422497</v>
      </c>
      <c r="AJ3628">
        <v>119.925219395231</v>
      </c>
      <c r="AK3628">
        <v>39.444945819454297</v>
      </c>
      <c r="AL3628">
        <v>91.502374637298004</v>
      </c>
      <c r="AM3628">
        <v>105.692020385512</v>
      </c>
      <c r="AN3628">
        <v>1.0000000258398101</v>
      </c>
    </row>
    <row r="3629" spans="1:40" x14ac:dyDescent="0.25">
      <c r="A3629" t="str">
        <f>"20190305135701664"</f>
        <v>20190305135701664</v>
      </c>
      <c r="B3629" t="str">
        <f>"1551765421656309"</f>
        <v>1551765421656309</v>
      </c>
      <c r="C3629" t="s">
        <v>40</v>
      </c>
      <c r="D3629">
        <v>4.1864400000000002</v>
      </c>
      <c r="E3629">
        <v>0.39653699999999997</v>
      </c>
      <c r="F3629" t="s">
        <v>42</v>
      </c>
      <c r="G3629">
        <v>-407.28949999999998</v>
      </c>
      <c r="H3629">
        <v>7.9986210000000002E-2</v>
      </c>
      <c r="I3629">
        <v>52.134399999999999</v>
      </c>
      <c r="J3629">
        <v>-421.80889999999999</v>
      </c>
      <c r="K3629">
        <v>1.1094889999999999</v>
      </c>
      <c r="L3629">
        <v>73.381590000000003</v>
      </c>
      <c r="M3629">
        <v>5.1133869999999998E-2</v>
      </c>
      <c r="N3629">
        <v>-1.383789E-2</v>
      </c>
      <c r="O3629">
        <v>-0.99859609999999999</v>
      </c>
      <c r="P3629">
        <v>0.32243870000000002</v>
      </c>
      <c r="Q3629">
        <v>-3.8723100000000003E-2</v>
      </c>
      <c r="R3629">
        <v>-0.94579820000000003</v>
      </c>
      <c r="S3629">
        <v>1.730988</v>
      </c>
      <c r="T3629">
        <v>-0.1225247</v>
      </c>
      <c r="U3629">
        <v>-2.5804749999999999</v>
      </c>
      <c r="V3629">
        <v>-0.27360679999999998</v>
      </c>
      <c r="W3629">
        <v>-2.5880899999999998E-2</v>
      </c>
      <c r="X3629">
        <v>0.96149340000000005</v>
      </c>
      <c r="Y3629">
        <v>-0.5135149</v>
      </c>
      <c r="Z3629">
        <v>2.6290609999999999E-2</v>
      </c>
      <c r="AA3629">
        <v>0.85767780000000005</v>
      </c>
      <c r="AB3629">
        <v>42</v>
      </c>
      <c r="AC3629">
        <v>14.519399999999999</v>
      </c>
      <c r="AD3629">
        <v>-1.02950279</v>
      </c>
      <c r="AE3629">
        <v>-21.24719</v>
      </c>
      <c r="AF3629">
        <v>-13.392414047992499</v>
      </c>
      <c r="AG3629">
        <v>-1.02950279</v>
      </c>
      <c r="AH3629">
        <v>21.926801660990701</v>
      </c>
      <c r="AI3629">
        <v>92.294559996132705</v>
      </c>
      <c r="AJ3629">
        <v>121.415678719353</v>
      </c>
      <c r="AK3629">
        <v>25.7138340413854</v>
      </c>
      <c r="AL3629">
        <v>91.483031887741504</v>
      </c>
      <c r="AM3629">
        <v>105.88446658040201</v>
      </c>
      <c r="AN3629">
        <v>1.0000000301173</v>
      </c>
    </row>
    <row r="3630" spans="1:40" x14ac:dyDescent="0.25">
      <c r="A3630" t="str">
        <f>"20190305135701685"</f>
        <v>20190305135701685</v>
      </c>
      <c r="B3630" t="str">
        <f>"1551765421675830"</f>
        <v>1551765421675830</v>
      </c>
      <c r="C3630" t="s">
        <v>40</v>
      </c>
      <c r="D3630">
        <v>4.0642469999999999</v>
      </c>
      <c r="E3630">
        <v>0.39725769999999999</v>
      </c>
      <c r="F3630" t="s">
        <v>42</v>
      </c>
      <c r="G3630">
        <v>-406.81830000000002</v>
      </c>
      <c r="H3630">
        <v>7.9986000000000002E-2</v>
      </c>
      <c r="I3630">
        <v>51.352060000000002</v>
      </c>
      <c r="J3630">
        <v>-421.78730000000002</v>
      </c>
      <c r="K3630">
        <v>1.1096440000000001</v>
      </c>
      <c r="L3630">
        <v>72.977260000000001</v>
      </c>
      <c r="M3630">
        <v>5.2149689999999999E-2</v>
      </c>
      <c r="N3630">
        <v>-1.3907320000000001E-2</v>
      </c>
      <c r="O3630">
        <v>-0.99854270000000001</v>
      </c>
      <c r="P3630">
        <v>0.32637949999999999</v>
      </c>
      <c r="Q3630">
        <v>-3.8608280000000002E-2</v>
      </c>
      <c r="R3630">
        <v>-0.94445029999999996</v>
      </c>
      <c r="S3630">
        <v>1.749268</v>
      </c>
      <c r="T3630">
        <v>-0.1201338</v>
      </c>
      <c r="U3630">
        <v>-2.5706479999999998</v>
      </c>
      <c r="V3630">
        <v>-0.2766265</v>
      </c>
      <c r="W3630">
        <v>-2.5807340000000002E-2</v>
      </c>
      <c r="X3630">
        <v>0.96063100000000001</v>
      </c>
      <c r="Y3630">
        <v>-0.51834340000000001</v>
      </c>
      <c r="Z3630">
        <v>2.543983E-2</v>
      </c>
      <c r="AA3630">
        <v>0.854794099999999</v>
      </c>
      <c r="AB3630">
        <v>42</v>
      </c>
      <c r="AC3630">
        <v>14.9689999999999</v>
      </c>
      <c r="AD3630">
        <v>-1.029658</v>
      </c>
      <c r="AE3630">
        <v>-21.6252</v>
      </c>
      <c r="AF3630">
        <v>-13.7996205832927</v>
      </c>
      <c r="AG3630">
        <v>-1.029658</v>
      </c>
      <c r="AH3630">
        <v>22.3422286606996</v>
      </c>
      <c r="AI3630">
        <v>92.245396846258402</v>
      </c>
      <c r="AJ3630">
        <v>121.701445937126</v>
      </c>
      <c r="AK3630">
        <v>26.280504282961999</v>
      </c>
      <c r="AL3630">
        <v>91.478815730184493</v>
      </c>
      <c r="AM3630">
        <v>106.064460309471</v>
      </c>
      <c r="AN3630">
        <v>1.0000000787305501</v>
      </c>
    </row>
    <row r="3631" spans="1:40" x14ac:dyDescent="0.25">
      <c r="A3631" t="str">
        <f>"20190305135701733"</f>
        <v>20190305135701733</v>
      </c>
      <c r="B3631" t="str">
        <f>"1551765421725606"</f>
        <v>1551765421725606</v>
      </c>
      <c r="C3631" t="s">
        <v>40</v>
      </c>
      <c r="D3631">
        <v>4.0957220000000003</v>
      </c>
      <c r="E3631">
        <v>0.3976248</v>
      </c>
      <c r="F3631" t="s">
        <v>42</v>
      </c>
      <c r="G3631">
        <v>-405.30619999999999</v>
      </c>
      <c r="H3631">
        <v>7.9986799999999997E-2</v>
      </c>
      <c r="I3631">
        <v>48.892769999999999</v>
      </c>
      <c r="J3631">
        <v>-421.74040000000002</v>
      </c>
      <c r="K3631">
        <v>1.1098950000000001</v>
      </c>
      <c r="L3631">
        <v>72.12912</v>
      </c>
      <c r="M3631">
        <v>5.4546549999999999E-2</v>
      </c>
      <c r="N3631">
        <v>-1.4022339999999999E-2</v>
      </c>
      <c r="O3631">
        <v>-0.99841279999999999</v>
      </c>
      <c r="P3631">
        <v>0.33397779999999999</v>
      </c>
      <c r="Q3631">
        <v>-3.7629969999999999E-2</v>
      </c>
      <c r="R3631">
        <v>-0.9418299</v>
      </c>
      <c r="S3631">
        <v>1.755463</v>
      </c>
      <c r="T3631">
        <v>-0.10967300000000001</v>
      </c>
      <c r="U3631">
        <v>-2.5653380000000001</v>
      </c>
      <c r="V3631">
        <v>-0.2820397</v>
      </c>
      <c r="W3631">
        <v>-2.4894530000000002E-2</v>
      </c>
      <c r="X3631">
        <v>0.95907969999999998</v>
      </c>
      <c r="Y3631">
        <v>-0.51857629999999999</v>
      </c>
      <c r="Z3631">
        <v>2.1964270000000001E-2</v>
      </c>
      <c r="AA3631">
        <v>0.85474919999999999</v>
      </c>
      <c r="AB3631">
        <v>42</v>
      </c>
      <c r="AC3631">
        <v>16.434200000000001</v>
      </c>
      <c r="AD3631">
        <v>-1.0299081999999999</v>
      </c>
      <c r="AE3631">
        <v>-23.236350000000002</v>
      </c>
      <c r="AF3631">
        <v>-15.1223383804415</v>
      </c>
      <c r="AG3631">
        <v>-1.0299081999999999</v>
      </c>
      <c r="AH3631">
        <v>24.066751147891999</v>
      </c>
      <c r="AI3631">
        <v>92.075171996315305</v>
      </c>
      <c r="AJ3631">
        <v>122.143192303311</v>
      </c>
      <c r="AK3631">
        <v>28.4421226318916</v>
      </c>
      <c r="AL3631">
        <v>91.426498869666403</v>
      </c>
      <c r="AM3631">
        <v>106.38719992922201</v>
      </c>
      <c r="AN3631">
        <v>1.0000000004760501</v>
      </c>
    </row>
    <row r="3632" spans="1:40" x14ac:dyDescent="0.25">
      <c r="A3632" t="str">
        <f>"20190305135701755"</f>
        <v>20190305135701755</v>
      </c>
      <c r="B3632" t="str">
        <f>"1551765421746101"</f>
        <v>1551765421746101</v>
      </c>
      <c r="C3632" t="s">
        <v>40</v>
      </c>
      <c r="D3632">
        <v>4.1420019999999997</v>
      </c>
      <c r="E3632">
        <v>0.39801150000000002</v>
      </c>
      <c r="F3632" t="s">
        <v>42</v>
      </c>
      <c r="G3632">
        <v>-405.80090000000001</v>
      </c>
      <c r="H3632">
        <v>7.9986870000000002E-2</v>
      </c>
      <c r="I3632">
        <v>49.18338</v>
      </c>
      <c r="J3632">
        <v>-421.71499999999997</v>
      </c>
      <c r="K3632">
        <v>1.1099969999999999</v>
      </c>
      <c r="L3632">
        <v>71.685239999999993</v>
      </c>
      <c r="M3632">
        <v>5.588398E-2</v>
      </c>
      <c r="N3632">
        <v>-1.4068829999999999E-2</v>
      </c>
      <c r="O3632">
        <v>-0.99833819999999995</v>
      </c>
      <c r="P3632">
        <v>0.3370899</v>
      </c>
      <c r="Q3632">
        <v>-3.735484E-2</v>
      </c>
      <c r="R3632">
        <v>-0.94073119999999999</v>
      </c>
      <c r="S3632">
        <v>1.7728269999999999</v>
      </c>
      <c r="T3632">
        <v>-0.1145481</v>
      </c>
      <c r="U3632">
        <v>-2.552063</v>
      </c>
      <c r="V3632">
        <v>-0.28392060000000002</v>
      </c>
      <c r="W3632">
        <v>-2.463868E-2</v>
      </c>
      <c r="X3632">
        <v>0.95853120000000003</v>
      </c>
      <c r="Y3632">
        <v>-0.52339859999999905</v>
      </c>
      <c r="Z3632">
        <v>2.3545050000000001E-2</v>
      </c>
      <c r="AA3632">
        <v>0.85176260000000004</v>
      </c>
      <c r="AB3632">
        <v>41</v>
      </c>
      <c r="AC3632">
        <v>15.9140999999999</v>
      </c>
      <c r="AD3632">
        <v>-1.03001013</v>
      </c>
      <c r="AE3632">
        <v>-22.501860000000001</v>
      </c>
      <c r="AF3632">
        <v>-14.6112003011801</v>
      </c>
      <c r="AG3632">
        <v>-1.03001013</v>
      </c>
      <c r="AH3632">
        <v>23.323543971405901</v>
      </c>
      <c r="AI3632">
        <v>92.143272425750396</v>
      </c>
      <c r="AJ3632">
        <v>122.065379571902</v>
      </c>
      <c r="AK3632">
        <v>27.541528615805198</v>
      </c>
      <c r="AL3632">
        <v>91.411835223884907</v>
      </c>
      <c r="AM3632">
        <v>106.49949021293401</v>
      </c>
      <c r="AN3632">
        <v>1.0000000165149701</v>
      </c>
    </row>
    <row r="3633" spans="1:40" x14ac:dyDescent="0.25">
      <c r="A3633" t="str">
        <f>"20190305135701777"</f>
        <v>20190305135701777</v>
      </c>
      <c r="B3633" t="str">
        <f>"1551765421765622"</f>
        <v>1551765421765622</v>
      </c>
      <c r="C3633" t="s">
        <v>40</v>
      </c>
      <c r="D3633">
        <v>4.1315879999999998</v>
      </c>
      <c r="E3633">
        <v>0.39823459999999999</v>
      </c>
      <c r="F3633" t="s">
        <v>42</v>
      </c>
      <c r="G3633">
        <v>-405.32560000000001</v>
      </c>
      <c r="H3633">
        <v>7.9986619999999994E-2</v>
      </c>
      <c r="I3633">
        <v>48.213290000000001</v>
      </c>
      <c r="J3633">
        <v>-421.69299999999998</v>
      </c>
      <c r="K3633">
        <v>1.1100779999999999</v>
      </c>
      <c r="L3633">
        <v>71.308530000000005</v>
      </c>
      <c r="M3633">
        <v>5.703561E-2</v>
      </c>
      <c r="N3633">
        <v>-1.410263E-2</v>
      </c>
      <c r="O3633">
        <v>-0.99827259999999995</v>
      </c>
      <c r="P3633">
        <v>0.3403217</v>
      </c>
      <c r="Q3633">
        <v>-3.6806140000000001E-2</v>
      </c>
      <c r="R3633">
        <v>-0.93958869999999906</v>
      </c>
      <c r="S3633">
        <v>1.7786249999999999</v>
      </c>
      <c r="T3633">
        <v>-0.11177960000000001</v>
      </c>
      <c r="U3633">
        <v>-2.5472410000000001</v>
      </c>
      <c r="V3633">
        <v>-0.2861051</v>
      </c>
      <c r="W3633">
        <v>-2.4108669999999999E-2</v>
      </c>
      <c r="X3633">
        <v>0.95789489999999999</v>
      </c>
      <c r="Y3633">
        <v>-0.52448930000000005</v>
      </c>
      <c r="Z3633">
        <v>2.2633980000000001E-2</v>
      </c>
      <c r="AA3633">
        <v>0.85111610000000004</v>
      </c>
      <c r="AB3633">
        <v>41</v>
      </c>
      <c r="AC3633">
        <v>16.3674</v>
      </c>
      <c r="AD3633">
        <v>-1.03009138</v>
      </c>
      <c r="AE3633">
        <v>-23.09524</v>
      </c>
      <c r="AF3633">
        <v>-15.003500701154101</v>
      </c>
      <c r="AG3633">
        <v>-1.03009138</v>
      </c>
      <c r="AH3633">
        <v>23.9595261137727</v>
      </c>
      <c r="AI3633">
        <v>92.086836139049197</v>
      </c>
      <c r="AJ3633">
        <v>122.054876366792</v>
      </c>
      <c r="AK3633">
        <v>28.288248675682301</v>
      </c>
      <c r="AL3633">
        <v>91.381458889473194</v>
      </c>
      <c r="AM3633">
        <v>106.62989106679299</v>
      </c>
      <c r="AN3633">
        <v>0.99999999783059401</v>
      </c>
    </row>
    <row r="3634" spans="1:40" x14ac:dyDescent="0.25">
      <c r="A3634" t="str">
        <f>"20190305135701799"</f>
        <v>20190305135701799</v>
      </c>
      <c r="B3634" t="str">
        <f>"1551765421795878"</f>
        <v>1551765421795878</v>
      </c>
      <c r="C3634" t="s">
        <v>40</v>
      </c>
      <c r="D3634">
        <v>4.2714439999999998</v>
      </c>
      <c r="E3634">
        <v>0.39816499999999999</v>
      </c>
      <c r="F3634" t="s">
        <v>43</v>
      </c>
      <c r="G3634">
        <v>-402.72109999999998</v>
      </c>
      <c r="H3634">
        <v>-0.05</v>
      </c>
      <c r="I3634">
        <v>44.304079999999999</v>
      </c>
      <c r="J3634">
        <v>-421.6671</v>
      </c>
      <c r="K3634">
        <v>1.11016</v>
      </c>
      <c r="L3634">
        <v>70.875399999999999</v>
      </c>
      <c r="M3634">
        <v>5.8373460000000002E-2</v>
      </c>
      <c r="N3634">
        <v>-1.4135760000000001E-2</v>
      </c>
      <c r="O3634">
        <v>-0.99819469999999999</v>
      </c>
      <c r="P3634">
        <v>0.34429890000000002</v>
      </c>
      <c r="Q3634">
        <v>-3.5670540000000001E-2</v>
      </c>
      <c r="R3634">
        <v>-0.93818219999999997</v>
      </c>
      <c r="S3634">
        <v>1.7857670000000001</v>
      </c>
      <c r="T3634">
        <v>-0.10919429999999999</v>
      </c>
      <c r="U3634">
        <v>-2.5418400000000001</v>
      </c>
      <c r="V3634">
        <v>-0.28887479999999999</v>
      </c>
      <c r="W3634">
        <v>-2.2997940000000001E-2</v>
      </c>
      <c r="X3634">
        <v>0.95709060000000001</v>
      </c>
      <c r="Y3634">
        <v>-0.52581180000000005</v>
      </c>
      <c r="Z3634">
        <v>2.1781640000000001E-2</v>
      </c>
      <c r="AA3634">
        <v>0.85032199999999902</v>
      </c>
      <c r="AB3634">
        <v>41</v>
      </c>
      <c r="AC3634">
        <v>18.946000000000002</v>
      </c>
      <c r="AD3634">
        <v>-1.1601600000000001</v>
      </c>
      <c r="AE3634">
        <v>-26.57132</v>
      </c>
      <c r="AF3634">
        <v>-17.340556515103199</v>
      </c>
      <c r="AG3634">
        <v>-1.1601600000000001</v>
      </c>
      <c r="AH3634">
        <v>27.597177655080401</v>
      </c>
      <c r="AI3634">
        <v>92.038608303363802</v>
      </c>
      <c r="AJ3634">
        <v>122.14300673420399</v>
      </c>
      <c r="AK3634">
        <v>32.613572113541302</v>
      </c>
      <c r="AL3634">
        <v>91.317801100725305</v>
      </c>
      <c r="AM3634">
        <v>106.79517799685</v>
      </c>
      <c r="AN3634">
        <v>0.999999985963821</v>
      </c>
    </row>
    <row r="3635" spans="1:40" x14ac:dyDescent="0.25">
      <c r="A3635" t="str">
        <f>"20190305135701843"</f>
        <v>20190305135701843</v>
      </c>
      <c r="B3635" t="str">
        <f>"1551765421835893"</f>
        <v>1551765421835893</v>
      </c>
      <c r="C3635" t="s">
        <v>40</v>
      </c>
      <c r="D3635">
        <v>4.1267480000000001</v>
      </c>
      <c r="E3635">
        <v>0.39817469999999999</v>
      </c>
      <c r="F3635" t="s">
        <v>42</v>
      </c>
      <c r="G3635">
        <v>-405.1542</v>
      </c>
      <c r="H3635">
        <v>7.9986440000000006E-2</v>
      </c>
      <c r="I3635">
        <v>47.586320000000001</v>
      </c>
      <c r="J3635">
        <v>-421.61779999999999</v>
      </c>
      <c r="K3635">
        <v>1.1103499999999999</v>
      </c>
      <c r="L3635">
        <v>70.077060000000003</v>
      </c>
      <c r="M3635">
        <v>6.096153E-2</v>
      </c>
      <c r="N3635">
        <v>-1.418464E-2</v>
      </c>
      <c r="O3635">
        <v>-0.99803940000000002</v>
      </c>
      <c r="P3635">
        <v>0.35219430000000002</v>
      </c>
      <c r="Q3635">
        <v>-3.0424409999999999E-2</v>
      </c>
      <c r="R3635">
        <v>-0.9354325</v>
      </c>
      <c r="S3635">
        <v>1.7967529999999901</v>
      </c>
      <c r="T3635">
        <v>-0.112092</v>
      </c>
      <c r="U3635">
        <v>-2.5340579999999999</v>
      </c>
      <c r="V3635">
        <v>-0.29445139999999997</v>
      </c>
      <c r="W3635">
        <v>-1.783411E-2</v>
      </c>
      <c r="X3635">
        <v>0.95550000000000002</v>
      </c>
      <c r="Y3635">
        <v>-0.52727489999999999</v>
      </c>
      <c r="Z3635">
        <v>2.271571E-2</v>
      </c>
      <c r="AA3635">
        <v>0.84939109999999995</v>
      </c>
      <c r="AB3635">
        <v>41</v>
      </c>
      <c r="AC3635">
        <v>16.4635999999999</v>
      </c>
      <c r="AD3635">
        <v>-1.0303635599999901</v>
      </c>
      <c r="AE3635">
        <v>-22.490739999999999</v>
      </c>
      <c r="AF3635">
        <v>-15.0412111430823</v>
      </c>
      <c r="AG3635">
        <v>-1.0303635599999901</v>
      </c>
      <c r="AH3635">
        <v>23.420643125105698</v>
      </c>
      <c r="AI3635">
        <v>92.119971387085499</v>
      </c>
      <c r="AJ3635">
        <v>122.709398009509</v>
      </c>
      <c r="AK3635">
        <v>27.8536569611625</v>
      </c>
      <c r="AL3635">
        <v>91.021873442515499</v>
      </c>
      <c r="AM3635">
        <v>107.127452516148</v>
      </c>
      <c r="AN3635">
        <v>0.99999996622072496</v>
      </c>
    </row>
    <row r="3636" spans="1:40" x14ac:dyDescent="0.25">
      <c r="A3636" t="str">
        <f>"20190305135701866"</f>
        <v>20190305135701866</v>
      </c>
      <c r="B3636" t="str">
        <f>"1551765421856389"</f>
        <v>1551765421856389</v>
      </c>
      <c r="C3636" t="s">
        <v>40</v>
      </c>
      <c r="D3636">
        <v>4.1951689999999999</v>
      </c>
      <c r="E3636">
        <v>0.39822540000000001</v>
      </c>
      <c r="F3636" t="s">
        <v>43</v>
      </c>
      <c r="G3636">
        <v>-399.98099999999999</v>
      </c>
      <c r="H3636">
        <v>-0.05</v>
      </c>
      <c r="I3636">
        <v>40.083979999999997</v>
      </c>
      <c r="J3636">
        <v>-421.59109999999998</v>
      </c>
      <c r="K3636">
        <v>1.1104510000000001</v>
      </c>
      <c r="L3636">
        <v>69.659580000000005</v>
      </c>
      <c r="M3636">
        <v>6.2441919999999998E-2</v>
      </c>
      <c r="N3636">
        <v>-1.420619E-2</v>
      </c>
      <c r="O3636">
        <v>-0.99794729999999998</v>
      </c>
      <c r="P3636">
        <v>0.3555025</v>
      </c>
      <c r="Q3636">
        <v>-2.8117010000000001E-2</v>
      </c>
      <c r="R3636">
        <v>-0.93425250000000004</v>
      </c>
      <c r="S3636">
        <v>1.817596</v>
      </c>
      <c r="T3636">
        <v>-9.7474930000000001E-2</v>
      </c>
      <c r="U3636">
        <v>-2.5195620000000001</v>
      </c>
      <c r="V3636">
        <v>-0.29641339999999999</v>
      </c>
      <c r="W3636">
        <v>-1.5590130000000001E-2</v>
      </c>
      <c r="X3636">
        <v>0.95493249999999996</v>
      </c>
      <c r="Y3636">
        <v>-0.53301379999999998</v>
      </c>
      <c r="Z3636">
        <v>1.7946859999999999E-2</v>
      </c>
      <c r="AA3636">
        <v>0.84591620000000001</v>
      </c>
      <c r="AB3636">
        <v>41</v>
      </c>
      <c r="AC3636">
        <v>21.6100999999999</v>
      </c>
      <c r="AD3636">
        <v>-1.1604509999999999</v>
      </c>
      <c r="AE3636">
        <v>-29.575600000000001</v>
      </c>
      <c r="AF3636">
        <v>-19.701203868988699</v>
      </c>
      <c r="AG3636">
        <v>-1.1604509999999999</v>
      </c>
      <c r="AH3636">
        <v>30.836437210096499</v>
      </c>
      <c r="AI3636">
        <v>91.816393118548504</v>
      </c>
      <c r="AJ3636">
        <v>122.574250783388</v>
      </c>
      <c r="AK3636">
        <v>36.611063085126098</v>
      </c>
      <c r="AL3636">
        <v>90.893284823536604</v>
      </c>
      <c r="AM3636">
        <v>107.24447150352</v>
      </c>
      <c r="AN3636">
        <v>1.00000001770461</v>
      </c>
    </row>
    <row r="3637" spans="1:40" x14ac:dyDescent="0.25">
      <c r="A3637" t="str">
        <f>"20190305135701912"</f>
        <v>20190305135701912</v>
      </c>
      <c r="B3637" t="str">
        <f>"1551765421906165"</f>
        <v>1551765421906165</v>
      </c>
      <c r="C3637" t="s">
        <v>40</v>
      </c>
      <c r="D3637">
        <v>4.3977570000000004</v>
      </c>
      <c r="E3637">
        <v>0.48371550000000002</v>
      </c>
      <c r="F3637" t="s">
        <v>43</v>
      </c>
      <c r="G3637">
        <v>-398.34890000000001</v>
      </c>
      <c r="H3637">
        <v>-0.05</v>
      </c>
      <c r="I3637">
        <v>37.670279999999998</v>
      </c>
      <c r="J3637">
        <v>-421.53559999999999</v>
      </c>
      <c r="K3637">
        <v>1.110792</v>
      </c>
      <c r="L3637">
        <v>68.832949999999997</v>
      </c>
      <c r="M3637">
        <v>6.6066819999999998E-2</v>
      </c>
      <c r="N3637">
        <v>-1.4244130000000001E-2</v>
      </c>
      <c r="O3637">
        <v>-0.99771339999999997</v>
      </c>
      <c r="P3637">
        <v>0.35787529999999901</v>
      </c>
      <c r="Q3637">
        <v>-3.1100820000000001E-2</v>
      </c>
      <c r="R3637">
        <v>-0.93325130000000001</v>
      </c>
      <c r="S3637">
        <v>1.8262020000000001</v>
      </c>
      <c r="T3637">
        <v>-9.1179850000000007E-2</v>
      </c>
      <c r="U3637">
        <v>-2.5134889999999999</v>
      </c>
      <c r="V3637">
        <v>-0.29535060000000002</v>
      </c>
      <c r="W3637">
        <v>-1.879372E-2</v>
      </c>
      <c r="X3637">
        <v>0.9552041</v>
      </c>
      <c r="Y3637">
        <v>-0.53283459999999905</v>
      </c>
      <c r="Z3637">
        <v>1.5893440000000002E-2</v>
      </c>
      <c r="AA3637">
        <v>0.84607009999999905</v>
      </c>
      <c r="AB3637">
        <v>41</v>
      </c>
      <c r="AC3637">
        <v>23.186699999999899</v>
      </c>
      <c r="AD3637">
        <v>-1.160792</v>
      </c>
      <c r="AE3637">
        <v>-31.162669999999999</v>
      </c>
      <c r="AF3637">
        <v>-21.058196862182001</v>
      </c>
      <c r="AG3637">
        <v>-1.160792</v>
      </c>
      <c r="AH3637">
        <v>32.597486606473602</v>
      </c>
      <c r="AI3637">
        <v>91.7132816764979</v>
      </c>
      <c r="AJ3637">
        <v>122.86273352259499</v>
      </c>
      <c r="AK3637">
        <v>38.825136525360797</v>
      </c>
      <c r="AL3637">
        <v>91.076864207002302</v>
      </c>
      <c r="AM3637">
        <v>107.181690513592</v>
      </c>
      <c r="AN3637">
        <v>1.0000000267443001</v>
      </c>
    </row>
    <row r="3638" spans="1:40" x14ac:dyDescent="0.25">
      <c r="A3638" t="str">
        <f>"20190305135701954"</f>
        <v>20190305135701954</v>
      </c>
      <c r="B3638" t="str">
        <f>"1551765421946181"</f>
        <v>1551765421946181</v>
      </c>
      <c r="C3638" t="s">
        <v>40</v>
      </c>
      <c r="D3638">
        <v>4.3121169999999998</v>
      </c>
      <c r="E3638">
        <v>0.49796099999999999</v>
      </c>
      <c r="F3638" t="s">
        <v>42</v>
      </c>
      <c r="G3638">
        <v>-414.69850000000002</v>
      </c>
      <c r="H3638" s="1">
        <v>-2.5491080000000001E-6</v>
      </c>
      <c r="I3638">
        <v>52.993600000000001</v>
      </c>
      <c r="J3638">
        <v>-421.47730000000001</v>
      </c>
      <c r="K3638">
        <v>1.1112629999999999</v>
      </c>
      <c r="L3638">
        <v>68.026309999999995</v>
      </c>
      <c r="M3638">
        <v>7.0764270000000004E-2</v>
      </c>
      <c r="N3638">
        <v>-1.4283240000000001E-2</v>
      </c>
      <c r="O3638">
        <v>-0.99739109999999997</v>
      </c>
      <c r="P3638">
        <v>0.35837970000000002</v>
      </c>
      <c r="Q3638">
        <v>-3.7917989999999999E-2</v>
      </c>
      <c r="R3638">
        <v>-0.93280600000000002</v>
      </c>
      <c r="S3638">
        <v>1.1881409999999999</v>
      </c>
      <c r="T3638">
        <v>-0.1930298</v>
      </c>
      <c r="U3638">
        <v>-2.7525019999999998</v>
      </c>
      <c r="V3638">
        <v>-0.29132400000000003</v>
      </c>
      <c r="W3638">
        <v>-2.590166E-2</v>
      </c>
      <c r="X3638">
        <v>0.9562737</v>
      </c>
      <c r="Y3638">
        <v>-0.32965499999999998</v>
      </c>
      <c r="Z3638">
        <v>5.0812129999999997E-2</v>
      </c>
      <c r="AA3638">
        <v>0.94273309999999999</v>
      </c>
      <c r="AB3638">
        <v>41</v>
      </c>
      <c r="AC3638">
        <v>6.7787999999999897</v>
      </c>
      <c r="AD3638">
        <v>-1.1112655491079999</v>
      </c>
      <c r="AE3638">
        <v>-15.0327099999999</v>
      </c>
      <c r="AF3638">
        <v>-5.6721571350330597</v>
      </c>
      <c r="AG3638">
        <v>-1.1112655491079999</v>
      </c>
      <c r="AH3638">
        <v>15.404805524576201</v>
      </c>
      <c r="AI3638">
        <v>93.8727013591527</v>
      </c>
      <c r="AJ3638">
        <v>110.21405980014001</v>
      </c>
      <c r="AK3638">
        <v>16.453458935286399</v>
      </c>
      <c r="AL3638">
        <v>91.484221822650994</v>
      </c>
      <c r="AM3638">
        <v>106.94309506227501</v>
      </c>
      <c r="AN3638">
        <v>0.99999997913922201</v>
      </c>
    </row>
    <row r="3639" spans="1:40" x14ac:dyDescent="0.25">
      <c r="A3639" t="str">
        <f>"20190305135701976"</f>
        <v>20190305135701976</v>
      </c>
      <c r="B3639" t="str">
        <f>"1551765421965701"</f>
        <v>1551765421965701</v>
      </c>
      <c r="C3639" t="s">
        <v>40</v>
      </c>
      <c r="D3639">
        <v>4.3224220000000004</v>
      </c>
      <c r="E3639">
        <v>0.50037449999999895</v>
      </c>
      <c r="F3639" t="s">
        <v>42</v>
      </c>
      <c r="G3639">
        <v>-416.28269999999998</v>
      </c>
      <c r="H3639" s="1">
        <v>-2.803417E-6</v>
      </c>
      <c r="I3639">
        <v>54.630569999999999</v>
      </c>
      <c r="J3639">
        <v>-421.44740000000002</v>
      </c>
      <c r="K3639">
        <v>1.1115299999999999</v>
      </c>
      <c r="L3639">
        <v>67.638980000000004</v>
      </c>
      <c r="M3639">
        <v>7.3461589999999993E-2</v>
      </c>
      <c r="N3639">
        <v>-1.4299569999999999E-2</v>
      </c>
      <c r="O3639">
        <v>-0.99719570000000002</v>
      </c>
      <c r="P3639">
        <v>0.35780689999999998</v>
      </c>
      <c r="Q3639">
        <v>-4.0652769999999998E-2</v>
      </c>
      <c r="R3639">
        <v>-0.93291089999999999</v>
      </c>
      <c r="S3639">
        <v>1.0822449999999999</v>
      </c>
      <c r="T3639">
        <v>-0.23152329999999999</v>
      </c>
      <c r="U3639">
        <v>-2.7908940000000002</v>
      </c>
      <c r="V3639">
        <v>-0.28812470000000001</v>
      </c>
      <c r="W3639">
        <v>-2.8775269999999999E-2</v>
      </c>
      <c r="X3639">
        <v>0.95716049999999997</v>
      </c>
      <c r="Y3639">
        <v>-0.29115340000000001</v>
      </c>
      <c r="Z3639">
        <v>6.3681920000000003E-2</v>
      </c>
      <c r="AA3639">
        <v>0.95455449999999997</v>
      </c>
      <c r="AB3639">
        <v>41</v>
      </c>
      <c r="AC3639">
        <v>5.16470000000003</v>
      </c>
      <c r="AD3639">
        <v>-1.111532803417</v>
      </c>
      <c r="AE3639">
        <v>-13.00841</v>
      </c>
      <c r="AF3639">
        <v>-4.1687339435795296</v>
      </c>
      <c r="AG3639">
        <v>-1.111532803417</v>
      </c>
      <c r="AH3639">
        <v>13.2690122425259</v>
      </c>
      <c r="AI3639">
        <v>94.569241231177003</v>
      </c>
      <c r="AJ3639">
        <v>107.441187172924</v>
      </c>
      <c r="AK3639">
        <v>13.9527966285518</v>
      </c>
      <c r="AL3639">
        <v>91.648929068064902</v>
      </c>
      <c r="AM3639">
        <v>106.75285892276899</v>
      </c>
      <c r="AN3639">
        <v>1.00000004083695</v>
      </c>
    </row>
    <row r="3640" spans="1:40" x14ac:dyDescent="0.25">
      <c r="A3640" t="str">
        <f>"20190305135701998"</f>
        <v>20190305135701998</v>
      </c>
      <c r="B3640" t="str">
        <f>"1551765421986198"</f>
        <v>1551765421986198</v>
      </c>
      <c r="C3640" t="s">
        <v>40</v>
      </c>
      <c r="D3640">
        <v>4.3414239999999999</v>
      </c>
      <c r="E3640">
        <v>0.50198140000000002</v>
      </c>
      <c r="F3640" t="s">
        <v>42</v>
      </c>
      <c r="G3640">
        <v>-416.57400000000001</v>
      </c>
      <c r="H3640" s="1">
        <v>-2.823602E-6</v>
      </c>
      <c r="I3640">
        <v>54.79806</v>
      </c>
      <c r="J3640">
        <v>-421.41489999999999</v>
      </c>
      <c r="K3640">
        <v>1.1118349999999999</v>
      </c>
      <c r="L3640">
        <v>67.232299999999995</v>
      </c>
      <c r="M3640">
        <v>7.6634320000000006E-2</v>
      </c>
      <c r="N3640">
        <v>-1.4317160000000001E-2</v>
      </c>
      <c r="O3640">
        <v>-0.99695650000000002</v>
      </c>
      <c r="P3640">
        <v>0.35646470000000002</v>
      </c>
      <c r="Q3640">
        <v>-4.1726659999999999E-2</v>
      </c>
      <c r="R3640">
        <v>-0.9333766</v>
      </c>
      <c r="S3640">
        <v>1.06189</v>
      </c>
      <c r="T3640">
        <v>-0.24219499999999999</v>
      </c>
      <c r="U3640">
        <v>-2.7979430000000001</v>
      </c>
      <c r="V3640">
        <v>-0.28367799999999999</v>
      </c>
      <c r="W3640">
        <v>-2.9986430000000001E-2</v>
      </c>
      <c r="X3640">
        <v>0.95845060000000004</v>
      </c>
      <c r="Y3640">
        <v>-0.28114440000000002</v>
      </c>
      <c r="Z3640">
        <v>6.7238759999999995E-2</v>
      </c>
      <c r="AA3640">
        <v>0.95730700000000002</v>
      </c>
      <c r="AB3640">
        <v>41</v>
      </c>
      <c r="AC3640">
        <v>4.8408999999999702</v>
      </c>
      <c r="AD3640">
        <v>-1.1118378236019999</v>
      </c>
      <c r="AE3640">
        <v>-12.4342399999999</v>
      </c>
      <c r="AF3640">
        <v>-3.8469642146868201</v>
      </c>
      <c r="AG3640">
        <v>-1.1118378236019999</v>
      </c>
      <c r="AH3640">
        <v>12.680640732086401</v>
      </c>
      <c r="AI3640">
        <v>94.796103362999602</v>
      </c>
      <c r="AJ3640">
        <v>106.876381553697</v>
      </c>
      <c r="AK3640">
        <v>13.2978933065099</v>
      </c>
      <c r="AL3640">
        <v>91.718353513339494</v>
      </c>
      <c r="AM3640">
        <v>106.48746877397301</v>
      </c>
      <c r="AN3640">
        <v>0.99999997315425204</v>
      </c>
    </row>
    <row r="3641" spans="1:40" x14ac:dyDescent="0.25">
      <c r="A3641" t="str">
        <f>"20190305135702021"</f>
        <v>20190305135702021</v>
      </c>
      <c r="B3641" t="str">
        <f>"1551765422015478"</f>
        <v>1551765422015478</v>
      </c>
      <c r="C3641" t="s">
        <v>40</v>
      </c>
      <c r="D3641">
        <v>4.3318839999999996</v>
      </c>
      <c r="E3641">
        <v>0.50328839999999997</v>
      </c>
      <c r="F3641" t="s">
        <v>42</v>
      </c>
      <c r="G3641">
        <v>-416.67439999999999</v>
      </c>
      <c r="H3641" s="1">
        <v>-2.688839E-6</v>
      </c>
      <c r="I3641">
        <v>54.525440000000003</v>
      </c>
      <c r="J3641">
        <v>-421.3809</v>
      </c>
      <c r="K3641">
        <v>1.1121760000000001</v>
      </c>
      <c r="L3641">
        <v>66.828459999999893</v>
      </c>
      <c r="M3641">
        <v>8.0145980000000006E-2</v>
      </c>
      <c r="N3641">
        <v>-1.4335489999999999E-2</v>
      </c>
      <c r="O3641">
        <v>-0.99668009999999996</v>
      </c>
      <c r="P3641">
        <v>0.35504170000000002</v>
      </c>
      <c r="Q3641">
        <v>-3.8972119999999999E-2</v>
      </c>
      <c r="R3641">
        <v>-0.93403760000000002</v>
      </c>
      <c r="S3641">
        <v>1.0459590000000001</v>
      </c>
      <c r="T3641">
        <v>-0.24532190000000001</v>
      </c>
      <c r="U3641">
        <v>-2.8037109999999998</v>
      </c>
      <c r="V3641">
        <v>-0.27882889999999999</v>
      </c>
      <c r="W3641">
        <v>-2.7369359999999999E-2</v>
      </c>
      <c r="X3641">
        <v>0.95995070000000005</v>
      </c>
      <c r="Y3641">
        <v>-0.27231260000000002</v>
      </c>
      <c r="Z3641">
        <v>6.8264279999999997E-2</v>
      </c>
      <c r="AA3641">
        <v>0.95978430000000003</v>
      </c>
      <c r="AB3641">
        <v>41</v>
      </c>
      <c r="AC3641">
        <v>4.7065000000000001</v>
      </c>
      <c r="AD3641">
        <v>-1.112178688839</v>
      </c>
      <c r="AE3641">
        <v>-12.303019999999901</v>
      </c>
      <c r="AF3641">
        <v>-3.67899137549741</v>
      </c>
      <c r="AG3641">
        <v>-1.112178688839</v>
      </c>
      <c r="AH3641">
        <v>12.551206600752099</v>
      </c>
      <c r="AI3641">
        <v>94.860373272497796</v>
      </c>
      <c r="AJ3641">
        <v>106.336839260294</v>
      </c>
      <c r="AK3641">
        <v>13.126488719823501</v>
      </c>
      <c r="AL3641">
        <v>91.568344673366695</v>
      </c>
      <c r="AM3641">
        <v>106.196556638484</v>
      </c>
      <c r="AN3641">
        <v>0.99999999188625399</v>
      </c>
    </row>
    <row r="3642" spans="1:40" x14ac:dyDescent="0.25">
      <c r="A3642" t="str">
        <f>"20190305135702044"</f>
        <v>20190305135702044</v>
      </c>
      <c r="B3642" t="str">
        <f>"1551765422035977"</f>
        <v>1551765422035977</v>
      </c>
      <c r="C3642" t="s">
        <v>40</v>
      </c>
      <c r="D3642">
        <v>4.3318599999999998</v>
      </c>
      <c r="E3642">
        <v>0.50393619999999995</v>
      </c>
      <c r="F3642" t="s">
        <v>42</v>
      </c>
      <c r="G3642">
        <v>-416.5806</v>
      </c>
      <c r="H3642" s="1">
        <v>-2.3765060000000002E-6</v>
      </c>
      <c r="I3642">
        <v>53.758609999999997</v>
      </c>
      <c r="J3642">
        <v>-421.34300000000002</v>
      </c>
      <c r="K3642">
        <v>1.112554</v>
      </c>
      <c r="L3642">
        <v>66.399929999999998</v>
      </c>
      <c r="M3642">
        <v>8.4237989999999999E-2</v>
      </c>
      <c r="N3642">
        <v>-1.435608E-2</v>
      </c>
      <c r="O3642">
        <v>-0.99634230000000001</v>
      </c>
      <c r="P3642">
        <v>0.35430119999999998</v>
      </c>
      <c r="Q3642">
        <v>-3.3882660000000002E-2</v>
      </c>
      <c r="R3642">
        <v>-0.93451759999999995</v>
      </c>
      <c r="S3642">
        <v>1.0319210000000001</v>
      </c>
      <c r="T3642">
        <v>-0.2390853</v>
      </c>
      <c r="U3642">
        <v>-2.809631</v>
      </c>
      <c r="V3642">
        <v>-0.27412989999999998</v>
      </c>
      <c r="W3642">
        <v>-2.2430149999999999E-2</v>
      </c>
      <c r="X3642">
        <v>0.96143109999999998</v>
      </c>
      <c r="Y3642">
        <v>-0.263528599999999</v>
      </c>
      <c r="Z3642">
        <v>6.6138009999999997E-2</v>
      </c>
      <c r="AA3642">
        <v>0.96238170000000001</v>
      </c>
      <c r="AB3642">
        <v>41</v>
      </c>
      <c r="AC3642">
        <v>4.7624000000000102</v>
      </c>
      <c r="AD3642">
        <v>-1.112556376506</v>
      </c>
      <c r="AE3642">
        <v>-12.64132</v>
      </c>
      <c r="AF3642">
        <v>-3.6556838225114801</v>
      </c>
      <c r="AG3642">
        <v>-1.112556376506</v>
      </c>
      <c r="AH3642">
        <v>12.910027079036899</v>
      </c>
      <c r="AI3642">
        <v>94.739979495901494</v>
      </c>
      <c r="AJ3642">
        <v>105.81033124647</v>
      </c>
      <c r="AK3642">
        <v>13.4636772496426</v>
      </c>
      <c r="AL3642">
        <v>91.285260668411894</v>
      </c>
      <c r="AM3642">
        <v>105.91427803483801</v>
      </c>
      <c r="AN3642">
        <v>1.0000000368751201</v>
      </c>
    </row>
    <row r="3643" spans="1:40" x14ac:dyDescent="0.25">
      <c r="A3643" t="str">
        <f>"20190305135702066"</f>
        <v>20190305135702066</v>
      </c>
      <c r="B3643" t="str">
        <f>"1551765422055493"</f>
        <v>1551765422055493</v>
      </c>
      <c r="C3643" t="s">
        <v>40</v>
      </c>
      <c r="D3643">
        <v>4.2968989999999998</v>
      </c>
      <c r="E3643">
        <v>0.50448720000000002</v>
      </c>
      <c r="F3643" t="s">
        <v>42</v>
      </c>
      <c r="G3643">
        <v>-416.21699999999998</v>
      </c>
      <c r="H3643" s="1">
        <v>-1.9210829999999999E-6</v>
      </c>
      <c r="I3643">
        <v>52.335410000000003</v>
      </c>
      <c r="J3643">
        <v>-421.30610000000001</v>
      </c>
      <c r="K3643">
        <v>1.1128929999999999</v>
      </c>
      <c r="L3643">
        <v>66.001800000000003</v>
      </c>
      <c r="M3643">
        <v>8.834583E-2</v>
      </c>
      <c r="N3643">
        <v>-1.437484E-2</v>
      </c>
      <c r="O3643">
        <v>-0.99598629999999999</v>
      </c>
      <c r="P3643">
        <v>0.3532283</v>
      </c>
      <c r="Q3643">
        <v>-2.9322020000000001E-2</v>
      </c>
      <c r="R3643">
        <v>-0.93507799999999996</v>
      </c>
      <c r="S3643">
        <v>1.0253909999999999</v>
      </c>
      <c r="T3643">
        <v>-0.2225492</v>
      </c>
      <c r="U3643">
        <v>-2.8133849999999998</v>
      </c>
      <c r="V3643">
        <v>-0.26907199999999998</v>
      </c>
      <c r="W3643">
        <v>-1.799079E-2</v>
      </c>
      <c r="X3643">
        <v>0.96295200000000003</v>
      </c>
      <c r="Y3643">
        <v>-0.25729439999999998</v>
      </c>
      <c r="Z3643">
        <v>6.0565460000000002E-2</v>
      </c>
      <c r="AA3643">
        <v>0.96443319999999999</v>
      </c>
      <c r="AB3643">
        <v>41</v>
      </c>
      <c r="AC3643">
        <v>5.0891000000000304</v>
      </c>
      <c r="AD3643">
        <v>-1.1128949210829999</v>
      </c>
      <c r="AE3643">
        <v>-13.66639</v>
      </c>
      <c r="AF3643">
        <v>-3.83934423842835</v>
      </c>
      <c r="AG3643">
        <v>-1.1128949210829999</v>
      </c>
      <c r="AH3643">
        <v>13.981165618431801</v>
      </c>
      <c r="AI3643">
        <v>94.389304176953502</v>
      </c>
      <c r="AJ3643">
        <v>105.355384749457</v>
      </c>
      <c r="AK3643">
        <v>14.541392345183001</v>
      </c>
      <c r="AL3643">
        <v>91.030851969812502</v>
      </c>
      <c r="AM3643">
        <v>105.611644334136</v>
      </c>
      <c r="AN3643">
        <v>0.99999998200641105</v>
      </c>
    </row>
    <row r="3644" spans="1:40" x14ac:dyDescent="0.25">
      <c r="A3644" t="str">
        <f>"20190305135702086"</f>
        <v>20190305135702086</v>
      </c>
      <c r="B3644" t="str">
        <f>"1551765422075990"</f>
        <v>1551765422075990</v>
      </c>
      <c r="C3644" t="s">
        <v>40</v>
      </c>
      <c r="D3644">
        <v>4.3123870000000002</v>
      </c>
      <c r="E3644">
        <v>0.50490619999999997</v>
      </c>
      <c r="F3644" t="s">
        <v>42</v>
      </c>
      <c r="G3644">
        <v>-415.76400000000001</v>
      </c>
      <c r="H3644" s="1">
        <v>-1.476247E-6</v>
      </c>
      <c r="I3644">
        <v>50.674100000000003</v>
      </c>
      <c r="J3644">
        <v>-421.2688</v>
      </c>
      <c r="K3644">
        <v>1.113186</v>
      </c>
      <c r="L3644">
        <v>65.619630000000001</v>
      </c>
      <c r="M3644">
        <v>9.2535080000000006E-2</v>
      </c>
      <c r="N3644">
        <v>-1.439118E-2</v>
      </c>
      <c r="O3644">
        <v>-0.99560550000000003</v>
      </c>
      <c r="P3644">
        <v>0.35276259999999998</v>
      </c>
      <c r="Q3644">
        <v>-2.7328109999999999E-2</v>
      </c>
      <c r="R3644">
        <v>-0.93531410000000004</v>
      </c>
      <c r="S3644">
        <v>1.0185850000000001</v>
      </c>
      <c r="T3644">
        <v>-0.2045411</v>
      </c>
      <c r="U3644">
        <v>-2.8171080000000002</v>
      </c>
      <c r="V3644">
        <v>-0.26454240000000001</v>
      </c>
      <c r="W3644">
        <v>-1.6101770000000001E-2</v>
      </c>
      <c r="X3644">
        <v>0.96423970000000003</v>
      </c>
      <c r="Y3644">
        <v>-0.250888</v>
      </c>
      <c r="Z3644">
        <v>5.4501710000000002E-2</v>
      </c>
      <c r="AA3644">
        <v>0.96648060000000002</v>
      </c>
      <c r="AB3644">
        <v>41</v>
      </c>
      <c r="AC3644">
        <v>5.5047999999999799</v>
      </c>
      <c r="AD3644">
        <v>-1.113187476247</v>
      </c>
      <c r="AE3644">
        <v>-14.9455299999999</v>
      </c>
      <c r="AF3644">
        <v>-4.07812575739056</v>
      </c>
      <c r="AG3644">
        <v>-1.113187476247</v>
      </c>
      <c r="AH3644">
        <v>15.316012872991699</v>
      </c>
      <c r="AI3644">
        <v>94.017526280404695</v>
      </c>
      <c r="AJ3644">
        <v>104.909955625929</v>
      </c>
      <c r="AK3644">
        <v>15.888692406111099</v>
      </c>
      <c r="AL3644">
        <v>90.922603265359996</v>
      </c>
      <c r="AM3644">
        <v>105.341800621365</v>
      </c>
      <c r="AN3644">
        <v>1.0000000737254799</v>
      </c>
    </row>
    <row r="3645" spans="1:40" x14ac:dyDescent="0.25">
      <c r="A3645" t="str">
        <f>"20190305135702111"</f>
        <v>20190305135702111</v>
      </c>
      <c r="B3645" t="str">
        <f>"1551765422106245"</f>
        <v>1551765422106245</v>
      </c>
      <c r="C3645" t="s">
        <v>40</v>
      </c>
      <c r="D3645">
        <v>4.3083710000000002</v>
      </c>
      <c r="E3645">
        <v>0.50497420000000004</v>
      </c>
      <c r="F3645" t="s">
        <v>42</v>
      </c>
      <c r="G3645">
        <v>-415.49180000000001</v>
      </c>
      <c r="H3645" s="1">
        <v>-5.060581E-6</v>
      </c>
      <c r="I3645">
        <v>49.565049999999999</v>
      </c>
      <c r="J3645">
        <v>-421.22579999999999</v>
      </c>
      <c r="K3645">
        <v>1.113451</v>
      </c>
      <c r="L3645">
        <v>65.200130000000001</v>
      </c>
      <c r="M3645">
        <v>9.736069E-2</v>
      </c>
      <c r="N3645">
        <v>-1.440661E-2</v>
      </c>
      <c r="O3645">
        <v>-0.9951451</v>
      </c>
      <c r="P3645">
        <v>0.35318460000000002</v>
      </c>
      <c r="Q3645">
        <v>-2.780092E-2</v>
      </c>
      <c r="R3645">
        <v>-0.93514070000000005</v>
      </c>
      <c r="S3645">
        <v>1.014435</v>
      </c>
      <c r="T3645">
        <v>-0.19547629999999999</v>
      </c>
      <c r="U3645">
        <v>-2.8191830000000002</v>
      </c>
      <c r="V3645">
        <v>-0.2602875</v>
      </c>
      <c r="W3645">
        <v>-1.6676469999999999E-2</v>
      </c>
      <c r="X3645">
        <v>0.96538710000000005</v>
      </c>
      <c r="Y3645">
        <v>-0.2447674</v>
      </c>
      <c r="Z3645">
        <v>5.1444160000000003E-2</v>
      </c>
      <c r="AA3645">
        <v>0.96821610000000002</v>
      </c>
      <c r="AB3645">
        <v>41</v>
      </c>
      <c r="AC3645">
        <v>5.7339999999999796</v>
      </c>
      <c r="AD3645">
        <v>-1.113456060581</v>
      </c>
      <c r="AE3645">
        <v>-15.63508</v>
      </c>
      <c r="AF3645">
        <v>-4.1657308849577603</v>
      </c>
      <c r="AG3645">
        <v>-1.113456060581</v>
      </c>
      <c r="AH3645">
        <v>16.047371382558001</v>
      </c>
      <c r="AI3645">
        <v>93.842193461476697</v>
      </c>
      <c r="AJ3645">
        <v>104.55218927612199</v>
      </c>
      <c r="AK3645">
        <v>16.616594912751498</v>
      </c>
      <c r="AL3645">
        <v>90.955535670079598</v>
      </c>
      <c r="AM3645">
        <v>105.08927074803699</v>
      </c>
      <c r="AN3645">
        <v>0.99999997007716002</v>
      </c>
    </row>
    <row r="3646" spans="1:40" x14ac:dyDescent="0.25">
      <c r="A3646" t="str">
        <f>"20190305135702156"</f>
        <v>20190305135702156</v>
      </c>
      <c r="B3646" t="str">
        <f>"1551765422146261"</f>
        <v>1551765422146261</v>
      </c>
      <c r="C3646" t="s">
        <v>40</v>
      </c>
      <c r="D3646">
        <v>4.2867759999999997</v>
      </c>
      <c r="E3646">
        <v>0.50447370000000002</v>
      </c>
      <c r="F3646" t="s">
        <v>42</v>
      </c>
      <c r="G3646">
        <v>-415.39580000000001</v>
      </c>
      <c r="H3646" s="1">
        <v>-4.84240599999999E-6</v>
      </c>
      <c r="I3646">
        <v>49.016750000000002</v>
      </c>
      <c r="J3646">
        <v>-421.13569999999999</v>
      </c>
      <c r="K3646">
        <v>1.113828</v>
      </c>
      <c r="L3646">
        <v>64.384119999999996</v>
      </c>
      <c r="M3646">
        <v>0.1072456</v>
      </c>
      <c r="N3646">
        <v>-1.4428420000000001E-2</v>
      </c>
      <c r="O3646">
        <v>-0.99412789999999995</v>
      </c>
      <c r="P3646">
        <v>0.35719869999999998</v>
      </c>
      <c r="Q3646">
        <v>-3.3123699999999999E-2</v>
      </c>
      <c r="R3646">
        <v>-0.93344130000000003</v>
      </c>
      <c r="S3646">
        <v>1.0154719999999999</v>
      </c>
      <c r="T3646">
        <v>-0.19393920000000001</v>
      </c>
      <c r="U3646">
        <v>-2.8187869999999999</v>
      </c>
      <c r="V3646">
        <v>-0.25477830000000001</v>
      </c>
      <c r="W3646">
        <v>-2.2157630000000001E-2</v>
      </c>
      <c r="X3646">
        <v>0.96674559999999998</v>
      </c>
      <c r="Y3646">
        <v>-0.23549519999999999</v>
      </c>
      <c r="Z3646">
        <v>5.0914269999999998E-2</v>
      </c>
      <c r="AA3646">
        <v>0.97054090000000004</v>
      </c>
      <c r="AB3646">
        <v>41</v>
      </c>
      <c r="AC3646">
        <v>5.7398999999999702</v>
      </c>
      <c r="AD3646">
        <v>-1.113832842406</v>
      </c>
      <c r="AE3646">
        <v>-15.3673699999999</v>
      </c>
      <c r="AF3646">
        <v>-4.0399093309950702</v>
      </c>
      <c r="AG3646">
        <v>-1.113832842406</v>
      </c>
      <c r="AH3646">
        <v>15.8214238272532</v>
      </c>
      <c r="AI3646">
        <v>93.902196703904096</v>
      </c>
      <c r="AJ3646">
        <v>104.324069222082</v>
      </c>
      <c r="AK3646">
        <v>16.367007757224901</v>
      </c>
      <c r="AL3646">
        <v>91.269642589581807</v>
      </c>
      <c r="AM3646">
        <v>104.764155943326</v>
      </c>
      <c r="AN3646">
        <v>0.99999999891873304</v>
      </c>
    </row>
    <row r="3647" spans="1:40" x14ac:dyDescent="0.25">
      <c r="A3647" t="str">
        <f>"20190305135702176"</f>
        <v>20190305135702176</v>
      </c>
      <c r="B3647" t="str">
        <f>"1551765422165782"</f>
        <v>1551765422165782</v>
      </c>
      <c r="C3647" t="s">
        <v>40</v>
      </c>
      <c r="D3647">
        <v>4.2841319999999996</v>
      </c>
      <c r="E3647">
        <v>0.50448040000000005</v>
      </c>
      <c r="F3647" t="s">
        <v>42</v>
      </c>
      <c r="G3647">
        <v>-415.71510000000001</v>
      </c>
      <c r="H3647" s="1">
        <v>-5.0358250000000002E-6</v>
      </c>
      <c r="I3647">
        <v>49.599679999999999</v>
      </c>
      <c r="J3647">
        <v>-421.09129999999999</v>
      </c>
      <c r="K3647">
        <v>1.1139619999999999</v>
      </c>
      <c r="L3647">
        <v>64.007170000000002</v>
      </c>
      <c r="M3647">
        <v>0.1119388</v>
      </c>
      <c r="N3647">
        <v>-1.44352E-2</v>
      </c>
      <c r="O3647">
        <v>-0.99361029999999995</v>
      </c>
      <c r="P3647">
        <v>0.35975649999999998</v>
      </c>
      <c r="Q3647">
        <v>-3.4323020000000003E-2</v>
      </c>
      <c r="R3647">
        <v>-0.93241470000000004</v>
      </c>
      <c r="S3647">
        <v>1.030945</v>
      </c>
      <c r="T3647">
        <v>-0.21184040000000001</v>
      </c>
      <c r="U3647">
        <v>-2.8118590000000001</v>
      </c>
      <c r="V3647">
        <v>-0.25284689999999999</v>
      </c>
      <c r="W3647">
        <v>-2.3409200000000002E-2</v>
      </c>
      <c r="X3647">
        <v>0.96722300000000005</v>
      </c>
      <c r="Y3647">
        <v>-0.2362619</v>
      </c>
      <c r="Z3647">
        <v>5.6940369999999997E-2</v>
      </c>
      <c r="AA3647">
        <v>0.97001959999999998</v>
      </c>
      <c r="AB3647">
        <v>41</v>
      </c>
      <c r="AC3647">
        <v>5.3761999999999803</v>
      </c>
      <c r="AD3647">
        <v>-1.113967035825</v>
      </c>
      <c r="AE3647">
        <v>-14.407489999999999</v>
      </c>
      <c r="AF3647">
        <v>-3.7100107140680798</v>
      </c>
      <c r="AG3647">
        <v>-1.113967035825</v>
      </c>
      <c r="AH3647">
        <v>14.840912011098901</v>
      </c>
      <c r="AI3647">
        <v>94.164909042773004</v>
      </c>
      <c r="AJ3647">
        <v>104.03545393225799</v>
      </c>
      <c r="AK3647">
        <v>15.338114987721999</v>
      </c>
      <c r="AL3647">
        <v>91.341370972953797</v>
      </c>
      <c r="AM3647">
        <v>104.650146582616</v>
      </c>
      <c r="AN3647">
        <v>0.99999993860662295</v>
      </c>
    </row>
    <row r="3648" spans="1:40" x14ac:dyDescent="0.25">
      <c r="A3648" t="str">
        <f>"20190305135702199"</f>
        <v>20190305135702199</v>
      </c>
      <c r="B3648" t="str">
        <f>"1551765422196037"</f>
        <v>1551765422196037</v>
      </c>
      <c r="C3648" t="s">
        <v>40</v>
      </c>
      <c r="D3648">
        <v>4.2186149999999998</v>
      </c>
      <c r="E3648">
        <v>0.50428509999999904</v>
      </c>
      <c r="F3648" t="s">
        <v>42</v>
      </c>
      <c r="G3648">
        <v>-415.755</v>
      </c>
      <c r="H3648" s="1">
        <v>-5.0142180000000003E-6</v>
      </c>
      <c r="I3648">
        <v>49.565800000000003</v>
      </c>
      <c r="J3648">
        <v>-421.04160000000002</v>
      </c>
      <c r="K3648">
        <v>1.1140829999999999</v>
      </c>
      <c r="L3648">
        <v>63.602330000000002</v>
      </c>
      <c r="M3648">
        <v>0.1170267</v>
      </c>
      <c r="N3648">
        <v>-1.444088E-2</v>
      </c>
      <c r="O3648">
        <v>-0.99302389999999996</v>
      </c>
      <c r="P3648">
        <v>0.36278630000000001</v>
      </c>
      <c r="Q3648">
        <v>-3.4473219999999999E-2</v>
      </c>
      <c r="R3648">
        <v>-0.93123469999999997</v>
      </c>
      <c r="S3648">
        <v>1.0379640000000001</v>
      </c>
      <c r="T3648">
        <v>-0.2166775</v>
      </c>
      <c r="U3648">
        <v>-2.8089900000000001</v>
      </c>
      <c r="V3648">
        <v>-0.25102999999999998</v>
      </c>
      <c r="W3648">
        <v>-2.3602120000000001E-2</v>
      </c>
      <c r="X3648">
        <v>0.96769150000000004</v>
      </c>
      <c r="Y3648">
        <v>-0.2337053</v>
      </c>
      <c r="Z3648">
        <v>5.8562669999999997E-2</v>
      </c>
      <c r="AA3648">
        <v>0.97054229999999997</v>
      </c>
      <c r="AB3648">
        <v>41</v>
      </c>
      <c r="AC3648">
        <v>5.2866000000000204</v>
      </c>
      <c r="AD3648">
        <v>-1.1140880142180001</v>
      </c>
      <c r="AE3648">
        <v>-14.036530000000001</v>
      </c>
      <c r="AF3648">
        <v>-3.5876536716315401</v>
      </c>
      <c r="AG3648">
        <v>-1.1140880142180001</v>
      </c>
      <c r="AH3648">
        <v>14.478917920268399</v>
      </c>
      <c r="AI3648">
        <v>94.271313812613798</v>
      </c>
      <c r="AJ3648">
        <v>103.916717847396</v>
      </c>
      <c r="AK3648">
        <v>14.9583259462035</v>
      </c>
      <c r="AL3648">
        <v>91.352427474231305</v>
      </c>
      <c r="AM3648">
        <v>104.542611313995</v>
      </c>
      <c r="AN3648">
        <v>0.99999998007037205</v>
      </c>
    </row>
    <row r="3649" spans="1:40" x14ac:dyDescent="0.25">
      <c r="A3649" t="str">
        <f>"20190305135702221"</f>
        <v>20190305135702221</v>
      </c>
      <c r="B3649" t="str">
        <f>"1551765422216081"</f>
        <v>1551765422216081</v>
      </c>
      <c r="C3649" t="s">
        <v>40</v>
      </c>
      <c r="D3649">
        <v>4.1835800000000001</v>
      </c>
      <c r="E3649">
        <v>0.504254599999999</v>
      </c>
      <c r="F3649" t="s">
        <v>42</v>
      </c>
      <c r="G3649">
        <v>-415.47309999999999</v>
      </c>
      <c r="H3649" s="1">
        <v>-4.7007919999999997E-6</v>
      </c>
      <c r="I3649">
        <v>48.718640000000001</v>
      </c>
      <c r="J3649">
        <v>-420.98880000000003</v>
      </c>
      <c r="K3649">
        <v>1.1141840000000001</v>
      </c>
      <c r="L3649">
        <v>63.190579999999997</v>
      </c>
      <c r="M3649">
        <v>0.1222212</v>
      </c>
      <c r="N3649">
        <v>-1.444528E-2</v>
      </c>
      <c r="O3649">
        <v>-0.99239790000000005</v>
      </c>
      <c r="P3649">
        <v>0.36558760000000001</v>
      </c>
      <c r="Q3649">
        <v>-3.4288930000000002E-2</v>
      </c>
      <c r="R3649">
        <v>-0.93014540000000001</v>
      </c>
      <c r="S3649">
        <v>1.0494079999999999</v>
      </c>
      <c r="T3649">
        <v>-0.20995749999999999</v>
      </c>
      <c r="U3649">
        <v>-2.804932</v>
      </c>
      <c r="V3649">
        <v>-0.2488755</v>
      </c>
      <c r="W3649">
        <v>-2.344096E-2</v>
      </c>
      <c r="X3649">
        <v>0.9682518</v>
      </c>
      <c r="Y3649">
        <v>-0.23260230000000001</v>
      </c>
      <c r="Z3649">
        <v>5.6320490000000001E-2</v>
      </c>
      <c r="AA3649">
        <v>0.97093980000000002</v>
      </c>
      <c r="AB3649">
        <v>41</v>
      </c>
      <c r="AC3649">
        <v>5.51570000000003</v>
      </c>
      <c r="AD3649">
        <v>-1.1141887007919999</v>
      </c>
      <c r="AE3649">
        <v>-14.47194</v>
      </c>
      <c r="AF3649">
        <v>-3.6862985571508098</v>
      </c>
      <c r="AG3649">
        <v>-1.1141887007919999</v>
      </c>
      <c r="AH3649">
        <v>14.960197421835399</v>
      </c>
      <c r="AI3649">
        <v>94.136081587715296</v>
      </c>
      <c r="AJ3649">
        <v>103.84233046388201</v>
      </c>
      <c r="AK3649">
        <v>15.447903431006999</v>
      </c>
      <c r="AL3649">
        <v>91.343191076272106</v>
      </c>
      <c r="AM3649">
        <v>104.41502637330601</v>
      </c>
      <c r="AN3649">
        <v>1.0000000206546</v>
      </c>
    </row>
    <row r="3650" spans="1:40" x14ac:dyDescent="0.25">
      <c r="A3650" t="str">
        <f>"20190305135702245"</f>
        <v>20190305135702245</v>
      </c>
      <c r="B3650" t="str">
        <f>"1551765422235601"</f>
        <v>1551765422235601</v>
      </c>
      <c r="C3650" t="s">
        <v>40</v>
      </c>
      <c r="D3650">
        <v>4.2159599999999999</v>
      </c>
      <c r="E3650">
        <v>0.50418370000000001</v>
      </c>
      <c r="F3650" t="s">
        <v>42</v>
      </c>
      <c r="G3650">
        <v>-415.18400000000003</v>
      </c>
      <c r="H3650" s="1">
        <v>-4.3696630000000003E-6</v>
      </c>
      <c r="I3650">
        <v>47.827199999999998</v>
      </c>
      <c r="J3650">
        <v>-420.93299999999999</v>
      </c>
      <c r="K3650">
        <v>1.11426</v>
      </c>
      <c r="L3650">
        <v>62.772190000000002</v>
      </c>
      <c r="M3650">
        <v>0.12750029999999901</v>
      </c>
      <c r="N3650">
        <v>-1.444864E-2</v>
      </c>
      <c r="O3650">
        <v>-0.99173350000000005</v>
      </c>
      <c r="P3650">
        <v>0.36892229999999998</v>
      </c>
      <c r="Q3650">
        <v>-3.45764E-2</v>
      </c>
      <c r="R3650">
        <v>-0.92881720000000001</v>
      </c>
      <c r="S3650">
        <v>1.058594</v>
      </c>
      <c r="T3650">
        <v>-0.2031878</v>
      </c>
      <c r="U3650">
        <v>-2.8017270000000001</v>
      </c>
      <c r="V3650">
        <v>-0.2471904</v>
      </c>
      <c r="W3650">
        <v>-2.374658E-2</v>
      </c>
      <c r="X3650">
        <v>0.96867590000000003</v>
      </c>
      <c r="Y3650">
        <v>-0.23062940000000001</v>
      </c>
      <c r="Z3650">
        <v>5.405484E-2</v>
      </c>
      <c r="AA3650">
        <v>0.97153909999999999</v>
      </c>
      <c r="AB3650">
        <v>41</v>
      </c>
      <c r="AC3650">
        <v>5.7490000000000201</v>
      </c>
      <c r="AD3650">
        <v>-1.1142643696629999</v>
      </c>
      <c r="AE3650">
        <v>-14.944990000000001</v>
      </c>
      <c r="AF3650">
        <v>-3.77808602431486</v>
      </c>
      <c r="AG3650">
        <v>-1.1142643696629999</v>
      </c>
      <c r="AH3650">
        <v>15.4811027893344</v>
      </c>
      <c r="AI3650">
        <v>93.999818773759998</v>
      </c>
      <c r="AJ3650">
        <v>103.71467129376801</v>
      </c>
      <c r="AK3650">
        <v>15.974356408524301</v>
      </c>
      <c r="AL3650">
        <v>91.360706720732793</v>
      </c>
      <c r="AM3650">
        <v>104.315439568005</v>
      </c>
      <c r="AN3650">
        <v>0.99999999657733296</v>
      </c>
    </row>
    <row r="3651" spans="1:40" x14ac:dyDescent="0.25">
      <c r="A3651" t="str">
        <f>"20190305135702266"</f>
        <v>20190305135702266</v>
      </c>
      <c r="B3651" t="str">
        <f>"1551765422256098"</f>
        <v>1551765422256098</v>
      </c>
      <c r="C3651" t="s">
        <v>40</v>
      </c>
      <c r="D3651">
        <v>4.2356619999999996</v>
      </c>
      <c r="E3651">
        <v>0.50412429999999997</v>
      </c>
      <c r="F3651" t="s">
        <v>42</v>
      </c>
      <c r="G3651">
        <v>-414.92790000000002</v>
      </c>
      <c r="H3651" s="1">
        <v>-4.090737E-6</v>
      </c>
      <c r="I3651">
        <v>47.071170000000002</v>
      </c>
      <c r="J3651">
        <v>-420.88080000000002</v>
      </c>
      <c r="K3651">
        <v>1.1143149999999999</v>
      </c>
      <c r="L3651">
        <v>62.395049999999998</v>
      </c>
      <c r="M3651">
        <v>0.13224810000000001</v>
      </c>
      <c r="N3651">
        <v>-1.4450859999999999E-2</v>
      </c>
      <c r="O3651">
        <v>-0.99111130000000003</v>
      </c>
      <c r="P3651">
        <v>0.37169980000000002</v>
      </c>
      <c r="Q3651">
        <v>-3.5274819999999998E-2</v>
      </c>
      <c r="R3651">
        <v>-0.92768289999999998</v>
      </c>
      <c r="S3651">
        <v>1.0699459999999901</v>
      </c>
      <c r="T3651">
        <v>-0.19853309999999999</v>
      </c>
      <c r="U3651">
        <v>-2.7975159999999999</v>
      </c>
      <c r="V3651">
        <v>-0.24544170000000001</v>
      </c>
      <c r="W3651">
        <v>-2.444725E-2</v>
      </c>
      <c r="X3651">
        <v>0.96910300000000005</v>
      </c>
      <c r="Y3651">
        <v>-0.22993</v>
      </c>
      <c r="Z3651">
        <v>5.2503670000000002E-2</v>
      </c>
      <c r="AA3651">
        <v>0.97178980000000004</v>
      </c>
      <c r="AB3651">
        <v>41</v>
      </c>
      <c r="AC3651">
        <v>5.9528999999999996</v>
      </c>
      <c r="AD3651">
        <v>-1.114319090737</v>
      </c>
      <c r="AE3651">
        <v>-15.3238799999999</v>
      </c>
      <c r="AF3651">
        <v>-3.8561199357569098</v>
      </c>
      <c r="AG3651">
        <v>-1.114319090737</v>
      </c>
      <c r="AH3651">
        <v>15.9035295618666</v>
      </c>
      <c r="AI3651">
        <v>93.895503226634901</v>
      </c>
      <c r="AJ3651">
        <v>103.629440819565</v>
      </c>
      <c r="AK3651">
        <v>16.402244374477799</v>
      </c>
      <c r="AL3651">
        <v>91.400863866785002</v>
      </c>
      <c r="AM3651">
        <v>104.212275918956</v>
      </c>
      <c r="AN3651">
        <v>0.99999996037022498</v>
      </c>
    </row>
    <row r="3652" spans="1:40" x14ac:dyDescent="0.25">
      <c r="A3652" t="str">
        <f>"20190305135702288"</f>
        <v>20190305135702288</v>
      </c>
      <c r="B3652" t="str">
        <f>"1551765422275617"</f>
        <v>1551765422275617</v>
      </c>
      <c r="C3652" t="s">
        <v>40</v>
      </c>
      <c r="D3652">
        <v>4.2422079999999998</v>
      </c>
      <c r="E3652">
        <v>0.50406689999999998</v>
      </c>
      <c r="F3652" t="s">
        <v>42</v>
      </c>
      <c r="G3652">
        <v>-414.73250000000002</v>
      </c>
      <c r="H3652" s="1">
        <v>-3.8681460000000003E-6</v>
      </c>
      <c r="I3652">
        <v>46.47148</v>
      </c>
      <c r="J3652">
        <v>-420.82409999999999</v>
      </c>
      <c r="K3652">
        <v>1.114363</v>
      </c>
      <c r="L3652">
        <v>62.000239999999998</v>
      </c>
      <c r="M3652">
        <v>0.13720060000000001</v>
      </c>
      <c r="N3652">
        <v>-1.445258E-2</v>
      </c>
      <c r="O3652">
        <v>-0.99043769999999998</v>
      </c>
      <c r="P3652">
        <v>0.37348619999999999</v>
      </c>
      <c r="Q3652">
        <v>-3.556761E-2</v>
      </c>
      <c r="R3652">
        <v>-0.92695349999999999</v>
      </c>
      <c r="S3652">
        <v>1.078857</v>
      </c>
      <c r="T3652">
        <v>-0.19553300000000001</v>
      </c>
      <c r="U3652">
        <v>-2.7941590000000001</v>
      </c>
      <c r="V3652">
        <v>-0.24246019999999999</v>
      </c>
      <c r="W3652">
        <v>-2.4713659999999998E-2</v>
      </c>
      <c r="X3652">
        <v>0.96984649999999994</v>
      </c>
      <c r="Y3652">
        <v>-0.2281764</v>
      </c>
      <c r="Z3652">
        <v>5.1499830000000003E-2</v>
      </c>
      <c r="AA3652">
        <v>0.97225680000000003</v>
      </c>
      <c r="AB3652">
        <v>41</v>
      </c>
      <c r="AC3652">
        <v>6.0915999999999704</v>
      </c>
      <c r="AD3652">
        <v>-1.1143668681459999</v>
      </c>
      <c r="AE3652">
        <v>-15.52876</v>
      </c>
      <c r="AF3652">
        <v>-3.88586094598777</v>
      </c>
      <c r="AG3652">
        <v>-1.1143668681459999</v>
      </c>
      <c r="AH3652">
        <v>16.145679403776601</v>
      </c>
      <c r="AI3652">
        <v>93.838986502684904</v>
      </c>
      <c r="AJ3652">
        <v>103.532294500351</v>
      </c>
      <c r="AK3652">
        <v>16.644058766356</v>
      </c>
      <c r="AL3652">
        <v>91.416132630748194</v>
      </c>
      <c r="AM3652">
        <v>104.036164234998</v>
      </c>
      <c r="AN3652">
        <v>0.99999997356844195</v>
      </c>
    </row>
    <row r="3653" spans="1:40" x14ac:dyDescent="0.25">
      <c r="A3653" t="str">
        <f>"20190305135702313"</f>
        <v>20190305135702313</v>
      </c>
      <c r="B3653" t="str">
        <f>"1551765422305667"</f>
        <v>1551765422305667</v>
      </c>
      <c r="C3653" t="s">
        <v>40</v>
      </c>
      <c r="D3653">
        <v>5.2093720000000001</v>
      </c>
      <c r="E3653">
        <v>0.50498240000000005</v>
      </c>
      <c r="F3653" t="s">
        <v>42</v>
      </c>
      <c r="G3653">
        <v>-414.51429999999999</v>
      </c>
      <c r="H3653" s="1">
        <v>-3.6032909999999998E-6</v>
      </c>
      <c r="I3653">
        <v>45.763890000000004</v>
      </c>
      <c r="J3653">
        <v>-420.76100000000002</v>
      </c>
      <c r="K3653">
        <v>1.11439</v>
      </c>
      <c r="L3653">
        <v>61.576479999999997</v>
      </c>
      <c r="M3653">
        <v>0.14248710000000001</v>
      </c>
      <c r="N3653">
        <v>-1.4453779999999999E-2</v>
      </c>
      <c r="O3653">
        <v>-0.98969119999999999</v>
      </c>
      <c r="P3653">
        <v>0.37418200000000001</v>
      </c>
      <c r="Q3653">
        <v>-3.4774850000000003E-2</v>
      </c>
      <c r="R3653">
        <v>-0.9267031</v>
      </c>
      <c r="S3653">
        <v>1.084991</v>
      </c>
      <c r="T3653">
        <v>-0.1916194</v>
      </c>
      <c r="U3653">
        <v>-2.7919010000000002</v>
      </c>
      <c r="V3653">
        <v>-0.23801430000000001</v>
      </c>
      <c r="W3653">
        <v>-2.386023E-2</v>
      </c>
      <c r="X3653">
        <v>0.97096850000000001</v>
      </c>
      <c r="Y3653">
        <v>-0.22512660000000001</v>
      </c>
      <c r="Z3653">
        <v>5.0181629999999998E-2</v>
      </c>
      <c r="AA3653">
        <v>0.97303640000000002</v>
      </c>
      <c r="AB3653">
        <v>41</v>
      </c>
      <c r="AC3653">
        <v>6.2466999999999704</v>
      </c>
      <c r="AD3653">
        <v>-1.114393603291</v>
      </c>
      <c r="AE3653">
        <v>-15.81259</v>
      </c>
      <c r="AF3653">
        <v>-3.9128136561251701</v>
      </c>
      <c r="AG3653">
        <v>-1.114393603291</v>
      </c>
      <c r="AH3653">
        <v>16.470619949049599</v>
      </c>
      <c r="AI3653">
        <v>93.766201168262498</v>
      </c>
      <c r="AJ3653">
        <v>103.363647707216</v>
      </c>
      <c r="AK3653">
        <v>16.965650748398801</v>
      </c>
      <c r="AL3653">
        <v>91.367220264180105</v>
      </c>
      <c r="AM3653">
        <v>103.77337121289401</v>
      </c>
      <c r="AN3653">
        <v>0.99999997278619601</v>
      </c>
    </row>
    <row r="3654" spans="1:40" x14ac:dyDescent="0.25">
      <c r="A3654" t="str">
        <f>"20190305135702334"</f>
        <v>20190305135702334</v>
      </c>
      <c r="B3654" t="str">
        <f>"1551765422326163"</f>
        <v>1551765422326163</v>
      </c>
      <c r="C3654" t="s">
        <v>40</v>
      </c>
      <c r="D3654">
        <v>4.6204199999999904</v>
      </c>
      <c r="E3654">
        <v>0.60019429999999996</v>
      </c>
      <c r="F3654" t="s">
        <v>42</v>
      </c>
      <c r="G3654">
        <v>-414.05309999999997</v>
      </c>
      <c r="H3654" s="1">
        <v>-3.1441870000000002E-6</v>
      </c>
      <c r="I3654">
        <v>44.237670000000001</v>
      </c>
      <c r="J3654">
        <v>-420.69830000000002</v>
      </c>
      <c r="K3654">
        <v>1.114395</v>
      </c>
      <c r="L3654">
        <v>61.170409999999997</v>
      </c>
      <c r="M3654">
        <v>0.1475176</v>
      </c>
      <c r="N3654">
        <v>-1.445433E-2</v>
      </c>
      <c r="O3654">
        <v>-0.98895379999999999</v>
      </c>
      <c r="P3654">
        <v>0.37262630000000002</v>
      </c>
      <c r="Q3654">
        <v>-3.3246619999999998E-2</v>
      </c>
      <c r="R3654">
        <v>-0.92738589999999999</v>
      </c>
      <c r="S3654">
        <v>1.0809629999999999</v>
      </c>
      <c r="T3654">
        <v>-0.1795813</v>
      </c>
      <c r="U3654">
        <v>-2.794098</v>
      </c>
      <c r="V3654">
        <v>-0.23145740000000001</v>
      </c>
      <c r="W3654">
        <v>-2.222613E-2</v>
      </c>
      <c r="X3654">
        <v>0.97259110000000004</v>
      </c>
      <c r="Y3654">
        <v>-0.2187704</v>
      </c>
      <c r="Z3654">
        <v>4.6118630000000001E-2</v>
      </c>
      <c r="AA3654">
        <v>0.97468589999999999</v>
      </c>
      <c r="AB3654">
        <v>41</v>
      </c>
      <c r="AC3654">
        <v>6.64520000000004</v>
      </c>
      <c r="AD3654">
        <v>-1.1143981441869999</v>
      </c>
      <c r="AE3654">
        <v>-16.9327399999999</v>
      </c>
      <c r="AF3654">
        <v>-4.0591091775289803</v>
      </c>
      <c r="AG3654">
        <v>-1.1143981441869999</v>
      </c>
      <c r="AH3654">
        <v>17.661544300231299</v>
      </c>
      <c r="AI3654">
        <v>93.518929706610095</v>
      </c>
      <c r="AJ3654">
        <v>102.94337907133701</v>
      </c>
      <c r="AK3654">
        <v>18.156222008113399</v>
      </c>
      <c r="AL3654">
        <v>91.273568330754898</v>
      </c>
      <c r="AM3654">
        <v>103.386258634021</v>
      </c>
      <c r="AN3654">
        <v>0.99999998833437298</v>
      </c>
    </row>
    <row r="3655" spans="1:40" x14ac:dyDescent="0.25">
      <c r="A3655" t="str">
        <f>"20190305135702357"</f>
        <v>20190305135702357</v>
      </c>
      <c r="B3655" t="str">
        <f>"1551765422345683"</f>
        <v>1551765422345683</v>
      </c>
      <c r="C3655" t="s">
        <v>40</v>
      </c>
      <c r="D3655">
        <v>4.4713329999999996</v>
      </c>
      <c r="E3655">
        <v>0.60081180000000001</v>
      </c>
      <c r="F3655" t="s">
        <v>41</v>
      </c>
      <c r="G3655">
        <v>-420.58429999999998</v>
      </c>
      <c r="H3655">
        <v>1.0125219999999999</v>
      </c>
      <c r="I3655">
        <v>60.199750000000002</v>
      </c>
      <c r="J3655">
        <v>-420.63780000000003</v>
      </c>
      <c r="K3655">
        <v>1.114374</v>
      </c>
      <c r="L3655">
        <v>60.790990000000001</v>
      </c>
      <c r="M3655">
        <v>0.1521884</v>
      </c>
      <c r="N3655">
        <v>-1.445426E-2</v>
      </c>
      <c r="O3655">
        <v>-0.98824579999999995</v>
      </c>
      <c r="P3655">
        <v>0.36842979999999997</v>
      </c>
      <c r="Q3655">
        <v>-3.2318859999999998E-2</v>
      </c>
      <c r="R3655">
        <v>-0.92909370000000002</v>
      </c>
      <c r="S3655">
        <v>0.36248780000000003</v>
      </c>
      <c r="T3655">
        <v>-0.32330789999999998</v>
      </c>
      <c r="U3655">
        <v>-3.0776669999999999</v>
      </c>
      <c r="V3655">
        <v>-0.2224669</v>
      </c>
      <c r="W3655">
        <v>-2.1147639999999999E-2</v>
      </c>
      <c r="X3655">
        <v>0.97471090000000005</v>
      </c>
      <c r="Y3655">
        <v>3.5979339999999999E-2</v>
      </c>
      <c r="Z3655">
        <v>8.8018100000000002E-2</v>
      </c>
      <c r="AA3655">
        <v>0.99546889999999999</v>
      </c>
      <c r="AB3655">
        <v>41</v>
      </c>
      <c r="AC3655">
        <v>5.3500000000042201E-2</v>
      </c>
      <c r="AD3655">
        <v>-0.101852</v>
      </c>
      <c r="AE3655">
        <v>-0.59123999999999899</v>
      </c>
      <c r="AF3655">
        <v>3.60514087853313E-2</v>
      </c>
      <c r="AG3655">
        <v>-0.101852</v>
      </c>
      <c r="AH3655">
        <v>0.57555279657117497</v>
      </c>
      <c r="AI3655">
        <v>100.016150681415</v>
      </c>
      <c r="AJ3655">
        <v>86.415796313086403</v>
      </c>
      <c r="AK3655">
        <v>0.58560614376926401</v>
      </c>
      <c r="AL3655">
        <v>91.211760801059</v>
      </c>
      <c r="AM3655">
        <v>102.856891303431</v>
      </c>
      <c r="AN3655">
        <v>1.00000004142599</v>
      </c>
    </row>
    <row r="3656" spans="1:40" x14ac:dyDescent="0.25">
      <c r="A3656" t="str">
        <f>"20190305135702378"</f>
        <v>20190305135702378</v>
      </c>
      <c r="B3656" t="str">
        <f>"1551765422366180"</f>
        <v>1551765422366180</v>
      </c>
      <c r="C3656" t="s">
        <v>40</v>
      </c>
      <c r="D3656">
        <v>4.4670509999999997</v>
      </c>
      <c r="E3656">
        <v>0.5985973</v>
      </c>
      <c r="F3656" t="s">
        <v>41</v>
      </c>
      <c r="G3656">
        <v>-420.5317</v>
      </c>
      <c r="H3656">
        <v>1.0155369999999999</v>
      </c>
      <c r="I3656">
        <v>59.842080000000003</v>
      </c>
      <c r="J3656">
        <v>-420.57409999999999</v>
      </c>
      <c r="K3656">
        <v>1.1143449999999999</v>
      </c>
      <c r="L3656">
        <v>60.402650000000001</v>
      </c>
      <c r="M3656">
        <v>0.15692919999999999</v>
      </c>
      <c r="N3656">
        <v>-1.445366E-2</v>
      </c>
      <c r="O3656">
        <v>-0.98750420000000005</v>
      </c>
      <c r="P3656">
        <v>0.36362240000000001</v>
      </c>
      <c r="Q3656">
        <v>-3.3601300000000001E-2</v>
      </c>
      <c r="R3656">
        <v>-0.93094069999999995</v>
      </c>
      <c r="S3656">
        <v>0.34475709999999998</v>
      </c>
      <c r="T3656">
        <v>-0.32098450000000001</v>
      </c>
      <c r="U3656">
        <v>-3.0810849999999999</v>
      </c>
      <c r="V3656">
        <v>-0.2127365</v>
      </c>
      <c r="W3656">
        <v>-2.2264010000000001E-2</v>
      </c>
      <c r="X3656">
        <v>0.9768559</v>
      </c>
      <c r="Y3656">
        <v>4.6537370000000002E-2</v>
      </c>
      <c r="Z3656">
        <v>8.7072919999999998E-2</v>
      </c>
      <c r="AA3656">
        <v>0.99511430000000001</v>
      </c>
      <c r="AB3656">
        <v>40</v>
      </c>
      <c r="AC3656">
        <v>4.23999999999864E-2</v>
      </c>
      <c r="AD3656">
        <v>-9.8808000000000007E-2</v>
      </c>
      <c r="AE3656">
        <v>-0.56056999999999801</v>
      </c>
      <c r="AF3656">
        <v>4.4722852925036603E-2</v>
      </c>
      <c r="AG3656">
        <v>-9.8808000000000007E-2</v>
      </c>
      <c r="AH3656">
        <v>0.54348802082377601</v>
      </c>
      <c r="AI3656">
        <v>100.270059387389</v>
      </c>
      <c r="AJ3656">
        <v>85.295811034692207</v>
      </c>
      <c r="AK3656">
        <v>0.55420427932008898</v>
      </c>
      <c r="AL3656">
        <v>91.275739246604005</v>
      </c>
      <c r="AM3656">
        <v>102.285859685324</v>
      </c>
      <c r="AN3656">
        <v>0.99999997696916898</v>
      </c>
    </row>
    <row r="3657" spans="1:40" x14ac:dyDescent="0.25">
      <c r="A3657" t="str">
        <f>"20190305135702401"</f>
        <v>20190305135702401</v>
      </c>
      <c r="B3657" t="str">
        <f>"1551765422396435"</f>
        <v>1551765422396435</v>
      </c>
      <c r="C3657" t="s">
        <v>40</v>
      </c>
      <c r="D3657">
        <v>4.4056509999999998</v>
      </c>
      <c r="E3657">
        <v>0.59767780000000004</v>
      </c>
      <c r="F3657" t="s">
        <v>41</v>
      </c>
      <c r="G3657">
        <v>-420.47140000000002</v>
      </c>
      <c r="H3657">
        <v>1.016893</v>
      </c>
      <c r="I3657">
        <v>59.486640000000001</v>
      </c>
      <c r="J3657">
        <v>-420.50760000000002</v>
      </c>
      <c r="K3657">
        <v>1.1142989999999999</v>
      </c>
      <c r="L3657">
        <v>60.008999999999901</v>
      </c>
      <c r="M3657">
        <v>0.16167709999999999</v>
      </c>
      <c r="N3657">
        <v>-1.445257E-2</v>
      </c>
      <c r="O3657">
        <v>-0.98673809999999995</v>
      </c>
      <c r="P3657">
        <v>0.35878789999999999</v>
      </c>
      <c r="Q3657">
        <v>-3.7660329999999999E-2</v>
      </c>
      <c r="R3657">
        <v>-0.93265929999999997</v>
      </c>
      <c r="S3657">
        <v>0.34619139999999998</v>
      </c>
      <c r="T3657">
        <v>-0.32763360000000002</v>
      </c>
      <c r="U3657">
        <v>-3.0754999999999999</v>
      </c>
      <c r="V3657">
        <v>-0.2029386</v>
      </c>
      <c r="W3657">
        <v>-2.6151750000000001E-2</v>
      </c>
      <c r="X3657">
        <v>0.9788422</v>
      </c>
      <c r="Y3657">
        <v>5.0700929999999998E-2</v>
      </c>
      <c r="Z3657">
        <v>8.9208750000000003E-2</v>
      </c>
      <c r="AA3657">
        <v>0.99472169999999904</v>
      </c>
      <c r="AB3657">
        <v>40</v>
      </c>
      <c r="AC3657">
        <v>3.6200000000007997E-2</v>
      </c>
      <c r="AD3657">
        <v>-9.7405999999999798E-2</v>
      </c>
      <c r="AE3657">
        <v>-0.52235999999999105</v>
      </c>
      <c r="AF3657">
        <v>4.7108573329650898E-2</v>
      </c>
      <c r="AG3657">
        <v>-9.7405999999999798E-2</v>
      </c>
      <c r="AH3657">
        <v>0.50390156619848103</v>
      </c>
      <c r="AI3657">
        <v>100.89418485392</v>
      </c>
      <c r="AJ3657">
        <v>84.659075897296304</v>
      </c>
      <c r="AK3657">
        <v>0.51538716993580402</v>
      </c>
      <c r="AL3657">
        <v>91.498555717474503</v>
      </c>
      <c r="AM3657">
        <v>101.71291567486401</v>
      </c>
      <c r="AN3657">
        <v>1.00000002094943</v>
      </c>
    </row>
    <row r="3658" spans="1:40" x14ac:dyDescent="0.25">
      <c r="A3658" t="str">
        <f>"20190305135702423"</f>
        <v>20190305135702423</v>
      </c>
      <c r="B3658" t="str">
        <f>"1551765422415959"</f>
        <v>1551765422415959</v>
      </c>
      <c r="C3658" t="s">
        <v>40</v>
      </c>
      <c r="D3658">
        <v>4.4322460000000001</v>
      </c>
      <c r="E3658">
        <v>0.59658239999999996</v>
      </c>
      <c r="F3658" t="s">
        <v>41</v>
      </c>
      <c r="G3658">
        <v>-420.41070000000002</v>
      </c>
      <c r="H3658">
        <v>1.024178</v>
      </c>
      <c r="I3658">
        <v>59.128570000000003</v>
      </c>
      <c r="J3658">
        <v>-420.43560000000002</v>
      </c>
      <c r="K3658">
        <v>1.1142259999999999</v>
      </c>
      <c r="L3658">
        <v>59.595460000000003</v>
      </c>
      <c r="M3658">
        <v>0.16656860000000001</v>
      </c>
      <c r="N3658">
        <v>-1.445013E-2</v>
      </c>
      <c r="O3658">
        <v>-0.98592389999999996</v>
      </c>
      <c r="P3658">
        <v>0.35553420000000002</v>
      </c>
      <c r="Q3658">
        <v>-4.0530200000000002E-2</v>
      </c>
      <c r="R3658">
        <v>-0.93378430000000001</v>
      </c>
      <c r="S3658">
        <v>0.33837889999999998</v>
      </c>
      <c r="T3658">
        <v>-0.31467820000000002</v>
      </c>
      <c r="U3658">
        <v>-3.0737299999999999</v>
      </c>
      <c r="V3658">
        <v>-0.19465689999999999</v>
      </c>
      <c r="W3658">
        <v>-2.8863940000000001E-2</v>
      </c>
      <c r="X3658">
        <v>0.98044659999999995</v>
      </c>
      <c r="Y3658">
        <v>5.8041580000000002E-2</v>
      </c>
      <c r="Z3658">
        <v>8.5084510000000002E-2</v>
      </c>
      <c r="AA3658">
        <v>0.99468179999999995</v>
      </c>
      <c r="AB3658">
        <v>40</v>
      </c>
      <c r="AC3658">
        <v>2.4900000000002299E-2</v>
      </c>
      <c r="AD3658">
        <v>-9.0047999999999906E-2</v>
      </c>
      <c r="AE3658">
        <v>-0.46688999999999897</v>
      </c>
      <c r="AF3658">
        <v>5.1321625191673402E-2</v>
      </c>
      <c r="AG3658">
        <v>-9.0047999999999906E-2</v>
      </c>
      <c r="AH3658">
        <v>0.44790038197836701</v>
      </c>
      <c r="AI3658">
        <v>101.295485644961</v>
      </c>
      <c r="AJ3658">
        <v>83.463403419095499</v>
      </c>
      <c r="AK3658">
        <v>0.45973612398057401</v>
      </c>
      <c r="AL3658">
        <v>91.654011687150103</v>
      </c>
      <c r="AM3658">
        <v>101.229421056192</v>
      </c>
      <c r="AN3658">
        <v>0.99999998560074599</v>
      </c>
    </row>
    <row r="3659" spans="1:40" x14ac:dyDescent="0.25">
      <c r="A3659" t="str">
        <f>"20190305135702445"</f>
        <v>20190305135702445</v>
      </c>
      <c r="B3659" t="str">
        <f>"1551765422435475"</f>
        <v>1551765422435475</v>
      </c>
      <c r="C3659" t="s">
        <v>40</v>
      </c>
      <c r="D3659">
        <v>4.0973490000000004</v>
      </c>
      <c r="E3659">
        <v>0.59535139999999998</v>
      </c>
      <c r="F3659" t="s">
        <v>41</v>
      </c>
      <c r="G3659">
        <v>-420.34629999999999</v>
      </c>
      <c r="H3659">
        <v>1.027234</v>
      </c>
      <c r="I3659">
        <v>58.77346</v>
      </c>
      <c r="J3659">
        <v>-420.36790000000002</v>
      </c>
      <c r="K3659">
        <v>1.114133</v>
      </c>
      <c r="L3659">
        <v>59.216369999999998</v>
      </c>
      <c r="M3659">
        <v>0.1709002</v>
      </c>
      <c r="N3659">
        <v>-1.444556E-2</v>
      </c>
      <c r="O3659">
        <v>-0.98518249999999996</v>
      </c>
      <c r="P3659">
        <v>0.3520761</v>
      </c>
      <c r="Q3659">
        <v>-4.009679E-2</v>
      </c>
      <c r="R3659">
        <v>-0.93511239999999995</v>
      </c>
      <c r="S3659">
        <v>0.3354492</v>
      </c>
      <c r="T3659">
        <v>-0.32535120000000001</v>
      </c>
      <c r="U3659">
        <v>-3.0708920000000002</v>
      </c>
      <c r="V3659">
        <v>-0.18672720000000001</v>
      </c>
      <c r="W3659">
        <v>-2.826414E-2</v>
      </c>
      <c r="X3659">
        <v>0.98200509999999996</v>
      </c>
      <c r="Y3659">
        <v>6.3292029999999999E-2</v>
      </c>
      <c r="Z3659">
        <v>8.8395139999999997E-2</v>
      </c>
      <c r="AA3659">
        <v>0.99407259999999997</v>
      </c>
      <c r="AB3659">
        <v>40</v>
      </c>
      <c r="AC3659">
        <v>2.16000000000349E-2</v>
      </c>
      <c r="AD3659">
        <v>-8.6899000000000004E-2</v>
      </c>
      <c r="AE3659">
        <v>-0.44290999999999697</v>
      </c>
      <c r="AF3659">
        <v>5.2406563414532897E-2</v>
      </c>
      <c r="AG3659">
        <v>-8.6899000000000004E-2</v>
      </c>
      <c r="AH3659">
        <v>0.42380892082437899</v>
      </c>
      <c r="AI3659">
        <v>101.502238686623</v>
      </c>
      <c r="AJ3659">
        <v>82.950810652991294</v>
      </c>
      <c r="AK3659">
        <v>0.43578880832376399</v>
      </c>
      <c r="AL3659">
        <v>91.6196316865298</v>
      </c>
      <c r="AM3659">
        <v>100.766201542301</v>
      </c>
      <c r="AN3659">
        <v>0.99999996262789403</v>
      </c>
    </row>
    <row r="3660" spans="1:40" x14ac:dyDescent="0.25">
      <c r="A3660" t="str">
        <f>"20190305135702466"</f>
        <v>20190305135702466</v>
      </c>
      <c r="B3660" t="str">
        <f>"1551765422455972"</f>
        <v>1551765422455972</v>
      </c>
      <c r="C3660" t="s">
        <v>40</v>
      </c>
      <c r="D3660">
        <v>4.433319</v>
      </c>
      <c r="E3660">
        <v>0.59421740000000001</v>
      </c>
      <c r="F3660" t="s">
        <v>41</v>
      </c>
      <c r="G3660">
        <v>-420.28160000000003</v>
      </c>
      <c r="H3660">
        <v>1.030867</v>
      </c>
      <c r="I3660">
        <v>58.418340000000001</v>
      </c>
      <c r="J3660">
        <v>-420.29750000000001</v>
      </c>
      <c r="K3660">
        <v>1.113988</v>
      </c>
      <c r="L3660">
        <v>58.830570000000002</v>
      </c>
      <c r="M3660">
        <v>0.17506269999999999</v>
      </c>
      <c r="N3660">
        <v>-1.443731E-2</v>
      </c>
      <c r="O3660">
        <v>-0.98445150000000003</v>
      </c>
      <c r="P3660">
        <v>0.34894599999999998</v>
      </c>
      <c r="Q3660">
        <v>-3.8483650000000001E-2</v>
      </c>
      <c r="R3660">
        <v>-0.93635259999999998</v>
      </c>
      <c r="S3660">
        <v>0.33316040000000002</v>
      </c>
      <c r="T3660">
        <v>-0.32041910000000001</v>
      </c>
      <c r="U3660">
        <v>-3.069</v>
      </c>
      <c r="V3660">
        <v>-0.1793102</v>
      </c>
      <c r="W3660">
        <v>-2.64684E-2</v>
      </c>
      <c r="X3660">
        <v>0.98343650000000005</v>
      </c>
      <c r="Y3660">
        <v>6.8157389999999998E-2</v>
      </c>
      <c r="Z3660">
        <v>8.6800199999999994E-2</v>
      </c>
      <c r="AA3660">
        <v>0.99389150000000004</v>
      </c>
      <c r="AB3660">
        <v>40</v>
      </c>
      <c r="AC3660">
        <v>1.5899999999987799E-2</v>
      </c>
      <c r="AD3660">
        <v>-8.3121E-2</v>
      </c>
      <c r="AE3660">
        <v>-0.41222999999999299</v>
      </c>
      <c r="AF3660">
        <v>5.4314197098190797E-2</v>
      </c>
      <c r="AG3660">
        <v>-8.3121E-2</v>
      </c>
      <c r="AH3660">
        <v>0.39270380261704102</v>
      </c>
      <c r="AI3660">
        <v>101.841529489056</v>
      </c>
      <c r="AJ3660">
        <v>82.125475369773</v>
      </c>
      <c r="AK3660">
        <v>0.40506222884552601</v>
      </c>
      <c r="AL3660">
        <v>91.516704684375995</v>
      </c>
      <c r="AM3660">
        <v>100.333243102208</v>
      </c>
      <c r="AN3660">
        <v>1.00000003677742</v>
      </c>
    </row>
    <row r="3661" spans="1:40" x14ac:dyDescent="0.25">
      <c r="A3661" t="str">
        <f>"20190305135702489"</f>
        <v>20190305135702489</v>
      </c>
      <c r="B3661" t="str">
        <f>"1551765422486228"</f>
        <v>1551765422486228</v>
      </c>
      <c r="C3661" t="s">
        <v>40</v>
      </c>
      <c r="D3661">
        <v>4.3977870000000001</v>
      </c>
      <c r="E3661">
        <v>0.59309269999999903</v>
      </c>
      <c r="F3661" t="s">
        <v>41</v>
      </c>
      <c r="G3661">
        <v>-420.21480000000003</v>
      </c>
      <c r="H3661">
        <v>1.0378559999999999</v>
      </c>
      <c r="I3661">
        <v>58.062060000000002</v>
      </c>
      <c r="J3661">
        <v>-420.22500000000002</v>
      </c>
      <c r="K3661">
        <v>1.113745</v>
      </c>
      <c r="L3661">
        <v>58.441220000000001</v>
      </c>
      <c r="M3661">
        <v>0.17889650000000001</v>
      </c>
      <c r="N3661">
        <v>-1.442442E-2</v>
      </c>
      <c r="O3661">
        <v>-0.98376229999999998</v>
      </c>
      <c r="P3661">
        <v>0.34642079999999997</v>
      </c>
      <c r="Q3661">
        <v>-3.6773729999999998E-2</v>
      </c>
      <c r="R3661">
        <v>-0.93735849999999998</v>
      </c>
      <c r="S3661">
        <v>0.33206180000000002</v>
      </c>
      <c r="T3661">
        <v>-0.30426049999999999</v>
      </c>
      <c r="U3661">
        <v>-3.0676269999999999</v>
      </c>
      <c r="V3661">
        <v>-0.1728529</v>
      </c>
      <c r="W3661">
        <v>-2.4559729999999998E-2</v>
      </c>
      <c r="X3661">
        <v>0.9846414</v>
      </c>
      <c r="Y3661">
        <v>7.2299730000000006E-2</v>
      </c>
      <c r="Z3661">
        <v>8.1692210000000001E-2</v>
      </c>
      <c r="AA3661">
        <v>0.99403169999999996</v>
      </c>
      <c r="AB3661">
        <v>40</v>
      </c>
      <c r="AC3661">
        <v>1.0199999999997499E-2</v>
      </c>
      <c r="AD3661">
        <v>-7.5889000000000095E-2</v>
      </c>
      <c r="AE3661">
        <v>-0.379159999999998</v>
      </c>
      <c r="AF3661">
        <v>5.5577205424987002E-2</v>
      </c>
      <c r="AG3661">
        <v>-7.5889000000000095E-2</v>
      </c>
      <c r="AH3661">
        <v>0.36043823507720801</v>
      </c>
      <c r="AI3661">
        <v>101.754778262141</v>
      </c>
      <c r="AJ3661">
        <v>81.234401715563493</v>
      </c>
      <c r="AK3661">
        <v>0.372509982939281</v>
      </c>
      <c r="AL3661">
        <v>91.407310381809694</v>
      </c>
      <c r="AM3661">
        <v>99.956768249681502</v>
      </c>
      <c r="AN3661">
        <v>0.99999999598502098</v>
      </c>
    </row>
    <row r="3662" spans="1:40" x14ac:dyDescent="0.25">
      <c r="A3662" t="str">
        <f>"20190305135702513"</f>
        <v>20190305135702513</v>
      </c>
      <c r="B3662" t="str">
        <f>"1551765422505747"</f>
        <v>1551765422505747</v>
      </c>
      <c r="C3662" t="s">
        <v>40</v>
      </c>
      <c r="D3662">
        <v>4.3816439999999997</v>
      </c>
      <c r="E3662">
        <v>0.59256319999999996</v>
      </c>
      <c r="F3662" t="s">
        <v>41</v>
      </c>
      <c r="G3662">
        <v>-420.14550000000003</v>
      </c>
      <c r="H3662">
        <v>1.045274</v>
      </c>
      <c r="I3662">
        <v>57.706189999999999</v>
      </c>
      <c r="J3662">
        <v>-420.14800000000002</v>
      </c>
      <c r="K3662">
        <v>1.1133660000000001</v>
      </c>
      <c r="L3662">
        <v>58.035249999999998</v>
      </c>
      <c r="M3662">
        <v>0.1823197</v>
      </c>
      <c r="N3662">
        <v>-1.440686E-2</v>
      </c>
      <c r="O3662">
        <v>-0.9831337</v>
      </c>
      <c r="P3662">
        <v>0.34401399999999999</v>
      </c>
      <c r="Q3662">
        <v>-3.5281479999999997E-2</v>
      </c>
      <c r="R3662">
        <v>-0.93830170000000002</v>
      </c>
      <c r="S3662">
        <v>0.33200069999999998</v>
      </c>
      <c r="T3662">
        <v>-0.28573720000000002</v>
      </c>
      <c r="U3662">
        <v>-3.0665589999999998</v>
      </c>
      <c r="V3662">
        <v>-0.1669281</v>
      </c>
      <c r="W3662">
        <v>-2.2833030000000001E-2</v>
      </c>
      <c r="X3662">
        <v>0.98570469999999999</v>
      </c>
      <c r="Y3662">
        <v>7.5703699999999999E-2</v>
      </c>
      <c r="Z3662">
        <v>7.5848940000000004E-2</v>
      </c>
      <c r="AA3662">
        <v>0.99424140000000005</v>
      </c>
      <c r="AB3662">
        <v>40</v>
      </c>
      <c r="AC3662">
        <v>2.4999999999977202E-3</v>
      </c>
      <c r="AD3662">
        <v>-6.8092E-2</v>
      </c>
      <c r="AE3662">
        <v>-0.32905999999999802</v>
      </c>
      <c r="AF3662">
        <v>5.5179630982643703E-2</v>
      </c>
      <c r="AG3662">
        <v>-6.8092E-2</v>
      </c>
      <c r="AH3662">
        <v>0.31069631119059399</v>
      </c>
      <c r="AI3662">
        <v>102.176736512312</v>
      </c>
      <c r="AJ3662">
        <v>79.929282226346302</v>
      </c>
      <c r="AK3662">
        <v>0.32282117329385801</v>
      </c>
      <c r="AL3662">
        <v>91.308349892272602</v>
      </c>
      <c r="AM3662">
        <v>99.611789251779598</v>
      </c>
      <c r="AN3662">
        <v>1.00000004671533</v>
      </c>
    </row>
    <row r="3663" spans="1:40" x14ac:dyDescent="0.25">
      <c r="A3663" t="str">
        <f>"20190305135702536"</f>
        <v>20190305135702536</v>
      </c>
      <c r="B3663" t="str">
        <f>"1551765422526243"</f>
        <v>1551765422526243</v>
      </c>
      <c r="C3663" t="s">
        <v>40</v>
      </c>
      <c r="D3663">
        <v>4.3684539999999998</v>
      </c>
      <c r="E3663">
        <v>0.59222200000000003</v>
      </c>
      <c r="F3663" t="s">
        <v>41</v>
      </c>
      <c r="G3663">
        <v>-420.03809999999999</v>
      </c>
      <c r="H3663">
        <v>1.0217240000000001</v>
      </c>
      <c r="I3663">
        <v>57.007939999999998</v>
      </c>
      <c r="J3663">
        <v>-420.0686</v>
      </c>
      <c r="K3663">
        <v>1.112865</v>
      </c>
      <c r="L3663">
        <v>57.620539999999998</v>
      </c>
      <c r="M3663">
        <v>0.18512310000000001</v>
      </c>
      <c r="N3663">
        <v>-1.4388700000000001E-2</v>
      </c>
      <c r="O3663">
        <v>-0.98260999999999998</v>
      </c>
      <c r="P3663">
        <v>0.34075119999999998</v>
      </c>
      <c r="Q3663">
        <v>-3.2056439999999999E-2</v>
      </c>
      <c r="R3663">
        <v>-0.93960710000000003</v>
      </c>
      <c r="S3663">
        <v>0.3279724</v>
      </c>
      <c r="T3663">
        <v>-0.27355740000000001</v>
      </c>
      <c r="U3663">
        <v>-3.0667110000000002</v>
      </c>
      <c r="V3663">
        <v>-0.16072910000000001</v>
      </c>
      <c r="W3663">
        <v>-1.933381E-2</v>
      </c>
      <c r="X3663">
        <v>0.98680919999999905</v>
      </c>
      <c r="Y3663">
        <v>7.981154E-2</v>
      </c>
      <c r="Z3663">
        <v>7.1972419999999995E-2</v>
      </c>
      <c r="AA3663">
        <v>0.99420830000000004</v>
      </c>
      <c r="AB3663">
        <v>40</v>
      </c>
      <c r="AC3663">
        <v>3.05000000000177E-2</v>
      </c>
      <c r="AD3663">
        <v>-9.1140999999999903E-2</v>
      </c>
      <c r="AE3663">
        <v>-0.61260000000000003</v>
      </c>
      <c r="AF3663">
        <v>8.1642774556719297E-2</v>
      </c>
      <c r="AG3663">
        <v>-9.1140999999999903E-2</v>
      </c>
      <c r="AH3663">
        <v>0.59452886727796805</v>
      </c>
      <c r="AI3663">
        <v>98.635758684969701</v>
      </c>
      <c r="AJ3663">
        <v>82.180849764559795</v>
      </c>
      <c r="AK3663">
        <v>0.60698994929499706</v>
      </c>
      <c r="AL3663">
        <v>91.107814717879407</v>
      </c>
      <c r="AM3663">
        <v>99.250962470007593</v>
      </c>
      <c r="AN3663">
        <v>1.00000001850028</v>
      </c>
    </row>
    <row r="3664" spans="1:40" x14ac:dyDescent="0.25">
      <c r="A3664" t="str">
        <f>"20190305135702556"</f>
        <v>20190305135702556</v>
      </c>
      <c r="B3664" t="str">
        <f>"1551765422545764"</f>
        <v>1551765422545764</v>
      </c>
      <c r="C3664" t="s">
        <v>40</v>
      </c>
      <c r="D3664">
        <v>4.2722540000000002</v>
      </c>
      <c r="E3664">
        <v>0.59181349999999999</v>
      </c>
      <c r="F3664" t="s">
        <v>41</v>
      </c>
      <c r="G3664">
        <v>-419.96809999999999</v>
      </c>
      <c r="H3664">
        <v>1.0302009999999999</v>
      </c>
      <c r="I3664">
        <v>56.651820000000001</v>
      </c>
      <c r="J3664">
        <v>-419.9973</v>
      </c>
      <c r="K3664">
        <v>1.1123890000000001</v>
      </c>
      <c r="L3664">
        <v>57.250979999999998</v>
      </c>
      <c r="M3664">
        <v>0.18707480000000001</v>
      </c>
      <c r="N3664">
        <v>-1.437513E-2</v>
      </c>
      <c r="O3664">
        <v>-0.98224040000000001</v>
      </c>
      <c r="P3664">
        <v>0.33637889999999998</v>
      </c>
      <c r="Q3664">
        <v>-2.837197E-2</v>
      </c>
      <c r="R3664">
        <v>-0.94129929999999995</v>
      </c>
      <c r="S3664">
        <v>0.31961060000000002</v>
      </c>
      <c r="T3664">
        <v>-0.26183640000000002</v>
      </c>
      <c r="U3664">
        <v>-3.0679630000000002</v>
      </c>
      <c r="V3664">
        <v>-0.1542106</v>
      </c>
      <c r="W3664">
        <v>-1.539358E-2</v>
      </c>
      <c r="X3664">
        <v>0.98791810000000002</v>
      </c>
      <c r="Y3664">
        <v>8.4484920000000005E-2</v>
      </c>
      <c r="Z3664">
        <v>6.822918E-2</v>
      </c>
      <c r="AA3664">
        <v>0.99408600000000003</v>
      </c>
      <c r="AB3664">
        <v>40</v>
      </c>
      <c r="AC3664">
        <v>2.9200000000002901E-2</v>
      </c>
      <c r="AD3664">
        <v>-8.21879999999999E-2</v>
      </c>
      <c r="AE3664">
        <v>-0.59916000000001102</v>
      </c>
      <c r="AF3664">
        <v>8.1877964560965202E-2</v>
      </c>
      <c r="AG3664">
        <v>-8.21879999999999E-2</v>
      </c>
      <c r="AH3664">
        <v>0.58309750992993603</v>
      </c>
      <c r="AI3664">
        <v>97.946081395083993</v>
      </c>
      <c r="AJ3664">
        <v>82.006845972114903</v>
      </c>
      <c r="AK3664">
        <v>0.59452634467375598</v>
      </c>
      <c r="AL3664">
        <v>90.882021982961405</v>
      </c>
      <c r="AM3664">
        <v>98.872076044558796</v>
      </c>
      <c r="AN3664">
        <v>1.00000002188259</v>
      </c>
    </row>
    <row r="3665" spans="1:40" x14ac:dyDescent="0.25">
      <c r="A3665" t="str">
        <f>"20190305135702578"</f>
        <v>20190305135702578</v>
      </c>
      <c r="B3665" t="str">
        <f>"1551765422576020"</f>
        <v>1551765422576020</v>
      </c>
      <c r="C3665" t="s">
        <v>40</v>
      </c>
      <c r="D3665">
        <v>4.3414910000000004</v>
      </c>
      <c r="E3665">
        <v>0.59136309999999903</v>
      </c>
      <c r="F3665" t="s">
        <v>41</v>
      </c>
      <c r="G3665">
        <v>-419.90140000000002</v>
      </c>
      <c r="H3665">
        <v>1.0349649999999999</v>
      </c>
      <c r="I3665">
        <v>56.296990000000001</v>
      </c>
      <c r="J3665">
        <v>-419.92140000000001</v>
      </c>
      <c r="K3665">
        <v>1.111837</v>
      </c>
      <c r="L3665">
        <v>56.858890000000002</v>
      </c>
      <c r="M3665">
        <v>0.18846850000000001</v>
      </c>
      <c r="N3665">
        <v>-1.43631E-2</v>
      </c>
      <c r="O3665">
        <v>-0.98197440000000003</v>
      </c>
      <c r="P3665">
        <v>0.33057779999999998</v>
      </c>
      <c r="Q3665">
        <v>-2.6041290000000002E-2</v>
      </c>
      <c r="R3665">
        <v>-0.94341960000000002</v>
      </c>
      <c r="S3665">
        <v>0.30871579999999998</v>
      </c>
      <c r="T3665">
        <v>-0.24909519999999999</v>
      </c>
      <c r="U3665">
        <v>-3.0692750000000002</v>
      </c>
      <c r="V3665">
        <v>-0.14674889999999999</v>
      </c>
      <c r="W3665">
        <v>-1.2789E-2</v>
      </c>
      <c r="X3665">
        <v>0.9890911</v>
      </c>
      <c r="Y3665">
        <v>8.9405399999999996E-2</v>
      </c>
      <c r="Z3665">
        <v>6.4179860000000005E-2</v>
      </c>
      <c r="AA3665">
        <v>0.99392530000000001</v>
      </c>
      <c r="AB3665">
        <v>40</v>
      </c>
      <c r="AC3665">
        <v>1.99999999999818E-2</v>
      </c>
      <c r="AD3665">
        <v>-7.6872000000000204E-2</v>
      </c>
      <c r="AE3665">
        <v>-0.56190000000000095</v>
      </c>
      <c r="AF3665">
        <v>8.4686831761043593E-2</v>
      </c>
      <c r="AG3665">
        <v>-7.6872000000000204E-2</v>
      </c>
      <c r="AH3665">
        <v>0.54540301723460805</v>
      </c>
      <c r="AI3665">
        <v>97.928940764213394</v>
      </c>
      <c r="AJ3665">
        <v>81.173944757785506</v>
      </c>
      <c r="AK3665">
        <v>0.55726619767067997</v>
      </c>
      <c r="AL3665">
        <v>90.732775699571206</v>
      </c>
      <c r="AM3665">
        <v>98.4392624683843</v>
      </c>
      <c r="AN3665">
        <v>1.00000000113571</v>
      </c>
    </row>
    <row r="3666" spans="1:40" x14ac:dyDescent="0.25">
      <c r="A3666" t="str">
        <f>"20190305135702601"</f>
        <v>20190305135702601</v>
      </c>
      <c r="B3666" t="str">
        <f>"1551765422595539"</f>
        <v>1551765422595539</v>
      </c>
      <c r="C3666" t="s">
        <v>40</v>
      </c>
      <c r="D3666">
        <v>4.2731599999999998</v>
      </c>
      <c r="E3666">
        <v>0.59094969999999902</v>
      </c>
      <c r="F3666" t="s">
        <v>41</v>
      </c>
      <c r="G3666">
        <v>-419.834</v>
      </c>
      <c r="H3666">
        <v>1.0396669999999999</v>
      </c>
      <c r="I3666">
        <v>55.942480000000003</v>
      </c>
      <c r="J3666">
        <v>-419.84780000000001</v>
      </c>
      <c r="K3666">
        <v>1.1112229999999901</v>
      </c>
      <c r="L3666">
        <v>56.478000000000002</v>
      </c>
      <c r="M3666">
        <v>0.18906919999999999</v>
      </c>
      <c r="N3666">
        <v>-1.435371E-2</v>
      </c>
      <c r="O3666">
        <v>-0.98185880000000003</v>
      </c>
      <c r="P3666">
        <v>0.32231900000000002</v>
      </c>
      <c r="Q3666">
        <v>-2.5758690000000001E-2</v>
      </c>
      <c r="R3666">
        <v>-0.94628040000000002</v>
      </c>
      <c r="S3666">
        <v>0.2937012</v>
      </c>
      <c r="T3666">
        <v>-0.2417397</v>
      </c>
      <c r="U3666">
        <v>-3.0703130000000001</v>
      </c>
      <c r="V3666">
        <v>-0.1375142</v>
      </c>
      <c r="W3666">
        <v>-1.222647E-2</v>
      </c>
      <c r="X3666">
        <v>0.99042430000000004</v>
      </c>
      <c r="Y3666">
        <v>9.4844490000000004E-2</v>
      </c>
      <c r="Z3666">
        <v>6.1839640000000001E-2</v>
      </c>
      <c r="AA3666">
        <v>0.99356949999999999</v>
      </c>
      <c r="AB3666">
        <v>40</v>
      </c>
      <c r="AC3666">
        <v>1.3800000000003299E-2</v>
      </c>
      <c r="AD3666">
        <v>-7.1555999999999897E-2</v>
      </c>
      <c r="AE3666">
        <v>-0.535519999999998</v>
      </c>
      <c r="AF3666">
        <v>8.6172210968934695E-2</v>
      </c>
      <c r="AG3666">
        <v>-7.1555999999999897E-2</v>
      </c>
      <c r="AH3666">
        <v>0.51920480844935601</v>
      </c>
      <c r="AI3666">
        <v>97.742382427740694</v>
      </c>
      <c r="AJ3666">
        <v>80.576542091255305</v>
      </c>
      <c r="AK3666">
        <v>0.53114926734036505</v>
      </c>
      <c r="AL3666">
        <v>90.700542606188705</v>
      </c>
      <c r="AM3666">
        <v>97.904624008157299</v>
      </c>
      <c r="AN3666">
        <v>0.99999996790039403</v>
      </c>
    </row>
    <row r="3667" spans="1:40" x14ac:dyDescent="0.25">
      <c r="A3667" t="str">
        <f>"20190305135702623"</f>
        <v>20190305135702623</v>
      </c>
      <c r="B3667" t="str">
        <f>"1551765422616039"</f>
        <v>1551765422616039</v>
      </c>
      <c r="C3667" t="s">
        <v>40</v>
      </c>
      <c r="D3667">
        <v>4.331251</v>
      </c>
      <c r="E3667">
        <v>0.59050449999999999</v>
      </c>
      <c r="F3667" t="s">
        <v>41</v>
      </c>
      <c r="G3667">
        <v>-419.76960000000003</v>
      </c>
      <c r="H3667">
        <v>1.042295</v>
      </c>
      <c r="I3667">
        <v>55.588389999999997</v>
      </c>
      <c r="J3667">
        <v>-419.76760000000002</v>
      </c>
      <c r="K3667">
        <v>1.1104689999999999</v>
      </c>
      <c r="L3667">
        <v>56.061459999999997</v>
      </c>
      <c r="M3667">
        <v>0.1888368</v>
      </c>
      <c r="N3667">
        <v>-1.4348E-2</v>
      </c>
      <c r="O3667">
        <v>-0.98190370000000005</v>
      </c>
      <c r="P3667">
        <v>0.31010490000000002</v>
      </c>
      <c r="Q3667">
        <v>-2.5151E-2</v>
      </c>
      <c r="R3667">
        <v>-0.95036969999999998</v>
      </c>
      <c r="S3667">
        <v>0.26980589999999999</v>
      </c>
      <c r="T3667">
        <v>-0.23803830000000001</v>
      </c>
      <c r="U3667">
        <v>-3.07193</v>
      </c>
      <c r="V3667">
        <v>-0.1250068</v>
      </c>
      <c r="W3667">
        <v>-1.1307090000000001E-2</v>
      </c>
      <c r="X3667">
        <v>0.99209150000000002</v>
      </c>
      <c r="Y3667">
        <v>0.10230889999999999</v>
      </c>
      <c r="Z3667">
        <v>6.0639650000000003E-2</v>
      </c>
      <c r="AA3667">
        <v>0.99290270000000003</v>
      </c>
      <c r="AB3667">
        <v>40</v>
      </c>
      <c r="AC3667">
        <v>-2.0000000000095402E-3</v>
      </c>
      <c r="AD3667">
        <v>-6.8174000000000096E-2</v>
      </c>
      <c r="AE3667">
        <v>-0.473069999999992</v>
      </c>
      <c r="AF3667">
        <v>8.9448625769160503E-2</v>
      </c>
      <c r="AG3667">
        <v>-6.8174000000000096E-2</v>
      </c>
      <c r="AH3667">
        <v>0.454735664356056</v>
      </c>
      <c r="AI3667">
        <v>98.368262689583105</v>
      </c>
      <c r="AJ3667">
        <v>78.871729042103794</v>
      </c>
      <c r="AK3667">
        <v>0.46843705592676399</v>
      </c>
      <c r="AL3667">
        <v>90.647862310293604</v>
      </c>
      <c r="AM3667">
        <v>97.181609650375506</v>
      </c>
      <c r="AN3667">
        <v>1.0000000473513699</v>
      </c>
    </row>
    <row r="3668" spans="1:40" x14ac:dyDescent="0.25">
      <c r="A3668" t="str">
        <f>"20190305135702645"</f>
        <v>20190305135702645</v>
      </c>
      <c r="B3668" t="str">
        <f>"1551765422635555"</f>
        <v>1551765422635555</v>
      </c>
      <c r="C3668" t="s">
        <v>40</v>
      </c>
      <c r="D3668">
        <v>4.3093769999999996</v>
      </c>
      <c r="E3668">
        <v>0.58997690000000003</v>
      </c>
      <c r="F3668" t="s">
        <v>41</v>
      </c>
      <c r="G3668">
        <v>-419.70499999999998</v>
      </c>
      <c r="H3668">
        <v>1.0464</v>
      </c>
      <c r="I3668">
        <v>55.232140000000001</v>
      </c>
      <c r="J3668">
        <v>-419.697</v>
      </c>
      <c r="K3668">
        <v>1.109728</v>
      </c>
      <c r="L3668">
        <v>55.690370000000001</v>
      </c>
      <c r="M3668">
        <v>0.18781809999999999</v>
      </c>
      <c r="N3668">
        <v>-1.43491E-2</v>
      </c>
      <c r="O3668">
        <v>-0.9820991</v>
      </c>
      <c r="P3668">
        <v>0.29371059999999999</v>
      </c>
      <c r="Q3668">
        <v>-2.4355089999999999E-2</v>
      </c>
      <c r="R3668">
        <v>-0.95558410000000005</v>
      </c>
      <c r="S3668">
        <v>0.23327639999999999</v>
      </c>
      <c r="T3668">
        <v>-0.23726140000000001</v>
      </c>
      <c r="U3668">
        <v>-3.074249</v>
      </c>
      <c r="V3668">
        <v>-0.1089744</v>
      </c>
      <c r="W3668">
        <v>-1.023719E-2</v>
      </c>
      <c r="X3668">
        <v>0.99399190000000004</v>
      </c>
      <c r="Y3668">
        <v>0.1130466</v>
      </c>
      <c r="Z3668">
        <v>6.033583E-2</v>
      </c>
      <c r="AA3668">
        <v>0.99175599999999997</v>
      </c>
      <c r="AB3668">
        <v>40</v>
      </c>
      <c r="AC3668">
        <v>-8.0000000000381901E-3</v>
      </c>
      <c r="AD3668">
        <v>-6.3327999999999995E-2</v>
      </c>
      <c r="AE3668">
        <v>-0.45822999999999298</v>
      </c>
      <c r="AF3668">
        <v>9.2170459440278393E-2</v>
      </c>
      <c r="AG3668">
        <v>-6.3327999999999995E-2</v>
      </c>
      <c r="AH3668">
        <v>0.44016642246203402</v>
      </c>
      <c r="AI3668">
        <v>98.015609765917404</v>
      </c>
      <c r="AJ3668">
        <v>78.173198865721602</v>
      </c>
      <c r="AK3668">
        <v>0.45415009483700097</v>
      </c>
      <c r="AL3668">
        <v>90.586557992229402</v>
      </c>
      <c r="AM3668">
        <v>96.256526402118496</v>
      </c>
      <c r="AN3668">
        <v>1.0000000585900299</v>
      </c>
    </row>
    <row r="3669" spans="1:40" x14ac:dyDescent="0.25">
      <c r="A3669" t="str">
        <f>"20190305135702667"</f>
        <v>20190305135702667</v>
      </c>
      <c r="B3669" t="str">
        <f>"1551765422656052"</f>
        <v>1551765422656052</v>
      </c>
      <c r="C3669" t="s">
        <v>40</v>
      </c>
      <c r="D3669">
        <v>4.3383770000000004</v>
      </c>
      <c r="E3669">
        <v>0.58933809999999998</v>
      </c>
      <c r="F3669" t="s">
        <v>41</v>
      </c>
      <c r="G3669">
        <v>-419.64819999999997</v>
      </c>
      <c r="H3669">
        <v>1.0470010000000001</v>
      </c>
      <c r="I3669">
        <v>54.876629999999999</v>
      </c>
      <c r="J3669">
        <v>-419.62430000000001</v>
      </c>
      <c r="K3669">
        <v>1.1089059999999999</v>
      </c>
      <c r="L3669">
        <v>55.302700000000002</v>
      </c>
      <c r="M3669">
        <v>0.1859634</v>
      </c>
      <c r="N3669">
        <v>-1.435674E-2</v>
      </c>
      <c r="O3669">
        <v>-0.98245170000000004</v>
      </c>
      <c r="P3669">
        <v>0.2751477</v>
      </c>
      <c r="Q3669">
        <v>-2.6378430000000001E-2</v>
      </c>
      <c r="R3669">
        <v>-0.96104029999999996</v>
      </c>
      <c r="S3669">
        <v>0.1850281</v>
      </c>
      <c r="T3669">
        <v>-0.23708580000000001</v>
      </c>
      <c r="U3669">
        <v>-3.0765380000000002</v>
      </c>
      <c r="V3669">
        <v>-9.1618480000000002E-2</v>
      </c>
      <c r="W3669">
        <v>-1.202465E-2</v>
      </c>
      <c r="X3669">
        <v>0.99572159999999998</v>
      </c>
      <c r="Y3669">
        <v>0.12668650000000001</v>
      </c>
      <c r="Z3669">
        <v>6.0211920000000002E-2</v>
      </c>
      <c r="AA3669">
        <v>0.99011369999999999</v>
      </c>
      <c r="AB3669">
        <v>40</v>
      </c>
      <c r="AC3669">
        <v>-2.3899999999969099E-2</v>
      </c>
      <c r="AD3669">
        <v>-6.19049999999998E-2</v>
      </c>
      <c r="AE3669">
        <v>-0.42606999999999501</v>
      </c>
      <c r="AF3669">
        <v>0.100607448684657</v>
      </c>
      <c r="AG3669">
        <v>-6.19049999999998E-2</v>
      </c>
      <c r="AH3669">
        <v>0.40565485145645402</v>
      </c>
      <c r="AI3669">
        <v>98.425262206452103</v>
      </c>
      <c r="AJ3669">
        <v>76.070986710386606</v>
      </c>
      <c r="AK3669">
        <v>0.422504374256639</v>
      </c>
      <c r="AL3669">
        <v>90.688978284542401</v>
      </c>
      <c r="AM3669">
        <v>95.257104943992005</v>
      </c>
      <c r="AN3669">
        <v>1.00000002139584</v>
      </c>
    </row>
    <row r="3670" spans="1:40" x14ac:dyDescent="0.25">
      <c r="A3670" t="str">
        <f>"20190305135702691"</f>
        <v>20190305135702691</v>
      </c>
      <c r="B3670" t="str">
        <f>"1551765422686307"</f>
        <v>1551765422686307</v>
      </c>
      <c r="C3670" t="s">
        <v>40</v>
      </c>
      <c r="D3670">
        <v>4.4204179999999997</v>
      </c>
      <c r="E3670">
        <v>0.58824030000000005</v>
      </c>
      <c r="F3670" t="s">
        <v>41</v>
      </c>
      <c r="G3670">
        <v>-419.59160000000003</v>
      </c>
      <c r="H3670">
        <v>1.0461450000000001</v>
      </c>
      <c r="I3670">
        <v>54.522500000000001</v>
      </c>
      <c r="J3670">
        <v>-419.55009999999999</v>
      </c>
      <c r="K3670">
        <v>1.1080239999999999</v>
      </c>
      <c r="L3670">
        <v>54.899019999999901</v>
      </c>
      <c r="M3670">
        <v>0.1831835</v>
      </c>
      <c r="N3670">
        <v>-1.4371E-2</v>
      </c>
      <c r="O3670">
        <v>-0.98297369999999995</v>
      </c>
      <c r="P3670">
        <v>0.25684249999999997</v>
      </c>
      <c r="Q3670">
        <v>-3.0910130000000001E-2</v>
      </c>
      <c r="R3670">
        <v>-0.96595880000000001</v>
      </c>
      <c r="S3670">
        <v>0.13040160000000001</v>
      </c>
      <c r="T3670">
        <v>-0.2471341</v>
      </c>
      <c r="U3670">
        <v>-3.077515</v>
      </c>
      <c r="V3670">
        <v>-7.5574429999999998E-2</v>
      </c>
      <c r="W3670">
        <v>-1.6376729999999999E-2</v>
      </c>
      <c r="X3670">
        <v>0.99700560000000005</v>
      </c>
      <c r="Y3670">
        <v>0.14140710000000001</v>
      </c>
      <c r="Z3670">
        <v>6.3304570000000004E-2</v>
      </c>
      <c r="AA3670">
        <v>0.98792539999999995</v>
      </c>
      <c r="AB3670">
        <v>40</v>
      </c>
      <c r="AC3670">
        <v>-4.1500000000041802E-2</v>
      </c>
      <c r="AD3670">
        <v>-6.1878999999999802E-2</v>
      </c>
      <c r="AE3670">
        <v>-0.37651999999999203</v>
      </c>
      <c r="AF3670">
        <v>0.106923741723719</v>
      </c>
      <c r="AG3670">
        <v>-6.1878999999999802E-2</v>
      </c>
      <c r="AH3670">
        <v>0.35312155062053802</v>
      </c>
      <c r="AI3670">
        <v>99.520719949269505</v>
      </c>
      <c r="AJ3670">
        <v>73.153905169431894</v>
      </c>
      <c r="AK3670">
        <v>0.37410764052322398</v>
      </c>
      <c r="AL3670">
        <v>90.938359525198095</v>
      </c>
      <c r="AM3670">
        <v>94.3348111454236</v>
      </c>
      <c r="AN3670">
        <v>0.99999992909333602</v>
      </c>
    </row>
    <row r="3671" spans="1:40" x14ac:dyDescent="0.25">
      <c r="A3671" t="str">
        <f>"20190305135702713"</f>
        <v>20190305135702713</v>
      </c>
      <c r="B3671" t="str">
        <f>"1551765422705827"</f>
        <v>1551765422705827</v>
      </c>
      <c r="C3671" t="s">
        <v>40</v>
      </c>
      <c r="D3671">
        <v>4.4187250000000002</v>
      </c>
      <c r="E3671">
        <v>0.58775849999999996</v>
      </c>
      <c r="F3671" t="s">
        <v>41</v>
      </c>
      <c r="G3671">
        <v>-419.52249999999998</v>
      </c>
      <c r="H3671">
        <v>1.016751</v>
      </c>
      <c r="I3671">
        <v>53.822690000000001</v>
      </c>
      <c r="J3671">
        <v>-419.47710000000001</v>
      </c>
      <c r="K3671">
        <v>1.1071489999999999</v>
      </c>
      <c r="L3671">
        <v>54.491030000000002</v>
      </c>
      <c r="M3671">
        <v>0.179510999999999</v>
      </c>
      <c r="N3671">
        <v>-1.43911E-2</v>
      </c>
      <c r="O3671">
        <v>-0.98365080000000005</v>
      </c>
      <c r="P3671">
        <v>0.2415639</v>
      </c>
      <c r="Q3671">
        <v>-3.5402099999999999E-2</v>
      </c>
      <c r="R3671">
        <v>-0.96973929999999997</v>
      </c>
      <c r="S3671">
        <v>7.9406740000000003E-2</v>
      </c>
      <c r="T3671">
        <v>-0.26070310000000002</v>
      </c>
      <c r="U3671">
        <v>-3.076263</v>
      </c>
      <c r="V3671">
        <v>-6.3642320000000002E-2</v>
      </c>
      <c r="W3671">
        <v>-2.074026E-2</v>
      </c>
      <c r="X3671">
        <v>0.99775729999999996</v>
      </c>
      <c r="Y3671">
        <v>0.15403049999999999</v>
      </c>
      <c r="Z3671">
        <v>6.7557980000000004E-2</v>
      </c>
      <c r="AA3671">
        <v>0.98575380000000001</v>
      </c>
      <c r="AB3671">
        <v>40</v>
      </c>
      <c r="AC3671">
        <v>-4.5399999999972303E-2</v>
      </c>
      <c r="AD3671">
        <v>-9.0397999999999895E-2</v>
      </c>
      <c r="AE3671">
        <v>-0.66834000000000005</v>
      </c>
      <c r="AF3671">
        <v>0.16170443378559499</v>
      </c>
      <c r="AG3671">
        <v>-9.0397999999999895E-2</v>
      </c>
      <c r="AH3671">
        <v>0.63771736340274399</v>
      </c>
      <c r="AI3671">
        <v>97.823676084349302</v>
      </c>
      <c r="AJ3671">
        <v>75.771536538027803</v>
      </c>
      <c r="AK3671">
        <v>0.66408098745203303</v>
      </c>
      <c r="AL3671">
        <v>91.188414496441894</v>
      </c>
      <c r="AM3671">
        <v>93.649688262537595</v>
      </c>
      <c r="AN3671">
        <v>1.00000006649156</v>
      </c>
    </row>
    <row r="3672" spans="1:40" x14ac:dyDescent="0.25">
      <c r="A3672" t="str">
        <f>"20190305135702735"</f>
        <v>20190305135702735</v>
      </c>
      <c r="B3672" t="str">
        <f>"1551765422726323"</f>
        <v>1551765422726323</v>
      </c>
      <c r="C3672" t="s">
        <v>40</v>
      </c>
      <c r="D3672">
        <v>4.4529990000000002</v>
      </c>
      <c r="E3672">
        <v>0.56435139999999995</v>
      </c>
      <c r="F3672" t="s">
        <v>41</v>
      </c>
      <c r="G3672">
        <v>-419.46620000000001</v>
      </c>
      <c r="H3672">
        <v>1.0179210000000001</v>
      </c>
      <c r="I3672">
        <v>53.467709999999997</v>
      </c>
      <c r="J3672">
        <v>-419.41039999999998</v>
      </c>
      <c r="K3672">
        <v>1.1064039999999999</v>
      </c>
      <c r="L3672">
        <v>54.106870000000001</v>
      </c>
      <c r="M3672">
        <v>0.1754541</v>
      </c>
      <c r="N3672">
        <v>-1.4410020000000001E-2</v>
      </c>
      <c r="O3672">
        <v>-0.98438219999999998</v>
      </c>
      <c r="P3672">
        <v>0.2292911</v>
      </c>
      <c r="Q3672">
        <v>-3.6944919999999999E-2</v>
      </c>
      <c r="R3672">
        <v>-0.97265670000000004</v>
      </c>
      <c r="S3672">
        <v>3.3020019999999997E-2</v>
      </c>
      <c r="T3672">
        <v>-0.26806600000000003</v>
      </c>
      <c r="U3672">
        <v>-3.0756230000000002</v>
      </c>
      <c r="V3672">
        <v>-5.5206860000000003E-2</v>
      </c>
      <c r="W3672">
        <v>-2.22001E-2</v>
      </c>
      <c r="X3672">
        <v>0.99822809999999995</v>
      </c>
      <c r="Y3672">
        <v>0.1647942</v>
      </c>
      <c r="Z3672">
        <v>6.9864809999999999E-2</v>
      </c>
      <c r="AA3672">
        <v>0.98385049999999996</v>
      </c>
      <c r="AB3672">
        <v>40</v>
      </c>
      <c r="AC3672">
        <v>-5.5800000000033302E-2</v>
      </c>
      <c r="AD3672">
        <v>-8.8483000000000298E-2</v>
      </c>
      <c r="AE3672">
        <v>-0.63915999999999595</v>
      </c>
      <c r="AF3672">
        <v>0.16397044532195301</v>
      </c>
      <c r="AG3672">
        <v>-8.8483000000000298E-2</v>
      </c>
      <c r="AH3672">
        <v>0.60788980856035502</v>
      </c>
      <c r="AI3672">
        <v>97.999664437492697</v>
      </c>
      <c r="AJ3672">
        <v>74.904464394011697</v>
      </c>
      <c r="AK3672">
        <v>0.63580308868361501</v>
      </c>
      <c r="AL3672">
        <v>91.272076550464703</v>
      </c>
      <c r="AM3672">
        <v>93.165510016018402</v>
      </c>
      <c r="AN3672">
        <v>0.99999999073033896</v>
      </c>
    </row>
    <row r="3673" spans="1:40" x14ac:dyDescent="0.25">
      <c r="A3673" t="str">
        <f>"20190305135702757"</f>
        <v>20190305135702757</v>
      </c>
      <c r="B3673" t="str">
        <f>"1551765422745843"</f>
        <v>1551765422745843</v>
      </c>
      <c r="C3673" t="s">
        <v>40</v>
      </c>
      <c r="D3673">
        <v>4.4696280000000002</v>
      </c>
      <c r="E3673">
        <v>0.56320809999999999</v>
      </c>
      <c r="F3673" t="s">
        <v>41</v>
      </c>
      <c r="G3673">
        <v>-419.35590000000002</v>
      </c>
      <c r="H3673">
        <v>1.0063690000000001</v>
      </c>
      <c r="I3673">
        <v>53.133429999999997</v>
      </c>
      <c r="J3673">
        <v>-419.34449999999998</v>
      </c>
      <c r="K3673">
        <v>1.105718</v>
      </c>
      <c r="L3673">
        <v>53.715730000000001</v>
      </c>
      <c r="M3673">
        <v>0.17077120000000001</v>
      </c>
      <c r="N3673">
        <v>-1.4425250000000001E-2</v>
      </c>
      <c r="O3673">
        <v>-0.98520529999999995</v>
      </c>
      <c r="P3673">
        <v>0.21907280000000001</v>
      </c>
      <c r="Q3673">
        <v>-3.5478139999999998E-2</v>
      </c>
      <c r="R3673">
        <v>-0.97506360000000003</v>
      </c>
      <c r="S3673">
        <v>0.17089840000000001</v>
      </c>
      <c r="T3673">
        <v>-0.31116179999999999</v>
      </c>
      <c r="U3673">
        <v>-3.0322269999999998</v>
      </c>
      <c r="V3673">
        <v>-4.9495699999999997E-2</v>
      </c>
      <c r="W3673">
        <v>-2.0669420000000001E-2</v>
      </c>
      <c r="X3673">
        <v>0.99856040000000001</v>
      </c>
      <c r="Y3673">
        <v>0.1151807</v>
      </c>
      <c r="Z3673">
        <v>8.5131879999999993E-2</v>
      </c>
      <c r="AA3673">
        <v>0.98968979999999995</v>
      </c>
      <c r="AB3673">
        <v>40</v>
      </c>
      <c r="AC3673">
        <v>-1.14000000000373E-2</v>
      </c>
      <c r="AD3673">
        <v>-9.9348999999999896E-2</v>
      </c>
      <c r="AE3673">
        <v>-0.58230000000000304</v>
      </c>
      <c r="AF3673">
        <v>0.107553292486314</v>
      </c>
      <c r="AG3673">
        <v>-9.9348999999999896E-2</v>
      </c>
      <c r="AH3673">
        <v>0.55562978381584205</v>
      </c>
      <c r="AI3673">
        <v>99.956583181030297</v>
      </c>
      <c r="AJ3673">
        <v>79.044740245261096</v>
      </c>
      <c r="AK3673">
        <v>0.57459759065704896</v>
      </c>
      <c r="AL3673">
        <v>91.184354918560203</v>
      </c>
      <c r="AM3673">
        <v>92.8376607313824</v>
      </c>
      <c r="AN3673">
        <v>0.99999996084489196</v>
      </c>
    </row>
    <row r="3674" spans="1:40" x14ac:dyDescent="0.25">
      <c r="A3674" t="str">
        <f>"20190305135702780"</f>
        <v>20190305135702780</v>
      </c>
      <c r="B3674" t="str">
        <f>"1551765422776099"</f>
        <v>1551765422776099</v>
      </c>
      <c r="C3674" t="s">
        <v>40</v>
      </c>
      <c r="D3674">
        <v>4.5444550000000001</v>
      </c>
      <c r="E3674">
        <v>0.56088850000000001</v>
      </c>
      <c r="F3674" t="s">
        <v>41</v>
      </c>
      <c r="G3674">
        <v>-419.29840000000002</v>
      </c>
      <c r="H3674">
        <v>1.017145</v>
      </c>
      <c r="I3674">
        <v>52.7752699999999</v>
      </c>
      <c r="J3674">
        <v>-419.28210000000001</v>
      </c>
      <c r="K3674">
        <v>1.10511</v>
      </c>
      <c r="L3674">
        <v>53.331910000000001</v>
      </c>
      <c r="M3674">
        <v>0.16569020000000001</v>
      </c>
      <c r="N3674">
        <v>-1.443783E-2</v>
      </c>
      <c r="O3674">
        <v>-0.98607219999999995</v>
      </c>
      <c r="P3674">
        <v>0.21069640000000001</v>
      </c>
      <c r="Q3674">
        <v>-3.5508020000000001E-2</v>
      </c>
      <c r="R3674">
        <v>-0.97690650000000001</v>
      </c>
      <c r="S3674">
        <v>0.14886469999999999</v>
      </c>
      <c r="T3674">
        <v>-0.28563149999999998</v>
      </c>
      <c r="U3674">
        <v>-3.032867</v>
      </c>
      <c r="V3674">
        <v>-4.610525E-2</v>
      </c>
      <c r="W3674">
        <v>-2.064452E-2</v>
      </c>
      <c r="X3674">
        <v>0.99872329999999998</v>
      </c>
      <c r="Y3674">
        <v>0.1172147</v>
      </c>
      <c r="Z3674">
        <v>7.7122419999999997E-2</v>
      </c>
      <c r="AA3674">
        <v>0.99010750000000003</v>
      </c>
      <c r="AB3674">
        <v>40</v>
      </c>
      <c r="AC3674">
        <v>-1.6300000000001001E-2</v>
      </c>
      <c r="AD3674">
        <v>-8.7965000000000002E-2</v>
      </c>
      <c r="AE3674">
        <v>-0.55664000000000802</v>
      </c>
      <c r="AF3674">
        <v>0.105677237018759</v>
      </c>
      <c r="AG3674">
        <v>-8.7965000000000002E-2</v>
      </c>
      <c r="AH3674">
        <v>0.53294553894003904</v>
      </c>
      <c r="AI3674">
        <v>99.1965126685066</v>
      </c>
      <c r="AJ3674">
        <v>78.784361141278296</v>
      </c>
      <c r="AK3674">
        <v>0.55039664527048804</v>
      </c>
      <c r="AL3674">
        <v>91.182927831654794</v>
      </c>
      <c r="AM3674">
        <v>92.643136568006796</v>
      </c>
      <c r="AN3674">
        <v>1.00000006012323</v>
      </c>
    </row>
    <row r="3675" spans="1:40" x14ac:dyDescent="0.25">
      <c r="A3675" t="str">
        <f>"20190305135702802"</f>
        <v>20190305135702802</v>
      </c>
      <c r="B3675" t="str">
        <f>"1551765422795619"</f>
        <v>1551765422795619</v>
      </c>
      <c r="C3675" t="s">
        <v>40</v>
      </c>
      <c r="D3675">
        <v>4.8453530000000002</v>
      </c>
      <c r="E3675">
        <v>0.52979790000000004</v>
      </c>
      <c r="F3675" t="s">
        <v>41</v>
      </c>
      <c r="G3675">
        <v>-419.24029999999999</v>
      </c>
      <c r="H3675">
        <v>1.0185580000000001</v>
      </c>
      <c r="I3675">
        <v>52.422159999999998</v>
      </c>
      <c r="J3675">
        <v>-419.21850000000001</v>
      </c>
      <c r="K3675">
        <v>1.10453</v>
      </c>
      <c r="L3675">
        <v>52.925020000000004</v>
      </c>
      <c r="M3675">
        <v>0.15985199999999999</v>
      </c>
      <c r="N3675">
        <v>-1.4451500000000001E-2</v>
      </c>
      <c r="O3675">
        <v>-0.98703529999999995</v>
      </c>
      <c r="P3675">
        <v>0.2063545</v>
      </c>
      <c r="Q3675">
        <v>-3.5915740000000002E-2</v>
      </c>
      <c r="R3675">
        <v>-0.97781810000000002</v>
      </c>
      <c r="S3675">
        <v>0.14035029999999901</v>
      </c>
      <c r="T3675">
        <v>-0.28790650000000001</v>
      </c>
      <c r="U3675">
        <v>-3.0301819999999999</v>
      </c>
      <c r="V3675">
        <v>-4.761406E-2</v>
      </c>
      <c r="W3675">
        <v>-2.0957670000000001E-2</v>
      </c>
      <c r="X3675">
        <v>0.99864589999999998</v>
      </c>
      <c r="Y3675">
        <v>0.1140751</v>
      </c>
      <c r="Z3675">
        <v>7.8066769999999994E-2</v>
      </c>
      <c r="AA3675">
        <v>0.99040010000000001</v>
      </c>
      <c r="AB3675">
        <v>40</v>
      </c>
      <c r="AC3675">
        <v>-2.17999999999847E-2</v>
      </c>
      <c r="AD3675">
        <v>-8.5971999999999896E-2</v>
      </c>
      <c r="AE3675">
        <v>-0.50285999999999798</v>
      </c>
      <c r="AF3675">
        <v>9.9022247652714696E-2</v>
      </c>
      <c r="AG3675">
        <v>-8.5971999999999896E-2</v>
      </c>
      <c r="AH3675">
        <v>0.47893451619527599</v>
      </c>
      <c r="AI3675">
        <v>99.970092922445204</v>
      </c>
      <c r="AJ3675">
        <v>78.318392175303202</v>
      </c>
      <c r="AK3675">
        <v>0.496563048481659</v>
      </c>
      <c r="AL3675">
        <v>91.200873985420003</v>
      </c>
      <c r="AM3675">
        <v>92.729716600687993</v>
      </c>
      <c r="AN3675">
        <v>0.99999997811416097</v>
      </c>
    </row>
    <row r="3676" spans="1:40" x14ac:dyDescent="0.25">
      <c r="A3676" t="str">
        <f>"20190305135702823"</f>
        <v>20190305135702823</v>
      </c>
      <c r="B3676" t="str">
        <f>"1551765422816119"</f>
        <v>1551765422816119</v>
      </c>
      <c r="C3676" t="s">
        <v>40</v>
      </c>
      <c r="D3676">
        <v>4.5379250000000004</v>
      </c>
      <c r="E3676">
        <v>0.51890009999999998</v>
      </c>
      <c r="F3676" t="s">
        <v>41</v>
      </c>
      <c r="G3676">
        <v>-419.11160000000001</v>
      </c>
      <c r="H3676">
        <v>1.036489</v>
      </c>
      <c r="I3676">
        <v>52.072040000000001</v>
      </c>
      <c r="J3676">
        <v>-419.16039999999998</v>
      </c>
      <c r="K3676">
        <v>1.1040460000000001</v>
      </c>
      <c r="L3676">
        <v>52.536709999999999</v>
      </c>
      <c r="M3676">
        <v>0.1539172</v>
      </c>
      <c r="N3676">
        <v>-1.4464940000000001E-2</v>
      </c>
      <c r="O3676">
        <v>-0.98797800000000002</v>
      </c>
      <c r="P3676">
        <v>0.20434169999999999</v>
      </c>
      <c r="Q3676">
        <v>-3.483232E-2</v>
      </c>
      <c r="R3676">
        <v>-0.97827980000000003</v>
      </c>
      <c r="S3676">
        <v>0.37438959999999999</v>
      </c>
      <c r="T3676">
        <v>-0.23744699999999999</v>
      </c>
      <c r="U3676">
        <v>-2.9803160000000002</v>
      </c>
      <c r="V3676">
        <v>-5.1564470000000001E-2</v>
      </c>
      <c r="W3676">
        <v>-1.9756329999999999E-2</v>
      </c>
      <c r="X3676">
        <v>0.99847419999999998</v>
      </c>
      <c r="Y3676">
        <v>2.9810969999999999E-2</v>
      </c>
      <c r="Z3676">
        <v>6.3397229999999999E-2</v>
      </c>
      <c r="AA3676">
        <v>0.99754299999999996</v>
      </c>
      <c r="AB3676">
        <v>40</v>
      </c>
      <c r="AC3676">
        <v>4.8799999999971498E-2</v>
      </c>
      <c r="AD3676">
        <v>-6.7556999999999798E-2</v>
      </c>
      <c r="AE3676">
        <v>-0.46466999999999797</v>
      </c>
      <c r="AF3676">
        <v>2.28324607327215E-2</v>
      </c>
      <c r="AG3676">
        <v>-6.7556999999999798E-2</v>
      </c>
      <c r="AH3676">
        <v>0.45708741810437797</v>
      </c>
      <c r="AI3676">
        <v>98.397065042191798</v>
      </c>
      <c r="AJ3676">
        <v>87.140334365443593</v>
      </c>
      <c r="AK3676">
        <v>0.462616663449813</v>
      </c>
      <c r="AL3676">
        <v>91.132028013284</v>
      </c>
      <c r="AM3676">
        <v>92.9563149323413</v>
      </c>
      <c r="AN3676">
        <v>0.99999996760354404</v>
      </c>
    </row>
    <row r="3677" spans="1:40" x14ac:dyDescent="0.25">
      <c r="A3677" t="str">
        <f>"20190305135702846"</f>
        <v>20190305135702846</v>
      </c>
      <c r="B3677" t="str">
        <f>"1551765422835636"</f>
        <v>1551765422835636</v>
      </c>
      <c r="C3677" t="s">
        <v>40</v>
      </c>
      <c r="D3677">
        <v>4.4728300000000001</v>
      </c>
      <c r="E3677">
        <v>0.51501529999999995</v>
      </c>
      <c r="F3677" t="s">
        <v>78</v>
      </c>
      <c r="G3677">
        <v>-416.7817</v>
      </c>
      <c r="H3677" s="1">
        <v>-2.4772990000000002E-6</v>
      </c>
      <c r="I3677">
        <v>37.045920000000002</v>
      </c>
      <c r="J3677">
        <v>-419.10390000000001</v>
      </c>
      <c r="K3677">
        <v>1.1035980000000001</v>
      </c>
      <c r="L3677">
        <v>52.141269999999999</v>
      </c>
      <c r="M3677">
        <v>0.14757899999999999</v>
      </c>
      <c r="N3677">
        <v>-1.4477830000000001E-2</v>
      </c>
      <c r="O3677">
        <v>-0.9889443</v>
      </c>
      <c r="P3677">
        <v>0.20136190000000001</v>
      </c>
      <c r="Q3677">
        <v>-3.2071040000000002E-2</v>
      </c>
      <c r="R3677">
        <v>-0.97899190000000003</v>
      </c>
      <c r="S3677">
        <v>0.45513920000000002</v>
      </c>
      <c r="T3677">
        <v>-0.21124950000000001</v>
      </c>
      <c r="U3677">
        <v>-2.9640200000000001</v>
      </c>
      <c r="V3677">
        <v>-5.4895069999999997E-2</v>
      </c>
      <c r="W3677">
        <v>-1.6881710000000001E-2</v>
      </c>
      <c r="X3677">
        <v>0.99834940000000005</v>
      </c>
      <c r="Y3677">
        <v>-3.992069E-3</v>
      </c>
      <c r="Z3677">
        <v>5.5237080000000001E-2</v>
      </c>
      <c r="AA3677">
        <v>0.9984653</v>
      </c>
      <c r="AB3677">
        <v>40</v>
      </c>
      <c r="AC3677">
        <v>2.3222</v>
      </c>
      <c r="AD3677">
        <v>-1.10360047729899</v>
      </c>
      <c r="AE3677">
        <v>-15.0953499999999</v>
      </c>
      <c r="AF3677">
        <v>-6.8419763652782795E-2</v>
      </c>
      <c r="AG3677">
        <v>-1.10360047729899</v>
      </c>
      <c r="AH3677">
        <v>15.1934394015389</v>
      </c>
      <c r="AI3677">
        <v>94.154435066747695</v>
      </c>
      <c r="AJ3677">
        <v>90.258015126795001</v>
      </c>
      <c r="AK3677">
        <v>15.233621241378801</v>
      </c>
      <c r="AL3677">
        <v>90.967296690097498</v>
      </c>
      <c r="AM3677">
        <v>93.147286644014201</v>
      </c>
      <c r="AN3677">
        <v>0.99999999266159401</v>
      </c>
    </row>
    <row r="3678" spans="1:40" x14ac:dyDescent="0.25">
      <c r="A3678" t="str">
        <f>"20190305135702869"</f>
        <v>20190305135702869</v>
      </c>
      <c r="B3678" t="str">
        <f>"1551765422856132"</f>
        <v>1551765422856132</v>
      </c>
      <c r="C3678" t="s">
        <v>40</v>
      </c>
      <c r="D3678">
        <v>4.4770880000000002</v>
      </c>
      <c r="E3678">
        <v>0.51320730000000003</v>
      </c>
      <c r="F3678" t="s">
        <v>78</v>
      </c>
      <c r="G3678">
        <v>-416.45549999999997</v>
      </c>
      <c r="H3678" s="1">
        <v>-3.3431440000000002E-6</v>
      </c>
      <c r="I3678">
        <v>35.731559999999902</v>
      </c>
      <c r="J3678">
        <v>-419.05070000000001</v>
      </c>
      <c r="K3678">
        <v>1.1032189999999999</v>
      </c>
      <c r="L3678">
        <v>51.749940000000002</v>
      </c>
      <c r="M3678">
        <v>0.14107420000000001</v>
      </c>
      <c r="N3678">
        <v>-1.4489139999999999E-2</v>
      </c>
      <c r="O3678">
        <v>-0.98989300000000002</v>
      </c>
      <c r="P3678">
        <v>0.19770889999999999</v>
      </c>
      <c r="Q3678">
        <v>-2.9238879999999998E-2</v>
      </c>
      <c r="R3678">
        <v>-0.97982480000000005</v>
      </c>
      <c r="S3678">
        <v>0.47766110000000001</v>
      </c>
      <c r="T3678">
        <v>-0.19904160000000001</v>
      </c>
      <c r="U3678">
        <v>-2.9595950000000002</v>
      </c>
      <c r="V3678">
        <v>-5.7695209999999997E-2</v>
      </c>
      <c r="W3678">
        <v>-1.3947060000000001E-2</v>
      </c>
      <c r="X3678">
        <v>0.99823680000000004</v>
      </c>
      <c r="Y3678">
        <v>-1.8228580000000001E-2</v>
      </c>
      <c r="Z3678">
        <v>5.1370680000000002E-2</v>
      </c>
      <c r="AA3678">
        <v>0.99851330000000005</v>
      </c>
      <c r="AB3678">
        <v>40</v>
      </c>
      <c r="AC3678">
        <v>2.5952000000000299</v>
      </c>
      <c r="AD3678">
        <v>-1.103222343144</v>
      </c>
      <c r="AE3678">
        <v>-16.018380000000001</v>
      </c>
      <c r="AF3678">
        <v>-0.30779995482665001</v>
      </c>
      <c r="AG3678">
        <v>-1.103222343144</v>
      </c>
      <c r="AH3678">
        <v>16.149656161021198</v>
      </c>
      <c r="AI3678">
        <v>93.907235465108499</v>
      </c>
      <c r="AJ3678">
        <v>91.091881042500006</v>
      </c>
      <c r="AK3678">
        <v>16.190220334195999</v>
      </c>
      <c r="AL3678">
        <v>90.799133597359699</v>
      </c>
      <c r="AM3678">
        <v>93.307850898292799</v>
      </c>
      <c r="AN3678">
        <v>0.99999998330691298</v>
      </c>
    </row>
    <row r="3679" spans="1:40" x14ac:dyDescent="0.25">
      <c r="A3679" t="str">
        <f>"20190305135702893"</f>
        <v>20190305135702893</v>
      </c>
      <c r="B3679" t="str">
        <f>"1551765422886387"</f>
        <v>1551765422886387</v>
      </c>
      <c r="C3679" t="s">
        <v>40</v>
      </c>
      <c r="D3679">
        <v>4.4899879999999897</v>
      </c>
      <c r="E3679">
        <v>0.51149350000000005</v>
      </c>
      <c r="F3679" t="s">
        <v>78</v>
      </c>
      <c r="G3679">
        <v>-416.26479999999998</v>
      </c>
      <c r="H3679" s="1">
        <v>-3.9945770000000003E-6</v>
      </c>
      <c r="I3679">
        <v>34.617820000000002</v>
      </c>
      <c r="J3679">
        <v>-418.99869999999999</v>
      </c>
      <c r="K3679">
        <v>1.1028960000000001</v>
      </c>
      <c r="L3679">
        <v>51.345059999999997</v>
      </c>
      <c r="M3679">
        <v>0.134155</v>
      </c>
      <c r="N3679">
        <v>-1.4499E-2</v>
      </c>
      <c r="O3679">
        <v>-0.99085440000000002</v>
      </c>
      <c r="P3679">
        <v>0.19523550000000001</v>
      </c>
      <c r="Q3679">
        <v>-2.8290599999999999E-2</v>
      </c>
      <c r="R3679">
        <v>-0.98034860000000001</v>
      </c>
      <c r="S3679">
        <v>0.48117070000000001</v>
      </c>
      <c r="T3679">
        <v>-0.19054380000000001</v>
      </c>
      <c r="U3679">
        <v>-2.9589840000000001</v>
      </c>
      <c r="V3679">
        <v>-6.214132E-2</v>
      </c>
      <c r="W3679">
        <v>-1.2877970000000001E-2</v>
      </c>
      <c r="X3679">
        <v>0.99798430000000005</v>
      </c>
      <c r="Y3679">
        <v>-2.6417610000000001E-2</v>
      </c>
      <c r="Z3679">
        <v>4.8652029999999999E-2</v>
      </c>
      <c r="AA3679">
        <v>0.99846639999999998</v>
      </c>
      <c r="AB3679">
        <v>40</v>
      </c>
      <c r="AC3679">
        <v>2.7339000000000002</v>
      </c>
      <c r="AD3679">
        <v>-1.1028999945769999</v>
      </c>
      <c r="AE3679">
        <v>-16.727239999999899</v>
      </c>
      <c r="AF3679">
        <v>-0.46294257104394099</v>
      </c>
      <c r="AG3679">
        <v>-1.1028999945769999</v>
      </c>
      <c r="AH3679">
        <v>16.8713674386679</v>
      </c>
      <c r="AI3679">
        <v>93.738763714983094</v>
      </c>
      <c r="AJ3679">
        <v>91.571775466604194</v>
      </c>
      <c r="AK3679">
        <v>16.913714656238799</v>
      </c>
      <c r="AL3679">
        <v>90.737873707735403</v>
      </c>
      <c r="AM3679">
        <v>93.563026579688994</v>
      </c>
      <c r="AN3679">
        <v>1.0000000244045699</v>
      </c>
    </row>
    <row r="3680" spans="1:40" x14ac:dyDescent="0.25">
      <c r="A3680" t="str">
        <f>"20190305135702914"</f>
        <v>20190305135702914</v>
      </c>
      <c r="B3680" t="str">
        <f>"1551765422905909"</f>
        <v>1551765422905909</v>
      </c>
      <c r="C3680" t="s">
        <v>40</v>
      </c>
      <c r="D3680">
        <v>4.5235399999999997</v>
      </c>
      <c r="E3680">
        <v>0.51074189999999997</v>
      </c>
      <c r="F3680" t="s">
        <v>78</v>
      </c>
      <c r="G3680">
        <v>-416.14479999999998</v>
      </c>
      <c r="H3680" s="1">
        <v>-4.3230940000000004E-6</v>
      </c>
      <c r="I3680">
        <v>34.025419999999997</v>
      </c>
      <c r="J3680">
        <v>-418.95049999999998</v>
      </c>
      <c r="K3680">
        <v>1.1026290000000001</v>
      </c>
      <c r="L3680">
        <v>50.946809999999999</v>
      </c>
      <c r="M3680">
        <v>0.12721979999999999</v>
      </c>
      <c r="N3680">
        <v>-1.4506979999999999E-2</v>
      </c>
      <c r="O3680">
        <v>-0.99176839999999999</v>
      </c>
      <c r="P3680">
        <v>0.19538</v>
      </c>
      <c r="Q3680">
        <v>-2.832318E-2</v>
      </c>
      <c r="R3680">
        <v>-0.98031849999999998</v>
      </c>
      <c r="S3680">
        <v>0.48736570000000001</v>
      </c>
      <c r="T3680">
        <v>-0.18834020000000001</v>
      </c>
      <c r="U3680">
        <v>-2.9576419999999999</v>
      </c>
      <c r="V3680">
        <v>-6.9274130000000003E-2</v>
      </c>
      <c r="W3680">
        <v>-1.2755900000000001E-2</v>
      </c>
      <c r="X3680">
        <v>0.99751610000000002</v>
      </c>
      <c r="Y3680">
        <v>-3.5518719999999997E-2</v>
      </c>
      <c r="Z3680">
        <v>4.8006569999999998E-2</v>
      </c>
      <c r="AA3680">
        <v>0.99821530000000003</v>
      </c>
      <c r="AB3680">
        <v>40</v>
      </c>
      <c r="AC3680">
        <v>2.8056999999999999</v>
      </c>
      <c r="AD3680">
        <v>-1.102633323094</v>
      </c>
      <c r="AE3680">
        <v>-16.921389999999899</v>
      </c>
      <c r="AF3680">
        <v>-0.62734258674047405</v>
      </c>
      <c r="AG3680">
        <v>-1.102633323094</v>
      </c>
      <c r="AH3680">
        <v>17.070302370668099</v>
      </c>
      <c r="AI3680">
        <v>93.693323446740195</v>
      </c>
      <c r="AJ3680">
        <v>92.104702823061402</v>
      </c>
      <c r="AK3680">
        <v>17.117376609526801</v>
      </c>
      <c r="AL3680">
        <v>90.730879059837306</v>
      </c>
      <c r="AM3680">
        <v>93.972620476203005</v>
      </c>
      <c r="AN3680">
        <v>0.99999999391563799</v>
      </c>
    </row>
    <row r="3681" spans="1:40" x14ac:dyDescent="0.25">
      <c r="A3681" t="str">
        <f>"20190305135702959"</f>
        <v>20190305135702959</v>
      </c>
      <c r="B3681" t="str">
        <f>"1551765422955684"</f>
        <v>1551765422955684</v>
      </c>
      <c r="C3681" t="s">
        <v>40</v>
      </c>
      <c r="D3681">
        <v>5.1687880000000002</v>
      </c>
      <c r="E3681">
        <v>0.48427799999999999</v>
      </c>
      <c r="F3681" t="s">
        <v>78</v>
      </c>
      <c r="G3681">
        <v>-416.07</v>
      </c>
      <c r="H3681" s="1">
        <v>-4.5127659999999997E-6</v>
      </c>
      <c r="I3681">
        <v>33.68573</v>
      </c>
      <c r="J3681">
        <v>-418.8639</v>
      </c>
      <c r="K3681">
        <v>1.10226</v>
      </c>
      <c r="L3681">
        <v>50.161619999999999</v>
      </c>
      <c r="M3681">
        <v>0.1133255</v>
      </c>
      <c r="N3681">
        <v>-1.4520460000000001E-2</v>
      </c>
      <c r="O3681">
        <v>-0.993452</v>
      </c>
      <c r="P3681">
        <v>0.20057620000000001</v>
      </c>
      <c r="Q3681">
        <v>-2.8000509999999999E-2</v>
      </c>
      <c r="R3681">
        <v>-0.97927810000000004</v>
      </c>
      <c r="S3681">
        <v>0.49337769999999997</v>
      </c>
      <c r="T3681">
        <v>-0.18885740000000001</v>
      </c>
      <c r="U3681">
        <v>-2.9564509999999999</v>
      </c>
      <c r="V3681">
        <v>-8.8510459999999999E-2</v>
      </c>
      <c r="W3681">
        <v>-1.205353E-2</v>
      </c>
      <c r="X3681">
        <v>0.99600230000000001</v>
      </c>
      <c r="Y3681">
        <v>-5.153104E-2</v>
      </c>
      <c r="Z3681">
        <v>4.830048E-2</v>
      </c>
      <c r="AA3681">
        <v>0.99750269999999996</v>
      </c>
      <c r="AB3681">
        <v>40</v>
      </c>
      <c r="AC3681">
        <v>2.7938999999999998</v>
      </c>
      <c r="AD3681">
        <v>-1.102264512766</v>
      </c>
      <c r="AE3681">
        <v>-16.47589</v>
      </c>
      <c r="AF3681">
        <v>-0.90462689847569</v>
      </c>
      <c r="AG3681">
        <v>-1.102264512766</v>
      </c>
      <c r="AH3681">
        <v>16.6140985699688</v>
      </c>
      <c r="AI3681">
        <v>93.790135398900603</v>
      </c>
      <c r="AJ3681">
        <v>93.116640487516506</v>
      </c>
      <c r="AK3681">
        <v>16.675179404557799</v>
      </c>
      <c r="AL3681">
        <v>90.690633131437195</v>
      </c>
      <c r="AM3681">
        <v>95.078290698027999</v>
      </c>
      <c r="AN3681">
        <v>0.99999998536008095</v>
      </c>
    </row>
    <row r="3682" spans="1:40" x14ac:dyDescent="0.25">
      <c r="A3682" t="str">
        <f>"20190305135702980"</f>
        <v>20190305135702980</v>
      </c>
      <c r="B3682" t="str">
        <f>"1551765422976180"</f>
        <v>1551765422976180</v>
      </c>
      <c r="C3682" t="s">
        <v>40</v>
      </c>
      <c r="D3682">
        <v>4.6476660000000001</v>
      </c>
      <c r="E3682">
        <v>0.41904089999999999</v>
      </c>
      <c r="F3682" t="s">
        <v>78</v>
      </c>
      <c r="G3682">
        <v>-414.63409999999999</v>
      </c>
      <c r="H3682" s="1">
        <v>-5.1943990000000004E-6</v>
      </c>
      <c r="I3682">
        <v>32.972810000000003</v>
      </c>
      <c r="J3682">
        <v>-418.82589999999999</v>
      </c>
      <c r="K3682">
        <v>1.1021540000000001</v>
      </c>
      <c r="L3682">
        <v>49.781010000000002</v>
      </c>
      <c r="M3682">
        <v>0.1065425</v>
      </c>
      <c r="N3682">
        <v>-1.454883E-2</v>
      </c>
      <c r="O3682">
        <v>-0.99420180000000002</v>
      </c>
      <c r="P3682">
        <v>0.20749100000000001</v>
      </c>
      <c r="Q3682">
        <v>-2.6587639999999999E-2</v>
      </c>
      <c r="R3682">
        <v>-0.97787550000000001</v>
      </c>
      <c r="S3682">
        <v>0.71643069999999998</v>
      </c>
      <c r="T3682">
        <v>-0.18669949999999999</v>
      </c>
      <c r="U3682">
        <v>-2.9114070000000001</v>
      </c>
      <c r="V3682">
        <v>-0.10230590000000001</v>
      </c>
      <c r="W3682">
        <v>-1.036579E-2</v>
      </c>
      <c r="X3682">
        <v>0.994699</v>
      </c>
      <c r="Y3682">
        <v>-0.13377229999999901</v>
      </c>
      <c r="Z3682">
        <v>4.7900480000000002E-2</v>
      </c>
      <c r="AA3682">
        <v>0.98985380000000001</v>
      </c>
      <c r="AB3682">
        <v>39</v>
      </c>
      <c r="AC3682">
        <v>4.1917999999999997</v>
      </c>
      <c r="AD3682">
        <v>-1.1021591943989999</v>
      </c>
      <c r="AE3682">
        <v>-16.808199999999999</v>
      </c>
      <c r="AF3682">
        <v>-2.36737564037433</v>
      </c>
      <c r="AG3682">
        <v>-1.1021591943989999</v>
      </c>
      <c r="AH3682">
        <v>17.089981570624399</v>
      </c>
      <c r="AI3682">
        <v>93.655175984395001</v>
      </c>
      <c r="AJ3682">
        <v>97.886660727033302</v>
      </c>
      <c r="AK3682">
        <v>17.288339781387801</v>
      </c>
      <c r="AL3682">
        <v>90.593926640769794</v>
      </c>
      <c r="AM3682">
        <v>95.872286455070494</v>
      </c>
      <c r="AN3682">
        <v>1.00000002368906</v>
      </c>
    </row>
    <row r="3683" spans="1:40" x14ac:dyDescent="0.25">
      <c r="A3683" t="str">
        <f>"20190305135703003"</f>
        <v>20190305135703003</v>
      </c>
      <c r="B3683" t="str">
        <f>"1551765422995701"</f>
        <v>1551765422995701</v>
      </c>
      <c r="C3683" t="s">
        <v>40</v>
      </c>
      <c r="D3683">
        <v>4.7327380000000003</v>
      </c>
      <c r="E3683">
        <v>0.41949649999999999</v>
      </c>
      <c r="F3683" t="s">
        <v>78</v>
      </c>
      <c r="G3683">
        <v>-410.565</v>
      </c>
      <c r="H3683" s="1">
        <v>-6.5668719999999998E-6</v>
      </c>
      <c r="I3683">
        <v>31.266220000000001</v>
      </c>
      <c r="J3683">
        <v>-418.78710000000001</v>
      </c>
      <c r="K3683">
        <v>1.102082</v>
      </c>
      <c r="L3683">
        <v>49.362000000000002</v>
      </c>
      <c r="M3683">
        <v>9.9077040000000005E-2</v>
      </c>
      <c r="N3683">
        <v>-1.462112E-2</v>
      </c>
      <c r="O3683">
        <v>-0.99497250000000004</v>
      </c>
      <c r="P3683">
        <v>0.2153216</v>
      </c>
      <c r="Q3683">
        <v>-2.5504200000000001E-2</v>
      </c>
      <c r="R3683">
        <v>-0.97621020000000003</v>
      </c>
      <c r="S3683">
        <v>1.24859599999999</v>
      </c>
      <c r="T3683">
        <v>-0.16658689999999901</v>
      </c>
      <c r="U3683">
        <v>-2.7984309999999999</v>
      </c>
      <c r="V3683">
        <v>-0.1177054</v>
      </c>
      <c r="W3683">
        <v>-8.9389569999999904E-3</v>
      </c>
      <c r="X3683">
        <v>0.99300829999999995</v>
      </c>
      <c r="Y3683">
        <v>-0.31447900000000001</v>
      </c>
      <c r="Z3683">
        <v>4.058515E-2</v>
      </c>
      <c r="AA3683">
        <v>0.94839640000000003</v>
      </c>
      <c r="AB3683">
        <v>39</v>
      </c>
      <c r="AC3683">
        <v>8.22210000000001</v>
      </c>
      <c r="AD3683">
        <v>-1.102088566872</v>
      </c>
      <c r="AE3683">
        <v>-18.095779999999898</v>
      </c>
      <c r="AF3683">
        <v>-6.3689877376922199</v>
      </c>
      <c r="AG3683">
        <v>-1.102088566872</v>
      </c>
      <c r="AH3683">
        <v>18.763745254682298</v>
      </c>
      <c r="AI3683">
        <v>93.183416468067406</v>
      </c>
      <c r="AJ3683">
        <v>108.748780193263</v>
      </c>
      <c r="AK3683">
        <v>19.845824245788201</v>
      </c>
      <c r="AL3683">
        <v>90.512171343142896</v>
      </c>
      <c r="AM3683">
        <v>96.759964633936903</v>
      </c>
      <c r="AN3683">
        <v>0.99999997500514803</v>
      </c>
    </row>
    <row r="3684" spans="1:40" x14ac:dyDescent="0.25">
      <c r="A3684" t="str">
        <f>"20190305135703024"</f>
        <v>20190305135703024</v>
      </c>
      <c r="B3684" t="str">
        <f>"1551765423016196"</f>
        <v>1551765423016196</v>
      </c>
      <c r="C3684" t="s">
        <v>40</v>
      </c>
      <c r="D3684">
        <v>4.6468150000000001</v>
      </c>
      <c r="E3684">
        <v>0.4207188</v>
      </c>
      <c r="F3684" t="s">
        <v>78</v>
      </c>
      <c r="G3684">
        <v>-409.05709999999999</v>
      </c>
      <c r="H3684" s="1">
        <v>-3.2578660000000001E-6</v>
      </c>
      <c r="I3684">
        <v>27.974900000000002</v>
      </c>
      <c r="J3684">
        <v>-418.75479999999999</v>
      </c>
      <c r="K3684">
        <v>1.102077</v>
      </c>
      <c r="L3684">
        <v>48.98413</v>
      </c>
      <c r="M3684">
        <v>9.2407740000000002E-2</v>
      </c>
      <c r="N3684">
        <v>-1.4783279999999999E-2</v>
      </c>
      <c r="O3684">
        <v>-0.99561149999999998</v>
      </c>
      <c r="P3684">
        <v>0.22430990000000001</v>
      </c>
      <c r="Q3684">
        <v>-2.2774139999999998E-2</v>
      </c>
      <c r="R3684">
        <v>-0.97425170000000005</v>
      </c>
      <c r="S3684">
        <v>1.2690429999999999</v>
      </c>
      <c r="T3684">
        <v>-0.14374029999999999</v>
      </c>
      <c r="U3684">
        <v>-2.7894290000000002</v>
      </c>
      <c r="V3684">
        <v>-0.13343369999999999</v>
      </c>
      <c r="W3684">
        <v>-5.7825430000000002E-3</v>
      </c>
      <c r="X3684">
        <v>0.9910409</v>
      </c>
      <c r="Y3684">
        <v>-0.32784659999999999</v>
      </c>
      <c r="Z3684">
        <v>3.2904830000000003E-2</v>
      </c>
      <c r="AA3684">
        <v>0.94415769999999999</v>
      </c>
      <c r="AB3684">
        <v>39</v>
      </c>
      <c r="AC3684">
        <v>9.6976999999999904</v>
      </c>
      <c r="AD3684">
        <v>-1.1020802578659901</v>
      </c>
      <c r="AE3684">
        <v>-21.009229999999999</v>
      </c>
      <c r="AF3684">
        <v>-7.6971090530947999</v>
      </c>
      <c r="AG3684">
        <v>-1.1020802578659901</v>
      </c>
      <c r="AH3684">
        <v>21.7661829792264</v>
      </c>
      <c r="AI3684">
        <v>92.732987998725207</v>
      </c>
      <c r="AJ3684">
        <v>109.47496725570301</v>
      </c>
      <c r="AK3684">
        <v>23.113346580605299</v>
      </c>
      <c r="AL3684">
        <v>90.331317145983903</v>
      </c>
      <c r="AM3684">
        <v>97.6681868561855</v>
      </c>
      <c r="AN3684">
        <v>1.0000000277860199</v>
      </c>
    </row>
    <row r="3685" spans="1:40" x14ac:dyDescent="0.25">
      <c r="A3685" t="str">
        <f>"20190305135703047"</f>
        <v>20190305135703047</v>
      </c>
      <c r="B3685" t="str">
        <f>"1551765423035717"</f>
        <v>1551765423035717</v>
      </c>
      <c r="C3685" t="s">
        <v>40</v>
      </c>
      <c r="D3685">
        <v>4.5036569999999996</v>
      </c>
      <c r="E3685">
        <v>0.42107830000000002</v>
      </c>
      <c r="F3685" t="s">
        <v>78</v>
      </c>
      <c r="G3685">
        <v>-406.01560000000001</v>
      </c>
      <c r="H3685" s="1">
        <v>-3.6185039999999999E-6</v>
      </c>
      <c r="I3685">
        <v>21.468599999999999</v>
      </c>
      <c r="J3685">
        <v>-418.72460000000001</v>
      </c>
      <c r="K3685">
        <v>1.10216</v>
      </c>
      <c r="L3685">
        <v>48.600160000000002</v>
      </c>
      <c r="M3685">
        <v>8.5739759999999998E-2</v>
      </c>
      <c r="N3685">
        <v>-1.507676E-2</v>
      </c>
      <c r="O3685">
        <v>-0.99620339999999996</v>
      </c>
      <c r="P3685">
        <v>0.2309351</v>
      </c>
      <c r="Q3685">
        <v>-1.943334E-2</v>
      </c>
      <c r="R3685">
        <v>-0.97277499999999995</v>
      </c>
      <c r="S3685">
        <v>1.287231</v>
      </c>
      <c r="T3685">
        <v>-0.1113596</v>
      </c>
      <c r="U3685">
        <v>-2.7803040000000001</v>
      </c>
      <c r="V3685">
        <v>-0.14672669999999999</v>
      </c>
      <c r="W3685">
        <v>-1.9418949999999999E-3</v>
      </c>
      <c r="X3685">
        <v>0.98917509999999997</v>
      </c>
      <c r="Y3685">
        <v>-0.34055000000000002</v>
      </c>
      <c r="Z3685">
        <v>2.1947649999999999E-2</v>
      </c>
      <c r="AA3685">
        <v>0.93997019999999998</v>
      </c>
      <c r="AB3685">
        <v>39</v>
      </c>
      <c r="AC3685">
        <v>12.709</v>
      </c>
      <c r="AD3685">
        <v>-1.102163618504</v>
      </c>
      <c r="AE3685">
        <v>-27.13156</v>
      </c>
      <c r="AF3685">
        <v>-10.3217029866475</v>
      </c>
      <c r="AG3685">
        <v>-1.102163618504</v>
      </c>
      <c r="AH3685">
        <v>28.0834127216776</v>
      </c>
      <c r="AI3685">
        <v>92.109640983679995</v>
      </c>
      <c r="AJ3685">
        <v>110.180265231513</v>
      </c>
      <c r="AK3685">
        <v>29.9404473460669</v>
      </c>
      <c r="AL3685">
        <v>90.111262464699806</v>
      </c>
      <c r="AM3685">
        <v>98.437297933561894</v>
      </c>
      <c r="AN3685">
        <v>0.99999993695454303</v>
      </c>
    </row>
    <row r="3686" spans="1:40" x14ac:dyDescent="0.25">
      <c r="A3686" t="str">
        <f>"20190305135703070"</f>
        <v>20190305135703070</v>
      </c>
      <c r="B3686" t="str">
        <f>"1551765423065973"</f>
        <v>1551765423065973</v>
      </c>
      <c r="C3686" t="s">
        <v>40</v>
      </c>
      <c r="D3686">
        <v>4.4747479999999999</v>
      </c>
      <c r="E3686">
        <v>0.42263030000000001</v>
      </c>
      <c r="F3686" t="s">
        <v>78</v>
      </c>
      <c r="G3686">
        <v>-403.88650000000001</v>
      </c>
      <c r="H3686" s="1">
        <v>-6.0930879999999998E-6</v>
      </c>
      <c r="I3686">
        <v>17.054779999999901</v>
      </c>
      <c r="J3686">
        <v>-418.69580000000002</v>
      </c>
      <c r="K3686">
        <v>1.1022989999999999</v>
      </c>
      <c r="L3686">
        <v>48.199190000000002</v>
      </c>
      <c r="M3686">
        <v>7.8929949999999999E-2</v>
      </c>
      <c r="N3686">
        <v>-1.5471789999999999E-2</v>
      </c>
      <c r="O3686">
        <v>-0.99676030000000004</v>
      </c>
      <c r="P3686">
        <v>0.2377158</v>
      </c>
      <c r="Q3686">
        <v>-1.838122E-2</v>
      </c>
      <c r="R3686">
        <v>-0.97116119999999995</v>
      </c>
      <c r="S3686">
        <v>1.3040769999999999</v>
      </c>
      <c r="T3686">
        <v>-9.6866129999999995E-2</v>
      </c>
      <c r="U3686">
        <v>-2.7724299999999999</v>
      </c>
      <c r="V3686">
        <v>-0.1603407</v>
      </c>
      <c r="W3686">
        <v>-3.1287269999999998E-4</v>
      </c>
      <c r="X3686">
        <v>0.98706170000000004</v>
      </c>
      <c r="Y3686">
        <v>-0.35269640000000002</v>
      </c>
      <c r="Z3686">
        <v>1.6759840000000002E-2</v>
      </c>
      <c r="AA3686">
        <v>0.93558770000000002</v>
      </c>
      <c r="AB3686">
        <v>39</v>
      </c>
      <c r="AC3686">
        <v>14.8093</v>
      </c>
      <c r="AD3686">
        <v>-1.1023050930879901</v>
      </c>
      <c r="AE3686">
        <v>-31.144410000000001</v>
      </c>
      <c r="AF3686">
        <v>-12.2920073393494</v>
      </c>
      <c r="AG3686">
        <v>-1.1023050930879901</v>
      </c>
      <c r="AH3686">
        <v>32.183377114151</v>
      </c>
      <c r="AI3686">
        <v>91.832634983657101</v>
      </c>
      <c r="AJ3686">
        <v>110.903683287238</v>
      </c>
      <c r="AK3686">
        <v>34.468511476716401</v>
      </c>
      <c r="AL3686">
        <v>90.017926285190498</v>
      </c>
      <c r="AM3686">
        <v>99.226672494395402</v>
      </c>
      <c r="AN3686">
        <v>1.00000001878635</v>
      </c>
    </row>
    <row r="3687" spans="1:40" x14ac:dyDescent="0.25">
      <c r="A3687" t="str">
        <f>"20190305135703093"</f>
        <v>20190305135703093</v>
      </c>
      <c r="B3687" t="str">
        <f>"1551765423085492"</f>
        <v>1551765423085492</v>
      </c>
      <c r="C3687" t="s">
        <v>40</v>
      </c>
      <c r="D3687">
        <v>4.6938630000000003</v>
      </c>
      <c r="E3687">
        <v>0.42440859999999903</v>
      </c>
      <c r="F3687" t="s">
        <v>78</v>
      </c>
      <c r="G3687">
        <v>-405.71109999999999</v>
      </c>
      <c r="H3687" s="1">
        <v>-3.6459850000000001E-6</v>
      </c>
      <c r="I3687">
        <v>20.78153</v>
      </c>
      <c r="J3687">
        <v>-418.66969999999998</v>
      </c>
      <c r="K3687">
        <v>1.1024830000000001</v>
      </c>
      <c r="L3687">
        <v>47.796939999999999</v>
      </c>
      <c r="M3687">
        <v>7.2357599999999994E-2</v>
      </c>
      <c r="N3687">
        <v>-1.5902980000000001E-2</v>
      </c>
      <c r="O3687">
        <v>-0.99725189999999997</v>
      </c>
      <c r="P3687">
        <v>0.24529419999999999</v>
      </c>
      <c r="Q3687">
        <v>-2.0131039999999999E-2</v>
      </c>
      <c r="R3687">
        <v>-0.96923959999999998</v>
      </c>
      <c r="S3687">
        <v>1.3100889999999901</v>
      </c>
      <c r="T3687">
        <v>-0.11121640000000001</v>
      </c>
      <c r="U3687">
        <v>-2.7662960000000001</v>
      </c>
      <c r="V3687">
        <v>-0.17456150000000001</v>
      </c>
      <c r="W3687">
        <v>-1.478956E-3</v>
      </c>
      <c r="X3687">
        <v>0.98464510000000005</v>
      </c>
      <c r="Y3687">
        <v>-0.36125439999999998</v>
      </c>
      <c r="Z3687">
        <v>2.106792E-2</v>
      </c>
      <c r="AA3687">
        <v>0.93222930000000004</v>
      </c>
      <c r="AB3687">
        <v>39</v>
      </c>
      <c r="AC3687">
        <v>12.958599999999899</v>
      </c>
      <c r="AD3687">
        <v>-1.102486645985</v>
      </c>
      <c r="AE3687">
        <v>-27.015409999999999</v>
      </c>
      <c r="AF3687">
        <v>-10.9547744228597</v>
      </c>
      <c r="AG3687">
        <v>-1.102486645985</v>
      </c>
      <c r="AH3687">
        <v>27.844650889876402</v>
      </c>
      <c r="AI3687">
        <v>92.110122093365405</v>
      </c>
      <c r="AJ3687">
        <v>111.47590350052999</v>
      </c>
      <c r="AK3687">
        <v>29.942397075708701</v>
      </c>
      <c r="AL3687">
        <v>90.084737972965101</v>
      </c>
      <c r="AM3687">
        <v>100.053152865979</v>
      </c>
      <c r="AN3687">
        <v>0.99999993877355298</v>
      </c>
    </row>
    <row r="3688" spans="1:40" x14ac:dyDescent="0.25">
      <c r="A3688" t="str">
        <f>"20190305135703115"</f>
        <v>20190305135703115</v>
      </c>
      <c r="B3688" t="str">
        <f>"1551765423105989"</f>
        <v>1551765423105989</v>
      </c>
      <c r="C3688" t="s">
        <v>40</v>
      </c>
      <c r="D3688">
        <v>4.5561319999999998</v>
      </c>
      <c r="E3688">
        <v>0.42553639999999998</v>
      </c>
      <c r="F3688" t="s">
        <v>78</v>
      </c>
      <c r="G3688">
        <v>-407.29320000000001</v>
      </c>
      <c r="H3688" s="1">
        <v>-3.4161030000000001E-6</v>
      </c>
      <c r="I3688">
        <v>23.95919</v>
      </c>
      <c r="J3688">
        <v>-418.6472</v>
      </c>
      <c r="K3688">
        <v>1.102668</v>
      </c>
      <c r="L3688">
        <v>47.412230000000001</v>
      </c>
      <c r="M3688">
        <v>6.6321859999999996E-2</v>
      </c>
      <c r="N3688">
        <v>-1.6320330000000001E-2</v>
      </c>
      <c r="O3688">
        <v>-0.99766489999999997</v>
      </c>
      <c r="P3688">
        <v>0.25110480000000002</v>
      </c>
      <c r="Q3688">
        <v>-2.0041799999999999E-2</v>
      </c>
      <c r="R3688">
        <v>-0.96775250000000002</v>
      </c>
      <c r="S3688">
        <v>1.316864</v>
      </c>
      <c r="T3688">
        <v>-0.12761549999999999</v>
      </c>
      <c r="U3688">
        <v>-2.759277</v>
      </c>
      <c r="V3688">
        <v>-0.18640119999999999</v>
      </c>
      <c r="W3688">
        <v>-8.8237600000000004E-4</v>
      </c>
      <c r="X3688">
        <v>0.98247329999999999</v>
      </c>
      <c r="Y3688">
        <v>-0.36958970000000002</v>
      </c>
      <c r="Z3688">
        <v>2.6074300000000002E-2</v>
      </c>
      <c r="AA3688">
        <v>0.92882920000000002</v>
      </c>
      <c r="AB3688">
        <v>39</v>
      </c>
      <c r="AC3688">
        <v>11.3539999999999</v>
      </c>
      <c r="AD3688">
        <v>-1.102671416103</v>
      </c>
      <c r="AE3688">
        <v>-23.453039999999898</v>
      </c>
      <c r="AF3688">
        <v>-9.7558678649208908</v>
      </c>
      <c r="AG3688">
        <v>-1.102671416103</v>
      </c>
      <c r="AH3688">
        <v>24.1113291135906</v>
      </c>
      <c r="AI3688">
        <v>92.427527930398398</v>
      </c>
      <c r="AJ3688">
        <v>112.02912190216099</v>
      </c>
      <c r="AK3688">
        <v>26.033613534689501</v>
      </c>
      <c r="AL3688">
        <v>90.050556428033005</v>
      </c>
      <c r="AM3688">
        <v>100.74284076852901</v>
      </c>
      <c r="AN3688">
        <v>0.999999985580867</v>
      </c>
    </row>
    <row r="3689" spans="1:40" x14ac:dyDescent="0.25">
      <c r="A3689" t="str">
        <f>"20190305135703137"</f>
        <v>20190305135703137</v>
      </c>
      <c r="B3689" t="str">
        <f>"1551765423126484"</f>
        <v>1551765423126484</v>
      </c>
      <c r="C3689" t="s">
        <v>40</v>
      </c>
      <c r="D3689">
        <v>4.5873920000000004</v>
      </c>
      <c r="E3689">
        <v>0.42624420000000002</v>
      </c>
      <c r="F3689" t="s">
        <v>78</v>
      </c>
      <c r="G3689">
        <v>-407.57499999999999</v>
      </c>
      <c r="H3689" s="1">
        <v>-3.345663E-6</v>
      </c>
      <c r="I3689">
        <v>24.39256</v>
      </c>
      <c r="J3689">
        <v>-418.6268</v>
      </c>
      <c r="K3689">
        <v>1.10292099999999</v>
      </c>
      <c r="L3689">
        <v>47.0289</v>
      </c>
      <c r="M3689">
        <v>6.0660720000000001E-2</v>
      </c>
      <c r="N3689">
        <v>-1.672773E-2</v>
      </c>
      <c r="O3689">
        <v>-0.99801819999999997</v>
      </c>
      <c r="P3689">
        <v>0.25502740000000002</v>
      </c>
      <c r="Q3689">
        <v>-2.1637159999999999E-2</v>
      </c>
      <c r="R3689">
        <v>-0.96669170000000004</v>
      </c>
      <c r="S3689">
        <v>1.3244320000000001</v>
      </c>
      <c r="T3689">
        <v>-0.13189960000000001</v>
      </c>
      <c r="U3689">
        <v>-2.753571</v>
      </c>
      <c r="V3689">
        <v>-0.19596849999999999</v>
      </c>
      <c r="W3689">
        <v>-2.0589889999999998E-3</v>
      </c>
      <c r="X3689">
        <v>0.98060800000000004</v>
      </c>
      <c r="Y3689">
        <v>-0.3776447</v>
      </c>
      <c r="Z3689">
        <v>2.707379E-2</v>
      </c>
      <c r="AA3689">
        <v>0.92555469999999895</v>
      </c>
      <c r="AB3689">
        <v>39</v>
      </c>
      <c r="AC3689">
        <v>11.0518</v>
      </c>
      <c r="AD3689">
        <v>-1.10292434566299</v>
      </c>
      <c r="AE3689">
        <v>-22.636340000000001</v>
      </c>
      <c r="AF3689">
        <v>-9.6396334098090897</v>
      </c>
      <c r="AG3689">
        <v>-1.10292434566299</v>
      </c>
      <c r="AH3689">
        <v>23.220631631237001</v>
      </c>
      <c r="AI3689">
        <v>92.511829448084299</v>
      </c>
      <c r="AJ3689">
        <v>112.544914572994</v>
      </c>
      <c r="AK3689">
        <v>25.166181826835899</v>
      </c>
      <c r="AL3689">
        <v>90.117971466535096</v>
      </c>
      <c r="AM3689">
        <v>101.301330817661</v>
      </c>
      <c r="AN3689">
        <v>0.99999997104597504</v>
      </c>
    </row>
    <row r="3690" spans="1:40" x14ac:dyDescent="0.25">
      <c r="A3690" t="str">
        <f>"20190305135703163"</f>
        <v>20190305135703163</v>
      </c>
      <c r="B3690" t="str">
        <f>"1551765423155765"</f>
        <v>1551765423155765</v>
      </c>
      <c r="C3690" t="s">
        <v>40</v>
      </c>
      <c r="D3690">
        <v>4.8654849999999996</v>
      </c>
      <c r="E3690">
        <v>0.42749090000000001</v>
      </c>
      <c r="F3690" t="s">
        <v>78</v>
      </c>
      <c r="G3690">
        <v>-408.05849999999998</v>
      </c>
      <c r="H3690" s="1">
        <v>-3.2360570000000001E-6</v>
      </c>
      <c r="I3690">
        <v>25.186689999999999</v>
      </c>
      <c r="J3690">
        <v>-418.60520000000002</v>
      </c>
      <c r="K3690">
        <v>1.10337</v>
      </c>
      <c r="L3690">
        <v>46.576999999999998</v>
      </c>
      <c r="M3690">
        <v>5.461009E-2</v>
      </c>
      <c r="N3690">
        <v>-1.7209510000000001E-2</v>
      </c>
      <c r="O3690">
        <v>-0.99835940000000001</v>
      </c>
      <c r="P3690">
        <v>0.259229299999999</v>
      </c>
      <c r="Q3690">
        <v>-2.539715E-2</v>
      </c>
      <c r="R3690">
        <v>-0.96548199999999995</v>
      </c>
      <c r="S3690">
        <v>1.3302609999999999</v>
      </c>
      <c r="T3690">
        <v>-0.1388276</v>
      </c>
      <c r="U3690">
        <v>-2.7493289999999999</v>
      </c>
      <c r="V3690">
        <v>-0.2062158</v>
      </c>
      <c r="W3690">
        <v>-5.4285610000000002E-3</v>
      </c>
      <c r="X3690">
        <v>0.97849149999999996</v>
      </c>
      <c r="Y3690">
        <v>-0.38535259999999999</v>
      </c>
      <c r="Z3690">
        <v>2.8853429999999999E-2</v>
      </c>
      <c r="AA3690">
        <v>0.92231819999999998</v>
      </c>
      <c r="AB3690">
        <v>39</v>
      </c>
      <c r="AC3690">
        <v>10.5467</v>
      </c>
      <c r="AD3690">
        <v>-1.1033732360570001</v>
      </c>
      <c r="AE3690">
        <v>-21.390309999999999</v>
      </c>
      <c r="AF3690">
        <v>-9.3426599093596003</v>
      </c>
      <c r="AG3690">
        <v>-1.1033732360570001</v>
      </c>
      <c r="AH3690">
        <v>21.887573617470601</v>
      </c>
      <c r="AI3690">
        <v>92.654552246684503</v>
      </c>
      <c r="AJ3690">
        <v>113.115100076798</v>
      </c>
      <c r="AK3690">
        <v>23.823698401805601</v>
      </c>
      <c r="AL3690">
        <v>90.311035155426595</v>
      </c>
      <c r="AM3690">
        <v>101.900857758797</v>
      </c>
      <c r="AN3690">
        <v>1.00000002050821</v>
      </c>
    </row>
    <row r="3691" spans="1:40" x14ac:dyDescent="0.25">
      <c r="A3691" t="str">
        <f>"20190305135703187"</f>
        <v>20190305135703187</v>
      </c>
      <c r="B3691" t="str">
        <f>"1551765423176260"</f>
        <v>1551765423176260</v>
      </c>
      <c r="C3691" t="s">
        <v>40</v>
      </c>
      <c r="D3691">
        <v>4.85616</v>
      </c>
      <c r="E3691">
        <v>0.45195340000000001</v>
      </c>
      <c r="F3691" t="s">
        <v>78</v>
      </c>
      <c r="G3691">
        <v>-409.40629999999999</v>
      </c>
      <c r="H3691" s="1">
        <v>-2.9773319999999999E-6</v>
      </c>
      <c r="I3691">
        <v>27.611090000000001</v>
      </c>
      <c r="J3691">
        <v>-418.58690000000001</v>
      </c>
      <c r="K3691">
        <v>1.1039749999999999</v>
      </c>
      <c r="L3691">
        <v>46.154820000000001</v>
      </c>
      <c r="M3691">
        <v>4.9710409999999997E-2</v>
      </c>
      <c r="N3691">
        <v>-1.7691700000000001E-2</v>
      </c>
      <c r="O3691">
        <v>-0.99860700000000002</v>
      </c>
      <c r="P3691">
        <v>0.26620820000000001</v>
      </c>
      <c r="Q3691">
        <v>-3.010906E-2</v>
      </c>
      <c r="R3691">
        <v>-0.96344540000000001</v>
      </c>
      <c r="S3691">
        <v>1.3316349999999999</v>
      </c>
      <c r="T3691">
        <v>-0.159724799999999</v>
      </c>
      <c r="U3691">
        <v>-2.745514</v>
      </c>
      <c r="V3691">
        <v>-0.21813489999999999</v>
      </c>
      <c r="W3691">
        <v>-9.8356699999999995E-3</v>
      </c>
      <c r="X3691">
        <v>0.97586910000000004</v>
      </c>
      <c r="Y3691">
        <v>-0.3906269</v>
      </c>
      <c r="Z3691">
        <v>3.526406E-2</v>
      </c>
      <c r="AA3691">
        <v>0.91987339999999995</v>
      </c>
      <c r="AB3691">
        <v>39</v>
      </c>
      <c r="AC3691">
        <v>9.1806000000000196</v>
      </c>
      <c r="AD3691">
        <v>-1.103977977332</v>
      </c>
      <c r="AE3691">
        <v>-18.54373</v>
      </c>
      <c r="AF3691">
        <v>-8.2238757175509392</v>
      </c>
      <c r="AG3691">
        <v>-1.103977977332</v>
      </c>
      <c r="AH3691">
        <v>18.9233728667676</v>
      </c>
      <c r="AI3691">
        <v>93.062696401439396</v>
      </c>
      <c r="AJ3691">
        <v>113.489200054482</v>
      </c>
      <c r="AK3691">
        <v>20.662646003038301</v>
      </c>
      <c r="AL3691">
        <v>90.563551445069706</v>
      </c>
      <c r="AM3691">
        <v>102.60012930111399</v>
      </c>
      <c r="AN3691">
        <v>1.00000003766858</v>
      </c>
    </row>
    <row r="3692" spans="1:40" x14ac:dyDescent="0.25">
      <c r="A3692" t="str">
        <f>"20190305135703207"</f>
        <v>20190305135703207</v>
      </c>
      <c r="B3692" t="str">
        <f>"1551765423195781"</f>
        <v>1551765423195781</v>
      </c>
      <c r="C3692" t="s">
        <v>40</v>
      </c>
      <c r="D3692">
        <v>4.6223850000000004</v>
      </c>
      <c r="E3692">
        <v>0.45089750000000001</v>
      </c>
      <c r="F3692" t="s">
        <v>78</v>
      </c>
      <c r="G3692">
        <v>-414.15820000000002</v>
      </c>
      <c r="H3692" s="1">
        <v>-3.9880749999999999E-6</v>
      </c>
      <c r="I3692">
        <v>35.483709999999903</v>
      </c>
      <c r="J3692">
        <v>-418.57350000000002</v>
      </c>
      <c r="K3692">
        <v>1.1045910000000001</v>
      </c>
      <c r="L3692">
        <v>45.821010000000001</v>
      </c>
      <c r="M3692">
        <v>4.6507180000000002E-2</v>
      </c>
      <c r="N3692">
        <v>-1.8093910000000001E-2</v>
      </c>
      <c r="O3692">
        <v>-0.99875409999999998</v>
      </c>
      <c r="P3692">
        <v>0.27403169999999999</v>
      </c>
      <c r="Q3692">
        <v>-3.5660839999999999E-2</v>
      </c>
      <c r="R3692">
        <v>-0.96105929999999995</v>
      </c>
      <c r="S3692">
        <v>1.1560060000000001</v>
      </c>
      <c r="T3692">
        <v>-0.28816659999999999</v>
      </c>
      <c r="U3692">
        <v>-2.785431</v>
      </c>
      <c r="V3692">
        <v>-0.2292381</v>
      </c>
      <c r="W3692">
        <v>-1.520988E-2</v>
      </c>
      <c r="X3692">
        <v>0.97325150000000005</v>
      </c>
      <c r="Y3692">
        <v>-0.33844489999999999</v>
      </c>
      <c r="Z3692">
        <v>7.7931760000000003E-2</v>
      </c>
      <c r="AA3692">
        <v>0.93775350000000002</v>
      </c>
      <c r="AB3692">
        <v>38</v>
      </c>
      <c r="AC3692">
        <v>4.4153000000000002</v>
      </c>
      <c r="AD3692">
        <v>-1.1045949880749999</v>
      </c>
      <c r="AE3692">
        <v>-10.337300000000001</v>
      </c>
      <c r="AF3692">
        <v>-3.8920998649857599</v>
      </c>
      <c r="AG3692">
        <v>-1.1045949880749999</v>
      </c>
      <c r="AH3692">
        <v>10.430764130847299</v>
      </c>
      <c r="AI3692">
        <v>95.666106092139998</v>
      </c>
      <c r="AJ3692">
        <v>110.462385780738</v>
      </c>
      <c r="AK3692">
        <v>11.1879136482221</v>
      </c>
      <c r="AL3692">
        <v>90.871495565987502</v>
      </c>
      <c r="AM3692">
        <v>103.25378124411</v>
      </c>
      <c r="AN3692">
        <v>0.99999996459673601</v>
      </c>
    </row>
    <row r="3693" spans="1:40" x14ac:dyDescent="0.25">
      <c r="A3693" t="str">
        <f>"20190305135703226"</f>
        <v>20190305135703226</v>
      </c>
      <c r="B3693" t="str">
        <f>"1551765423216277"</f>
        <v>1551765423216277</v>
      </c>
      <c r="C3693" t="s">
        <v>40</v>
      </c>
      <c r="D3693">
        <v>4.616733</v>
      </c>
      <c r="E3693">
        <v>0.45102629999999999</v>
      </c>
      <c r="F3693" t="s">
        <v>78</v>
      </c>
      <c r="G3693">
        <v>-414.11149999999998</v>
      </c>
      <c r="H3693" s="1">
        <v>-4.0456709999999999E-6</v>
      </c>
      <c r="I3693">
        <v>35.397350000000003</v>
      </c>
      <c r="J3693">
        <v>-418.56119999999999</v>
      </c>
      <c r="K3693">
        <v>1.1052729999999999</v>
      </c>
      <c r="L3693">
        <v>45.502749999999999</v>
      </c>
      <c r="M3693">
        <v>4.4053130000000003E-2</v>
      </c>
      <c r="N3693">
        <v>-1.8510249999999999E-2</v>
      </c>
      <c r="O3693">
        <v>-0.99885780000000002</v>
      </c>
      <c r="P3693">
        <v>0.28328710000000001</v>
      </c>
      <c r="Q3693">
        <v>-3.868278E-2</v>
      </c>
      <c r="R3693">
        <v>-0.95825470000000001</v>
      </c>
      <c r="S3693">
        <v>1.186707</v>
      </c>
      <c r="T3693">
        <v>-0.29377789999999998</v>
      </c>
      <c r="U3693">
        <v>-2.772278</v>
      </c>
      <c r="V3693">
        <v>-0.2410022</v>
      </c>
      <c r="W3693">
        <v>-1.8098139999999999E-2</v>
      </c>
      <c r="X3693">
        <v>0.97035579999999999</v>
      </c>
      <c r="Y3693">
        <v>-0.35103719999999999</v>
      </c>
      <c r="Z3693">
        <v>7.9372600000000001E-2</v>
      </c>
      <c r="AA3693">
        <v>0.93299140000000003</v>
      </c>
      <c r="AB3693">
        <v>38</v>
      </c>
      <c r="AC3693">
        <v>4.4497</v>
      </c>
      <c r="AD3693">
        <v>-1.1052770456709999</v>
      </c>
      <c r="AE3693">
        <v>-10.1053999999999</v>
      </c>
      <c r="AF3693">
        <v>-3.9604440074992402</v>
      </c>
      <c r="AG3693">
        <v>-1.1052770456709999</v>
      </c>
      <c r="AH3693">
        <v>10.189542971961099</v>
      </c>
      <c r="AI3693">
        <v>95.773177982729095</v>
      </c>
      <c r="AJ3693">
        <v>111.239973979201</v>
      </c>
      <c r="AK3693">
        <v>10.987881509265801</v>
      </c>
      <c r="AL3693">
        <v>91.037003664287894</v>
      </c>
      <c r="AM3693">
        <v>103.948029373081</v>
      </c>
      <c r="AN3693">
        <v>0.99999999083496904</v>
      </c>
    </row>
    <row r="3694" spans="1:40" x14ac:dyDescent="0.25">
      <c r="A3694" t="str">
        <f>"20190305135703248"</f>
        <v>20190305135703248</v>
      </c>
      <c r="B3694" t="str">
        <f>"1551765423246532"</f>
        <v>1551765423246532</v>
      </c>
      <c r="C3694" t="s">
        <v>40</v>
      </c>
      <c r="D3694">
        <v>4.7449640000000004</v>
      </c>
      <c r="E3694">
        <v>0.45031199999999999</v>
      </c>
      <c r="F3694" t="s">
        <v>78</v>
      </c>
      <c r="G3694">
        <v>-414.02050000000003</v>
      </c>
      <c r="H3694" s="1">
        <v>-4.1927249999999997E-6</v>
      </c>
      <c r="I3694">
        <v>35.16536</v>
      </c>
      <c r="J3694">
        <v>-418.5471</v>
      </c>
      <c r="K3694">
        <v>1.106163</v>
      </c>
      <c r="L3694">
        <v>45.129240000000003</v>
      </c>
      <c r="M3694">
        <v>4.1899220000000001E-2</v>
      </c>
      <c r="N3694">
        <v>-1.9049050000000001E-2</v>
      </c>
      <c r="O3694">
        <v>-0.9989403</v>
      </c>
      <c r="P3694">
        <v>0.29202030000000001</v>
      </c>
      <c r="Q3694">
        <v>-3.6635290000000001E-2</v>
      </c>
      <c r="R3694">
        <v>-0.95571019999999896</v>
      </c>
      <c r="S3694">
        <v>1.2124629999999901</v>
      </c>
      <c r="T3694">
        <v>-0.2951339</v>
      </c>
      <c r="U3694">
        <v>-2.7603149999999999</v>
      </c>
      <c r="V3694">
        <v>-0.251866799999999</v>
      </c>
      <c r="W3694">
        <v>-1.593698E-2</v>
      </c>
      <c r="X3694">
        <v>0.96763069999999896</v>
      </c>
      <c r="Y3694">
        <v>-0.36179230000000001</v>
      </c>
      <c r="Z3694">
        <v>7.9302120000000004E-2</v>
      </c>
      <c r="AA3694">
        <v>0.92887969999999997</v>
      </c>
      <c r="AB3694">
        <v>38</v>
      </c>
      <c r="AC3694">
        <v>4.52659999999997</v>
      </c>
      <c r="AD3694">
        <v>-1.1061671927249901</v>
      </c>
      <c r="AE3694">
        <v>-9.9638799999999996</v>
      </c>
      <c r="AF3694">
        <v>-4.0635541329379503</v>
      </c>
      <c r="AG3694">
        <v>-1.1061671927249901</v>
      </c>
      <c r="AH3694">
        <v>10.0422271618151</v>
      </c>
      <c r="AI3694">
        <v>95.830194028379694</v>
      </c>
      <c r="AJ3694">
        <v>112.030555402088</v>
      </c>
      <c r="AK3694">
        <v>10.8895548310789</v>
      </c>
      <c r="AL3694">
        <v>90.913160330134303</v>
      </c>
      <c r="AM3694">
        <v>104.589901054626</v>
      </c>
      <c r="AN3694">
        <v>1.00000002192812</v>
      </c>
    </row>
    <row r="3695" spans="1:40" x14ac:dyDescent="0.25">
      <c r="A3695" t="str">
        <f>"20190305135703272"</f>
        <v>20190305135703272</v>
      </c>
      <c r="B3695" t="str">
        <f>"1551765423266052"</f>
        <v>1551765423266052</v>
      </c>
      <c r="C3695" t="s">
        <v>40</v>
      </c>
      <c r="D3695">
        <v>4.5569810000000004</v>
      </c>
      <c r="E3695">
        <v>0.45023999999999997</v>
      </c>
      <c r="F3695" t="s">
        <v>78</v>
      </c>
      <c r="G3695">
        <v>-413.47239999999999</v>
      </c>
      <c r="H3695" s="1">
        <v>-4.9691219999999998E-6</v>
      </c>
      <c r="I3695">
        <v>33.920430000000003</v>
      </c>
      <c r="J3695">
        <v>-418.53230000000002</v>
      </c>
      <c r="K3695">
        <v>1.107146</v>
      </c>
      <c r="L3695">
        <v>44.732419999999998</v>
      </c>
      <c r="M3695">
        <v>4.0554439999999997E-2</v>
      </c>
      <c r="N3695">
        <v>-1.9678049999999999E-2</v>
      </c>
      <c r="O3695">
        <v>-0.99898359999999997</v>
      </c>
      <c r="P3695">
        <v>0.30116979999999999</v>
      </c>
      <c r="Q3695">
        <v>-3.0608090000000001E-2</v>
      </c>
      <c r="R3695">
        <v>-0.95307949999999997</v>
      </c>
      <c r="S3695">
        <v>1.244324</v>
      </c>
      <c r="T3695">
        <v>-0.2712368</v>
      </c>
      <c r="U3695">
        <v>-2.7484440000000001</v>
      </c>
      <c r="V3695">
        <v>-0.26233770000000001</v>
      </c>
      <c r="W3695">
        <v>-9.7896619999999993E-3</v>
      </c>
      <c r="X3695">
        <v>0.96492650000000002</v>
      </c>
      <c r="Y3695">
        <v>-0.37373279999999998</v>
      </c>
      <c r="Z3695">
        <v>7.0732240000000002E-2</v>
      </c>
      <c r="AA3695">
        <v>0.92483550000000003</v>
      </c>
      <c r="AB3695">
        <v>38</v>
      </c>
      <c r="AC3695">
        <v>5.0599000000000203</v>
      </c>
      <c r="AD3695">
        <v>-1.1071509691220001</v>
      </c>
      <c r="AE3695">
        <v>-10.81199</v>
      </c>
      <c r="AF3695">
        <v>-4.5777989719376304</v>
      </c>
      <c r="AG3695">
        <v>-1.1071509691220001</v>
      </c>
      <c r="AH3695">
        <v>10.9144481770554</v>
      </c>
      <c r="AI3695">
        <v>95.344132506119905</v>
      </c>
      <c r="AJ3695">
        <v>112.75442420937</v>
      </c>
      <c r="AK3695">
        <v>11.8872707425013</v>
      </c>
      <c r="AL3695">
        <v>90.560915259244496</v>
      </c>
      <c r="AM3695">
        <v>105.209564334821</v>
      </c>
      <c r="AN3695">
        <v>1.0000000283628001</v>
      </c>
    </row>
    <row r="3696" spans="1:40" x14ac:dyDescent="0.25">
      <c r="A3696" t="str">
        <f>"20190305135703295"</f>
        <v>20190305135703295</v>
      </c>
      <c r="B3696" t="str">
        <f>"1551765423286548"</f>
        <v>1551765423286548</v>
      </c>
      <c r="C3696" t="s">
        <v>40</v>
      </c>
      <c r="D3696">
        <v>4.5653050000000004</v>
      </c>
      <c r="E3696">
        <v>0.45037080000000002</v>
      </c>
      <c r="F3696" t="s">
        <v>41</v>
      </c>
      <c r="G3696">
        <v>-418.06490000000002</v>
      </c>
      <c r="H3696">
        <v>1.017936</v>
      </c>
      <c r="I3696">
        <v>43.727170000000001</v>
      </c>
      <c r="J3696">
        <v>-418.5179</v>
      </c>
      <c r="K3696">
        <v>1.108066</v>
      </c>
      <c r="L3696">
        <v>44.354370000000003</v>
      </c>
      <c r="M3696">
        <v>4.0135249999999997E-2</v>
      </c>
      <c r="N3696">
        <v>-2.0325739999999998E-2</v>
      </c>
      <c r="O3696">
        <v>-0.99898770000000003</v>
      </c>
      <c r="P3696">
        <v>0.30966189999999999</v>
      </c>
      <c r="Q3696">
        <v>-2.2911910000000001E-2</v>
      </c>
      <c r="R3696">
        <v>-0.95057119999999995</v>
      </c>
      <c r="S3696">
        <v>1.2724610000000001</v>
      </c>
      <c r="T3696">
        <v>-0.2429587</v>
      </c>
      <c r="U3696">
        <v>-2.7377929999999999</v>
      </c>
      <c r="V3696">
        <v>-0.27126679999999997</v>
      </c>
      <c r="W3696">
        <v>-1.962933E-3</v>
      </c>
      <c r="X3696">
        <v>0.96250219999999997</v>
      </c>
      <c r="Y3696">
        <v>-0.38358569999999997</v>
      </c>
      <c r="Z3696">
        <v>6.0700360000000002E-2</v>
      </c>
      <c r="AA3696">
        <v>0.92150829999999995</v>
      </c>
      <c r="AB3696">
        <v>37</v>
      </c>
      <c r="AC3696">
        <v>0.45299999999997398</v>
      </c>
      <c r="AD3696">
        <v>-9.0130000000000002E-2</v>
      </c>
      <c r="AE3696">
        <v>-0.62720000000000198</v>
      </c>
      <c r="AF3696">
        <v>-0.42173349941727001</v>
      </c>
      <c r="AG3696">
        <v>-9.0130000000000002E-2</v>
      </c>
      <c r="AH3696">
        <v>0.63624500354868596</v>
      </c>
      <c r="AI3696">
        <v>96.734039484505004</v>
      </c>
      <c r="AJ3696">
        <v>123.538313725387</v>
      </c>
      <c r="AK3696">
        <v>0.768628821975474</v>
      </c>
      <c r="AL3696">
        <v>90.112467847754601</v>
      </c>
      <c r="AM3696">
        <v>105.73969372832801</v>
      </c>
      <c r="AN3696">
        <v>1.0000000074465201</v>
      </c>
    </row>
    <row r="3697" spans="1:40" x14ac:dyDescent="0.25">
      <c r="A3697" t="str">
        <f>"20190305135703315"</f>
        <v>20190305135703315</v>
      </c>
      <c r="B3697" t="str">
        <f>"1551765423306068"</f>
        <v>1551765423306068</v>
      </c>
      <c r="C3697" t="s">
        <v>40</v>
      </c>
      <c r="D3697">
        <v>4.5365599999999997</v>
      </c>
      <c r="E3697">
        <v>0.45072250000000003</v>
      </c>
      <c r="F3697" t="s">
        <v>41</v>
      </c>
      <c r="G3697">
        <v>-418.05529999999999</v>
      </c>
      <c r="H3697">
        <v>1.0322549999999999</v>
      </c>
      <c r="I3697">
        <v>43.380879999999998</v>
      </c>
      <c r="J3697">
        <v>-418.50400000000002</v>
      </c>
      <c r="K3697">
        <v>1.108862</v>
      </c>
      <c r="L3697">
        <v>44.001860000000001</v>
      </c>
      <c r="M3697">
        <v>4.0366470000000002E-2</v>
      </c>
      <c r="N3697">
        <v>-2.095408E-2</v>
      </c>
      <c r="O3697">
        <v>-0.99896529999999994</v>
      </c>
      <c r="P3697">
        <v>0.31746210000000002</v>
      </c>
      <c r="Q3697">
        <v>-1.7659560000000001E-2</v>
      </c>
      <c r="R3697">
        <v>-0.94810649999999996</v>
      </c>
      <c r="S3697">
        <v>1.2967219999999999</v>
      </c>
      <c r="T3697">
        <v>-0.21247969999999999</v>
      </c>
      <c r="U3697">
        <v>-2.728424</v>
      </c>
      <c r="V3697">
        <v>-0.27891290000000002</v>
      </c>
      <c r="W3697">
        <v>3.4287549999999999E-3</v>
      </c>
      <c r="X3697">
        <v>0.96031029999999995</v>
      </c>
      <c r="Y3697">
        <v>-0.3915459</v>
      </c>
      <c r="Z3697">
        <v>4.99596E-2</v>
      </c>
      <c r="AA3697">
        <v>0.91880130000000004</v>
      </c>
      <c r="AB3697">
        <v>37</v>
      </c>
      <c r="AC3697">
        <v>0.44870000000003002</v>
      </c>
      <c r="AD3697">
        <v>-7.6606999999999995E-2</v>
      </c>
      <c r="AE3697">
        <v>-0.62098000000000197</v>
      </c>
      <c r="AF3697">
        <v>-0.41907173651780999</v>
      </c>
      <c r="AG3697">
        <v>-7.6606999999999995E-2</v>
      </c>
      <c r="AH3697">
        <v>0.63226828242115096</v>
      </c>
      <c r="AI3697">
        <v>95.766894944948803</v>
      </c>
      <c r="AJ3697">
        <v>123.536689214135</v>
      </c>
      <c r="AK3697">
        <v>0.76239945812732901</v>
      </c>
      <c r="AL3697">
        <v>89.803546427966694</v>
      </c>
      <c r="AM3697">
        <v>106.19543143614</v>
      </c>
      <c r="AN3697">
        <v>1.0000000172166701</v>
      </c>
    </row>
    <row r="3698" spans="1:40" x14ac:dyDescent="0.25">
      <c r="A3698" t="str">
        <f>"20190305135703338"</f>
        <v>20190305135703338</v>
      </c>
      <c r="B3698" t="str">
        <f>"1551765423326564"</f>
        <v>1551765423326564</v>
      </c>
      <c r="C3698" t="s">
        <v>40</v>
      </c>
      <c r="D3698">
        <v>4.5349629999999896</v>
      </c>
      <c r="E3698">
        <v>0.45134849999999999</v>
      </c>
      <c r="F3698" t="s">
        <v>41</v>
      </c>
      <c r="G3698">
        <v>-418.03859999999997</v>
      </c>
      <c r="H3698">
        <v>1.0406839999999999</v>
      </c>
      <c r="I3698">
        <v>43.04081</v>
      </c>
      <c r="J3698">
        <v>-418.48950000000002</v>
      </c>
      <c r="K3698">
        <v>1.1096159999999999</v>
      </c>
      <c r="L3698">
        <v>43.645510000000002</v>
      </c>
      <c r="M3698">
        <v>4.119457E-2</v>
      </c>
      <c r="N3698">
        <v>-2.1584619999999999E-2</v>
      </c>
      <c r="O3698">
        <v>-0.99891810000000003</v>
      </c>
      <c r="P3698">
        <v>0.3253122</v>
      </c>
      <c r="Q3698">
        <v>-1.804774E-2</v>
      </c>
      <c r="R3698">
        <v>-0.94543469999999996</v>
      </c>
      <c r="S3698">
        <v>1.317383</v>
      </c>
      <c r="T3698">
        <v>-0.1929263</v>
      </c>
      <c r="U3698">
        <v>-2.7194820000000002</v>
      </c>
      <c r="V3698">
        <v>-0.28607490000000002</v>
      </c>
      <c r="W3698">
        <v>3.156004E-3</v>
      </c>
      <c r="X3698">
        <v>0.95820209999999995</v>
      </c>
      <c r="Y3698">
        <v>-0.3977656</v>
      </c>
      <c r="Z3698">
        <v>4.2857119999999999E-2</v>
      </c>
      <c r="AA3698">
        <v>0.91648549999999995</v>
      </c>
      <c r="AB3698">
        <v>37</v>
      </c>
      <c r="AC3698">
        <v>0.45090000000004599</v>
      </c>
      <c r="AD3698">
        <v>-6.8931999999999993E-2</v>
      </c>
      <c r="AE3698">
        <v>-0.60469999999999402</v>
      </c>
      <c r="AF3698">
        <v>-0.42207606199311998</v>
      </c>
      <c r="AG3698">
        <v>-6.8931999999999993E-2</v>
      </c>
      <c r="AH3698">
        <v>0.617607634613762</v>
      </c>
      <c r="AI3698">
        <v>95.264835548720001</v>
      </c>
      <c r="AJ3698">
        <v>124.34889117383101</v>
      </c>
      <c r="AK3698">
        <v>0.75122500827969396</v>
      </c>
      <c r="AL3698">
        <v>89.819173997110298</v>
      </c>
      <c r="AM3698">
        <v>106.623195799692</v>
      </c>
      <c r="AN3698">
        <v>1.0000000366078301</v>
      </c>
    </row>
    <row r="3699" spans="1:40" x14ac:dyDescent="0.25">
      <c r="A3699" t="str">
        <f>"20190305135703365"</f>
        <v>20190305135703365</v>
      </c>
      <c r="B3699" t="str">
        <f>"1551765423355845"</f>
        <v>1551765423355845</v>
      </c>
      <c r="C3699" t="s">
        <v>40</v>
      </c>
      <c r="D3699">
        <v>4.481668</v>
      </c>
      <c r="E3699">
        <v>0.45154060000000001</v>
      </c>
      <c r="F3699" t="s">
        <v>41</v>
      </c>
      <c r="G3699">
        <v>-418.01609999999999</v>
      </c>
      <c r="H3699">
        <v>1.0396970000000001</v>
      </c>
      <c r="I3699">
        <v>42.684530000000002</v>
      </c>
      <c r="J3699">
        <v>-418.4699</v>
      </c>
      <c r="K3699">
        <v>1.110563</v>
      </c>
      <c r="L3699">
        <v>43.195979999999999</v>
      </c>
      <c r="M3699">
        <v>4.3022199999999997E-2</v>
      </c>
      <c r="N3699">
        <v>-2.2372389999999999E-2</v>
      </c>
      <c r="O3699">
        <v>-0.99882349999999998</v>
      </c>
      <c r="P3699">
        <v>0.33510380000000001</v>
      </c>
      <c r="Q3699">
        <v>-2.1203449999999999E-2</v>
      </c>
      <c r="R3699">
        <v>-0.94194279999999997</v>
      </c>
      <c r="S3699">
        <v>1.3354490000000001</v>
      </c>
      <c r="T3699">
        <v>-0.1971666</v>
      </c>
      <c r="U3699">
        <v>-2.7098689999999999</v>
      </c>
      <c r="V3699">
        <v>-0.2942591</v>
      </c>
      <c r="W3699" s="1">
        <v>8.4736379999999996E-5</v>
      </c>
      <c r="X3699">
        <v>0.95572570000000001</v>
      </c>
      <c r="Y3699">
        <v>-0.40224650000000001</v>
      </c>
      <c r="Z3699">
        <v>4.3539380000000003E-2</v>
      </c>
      <c r="AA3699">
        <v>0.91449559999999996</v>
      </c>
      <c r="AB3699">
        <v>37</v>
      </c>
      <c r="AC3699">
        <v>0.45380000000000098</v>
      </c>
      <c r="AD3699">
        <v>-7.0866000000000096E-2</v>
      </c>
      <c r="AE3699">
        <v>-0.51144999999999596</v>
      </c>
      <c r="AF3699">
        <v>-0.42678593067382498</v>
      </c>
      <c r="AG3699">
        <v>-7.0866000000000096E-2</v>
      </c>
      <c r="AH3699">
        <v>0.52486653678857098</v>
      </c>
      <c r="AI3699">
        <v>95.980281854557504</v>
      </c>
      <c r="AJ3699">
        <v>129.11567401464001</v>
      </c>
      <c r="AK3699">
        <v>0.68018607896483096</v>
      </c>
      <c r="AL3699">
        <v>89.995144963143005</v>
      </c>
      <c r="AM3699">
        <v>107.113114812468</v>
      </c>
      <c r="AN3699">
        <v>1.00000001937677</v>
      </c>
    </row>
    <row r="3700" spans="1:40" x14ac:dyDescent="0.25">
      <c r="A3700" t="str">
        <f>"20190305135703405"</f>
        <v>20190305135703405</v>
      </c>
      <c r="B3700" t="str">
        <f>"1551765423395860"</f>
        <v>1551765423395860</v>
      </c>
      <c r="C3700" t="s">
        <v>40</v>
      </c>
      <c r="D3700">
        <v>4.5543740000000001</v>
      </c>
      <c r="E3700">
        <v>0.45113540000000002</v>
      </c>
      <c r="F3700" t="s">
        <v>78</v>
      </c>
      <c r="G3700">
        <v>-411.20299999999997</v>
      </c>
      <c r="H3700" s="1">
        <v>-1.0269819999999999E-5</v>
      </c>
      <c r="I3700">
        <v>28.815290000000001</v>
      </c>
      <c r="J3700">
        <v>-418.43810000000002</v>
      </c>
      <c r="K3700">
        <v>1.1119190000000001</v>
      </c>
      <c r="L3700">
        <v>42.555419999999998</v>
      </c>
      <c r="M3700">
        <v>4.7125920000000002E-2</v>
      </c>
      <c r="N3700">
        <v>-2.3515979999999999E-2</v>
      </c>
      <c r="O3700">
        <v>-0.99861219999999995</v>
      </c>
      <c r="P3700">
        <v>0.35497109999999998</v>
      </c>
      <c r="Q3700">
        <v>-2.5444689999999999E-2</v>
      </c>
      <c r="R3700">
        <v>-0.93453109999999995</v>
      </c>
      <c r="S3700">
        <v>1.362152</v>
      </c>
      <c r="T3700">
        <v>-0.20817359999999999</v>
      </c>
      <c r="U3700">
        <v>-2.6956180000000001</v>
      </c>
      <c r="V3700">
        <v>-0.31051139999999999</v>
      </c>
      <c r="W3700">
        <v>-4.1516319999999997E-3</v>
      </c>
      <c r="X3700">
        <v>0.95056059999999998</v>
      </c>
      <c r="Y3700">
        <v>-0.40753889999999998</v>
      </c>
      <c r="Z3700">
        <v>4.6165089999999999E-2</v>
      </c>
      <c r="AA3700">
        <v>0.91202019999999995</v>
      </c>
      <c r="AB3700">
        <v>36</v>
      </c>
      <c r="AC3700">
        <v>7.2350999999999797</v>
      </c>
      <c r="AD3700">
        <v>-1.1119292698200001</v>
      </c>
      <c r="AE3700">
        <v>-13.740129999999899</v>
      </c>
      <c r="AF3700">
        <v>-6.5457994248160896</v>
      </c>
      <c r="AG3700">
        <v>-1.1119292698200001</v>
      </c>
      <c r="AH3700">
        <v>13.994158413948099</v>
      </c>
      <c r="AI3700">
        <v>94.116612340372001</v>
      </c>
      <c r="AJ3700">
        <v>115.06794947002901</v>
      </c>
      <c r="AK3700">
        <v>15.4893623666593</v>
      </c>
      <c r="AL3700">
        <v>90.237871672661797</v>
      </c>
      <c r="AM3700">
        <v>108.09021363580401</v>
      </c>
      <c r="AN3700">
        <v>1.0000000099252899</v>
      </c>
    </row>
    <row r="3701" spans="1:40" x14ac:dyDescent="0.25">
      <c r="A3701" t="str">
        <f>"20190305135703427"</f>
        <v>20190305135703427</v>
      </c>
      <c r="B3701" t="str">
        <f>"1551765423416356"</f>
        <v>1551765423416356</v>
      </c>
      <c r="C3701" t="s">
        <v>40</v>
      </c>
      <c r="D3701">
        <v>4.4313370000000001</v>
      </c>
      <c r="E3701">
        <v>0.40775359999999999</v>
      </c>
      <c r="F3701" t="s">
        <v>78</v>
      </c>
      <c r="G3701">
        <v>-411.35840000000002</v>
      </c>
      <c r="H3701" s="1">
        <v>-1.0268269999999999E-5</v>
      </c>
      <c r="I3701">
        <v>29.28651</v>
      </c>
      <c r="J3701">
        <v>-418.41950000000003</v>
      </c>
      <c r="K3701">
        <v>1.1125940000000001</v>
      </c>
      <c r="L3701">
        <v>42.219360000000002</v>
      </c>
      <c r="M3701">
        <v>4.9941289999999999E-2</v>
      </c>
      <c r="N3701">
        <v>-2.4186340000000001E-2</v>
      </c>
      <c r="O3701">
        <v>-0.9984594</v>
      </c>
      <c r="P3701">
        <v>0.36524469999999998</v>
      </c>
      <c r="Q3701">
        <v>-2.762995E-2</v>
      </c>
      <c r="R3701">
        <v>-0.93050169999999999</v>
      </c>
      <c r="S3701">
        <v>1.421478</v>
      </c>
      <c r="T3701">
        <v>-0.22325519999999999</v>
      </c>
      <c r="U3701">
        <v>-2.6641539999999999</v>
      </c>
      <c r="V3701">
        <v>-0.31827810000000001</v>
      </c>
      <c r="W3701">
        <v>-6.2468280000000003E-3</v>
      </c>
      <c r="X3701">
        <v>0.94797679999999995</v>
      </c>
      <c r="Y3701">
        <v>-0.42500640000000001</v>
      </c>
      <c r="Z3701">
        <v>5.0626360000000002E-2</v>
      </c>
      <c r="AA3701">
        <v>0.90377350000000001</v>
      </c>
      <c r="AB3701">
        <v>36</v>
      </c>
      <c r="AC3701">
        <v>7.0610999999999997</v>
      </c>
      <c r="AD3701">
        <v>-1.1126042682699999</v>
      </c>
      <c r="AE3701">
        <v>-12.932849999999901</v>
      </c>
      <c r="AF3701">
        <v>-6.36989386882607</v>
      </c>
      <c r="AG3701">
        <v>-1.1126042682699999</v>
      </c>
      <c r="AH3701">
        <v>13.1942196211529</v>
      </c>
      <c r="AI3701">
        <v>94.342622188909104</v>
      </c>
      <c r="AJ3701">
        <v>115.770280609178</v>
      </c>
      <c r="AK3701">
        <v>14.6935655158677</v>
      </c>
      <c r="AL3701">
        <v>90.357919210268093</v>
      </c>
      <c r="AM3701">
        <v>108.55919907147501</v>
      </c>
      <c r="AN3701">
        <v>0.999999992568955</v>
      </c>
    </row>
    <row r="3702" spans="1:40" x14ac:dyDescent="0.25">
      <c r="A3702" t="str">
        <f>"20190305135703450"</f>
        <v>20190305135703450</v>
      </c>
      <c r="B3702" t="str">
        <f>"1551765423445636"</f>
        <v>1551765423445636</v>
      </c>
      <c r="C3702" t="s">
        <v>40</v>
      </c>
      <c r="D3702">
        <v>4.4441879999999996</v>
      </c>
      <c r="E3702">
        <v>0.4043313</v>
      </c>
      <c r="F3702" t="s">
        <v>41</v>
      </c>
      <c r="G3702">
        <v>-417.90170000000001</v>
      </c>
      <c r="H3702">
        <v>1.0559799999999999</v>
      </c>
      <c r="I3702">
        <v>41.483469999999997</v>
      </c>
      <c r="J3702">
        <v>-418.3981</v>
      </c>
      <c r="K3702">
        <v>1.113253</v>
      </c>
      <c r="L3702">
        <v>41.863280000000003</v>
      </c>
      <c r="M3702">
        <v>5.3434490000000001E-2</v>
      </c>
      <c r="N3702">
        <v>-2.493565E-2</v>
      </c>
      <c r="O3702">
        <v>-0.99826009999999998</v>
      </c>
      <c r="P3702">
        <v>0.37573620000000002</v>
      </c>
      <c r="Q3702">
        <v>-2.9920869999999999E-2</v>
      </c>
      <c r="R3702">
        <v>-0.92624390000000001</v>
      </c>
      <c r="S3702">
        <v>1.7748409999999999</v>
      </c>
      <c r="T3702">
        <v>-0.19399939999999999</v>
      </c>
      <c r="U3702">
        <v>-2.5216370000000001</v>
      </c>
      <c r="V3702">
        <v>-0.32564500000000002</v>
      </c>
      <c r="W3702">
        <v>-8.3659790000000008E-3</v>
      </c>
      <c r="X3702">
        <v>0.94545509999999999</v>
      </c>
      <c r="Y3702">
        <v>-0.53007689999999996</v>
      </c>
      <c r="Z3702">
        <v>3.918203E-2</v>
      </c>
      <c r="AA3702">
        <v>0.84704389999999996</v>
      </c>
      <c r="AB3702">
        <v>36</v>
      </c>
      <c r="AC3702">
        <v>0.49639999999999401</v>
      </c>
      <c r="AD3702">
        <v>-5.7273000000000102E-2</v>
      </c>
      <c r="AE3702">
        <v>-0.37980999999999199</v>
      </c>
      <c r="AF3702">
        <v>-0.47143081113739099</v>
      </c>
      <c r="AG3702">
        <v>-5.7273000000000102E-2</v>
      </c>
      <c r="AH3702">
        <v>0.40242130057203201</v>
      </c>
      <c r="AI3702">
        <v>95.279200289730397</v>
      </c>
      <c r="AJ3702">
        <v>139.51536894883</v>
      </c>
      <c r="AK3702">
        <v>0.62247097070686297</v>
      </c>
      <c r="AL3702">
        <v>90.4793408793673</v>
      </c>
      <c r="AM3702">
        <v>109.005347288365</v>
      </c>
      <c r="AN3702">
        <v>1.00000000087281</v>
      </c>
    </row>
    <row r="3703" spans="1:40" x14ac:dyDescent="0.25">
      <c r="A3703" t="str">
        <f>"20190305135703472"</f>
        <v>20190305135703472</v>
      </c>
      <c r="B3703" t="str">
        <f>"1551765423466132"</f>
        <v>1551765423466132</v>
      </c>
      <c r="C3703" t="s">
        <v>40</v>
      </c>
      <c r="D3703">
        <v>4.4178369999999996</v>
      </c>
      <c r="E3703">
        <v>0.4049064</v>
      </c>
      <c r="F3703" t="s">
        <v>78</v>
      </c>
      <c r="G3703">
        <v>-409.27260000000001</v>
      </c>
      <c r="H3703" s="1">
        <v>-3.4073629999999998E-6</v>
      </c>
      <c r="I3703">
        <v>29.42398</v>
      </c>
      <c r="J3703">
        <v>-418.37450000000001</v>
      </c>
      <c r="K3703">
        <v>1.1138619999999999</v>
      </c>
      <c r="L3703">
        <v>41.505310000000001</v>
      </c>
      <c r="M3703">
        <v>5.7528719999999998E-2</v>
      </c>
      <c r="N3703">
        <v>-2.5710810000000001E-2</v>
      </c>
      <c r="O3703">
        <v>-0.99801280000000003</v>
      </c>
      <c r="P3703">
        <v>0.3861967</v>
      </c>
      <c r="Q3703">
        <v>-3.061386E-2</v>
      </c>
      <c r="R3703">
        <v>-0.92190859999999997</v>
      </c>
      <c r="S3703">
        <v>1.8270569999999999</v>
      </c>
      <c r="T3703">
        <v>-0.22289110000000001</v>
      </c>
      <c r="U3703">
        <v>-2.4905400000000002</v>
      </c>
      <c r="V3703">
        <v>-0.3324473</v>
      </c>
      <c r="W3703">
        <v>-8.8192189999999997E-3</v>
      </c>
      <c r="X3703">
        <v>0.94308060000000005</v>
      </c>
      <c r="Y3703">
        <v>-0.54283800000000004</v>
      </c>
      <c r="Z3703">
        <v>4.7898570000000001E-2</v>
      </c>
      <c r="AA3703">
        <v>0.83847050000000001</v>
      </c>
      <c r="AB3703">
        <v>35</v>
      </c>
      <c r="AC3703">
        <v>9.1019000000000005</v>
      </c>
      <c r="AD3703">
        <v>-1.1138654073630001</v>
      </c>
      <c r="AE3703">
        <v>-12.0813299999999</v>
      </c>
      <c r="AF3703">
        <v>-8.3463044470849805</v>
      </c>
      <c r="AG3703">
        <v>-1.1138654073630001</v>
      </c>
      <c r="AH3703">
        <v>12.5172267786515</v>
      </c>
      <c r="AI3703">
        <v>94.234297308357995</v>
      </c>
      <c r="AJ3703">
        <v>123.69477819324101</v>
      </c>
      <c r="AK3703">
        <v>15.0858364135815</v>
      </c>
      <c r="AL3703">
        <v>90.505310576829501</v>
      </c>
      <c r="AM3703">
        <v>109.418169564111</v>
      </c>
      <c r="AN3703">
        <v>1.0000000019987001</v>
      </c>
    </row>
    <row r="3704" spans="1:40" x14ac:dyDescent="0.25">
      <c r="A3704" t="str">
        <f>"20190305135703494"</f>
        <v>20190305135703494</v>
      </c>
      <c r="B3704" t="str">
        <f>"1551765423485653"</f>
        <v>1551765423485653</v>
      </c>
      <c r="C3704" t="s">
        <v>40</v>
      </c>
      <c r="D3704">
        <v>4.4666920000000001</v>
      </c>
      <c r="E3704">
        <v>0.40563149999999998</v>
      </c>
      <c r="F3704" t="s">
        <v>78</v>
      </c>
      <c r="G3704">
        <v>-409.18560000000002</v>
      </c>
      <c r="H3704" s="1">
        <v>-3.417274E-6</v>
      </c>
      <c r="I3704">
        <v>29.233730000000001</v>
      </c>
      <c r="J3704">
        <v>-418.35079999999999</v>
      </c>
      <c r="K3704">
        <v>1.1143609999999999</v>
      </c>
      <c r="L3704">
        <v>41.175020000000004</v>
      </c>
      <c r="M3704">
        <v>6.1682559999999997E-2</v>
      </c>
      <c r="N3704">
        <v>-2.6421E-2</v>
      </c>
      <c r="O3704">
        <v>-0.99774620000000003</v>
      </c>
      <c r="P3704">
        <v>0.39681880000000003</v>
      </c>
      <c r="Q3704">
        <v>-2.8466950000000001E-2</v>
      </c>
      <c r="R3704">
        <v>-0.91745560000000004</v>
      </c>
      <c r="S3704">
        <v>1.8505860000000001</v>
      </c>
      <c r="T3704">
        <v>-0.224327</v>
      </c>
      <c r="U3704">
        <v>-2.4714360000000002</v>
      </c>
      <c r="V3704">
        <v>-0.33940999999999999</v>
      </c>
      <c r="W3704">
        <v>-6.4319719999999898E-3</v>
      </c>
      <c r="X3704">
        <v>0.94061649999999997</v>
      </c>
      <c r="Y3704">
        <v>-0.54752769999999995</v>
      </c>
      <c r="Z3704">
        <v>4.7832180000000002E-2</v>
      </c>
      <c r="AA3704">
        <v>0.83541929999999998</v>
      </c>
      <c r="AB3704">
        <v>35</v>
      </c>
      <c r="AC3704">
        <v>9.1651999999999703</v>
      </c>
      <c r="AD3704">
        <v>-1.1143644172739999</v>
      </c>
      <c r="AE3704">
        <v>-11.94129</v>
      </c>
      <c r="AF3704">
        <v>-8.36506614628445</v>
      </c>
      <c r="AG3704">
        <v>-1.1143644172739999</v>
      </c>
      <c r="AH3704">
        <v>12.416022648235501</v>
      </c>
      <c r="AI3704">
        <v>94.256942952370494</v>
      </c>
      <c r="AJ3704">
        <v>123.969392233146</v>
      </c>
      <c r="AK3704">
        <v>15.0124534333232</v>
      </c>
      <c r="AL3704">
        <v>90.368527405618096</v>
      </c>
      <c r="AM3704">
        <v>109.841360669111</v>
      </c>
      <c r="AN3704">
        <v>0.99999995921802798</v>
      </c>
    </row>
    <row r="3705" spans="1:40" x14ac:dyDescent="0.25">
      <c r="A3705" t="str">
        <f>"20190305135703516"</f>
        <v>20190305135703516</v>
      </c>
      <c r="B3705" t="str">
        <f>"1551765423506149"</f>
        <v>1551765423506149</v>
      </c>
      <c r="C3705" t="s">
        <v>40</v>
      </c>
      <c r="D3705">
        <v>4.4559699999999998</v>
      </c>
      <c r="E3705">
        <v>0.40635559999999998</v>
      </c>
      <c r="F3705" t="s">
        <v>78</v>
      </c>
      <c r="G3705">
        <v>-409.12490000000003</v>
      </c>
      <c r="H3705" s="1">
        <v>-3.4224769999999998E-6</v>
      </c>
      <c r="I3705">
        <v>29.0913</v>
      </c>
      <c r="J3705">
        <v>-418.32549999999998</v>
      </c>
      <c r="K3705">
        <v>1.1147940000000001</v>
      </c>
      <c r="L3705">
        <v>40.845979999999997</v>
      </c>
      <c r="M3705">
        <v>6.6148529999999997E-2</v>
      </c>
      <c r="N3705">
        <v>-2.710129E-2</v>
      </c>
      <c r="O3705">
        <v>-0.99744189999999999</v>
      </c>
      <c r="P3705">
        <v>0.40774909999999998</v>
      </c>
      <c r="Q3705">
        <v>-2.3705549999999999E-2</v>
      </c>
      <c r="R3705">
        <v>-0.91278680000000001</v>
      </c>
      <c r="S3705">
        <v>1.8727720000000001</v>
      </c>
      <c r="T3705">
        <v>-0.22620560000000001</v>
      </c>
      <c r="U3705">
        <v>-2.4528810000000001</v>
      </c>
      <c r="V3705">
        <v>-0.34645490000000001</v>
      </c>
      <c r="W3705">
        <v>-1.4255439999999999E-3</v>
      </c>
      <c r="X3705">
        <v>0.9380655</v>
      </c>
      <c r="Y3705">
        <v>-0.55156179999999999</v>
      </c>
      <c r="Z3705">
        <v>4.7953450000000002E-2</v>
      </c>
      <c r="AA3705">
        <v>0.83275460000000001</v>
      </c>
      <c r="AB3705">
        <v>34</v>
      </c>
      <c r="AC3705">
        <v>9.2005999999999499</v>
      </c>
      <c r="AD3705">
        <v>-1.1147974224770001</v>
      </c>
      <c r="AE3705">
        <v>-11.754679999999899</v>
      </c>
      <c r="AF3705">
        <v>-8.3559889880015792</v>
      </c>
      <c r="AG3705">
        <v>-1.1147974224770001</v>
      </c>
      <c r="AH3705">
        <v>12.2693147497293</v>
      </c>
      <c r="AI3705">
        <v>94.294761956931097</v>
      </c>
      <c r="AJ3705">
        <v>124.25673153664</v>
      </c>
      <c r="AK3705">
        <v>14.8862826013982</v>
      </c>
      <c r="AL3705">
        <v>90.081677685959704</v>
      </c>
      <c r="AM3705">
        <v>110.270656025303</v>
      </c>
      <c r="AN3705">
        <v>0.99999995609997605</v>
      </c>
    </row>
    <row r="3706" spans="1:40" x14ac:dyDescent="0.25">
      <c r="A3706" t="str">
        <f>"20190305135703540"</f>
        <v>20190305135703540</v>
      </c>
      <c r="B3706" t="str">
        <f>"1551765423525668"</f>
        <v>1551765423525668</v>
      </c>
      <c r="C3706" t="s">
        <v>40</v>
      </c>
      <c r="D3706">
        <v>4.4923330000000004</v>
      </c>
      <c r="E3706">
        <v>0.40703790000000001</v>
      </c>
      <c r="F3706" t="s">
        <v>41</v>
      </c>
      <c r="G3706">
        <v>-417.66609999999997</v>
      </c>
      <c r="H3706">
        <v>1.0402640000000001</v>
      </c>
      <c r="I3706">
        <v>39.999980000000001</v>
      </c>
      <c r="J3706">
        <v>-418.29700000000003</v>
      </c>
      <c r="K3706">
        <v>1.115157</v>
      </c>
      <c r="L3706">
        <v>40.50159</v>
      </c>
      <c r="M3706">
        <v>7.1131330000000006E-2</v>
      </c>
      <c r="N3706">
        <v>-2.7785600000000001E-2</v>
      </c>
      <c r="O3706">
        <v>-0.99707979999999996</v>
      </c>
      <c r="P3706">
        <v>0.41883799999999999</v>
      </c>
      <c r="Q3706">
        <v>-1.9326340000000001E-2</v>
      </c>
      <c r="R3706">
        <v>-0.90785559999999998</v>
      </c>
      <c r="S3706">
        <v>1.8968510000000001</v>
      </c>
      <c r="T3706">
        <v>-0.21440699999999999</v>
      </c>
      <c r="U3706">
        <v>-2.4337460000000002</v>
      </c>
      <c r="V3706">
        <v>-0.3532228</v>
      </c>
      <c r="W3706">
        <v>3.230391E-3</v>
      </c>
      <c r="X3706">
        <v>0.93553370000000002</v>
      </c>
      <c r="Y3706">
        <v>-0.55580980000000002</v>
      </c>
      <c r="Z3706">
        <v>4.3577650000000002E-2</v>
      </c>
      <c r="AA3706">
        <v>0.83016659999999998</v>
      </c>
      <c r="AB3706">
        <v>34</v>
      </c>
      <c r="AC3706">
        <v>0.63089999999999602</v>
      </c>
      <c r="AD3706">
        <v>-7.4893000000000098E-2</v>
      </c>
      <c r="AE3706">
        <v>-0.501609999999999</v>
      </c>
      <c r="AF3706">
        <v>-0.58852545365392295</v>
      </c>
      <c r="AG3706">
        <v>-7.4893000000000098E-2</v>
      </c>
      <c r="AH3706">
        <v>0.54056534840985304</v>
      </c>
      <c r="AI3706">
        <v>95.354165703483403</v>
      </c>
      <c r="AJ3706">
        <v>137.43227624860299</v>
      </c>
      <c r="AK3706">
        <v>0.80260953579497296</v>
      </c>
      <c r="AL3706">
        <v>89.814911915541003</v>
      </c>
      <c r="AM3706">
        <v>110.684675096018</v>
      </c>
      <c r="AN3706">
        <v>1.00000004285077</v>
      </c>
    </row>
    <row r="3707" spans="1:40" x14ac:dyDescent="0.25">
      <c r="A3707" t="str">
        <f>"20190305135703564"</f>
        <v>20190305135703564</v>
      </c>
      <c r="B3707" t="str">
        <f>"1551765423555925"</f>
        <v>1551765423555925</v>
      </c>
      <c r="C3707" t="s">
        <v>40</v>
      </c>
      <c r="D3707">
        <v>4.5003129999999896</v>
      </c>
      <c r="E3707">
        <v>0.4076437</v>
      </c>
      <c r="F3707" t="s">
        <v>41</v>
      </c>
      <c r="G3707">
        <v>-417.65960000000001</v>
      </c>
      <c r="H3707">
        <v>1.0480020000000001</v>
      </c>
      <c r="I3707">
        <v>39.700719999999997</v>
      </c>
      <c r="J3707">
        <v>-418.26490000000001</v>
      </c>
      <c r="K3707">
        <v>1.1154580000000001</v>
      </c>
      <c r="L3707">
        <v>40.139279999999999</v>
      </c>
      <c r="M3707">
        <v>7.6683699999999994E-2</v>
      </c>
      <c r="N3707">
        <v>-2.8468779999999999E-2</v>
      </c>
      <c r="O3707">
        <v>-0.99664900000000001</v>
      </c>
      <c r="P3707">
        <v>0.43008229999999997</v>
      </c>
      <c r="Q3707">
        <v>-1.749705E-2</v>
      </c>
      <c r="R3707">
        <v>-0.90262030000000004</v>
      </c>
      <c r="S3707">
        <v>1.921692</v>
      </c>
      <c r="T3707">
        <v>-0.20238719999999999</v>
      </c>
      <c r="U3707">
        <v>-2.413605</v>
      </c>
      <c r="V3707">
        <v>-0.359645099999999</v>
      </c>
      <c r="W3707">
        <v>5.3627880000000003E-3</v>
      </c>
      <c r="X3707">
        <v>0.93307379999999995</v>
      </c>
      <c r="Y3707">
        <v>-0.55989369999999905</v>
      </c>
      <c r="Z3707">
        <v>3.9134620000000002E-2</v>
      </c>
      <c r="AA3707">
        <v>0.82763969999999898</v>
      </c>
      <c r="AB3707">
        <v>34</v>
      </c>
      <c r="AC3707">
        <v>0.60529999999999895</v>
      </c>
      <c r="AD3707">
        <v>-6.7455999999999905E-2</v>
      </c>
      <c r="AE3707">
        <v>-0.43855999999999501</v>
      </c>
      <c r="AF3707">
        <v>-0.56526856961549898</v>
      </c>
      <c r="AG3707">
        <v>-6.7455999999999905E-2</v>
      </c>
      <c r="AH3707">
        <v>0.47979554380563999</v>
      </c>
      <c r="AI3707">
        <v>95.198446670958504</v>
      </c>
      <c r="AJ3707">
        <v>139.67566314421001</v>
      </c>
      <c r="AK3707">
        <v>0.74450159945221195</v>
      </c>
      <c r="AL3707">
        <v>89.692733419681403</v>
      </c>
      <c r="AM3707">
        <v>111.07871875760399</v>
      </c>
      <c r="AN3707">
        <v>1.0000000368477899</v>
      </c>
    </row>
    <row r="3708" spans="1:40" x14ac:dyDescent="0.25">
      <c r="A3708" t="str">
        <f>"20190305135703588"</f>
        <v>20190305135703588</v>
      </c>
      <c r="B3708" t="str">
        <f>"1551765423576420"</f>
        <v>1551765423576420</v>
      </c>
      <c r="C3708" t="s">
        <v>40</v>
      </c>
      <c r="D3708">
        <v>4.526027</v>
      </c>
      <c r="E3708">
        <v>0.40824450000000001</v>
      </c>
      <c r="F3708" t="s">
        <v>41</v>
      </c>
      <c r="G3708">
        <v>-417.66370000000001</v>
      </c>
      <c r="H3708">
        <v>1.056505</v>
      </c>
      <c r="I3708">
        <v>39.401119999999999</v>
      </c>
      <c r="J3708">
        <v>-418.23200000000003</v>
      </c>
      <c r="K3708">
        <v>1.1156889999999999</v>
      </c>
      <c r="L3708">
        <v>39.79468</v>
      </c>
      <c r="M3708">
        <v>8.2249470000000005E-2</v>
      </c>
      <c r="N3708">
        <v>-2.9067909999999999E-2</v>
      </c>
      <c r="O3708">
        <v>-0.99618779999999996</v>
      </c>
      <c r="P3708">
        <v>0.44195390000000001</v>
      </c>
      <c r="Q3708">
        <v>-1.8918509999999999E-2</v>
      </c>
      <c r="R3708">
        <v>-0.89683829999999998</v>
      </c>
      <c r="S3708">
        <v>1.948029</v>
      </c>
      <c r="T3708">
        <v>-0.1910222</v>
      </c>
      <c r="U3708">
        <v>-2.3918149999999998</v>
      </c>
      <c r="V3708">
        <v>-0.3667261</v>
      </c>
      <c r="W3708">
        <v>4.1812000000000004E-3</v>
      </c>
      <c r="X3708">
        <v>0.93031949999999997</v>
      </c>
      <c r="Y3708">
        <v>-0.56452720000000001</v>
      </c>
      <c r="Z3708">
        <v>3.4981850000000002E-2</v>
      </c>
      <c r="AA3708">
        <v>0.82467289999999904</v>
      </c>
      <c r="AB3708">
        <v>33</v>
      </c>
      <c r="AC3708">
        <v>0.56829999999996506</v>
      </c>
      <c r="AD3708">
        <v>-5.9183999999999903E-2</v>
      </c>
      <c r="AE3708">
        <v>-0.39356000000000002</v>
      </c>
      <c r="AF3708">
        <v>-0.53010331578788805</v>
      </c>
      <c r="AG3708">
        <v>-5.9183999999999903E-2</v>
      </c>
      <c r="AH3708">
        <v>0.435793101695021</v>
      </c>
      <c r="AI3708">
        <v>94.929214249466995</v>
      </c>
      <c r="AJ3708">
        <v>140.57668800843899</v>
      </c>
      <c r="AK3708">
        <v>0.688787266687096</v>
      </c>
      <c r="AL3708">
        <v>89.760434175120807</v>
      </c>
      <c r="AM3708">
        <v>111.51404722009499</v>
      </c>
      <c r="AN3708">
        <v>0.99999994346744803</v>
      </c>
    </row>
    <row r="3709" spans="1:40" x14ac:dyDescent="0.25">
      <c r="A3709" t="str">
        <f>"20190305135703630"</f>
        <v>20190305135703630</v>
      </c>
      <c r="B3709" t="str">
        <f>"1551765423626196"</f>
        <v>1551765423626196</v>
      </c>
      <c r="C3709" t="s">
        <v>40</v>
      </c>
      <c r="D3709">
        <v>4.5181579999999997</v>
      </c>
      <c r="E3709">
        <v>0.40954550000000001</v>
      </c>
      <c r="F3709" t="s">
        <v>41</v>
      </c>
      <c r="G3709">
        <v>-417.65870000000001</v>
      </c>
      <c r="H3709">
        <v>1.0588089999999999</v>
      </c>
      <c r="I3709">
        <v>39.107039999999998</v>
      </c>
      <c r="J3709">
        <v>-418.17059999999998</v>
      </c>
      <c r="K3709">
        <v>1.1159969999999999</v>
      </c>
      <c r="L3709">
        <v>39.206389999999999</v>
      </c>
      <c r="M3709">
        <v>9.2398449999999993E-2</v>
      </c>
      <c r="N3709">
        <v>-2.9974089999999998E-2</v>
      </c>
      <c r="O3709">
        <v>-0.99527080000000001</v>
      </c>
      <c r="P3709">
        <v>0.46316269999999998</v>
      </c>
      <c r="Q3709">
        <v>-2.4732609999999999E-2</v>
      </c>
      <c r="R3709">
        <v>-0.8859283</v>
      </c>
      <c r="S3709">
        <v>1.974701</v>
      </c>
      <c r="T3709">
        <v>-0.19586249999999999</v>
      </c>
      <c r="U3709">
        <v>-2.3678279999999998</v>
      </c>
      <c r="V3709">
        <v>-0.37929410000000002</v>
      </c>
      <c r="W3709">
        <v>-1.3264559999999999E-3</v>
      </c>
      <c r="X3709">
        <v>0.92527519999999996</v>
      </c>
      <c r="Y3709">
        <v>-0.56563750000000002</v>
      </c>
      <c r="Z3709">
        <v>3.6001970000000001E-2</v>
      </c>
      <c r="AA3709">
        <v>0.82386769999999998</v>
      </c>
      <c r="AB3709">
        <v>33</v>
      </c>
      <c r="AC3709">
        <v>0.51189999999996805</v>
      </c>
      <c r="AD3709">
        <v>-5.7187999999999801E-2</v>
      </c>
      <c r="AE3709">
        <v>-9.9349999999993999E-2</v>
      </c>
      <c r="AF3709">
        <v>-0.49457567145201597</v>
      </c>
      <c r="AG3709">
        <v>-5.7187999999999801E-2</v>
      </c>
      <c r="AH3709">
        <v>0.14450656337003201</v>
      </c>
      <c r="AI3709">
        <v>96.333325977590604</v>
      </c>
      <c r="AJ3709">
        <v>163.712538994054</v>
      </c>
      <c r="AK3709">
        <v>0.51841846899317701</v>
      </c>
      <c r="AL3709">
        <v>90.076000353955095</v>
      </c>
      <c r="AM3709">
        <v>112.28998546491</v>
      </c>
      <c r="AN3709">
        <v>0.99999998475768404</v>
      </c>
    </row>
    <row r="3710" spans="1:40" x14ac:dyDescent="0.25">
      <c r="A3710" t="str">
        <f>"20190305135703652"</f>
        <v>20190305135703652</v>
      </c>
      <c r="B3710" t="str">
        <f>"1551765423645717"</f>
        <v>1551765423645717</v>
      </c>
      <c r="C3710" t="s">
        <v>40</v>
      </c>
      <c r="D3710">
        <v>4.541048</v>
      </c>
      <c r="E3710">
        <v>0.4103192</v>
      </c>
      <c r="F3710" t="s">
        <v>41</v>
      </c>
      <c r="G3710">
        <v>-417.5951</v>
      </c>
      <c r="H3710">
        <v>1.054592</v>
      </c>
      <c r="I3710">
        <v>38.544110000000003</v>
      </c>
      <c r="J3710">
        <v>-418.13580000000002</v>
      </c>
      <c r="K3710">
        <v>1.116141</v>
      </c>
      <c r="L3710">
        <v>38.901820000000001</v>
      </c>
      <c r="M3710">
        <v>9.7945279999999996E-2</v>
      </c>
      <c r="N3710">
        <v>-3.041379E-2</v>
      </c>
      <c r="O3710">
        <v>-0.99472709999999998</v>
      </c>
      <c r="P3710">
        <v>0.4732692</v>
      </c>
      <c r="Q3710">
        <v>-2.531013E-2</v>
      </c>
      <c r="R3710">
        <v>-0.88055450000000002</v>
      </c>
      <c r="S3710">
        <v>2.020721</v>
      </c>
      <c r="T3710">
        <v>-0.2154673</v>
      </c>
      <c r="U3710">
        <v>-2.3238530000000002</v>
      </c>
      <c r="V3710">
        <v>-0.38471149999999998</v>
      </c>
      <c r="W3710">
        <v>-1.7282679999999901E-3</v>
      </c>
      <c r="X3710">
        <v>0.9230353</v>
      </c>
      <c r="Y3710">
        <v>-0.57772829999999997</v>
      </c>
      <c r="Z3710">
        <v>4.2375650000000001E-2</v>
      </c>
      <c r="AA3710">
        <v>0.81512839999999998</v>
      </c>
      <c r="AB3710">
        <v>32</v>
      </c>
      <c r="AC3710">
        <v>0.54070000000001495</v>
      </c>
      <c r="AD3710">
        <v>-6.1549E-2</v>
      </c>
      <c r="AE3710">
        <v>-0.35771000000000402</v>
      </c>
      <c r="AF3710">
        <v>-0.49855212940177102</v>
      </c>
      <c r="AG3710">
        <v>-6.1549E-2</v>
      </c>
      <c r="AH3710">
        <v>0.40531884189388501</v>
      </c>
      <c r="AI3710">
        <v>95.471808363360495</v>
      </c>
      <c r="AJ3710">
        <v>140.88916868086699</v>
      </c>
      <c r="AK3710">
        <v>0.64546562164552201</v>
      </c>
      <c r="AL3710">
        <v>90.099022507097402</v>
      </c>
      <c r="AM3710">
        <v>112.625865587804</v>
      </c>
      <c r="AN3710">
        <v>1.0000000450943001</v>
      </c>
    </row>
    <row r="3711" spans="1:40" x14ac:dyDescent="0.25">
      <c r="A3711" t="str">
        <f>"20190305135703674"</f>
        <v>20190305135703674</v>
      </c>
      <c r="B3711" t="str">
        <f>"1551765423666212"</f>
        <v>1551765423666212</v>
      </c>
      <c r="C3711" t="s">
        <v>40</v>
      </c>
      <c r="D3711">
        <v>4.559825</v>
      </c>
      <c r="E3711">
        <v>0.41105340000000001</v>
      </c>
      <c r="F3711" t="s">
        <v>78</v>
      </c>
      <c r="G3711">
        <v>-407.69529999999997</v>
      </c>
      <c r="H3711" s="1">
        <v>-3.7918319999999999E-6</v>
      </c>
      <c r="I3711">
        <v>27.125019999999999</v>
      </c>
      <c r="J3711">
        <v>-418.09589999999997</v>
      </c>
      <c r="K3711">
        <v>1.1162840000000001</v>
      </c>
      <c r="L3711">
        <v>38.5715</v>
      </c>
      <c r="M3711">
        <v>0.1042168</v>
      </c>
      <c r="N3711">
        <v>-3.0865050000000002E-2</v>
      </c>
      <c r="O3711">
        <v>-0.99407570000000001</v>
      </c>
      <c r="P3711">
        <v>0.48455799999999999</v>
      </c>
      <c r="Q3711">
        <v>-2.541173E-2</v>
      </c>
      <c r="R3711">
        <v>-0.87439020000000001</v>
      </c>
      <c r="S3711">
        <v>2.0418699999999999</v>
      </c>
      <c r="T3711">
        <v>-0.2182876</v>
      </c>
      <c r="U3711">
        <v>-2.303223</v>
      </c>
      <c r="V3711">
        <v>-0.39075510000000002</v>
      </c>
      <c r="W3711">
        <v>-1.660934E-3</v>
      </c>
      <c r="X3711">
        <v>0.92049320000000001</v>
      </c>
      <c r="Y3711">
        <v>-0.58034569999999996</v>
      </c>
      <c r="Z3711">
        <v>4.3108880000000002E-2</v>
      </c>
      <c r="AA3711">
        <v>0.81322839999999996</v>
      </c>
      <c r="AB3711">
        <v>32</v>
      </c>
      <c r="AC3711">
        <v>10.400599999999899</v>
      </c>
      <c r="AD3711">
        <v>-1.116287791832</v>
      </c>
      <c r="AE3711">
        <v>-11.4464799999999</v>
      </c>
      <c r="AF3711">
        <v>-9.1030038221789695</v>
      </c>
      <c r="AG3711">
        <v>-1.116287791832</v>
      </c>
      <c r="AH3711">
        <v>12.403904618501899</v>
      </c>
      <c r="AI3711">
        <v>94.149727915783501</v>
      </c>
      <c r="AJ3711">
        <v>126.27427954182301</v>
      </c>
      <c r="AK3711">
        <v>15.4261993636051</v>
      </c>
      <c r="AL3711">
        <v>90.095164550190901</v>
      </c>
      <c r="AM3711">
        <v>113.001525173245</v>
      </c>
      <c r="AN3711">
        <v>1.000000019062</v>
      </c>
    </row>
    <row r="3712" spans="1:40" x14ac:dyDescent="0.25">
      <c r="A3712" t="str">
        <f>"20190305135703697"</f>
        <v>20190305135703697</v>
      </c>
      <c r="B3712" t="str">
        <f>"1551765423685733"</f>
        <v>1551765423685733</v>
      </c>
      <c r="C3712" t="s">
        <v>40</v>
      </c>
      <c r="D3712">
        <v>4.561642</v>
      </c>
      <c r="E3712">
        <v>0.4118076</v>
      </c>
      <c r="F3712" t="s">
        <v>78</v>
      </c>
      <c r="G3712">
        <v>-407.56990000000002</v>
      </c>
      <c r="H3712" s="1">
        <v>-3.8254940000000003E-6</v>
      </c>
      <c r="I3712">
        <v>26.95946</v>
      </c>
      <c r="J3712">
        <v>-418.05810000000002</v>
      </c>
      <c r="K3712">
        <v>1.116384</v>
      </c>
      <c r="L3712">
        <v>38.275700000000001</v>
      </c>
      <c r="M3712">
        <v>0.110024499999999</v>
      </c>
      <c r="N3712">
        <v>-3.127249E-2</v>
      </c>
      <c r="O3712">
        <v>-0.99343689999999996</v>
      </c>
      <c r="P3712">
        <v>0.49508039999999998</v>
      </c>
      <c r="Q3712">
        <v>-2.6977649999999999E-2</v>
      </c>
      <c r="R3712">
        <v>-0.86842849999999905</v>
      </c>
      <c r="S3712">
        <v>2.0663149999999999</v>
      </c>
      <c r="T3712">
        <v>-0.21913360000000001</v>
      </c>
      <c r="U3712">
        <v>-2.2795100000000001</v>
      </c>
      <c r="V3712">
        <v>-0.3964685</v>
      </c>
      <c r="W3712">
        <v>-3.0670530000000001E-3</v>
      </c>
      <c r="X3712">
        <v>0.91804319999999895</v>
      </c>
      <c r="Y3712">
        <v>-0.58454899999999999</v>
      </c>
      <c r="Z3712">
        <v>4.3228240000000001E-2</v>
      </c>
      <c r="AA3712">
        <v>0.81020599999999998</v>
      </c>
      <c r="AB3712">
        <v>31</v>
      </c>
      <c r="AC3712">
        <v>10.488200000000001</v>
      </c>
      <c r="AD3712">
        <v>-1.1163878254940001</v>
      </c>
      <c r="AE3712">
        <v>-11.316240000000001</v>
      </c>
      <c r="AF3712">
        <v>-9.1309857916230399</v>
      </c>
      <c r="AG3712">
        <v>-1.1163878254940001</v>
      </c>
      <c r="AH3712">
        <v>12.3374033280656</v>
      </c>
      <c r="AI3712">
        <v>94.160049486969697</v>
      </c>
      <c r="AJ3712">
        <v>126.505363982143</v>
      </c>
      <c r="AK3712">
        <v>15.389371143198099</v>
      </c>
      <c r="AL3712">
        <v>90.175729468359293</v>
      </c>
      <c r="AM3712">
        <v>113.357708603221</v>
      </c>
      <c r="AN3712">
        <v>0.99999999768629699</v>
      </c>
    </row>
    <row r="3713" spans="1:40" x14ac:dyDescent="0.25">
      <c r="A3713" t="str">
        <f>"20190305135703718"</f>
        <v>20190305135703718</v>
      </c>
      <c r="B3713" t="str">
        <f>"1551765423706228"</f>
        <v>1551765423706228</v>
      </c>
      <c r="C3713" t="s">
        <v>40</v>
      </c>
      <c r="D3713">
        <v>4.571288</v>
      </c>
      <c r="E3713">
        <v>0.41264840000000003</v>
      </c>
      <c r="F3713" t="s">
        <v>78</v>
      </c>
      <c r="G3713">
        <v>-407.6909</v>
      </c>
      <c r="H3713" s="1">
        <v>-3.7845809999999998E-6</v>
      </c>
      <c r="I3713">
        <v>27.071819999999999</v>
      </c>
      <c r="J3713">
        <v>-418.02190000000002</v>
      </c>
      <c r="K3713">
        <v>1.116473</v>
      </c>
      <c r="L3713">
        <v>38.005679999999998</v>
      </c>
      <c r="M3713">
        <v>0.1155012</v>
      </c>
      <c r="N3713">
        <v>-3.1641229999999999E-2</v>
      </c>
      <c r="O3713">
        <v>-0.99280330000000006</v>
      </c>
      <c r="P3713">
        <v>0.50490119999999905</v>
      </c>
      <c r="Q3713">
        <v>-3.0922740000000001E-2</v>
      </c>
      <c r="R3713">
        <v>-0.86262309999999998</v>
      </c>
      <c r="S3713">
        <v>2.088409</v>
      </c>
      <c r="T3713">
        <v>-0.22489010000000001</v>
      </c>
      <c r="U3713">
        <v>-2.256958</v>
      </c>
      <c r="V3713">
        <v>-0.40178079999999999</v>
      </c>
      <c r="W3713">
        <v>-6.866825E-3</v>
      </c>
      <c r="X3713">
        <v>0.91571020000000003</v>
      </c>
      <c r="Y3713">
        <v>-0.58828919999999996</v>
      </c>
      <c r="Z3713">
        <v>4.5022670000000001E-2</v>
      </c>
      <c r="AA3713">
        <v>0.80739620000000001</v>
      </c>
      <c r="AB3713">
        <v>31</v>
      </c>
      <c r="AC3713">
        <v>10.331</v>
      </c>
      <c r="AD3713">
        <v>-1.116476784581</v>
      </c>
      <c r="AE3713">
        <v>-10.9338599999999</v>
      </c>
      <c r="AF3713">
        <v>-8.9489840872942192</v>
      </c>
      <c r="AG3713">
        <v>-1.116476784581</v>
      </c>
      <c r="AH3713">
        <v>11.988408928121</v>
      </c>
      <c r="AI3713">
        <v>94.268073219014298</v>
      </c>
      <c r="AJ3713">
        <v>126.740224722812</v>
      </c>
      <c r="AK3713">
        <v>15.0017594045834</v>
      </c>
      <c r="AL3713">
        <v>90.393443156677606</v>
      </c>
      <c r="AM3713">
        <v>113.69014319423</v>
      </c>
      <c r="AN3713">
        <v>1.0000000674591201</v>
      </c>
    </row>
    <row r="3714" spans="1:40" x14ac:dyDescent="0.25">
      <c r="A3714" t="str">
        <f>"20190305135703740"</f>
        <v>20190305135703740</v>
      </c>
      <c r="B3714" t="str">
        <f>"1551765423736587"</f>
        <v>1551765423736587</v>
      </c>
      <c r="C3714" t="s">
        <v>40</v>
      </c>
      <c r="D3714">
        <v>4.5603030000000002</v>
      </c>
      <c r="E3714">
        <v>0.43131160000000002</v>
      </c>
      <c r="F3714" t="s">
        <v>78</v>
      </c>
      <c r="G3714">
        <v>-408.2527</v>
      </c>
      <c r="H3714" s="1">
        <v>-3.603642E-6</v>
      </c>
      <c r="I3714">
        <v>27.643609999999999</v>
      </c>
      <c r="J3714">
        <v>-417.98</v>
      </c>
      <c r="K3714">
        <v>1.116576</v>
      </c>
      <c r="L3714">
        <v>37.708500000000001</v>
      </c>
      <c r="M3714">
        <v>0.1217464</v>
      </c>
      <c r="N3714">
        <v>-3.204336E-2</v>
      </c>
      <c r="O3714">
        <v>-0.99204400000000004</v>
      </c>
      <c r="P3714">
        <v>0.51550450000000003</v>
      </c>
      <c r="Q3714">
        <v>-3.3519260000000002E-2</v>
      </c>
      <c r="R3714">
        <v>-0.85623110000000002</v>
      </c>
      <c r="S3714">
        <v>2.107605</v>
      </c>
      <c r="T3714">
        <v>-0.2408711</v>
      </c>
      <c r="U3714">
        <v>-2.235535</v>
      </c>
      <c r="V3714">
        <v>-0.40728550000000002</v>
      </c>
      <c r="W3714">
        <v>-9.2983249999999996E-3</v>
      </c>
      <c r="X3714">
        <v>0.91325350000000005</v>
      </c>
      <c r="Y3714">
        <v>-0.59050019999999903</v>
      </c>
      <c r="Z3714">
        <v>5.0240090000000001E-2</v>
      </c>
      <c r="AA3714">
        <v>0.80547209999999902</v>
      </c>
      <c r="AB3714">
        <v>30</v>
      </c>
      <c r="AC3714">
        <v>9.7273000000000103</v>
      </c>
      <c r="AD3714">
        <v>-1.1165796036419999</v>
      </c>
      <c r="AE3714">
        <v>-10.06489</v>
      </c>
      <c r="AF3714">
        <v>-8.3755748910136596</v>
      </c>
      <c r="AG3714">
        <v>-1.1165796036419999</v>
      </c>
      <c r="AH3714">
        <v>11.1041533633827</v>
      </c>
      <c r="AI3714">
        <v>94.5898109743584</v>
      </c>
      <c r="AJ3714">
        <v>127.026303333508</v>
      </c>
      <c r="AK3714">
        <v>13.9534664755311</v>
      </c>
      <c r="AL3714">
        <v>90.5327624848385</v>
      </c>
      <c r="AM3714">
        <v>114.03553384007699</v>
      </c>
      <c r="AN3714">
        <v>0.99999994631015099</v>
      </c>
    </row>
    <row r="3715" spans="1:40" x14ac:dyDescent="0.25">
      <c r="A3715" t="str">
        <f>"20190305135703765"</f>
        <v>20190305135703765</v>
      </c>
      <c r="B3715" t="str">
        <f>"1551765423756107"</f>
        <v>1551765423756107</v>
      </c>
      <c r="C3715" t="s">
        <v>40</v>
      </c>
      <c r="D3715">
        <v>4.5673640000000004</v>
      </c>
      <c r="E3715">
        <v>0.43238339999999997</v>
      </c>
      <c r="F3715" t="s">
        <v>41</v>
      </c>
      <c r="G3715">
        <v>-417.32339999999999</v>
      </c>
      <c r="H3715">
        <v>1.0187839999999999</v>
      </c>
      <c r="I3715">
        <v>36.958849999999998</v>
      </c>
      <c r="J3715">
        <v>-417.93189999999998</v>
      </c>
      <c r="K3715">
        <v>1.1167</v>
      </c>
      <c r="L3715">
        <v>37.384889999999999</v>
      </c>
      <c r="M3715">
        <v>0.1288348</v>
      </c>
      <c r="N3715">
        <v>-3.2469440000000002E-2</v>
      </c>
      <c r="O3715">
        <v>-0.99113439999999997</v>
      </c>
      <c r="P3715">
        <v>0.526694</v>
      </c>
      <c r="Q3715">
        <v>-3.3323909999999998E-2</v>
      </c>
      <c r="R3715">
        <v>-0.84940190000000004</v>
      </c>
      <c r="S3715">
        <v>2.0034179999999999</v>
      </c>
      <c r="T3715">
        <v>-0.29820180000000002</v>
      </c>
      <c r="U3715">
        <v>-2.2858580000000002</v>
      </c>
      <c r="V3715">
        <v>-0.41272999999999999</v>
      </c>
      <c r="W3715">
        <v>-8.9329690000000007E-3</v>
      </c>
      <c r="X3715">
        <v>0.9108096</v>
      </c>
      <c r="Y3715">
        <v>-0.55407240000000002</v>
      </c>
      <c r="Z3715">
        <v>6.9832210000000006E-2</v>
      </c>
      <c r="AA3715">
        <v>0.82953429999999995</v>
      </c>
      <c r="AB3715">
        <v>30</v>
      </c>
      <c r="AC3715">
        <v>0.60849999999999205</v>
      </c>
      <c r="AD3715">
        <v>-9.79160000000001E-2</v>
      </c>
      <c r="AE3715">
        <v>-0.42604000000000702</v>
      </c>
      <c r="AF3715">
        <v>-0.53913785865797903</v>
      </c>
      <c r="AG3715">
        <v>-9.79160000000001E-2</v>
      </c>
      <c r="AH3715">
        <v>0.49236779999193803</v>
      </c>
      <c r="AI3715">
        <v>97.638186138886098</v>
      </c>
      <c r="AJ3715">
        <v>137.596100982444</v>
      </c>
      <c r="AK3715">
        <v>0.73667036329908897</v>
      </c>
      <c r="AL3715">
        <v>90.511828235071107</v>
      </c>
      <c r="AM3715">
        <v>114.37748110519</v>
      </c>
      <c r="AN3715">
        <v>0.99999998914365695</v>
      </c>
    </row>
    <row r="3716" spans="1:40" x14ac:dyDescent="0.25">
      <c r="A3716" t="str">
        <f>"20190305135703789"</f>
        <v>20190305135703789</v>
      </c>
      <c r="B3716" t="str">
        <f>"1551765423786363"</f>
        <v>1551765423786363</v>
      </c>
      <c r="C3716" t="s">
        <v>40</v>
      </c>
      <c r="D3716">
        <v>4.5612349999999999</v>
      </c>
      <c r="E3716">
        <v>0.43162230000000001</v>
      </c>
      <c r="F3716" t="s">
        <v>41</v>
      </c>
      <c r="G3716">
        <v>-417.31380000000001</v>
      </c>
      <c r="H3716">
        <v>1.0202359999999999</v>
      </c>
      <c r="I3716">
        <v>36.693649999999998</v>
      </c>
      <c r="J3716">
        <v>-417.88510000000002</v>
      </c>
      <c r="K3716">
        <v>1.1168400000000001</v>
      </c>
      <c r="L3716">
        <v>37.085569999999997</v>
      </c>
      <c r="M3716">
        <v>0.13569999999999999</v>
      </c>
      <c r="N3716">
        <v>-3.2855389999999998E-2</v>
      </c>
      <c r="O3716">
        <v>-0.990205</v>
      </c>
      <c r="P3716">
        <v>0.53705239999999999</v>
      </c>
      <c r="Q3716">
        <v>-3.2168580000000002E-2</v>
      </c>
      <c r="R3716">
        <v>-0.84293569999999995</v>
      </c>
      <c r="S3716">
        <v>2.0246279999999999</v>
      </c>
      <c r="T3716">
        <v>-0.31594800000000001</v>
      </c>
      <c r="U3716">
        <v>-2.2640690000000001</v>
      </c>
      <c r="V3716">
        <v>-0.41756769999999999</v>
      </c>
      <c r="W3716">
        <v>-7.6471050000000004E-3</v>
      </c>
      <c r="X3716">
        <v>0.90861360000000002</v>
      </c>
      <c r="Y3716">
        <v>-0.55623849999999997</v>
      </c>
      <c r="Z3716">
        <v>7.5736139999999993E-2</v>
      </c>
      <c r="AA3716">
        <v>0.82756439999999998</v>
      </c>
      <c r="AB3716">
        <v>30</v>
      </c>
      <c r="AC3716">
        <v>0.57130000000000702</v>
      </c>
      <c r="AD3716">
        <v>-9.6603999999999898E-2</v>
      </c>
      <c r="AE3716">
        <v>-0.39192000000000599</v>
      </c>
      <c r="AF3716">
        <v>-0.50301729758404401</v>
      </c>
      <c r="AG3716">
        <v>-9.6603999999999898E-2</v>
      </c>
      <c r="AH3716">
        <v>0.45697316926588899</v>
      </c>
      <c r="AI3716">
        <v>98.090343887018506</v>
      </c>
      <c r="AJ3716">
        <v>137.74597939113801</v>
      </c>
      <c r="AK3716">
        <v>0.68642786359067998</v>
      </c>
      <c r="AL3716">
        <v>90.438151126379395</v>
      </c>
      <c r="AM3716">
        <v>114.68189193340901</v>
      </c>
      <c r="AN3716">
        <v>0.999999968201564</v>
      </c>
    </row>
    <row r="3717" spans="1:40" x14ac:dyDescent="0.25">
      <c r="A3717" t="str">
        <f>"20190305135703831"</f>
        <v>20190305135703831</v>
      </c>
      <c r="B3717" t="str">
        <f>"1551765423826191"</f>
        <v>1551765423826191</v>
      </c>
      <c r="C3717" t="s">
        <v>40</v>
      </c>
      <c r="D3717">
        <v>4.4101319999999999</v>
      </c>
      <c r="E3717">
        <v>0.38876300000000003</v>
      </c>
      <c r="F3717" t="s">
        <v>41</v>
      </c>
      <c r="G3717">
        <v>-417.28859999999997</v>
      </c>
      <c r="H3717">
        <v>1.0286789999999999</v>
      </c>
      <c r="I3717">
        <v>36.436869999999999</v>
      </c>
      <c r="J3717">
        <v>-417.79860000000002</v>
      </c>
      <c r="K3717">
        <v>1.117164</v>
      </c>
      <c r="L3717">
        <v>36.57367</v>
      </c>
      <c r="M3717">
        <v>0.14845239999999901</v>
      </c>
      <c r="N3717">
        <v>-3.3494490000000002E-2</v>
      </c>
      <c r="O3717">
        <v>-0.98835240000000002</v>
      </c>
      <c r="P3717">
        <v>0.55586089999999999</v>
      </c>
      <c r="Q3717">
        <v>-3.4543070000000002E-2</v>
      </c>
      <c r="R3717">
        <v>-0.83055759999999901</v>
      </c>
      <c r="S3717">
        <v>2.0576780000000001</v>
      </c>
      <c r="T3717">
        <v>-0.30394759999999998</v>
      </c>
      <c r="U3717">
        <v>-2.236389</v>
      </c>
      <c r="V3717">
        <v>-0.42623280000000002</v>
      </c>
      <c r="W3717">
        <v>-9.9479140000000004E-3</v>
      </c>
      <c r="X3717">
        <v>0.9045588</v>
      </c>
      <c r="Y3717">
        <v>-0.55749479999999996</v>
      </c>
      <c r="Z3717">
        <v>7.1457679999999996E-2</v>
      </c>
      <c r="AA3717">
        <v>0.82709940000000004</v>
      </c>
      <c r="AB3717">
        <v>29</v>
      </c>
      <c r="AC3717">
        <v>0.51000000000004697</v>
      </c>
      <c r="AD3717">
        <v>-8.8484999999999897E-2</v>
      </c>
      <c r="AE3717">
        <v>-0.1368</v>
      </c>
      <c r="AF3717">
        <v>-0.47080195916779399</v>
      </c>
      <c r="AG3717">
        <v>-8.8484999999999897E-2</v>
      </c>
      <c r="AH3717">
        <v>0.20527131488325201</v>
      </c>
      <c r="AI3717">
        <v>99.775072127449604</v>
      </c>
      <c r="AJ3717">
        <v>156.44262849264601</v>
      </c>
      <c r="AK3717">
        <v>0.521172133459889</v>
      </c>
      <c r="AL3717">
        <v>90.569982893152599</v>
      </c>
      <c r="AM3717">
        <v>115.230056737475</v>
      </c>
      <c r="AN3717">
        <v>0.99999999172311504</v>
      </c>
    </row>
    <row r="3718" spans="1:40" x14ac:dyDescent="0.25">
      <c r="A3718" t="str">
        <f>"20190305135703853"</f>
        <v>20190305135703853</v>
      </c>
      <c r="B3718" t="str">
        <f>"1551765423845711"</f>
        <v>1551765423845711</v>
      </c>
      <c r="C3718" t="s">
        <v>40</v>
      </c>
      <c r="D3718">
        <v>4.3621429999999997</v>
      </c>
      <c r="E3718">
        <v>0.3884418</v>
      </c>
      <c r="F3718" t="s">
        <v>78</v>
      </c>
      <c r="G3718">
        <v>-404.9187</v>
      </c>
      <c r="H3718" s="1">
        <v>-4.9599160000000002E-6</v>
      </c>
      <c r="I3718">
        <v>25.845790000000001</v>
      </c>
      <c r="J3718">
        <v>-417.7482</v>
      </c>
      <c r="K3718">
        <v>1.1173599999999999</v>
      </c>
      <c r="L3718">
        <v>36.297910000000002</v>
      </c>
      <c r="M3718">
        <v>0.15592700000000001</v>
      </c>
      <c r="N3718">
        <v>-3.3828770000000001E-2</v>
      </c>
      <c r="O3718">
        <v>-0.98718919999999999</v>
      </c>
      <c r="P3718">
        <v>0.56533659999999997</v>
      </c>
      <c r="Q3718">
        <v>-3.5267989999999999E-2</v>
      </c>
      <c r="R3718">
        <v>-0.82410649999999996</v>
      </c>
      <c r="S3718">
        <v>2.3987729999999998</v>
      </c>
      <c r="T3718">
        <v>-0.20806430000000001</v>
      </c>
      <c r="U3718">
        <v>-1.997986</v>
      </c>
      <c r="V3718">
        <v>-0.429734</v>
      </c>
      <c r="W3718">
        <v>-1.0646559999999999E-2</v>
      </c>
      <c r="X3718">
        <v>0.90289280000000005</v>
      </c>
      <c r="Y3718">
        <v>-0.65767430000000004</v>
      </c>
      <c r="Z3718">
        <v>3.8206209999999997E-2</v>
      </c>
      <c r="AA3718">
        <v>0.75233289999999997</v>
      </c>
      <c r="AB3718">
        <v>28</v>
      </c>
      <c r="AC3718">
        <v>12.8294999999999</v>
      </c>
      <c r="AD3718">
        <v>-1.117364959916</v>
      </c>
      <c r="AE3718">
        <v>-10.452119999999899</v>
      </c>
      <c r="AF3718">
        <v>-10.991582365060699</v>
      </c>
      <c r="AG3718">
        <v>-1.117364959916</v>
      </c>
      <c r="AH3718">
        <v>12.26979886855</v>
      </c>
      <c r="AI3718">
        <v>93.880411358307697</v>
      </c>
      <c r="AJ3718">
        <v>131.85475120527201</v>
      </c>
      <c r="AK3718">
        <v>16.5109464179444</v>
      </c>
      <c r="AL3718">
        <v>90.610014457986793</v>
      </c>
      <c r="AM3718">
        <v>115.45222492437</v>
      </c>
      <c r="AN3718">
        <v>1.00000003414383</v>
      </c>
    </row>
    <row r="3719" spans="1:40" x14ac:dyDescent="0.25">
      <c r="A3719" t="str">
        <f>"20190305135703875"</f>
        <v>20190305135703875</v>
      </c>
      <c r="B3719" t="str">
        <f>"1551765423866207"</f>
        <v>1551765423866207</v>
      </c>
      <c r="C3719" t="s">
        <v>40</v>
      </c>
      <c r="D3719">
        <v>4.3267419999999897</v>
      </c>
      <c r="E3719">
        <v>0.3894415</v>
      </c>
      <c r="F3719" t="s">
        <v>78</v>
      </c>
      <c r="G3719">
        <v>-404.95170000000002</v>
      </c>
      <c r="H3719" s="1">
        <v>-4.9549699999999996E-6</v>
      </c>
      <c r="I3719">
        <v>25.90438</v>
      </c>
      <c r="J3719">
        <v>-417.69670000000002</v>
      </c>
      <c r="K3719">
        <v>1.1175379999999999</v>
      </c>
      <c r="L3719">
        <v>36.02948</v>
      </c>
      <c r="M3719">
        <v>0.16359009999999999</v>
      </c>
      <c r="N3719">
        <v>-3.413393E-2</v>
      </c>
      <c r="O3719">
        <v>-0.98593770000000003</v>
      </c>
      <c r="P3719">
        <v>0.5748472</v>
      </c>
      <c r="Q3719">
        <v>-3.5810210000000002E-2</v>
      </c>
      <c r="R3719">
        <v>-0.81747700000000001</v>
      </c>
      <c r="S3719">
        <v>2.423737</v>
      </c>
      <c r="T3719">
        <v>-0.21163570000000001</v>
      </c>
      <c r="U3719">
        <v>-1.9685969999999999</v>
      </c>
      <c r="V3719">
        <v>-0.43317050000000001</v>
      </c>
      <c r="W3719">
        <v>-1.116901E-2</v>
      </c>
      <c r="X3719">
        <v>0.90124280000000001</v>
      </c>
      <c r="Y3719">
        <v>-0.66105100000000006</v>
      </c>
      <c r="Z3719">
        <v>3.939513E-2</v>
      </c>
      <c r="AA3719">
        <v>0.74930609999999997</v>
      </c>
      <c r="AB3719">
        <v>28</v>
      </c>
      <c r="AC3719">
        <v>12.744999999999999</v>
      </c>
      <c r="AD3719">
        <v>-1.11754295497</v>
      </c>
      <c r="AE3719">
        <v>-10.1251</v>
      </c>
      <c r="AF3719">
        <v>-10.8645588104054</v>
      </c>
      <c r="AG3719">
        <v>-1.11754295497</v>
      </c>
      <c r="AH3719">
        <v>12.018060691534799</v>
      </c>
      <c r="AI3719">
        <v>93.946004824046597</v>
      </c>
      <c r="AJ3719">
        <v>132.11418995954401</v>
      </c>
      <c r="AK3719">
        <v>16.239498858843401</v>
      </c>
      <c r="AL3719">
        <v>90.639950435813006</v>
      </c>
      <c r="AM3719">
        <v>115.67065449169399</v>
      </c>
      <c r="AN3719">
        <v>1.00000000670323</v>
      </c>
    </row>
    <row r="3720" spans="1:40" x14ac:dyDescent="0.25">
      <c r="A3720" t="str">
        <f>"20190305135703899"</f>
        <v>20190305135703899</v>
      </c>
      <c r="B3720" t="str">
        <f>"1551765423885728"</f>
        <v>1551765423885728</v>
      </c>
      <c r="C3720" t="s">
        <v>40</v>
      </c>
      <c r="D3720">
        <v>4.4089619999999998</v>
      </c>
      <c r="E3720">
        <v>0.3905864</v>
      </c>
      <c r="F3720" t="s">
        <v>78</v>
      </c>
      <c r="G3720">
        <v>-404.83550000000002</v>
      </c>
      <c r="H3720" s="1">
        <v>-4.9861270000000001E-6</v>
      </c>
      <c r="I3720">
        <v>25.775289999999998</v>
      </c>
      <c r="J3720">
        <v>-417.64330000000001</v>
      </c>
      <c r="K3720">
        <v>1.117718</v>
      </c>
      <c r="L3720">
        <v>35.764980000000001</v>
      </c>
      <c r="M3720">
        <v>0.17165749999999999</v>
      </c>
      <c r="N3720">
        <v>-3.4403639999999999E-2</v>
      </c>
      <c r="O3720">
        <v>-0.98455599999999999</v>
      </c>
      <c r="P3720">
        <v>0.58416679999999999</v>
      </c>
      <c r="Q3720">
        <v>-3.8955219999999999E-2</v>
      </c>
      <c r="R3720">
        <v>-0.81069859999999905</v>
      </c>
      <c r="S3720">
        <v>2.4395449999999999</v>
      </c>
      <c r="T3720">
        <v>-0.2119781</v>
      </c>
      <c r="U3720">
        <v>-1.945038</v>
      </c>
      <c r="V3720">
        <v>-0.43607849999999998</v>
      </c>
      <c r="W3720">
        <v>-1.4339060000000001E-2</v>
      </c>
      <c r="X3720">
        <v>0.89979439999999999</v>
      </c>
      <c r="Y3720">
        <v>-0.66168110000000002</v>
      </c>
      <c r="Z3720">
        <v>3.9590680000000003E-2</v>
      </c>
      <c r="AA3720">
        <v>0.74873940000000005</v>
      </c>
      <c r="AB3720">
        <v>27</v>
      </c>
      <c r="AC3720">
        <v>12.807799999999901</v>
      </c>
      <c r="AD3720">
        <v>-1.1177229861269999</v>
      </c>
      <c r="AE3720">
        <v>-9.9896899999999995</v>
      </c>
      <c r="AF3720">
        <v>-10.8502642131958</v>
      </c>
      <c r="AG3720">
        <v>-1.1177229861269999</v>
      </c>
      <c r="AH3720">
        <v>11.9843414512618</v>
      </c>
      <c r="AI3720">
        <v>93.955057237800602</v>
      </c>
      <c r="AJ3720">
        <v>132.156749954638</v>
      </c>
      <c r="AK3720">
        <v>16.204998555702002</v>
      </c>
      <c r="AL3720">
        <v>90.821595764412194</v>
      </c>
      <c r="AM3720">
        <v>115.85679475613</v>
      </c>
      <c r="AN3720">
        <v>1.00000001453764</v>
      </c>
    </row>
    <row r="3721" spans="1:40" x14ac:dyDescent="0.25">
      <c r="A3721" t="str">
        <f>"20190305135703921"</f>
        <v>20190305135703921</v>
      </c>
      <c r="B3721" t="str">
        <f>"1551765423915984"</f>
        <v>1551765423915984</v>
      </c>
      <c r="C3721" t="s">
        <v>40</v>
      </c>
      <c r="D3721">
        <v>4.48386</v>
      </c>
      <c r="E3721">
        <v>0.39146300000000001</v>
      </c>
      <c r="F3721" t="s">
        <v>78</v>
      </c>
      <c r="G3721">
        <v>-405.18770000000001</v>
      </c>
      <c r="H3721" s="1">
        <v>-4.8556849999999997E-6</v>
      </c>
      <c r="I3721">
        <v>26.012350000000001</v>
      </c>
      <c r="J3721">
        <v>-417.58890000000002</v>
      </c>
      <c r="K3721">
        <v>1.1179239999999999</v>
      </c>
      <c r="L3721">
        <v>35.509430000000002</v>
      </c>
      <c r="M3721">
        <v>0.18002779999999999</v>
      </c>
      <c r="N3721">
        <v>-3.4645339999999997E-2</v>
      </c>
      <c r="O3721">
        <v>-0.98305140000000002</v>
      </c>
      <c r="P3721">
        <v>0.59212259999999906</v>
      </c>
      <c r="Q3721">
        <v>-4.3223249999999998E-2</v>
      </c>
      <c r="R3721">
        <v>-0.80468819999999996</v>
      </c>
      <c r="S3721">
        <v>2.4541019999999998</v>
      </c>
      <c r="T3721">
        <v>-0.22022249999999999</v>
      </c>
      <c r="U3721">
        <v>-1.9215390000000001</v>
      </c>
      <c r="V3721">
        <v>-0.43725259999999999</v>
      </c>
      <c r="W3721">
        <v>-1.864847E-2</v>
      </c>
      <c r="X3721">
        <v>0.89914539999999998</v>
      </c>
      <c r="Y3721">
        <v>-0.66177769999999903</v>
      </c>
      <c r="Z3721">
        <v>4.2485519999999999E-2</v>
      </c>
      <c r="AA3721">
        <v>0.74849529999999997</v>
      </c>
      <c r="AB3721">
        <v>27</v>
      </c>
      <c r="AC3721">
        <v>12.401199999999999</v>
      </c>
      <c r="AD3721">
        <v>-1.117928855685</v>
      </c>
      <c r="AE3721">
        <v>-9.4970800000000004</v>
      </c>
      <c r="AF3721">
        <v>-10.434125798438799</v>
      </c>
      <c r="AG3721">
        <v>-1.117928855685</v>
      </c>
      <c r="AH3721">
        <v>11.516633782571899</v>
      </c>
      <c r="AI3721">
        <v>94.114597046613895</v>
      </c>
      <c r="AJ3721">
        <v>132.176729499733</v>
      </c>
      <c r="AK3721">
        <v>15.580551973081599</v>
      </c>
      <c r="AL3721">
        <v>91.068540537283397</v>
      </c>
      <c r="AM3721">
        <v>115.933561624886</v>
      </c>
      <c r="AN3721">
        <v>1.0000000259906301</v>
      </c>
    </row>
    <row r="3722" spans="1:40" x14ac:dyDescent="0.25">
      <c r="A3722" t="str">
        <f>"20190305135703943"</f>
        <v>20190305135703943</v>
      </c>
      <c r="B3722" t="str">
        <f>"1551765423936480"</f>
        <v>1551765423936480</v>
      </c>
      <c r="C3722" t="s">
        <v>40</v>
      </c>
      <c r="D3722">
        <v>4.4937449999999997</v>
      </c>
      <c r="E3722">
        <v>0.3916404</v>
      </c>
      <c r="F3722" t="s">
        <v>78</v>
      </c>
      <c r="G3722">
        <v>-406.03109999999998</v>
      </c>
      <c r="H3722" s="1">
        <v>-4.5369529999999997E-6</v>
      </c>
      <c r="I3722">
        <v>26.606089999999998</v>
      </c>
      <c r="J3722">
        <v>-417.53339999999997</v>
      </c>
      <c r="K3722">
        <v>1.118187</v>
      </c>
      <c r="L3722">
        <v>35.262540000000001</v>
      </c>
      <c r="M3722">
        <v>0.18871460000000001</v>
      </c>
      <c r="N3722">
        <v>-3.4870659999999998E-2</v>
      </c>
      <c r="O3722">
        <v>-0.98141259999999997</v>
      </c>
      <c r="P3722">
        <v>0.5994583</v>
      </c>
      <c r="Q3722">
        <v>-4.540893E-2</v>
      </c>
      <c r="R3722">
        <v>-0.79911699999999997</v>
      </c>
      <c r="S3722">
        <v>2.466736</v>
      </c>
      <c r="T3722">
        <v>-0.23859540000000001</v>
      </c>
      <c r="U3722">
        <v>-1.9002079999999999</v>
      </c>
      <c r="V3722">
        <v>-0.43750410000000001</v>
      </c>
      <c r="W3722">
        <v>-2.0900040000000002E-2</v>
      </c>
      <c r="X3722">
        <v>0.89897349999999998</v>
      </c>
      <c r="Y3722">
        <v>-0.66077989999999998</v>
      </c>
      <c r="Z3722">
        <v>4.8807610000000001E-2</v>
      </c>
      <c r="AA3722">
        <v>0.74899119999999997</v>
      </c>
      <c r="AB3722">
        <v>27</v>
      </c>
      <c r="AC3722">
        <v>11.5022999999999</v>
      </c>
      <c r="AD3722">
        <v>-1.118191536953</v>
      </c>
      <c r="AE3722">
        <v>-8.6564499999999995</v>
      </c>
      <c r="AF3722">
        <v>-9.6028415404515197</v>
      </c>
      <c r="AG3722">
        <v>-1.118191536953</v>
      </c>
      <c r="AH3722">
        <v>10.6086857194384</v>
      </c>
      <c r="AI3722">
        <v>94.468233883954596</v>
      </c>
      <c r="AJ3722">
        <v>132.15097630494901</v>
      </c>
      <c r="AK3722">
        <v>14.353018172431501</v>
      </c>
      <c r="AL3722">
        <v>91.197571278234804</v>
      </c>
      <c r="AM3722">
        <v>115.950831548526</v>
      </c>
      <c r="AN3722">
        <v>1.0000000014455299</v>
      </c>
    </row>
    <row r="3723" spans="1:40" x14ac:dyDescent="0.25">
      <c r="A3723" t="str">
        <f>"20190305135703967"</f>
        <v>20190305135703967</v>
      </c>
      <c r="B3723" t="str">
        <f>"1551765423955999"</f>
        <v>1551765423955999</v>
      </c>
      <c r="C3723" t="s">
        <v>40</v>
      </c>
      <c r="D3723">
        <v>4.5126350000000004</v>
      </c>
      <c r="E3723">
        <v>0.39221990000000001</v>
      </c>
      <c r="F3723" t="s">
        <v>78</v>
      </c>
      <c r="G3723">
        <v>-406.21600000000001</v>
      </c>
      <c r="H3723" s="1">
        <v>-4.4609629999999998E-6</v>
      </c>
      <c r="I3723">
        <v>26.702030000000001</v>
      </c>
      <c r="J3723">
        <v>-417.4708</v>
      </c>
      <c r="K3723">
        <v>1.118525</v>
      </c>
      <c r="L3723">
        <v>34.998440000000002</v>
      </c>
      <c r="M3723">
        <v>0.19871449999999999</v>
      </c>
      <c r="N3723">
        <v>-3.5104870000000003E-2</v>
      </c>
      <c r="O3723">
        <v>-0.97942850000000004</v>
      </c>
      <c r="P3723">
        <v>0.60848719999999901</v>
      </c>
      <c r="Q3723">
        <v>-4.3709909999999998E-2</v>
      </c>
      <c r="R3723">
        <v>-0.79235889999999998</v>
      </c>
      <c r="S3723">
        <v>2.4826350000000001</v>
      </c>
      <c r="T3723">
        <v>-0.24529110000000001</v>
      </c>
      <c r="U3723">
        <v>-1.877869</v>
      </c>
      <c r="V3723">
        <v>-0.43852960000000002</v>
      </c>
      <c r="W3723">
        <v>-1.9337139999999999E-2</v>
      </c>
      <c r="X3723">
        <v>0.89850869999999905</v>
      </c>
      <c r="Y3723">
        <v>-0.65960819999999998</v>
      </c>
      <c r="Z3723">
        <v>5.1193580000000002E-2</v>
      </c>
      <c r="AA3723">
        <v>0.74986419999999998</v>
      </c>
      <c r="AB3723">
        <v>26</v>
      </c>
      <c r="AC3723">
        <v>11.2547999999999</v>
      </c>
      <c r="AD3723">
        <v>-1.1185294609630001</v>
      </c>
      <c r="AE3723">
        <v>-8.2964099999999998</v>
      </c>
      <c r="AF3723">
        <v>-9.3207883610928608</v>
      </c>
      <c r="AG3723">
        <v>-1.1185294609630001</v>
      </c>
      <c r="AH3723">
        <v>10.302691202824899</v>
      </c>
      <c r="AI3723">
        <v>94.602887414278698</v>
      </c>
      <c r="AJ3723">
        <v>132.13547198085899</v>
      </c>
      <c r="AK3723">
        <v>13.9382082725181</v>
      </c>
      <c r="AL3723">
        <v>91.108005558451097</v>
      </c>
      <c r="AM3723">
        <v>116.015329738766</v>
      </c>
      <c r="AN3723">
        <v>1.00000000951761</v>
      </c>
    </row>
    <row r="3724" spans="1:40" x14ac:dyDescent="0.25">
      <c r="A3724" t="str">
        <f>"20190305135703991"</f>
        <v>20190305135703991</v>
      </c>
      <c r="B3724" t="str">
        <f>"1551765423986256"</f>
        <v>1551765423986256</v>
      </c>
      <c r="C3724" t="s">
        <v>40</v>
      </c>
      <c r="D3724">
        <v>4.5093889999999996</v>
      </c>
      <c r="E3724">
        <v>0.39305099999999998</v>
      </c>
      <c r="F3724" t="s">
        <v>78</v>
      </c>
      <c r="G3724">
        <v>-406.00920000000002</v>
      </c>
      <c r="H3724" s="1">
        <v>-4.5298110000000003E-6</v>
      </c>
      <c r="I3724">
        <v>26.504180000000002</v>
      </c>
      <c r="J3724">
        <v>-417.40969999999999</v>
      </c>
      <c r="K3724">
        <v>1.118862</v>
      </c>
      <c r="L3724">
        <v>34.755769999999998</v>
      </c>
      <c r="M3724">
        <v>0.20864350000000001</v>
      </c>
      <c r="N3724">
        <v>-3.5312879999999998E-2</v>
      </c>
      <c r="O3724">
        <v>-0.9773541</v>
      </c>
      <c r="P3724">
        <v>0.61866650000000001</v>
      </c>
      <c r="Q3724">
        <v>-4.0174840000000003E-2</v>
      </c>
      <c r="R3724">
        <v>-0.78462600000000005</v>
      </c>
      <c r="S3724">
        <v>2.5000610000000001</v>
      </c>
      <c r="T3724">
        <v>-0.2439798</v>
      </c>
      <c r="U3724">
        <v>-1.852814</v>
      </c>
      <c r="V3724">
        <v>-0.4410154</v>
      </c>
      <c r="W3724">
        <v>-1.6003570000000002E-2</v>
      </c>
      <c r="X3724">
        <v>0.89735689999999901</v>
      </c>
      <c r="Y3724">
        <v>-0.65934910000000002</v>
      </c>
      <c r="Z3724">
        <v>5.0924079999999997E-2</v>
      </c>
      <c r="AA3724">
        <v>0.75011030000000001</v>
      </c>
      <c r="AB3724">
        <v>26</v>
      </c>
      <c r="AC3724">
        <v>11.4004999999999</v>
      </c>
      <c r="AD3724">
        <v>-1.1188665298109901</v>
      </c>
      <c r="AE3724">
        <v>-8.2515900000000002</v>
      </c>
      <c r="AF3724">
        <v>-9.3673559309699304</v>
      </c>
      <c r="AG3724">
        <v>-1.1188665298109901</v>
      </c>
      <c r="AH3724">
        <v>10.3842474529899</v>
      </c>
      <c r="AI3724">
        <v>94.574195270814201</v>
      </c>
      <c r="AJ3724">
        <v>132.052786290341</v>
      </c>
      <c r="AK3724">
        <v>14.029676212013401</v>
      </c>
      <c r="AL3724">
        <v>90.916976115409398</v>
      </c>
      <c r="AM3724">
        <v>116.172290241689</v>
      </c>
      <c r="AN3724">
        <v>1.0000000516337499</v>
      </c>
    </row>
    <row r="3725" spans="1:40" x14ac:dyDescent="0.25">
      <c r="A3725" t="str">
        <f>"20190305135704013"</f>
        <v>20190305135704013</v>
      </c>
      <c r="B3725" t="str">
        <f>"1551765424006751"</f>
        <v>1551765424006751</v>
      </c>
      <c r="C3725" t="s">
        <v>40</v>
      </c>
      <c r="D3725">
        <v>4.530475</v>
      </c>
      <c r="E3725">
        <v>0.39377659999999998</v>
      </c>
      <c r="F3725" t="s">
        <v>78</v>
      </c>
      <c r="G3725">
        <v>-405.58929999999998</v>
      </c>
      <c r="H3725" s="1">
        <v>-4.6845720000000001E-6</v>
      </c>
      <c r="I3725">
        <v>26.186540000000001</v>
      </c>
      <c r="J3725">
        <v>-417.34690000000001</v>
      </c>
      <c r="K3725">
        <v>1.1191709999999999</v>
      </c>
      <c r="L3725">
        <v>34.520809999999997</v>
      </c>
      <c r="M3725">
        <v>0.219053</v>
      </c>
      <c r="N3725">
        <v>-3.5508629999999999E-2</v>
      </c>
      <c r="O3725">
        <v>-0.97506680000000001</v>
      </c>
      <c r="P3725">
        <v>0.62944469999999997</v>
      </c>
      <c r="Q3725">
        <v>-3.9882099999999997E-2</v>
      </c>
      <c r="R3725">
        <v>-0.77602150000000003</v>
      </c>
      <c r="S3725">
        <v>2.5183110000000002</v>
      </c>
      <c r="T3725">
        <v>-0.23837179999999999</v>
      </c>
      <c r="U3725">
        <v>-1.825653</v>
      </c>
      <c r="V3725">
        <v>-0.443828</v>
      </c>
      <c r="W3725">
        <v>-1.5932680000000001E-2</v>
      </c>
      <c r="X3725">
        <v>0.8959703</v>
      </c>
      <c r="Y3725">
        <v>-0.65930500000000003</v>
      </c>
      <c r="Z3725">
        <v>4.9235689999999999E-2</v>
      </c>
      <c r="AA3725">
        <v>0.75026179999999998</v>
      </c>
      <c r="AB3725">
        <v>25</v>
      </c>
      <c r="AC3725">
        <v>11.7576</v>
      </c>
      <c r="AD3725">
        <v>-1.119175684572</v>
      </c>
      <c r="AE3725">
        <v>-8.3342699999999894</v>
      </c>
      <c r="AF3725">
        <v>-9.5870639089694798</v>
      </c>
      <c r="AG3725">
        <v>-1.119175684572</v>
      </c>
      <c r="AH3725">
        <v>10.6445662818498</v>
      </c>
      <c r="AI3725">
        <v>94.467157939727599</v>
      </c>
      <c r="AJ3725">
        <v>132.00788654950199</v>
      </c>
      <c r="AK3725">
        <v>14.369103658067701</v>
      </c>
      <c r="AL3725">
        <v>90.912913982465994</v>
      </c>
      <c r="AM3725">
        <v>116.35198256896599</v>
      </c>
      <c r="AN3725">
        <v>0.999999961179035</v>
      </c>
    </row>
    <row r="3726" spans="1:40" x14ac:dyDescent="0.25">
      <c r="A3726" t="str">
        <f>"20190305135704032"</f>
        <v>20190305135704032</v>
      </c>
      <c r="B3726" t="str">
        <f>"1551765424026272"</f>
        <v>1551765424026272</v>
      </c>
      <c r="C3726" t="s">
        <v>40</v>
      </c>
      <c r="D3726">
        <v>4.4892709999999996</v>
      </c>
      <c r="E3726">
        <v>0.39422279999999998</v>
      </c>
      <c r="F3726" t="s">
        <v>78</v>
      </c>
      <c r="G3726">
        <v>-405.6345</v>
      </c>
      <c r="H3726" s="1">
        <v>-4.671337E-6</v>
      </c>
      <c r="I3726">
        <v>26.239820000000002</v>
      </c>
      <c r="J3726">
        <v>-417.29320000000001</v>
      </c>
      <c r="K3726">
        <v>1.1193879999999901</v>
      </c>
      <c r="L3726">
        <v>34.329320000000003</v>
      </c>
      <c r="M3726">
        <v>0.22802639999999999</v>
      </c>
      <c r="N3726">
        <v>-3.5667320000000002E-2</v>
      </c>
      <c r="O3726">
        <v>-0.97300149999999996</v>
      </c>
      <c r="P3726">
        <v>0.63852640000000005</v>
      </c>
      <c r="Q3726">
        <v>-4.1747220000000002E-2</v>
      </c>
      <c r="R3726">
        <v>-0.76846709999999996</v>
      </c>
      <c r="S3726">
        <v>2.5382690000000001</v>
      </c>
      <c r="T3726">
        <v>-0.24254249999999999</v>
      </c>
      <c r="U3726">
        <v>-1.7946169999999999</v>
      </c>
      <c r="V3726">
        <v>-0.44608720000000002</v>
      </c>
      <c r="W3726">
        <v>-1.7956960000000001E-2</v>
      </c>
      <c r="X3726">
        <v>0.89480939999999998</v>
      </c>
      <c r="Y3726">
        <v>-0.66119069999999902</v>
      </c>
      <c r="Z3726">
        <v>5.088761E-2</v>
      </c>
      <c r="AA3726">
        <v>0.74848999999999999</v>
      </c>
      <c r="AB3726">
        <v>25</v>
      </c>
      <c r="AC3726">
        <v>11.6587</v>
      </c>
      <c r="AD3726">
        <v>-1.1193926713369999</v>
      </c>
      <c r="AE3726">
        <v>-8.0894999999999992</v>
      </c>
      <c r="AF3726">
        <v>-9.44657714833264</v>
      </c>
      <c r="AG3726">
        <v>-1.1193926713369999</v>
      </c>
      <c r="AH3726">
        <v>10.4711315331162</v>
      </c>
      <c r="AI3726">
        <v>94.538342855225594</v>
      </c>
      <c r="AJ3726">
        <v>132.05533657458801</v>
      </c>
      <c r="AK3726">
        <v>14.1469238831579</v>
      </c>
      <c r="AL3726">
        <v>91.028913267976094</v>
      </c>
      <c r="AM3726">
        <v>116.497522481842</v>
      </c>
      <c r="AN3726">
        <v>1.00000005237231</v>
      </c>
    </row>
    <row r="3727" spans="1:40" x14ac:dyDescent="0.25">
      <c r="A3727" t="str">
        <f>"20190305135704054"</f>
        <v>20190305135704054</v>
      </c>
      <c r="B3727" t="str">
        <f>"1551765424045795"</f>
        <v>1551765424045795</v>
      </c>
      <c r="C3727" t="s">
        <v>40</v>
      </c>
      <c r="D3727">
        <v>4.4450349999999998</v>
      </c>
      <c r="E3727">
        <v>0.39461590000000002</v>
      </c>
      <c r="F3727" t="s">
        <v>78</v>
      </c>
      <c r="G3727">
        <v>-405.82029999999997</v>
      </c>
      <c r="H3727" s="1">
        <v>-4.6063969999999998E-6</v>
      </c>
      <c r="I3727">
        <v>26.400179999999999</v>
      </c>
      <c r="J3727">
        <v>-417.2251</v>
      </c>
      <c r="K3727">
        <v>1.119602</v>
      </c>
      <c r="L3727">
        <v>34.099299999999999</v>
      </c>
      <c r="M3727">
        <v>0.2394994</v>
      </c>
      <c r="N3727">
        <v>-3.5849880000000001E-2</v>
      </c>
      <c r="O3727">
        <v>-0.97023440000000005</v>
      </c>
      <c r="P3727">
        <v>0.6508526</v>
      </c>
      <c r="Q3727">
        <v>-4.3811740000000002E-2</v>
      </c>
      <c r="R3727">
        <v>-0.75793900000000003</v>
      </c>
      <c r="S3727">
        <v>2.5560299999999998</v>
      </c>
      <c r="T3727">
        <v>-0.2493862</v>
      </c>
      <c r="U3727">
        <v>-1.76650999999999</v>
      </c>
      <c r="V3727">
        <v>-0.4499436</v>
      </c>
      <c r="W3727">
        <v>-2.0223209999999998E-2</v>
      </c>
      <c r="X3727">
        <v>0.89282790000000001</v>
      </c>
      <c r="Y3727">
        <v>-0.66021129999999995</v>
      </c>
      <c r="Z3727">
        <v>5.3446939999999998E-2</v>
      </c>
      <c r="AA3727">
        <v>0.74917590000000001</v>
      </c>
      <c r="AB3727">
        <v>24</v>
      </c>
      <c r="AC3727">
        <v>11.4048</v>
      </c>
      <c r="AD3727">
        <v>-1.119606606397</v>
      </c>
      <c r="AE3727">
        <v>-7.6991199999999997</v>
      </c>
      <c r="AF3727">
        <v>-9.1666407306399904</v>
      </c>
      <c r="AG3727">
        <v>-1.119606606397</v>
      </c>
      <c r="AH3727">
        <v>10.140820949591999</v>
      </c>
      <c r="AI3727">
        <v>94.682281115352396</v>
      </c>
      <c r="AJ3727">
        <v>132.11152496726601</v>
      </c>
      <c r="AK3727">
        <v>13.715577668089599</v>
      </c>
      <c r="AL3727">
        <v>91.158783645861206</v>
      </c>
      <c r="AM3727">
        <v>116.745972120256</v>
      </c>
      <c r="AN3727">
        <v>0.999999940211035</v>
      </c>
    </row>
    <row r="3728" spans="1:40" x14ac:dyDescent="0.25">
      <c r="A3728" t="str">
        <f>"20190305135704076"</f>
        <v>20190305135704076</v>
      </c>
      <c r="B3728" t="str">
        <f>"1551765424066288"</f>
        <v>1551765424066288</v>
      </c>
      <c r="C3728" t="s">
        <v>40</v>
      </c>
      <c r="D3728">
        <v>4.5425180000000003</v>
      </c>
      <c r="E3728">
        <v>0.4109893</v>
      </c>
      <c r="F3728" t="s">
        <v>78</v>
      </c>
      <c r="G3728">
        <v>-406.01600000000002</v>
      </c>
      <c r="H3728" s="1">
        <v>-4.5438509999999999E-6</v>
      </c>
      <c r="I3728">
        <v>26.6023</v>
      </c>
      <c r="J3728">
        <v>-417.15859999999998</v>
      </c>
      <c r="K3728">
        <v>1.1197779999999999</v>
      </c>
      <c r="L3728">
        <v>33.88617</v>
      </c>
      <c r="M3728">
        <v>0.25076870000000001</v>
      </c>
      <c r="N3728">
        <v>-3.6006429999999999E-2</v>
      </c>
      <c r="O3728">
        <v>-0.96737740000000005</v>
      </c>
      <c r="P3728">
        <v>0.66439179999999998</v>
      </c>
      <c r="Q3728">
        <v>-4.522967E-2</v>
      </c>
      <c r="R3728">
        <v>-0.74601519999999899</v>
      </c>
      <c r="S3728">
        <v>2.5813600000000001</v>
      </c>
      <c r="T3728">
        <v>-0.25783660000000003</v>
      </c>
      <c r="U3728">
        <v>-1.7265009999999901</v>
      </c>
      <c r="V3728">
        <v>-0.45560119999999998</v>
      </c>
      <c r="W3728">
        <v>-2.1889470000000001E-2</v>
      </c>
      <c r="X3728">
        <v>0.88991489999999995</v>
      </c>
      <c r="Y3728">
        <v>-0.66272039999999999</v>
      </c>
      <c r="Z3728">
        <v>5.6649789999999998E-2</v>
      </c>
      <c r="AA3728">
        <v>0.74672109999999903</v>
      </c>
      <c r="AB3728">
        <v>24</v>
      </c>
      <c r="AC3728">
        <v>11.1426</v>
      </c>
      <c r="AD3728">
        <v>-1.1197825438510001</v>
      </c>
      <c r="AE3728">
        <v>-7.2838699999999896</v>
      </c>
      <c r="AF3728">
        <v>-8.8953980399194901</v>
      </c>
      <c r="AG3728">
        <v>-1.1197825438510001</v>
      </c>
      <c r="AH3728">
        <v>9.7776650091721304</v>
      </c>
      <c r="AI3728">
        <v>94.842123824232701</v>
      </c>
      <c r="AJ3728">
        <v>132.294894356003</v>
      </c>
      <c r="AK3728">
        <v>13.2659244783658</v>
      </c>
      <c r="AL3728">
        <v>91.254274341882095</v>
      </c>
      <c r="AM3728">
        <v>117.11064933694701</v>
      </c>
      <c r="AN3728">
        <v>1.00000006579016</v>
      </c>
    </row>
    <row r="3729" spans="1:40" x14ac:dyDescent="0.25">
      <c r="A3729" t="str">
        <f>"20190305135704098"</f>
        <v>20190305135704098</v>
      </c>
      <c r="B3729" t="str">
        <f>"1551765424085807"</f>
        <v>1551765424085807</v>
      </c>
      <c r="C3729" t="s">
        <v>40</v>
      </c>
      <c r="D3729">
        <v>4.4452660000000002</v>
      </c>
      <c r="E3729">
        <v>0.40077160000000001</v>
      </c>
      <c r="F3729" t="s">
        <v>78</v>
      </c>
      <c r="G3729">
        <v>-408.6343</v>
      </c>
      <c r="H3729" s="1">
        <v>-3.4534829999999998E-6</v>
      </c>
      <c r="I3729">
        <v>27.878779999999999</v>
      </c>
      <c r="J3729">
        <v>-417.09059999999999</v>
      </c>
      <c r="K3729">
        <v>1.1199269999999999</v>
      </c>
      <c r="L3729">
        <v>33.679109999999902</v>
      </c>
      <c r="M3729">
        <v>0.26232169999999999</v>
      </c>
      <c r="N3729">
        <v>-3.6149779999999999E-2</v>
      </c>
      <c r="O3729">
        <v>-0.96430340000000003</v>
      </c>
      <c r="P3729">
        <v>0.6769269</v>
      </c>
      <c r="Q3729">
        <v>-4.6713650000000002E-2</v>
      </c>
      <c r="R3729">
        <v>-0.73456699999999997</v>
      </c>
      <c r="S3729">
        <v>2.5081790000000002</v>
      </c>
      <c r="T3729">
        <v>-0.32948369999999999</v>
      </c>
      <c r="U3729">
        <v>-1.767609</v>
      </c>
      <c r="V3729">
        <v>-0.46000059999999898</v>
      </c>
      <c r="W3729">
        <v>-2.3558430000000002E-2</v>
      </c>
      <c r="X3729">
        <v>0.88760599999999901</v>
      </c>
      <c r="Y3729">
        <v>-0.63353909999999902</v>
      </c>
      <c r="Z3729">
        <v>8.1755759999999997E-2</v>
      </c>
      <c r="AA3729">
        <v>0.76937909999999998</v>
      </c>
      <c r="AB3729">
        <v>23</v>
      </c>
      <c r="AC3729">
        <v>8.4562999999999899</v>
      </c>
      <c r="AD3729">
        <v>-1.1199304534829999</v>
      </c>
      <c r="AE3729">
        <v>-5.80032999999999</v>
      </c>
      <c r="AF3729">
        <v>-6.5589884230352702</v>
      </c>
      <c r="AG3729">
        <v>-1.1199304534829999</v>
      </c>
      <c r="AH3729">
        <v>7.72451928198124</v>
      </c>
      <c r="AI3729">
        <v>96.306579084887204</v>
      </c>
      <c r="AJ3729">
        <v>130.335013559136</v>
      </c>
      <c r="AK3729">
        <v>10.1952327826219</v>
      </c>
      <c r="AL3729">
        <v>91.349923523506902</v>
      </c>
      <c r="AM3729">
        <v>117.395387537053</v>
      </c>
      <c r="AN3729">
        <v>0.99999998143021196</v>
      </c>
    </row>
    <row r="3730" spans="1:40" x14ac:dyDescent="0.25">
      <c r="A3730" t="str">
        <f>"20190305135704119"</f>
        <v>20190305135704119</v>
      </c>
      <c r="B3730" t="str">
        <f>"1551765424116064"</f>
        <v>1551765424116064</v>
      </c>
      <c r="C3730" t="s">
        <v>40</v>
      </c>
      <c r="D3730">
        <v>4.4365040000000002</v>
      </c>
      <c r="E3730">
        <v>0.402391</v>
      </c>
      <c r="F3730" t="s">
        <v>78</v>
      </c>
      <c r="G3730">
        <v>-405.37909999999999</v>
      </c>
      <c r="H3730" s="1">
        <v>-4.7893699999999999E-6</v>
      </c>
      <c r="I3730">
        <v>26.181059999999999</v>
      </c>
      <c r="J3730">
        <v>-417.0213</v>
      </c>
      <c r="K3730">
        <v>1.120045</v>
      </c>
      <c r="L3730">
        <v>33.478209999999997</v>
      </c>
      <c r="M3730">
        <v>0.27411219999999997</v>
      </c>
      <c r="N3730">
        <v>-3.6268540000000002E-2</v>
      </c>
      <c r="O3730">
        <v>-0.96101360000000002</v>
      </c>
      <c r="P3730">
        <v>0.68847840000000005</v>
      </c>
      <c r="Q3730">
        <v>-4.8516200000000002E-2</v>
      </c>
      <c r="R3730">
        <v>-0.72363279999999996</v>
      </c>
      <c r="S3730">
        <v>2.604889</v>
      </c>
      <c r="T3730">
        <v>-0.24909680000000001</v>
      </c>
      <c r="U3730">
        <v>-1.6677249999999999</v>
      </c>
      <c r="V3730">
        <v>-0.46317399999999997</v>
      </c>
      <c r="W3730">
        <v>-2.5503140000000001E-2</v>
      </c>
      <c r="X3730">
        <v>0.88590040000000003</v>
      </c>
      <c r="Y3730">
        <v>-0.65969489999999997</v>
      </c>
      <c r="Z3730">
        <v>5.4471310000000002E-2</v>
      </c>
      <c r="AA3730">
        <v>0.74955699999999903</v>
      </c>
      <c r="AB3730">
        <v>23</v>
      </c>
      <c r="AC3730">
        <v>11.642200000000001</v>
      </c>
      <c r="AD3730">
        <v>-1.1200497893700001</v>
      </c>
      <c r="AE3730">
        <v>-7.2971499999999896</v>
      </c>
      <c r="AF3730">
        <v>-9.1334314865827295</v>
      </c>
      <c r="AG3730">
        <v>-1.1200497893700001</v>
      </c>
      <c r="AH3730">
        <v>10.143244759829701</v>
      </c>
      <c r="AI3730">
        <v>94.691111560911395</v>
      </c>
      <c r="AJ3730">
        <v>132.001287983677</v>
      </c>
      <c r="AK3730">
        <v>13.6952362706374</v>
      </c>
      <c r="AL3730">
        <v>91.4613806709107</v>
      </c>
      <c r="AM3730">
        <v>117.601852045285</v>
      </c>
      <c r="AN3730">
        <v>1.0000000415729999</v>
      </c>
    </row>
    <row r="3731" spans="1:40" x14ac:dyDescent="0.25">
      <c r="A3731" t="str">
        <f>"20190305135704143"</f>
        <v>20190305135704143</v>
      </c>
      <c r="B3731" t="str">
        <f>"1551765424136563"</f>
        <v>1551765424136563</v>
      </c>
      <c r="C3731" t="s">
        <v>40</v>
      </c>
      <c r="D3731">
        <v>4.4540689999999996</v>
      </c>
      <c r="E3731">
        <v>0.40342099999999997</v>
      </c>
      <c r="F3731" t="s">
        <v>78</v>
      </c>
      <c r="G3731">
        <v>-405.2629</v>
      </c>
      <c r="H3731" s="1">
        <v>-4.8419640000000003E-6</v>
      </c>
      <c r="I3731">
        <v>26.147870000000001</v>
      </c>
      <c r="J3731">
        <v>-416.94389999999999</v>
      </c>
      <c r="K3731">
        <v>1.1201650000000001</v>
      </c>
      <c r="L3731">
        <v>33.265050000000002</v>
      </c>
      <c r="M3731">
        <v>0.2872729</v>
      </c>
      <c r="N3731">
        <v>-3.6332080000000003E-2</v>
      </c>
      <c r="O3731">
        <v>-0.95715969999999995</v>
      </c>
      <c r="P3731">
        <v>0.69987060000000001</v>
      </c>
      <c r="Q3731">
        <v>-4.885602E-2</v>
      </c>
      <c r="R3731">
        <v>-0.71259729999999999</v>
      </c>
      <c r="S3731">
        <v>2.6218569999999999</v>
      </c>
      <c r="T3731">
        <v>-0.24974440000000001</v>
      </c>
      <c r="U3731">
        <v>-1.6344909999999999</v>
      </c>
      <c r="V3731">
        <v>-0.46505950000000001</v>
      </c>
      <c r="W3731">
        <v>-2.5991050000000002E-2</v>
      </c>
      <c r="X3731">
        <v>0.88489779999999996</v>
      </c>
      <c r="Y3731">
        <v>-0.65837869999999998</v>
      </c>
      <c r="Z3731">
        <v>5.510926E-2</v>
      </c>
      <c r="AA3731">
        <v>0.75066659999999996</v>
      </c>
      <c r="AB3731">
        <v>22</v>
      </c>
      <c r="AC3731">
        <v>11.6809999999999</v>
      </c>
      <c r="AD3731">
        <v>-1.1201698419639901</v>
      </c>
      <c r="AE3731">
        <v>-7.1171800000000003</v>
      </c>
      <c r="AF3731">
        <v>-9.0811409886401293</v>
      </c>
      <c r="AG3731">
        <v>-1.1201698419639901</v>
      </c>
      <c r="AH3731">
        <v>10.106846744693399</v>
      </c>
      <c r="AI3731">
        <v>94.712934666728998</v>
      </c>
      <c r="AJ3731">
        <v>131.94013096768401</v>
      </c>
      <c r="AK3731">
        <v>13.633424120562101</v>
      </c>
      <c r="AL3731">
        <v>91.489345193971403</v>
      </c>
      <c r="AM3731">
        <v>117.72424506746501</v>
      </c>
      <c r="AN3731">
        <v>0.99999999483259605</v>
      </c>
    </row>
    <row r="3732" spans="1:40" x14ac:dyDescent="0.25">
      <c r="A3732" t="str">
        <f>"20190305135704166"</f>
        <v>20190305135704166</v>
      </c>
      <c r="B3732" t="str">
        <f>"1551765424156079"</f>
        <v>1551765424156079</v>
      </c>
      <c r="C3732" t="s">
        <v>40</v>
      </c>
      <c r="D3732">
        <v>4.4375499999999999</v>
      </c>
      <c r="E3732">
        <v>0.4045241</v>
      </c>
      <c r="F3732" t="s">
        <v>78</v>
      </c>
      <c r="G3732">
        <v>-405.03050000000002</v>
      </c>
      <c r="H3732" s="1">
        <v>-4.9426080000000001E-6</v>
      </c>
      <c r="I3732">
        <v>26.056509999999999</v>
      </c>
      <c r="J3732">
        <v>-416.86860000000001</v>
      </c>
      <c r="K3732">
        <v>1.120261</v>
      </c>
      <c r="L3732">
        <v>33.068049999999999</v>
      </c>
      <c r="M3732">
        <v>0.30003200000000002</v>
      </c>
      <c r="N3732">
        <v>-3.6301170000000001E-2</v>
      </c>
      <c r="O3732">
        <v>-0.95323840000000004</v>
      </c>
      <c r="P3732">
        <v>0.71064959999999999</v>
      </c>
      <c r="Q3732">
        <v>-4.8067550000000001E-2</v>
      </c>
      <c r="R3732">
        <v>-0.70190269999999899</v>
      </c>
      <c r="S3732">
        <v>2.6416629999999999</v>
      </c>
      <c r="T3732">
        <v>-0.2483861</v>
      </c>
      <c r="U3732">
        <v>-1.598419</v>
      </c>
      <c r="V3732">
        <v>-0.46671469999999998</v>
      </c>
      <c r="W3732">
        <v>-2.541759E-2</v>
      </c>
      <c r="X3732">
        <v>0.88404259999999901</v>
      </c>
      <c r="Y3732">
        <v>-0.65833949999999997</v>
      </c>
      <c r="Z3732">
        <v>5.511158E-2</v>
      </c>
      <c r="AA3732">
        <v>0.7507009</v>
      </c>
      <c r="AB3732">
        <v>22</v>
      </c>
      <c r="AC3732">
        <v>11.838099999999899</v>
      </c>
      <c r="AD3732">
        <v>-1.1202659426079999</v>
      </c>
      <c r="AE3732">
        <v>-7.0115399999999903</v>
      </c>
      <c r="AF3732">
        <v>-9.1263941077411594</v>
      </c>
      <c r="AG3732">
        <v>-1.1202659426079999</v>
      </c>
      <c r="AH3732">
        <v>10.174772001916899</v>
      </c>
      <c r="AI3732">
        <v>94.685606638109704</v>
      </c>
      <c r="AJ3732">
        <v>131.89093084629701</v>
      </c>
      <c r="AK3732">
        <v>13.713936359884899</v>
      </c>
      <c r="AL3732">
        <v>91.456477500144601</v>
      </c>
      <c r="AM3732">
        <v>117.83102344769399</v>
      </c>
      <c r="AN3732">
        <v>0.99999999184612898</v>
      </c>
    </row>
    <row r="3733" spans="1:40" x14ac:dyDescent="0.25">
      <c r="A3733" t="str">
        <f>"20190305135704190"</f>
        <v>20190305135704190</v>
      </c>
      <c r="B3733" t="str">
        <f>"1551765424186338"</f>
        <v>1551765424186338</v>
      </c>
      <c r="C3733" t="s">
        <v>40</v>
      </c>
      <c r="D3733">
        <v>4.5382319999999998</v>
      </c>
      <c r="E3733">
        <v>0.40641830000000001</v>
      </c>
      <c r="F3733" t="s">
        <v>78</v>
      </c>
      <c r="G3733">
        <v>-404.72140000000002</v>
      </c>
      <c r="H3733" s="1">
        <v>-5.0658249999999999E-6</v>
      </c>
      <c r="I3733">
        <v>25.92436</v>
      </c>
      <c r="J3733">
        <v>-416.79239999999999</v>
      </c>
      <c r="K3733">
        <v>1.1203099999999999</v>
      </c>
      <c r="L3733">
        <v>32.878509999999999</v>
      </c>
      <c r="M3733">
        <v>0.31279649999999998</v>
      </c>
      <c r="N3733">
        <v>-3.6204939999999998E-2</v>
      </c>
      <c r="O3733">
        <v>-0.94913009999999998</v>
      </c>
      <c r="P3733">
        <v>0.72031540000000005</v>
      </c>
      <c r="Q3733">
        <v>-4.825488E-2</v>
      </c>
      <c r="R3733">
        <v>-0.69196639999999998</v>
      </c>
      <c r="S3733">
        <v>2.6598510000000002</v>
      </c>
      <c r="T3733">
        <v>-0.2453024</v>
      </c>
      <c r="U3733">
        <v>-1.5642400000000001</v>
      </c>
      <c r="V3733">
        <v>-0.46710590000000002</v>
      </c>
      <c r="W3733">
        <v>-2.5801279999999999E-2</v>
      </c>
      <c r="X3733">
        <v>0.88382490000000002</v>
      </c>
      <c r="Y3733">
        <v>-0.65770410000000001</v>
      </c>
      <c r="Z3733">
        <v>5.4545610000000001E-2</v>
      </c>
      <c r="AA3733">
        <v>0.75129899999999905</v>
      </c>
      <c r="AB3733">
        <v>22</v>
      </c>
      <c r="AC3733">
        <v>12.0709999999999</v>
      </c>
      <c r="AD3733">
        <v>-1.1203150658250001</v>
      </c>
      <c r="AE3733">
        <v>-6.9541499999999896</v>
      </c>
      <c r="AF3733">
        <v>-9.2281219134750003</v>
      </c>
      <c r="AG3733">
        <v>-1.1203150658250001</v>
      </c>
      <c r="AH3733">
        <v>10.3162464420218</v>
      </c>
      <c r="AI3733">
        <v>94.627414675004701</v>
      </c>
      <c r="AJ3733">
        <v>131.81337122531599</v>
      </c>
      <c r="AK3733">
        <v>13.886622359278</v>
      </c>
      <c r="AL3733">
        <v>91.478468458131999</v>
      </c>
      <c r="AM3733">
        <v>117.856676768721</v>
      </c>
      <c r="AN3733">
        <v>1.0000000408622201</v>
      </c>
    </row>
    <row r="3734" spans="1:40" x14ac:dyDescent="0.25">
      <c r="A3734" t="str">
        <f>"20190305135704211"</f>
        <v>20190305135704211</v>
      </c>
      <c r="B3734" t="str">
        <f>"1551765424205856"</f>
        <v>1551765424205856</v>
      </c>
      <c r="C3734" t="s">
        <v>40</v>
      </c>
      <c r="D3734">
        <v>4.4334870000000004</v>
      </c>
      <c r="E3734">
        <v>0.40722809999999998</v>
      </c>
      <c r="F3734" t="s">
        <v>78</v>
      </c>
      <c r="G3734">
        <v>-404.94490000000002</v>
      </c>
      <c r="H3734" s="1">
        <v>-4.9849850000000004E-6</v>
      </c>
      <c r="I3734">
        <v>26.055140000000002</v>
      </c>
      <c r="J3734">
        <v>-416.71420000000001</v>
      </c>
      <c r="K3734">
        <v>1.120312</v>
      </c>
      <c r="L3734">
        <v>32.693179999999998</v>
      </c>
      <c r="M3734">
        <v>0.32569809999999999</v>
      </c>
      <c r="N3734">
        <v>-3.6098619999999998E-2</v>
      </c>
      <c r="O3734">
        <v>-0.94478439999999997</v>
      </c>
      <c r="P3734">
        <v>0.72949809999999904</v>
      </c>
      <c r="Q3734">
        <v>-4.8839550000000002E-2</v>
      </c>
      <c r="R3734">
        <v>-0.68223730000000005</v>
      </c>
      <c r="S3734">
        <v>2.6704409999999998</v>
      </c>
      <c r="T3734">
        <v>-0.25251970000000001</v>
      </c>
      <c r="U3734">
        <v>-1.5379940000000001</v>
      </c>
      <c r="V3734">
        <v>-0.46687469999999998</v>
      </c>
      <c r="W3734">
        <v>-2.6503700000000002E-2</v>
      </c>
      <c r="X3734">
        <v>0.883926199999999</v>
      </c>
      <c r="Y3734">
        <v>-0.65412309999999996</v>
      </c>
      <c r="Z3734">
        <v>5.7496999999999999E-2</v>
      </c>
      <c r="AA3734">
        <v>0.75419969999999903</v>
      </c>
      <c r="AB3734">
        <v>21</v>
      </c>
      <c r="AC3734">
        <v>11.7692999999999</v>
      </c>
      <c r="AD3734">
        <v>-1.1203169849850001</v>
      </c>
      <c r="AE3734">
        <v>-6.6380399999999904</v>
      </c>
      <c r="AF3734">
        <v>-8.9021006115314094</v>
      </c>
      <c r="AG3734">
        <v>-1.1203169849850001</v>
      </c>
      <c r="AH3734">
        <v>10.042312021473901</v>
      </c>
      <c r="AI3734">
        <v>94.772065090718399</v>
      </c>
      <c r="AJ3734">
        <v>131.555681684387</v>
      </c>
      <c r="AK3734">
        <v>13.4666453202463</v>
      </c>
      <c r="AL3734">
        <v>91.518728022376493</v>
      </c>
      <c r="AM3734">
        <v>117.84224794888399</v>
      </c>
      <c r="AN3734">
        <v>0.99999997933010898</v>
      </c>
    </row>
    <row r="3735" spans="1:40" x14ac:dyDescent="0.25">
      <c r="A3735" t="str">
        <f>"20190305135704233"</f>
        <v>20190305135704233</v>
      </c>
      <c r="B3735" t="str">
        <f>"1551765424226351"</f>
        <v>1551765424226351</v>
      </c>
      <c r="C3735" t="s">
        <v>40</v>
      </c>
      <c r="D3735">
        <v>4.4171800000000001</v>
      </c>
      <c r="E3735">
        <v>0.407966</v>
      </c>
      <c r="F3735" t="s">
        <v>78</v>
      </c>
      <c r="G3735">
        <v>-404.80650000000003</v>
      </c>
      <c r="H3735" s="1">
        <v>-5.0422239999999996E-6</v>
      </c>
      <c r="I3735">
        <v>26.014469999999999</v>
      </c>
      <c r="J3735">
        <v>-416.63479999999998</v>
      </c>
      <c r="K3735">
        <v>1.1201730000000001</v>
      </c>
      <c r="L3735">
        <v>32.513579999999997</v>
      </c>
      <c r="M3735">
        <v>0.33828130000000001</v>
      </c>
      <c r="N3735">
        <v>-3.6228879999999998E-2</v>
      </c>
      <c r="O3735">
        <v>-0.9403475</v>
      </c>
      <c r="P3735">
        <v>0.73755530000000002</v>
      </c>
      <c r="Q3735">
        <v>-4.9237240000000002E-2</v>
      </c>
      <c r="R3735">
        <v>-0.67348949999999996</v>
      </c>
      <c r="S3735">
        <v>2.6863709999999998</v>
      </c>
      <c r="T3735">
        <v>-0.252743</v>
      </c>
      <c r="U3735">
        <v>-1.5067140000000001</v>
      </c>
      <c r="V3735">
        <v>-0.46559719999999999</v>
      </c>
      <c r="W3735">
        <v>-2.6529400000000002E-2</v>
      </c>
      <c r="X3735">
        <v>0.88459900000000002</v>
      </c>
      <c r="Y3735">
        <v>-0.65260790000000002</v>
      </c>
      <c r="Z3735">
        <v>5.781886E-2</v>
      </c>
      <c r="AA3735">
        <v>0.75548660000000001</v>
      </c>
      <c r="AB3735">
        <v>21</v>
      </c>
      <c r="AC3735">
        <v>11.828299999999899</v>
      </c>
      <c r="AD3735">
        <v>-1.120178042224</v>
      </c>
      <c r="AE3735">
        <v>-6.4991099999999902</v>
      </c>
      <c r="AF3735">
        <v>-8.86894893739262</v>
      </c>
      <c r="AG3735">
        <v>-1.120178042224</v>
      </c>
      <c r="AH3735">
        <v>10.050122150463</v>
      </c>
      <c r="AI3735">
        <v>94.777185375799206</v>
      </c>
      <c r="AJ3735">
        <v>131.42749299686599</v>
      </c>
      <c r="AK3735">
        <v>13.450576543017901</v>
      </c>
      <c r="AL3735">
        <v>91.520201046565205</v>
      </c>
      <c r="AM3735">
        <v>117.75949306799799</v>
      </c>
      <c r="AN3735">
        <v>0.99999997625659898</v>
      </c>
    </row>
    <row r="3736" spans="1:40" x14ac:dyDescent="0.25">
      <c r="A3736" t="str">
        <f>"20190305135704255"</f>
        <v>20190305135704255</v>
      </c>
      <c r="B3736" t="str">
        <f>"1551765424245871"</f>
        <v>1551765424245871</v>
      </c>
      <c r="C3736" t="s">
        <v>40</v>
      </c>
      <c r="D3736">
        <v>4.4310239999999999</v>
      </c>
      <c r="E3736">
        <v>0.4084778</v>
      </c>
      <c r="F3736" t="s">
        <v>78</v>
      </c>
      <c r="G3736">
        <v>-404.69709999999998</v>
      </c>
      <c r="H3736" s="1">
        <v>-5.086364E-6</v>
      </c>
      <c r="I3736">
        <v>25.976310000000002</v>
      </c>
      <c r="J3736">
        <v>-416.55309999999997</v>
      </c>
      <c r="K3736">
        <v>1.120004</v>
      </c>
      <c r="L3736">
        <v>32.336359999999999</v>
      </c>
      <c r="M3736">
        <v>0.35117999999999999</v>
      </c>
      <c r="N3736">
        <v>-3.6319259999999999E-2</v>
      </c>
      <c r="O3736">
        <v>-0.93560330000000003</v>
      </c>
      <c r="P3736">
        <v>0.74606410000000001</v>
      </c>
      <c r="Q3736">
        <v>-5.0325250000000002E-2</v>
      </c>
      <c r="R3736">
        <v>-0.66396980000000005</v>
      </c>
      <c r="S3736">
        <v>2.7002869999999999</v>
      </c>
      <c r="T3736">
        <v>-0.2533839</v>
      </c>
      <c r="U3736">
        <v>-1.478729</v>
      </c>
      <c r="V3736">
        <v>-0.4647097</v>
      </c>
      <c r="W3736">
        <v>-2.7279020000000001E-2</v>
      </c>
      <c r="X3736">
        <v>0.88504280000000002</v>
      </c>
      <c r="Y3736">
        <v>-0.64983959999999996</v>
      </c>
      <c r="Z3736">
        <v>5.8270130000000003E-2</v>
      </c>
      <c r="AA3736">
        <v>0.75783449999999997</v>
      </c>
      <c r="AB3736">
        <v>20</v>
      </c>
      <c r="AC3736">
        <v>11.8559999999999</v>
      </c>
      <c r="AD3736">
        <v>-1.120009086364</v>
      </c>
      <c r="AE3736">
        <v>-6.3600499999999904</v>
      </c>
      <c r="AF3736">
        <v>-8.8038290945660993</v>
      </c>
      <c r="AG3736">
        <v>-1.120009086364</v>
      </c>
      <c r="AH3736">
        <v>10.051097690862401</v>
      </c>
      <c r="AI3736">
        <v>94.791506698626904</v>
      </c>
      <c r="AJ3736">
        <v>131.21535205116999</v>
      </c>
      <c r="AK3736">
        <v>13.408444796885499</v>
      </c>
      <c r="AL3736">
        <v>91.563166620280995</v>
      </c>
      <c r="AM3736">
        <v>117.70263088400201</v>
      </c>
      <c r="AN3736">
        <v>1.00000000401904</v>
      </c>
    </row>
    <row r="3737" spans="1:40" x14ac:dyDescent="0.25">
      <c r="A3737" t="str">
        <f>"20190305135704278"</f>
        <v>20190305135704278</v>
      </c>
      <c r="B3737" t="str">
        <f>"1551765424266368"</f>
        <v>1551765424266368</v>
      </c>
      <c r="C3737" t="s">
        <v>40</v>
      </c>
      <c r="D3737">
        <v>4.5121919999999998</v>
      </c>
      <c r="E3737">
        <v>0.40950969999999998</v>
      </c>
      <c r="F3737" t="s">
        <v>78</v>
      </c>
      <c r="G3737">
        <v>-404.9871</v>
      </c>
      <c r="H3737" s="1">
        <v>-4.985104E-6</v>
      </c>
      <c r="I3737">
        <v>26.17238</v>
      </c>
      <c r="J3737">
        <v>-416.47449999999998</v>
      </c>
      <c r="K3737">
        <v>1.119893</v>
      </c>
      <c r="L3737">
        <v>32.172640000000001</v>
      </c>
      <c r="M3737">
        <v>0.36374020000000001</v>
      </c>
      <c r="N3737">
        <v>-3.6113779999999998E-2</v>
      </c>
      <c r="O3737">
        <v>-0.93080010000000002</v>
      </c>
      <c r="P3737">
        <v>0.75451309999999905</v>
      </c>
      <c r="Q3737">
        <v>-5.2478690000000001E-2</v>
      </c>
      <c r="R3737">
        <v>-0.65418379999999998</v>
      </c>
      <c r="S3737">
        <v>2.7154539999999998</v>
      </c>
      <c r="T3737">
        <v>-0.26295459999999998</v>
      </c>
      <c r="U3737">
        <v>-1.447174</v>
      </c>
      <c r="V3737">
        <v>-0.46416459999999998</v>
      </c>
      <c r="W3737">
        <v>-2.9544040000000001E-2</v>
      </c>
      <c r="X3737">
        <v>0.88525609999999999</v>
      </c>
      <c r="Y3737">
        <v>-0.64802069999999901</v>
      </c>
      <c r="Z3737">
        <v>6.2043510000000003E-2</v>
      </c>
      <c r="AA3737">
        <v>0.75909139999999997</v>
      </c>
      <c r="AB3737">
        <v>20</v>
      </c>
      <c r="AC3737">
        <v>11.4873999999999</v>
      </c>
      <c r="AD3737">
        <v>-1.1198979851040001</v>
      </c>
      <c r="AE3737">
        <v>-6.0002599999999999</v>
      </c>
      <c r="AF3737">
        <v>-8.4523789145077597</v>
      </c>
      <c r="AG3737">
        <v>-1.1198979851040001</v>
      </c>
      <c r="AH3737">
        <v>9.6974349099363994</v>
      </c>
      <c r="AI3737">
        <v>94.975433193127998</v>
      </c>
      <c r="AJ3737">
        <v>131.075724466396</v>
      </c>
      <c r="AK3737">
        <v>12.9126730247423</v>
      </c>
      <c r="AL3737">
        <v>91.692995160756695</v>
      </c>
      <c r="AM3737">
        <v>117.669283020642</v>
      </c>
      <c r="AN3737">
        <v>0.99999999438994502</v>
      </c>
    </row>
    <row r="3738" spans="1:40" x14ac:dyDescent="0.25">
      <c r="A3738" t="str">
        <f>"20190305135704300"</f>
        <v>20190305135704300</v>
      </c>
      <c r="B3738" t="str">
        <f>"1551765424295648"</f>
        <v>1551765424295648</v>
      </c>
      <c r="C3738" t="s">
        <v>40</v>
      </c>
      <c r="D3738">
        <v>4.6411569999999998</v>
      </c>
      <c r="E3738">
        <v>0.4106204</v>
      </c>
      <c r="F3738" t="s">
        <v>78</v>
      </c>
      <c r="G3738">
        <v>-405.2654</v>
      </c>
      <c r="H3738" s="1">
        <v>-4.8760889999999997E-6</v>
      </c>
      <c r="I3738">
        <v>26.346720000000001</v>
      </c>
      <c r="J3738">
        <v>-416.39339999999999</v>
      </c>
      <c r="K3738">
        <v>1.1198539999999999</v>
      </c>
      <c r="L3738">
        <v>32.010959999999997</v>
      </c>
      <c r="M3738">
        <v>0.3765406</v>
      </c>
      <c r="N3738">
        <v>-3.5646270000000001E-2</v>
      </c>
      <c r="O3738">
        <v>-0.92571409999999998</v>
      </c>
      <c r="P3738">
        <v>0.76360909999999904</v>
      </c>
      <c r="Q3738">
        <v>-5.4432120000000001E-2</v>
      </c>
      <c r="R3738">
        <v>-0.64338059999999997</v>
      </c>
      <c r="S3738">
        <v>2.727875</v>
      </c>
      <c r="T3738">
        <v>-0.27254210000000001</v>
      </c>
      <c r="U3738">
        <v>-1.417816</v>
      </c>
      <c r="V3738">
        <v>-0.46438210000000002</v>
      </c>
      <c r="W3738">
        <v>-3.2004940000000003E-2</v>
      </c>
      <c r="X3738">
        <v>0.88505639999999997</v>
      </c>
      <c r="Y3738">
        <v>-0.64514499999999997</v>
      </c>
      <c r="Z3738">
        <v>6.6008860000000003E-2</v>
      </c>
      <c r="AA3738">
        <v>0.76120350000000003</v>
      </c>
      <c r="AB3738">
        <v>19</v>
      </c>
      <c r="AC3738">
        <v>11.127999999999901</v>
      </c>
      <c r="AD3738">
        <v>-1.119858876089</v>
      </c>
      <c r="AE3738">
        <v>-5.6642399999999897</v>
      </c>
      <c r="AF3738">
        <v>-8.1085051328508406</v>
      </c>
      <c r="AG3738">
        <v>-1.119858876089</v>
      </c>
      <c r="AH3738">
        <v>9.3642893599152792</v>
      </c>
      <c r="AI3738">
        <v>95.165837741027104</v>
      </c>
      <c r="AJ3738">
        <v>130.889173142282</v>
      </c>
      <c r="AK3738">
        <v>12.437518024431</v>
      </c>
      <c r="AL3738">
        <v>91.834061294342803</v>
      </c>
      <c r="AM3738">
        <v>117.685641408207</v>
      </c>
      <c r="AN3738">
        <v>0.99999994108288504</v>
      </c>
    </row>
    <row r="3739" spans="1:40" x14ac:dyDescent="0.25">
      <c r="A3739" t="str">
        <f>"20190305135704322"</f>
        <v>20190305135704322</v>
      </c>
      <c r="B3739" t="str">
        <f>"1551765424316144"</f>
        <v>1551765424316144</v>
      </c>
      <c r="C3739" t="s">
        <v>40</v>
      </c>
      <c r="D3739">
        <v>4.4110849999999999</v>
      </c>
      <c r="E3739">
        <v>0.410105</v>
      </c>
      <c r="F3739" t="s">
        <v>78</v>
      </c>
      <c r="G3739">
        <v>-405.52839999999998</v>
      </c>
      <c r="H3739" s="1">
        <v>-4.7741660000000003E-6</v>
      </c>
      <c r="I3739">
        <v>26.517530000000001</v>
      </c>
      <c r="J3739">
        <v>-416.30430000000001</v>
      </c>
      <c r="K3739">
        <v>1.1197889999999999</v>
      </c>
      <c r="L3739">
        <v>31.840910000000001</v>
      </c>
      <c r="M3739">
        <v>0.3901905</v>
      </c>
      <c r="N3739">
        <v>-3.509905E-2</v>
      </c>
      <c r="O3739">
        <v>-0.92006520000000003</v>
      </c>
      <c r="P3739">
        <v>0.77396669999999901</v>
      </c>
      <c r="Q3739">
        <v>-5.4454919999999997E-2</v>
      </c>
      <c r="R3739">
        <v>-0.63088100000000003</v>
      </c>
      <c r="S3739">
        <v>2.740936</v>
      </c>
      <c r="T3739">
        <v>-0.28250809999999998</v>
      </c>
      <c r="U3739">
        <v>-1.385834</v>
      </c>
      <c r="V3739">
        <v>-0.4656711</v>
      </c>
      <c r="W3739">
        <v>-3.2611649999999999E-2</v>
      </c>
      <c r="X3739">
        <v>0.88435680000000005</v>
      </c>
      <c r="Y3739">
        <v>-0.64213540000000002</v>
      </c>
      <c r="Z3739">
        <v>7.0159230000000003E-2</v>
      </c>
      <c r="AA3739">
        <v>0.763374</v>
      </c>
      <c r="AB3739">
        <v>19</v>
      </c>
      <c r="AC3739">
        <v>10.7759</v>
      </c>
      <c r="AD3739">
        <v>-1.119793774166</v>
      </c>
      <c r="AE3739">
        <v>-5.3233800000000002</v>
      </c>
      <c r="AF3739">
        <v>-7.7747413716420404</v>
      </c>
      <c r="AG3739">
        <v>-1.119793774166</v>
      </c>
      <c r="AH3739">
        <v>9.0297395062350798</v>
      </c>
      <c r="AI3739">
        <v>95.368700451109703</v>
      </c>
      <c r="AJ3739">
        <v>130.72894526028301</v>
      </c>
      <c r="AK3739">
        <v>11.968155122784999</v>
      </c>
      <c r="AL3739">
        <v>91.868841226081202</v>
      </c>
      <c r="AM3739">
        <v>117.769708737434</v>
      </c>
      <c r="AN3739">
        <v>1.00000002139858</v>
      </c>
    </row>
    <row r="3740" spans="1:40" x14ac:dyDescent="0.25">
      <c r="A3740" t="str">
        <f>"20190305135704345"</f>
        <v>20190305135704345</v>
      </c>
      <c r="B3740" t="str">
        <f>"1551765424335667"</f>
        <v>1551765424335667</v>
      </c>
      <c r="C3740" t="s">
        <v>40</v>
      </c>
      <c r="D3740">
        <v>4.4985169999999997</v>
      </c>
      <c r="E3740">
        <v>0.3732473</v>
      </c>
      <c r="F3740" t="s">
        <v>78</v>
      </c>
      <c r="G3740">
        <v>-405.58679999999998</v>
      </c>
      <c r="H3740" s="1">
        <v>-4.7692269999999997E-6</v>
      </c>
      <c r="I3740">
        <v>26.654890000000002</v>
      </c>
      <c r="J3740">
        <v>-416.21839999999997</v>
      </c>
      <c r="K3740">
        <v>1.1196569999999999</v>
      </c>
      <c r="L3740">
        <v>31.68365</v>
      </c>
      <c r="M3740">
        <v>0.4030552</v>
      </c>
      <c r="N3740">
        <v>-3.4677099999999898E-2</v>
      </c>
      <c r="O3740">
        <v>-0.91451850000000001</v>
      </c>
      <c r="P3740">
        <v>0.78363660000000002</v>
      </c>
      <c r="Q3740">
        <v>-5.3599069999999999E-2</v>
      </c>
      <c r="R3740">
        <v>-0.61890299999999998</v>
      </c>
      <c r="S3740">
        <v>2.7651669999999999</v>
      </c>
      <c r="T3740">
        <v>-0.28891070000000002</v>
      </c>
      <c r="U3740">
        <v>-1.3380129999999999</v>
      </c>
      <c r="V3740">
        <v>-0.46694360000000001</v>
      </c>
      <c r="W3740">
        <v>-3.2063670000000002E-2</v>
      </c>
      <c r="X3740">
        <v>0.88370559999999998</v>
      </c>
      <c r="Y3740">
        <v>-0.64453819999999995</v>
      </c>
      <c r="Z3740">
        <v>7.3034619999999995E-2</v>
      </c>
      <c r="AA3740">
        <v>0.76107590000000003</v>
      </c>
      <c r="AB3740">
        <v>19</v>
      </c>
      <c r="AC3740">
        <v>10.631599999999899</v>
      </c>
      <c r="AD3740">
        <v>-1.1196617692269999</v>
      </c>
      <c r="AE3740">
        <v>-5.0287599999999903</v>
      </c>
      <c r="AF3740">
        <v>-7.63139176140914</v>
      </c>
      <c r="AG3740">
        <v>-1.1196617692269999</v>
      </c>
      <c r="AH3740">
        <v>8.8095175793672507</v>
      </c>
      <c r="AI3740">
        <v>95.487263687251101</v>
      </c>
      <c r="AJ3740">
        <v>130.90129399757799</v>
      </c>
      <c r="AK3740">
        <v>11.7089445585309</v>
      </c>
      <c r="AL3740">
        <v>91.837427902640698</v>
      </c>
      <c r="AM3740">
        <v>117.851646577587</v>
      </c>
      <c r="AN3740">
        <v>0.99999999599309397</v>
      </c>
    </row>
    <row r="3741" spans="1:40" x14ac:dyDescent="0.25">
      <c r="A3741" t="str">
        <f>"20190305135704368"</f>
        <v>20190305135704368</v>
      </c>
      <c r="B3741" t="str">
        <f>"1551765424356160"</f>
        <v>1551765424356160</v>
      </c>
      <c r="C3741" t="s">
        <v>40</v>
      </c>
      <c r="D3741">
        <v>4.3893519999999997</v>
      </c>
      <c r="E3741">
        <v>0.3723612</v>
      </c>
      <c r="F3741" t="s">
        <v>78</v>
      </c>
      <c r="G3741">
        <v>-408.8152</v>
      </c>
      <c r="H3741" s="1">
        <v>-3.5634329999999999E-6</v>
      </c>
      <c r="I3741">
        <v>29.00769</v>
      </c>
      <c r="J3741">
        <v>-416.12990000000002</v>
      </c>
      <c r="K3741">
        <v>1.11944</v>
      </c>
      <c r="L3741">
        <v>31.527799999999999</v>
      </c>
      <c r="M3741">
        <v>0.41624870000000003</v>
      </c>
      <c r="N3741">
        <v>-3.4306349999999999E-2</v>
      </c>
      <c r="O3741">
        <v>-0.90860339999999995</v>
      </c>
      <c r="P3741">
        <v>0.79250379999999998</v>
      </c>
      <c r="Q3741">
        <v>-5.1991589999999997E-2</v>
      </c>
      <c r="R3741">
        <v>-0.6076471</v>
      </c>
      <c r="S3741">
        <v>2.9543149999999998</v>
      </c>
      <c r="T3741">
        <v>-0.4468125</v>
      </c>
      <c r="U3741">
        <v>-1.067871</v>
      </c>
      <c r="V3741">
        <v>-0.46692</v>
      </c>
      <c r="W3741">
        <v>-3.0535840000000002E-2</v>
      </c>
      <c r="X3741">
        <v>0.88377220000000001</v>
      </c>
      <c r="Y3741">
        <v>-0.70406409999999997</v>
      </c>
      <c r="Z3741">
        <v>0.12748809999999999</v>
      </c>
      <c r="AA3741">
        <v>0.69859899999999997</v>
      </c>
      <c r="AB3741">
        <v>19</v>
      </c>
      <c r="AC3741">
        <v>7.31470000000001</v>
      </c>
      <c r="AD3741">
        <v>-1.119443563433</v>
      </c>
      <c r="AE3741">
        <v>-2.5201099999999901</v>
      </c>
      <c r="AF3741">
        <v>-5.4856172111176997</v>
      </c>
      <c r="AG3741">
        <v>-1.119443563433</v>
      </c>
      <c r="AH3741">
        <v>5.2281980046595704</v>
      </c>
      <c r="AI3741">
        <v>98.403124075804698</v>
      </c>
      <c r="AJ3741">
        <v>136.376372153858</v>
      </c>
      <c r="AK3741">
        <v>7.6602352740988797</v>
      </c>
      <c r="AL3741">
        <v>91.749846742650206</v>
      </c>
      <c r="AM3741">
        <v>117.84866691780699</v>
      </c>
      <c r="AN3741">
        <v>1.0000000127086699</v>
      </c>
    </row>
    <row r="3742" spans="1:40" x14ac:dyDescent="0.25">
      <c r="A3742" t="str">
        <f>"20190305135704391"</f>
        <v>20190305135704391</v>
      </c>
      <c r="B3742" t="str">
        <f>"1551765424386416"</f>
        <v>1551765424386416</v>
      </c>
      <c r="C3742" t="s">
        <v>40</v>
      </c>
      <c r="D3742">
        <v>4.2306179999999998</v>
      </c>
      <c r="E3742">
        <v>0.3734654</v>
      </c>
      <c r="F3742" t="s">
        <v>78</v>
      </c>
      <c r="G3742">
        <v>-408.43799999999999</v>
      </c>
      <c r="H3742" s="1">
        <v>-3.7325330000000001E-6</v>
      </c>
      <c r="I3742">
        <v>28.891159999999999</v>
      </c>
      <c r="J3742">
        <v>-416.04219999999998</v>
      </c>
      <c r="K3742">
        <v>1.1192279999999999</v>
      </c>
      <c r="L3742">
        <v>31.379149999999999</v>
      </c>
      <c r="M3742">
        <v>0.4293247</v>
      </c>
      <c r="N3742">
        <v>-3.3905369999999997E-2</v>
      </c>
      <c r="O3742">
        <v>-0.90251380000000003</v>
      </c>
      <c r="P3742">
        <v>0.80123659999999997</v>
      </c>
      <c r="Q3742">
        <v>-4.911078E-2</v>
      </c>
      <c r="R3742">
        <v>-0.59632959999999902</v>
      </c>
      <c r="S3742">
        <v>2.9751280000000002</v>
      </c>
      <c r="T3742">
        <v>-0.43298160000000002</v>
      </c>
      <c r="U3742">
        <v>-1.019806</v>
      </c>
      <c r="V3742">
        <v>-0.4669452</v>
      </c>
      <c r="W3742">
        <v>-2.7756110000000001E-2</v>
      </c>
      <c r="X3742">
        <v>0.88385049999999898</v>
      </c>
      <c r="Y3742">
        <v>-0.70609129999999998</v>
      </c>
      <c r="Z3742">
        <v>0.1233684</v>
      </c>
      <c r="AA3742">
        <v>0.69729140000000001</v>
      </c>
      <c r="AB3742">
        <v>18</v>
      </c>
      <c r="AC3742">
        <v>7.6041999999999303</v>
      </c>
      <c r="AD3742">
        <v>-1.1192317325329999</v>
      </c>
      <c r="AE3742">
        <v>-2.4879899999999999</v>
      </c>
      <c r="AF3742">
        <v>-5.6867883120795799</v>
      </c>
      <c r="AG3742">
        <v>-1.1192317325329999</v>
      </c>
      <c r="AH3742">
        <v>5.4074669487156397</v>
      </c>
      <c r="AI3742">
        <v>98.117133490394295</v>
      </c>
      <c r="AJ3742">
        <v>136.44223786046399</v>
      </c>
      <c r="AK3742">
        <v>7.9267231425706903</v>
      </c>
      <c r="AL3742">
        <v>91.590512282937098</v>
      </c>
      <c r="AM3742">
        <v>117.847847533554</v>
      </c>
      <c r="AN3742">
        <v>0.99999996389780998</v>
      </c>
    </row>
    <row r="3743" spans="1:40" x14ac:dyDescent="0.25">
      <c r="A3743" t="str">
        <f>"20190305135704413"</f>
        <v>20190305135704413</v>
      </c>
      <c r="B3743" t="str">
        <f>"1551765424405936"</f>
        <v>1551765424405936</v>
      </c>
      <c r="C3743" t="s">
        <v>40</v>
      </c>
      <c r="D3743">
        <v>4.3975780000000002</v>
      </c>
      <c r="E3743">
        <v>0.3732277</v>
      </c>
      <c r="F3743" t="s">
        <v>78</v>
      </c>
      <c r="G3743">
        <v>-407.95569999999998</v>
      </c>
      <c r="H3743" s="1">
        <v>-3.9437110000000001E-6</v>
      </c>
      <c r="I3743">
        <v>28.714089999999999</v>
      </c>
      <c r="J3743">
        <v>-415.95319999999998</v>
      </c>
      <c r="K3743">
        <v>1.1190500000000001</v>
      </c>
      <c r="L3743">
        <v>31.234069999999999</v>
      </c>
      <c r="M3743">
        <v>0.4423803</v>
      </c>
      <c r="N3743">
        <v>-3.342229E-2</v>
      </c>
      <c r="O3743">
        <v>-0.89620469999999897</v>
      </c>
      <c r="P3743">
        <v>0.81140389999999996</v>
      </c>
      <c r="Q3743">
        <v>-4.5239439999999999E-2</v>
      </c>
      <c r="R3743">
        <v>-0.58273299999999995</v>
      </c>
      <c r="S3743">
        <v>2.9864199999999999</v>
      </c>
      <c r="T3743">
        <v>-0.41333910000000001</v>
      </c>
      <c r="U3743">
        <v>-0.98422240000000005</v>
      </c>
      <c r="V3743">
        <v>-0.4692964</v>
      </c>
      <c r="W3743">
        <v>-2.421661E-2</v>
      </c>
      <c r="X3743">
        <v>0.88270859999999995</v>
      </c>
      <c r="Y3743">
        <v>-0.70498490000000003</v>
      </c>
      <c r="Z3743">
        <v>0.11731999999999999</v>
      </c>
      <c r="AA3743">
        <v>0.69945139999999995</v>
      </c>
      <c r="AB3743">
        <v>18</v>
      </c>
      <c r="AC3743">
        <v>7.9974999999999996</v>
      </c>
      <c r="AD3743">
        <v>-1.1190539437109901</v>
      </c>
      <c r="AE3743">
        <v>-2.5199799999999999</v>
      </c>
      <c r="AF3743">
        <v>-5.9500157562781597</v>
      </c>
      <c r="AG3743">
        <v>-1.1190539437109901</v>
      </c>
      <c r="AH3743">
        <v>5.6981060427959402</v>
      </c>
      <c r="AI3743">
        <v>97.735373517114596</v>
      </c>
      <c r="AJ3743">
        <v>136.238921953644</v>
      </c>
      <c r="AK3743">
        <v>8.3140472517205009</v>
      </c>
      <c r="AL3743">
        <v>91.387645179801197</v>
      </c>
      <c r="AM3743">
        <v>117.9975665529</v>
      </c>
      <c r="AN3743">
        <v>1.0000000138834</v>
      </c>
    </row>
    <row r="3744" spans="1:40" x14ac:dyDescent="0.25">
      <c r="A3744" t="str">
        <f>"20190305135704435"</f>
        <v>20190305135704435</v>
      </c>
      <c r="B3744" t="str">
        <f>"1551765424426432"</f>
        <v>1551765424426432</v>
      </c>
      <c r="C3744" t="s">
        <v>40</v>
      </c>
      <c r="D3744">
        <v>4.4192150000000003</v>
      </c>
      <c r="E3744">
        <v>0.37329489999999999</v>
      </c>
      <c r="F3744" t="s">
        <v>78</v>
      </c>
      <c r="G3744">
        <v>-407.51780000000002</v>
      </c>
      <c r="H3744" s="1">
        <v>-4.146606E-6</v>
      </c>
      <c r="I3744">
        <v>28.615919999999999</v>
      </c>
      <c r="J3744">
        <v>-415.86559999999997</v>
      </c>
      <c r="K3744">
        <v>1.1188899999999999</v>
      </c>
      <c r="L3744">
        <v>31.096219999999999</v>
      </c>
      <c r="M3744">
        <v>0.45487640000000001</v>
      </c>
      <c r="N3744">
        <v>-3.2878310000000001E-2</v>
      </c>
      <c r="O3744">
        <v>-0.88994759999999995</v>
      </c>
      <c r="P3744">
        <v>0.82223649999999904</v>
      </c>
      <c r="Q3744">
        <v>-4.2766319999999997E-2</v>
      </c>
      <c r="R3744">
        <v>-0.56753710000000002</v>
      </c>
      <c r="S3744">
        <v>3.0052189999999999</v>
      </c>
      <c r="T3744">
        <v>-0.39867279999999999</v>
      </c>
      <c r="U3744">
        <v>-0.93273930000000005</v>
      </c>
      <c r="V3744">
        <v>-0.47352339999999998</v>
      </c>
      <c r="W3744">
        <v>-2.2251449999999999E-2</v>
      </c>
      <c r="X3744">
        <v>0.88050010000000001</v>
      </c>
      <c r="Y3744">
        <v>-0.70787529999999999</v>
      </c>
      <c r="Z3744">
        <v>0.11307200000000001</v>
      </c>
      <c r="AA3744">
        <v>0.69722839999999997</v>
      </c>
      <c r="AB3744">
        <v>17</v>
      </c>
      <c r="AC3744">
        <v>8.3477999999999497</v>
      </c>
      <c r="AD3744">
        <v>-1.1188941466059901</v>
      </c>
      <c r="AE3744">
        <v>-2.4803000000000002</v>
      </c>
      <c r="AF3744">
        <v>-6.2019015005910196</v>
      </c>
      <c r="AG3744">
        <v>-1.1188941466059901</v>
      </c>
      <c r="AH3744">
        <v>5.9102356582286504</v>
      </c>
      <c r="AI3744">
        <v>97.440955600382196</v>
      </c>
      <c r="AJ3744">
        <v>136.379442174042</v>
      </c>
      <c r="AK3744">
        <v>8.6398143423420706</v>
      </c>
      <c r="AL3744">
        <v>91.275019427193996</v>
      </c>
      <c r="AM3744">
        <v>118.270881638586</v>
      </c>
      <c r="AN3744">
        <v>0.99999998173733595</v>
      </c>
    </row>
    <row r="3745" spans="1:40" x14ac:dyDescent="0.25">
      <c r="A3745" t="str">
        <f>"20190305135704456"</f>
        <v>20190305135704456</v>
      </c>
      <c r="B3745" t="str">
        <f>"1551765424445952"</f>
        <v>1551765424445952</v>
      </c>
      <c r="C3745" t="s">
        <v>40</v>
      </c>
      <c r="D3745">
        <v>4.4391290000000003</v>
      </c>
      <c r="E3745">
        <v>0.37366509999999997</v>
      </c>
      <c r="F3745" t="s">
        <v>78</v>
      </c>
      <c r="G3745">
        <v>-407.37029999999999</v>
      </c>
      <c r="H3745" s="1">
        <v>-4.222713E-6</v>
      </c>
      <c r="I3745">
        <v>28.6266</v>
      </c>
      <c r="J3745">
        <v>-415.77730000000003</v>
      </c>
      <c r="K3745">
        <v>1.11869</v>
      </c>
      <c r="L3745">
        <v>30.9621</v>
      </c>
      <c r="M3745">
        <v>0.46712979999999998</v>
      </c>
      <c r="N3745">
        <v>-3.229108E-2</v>
      </c>
      <c r="O3745">
        <v>-0.88359900000000002</v>
      </c>
      <c r="P3745">
        <v>0.83212389999999903</v>
      </c>
      <c r="Q3745">
        <v>-4.409184E-2</v>
      </c>
      <c r="R3745">
        <v>-0.55283470000000001</v>
      </c>
      <c r="S3745">
        <v>3.021576</v>
      </c>
      <c r="T3745">
        <v>-0.39796500000000001</v>
      </c>
      <c r="U3745">
        <v>-0.87838749999999999</v>
      </c>
      <c r="V3745">
        <v>-0.47691899999999998</v>
      </c>
      <c r="W3745">
        <v>-2.407223E-2</v>
      </c>
      <c r="X3745">
        <v>0.87861749999999905</v>
      </c>
      <c r="Y3745">
        <v>-0.71072449999999998</v>
      </c>
      <c r="Z3745">
        <v>0.11363819999999999</v>
      </c>
      <c r="AA3745">
        <v>0.6942313</v>
      </c>
      <c r="AB3745">
        <v>17</v>
      </c>
      <c r="AC3745">
        <v>8.4070000000000302</v>
      </c>
      <c r="AD3745">
        <v>-1.1186942227129999</v>
      </c>
      <c r="AE3745">
        <v>-2.3355000000000001</v>
      </c>
      <c r="AF3745">
        <v>-6.23819655394409</v>
      </c>
      <c r="AG3745">
        <v>-1.1186942227129999</v>
      </c>
      <c r="AH3745">
        <v>5.8969950105036197</v>
      </c>
      <c r="AI3745">
        <v>97.424892098708</v>
      </c>
      <c r="AJ3745">
        <v>136.61054394185101</v>
      </c>
      <c r="AK3745">
        <v>8.6568541147160403</v>
      </c>
      <c r="AL3745">
        <v>91.379370480021194</v>
      </c>
      <c r="AM3745">
        <v>118.49338279807201</v>
      </c>
      <c r="AN3745">
        <v>0.99999995806220998</v>
      </c>
    </row>
    <row r="3746" spans="1:40" x14ac:dyDescent="0.25">
      <c r="A3746" t="str">
        <f>"20190305135704478"</f>
        <v>20190305135704478</v>
      </c>
      <c r="B3746" t="str">
        <f>"1551765424476208"</f>
        <v>1551765424476208</v>
      </c>
      <c r="C3746" t="s">
        <v>40</v>
      </c>
      <c r="D3746">
        <v>4.5155310000000002</v>
      </c>
      <c r="E3746">
        <v>0.37408770000000002</v>
      </c>
      <c r="F3746" t="s">
        <v>78</v>
      </c>
      <c r="G3746">
        <v>-407.47199999999998</v>
      </c>
      <c r="H3746" s="1">
        <v>-4.1839709999999999E-6</v>
      </c>
      <c r="I3746">
        <v>28.696370000000002</v>
      </c>
      <c r="J3746">
        <v>-415.68889999999999</v>
      </c>
      <c r="K3746">
        <v>1.1184190000000001</v>
      </c>
      <c r="L3746">
        <v>30.831939999999999</v>
      </c>
      <c r="M3746">
        <v>0.479211</v>
      </c>
      <c r="N3746">
        <v>-3.1634559999999999E-2</v>
      </c>
      <c r="O3746">
        <v>-0.87712950000000001</v>
      </c>
      <c r="P3746">
        <v>0.84148369999999995</v>
      </c>
      <c r="Q3746">
        <v>-4.7436199999999998E-2</v>
      </c>
      <c r="R3746">
        <v>-0.53819629999999996</v>
      </c>
      <c r="S3746">
        <v>3.033722</v>
      </c>
      <c r="T3746">
        <v>-0.40862739999999997</v>
      </c>
      <c r="U3746">
        <v>-0.82760619999999996</v>
      </c>
      <c r="V3746">
        <v>-0.48001440000000001</v>
      </c>
      <c r="W3746">
        <v>-2.7907390000000001E-2</v>
      </c>
      <c r="X3746">
        <v>0.87681659999999995</v>
      </c>
      <c r="Y3746">
        <v>-0.71213139999999997</v>
      </c>
      <c r="Z3746">
        <v>0.1180664</v>
      </c>
      <c r="AA3746">
        <v>0.69204709999999903</v>
      </c>
      <c r="AB3746">
        <v>17</v>
      </c>
      <c r="AC3746">
        <v>8.2169000000000096</v>
      </c>
      <c r="AD3746">
        <v>-1.1184231839709999</v>
      </c>
      <c r="AE3746">
        <v>-2.13557</v>
      </c>
      <c r="AF3746">
        <v>-6.0814532426473003</v>
      </c>
      <c r="AG3746">
        <v>-1.1184231839709999</v>
      </c>
      <c r="AH3746">
        <v>5.7145375822052902</v>
      </c>
      <c r="AI3746">
        <v>97.633419522200398</v>
      </c>
      <c r="AJ3746">
        <v>136.78161741571401</v>
      </c>
      <c r="AK3746">
        <v>8.4196724247078603</v>
      </c>
      <c r="AL3746">
        <v>91.5991832926873</v>
      </c>
      <c r="AM3746">
        <v>118.698558748602</v>
      </c>
      <c r="AN3746">
        <v>0.99999999832976605</v>
      </c>
    </row>
    <row r="3747" spans="1:40" x14ac:dyDescent="0.25">
      <c r="A3747" t="str">
        <f>"20190305135704501"</f>
        <v>20190305135704501</v>
      </c>
      <c r="B3747" t="str">
        <f>"1551765424495727"</f>
        <v>1551765424495727</v>
      </c>
      <c r="C3747" t="s">
        <v>40</v>
      </c>
      <c r="D3747">
        <v>4.5663029999999996</v>
      </c>
      <c r="E3747">
        <v>0.38275609999999999</v>
      </c>
      <c r="F3747" t="s">
        <v>78</v>
      </c>
      <c r="G3747">
        <v>-407.72190000000001</v>
      </c>
      <c r="H3747" s="1">
        <v>-4.0760989999999996E-6</v>
      </c>
      <c r="I3747">
        <v>28.79684</v>
      </c>
      <c r="J3747">
        <v>-415.59500000000003</v>
      </c>
      <c r="K3747">
        <v>1.118088</v>
      </c>
      <c r="L3747">
        <v>30.697970000000002</v>
      </c>
      <c r="M3747">
        <v>0.49185669999999998</v>
      </c>
      <c r="N3747">
        <v>-3.0839419999999999E-2</v>
      </c>
      <c r="O3747">
        <v>-0.87013009999999902</v>
      </c>
      <c r="P3747">
        <v>0.85070089999999998</v>
      </c>
      <c r="Q3747">
        <v>-5.103572E-2</v>
      </c>
      <c r="R3747">
        <v>-0.52316689999999999</v>
      </c>
      <c r="S3747">
        <v>3.0437620000000001</v>
      </c>
      <c r="T3747">
        <v>-0.42728729999999998</v>
      </c>
      <c r="U3747">
        <v>-0.77749630000000003</v>
      </c>
      <c r="V3747">
        <v>-0.48266209999999998</v>
      </c>
      <c r="W3747">
        <v>-3.2055529999999999E-2</v>
      </c>
      <c r="X3747">
        <v>0.87521979999999999</v>
      </c>
      <c r="Y3747">
        <v>-0.71236659999999996</v>
      </c>
      <c r="Z3747">
        <v>0.12522320000000001</v>
      </c>
      <c r="AA3747">
        <v>0.69054539999999998</v>
      </c>
      <c r="AB3747">
        <v>17</v>
      </c>
      <c r="AC3747">
        <v>7.8731000000000204</v>
      </c>
      <c r="AD3747">
        <v>-1.1180920760990001</v>
      </c>
      <c r="AE3747">
        <v>-1.90112999999999</v>
      </c>
      <c r="AF3747">
        <v>-5.8076753637635301</v>
      </c>
      <c r="AG3747">
        <v>-1.1180920760990001</v>
      </c>
      <c r="AH3747">
        <v>5.4258955853668702</v>
      </c>
      <c r="AI3747">
        <v>98.007668123735399</v>
      </c>
      <c r="AJ3747">
        <v>136.94648292558401</v>
      </c>
      <c r="AK3747">
        <v>8.0261800331667708</v>
      </c>
      <c r="AL3747">
        <v>91.8369613062697</v>
      </c>
      <c r="AM3747">
        <v>118.875650315683</v>
      </c>
      <c r="AN3747">
        <v>0.99999997904601501</v>
      </c>
    </row>
    <row r="3748" spans="1:40" x14ac:dyDescent="0.25">
      <c r="A3748" t="str">
        <f>"20190305135704524"</f>
        <v>20190305135704524</v>
      </c>
      <c r="B3748" t="str">
        <f>"1551765424516224"</f>
        <v>1551765424516224</v>
      </c>
      <c r="C3748" t="s">
        <v>40</v>
      </c>
      <c r="D3748">
        <v>4.5045099999999998</v>
      </c>
      <c r="E3748">
        <v>0.38216749999999999</v>
      </c>
      <c r="F3748" t="s">
        <v>78</v>
      </c>
      <c r="G3748">
        <v>-410.63619999999997</v>
      </c>
      <c r="H3748" s="1">
        <v>-1.053313E-5</v>
      </c>
      <c r="I3748">
        <v>29.387309999999999</v>
      </c>
      <c r="J3748">
        <v>-415.49900000000002</v>
      </c>
      <c r="K3748">
        <v>1.1177410000000001</v>
      </c>
      <c r="L3748">
        <v>30.56503</v>
      </c>
      <c r="M3748">
        <v>0.50449709999999903</v>
      </c>
      <c r="N3748">
        <v>-2.9990610000000001E-2</v>
      </c>
      <c r="O3748">
        <v>-0.8628924</v>
      </c>
      <c r="P3748">
        <v>0.85930379999999995</v>
      </c>
      <c r="Q3748">
        <v>-5.2680350000000001E-2</v>
      </c>
      <c r="R3748">
        <v>-0.50874589999999997</v>
      </c>
      <c r="S3748">
        <v>2.998535</v>
      </c>
      <c r="T3748">
        <v>-0.67610099999999995</v>
      </c>
      <c r="U3748">
        <v>-0.79254150000000001</v>
      </c>
      <c r="V3748">
        <v>-0.48455969999999998</v>
      </c>
      <c r="W3748">
        <v>-3.421913E-2</v>
      </c>
      <c r="X3748">
        <v>0.87408859999999999</v>
      </c>
      <c r="Y3748">
        <v>-0.68093059999999905</v>
      </c>
      <c r="Z3748">
        <v>0.20840429999999999</v>
      </c>
      <c r="AA3748">
        <v>0.70206919999999995</v>
      </c>
      <c r="AB3748">
        <v>17</v>
      </c>
      <c r="AC3748">
        <v>4.8628000000000497</v>
      </c>
      <c r="AD3748">
        <v>-1.1177515331299901</v>
      </c>
      <c r="AE3748">
        <v>-1.1777200000000001</v>
      </c>
      <c r="AF3748">
        <v>-3.4322440958350602</v>
      </c>
      <c r="AG3748">
        <v>-1.1177515331299901</v>
      </c>
      <c r="AH3748">
        <v>3.30607838581831</v>
      </c>
      <c r="AI3748">
        <v>103.200024968916</v>
      </c>
      <c r="AJ3748">
        <v>136.07265838982801</v>
      </c>
      <c r="AK3748">
        <v>4.8948771502852004</v>
      </c>
      <c r="AL3748">
        <v>91.960994625046695</v>
      </c>
      <c r="AM3748">
        <v>119.00223015081799</v>
      </c>
      <c r="AN3748">
        <v>0.99999996618600195</v>
      </c>
    </row>
    <row r="3749" spans="1:40" x14ac:dyDescent="0.25">
      <c r="A3749" t="str">
        <f>"20190305135704545"</f>
        <v>20190305135704545</v>
      </c>
      <c r="B3749" t="str">
        <f>"1551765424535744"</f>
        <v>1551765424535744</v>
      </c>
      <c r="C3749" t="s">
        <v>40</v>
      </c>
      <c r="D3749">
        <v>4.5354469999999996</v>
      </c>
      <c r="E3749">
        <v>0.3825288</v>
      </c>
      <c r="F3749" t="s">
        <v>78</v>
      </c>
      <c r="G3749">
        <v>-408.63299999999998</v>
      </c>
      <c r="H3749" s="1">
        <v>-3.6378090000000002E-6</v>
      </c>
      <c r="I3749">
        <v>28.910509999999999</v>
      </c>
      <c r="J3749">
        <v>-415.41</v>
      </c>
      <c r="K3749">
        <v>1.1172740000000001</v>
      </c>
      <c r="L3749">
        <v>30.44501</v>
      </c>
      <c r="M3749">
        <v>0.5154685</v>
      </c>
      <c r="N3749">
        <v>-2.978329E-2</v>
      </c>
      <c r="O3749">
        <v>-0.85639069999999995</v>
      </c>
      <c r="P3749">
        <v>0.86620490000000006</v>
      </c>
      <c r="Q3749">
        <v>-5.3910319999999998E-2</v>
      </c>
      <c r="R3749">
        <v>-0.4967723</v>
      </c>
      <c r="S3749">
        <v>3.0289000000000001</v>
      </c>
      <c r="T3749">
        <v>-0.49309239999999999</v>
      </c>
      <c r="U3749">
        <v>-0.72988889999999995</v>
      </c>
      <c r="V3749">
        <v>-0.4854948</v>
      </c>
      <c r="W3749">
        <v>-3.5011500000000001E-2</v>
      </c>
      <c r="X3749">
        <v>0.87353819999999904</v>
      </c>
      <c r="Y3749">
        <v>-0.69916250000000002</v>
      </c>
      <c r="Z3749">
        <v>0.1485041</v>
      </c>
      <c r="AA3749">
        <v>0.69936999999999905</v>
      </c>
      <c r="AB3749">
        <v>17</v>
      </c>
      <c r="AC3749">
        <v>6.7769999999999797</v>
      </c>
      <c r="AD3749">
        <v>-1.1172776378089999</v>
      </c>
      <c r="AE3749">
        <v>-1.53449999999999</v>
      </c>
      <c r="AF3749">
        <v>-4.8886068669604299</v>
      </c>
      <c r="AG3749">
        <v>-1.1172776378089999</v>
      </c>
      <c r="AH3749">
        <v>4.6883806374150998</v>
      </c>
      <c r="AI3749">
        <v>99.366595547394894</v>
      </c>
      <c r="AJ3749">
        <v>136.19770928316601</v>
      </c>
      <c r="AK3749">
        <v>6.8649617202814399</v>
      </c>
      <c r="AL3749">
        <v>92.0064212476628</v>
      </c>
      <c r="AM3749">
        <v>119.064416860587</v>
      </c>
      <c r="AN3749">
        <v>0.99999999640926496</v>
      </c>
    </row>
    <row r="3750" spans="1:40" x14ac:dyDescent="0.25">
      <c r="A3750" t="str">
        <f>"20190305135704568"</f>
        <v>20190305135704568</v>
      </c>
      <c r="B3750" t="str">
        <f>"1551765424556240"</f>
        <v>1551765424556240</v>
      </c>
      <c r="C3750" t="s">
        <v>40</v>
      </c>
      <c r="D3750">
        <v>4.5767480000000003</v>
      </c>
      <c r="E3750">
        <v>0.38321699999999997</v>
      </c>
      <c r="F3750" t="s">
        <v>78</v>
      </c>
      <c r="G3750">
        <v>-408.64229999999998</v>
      </c>
      <c r="H3750" s="1">
        <v>-3.632134E-6</v>
      </c>
      <c r="I3750">
        <v>28.904879999999999</v>
      </c>
      <c r="J3750">
        <v>-415.31970000000001</v>
      </c>
      <c r="K3750">
        <v>1.1167009999999999</v>
      </c>
      <c r="L3750">
        <v>30.32526</v>
      </c>
      <c r="M3750">
        <v>0.5259433</v>
      </c>
      <c r="N3750">
        <v>-3.012693E-2</v>
      </c>
      <c r="O3750">
        <v>-0.84998600000000002</v>
      </c>
      <c r="P3750">
        <v>0.87177209999999905</v>
      </c>
      <c r="Q3750">
        <v>-5.4833199999999999E-2</v>
      </c>
      <c r="R3750">
        <v>-0.48683349999999997</v>
      </c>
      <c r="S3750">
        <v>3.0359189999999998</v>
      </c>
      <c r="T3750">
        <v>-0.50120010000000004</v>
      </c>
      <c r="U3750">
        <v>-0.69088749999999999</v>
      </c>
      <c r="V3750">
        <v>-0.48476619999999998</v>
      </c>
      <c r="W3750">
        <v>-3.4675400000000002E-2</v>
      </c>
      <c r="X3750">
        <v>0.87395610000000001</v>
      </c>
      <c r="Y3750">
        <v>-0.69890739999999996</v>
      </c>
      <c r="Z3750">
        <v>0.15109620000000001</v>
      </c>
      <c r="AA3750">
        <v>0.69906959999999996</v>
      </c>
      <c r="AB3750">
        <v>16</v>
      </c>
      <c r="AC3750">
        <v>6.6774000000000298</v>
      </c>
      <c r="AD3750">
        <v>-1.116704632134</v>
      </c>
      <c r="AE3750">
        <v>-1.42037999999999</v>
      </c>
      <c r="AF3750">
        <v>-4.80239566702652</v>
      </c>
      <c r="AG3750">
        <v>-1.116704632134</v>
      </c>
      <c r="AH3750">
        <v>4.5983402940922797</v>
      </c>
      <c r="AI3750">
        <v>99.534047076365496</v>
      </c>
      <c r="AJ3750">
        <v>136.24348519262699</v>
      </c>
      <c r="AK3750">
        <v>6.7420150428768197</v>
      </c>
      <c r="AL3750">
        <v>91.987152511256397</v>
      </c>
      <c r="AM3750">
        <v>119.01626728468</v>
      </c>
      <c r="AN3750">
        <v>0.99999995837740396</v>
      </c>
    </row>
    <row r="3751" spans="1:40" x14ac:dyDescent="0.25">
      <c r="A3751" t="str">
        <f>"20190305135704592"</f>
        <v>20190305135704592</v>
      </c>
      <c r="B3751" t="str">
        <f>"1551765424586496"</f>
        <v>1551765424586496</v>
      </c>
      <c r="C3751" t="s">
        <v>40</v>
      </c>
      <c r="D3751">
        <v>4.5440820000000004</v>
      </c>
      <c r="E3751">
        <v>0.38322070000000003</v>
      </c>
      <c r="F3751" t="s">
        <v>78</v>
      </c>
      <c r="G3751">
        <v>-408.59550000000002</v>
      </c>
      <c r="H3751" s="1">
        <v>-3.6482270000000002E-6</v>
      </c>
      <c r="I3751">
        <v>28.863029999999998</v>
      </c>
      <c r="J3751">
        <v>-415.22539999999998</v>
      </c>
      <c r="K3751">
        <v>1.116385</v>
      </c>
      <c r="L3751">
        <v>30.202940000000002</v>
      </c>
      <c r="M3751">
        <v>0.53654440000000003</v>
      </c>
      <c r="N3751">
        <v>-3.0400159999999999E-2</v>
      </c>
      <c r="O3751">
        <v>-0.84332450000000003</v>
      </c>
      <c r="P3751">
        <v>0.87660210000000005</v>
      </c>
      <c r="Q3751">
        <v>-5.436618E-2</v>
      </c>
      <c r="R3751">
        <v>-0.47813529999999999</v>
      </c>
      <c r="S3751">
        <v>3.0402529999999999</v>
      </c>
      <c r="T3751">
        <v>-0.50490709999999905</v>
      </c>
      <c r="U3751">
        <v>-0.66113279999999996</v>
      </c>
      <c r="V3751">
        <v>-0.48259010000000002</v>
      </c>
      <c r="W3751">
        <v>-3.33438E-2</v>
      </c>
      <c r="X3751">
        <v>0.87521139999999997</v>
      </c>
      <c r="Y3751">
        <v>-0.69659469999999901</v>
      </c>
      <c r="Z3751">
        <v>0.15206749999999999</v>
      </c>
      <c r="AA3751">
        <v>0.70116420000000002</v>
      </c>
      <c r="AB3751">
        <v>16</v>
      </c>
      <c r="AC3751">
        <v>6.6298999999999602</v>
      </c>
      <c r="AD3751">
        <v>-1.116388648227</v>
      </c>
      <c r="AE3751">
        <v>-1.3399099999999999</v>
      </c>
      <c r="AF3751">
        <v>-4.7452212709248203</v>
      </c>
      <c r="AG3751">
        <v>-1.116388648227</v>
      </c>
      <c r="AH3751">
        <v>4.56502335428734</v>
      </c>
      <c r="AI3751">
        <v>99.622771330397896</v>
      </c>
      <c r="AJ3751">
        <v>136.108809873566</v>
      </c>
      <c r="AK3751">
        <v>6.6785392676180599</v>
      </c>
      <c r="AL3751">
        <v>91.910813193143596</v>
      </c>
      <c r="AM3751">
        <v>118.87226845506299</v>
      </c>
      <c r="AN3751">
        <v>1.0000000041532</v>
      </c>
    </row>
    <row r="3752" spans="1:40" x14ac:dyDescent="0.25">
      <c r="A3752" t="str">
        <f>"20190305135704615"</f>
        <v>20190305135704615</v>
      </c>
      <c r="B3752" t="str">
        <f>"1551765424606016"</f>
        <v>1551765424606016</v>
      </c>
      <c r="C3752" t="s">
        <v>40</v>
      </c>
      <c r="D3752">
        <v>4.5269000000000004</v>
      </c>
      <c r="E3752">
        <v>0.38432549999999999</v>
      </c>
      <c r="F3752" t="s">
        <v>78</v>
      </c>
      <c r="G3752">
        <v>-408.41379999999998</v>
      </c>
      <c r="H3752" s="1">
        <v>-3.7272340000000002E-6</v>
      </c>
      <c r="I3752">
        <v>28.793050000000001</v>
      </c>
      <c r="J3752">
        <v>-415.1259</v>
      </c>
      <c r="K3752">
        <v>1.1163650000000001</v>
      </c>
      <c r="L3752">
        <v>30.07751</v>
      </c>
      <c r="M3752">
        <v>0.54816549999999997</v>
      </c>
      <c r="N3752">
        <v>-2.947203E-2</v>
      </c>
      <c r="O3752">
        <v>-0.83585069999999995</v>
      </c>
      <c r="P3752">
        <v>0.88181259999999995</v>
      </c>
      <c r="Q3752">
        <v>-5.1748780000000001E-2</v>
      </c>
      <c r="R3752">
        <v>-0.46875250000000002</v>
      </c>
      <c r="S3752">
        <v>3.0473020000000002</v>
      </c>
      <c r="T3752">
        <v>-0.4994344</v>
      </c>
      <c r="U3752">
        <v>-0.63073729999999995</v>
      </c>
      <c r="V3752">
        <v>-0.47997459999999997</v>
      </c>
      <c r="W3752">
        <v>-3.1657930000000001E-2</v>
      </c>
      <c r="X3752">
        <v>0.87671100000000002</v>
      </c>
      <c r="Y3752">
        <v>-0.6941176</v>
      </c>
      <c r="Z3752">
        <v>0.15050820000000001</v>
      </c>
      <c r="AA3752">
        <v>0.70395169999999996</v>
      </c>
      <c r="AB3752">
        <v>15</v>
      </c>
      <c r="AC3752">
        <v>6.7121000000000199</v>
      </c>
      <c r="AD3752">
        <v>-1.1163687272339999</v>
      </c>
      <c r="AE3752">
        <v>-1.2844599999999899</v>
      </c>
      <c r="AF3752">
        <v>-4.7807697668953404</v>
      </c>
      <c r="AG3752">
        <v>-1.1163687272339999</v>
      </c>
      <c r="AH3752">
        <v>4.63143004782743</v>
      </c>
      <c r="AI3752">
        <v>99.5208605919278</v>
      </c>
      <c r="AJ3752">
        <v>135.909013605637</v>
      </c>
      <c r="AK3752">
        <v>6.7492357335572004</v>
      </c>
      <c r="AL3752">
        <v>91.814168880344795</v>
      </c>
      <c r="AM3752">
        <v>118.69946438264201</v>
      </c>
      <c r="AN3752">
        <v>1.00000000934902</v>
      </c>
    </row>
    <row r="3753" spans="1:40" x14ac:dyDescent="0.25">
      <c r="A3753" t="str">
        <f>"20190305135704636"</f>
        <v>20190305135704636</v>
      </c>
      <c r="B3753" t="str">
        <f>"1551765424626512"</f>
        <v>1551765424626512</v>
      </c>
      <c r="C3753" t="s">
        <v>40</v>
      </c>
      <c r="D3753">
        <v>4.5358000000000001</v>
      </c>
      <c r="E3753">
        <v>0.38424970000000003</v>
      </c>
      <c r="F3753" t="s">
        <v>78</v>
      </c>
      <c r="G3753">
        <v>-406.80610000000001</v>
      </c>
      <c r="H3753" s="1">
        <v>-4.4735149999999998E-6</v>
      </c>
      <c r="I3753">
        <v>28.440519999999999</v>
      </c>
      <c r="J3753">
        <v>-415.03930000000003</v>
      </c>
      <c r="K3753">
        <v>1.1165119999999999</v>
      </c>
      <c r="L3753">
        <v>29.971800000000002</v>
      </c>
      <c r="M3753">
        <v>0.55805550000000004</v>
      </c>
      <c r="N3753">
        <v>-2.8111000000000001E-2</v>
      </c>
      <c r="O3753">
        <v>-0.8293275</v>
      </c>
      <c r="P3753">
        <v>0.88631899999999997</v>
      </c>
      <c r="Q3753">
        <v>-4.6681519999999997E-2</v>
      </c>
      <c r="R3753">
        <v>-0.46071659999999998</v>
      </c>
      <c r="S3753">
        <v>3.0581360000000002</v>
      </c>
      <c r="T3753">
        <v>-0.41034700000000002</v>
      </c>
      <c r="U3753">
        <v>-0.60171509999999995</v>
      </c>
      <c r="V3753">
        <v>-0.47780630000000002</v>
      </c>
      <c r="W3753">
        <v>-2.821034E-2</v>
      </c>
      <c r="X3753">
        <v>0.87801219999999902</v>
      </c>
      <c r="Y3753">
        <v>-0.69720419999999905</v>
      </c>
      <c r="Z3753">
        <v>0.1215475</v>
      </c>
      <c r="AA3753">
        <v>0.70649309999999998</v>
      </c>
      <c r="AB3753">
        <v>15</v>
      </c>
      <c r="AC3753">
        <v>8.2332000000000001</v>
      </c>
      <c r="AD3753">
        <v>-1.1165164735149999</v>
      </c>
      <c r="AE3753">
        <v>-1.53127999999999</v>
      </c>
      <c r="AF3753">
        <v>-5.87147188188443</v>
      </c>
      <c r="AG3753">
        <v>-1.1165164735149999</v>
      </c>
      <c r="AH3753">
        <v>5.76436786425639</v>
      </c>
      <c r="AI3753">
        <v>97.727554784655595</v>
      </c>
      <c r="AJ3753">
        <v>135.52737361564201</v>
      </c>
      <c r="AK3753">
        <v>8.3035370758407296</v>
      </c>
      <c r="AL3753">
        <v>91.616547796934</v>
      </c>
      <c r="AM3753">
        <v>118.55463265554801</v>
      </c>
      <c r="AN3753">
        <v>1.0000000534757201</v>
      </c>
    </row>
    <row r="3754" spans="1:40" x14ac:dyDescent="0.25">
      <c r="A3754" t="str">
        <f>"20190305135704657"</f>
        <v>20190305135704657</v>
      </c>
      <c r="B3754" t="str">
        <f>"1551765424646048"</f>
        <v>1551765424646048</v>
      </c>
      <c r="C3754" t="s">
        <v>40</v>
      </c>
      <c r="D3754">
        <v>4.5701679999999998</v>
      </c>
      <c r="E3754">
        <v>0.38411420000000002</v>
      </c>
      <c r="F3754" t="s">
        <v>78</v>
      </c>
      <c r="G3754">
        <v>-406.40870000000001</v>
      </c>
      <c r="H3754" s="1">
        <v>-4.6583690000000004E-6</v>
      </c>
      <c r="I3754">
        <v>28.355699999999999</v>
      </c>
      <c r="J3754">
        <v>-414.95119999999997</v>
      </c>
      <c r="K3754">
        <v>1.1165769999999999</v>
      </c>
      <c r="L3754">
        <v>29.867609999999999</v>
      </c>
      <c r="M3754">
        <v>0.56769879999999995</v>
      </c>
      <c r="N3754">
        <v>-2.6951869999999999E-2</v>
      </c>
      <c r="O3754">
        <v>-0.82279500000000005</v>
      </c>
      <c r="P3754">
        <v>0.89148209999999894</v>
      </c>
      <c r="Q3754">
        <v>-4.3472530000000002E-2</v>
      </c>
      <c r="R3754">
        <v>-0.45096609999999998</v>
      </c>
      <c r="S3754">
        <v>3.0655519999999998</v>
      </c>
      <c r="T3754">
        <v>-0.39658450000000001</v>
      </c>
      <c r="U3754">
        <v>-0.57403559999999998</v>
      </c>
      <c r="V3754">
        <v>-0.47735529999999998</v>
      </c>
      <c r="W3754">
        <v>-2.6283730000000002E-2</v>
      </c>
      <c r="X3754">
        <v>0.87831719999999902</v>
      </c>
      <c r="Y3754">
        <v>-0.69600019999999996</v>
      </c>
      <c r="Z3754">
        <v>0.117419</v>
      </c>
      <c r="AA3754">
        <v>0.70837589999999995</v>
      </c>
      <c r="AB3754">
        <v>15</v>
      </c>
      <c r="AC3754">
        <v>8.5424999999999596</v>
      </c>
      <c r="AD3754">
        <v>-1.116581658369</v>
      </c>
      <c r="AE3754">
        <v>-1.5119100000000001</v>
      </c>
      <c r="AF3754">
        <v>-6.0720698342987101</v>
      </c>
      <c r="AG3754">
        <v>-1.116581658369</v>
      </c>
      <c r="AH3754">
        <v>5.9964370222841996</v>
      </c>
      <c r="AI3754">
        <v>97.454284551736805</v>
      </c>
      <c r="AJ3754">
        <v>135.35906547863499</v>
      </c>
      <c r="AK3754">
        <v>8.6066278898664592</v>
      </c>
      <c r="AL3754">
        <v>91.506120230507406</v>
      </c>
      <c r="AM3754">
        <v>118.52357161722099</v>
      </c>
      <c r="AN3754">
        <v>1.00000001035832</v>
      </c>
    </row>
    <row r="3755" spans="1:40" x14ac:dyDescent="0.25">
      <c r="A3755" t="str">
        <f>"20190305135704681"</f>
        <v>20190305135704681</v>
      </c>
      <c r="B3755" t="str">
        <f>"1551765424676287"</f>
        <v>1551765424676287</v>
      </c>
      <c r="C3755" t="s">
        <v>40</v>
      </c>
      <c r="D3755">
        <v>4.6059999999999999</v>
      </c>
      <c r="E3755">
        <v>0.3837487</v>
      </c>
      <c r="F3755" t="s">
        <v>78</v>
      </c>
      <c r="G3755">
        <v>-406.02449999999999</v>
      </c>
      <c r="H3755" s="1">
        <v>-4.8415860000000004E-6</v>
      </c>
      <c r="I3755">
        <v>28.2988</v>
      </c>
      <c r="J3755">
        <v>-414.8537</v>
      </c>
      <c r="K3755">
        <v>1.116393</v>
      </c>
      <c r="L3755">
        <v>29.755490000000002</v>
      </c>
      <c r="M3755">
        <v>0.57817510000000005</v>
      </c>
      <c r="N3755">
        <v>-2.6018969999999999E-2</v>
      </c>
      <c r="O3755">
        <v>-0.8154979</v>
      </c>
      <c r="P3755">
        <v>0.89680919999999897</v>
      </c>
      <c r="Q3755">
        <v>-4.3111900000000002E-2</v>
      </c>
      <c r="R3755">
        <v>-0.4403127</v>
      </c>
      <c r="S3755">
        <v>3.0732119999999998</v>
      </c>
      <c r="T3755">
        <v>-0.38440819999999998</v>
      </c>
      <c r="U3755">
        <v>-0.54010009999999997</v>
      </c>
      <c r="V3755">
        <v>-0.4766167</v>
      </c>
      <c r="W3755">
        <v>-2.6621229999999999E-2</v>
      </c>
      <c r="X3755">
        <v>0.87870809999999999</v>
      </c>
      <c r="Y3755">
        <v>-0.69531239999999905</v>
      </c>
      <c r="Z3755">
        <v>0.113729</v>
      </c>
      <c r="AA3755">
        <v>0.70965239999999996</v>
      </c>
      <c r="AB3755">
        <v>15</v>
      </c>
      <c r="AC3755">
        <v>8.8292000000000108</v>
      </c>
      <c r="AD3755">
        <v>-1.1163978415860001</v>
      </c>
      <c r="AE3755">
        <v>-1.45669</v>
      </c>
      <c r="AF3755">
        <v>-6.2626503328213303</v>
      </c>
      <c r="AG3755">
        <v>-1.1163978415860001</v>
      </c>
      <c r="AH3755">
        <v>6.1984072138265098</v>
      </c>
      <c r="AI3755">
        <v>97.220846194536605</v>
      </c>
      <c r="AJ3755">
        <v>135.29538640330799</v>
      </c>
      <c r="AK3755">
        <v>8.8818570873608191</v>
      </c>
      <c r="AL3755">
        <v>91.525464269414201</v>
      </c>
      <c r="AM3755">
        <v>118.47567760202401</v>
      </c>
      <c r="AN3755">
        <v>1.0000000468056001</v>
      </c>
    </row>
    <row r="3756" spans="1:40" x14ac:dyDescent="0.25">
      <c r="A3756" t="str">
        <f>"20190305135704701"</f>
        <v>20190305135704701</v>
      </c>
      <c r="B3756" t="str">
        <f>"1551765424695809"</f>
        <v>1551765424695809</v>
      </c>
      <c r="C3756" t="s">
        <v>40</v>
      </c>
      <c r="D3756">
        <v>4.4986610000000002</v>
      </c>
      <c r="E3756">
        <v>0.38458730000000002</v>
      </c>
      <c r="F3756" t="s">
        <v>78</v>
      </c>
      <c r="G3756">
        <v>-405.95949999999999</v>
      </c>
      <c r="H3756" s="1">
        <v>-4.8758339999999996E-6</v>
      </c>
      <c r="I3756">
        <v>28.307510000000001</v>
      </c>
      <c r="J3756">
        <v>-414.75920000000002</v>
      </c>
      <c r="K3756">
        <v>1.115996</v>
      </c>
      <c r="L3756">
        <v>29.649049999999999</v>
      </c>
      <c r="M3756">
        <v>0.58861949999999996</v>
      </c>
      <c r="N3756">
        <v>-2.4746540000000001E-2</v>
      </c>
      <c r="O3756">
        <v>-0.80803130000000001</v>
      </c>
      <c r="P3756">
        <v>0.90142690000000003</v>
      </c>
      <c r="Q3756">
        <v>-4.568055E-2</v>
      </c>
      <c r="R3756">
        <v>-0.43051460000000003</v>
      </c>
      <c r="S3756">
        <v>3.0804140000000002</v>
      </c>
      <c r="T3756">
        <v>-0.38665329999999998</v>
      </c>
      <c r="U3756">
        <v>-0.50149540000000004</v>
      </c>
      <c r="V3756">
        <v>-0.4747691</v>
      </c>
      <c r="W3756">
        <v>-3.0048470000000001E-2</v>
      </c>
      <c r="X3756">
        <v>0.87959730000000003</v>
      </c>
      <c r="Y3756">
        <v>-0.69492779999999998</v>
      </c>
      <c r="Z3756">
        <v>0.1150534</v>
      </c>
      <c r="AA3756">
        <v>0.70981559999999999</v>
      </c>
      <c r="AB3756">
        <v>15</v>
      </c>
      <c r="AC3756">
        <v>8.7997000000000298</v>
      </c>
      <c r="AD3756">
        <v>-1.1160008758339901</v>
      </c>
      <c r="AE3756">
        <v>-1.34154</v>
      </c>
      <c r="AF3756">
        <v>-6.2248666114835602</v>
      </c>
      <c r="AG3756">
        <v>-1.1160008758339901</v>
      </c>
      <c r="AH3756">
        <v>6.1686378554649499</v>
      </c>
      <c r="AI3756">
        <v>97.257253590031794</v>
      </c>
      <c r="AJ3756">
        <v>135.25994651561999</v>
      </c>
      <c r="AK3756">
        <v>8.8343938828592208</v>
      </c>
      <c r="AL3756">
        <v>91.721909683494601</v>
      </c>
      <c r="AM3756">
        <v>118.358280782318</v>
      </c>
      <c r="AN3756">
        <v>1.00000000951572</v>
      </c>
    </row>
    <row r="3757" spans="1:40" x14ac:dyDescent="0.25">
      <c r="A3757" t="str">
        <f>"20190305135704726"</f>
        <v>20190305135704726</v>
      </c>
      <c r="B3757" t="str">
        <f>"1551765424716304"</f>
        <v>1551765424716304</v>
      </c>
      <c r="C3757" t="s">
        <v>40</v>
      </c>
      <c r="D3757">
        <v>4.9440049999999998</v>
      </c>
      <c r="E3757">
        <v>0.38454329999999998</v>
      </c>
      <c r="F3757" t="s">
        <v>78</v>
      </c>
      <c r="G3757">
        <v>-406.32330000000002</v>
      </c>
      <c r="H3757" s="1">
        <v>-4.7004909999999997E-6</v>
      </c>
      <c r="I3757">
        <v>28.350770000000001</v>
      </c>
      <c r="J3757">
        <v>-414.65379999999999</v>
      </c>
      <c r="K3757">
        <v>1.11554</v>
      </c>
      <c r="L3757">
        <v>29.532710000000002</v>
      </c>
      <c r="M3757">
        <v>0.60039869999999995</v>
      </c>
      <c r="N3757">
        <v>-2.2795989999999999E-2</v>
      </c>
      <c r="O3757">
        <v>-0.79937609999999903</v>
      </c>
      <c r="P3757">
        <v>0.90646260000000001</v>
      </c>
      <c r="Q3757">
        <v>-4.6763140000000002E-2</v>
      </c>
      <c r="R3757">
        <v>-0.41968939999999999</v>
      </c>
      <c r="S3757">
        <v>3.0809329999999999</v>
      </c>
      <c r="T3757">
        <v>-0.40758060000000002</v>
      </c>
      <c r="U3757">
        <v>-0.47415160000000001</v>
      </c>
      <c r="V3757">
        <v>-0.47237040000000002</v>
      </c>
      <c r="W3757">
        <v>-3.2677369999999997E-2</v>
      </c>
      <c r="X3757">
        <v>0.88079419999999897</v>
      </c>
      <c r="Y3757">
        <v>-0.68960310000000002</v>
      </c>
      <c r="Z3757">
        <v>0.1226617</v>
      </c>
      <c r="AA3757">
        <v>0.71372380000000002</v>
      </c>
      <c r="AB3757">
        <v>15</v>
      </c>
      <c r="AC3757">
        <v>8.3304999999999705</v>
      </c>
      <c r="AD3757">
        <v>-1.115544700491</v>
      </c>
      <c r="AE3757">
        <v>-1.18193999999999</v>
      </c>
      <c r="AF3757">
        <v>-5.84830944623448</v>
      </c>
      <c r="AG3757">
        <v>-1.115544700491</v>
      </c>
      <c r="AH3757">
        <v>5.8452313371770099</v>
      </c>
      <c r="AI3757">
        <v>97.683589363468897</v>
      </c>
      <c r="AJ3757">
        <v>135.01508205744199</v>
      </c>
      <c r="AK3757">
        <v>8.3434940368424293</v>
      </c>
      <c r="AL3757">
        <v>91.872608726406895</v>
      </c>
      <c r="AM3757">
        <v>118.20468306597699</v>
      </c>
      <c r="AN3757">
        <v>1.0000000140299501</v>
      </c>
    </row>
    <row r="3758" spans="1:40" x14ac:dyDescent="0.25">
      <c r="A3758" t="str">
        <f>"20190305135704746"</f>
        <v>20190305135704746</v>
      </c>
      <c r="B3758" t="str">
        <f>"1551765424735832"</f>
        <v>1551765424735832</v>
      </c>
      <c r="C3758" t="s">
        <v>40</v>
      </c>
      <c r="D3758">
        <v>5.0390290000000002</v>
      </c>
      <c r="E3758">
        <v>0.4340599</v>
      </c>
      <c r="F3758" t="s">
        <v>78</v>
      </c>
      <c r="G3758">
        <v>-406.23450000000003</v>
      </c>
      <c r="H3758" s="1">
        <v>-4.7437570000000001E-6</v>
      </c>
      <c r="I3758">
        <v>28.3428</v>
      </c>
      <c r="J3758">
        <v>-414.55950000000001</v>
      </c>
      <c r="K3758">
        <v>1.1152690000000001</v>
      </c>
      <c r="L3758">
        <v>29.431090000000001</v>
      </c>
      <c r="M3758">
        <v>0.61041269999999903</v>
      </c>
      <c r="N3758">
        <v>-2.1329879999999999E-2</v>
      </c>
      <c r="O3758">
        <v>-0.79179630000000001</v>
      </c>
      <c r="P3758">
        <v>0.91042520000000005</v>
      </c>
      <c r="Q3758">
        <v>-4.6510830000000003E-2</v>
      </c>
      <c r="R3758">
        <v>-0.4110511</v>
      </c>
      <c r="S3758">
        <v>3.086487</v>
      </c>
      <c r="T3758">
        <v>-0.40895379999999998</v>
      </c>
      <c r="U3758">
        <v>-0.4362183</v>
      </c>
      <c r="V3758">
        <v>-0.46968490000000002</v>
      </c>
      <c r="W3758">
        <v>-3.3568929999999997E-2</v>
      </c>
      <c r="X3758">
        <v>0.88219570000000003</v>
      </c>
      <c r="Y3758">
        <v>-0.6892315</v>
      </c>
      <c r="Z3758">
        <v>0.123691</v>
      </c>
      <c r="AA3758">
        <v>0.71390520000000002</v>
      </c>
      <c r="AB3758">
        <v>15</v>
      </c>
      <c r="AC3758">
        <v>8.3249999999999797</v>
      </c>
      <c r="AD3758">
        <v>-1.1152737437569999</v>
      </c>
      <c r="AE3758">
        <v>-1.08829</v>
      </c>
      <c r="AF3758">
        <v>-5.82594490993025</v>
      </c>
      <c r="AG3758">
        <v>-1.1152737437569999</v>
      </c>
      <c r="AH3758">
        <v>5.8416627612153</v>
      </c>
      <c r="AI3758">
        <v>97.698608089587395</v>
      </c>
      <c r="AJ3758">
        <v>134.92281485440199</v>
      </c>
      <c r="AK3758">
        <v>8.3252923932331306</v>
      </c>
      <c r="AL3758">
        <v>91.9237193948655</v>
      </c>
      <c r="AM3758">
        <v>118.031035014819</v>
      </c>
      <c r="AN3758">
        <v>1.0000000157239199</v>
      </c>
    </row>
    <row r="3759" spans="1:40" x14ac:dyDescent="0.25">
      <c r="A3759" t="str">
        <f>"20190305135704769"</f>
        <v>20190305135704769</v>
      </c>
      <c r="B3759" t="str">
        <f>"1551765424766080"</f>
        <v>1551765424766080</v>
      </c>
      <c r="C3759" t="s">
        <v>40</v>
      </c>
      <c r="D3759">
        <v>4.9623059999999999</v>
      </c>
      <c r="E3759">
        <v>0.50670009999999999</v>
      </c>
      <c r="F3759" t="s">
        <v>41</v>
      </c>
      <c r="G3759">
        <v>-413.68060000000003</v>
      </c>
      <c r="H3759">
        <v>0.98928519999999998</v>
      </c>
      <c r="I3759">
        <v>29.200089999999999</v>
      </c>
      <c r="J3759">
        <v>-414.459</v>
      </c>
      <c r="K3759">
        <v>1.1150599999999999</v>
      </c>
      <c r="L3759">
        <v>29.324860000000001</v>
      </c>
      <c r="M3759">
        <v>0.62042159999999902</v>
      </c>
      <c r="N3759">
        <v>-2.0314800000000001E-2</v>
      </c>
      <c r="O3759">
        <v>-0.78400550000000002</v>
      </c>
      <c r="P3759">
        <v>0.91384069999999995</v>
      </c>
      <c r="Q3759">
        <v>-4.5486890000000002E-2</v>
      </c>
      <c r="R3759">
        <v>-0.40351759999999998</v>
      </c>
      <c r="S3759">
        <v>2.926666</v>
      </c>
      <c r="T3759">
        <v>-0.41945539999999998</v>
      </c>
      <c r="U3759">
        <v>-0.76873780000000003</v>
      </c>
      <c r="V3759">
        <v>-0.46583429999999998</v>
      </c>
      <c r="W3759">
        <v>-3.3165380000000001E-2</v>
      </c>
      <c r="X3759">
        <v>0.88425019999999999</v>
      </c>
      <c r="Y3759">
        <v>-0.591221</v>
      </c>
      <c r="Z3759">
        <v>0.1243295</v>
      </c>
      <c r="AA3759">
        <v>0.79686889999999999</v>
      </c>
      <c r="AB3759">
        <v>15</v>
      </c>
      <c r="AC3759">
        <v>0.778399999999976</v>
      </c>
      <c r="AD3759">
        <v>-0.12577479999999999</v>
      </c>
      <c r="AE3759">
        <v>-0.124769999999994</v>
      </c>
      <c r="AF3759">
        <v>-0.51974007828706803</v>
      </c>
      <c r="AG3759">
        <v>-0.12577479999999999</v>
      </c>
      <c r="AH3759">
        <v>0.56645745300651995</v>
      </c>
      <c r="AI3759">
        <v>99.291598987658105</v>
      </c>
      <c r="AJ3759">
        <v>132.53722537527099</v>
      </c>
      <c r="AK3759">
        <v>0.77898850784817197</v>
      </c>
      <c r="AL3759">
        <v>91.900584874938303</v>
      </c>
      <c r="AM3759">
        <v>117.78083429545499</v>
      </c>
      <c r="AN3759">
        <v>0.99999997684353603</v>
      </c>
    </row>
    <row r="3760" spans="1:40" x14ac:dyDescent="0.25">
      <c r="A3760" t="str">
        <f>"20190305135704794"</f>
        <v>20190305135704794</v>
      </c>
      <c r="B3760" t="str">
        <f>"1551765424786575"</f>
        <v>1551765424786575</v>
      </c>
      <c r="C3760" t="s">
        <v>40</v>
      </c>
      <c r="D3760">
        <v>4.9409999999999998</v>
      </c>
      <c r="E3760">
        <v>0.50652070000000005</v>
      </c>
      <c r="F3760" t="s">
        <v>78</v>
      </c>
      <c r="G3760">
        <v>-405.50700000000001</v>
      </c>
      <c r="H3760" s="1">
        <v>-4.5356399999999997E-6</v>
      </c>
      <c r="I3760">
        <v>25.1173</v>
      </c>
      <c r="J3760">
        <v>-414.34660000000002</v>
      </c>
      <c r="K3760">
        <v>1.1148910000000001</v>
      </c>
      <c r="L3760">
        <v>29.208950000000002</v>
      </c>
      <c r="M3760">
        <v>0.6311272</v>
      </c>
      <c r="N3760">
        <v>-1.9460749999999999E-2</v>
      </c>
      <c r="O3760">
        <v>-0.7754356</v>
      </c>
      <c r="P3760">
        <v>0.91674109999999998</v>
      </c>
      <c r="Q3760">
        <v>-4.4139749999999998E-2</v>
      </c>
      <c r="R3760">
        <v>-0.39703660000000002</v>
      </c>
      <c r="S3760">
        <v>2.704742</v>
      </c>
      <c r="T3760">
        <v>-0.33690550000000002</v>
      </c>
      <c r="U3760">
        <v>-1.27127099999999</v>
      </c>
      <c r="V3760">
        <v>-0.46003490000000002</v>
      </c>
      <c r="W3760">
        <v>-3.2251750000000003E-2</v>
      </c>
      <c r="X3760">
        <v>0.88731489999999902</v>
      </c>
      <c r="Y3760">
        <v>-0.42838710000000002</v>
      </c>
      <c r="Z3760">
        <v>9.071034E-2</v>
      </c>
      <c r="AA3760">
        <v>0.89903069999999896</v>
      </c>
      <c r="AB3760">
        <v>15</v>
      </c>
      <c r="AC3760">
        <v>8.8396000000000701</v>
      </c>
      <c r="AD3760">
        <v>-1.1148955356399901</v>
      </c>
      <c r="AE3760">
        <v>-4.0916499999999996</v>
      </c>
      <c r="AF3760">
        <v>-4.2177415940630398</v>
      </c>
      <c r="AG3760">
        <v>-1.1148955356399901</v>
      </c>
      <c r="AH3760">
        <v>8.6401858827970095</v>
      </c>
      <c r="AI3760">
        <v>96.614339665918706</v>
      </c>
      <c r="AJ3760">
        <v>116.019503490204</v>
      </c>
      <c r="AK3760">
        <v>9.67910885872063</v>
      </c>
      <c r="AL3760">
        <v>91.848209646633805</v>
      </c>
      <c r="AM3760">
        <v>117.40481167617</v>
      </c>
      <c r="AN3760">
        <v>1.0000000081790399</v>
      </c>
    </row>
    <row r="3761" spans="1:40" x14ac:dyDescent="0.25">
      <c r="A3761" t="str">
        <f>"20190305135704816"</f>
        <v>20190305135704816</v>
      </c>
      <c r="B3761" t="str">
        <f>"1551765424806096"</f>
        <v>1551765424806096</v>
      </c>
      <c r="C3761" t="s">
        <v>40</v>
      </c>
      <c r="D3761">
        <v>4.9844670000000004</v>
      </c>
      <c r="E3761">
        <v>0.50612069999999998</v>
      </c>
      <c r="F3761" t="s">
        <v>78</v>
      </c>
      <c r="G3761">
        <v>-405.1902</v>
      </c>
      <c r="H3761" s="1">
        <v>-4.6730540000000002E-6</v>
      </c>
      <c r="I3761">
        <v>24.99372</v>
      </c>
      <c r="J3761">
        <v>-414.23869999999999</v>
      </c>
      <c r="K3761">
        <v>1.1148089999999999</v>
      </c>
      <c r="L3761">
        <v>29.10013</v>
      </c>
      <c r="M3761">
        <v>0.64112369999999996</v>
      </c>
      <c r="N3761">
        <v>-1.85822E-2</v>
      </c>
      <c r="O3761">
        <v>-0.76721300000000003</v>
      </c>
      <c r="P3761">
        <v>0.91917400000000005</v>
      </c>
      <c r="Q3761">
        <v>-4.2242149999999999E-2</v>
      </c>
      <c r="R3761">
        <v>-0.3915804</v>
      </c>
      <c r="S3761">
        <v>2.715179</v>
      </c>
      <c r="T3761">
        <v>-0.33060719999999999</v>
      </c>
      <c r="U3761">
        <v>-1.2499690000000001</v>
      </c>
      <c r="V3761">
        <v>-0.45390130000000001</v>
      </c>
      <c r="W3761">
        <v>-3.0951320000000001E-2</v>
      </c>
      <c r="X3761">
        <v>0.89051429999999998</v>
      </c>
      <c r="Y3761">
        <v>-0.42404039999999998</v>
      </c>
      <c r="Z3761">
        <v>8.8667910000000003E-2</v>
      </c>
      <c r="AA3761">
        <v>0.90129230000000005</v>
      </c>
      <c r="AB3761">
        <v>15</v>
      </c>
      <c r="AC3761">
        <v>9.04849999999999</v>
      </c>
      <c r="AD3761">
        <v>-1.1148136730539999</v>
      </c>
      <c r="AE3761">
        <v>-4.1064099999999897</v>
      </c>
      <c r="AF3761">
        <v>-4.2565754958017301</v>
      </c>
      <c r="AG3761">
        <v>-1.1148136730539999</v>
      </c>
      <c r="AH3761">
        <v>8.8419486246221997</v>
      </c>
      <c r="AI3761">
        <v>96.481227103166702</v>
      </c>
      <c r="AJ3761">
        <v>115.706486876898</v>
      </c>
      <c r="AK3761">
        <v>9.8762999122923691</v>
      </c>
      <c r="AL3761">
        <v>91.773663191123703</v>
      </c>
      <c r="AM3761">
        <v>117.008253833338</v>
      </c>
      <c r="AN3761">
        <v>1.0000000464279599</v>
      </c>
    </row>
    <row r="3762" spans="1:40" x14ac:dyDescent="0.25">
      <c r="A3762" t="str">
        <f>"20190305135704836"</f>
        <v>20190305135704836</v>
      </c>
      <c r="B3762" t="str">
        <f>"1551765424826126"</f>
        <v>1551765424826126</v>
      </c>
      <c r="C3762" t="s">
        <v>40</v>
      </c>
      <c r="D3762">
        <v>4.9921040000000003</v>
      </c>
      <c r="E3762">
        <v>0.50550039999999996</v>
      </c>
      <c r="F3762" t="s">
        <v>78</v>
      </c>
      <c r="G3762">
        <v>-404.90640000000002</v>
      </c>
      <c r="H3762" s="1">
        <v>-4.7951150000000003E-6</v>
      </c>
      <c r="I3762">
        <v>24.88785</v>
      </c>
      <c r="J3762">
        <v>-414.14389999999997</v>
      </c>
      <c r="K3762">
        <v>1.114816</v>
      </c>
      <c r="L3762">
        <v>29.00656</v>
      </c>
      <c r="M3762">
        <v>0.64957710000000002</v>
      </c>
      <c r="N3762">
        <v>-1.783262E-2</v>
      </c>
      <c r="O3762">
        <v>-0.76008690000000001</v>
      </c>
      <c r="P3762">
        <v>0.92085459999999997</v>
      </c>
      <c r="Q3762">
        <v>-3.8521270000000003E-2</v>
      </c>
      <c r="R3762">
        <v>-0.38799909999999999</v>
      </c>
      <c r="S3762">
        <v>2.7248839999999999</v>
      </c>
      <c r="T3762">
        <v>-0.32550810000000002</v>
      </c>
      <c r="U3762">
        <v>-1.229919</v>
      </c>
      <c r="V3762">
        <v>-0.44767059999999997</v>
      </c>
      <c r="W3762">
        <v>-2.781985E-2</v>
      </c>
      <c r="X3762">
        <v>0.893765699999999</v>
      </c>
      <c r="Y3762">
        <v>-0.4209136</v>
      </c>
      <c r="Z3762">
        <v>8.70277E-2</v>
      </c>
      <c r="AA3762">
        <v>0.90291639999999995</v>
      </c>
      <c r="AB3762">
        <v>15</v>
      </c>
      <c r="AC3762">
        <v>9.2374999999999492</v>
      </c>
      <c r="AD3762">
        <v>-1.114820795115</v>
      </c>
      <c r="AE3762">
        <v>-4.1187099999999903</v>
      </c>
      <c r="AF3762">
        <v>-4.2943987217262798</v>
      </c>
      <c r="AG3762">
        <v>-1.114820795115</v>
      </c>
      <c r="AH3762">
        <v>9.0228733264262093</v>
      </c>
      <c r="AI3762">
        <v>96.365793945869697</v>
      </c>
      <c r="AJ3762">
        <v>115.45191666052899</v>
      </c>
      <c r="AK3762">
        <v>10.054696855257101</v>
      </c>
      <c r="AL3762">
        <v>91.594165640079197</v>
      </c>
      <c r="AM3762">
        <v>116.605436558655</v>
      </c>
      <c r="AN3762">
        <v>1.00000001832743</v>
      </c>
    </row>
    <row r="3763" spans="1:40" x14ac:dyDescent="0.25">
      <c r="A3763" t="str">
        <f>"20190305135704858"</f>
        <v>20190305135704858</v>
      </c>
      <c r="B3763" t="str">
        <f>"1551765424845643"</f>
        <v>1551765424845643</v>
      </c>
      <c r="C3763" t="s">
        <v>40</v>
      </c>
      <c r="D3763">
        <v>4.9819440000000004</v>
      </c>
      <c r="E3763">
        <v>0.50509629999999905</v>
      </c>
      <c r="F3763" t="s">
        <v>78</v>
      </c>
      <c r="G3763">
        <v>-404.5634</v>
      </c>
      <c r="H3763" s="1">
        <v>-4.9300670000000002E-6</v>
      </c>
      <c r="I3763">
        <v>24.748460000000001</v>
      </c>
      <c r="J3763">
        <v>-414.04050000000001</v>
      </c>
      <c r="K3763">
        <v>1.1148769999999999</v>
      </c>
      <c r="L3763">
        <v>28.906980000000001</v>
      </c>
      <c r="M3763">
        <v>0.65836139999999999</v>
      </c>
      <c r="N3763">
        <v>-1.716527E-2</v>
      </c>
      <c r="O3763">
        <v>-0.75250629999999996</v>
      </c>
      <c r="P3763">
        <v>0.92347699999999999</v>
      </c>
      <c r="Q3763">
        <v>-3.484247E-2</v>
      </c>
      <c r="R3763">
        <v>-0.38206909999999999</v>
      </c>
      <c r="S3763">
        <v>2.732758</v>
      </c>
      <c r="T3763">
        <v>-0.3179958</v>
      </c>
      <c r="U3763">
        <v>-1.2145999999999999</v>
      </c>
      <c r="V3763">
        <v>-0.44318600000000002</v>
      </c>
      <c r="W3763">
        <v>-2.4719950000000001E-2</v>
      </c>
      <c r="X3763">
        <v>0.89608880000000002</v>
      </c>
      <c r="Y3763">
        <v>-0.41583510000000001</v>
      </c>
      <c r="Z3763">
        <v>8.4492109999999995E-2</v>
      </c>
      <c r="AA3763">
        <v>0.90550660000000005</v>
      </c>
      <c r="AB3763">
        <v>15</v>
      </c>
      <c r="AC3763">
        <v>9.4771000000000001</v>
      </c>
      <c r="AD3763">
        <v>-1.1148819300669901</v>
      </c>
      <c r="AE3763">
        <v>-4.1585199999999896</v>
      </c>
      <c r="AF3763">
        <v>-4.3440048488721903</v>
      </c>
      <c r="AG3763">
        <v>-1.1148819300669901</v>
      </c>
      <c r="AH3763">
        <v>9.2625603351720898</v>
      </c>
      <c r="AI3763">
        <v>96.219272034383394</v>
      </c>
      <c r="AJ3763">
        <v>115.125888006617</v>
      </c>
      <c r="AK3763">
        <v>10.2911789318677</v>
      </c>
      <c r="AL3763">
        <v>91.416493062722594</v>
      </c>
      <c r="AM3763">
        <v>116.31599633700399</v>
      </c>
      <c r="AN3763">
        <v>1.00000002200472</v>
      </c>
    </row>
    <row r="3764" spans="1:40" x14ac:dyDescent="0.25">
      <c r="A3764" t="str">
        <f>"20190305135704884"</f>
        <v>20190305135704884</v>
      </c>
      <c r="B3764" t="str">
        <f>"1551765424875900"</f>
        <v>1551765424875900</v>
      </c>
      <c r="C3764" t="s">
        <v>40</v>
      </c>
      <c r="D3764">
        <v>4.9440569999999999</v>
      </c>
      <c r="E3764">
        <v>0.50440600000000002</v>
      </c>
      <c r="F3764" t="s">
        <v>78</v>
      </c>
      <c r="G3764">
        <v>-404.05500000000001</v>
      </c>
      <c r="H3764" s="1">
        <v>-5.1330550000000003E-6</v>
      </c>
      <c r="I3764">
        <v>24.55836</v>
      </c>
      <c r="J3764">
        <v>-413.91559999999998</v>
      </c>
      <c r="K3764">
        <v>1.1149249999999999</v>
      </c>
      <c r="L3764">
        <v>28.789580000000001</v>
      </c>
      <c r="M3764">
        <v>0.66853309999999999</v>
      </c>
      <c r="N3764">
        <v>-1.6553910000000002E-2</v>
      </c>
      <c r="O3764">
        <v>-0.74349829999999995</v>
      </c>
      <c r="P3764">
        <v>0.9270931</v>
      </c>
      <c r="Q3764">
        <v>-3.2587329999999998E-2</v>
      </c>
      <c r="R3764">
        <v>-0.37341289999999999</v>
      </c>
      <c r="S3764">
        <v>2.7428279999999998</v>
      </c>
      <c r="T3764">
        <v>-0.30623820000000002</v>
      </c>
      <c r="U3764">
        <v>-1.1944889999999999</v>
      </c>
      <c r="V3764">
        <v>-0.43947120000000001</v>
      </c>
      <c r="W3764">
        <v>-2.2961820000000001E-2</v>
      </c>
      <c r="X3764">
        <v>0.89796309999999901</v>
      </c>
      <c r="Y3764">
        <v>-0.41065639999999998</v>
      </c>
      <c r="Z3764">
        <v>8.06008E-2</v>
      </c>
      <c r="AA3764">
        <v>0.90822069999999999</v>
      </c>
      <c r="AB3764">
        <v>15</v>
      </c>
      <c r="AC3764">
        <v>9.8605999999999696</v>
      </c>
      <c r="AD3764">
        <v>-1.1149301330550001</v>
      </c>
      <c r="AE3764">
        <v>-4.2312199999999898</v>
      </c>
      <c r="AF3764">
        <v>-4.4551445267814298</v>
      </c>
      <c r="AG3764">
        <v>-1.1149301330550001</v>
      </c>
      <c r="AH3764">
        <v>9.6353461263884395</v>
      </c>
      <c r="AI3764">
        <v>95.995725259134204</v>
      </c>
      <c r="AJ3764">
        <v>114.81464778633401</v>
      </c>
      <c r="AK3764">
        <v>10.6738595143187</v>
      </c>
      <c r="AL3764">
        <v>91.315731071391198</v>
      </c>
      <c r="AM3764">
        <v>116.077540753392</v>
      </c>
      <c r="AN3764">
        <v>0.99999995488437998</v>
      </c>
    </row>
    <row r="3765" spans="1:40" x14ac:dyDescent="0.25">
      <c r="A3765" t="str">
        <f>"20190305135704910"</f>
        <v>20190305135704910</v>
      </c>
      <c r="B3765" t="str">
        <f>"1551765424906156"</f>
        <v>1551765424906156</v>
      </c>
      <c r="C3765" t="s">
        <v>40</v>
      </c>
      <c r="D3765">
        <v>4.9222890000000001</v>
      </c>
      <c r="E3765">
        <v>0.50361739999999999</v>
      </c>
      <c r="F3765" t="s">
        <v>78</v>
      </c>
      <c r="G3765">
        <v>-403.63979999999998</v>
      </c>
      <c r="H3765" s="1">
        <v>-5.3072099999999996E-6</v>
      </c>
      <c r="I3765">
        <v>24.45008</v>
      </c>
      <c r="J3765">
        <v>-413.79329999999999</v>
      </c>
      <c r="K3765">
        <v>1.1148769999999999</v>
      </c>
      <c r="L3765">
        <v>28.677520000000001</v>
      </c>
      <c r="M3765">
        <v>0.67821709999999902</v>
      </c>
      <c r="N3765">
        <v>-1.6044309999999999E-2</v>
      </c>
      <c r="O3765">
        <v>-0.73468659999999997</v>
      </c>
      <c r="P3765">
        <v>0.93027070000000001</v>
      </c>
      <c r="Q3765">
        <v>-3.1344240000000002E-2</v>
      </c>
      <c r="R3765">
        <v>-0.36553279999999999</v>
      </c>
      <c r="S3765">
        <v>2.7565309999999998</v>
      </c>
      <c r="T3765">
        <v>-0.29908610000000002</v>
      </c>
      <c r="U3765">
        <v>-1.164093</v>
      </c>
      <c r="V3765">
        <v>-0.43537429999999999</v>
      </c>
      <c r="W3765">
        <v>-2.2026670000000002E-2</v>
      </c>
      <c r="X3765">
        <v>0.899979999999999</v>
      </c>
      <c r="Y3765">
        <v>-0.40906310000000001</v>
      </c>
      <c r="Z3765">
        <v>7.8221109999999996E-2</v>
      </c>
      <c r="AA3765">
        <v>0.90914729999999999</v>
      </c>
      <c r="AB3765">
        <v>15</v>
      </c>
      <c r="AC3765">
        <v>10.153499999999999</v>
      </c>
      <c r="AD3765">
        <v>-1.11488230721</v>
      </c>
      <c r="AE3765">
        <v>-4.2274399999999996</v>
      </c>
      <c r="AF3765">
        <v>-4.5463928941125697</v>
      </c>
      <c r="AG3765">
        <v>-1.11488230721</v>
      </c>
      <c r="AH3765">
        <v>9.8917640128545301</v>
      </c>
      <c r="AI3765">
        <v>95.847234648290396</v>
      </c>
      <c r="AJ3765">
        <v>114.68417228049501</v>
      </c>
      <c r="AK3765">
        <v>10.9434750510325</v>
      </c>
      <c r="AL3765">
        <v>91.262137329134006</v>
      </c>
      <c r="AM3765">
        <v>115.81583868147101</v>
      </c>
      <c r="AN3765">
        <v>0.99999997784588901</v>
      </c>
    </row>
    <row r="3766" spans="1:40" x14ac:dyDescent="0.25">
      <c r="A3766" t="str">
        <f>"20190305135704930"</f>
        <v>20190305135704930</v>
      </c>
      <c r="B3766" t="str">
        <f>"1551765424925676"</f>
        <v>1551765424925676</v>
      </c>
      <c r="C3766" t="s">
        <v>40</v>
      </c>
      <c r="D3766">
        <v>4.7920680000000004</v>
      </c>
      <c r="E3766">
        <v>0.5031177</v>
      </c>
      <c r="F3766" t="s">
        <v>78</v>
      </c>
      <c r="G3766">
        <v>-403.31020000000001</v>
      </c>
      <c r="H3766" s="1">
        <v>-5.4485359999999997E-6</v>
      </c>
      <c r="I3766">
        <v>24.381489999999999</v>
      </c>
      <c r="J3766">
        <v>-413.69200000000001</v>
      </c>
      <c r="K3766">
        <v>1.114765</v>
      </c>
      <c r="L3766">
        <v>28.586790000000001</v>
      </c>
      <c r="M3766">
        <v>0.68603769999999997</v>
      </c>
      <c r="N3766">
        <v>-1.5655530000000001E-2</v>
      </c>
      <c r="O3766">
        <v>-0.72739770000000004</v>
      </c>
      <c r="P3766">
        <v>0.93245940000000005</v>
      </c>
      <c r="Q3766">
        <v>-3.0419419999999999E-2</v>
      </c>
      <c r="R3766">
        <v>-0.35999199999999998</v>
      </c>
      <c r="S3766">
        <v>2.7690429999999999</v>
      </c>
      <c r="T3766">
        <v>-0.29448819999999998</v>
      </c>
      <c r="U3766">
        <v>-1.1347659999999999</v>
      </c>
      <c r="V3766">
        <v>-0.43113809999999902</v>
      </c>
      <c r="W3766">
        <v>-2.1250049999999999E-2</v>
      </c>
      <c r="X3766">
        <v>0.9020357</v>
      </c>
      <c r="Y3766">
        <v>-0.4091361</v>
      </c>
      <c r="Z3766">
        <v>7.669608E-2</v>
      </c>
      <c r="AA3766">
        <v>0.90924439999999995</v>
      </c>
      <c r="AB3766">
        <v>15</v>
      </c>
      <c r="AC3766">
        <v>10.381799999999901</v>
      </c>
      <c r="AD3766">
        <v>-1.1147704485359999</v>
      </c>
      <c r="AE3766">
        <v>-4.2053000000000003</v>
      </c>
      <c r="AF3766">
        <v>-4.6214997294312496</v>
      </c>
      <c r="AG3766">
        <v>-1.1147704485359999</v>
      </c>
      <c r="AH3766">
        <v>10.0826126519031</v>
      </c>
      <c r="AI3766">
        <v>95.739431480439706</v>
      </c>
      <c r="AJ3766">
        <v>114.624984238171</v>
      </c>
      <c r="AK3766">
        <v>11.1471992352509</v>
      </c>
      <c r="AL3766">
        <v>91.217629812679405</v>
      </c>
      <c r="AM3766">
        <v>115.54599174317001</v>
      </c>
      <c r="AN3766">
        <v>1.0000000149855499</v>
      </c>
    </row>
    <row r="3767" spans="1:40" x14ac:dyDescent="0.25">
      <c r="A3767" t="str">
        <f>"20190305135704948"</f>
        <v>20190305135704948</v>
      </c>
      <c r="B3767" t="str">
        <f>"1551765424936412"</f>
        <v>1551765424936412</v>
      </c>
      <c r="C3767" t="s">
        <v>40</v>
      </c>
      <c r="D3767">
        <v>4.8295029999999999</v>
      </c>
      <c r="E3767">
        <v>0.50291620000000004</v>
      </c>
      <c r="F3767" t="s">
        <v>78</v>
      </c>
      <c r="G3767">
        <v>-403.27659999999997</v>
      </c>
      <c r="H3767" s="1">
        <v>-5.4685829999999998E-6</v>
      </c>
      <c r="I3767">
        <v>24.406140000000001</v>
      </c>
      <c r="J3767">
        <v>-413.60129999999998</v>
      </c>
      <c r="K3767">
        <v>1.114633</v>
      </c>
      <c r="L3767">
        <v>28.506900000000002</v>
      </c>
      <c r="M3767">
        <v>0.69283700000000004</v>
      </c>
      <c r="N3767">
        <v>-1.5343580000000001E-2</v>
      </c>
      <c r="O3767">
        <v>-0.72093119999999999</v>
      </c>
      <c r="P3767">
        <v>0.93429280000000003</v>
      </c>
      <c r="Q3767">
        <v>-2.9337329999999998E-2</v>
      </c>
      <c r="R3767">
        <v>-0.35529820000000001</v>
      </c>
      <c r="S3767">
        <v>2.7772220000000001</v>
      </c>
      <c r="T3767">
        <v>-0.29724729999999999</v>
      </c>
      <c r="U3767">
        <v>-1.114746</v>
      </c>
      <c r="V3767">
        <v>-0.42724790000000001</v>
      </c>
      <c r="W3767">
        <v>-2.0240270000000001E-2</v>
      </c>
      <c r="X3767">
        <v>0.90390800000000004</v>
      </c>
      <c r="Y3767">
        <v>-0.40708569999999999</v>
      </c>
      <c r="Z3767">
        <v>7.7207529999999996E-2</v>
      </c>
      <c r="AA3767">
        <v>0.91012099999999996</v>
      </c>
      <c r="AB3767">
        <v>15</v>
      </c>
      <c r="AC3767">
        <v>10.3247</v>
      </c>
      <c r="AD3767">
        <v>-1.114638468583</v>
      </c>
      <c r="AE3767">
        <v>-4.1007600000000002</v>
      </c>
      <c r="AF3767">
        <v>-4.5569070437537604</v>
      </c>
      <c r="AG3767">
        <v>-1.114638468583</v>
      </c>
      <c r="AH3767">
        <v>10.010117269270101</v>
      </c>
      <c r="AI3767">
        <v>95.786839353366204</v>
      </c>
      <c r="AJ3767">
        <v>114.476458385217</v>
      </c>
      <c r="AK3767">
        <v>11.054875325646901</v>
      </c>
      <c r="AL3767">
        <v>91.159761179435506</v>
      </c>
      <c r="AM3767">
        <v>115.298577581066</v>
      </c>
      <c r="AN3767">
        <v>1.0000000545240399</v>
      </c>
    </row>
    <row r="3768" spans="1:40" x14ac:dyDescent="0.25">
      <c r="A3768" t="str">
        <f>"20190305135704971"</f>
        <v>20190305135704971</v>
      </c>
      <c r="B3768" t="str">
        <f>"1551765424966667"</f>
        <v>1551765424966667</v>
      </c>
      <c r="C3768" t="s">
        <v>40</v>
      </c>
      <c r="D3768">
        <v>4.7103099999999998</v>
      </c>
      <c r="E3768">
        <v>0.50322719999999999</v>
      </c>
      <c r="F3768" t="s">
        <v>78</v>
      </c>
      <c r="G3768">
        <v>-403.18950000000001</v>
      </c>
      <c r="H3768" s="1">
        <v>-5.5069719999999899E-6</v>
      </c>
      <c r="I3768">
        <v>24.393979999999999</v>
      </c>
      <c r="J3768">
        <v>-413.4896</v>
      </c>
      <c r="K3768">
        <v>1.114471</v>
      </c>
      <c r="L3768">
        <v>28.4101</v>
      </c>
      <c r="M3768">
        <v>0.70092670000000001</v>
      </c>
      <c r="N3768">
        <v>-1.5011989999999999E-2</v>
      </c>
      <c r="O3768">
        <v>-0.71307549999999997</v>
      </c>
      <c r="P3768">
        <v>0.9368997</v>
      </c>
      <c r="Q3768">
        <v>-2.9028160000000001E-2</v>
      </c>
      <c r="R3768">
        <v>-0.34839140000000002</v>
      </c>
      <c r="S3768">
        <v>2.7834780000000001</v>
      </c>
      <c r="T3768">
        <v>-0.29798750000000002</v>
      </c>
      <c r="U3768">
        <v>-1.099548</v>
      </c>
      <c r="V3768">
        <v>-0.4237399</v>
      </c>
      <c r="W3768">
        <v>-2.0005820000000001E-2</v>
      </c>
      <c r="X3768">
        <v>0.90556300000000001</v>
      </c>
      <c r="Y3768">
        <v>-0.40179429999999999</v>
      </c>
      <c r="Z3768">
        <v>7.6898480000000005E-2</v>
      </c>
      <c r="AA3768">
        <v>0.91249550000000001</v>
      </c>
      <c r="AB3768">
        <v>15</v>
      </c>
      <c r="AC3768">
        <v>10.300099999999899</v>
      </c>
      <c r="AD3768">
        <v>-1.114476506972</v>
      </c>
      <c r="AE3768">
        <v>-4.0161199999999999</v>
      </c>
      <c r="AF3768">
        <v>-4.4846781515794296</v>
      </c>
      <c r="AG3768">
        <v>-1.114476506972</v>
      </c>
      <c r="AH3768">
        <v>9.9830950150254392</v>
      </c>
      <c r="AI3768">
        <v>95.814559515108201</v>
      </c>
      <c r="AJ3768">
        <v>114.190914480212</v>
      </c>
      <c r="AK3768">
        <v>11.000753705399999</v>
      </c>
      <c r="AL3768">
        <v>91.146325479175999</v>
      </c>
      <c r="AM3768">
        <v>115.076293738007</v>
      </c>
      <c r="AN3768">
        <v>1.0000000413274399</v>
      </c>
    </row>
    <row r="3769" spans="1:40" x14ac:dyDescent="0.25">
      <c r="A3769" t="str">
        <f>"20190305135704996"</f>
        <v>20190305135704996</v>
      </c>
      <c r="B3769" t="str">
        <f>"1551765424986187"</f>
        <v>1551765424986187</v>
      </c>
      <c r="C3769" t="s">
        <v>40</v>
      </c>
      <c r="D3769">
        <v>4.7370950000000001</v>
      </c>
      <c r="E3769">
        <v>0.50322210000000001</v>
      </c>
      <c r="F3769" t="s">
        <v>78</v>
      </c>
      <c r="G3769">
        <v>-402.81970000000001</v>
      </c>
      <c r="H3769" s="1">
        <v>-5.658252E-6</v>
      </c>
      <c r="I3769">
        <v>24.276</v>
      </c>
      <c r="J3769">
        <v>-413.35649999999998</v>
      </c>
      <c r="K3769">
        <v>1.114279</v>
      </c>
      <c r="L3769">
        <v>28.297270000000001</v>
      </c>
      <c r="M3769">
        <v>0.7101111</v>
      </c>
      <c r="N3769">
        <v>-1.467831E-2</v>
      </c>
      <c r="O3769">
        <v>-0.70393660000000002</v>
      </c>
      <c r="P3769">
        <v>0.9404941</v>
      </c>
      <c r="Q3769">
        <v>-2.932968E-2</v>
      </c>
      <c r="R3769">
        <v>-0.33854240000000002</v>
      </c>
      <c r="S3769">
        <v>2.7909549999999999</v>
      </c>
      <c r="T3769">
        <v>-0.29151490000000002</v>
      </c>
      <c r="U3769">
        <v>-1.0813600000000001</v>
      </c>
      <c r="V3769">
        <v>-0.42150199999999999</v>
      </c>
      <c r="W3769">
        <v>-2.039579E-2</v>
      </c>
      <c r="X3769">
        <v>0.90659809999999996</v>
      </c>
      <c r="Y3769">
        <v>-0.39614050000000001</v>
      </c>
      <c r="Z3769">
        <v>7.444141E-2</v>
      </c>
      <c r="AA3769">
        <v>0.91516730000000002</v>
      </c>
      <c r="AB3769">
        <v>15</v>
      </c>
      <c r="AC3769">
        <v>10.5367999999999</v>
      </c>
      <c r="AD3769">
        <v>-1.1142846582520001</v>
      </c>
      <c r="AE3769">
        <v>-4.0212700000000003</v>
      </c>
      <c r="AF3769">
        <v>-4.5180783975123298</v>
      </c>
      <c r="AG3769">
        <v>-1.1142846582520001</v>
      </c>
      <c r="AH3769">
        <v>10.2144195705739</v>
      </c>
      <c r="AI3769">
        <v>95.697290218126199</v>
      </c>
      <c r="AJ3769">
        <v>113.86093543656401</v>
      </c>
      <c r="AK3769">
        <v>11.224483501230999</v>
      </c>
      <c r="AL3769">
        <v>91.168673699247194</v>
      </c>
      <c r="AM3769">
        <v>114.934991950465</v>
      </c>
      <c r="AN3769">
        <v>1.00000001958866</v>
      </c>
    </row>
    <row r="3770" spans="1:40" x14ac:dyDescent="0.25">
      <c r="A3770" t="str">
        <f>"20190305135705018"</f>
        <v>20190305135705018</v>
      </c>
      <c r="B3770" t="str">
        <f>"1551765425005707"</f>
        <v>1551765425005707</v>
      </c>
      <c r="C3770" t="s">
        <v>40</v>
      </c>
      <c r="D3770">
        <v>4.6618259999999996</v>
      </c>
      <c r="E3770">
        <v>0.50363720000000001</v>
      </c>
      <c r="F3770" t="s">
        <v>78</v>
      </c>
      <c r="G3770">
        <v>-402.61599999999999</v>
      </c>
      <c r="H3770" s="1">
        <v>-5.7513450000000001E-6</v>
      </c>
      <c r="I3770">
        <v>24.266010000000001</v>
      </c>
      <c r="J3770">
        <v>-413.24779999999998</v>
      </c>
      <c r="K3770">
        <v>1.11408</v>
      </c>
      <c r="L3770">
        <v>28.206630000000001</v>
      </c>
      <c r="M3770">
        <v>0.7171189</v>
      </c>
      <c r="N3770">
        <v>-1.485326E-2</v>
      </c>
      <c r="O3770">
        <v>-0.69679259999999998</v>
      </c>
      <c r="P3770">
        <v>0.94207609999999997</v>
      </c>
      <c r="Q3770">
        <v>-2.9724380000000002E-2</v>
      </c>
      <c r="R3770">
        <v>-0.33407999999999999</v>
      </c>
      <c r="S3770">
        <v>2.8021240000000001</v>
      </c>
      <c r="T3770">
        <v>-0.2907093</v>
      </c>
      <c r="U3770">
        <v>-1.0517270000000001</v>
      </c>
      <c r="V3770">
        <v>-0.41672599999999999</v>
      </c>
      <c r="W3770">
        <v>-2.025803E-2</v>
      </c>
      <c r="X3770">
        <v>0.90880640000000001</v>
      </c>
      <c r="Y3770">
        <v>-0.39668500000000001</v>
      </c>
      <c r="Z3770">
        <v>7.3723230000000001E-2</v>
      </c>
      <c r="AA3770">
        <v>0.91498950000000001</v>
      </c>
      <c r="AB3770">
        <v>15</v>
      </c>
      <c r="AC3770">
        <v>10.631799999999901</v>
      </c>
      <c r="AD3770">
        <v>-1.114085751345</v>
      </c>
      <c r="AE3770">
        <v>-3.9406199999999898</v>
      </c>
      <c r="AF3770">
        <v>-4.53895166875866</v>
      </c>
      <c r="AG3770">
        <v>-1.114085751345</v>
      </c>
      <c r="AH3770">
        <v>10.2720344558841</v>
      </c>
      <c r="AI3770">
        <v>95.665472708410206</v>
      </c>
      <c r="AJ3770">
        <v>113.839420335727</v>
      </c>
      <c r="AK3770">
        <v>11.2852984531002</v>
      </c>
      <c r="AL3770">
        <v>91.160779013063802</v>
      </c>
      <c r="AM3770">
        <v>114.633449184809</v>
      </c>
      <c r="AN3770">
        <v>1.00000000976822</v>
      </c>
    </row>
    <row r="3771" spans="1:40" x14ac:dyDescent="0.25">
      <c r="A3771" t="str">
        <f>"20190305135705039"</f>
        <v>20190305135705039</v>
      </c>
      <c r="B3771" t="str">
        <f>"1551765425035964"</f>
        <v>1551765425035964</v>
      </c>
      <c r="C3771" t="s">
        <v>40</v>
      </c>
      <c r="D3771">
        <v>4.6242190000000001</v>
      </c>
      <c r="E3771">
        <v>0.50434449999999997</v>
      </c>
      <c r="F3771" t="s">
        <v>78</v>
      </c>
      <c r="G3771">
        <v>-402.3152</v>
      </c>
      <c r="H3771" s="1">
        <v>-5.8711789999999998E-6</v>
      </c>
      <c r="I3771">
        <v>24.15192</v>
      </c>
      <c r="J3771">
        <v>-413.14350000000002</v>
      </c>
      <c r="K3771">
        <v>1.113766</v>
      </c>
      <c r="L3771">
        <v>28.120640000000002</v>
      </c>
      <c r="M3771">
        <v>0.72319350000000004</v>
      </c>
      <c r="N3771">
        <v>-1.5862930000000001E-2</v>
      </c>
      <c r="O3771">
        <v>-0.69046359999999996</v>
      </c>
      <c r="P3771">
        <v>0.94316770000000005</v>
      </c>
      <c r="Q3771">
        <v>-2.9676009999999999E-2</v>
      </c>
      <c r="R3771">
        <v>-0.33098949999999999</v>
      </c>
      <c r="S3771">
        <v>2.806305</v>
      </c>
      <c r="T3771">
        <v>-0.28597399999999901</v>
      </c>
      <c r="U3771">
        <v>-1.040802</v>
      </c>
      <c r="V3771">
        <v>-0.41176629999999997</v>
      </c>
      <c r="W3771">
        <v>-1.8615530000000002E-2</v>
      </c>
      <c r="X3771">
        <v>0.91109929999999995</v>
      </c>
      <c r="Y3771">
        <v>-0.39240399999999998</v>
      </c>
      <c r="Z3771">
        <v>7.1285550000000003E-2</v>
      </c>
      <c r="AA3771">
        <v>0.91702649999999997</v>
      </c>
      <c r="AB3771">
        <v>15</v>
      </c>
      <c r="AC3771">
        <v>10.8283</v>
      </c>
      <c r="AD3771">
        <v>-1.1137718711789999</v>
      </c>
      <c r="AE3771">
        <v>-3.9687199999999998</v>
      </c>
      <c r="AF3771">
        <v>-4.5644019513932799</v>
      </c>
      <c r="AG3771">
        <v>-1.1137718711789999</v>
      </c>
      <c r="AH3771">
        <v>10.4748442087499</v>
      </c>
      <c r="AI3771">
        <v>95.567373881847004</v>
      </c>
      <c r="AJ3771">
        <v>113.545112163984</v>
      </c>
      <c r="AK3771">
        <v>11.480270648050601</v>
      </c>
      <c r="AL3771">
        <v>91.066652936680498</v>
      </c>
      <c r="AM3771">
        <v>114.32032696431401</v>
      </c>
      <c r="AN3771">
        <v>0.99999997911668004</v>
      </c>
    </row>
    <row r="3772" spans="1:40" x14ac:dyDescent="0.25">
      <c r="A3772" t="str">
        <f>"20190305135705061"</f>
        <v>20190305135705061</v>
      </c>
      <c r="B3772" t="str">
        <f>"1551765425056459"</f>
        <v>1551765425056459</v>
      </c>
      <c r="C3772" t="s">
        <v>40</v>
      </c>
      <c r="D3772">
        <v>4.6900009999999996</v>
      </c>
      <c r="E3772">
        <v>0.50495020000000002</v>
      </c>
      <c r="F3772" t="s">
        <v>78</v>
      </c>
      <c r="G3772">
        <v>-401.8895</v>
      </c>
      <c r="H3772" s="1">
        <v>-6.0046479999999997E-6</v>
      </c>
      <c r="I3772">
        <v>23.967479999999998</v>
      </c>
      <c r="J3772">
        <v>-413.04379999999998</v>
      </c>
      <c r="K3772">
        <v>1.1134250000000001</v>
      </c>
      <c r="L3772">
        <v>28.038910000000001</v>
      </c>
      <c r="M3772">
        <v>0.72850039999999905</v>
      </c>
      <c r="N3772">
        <v>-1.7206519999999999E-2</v>
      </c>
      <c r="O3772">
        <v>-0.68482949999999998</v>
      </c>
      <c r="P3772">
        <v>0.94402870000000005</v>
      </c>
      <c r="Q3772">
        <v>-2.970509E-2</v>
      </c>
      <c r="R3772">
        <v>-0.32852409999999999</v>
      </c>
      <c r="S3772">
        <v>2.808319</v>
      </c>
      <c r="T3772">
        <v>-0.27793030000000002</v>
      </c>
      <c r="U3772">
        <v>-1.0363770000000001</v>
      </c>
      <c r="V3772">
        <v>-0.40712700000000002</v>
      </c>
      <c r="W3772">
        <v>-1.670429E-2</v>
      </c>
      <c r="X3772">
        <v>0.9132188</v>
      </c>
      <c r="Y3772">
        <v>-0.38705329999999999</v>
      </c>
      <c r="Z3772">
        <v>6.7767229999999998E-2</v>
      </c>
      <c r="AA3772">
        <v>0.91956369999999998</v>
      </c>
      <c r="AB3772">
        <v>15</v>
      </c>
      <c r="AC3772">
        <v>11.1542999999999</v>
      </c>
      <c r="AD3772">
        <v>-1.113431004648</v>
      </c>
      <c r="AE3772">
        <v>-4.0714299999999897</v>
      </c>
      <c r="AF3772">
        <v>-4.6327122578669204</v>
      </c>
      <c r="AG3772">
        <v>-1.113431004648</v>
      </c>
      <c r="AH3772">
        <v>10.8206188916798</v>
      </c>
      <c r="AI3772">
        <v>95.4037560845793</v>
      </c>
      <c r="AJ3772">
        <v>113.177580806368</v>
      </c>
      <c r="AK3772">
        <v>11.823178281041001</v>
      </c>
      <c r="AL3772">
        <v>90.957129830166494</v>
      </c>
      <c r="AM3772">
        <v>114.028048618894</v>
      </c>
      <c r="AN3772">
        <v>1.0000000020534201</v>
      </c>
    </row>
    <row r="3773" spans="1:40" x14ac:dyDescent="0.25">
      <c r="A3773" t="str">
        <f>"20190305135705083"</f>
        <v>20190305135705083</v>
      </c>
      <c r="B3773" t="str">
        <f>"1551765425075980"</f>
        <v>1551765425075980</v>
      </c>
      <c r="C3773" t="s">
        <v>40</v>
      </c>
      <c r="D3773">
        <v>4.5874800000000002</v>
      </c>
      <c r="E3773">
        <v>0.50523899999999999</v>
      </c>
      <c r="F3773" t="s">
        <v>78</v>
      </c>
      <c r="G3773">
        <v>-401.63240000000002</v>
      </c>
      <c r="H3773" s="1">
        <v>-6.0765820000000003E-6</v>
      </c>
      <c r="I3773">
        <v>23.841819999999998</v>
      </c>
      <c r="J3773">
        <v>-412.93400000000003</v>
      </c>
      <c r="K3773">
        <v>1.113138</v>
      </c>
      <c r="L3773">
        <v>27.949490000000001</v>
      </c>
      <c r="M3773">
        <v>0.73374469999999903</v>
      </c>
      <c r="N3773">
        <v>-1.886651E-2</v>
      </c>
      <c r="O3773">
        <v>-0.67916350000000003</v>
      </c>
      <c r="P3773">
        <v>0.94450179999999995</v>
      </c>
      <c r="Q3773">
        <v>-3.17664E-2</v>
      </c>
      <c r="R3773">
        <v>-0.32696779999999998</v>
      </c>
      <c r="S3773">
        <v>2.8096619999999999</v>
      </c>
      <c r="T3773">
        <v>-0.27414329999999998</v>
      </c>
      <c r="U3773">
        <v>-1.0333859999999999</v>
      </c>
      <c r="V3773">
        <v>-0.40155079999999999</v>
      </c>
      <c r="W3773">
        <v>-1.6582340000000001E-2</v>
      </c>
      <c r="X3773">
        <v>0.91568660000000002</v>
      </c>
      <c r="Y3773">
        <v>-0.38111289999999998</v>
      </c>
      <c r="Z3773">
        <v>6.5262639999999997E-2</v>
      </c>
      <c r="AA3773">
        <v>0.92222210000000004</v>
      </c>
      <c r="AB3773">
        <v>14</v>
      </c>
      <c r="AC3773">
        <v>11.301600000000001</v>
      </c>
      <c r="AD3773">
        <v>-1.113144076582</v>
      </c>
      <c r="AE3773">
        <v>-4.1076699999999899</v>
      </c>
      <c r="AF3773">
        <v>-4.6228683168896403</v>
      </c>
      <c r="AG3773">
        <v>-1.113144076582</v>
      </c>
      <c r="AH3773">
        <v>10.990064519719001</v>
      </c>
      <c r="AI3773">
        <v>95.333837108795905</v>
      </c>
      <c r="AJ3773">
        <v>112.813602945809</v>
      </c>
      <c r="AK3773">
        <v>11.974619800148901</v>
      </c>
      <c r="AL3773">
        <v>90.950141658898801</v>
      </c>
      <c r="AM3773">
        <v>113.678617362567</v>
      </c>
      <c r="AN3773">
        <v>0.999999984200037</v>
      </c>
    </row>
    <row r="3774" spans="1:40" x14ac:dyDescent="0.25">
      <c r="A3774" t="str">
        <f>"20190305135705106"</f>
        <v>20190305135705106</v>
      </c>
      <c r="B3774" t="str">
        <f>"1551765425096475"</f>
        <v>1551765425096475</v>
      </c>
      <c r="C3774" t="s">
        <v>40</v>
      </c>
      <c r="D3774">
        <v>4.5719599999999998</v>
      </c>
      <c r="E3774">
        <v>0.50542149999999997</v>
      </c>
      <c r="F3774" t="s">
        <v>78</v>
      </c>
      <c r="G3774">
        <v>-401.63310000000001</v>
      </c>
      <c r="H3774" s="1">
        <v>-6.0723579999999998E-6</v>
      </c>
      <c r="I3774">
        <v>23.806329999999999</v>
      </c>
      <c r="J3774">
        <v>-412.82960000000003</v>
      </c>
      <c r="K3774">
        <v>1.112959</v>
      </c>
      <c r="L3774">
        <v>27.864809999999999</v>
      </c>
      <c r="M3774">
        <v>0.73829230000000001</v>
      </c>
      <c r="N3774">
        <v>-2.0518100000000001E-2</v>
      </c>
      <c r="O3774">
        <v>-0.67416880000000001</v>
      </c>
      <c r="P3774">
        <v>0.94434620000000002</v>
      </c>
      <c r="Q3774">
        <v>-3.5066350000000003E-2</v>
      </c>
      <c r="R3774">
        <v>-0.32707920000000001</v>
      </c>
      <c r="S3774">
        <v>2.8102719999999999</v>
      </c>
      <c r="T3774">
        <v>-0.276812</v>
      </c>
      <c r="U3774">
        <v>-1.0303040000000001</v>
      </c>
      <c r="V3774">
        <v>-0.3951807</v>
      </c>
      <c r="W3774">
        <v>-1.7871829999999998E-2</v>
      </c>
      <c r="X3774">
        <v>0.91842959999999996</v>
      </c>
      <c r="Y3774">
        <v>-0.37583129999999998</v>
      </c>
      <c r="Z3774">
        <v>6.4623050000000001E-2</v>
      </c>
      <c r="AA3774">
        <v>0.92443209999999998</v>
      </c>
      <c r="AB3774">
        <v>14</v>
      </c>
      <c r="AC3774">
        <v>11.1965</v>
      </c>
      <c r="AD3774">
        <v>-1.112965072358</v>
      </c>
      <c r="AE3774">
        <v>-4.0584799999999897</v>
      </c>
      <c r="AF3774">
        <v>-4.5135260393710297</v>
      </c>
      <c r="AG3774">
        <v>-1.112965072358</v>
      </c>
      <c r="AH3774">
        <v>10.9094295306327</v>
      </c>
      <c r="AI3774">
        <v>95.385308589835404</v>
      </c>
      <c r="AJ3774">
        <v>112.476202759202</v>
      </c>
      <c r="AK3774">
        <v>11.858594404237399</v>
      </c>
      <c r="AL3774">
        <v>91.024034888813006</v>
      </c>
      <c r="AM3774">
        <v>113.281180269806</v>
      </c>
      <c r="AN3774">
        <v>1.00000005905809</v>
      </c>
    </row>
    <row r="3775" spans="1:40" x14ac:dyDescent="0.25">
      <c r="A3775" t="str">
        <f>"20190305135705127"</f>
        <v>20190305135705127</v>
      </c>
      <c r="B3775" t="str">
        <f>"1551765425115995"</f>
        <v>1551765425115995</v>
      </c>
      <c r="C3775" t="s">
        <v>40</v>
      </c>
      <c r="D3775">
        <v>4.5376640000000004</v>
      </c>
      <c r="E3775">
        <v>0.52123279999999905</v>
      </c>
      <c r="F3775" t="s">
        <v>78</v>
      </c>
      <c r="G3775">
        <v>-401.87920000000003</v>
      </c>
      <c r="H3775" s="1">
        <v>-5.9943649999999998E-6</v>
      </c>
      <c r="I3775">
        <v>23.845420000000001</v>
      </c>
      <c r="J3775">
        <v>-412.733</v>
      </c>
      <c r="K3775">
        <v>1.1129199999999999</v>
      </c>
      <c r="L3775">
        <v>27.787199999999999</v>
      </c>
      <c r="M3775">
        <v>0.74242249999999999</v>
      </c>
      <c r="N3775">
        <v>-2.2007189999999999E-2</v>
      </c>
      <c r="O3775">
        <v>-0.66957060000000002</v>
      </c>
      <c r="P3775">
        <v>0.94399849999999996</v>
      </c>
      <c r="Q3775">
        <v>-3.7883849999999997E-2</v>
      </c>
      <c r="R3775">
        <v>-0.32776880000000003</v>
      </c>
      <c r="S3775">
        <v>2.809113</v>
      </c>
      <c r="T3775">
        <v>-0.28550959999999997</v>
      </c>
      <c r="U3775">
        <v>-1.0310969999999999</v>
      </c>
      <c r="V3775">
        <v>-0.38875799999999999</v>
      </c>
      <c r="W3775">
        <v>-1.9029259999999999E-2</v>
      </c>
      <c r="X3775">
        <v>0.92114339999999995</v>
      </c>
      <c r="Y3775">
        <v>-0.36960549999999998</v>
      </c>
      <c r="Z3775">
        <v>6.5673200000000001E-2</v>
      </c>
      <c r="AA3775">
        <v>0.92686500000000005</v>
      </c>
      <c r="AB3775">
        <v>14</v>
      </c>
      <c r="AC3775">
        <v>10.8537999999999</v>
      </c>
      <c r="AD3775">
        <v>-1.1129259943650001</v>
      </c>
      <c r="AE3775">
        <v>-3.9417799999999898</v>
      </c>
      <c r="AF3775">
        <v>-4.3020093189777997</v>
      </c>
      <c r="AG3775">
        <v>-1.1129259943650001</v>
      </c>
      <c r="AH3775">
        <v>10.601518970268501</v>
      </c>
      <c r="AI3775">
        <v>95.555916706866896</v>
      </c>
      <c r="AJ3775">
        <v>112.086910118221</v>
      </c>
      <c r="AK3775">
        <v>11.495133445352799</v>
      </c>
      <c r="AL3775">
        <v>91.090362065690798</v>
      </c>
      <c r="AM3775">
        <v>112.881618331081</v>
      </c>
      <c r="AN3775">
        <v>1.0000000293318501</v>
      </c>
    </row>
    <row r="3776" spans="1:40" x14ac:dyDescent="0.25">
      <c r="A3776" t="str">
        <f>"20190305135705150"</f>
        <v>20190305135705150</v>
      </c>
      <c r="B3776" t="str">
        <f>"1551765425146252"</f>
        <v>1551765425146252</v>
      </c>
      <c r="C3776" t="s">
        <v>40</v>
      </c>
      <c r="D3776">
        <v>4.969201</v>
      </c>
      <c r="E3776">
        <v>0.53863249999999996</v>
      </c>
      <c r="F3776" t="s">
        <v>78</v>
      </c>
      <c r="G3776">
        <v>-401.45179999999999</v>
      </c>
      <c r="H3776" s="1">
        <v>-6.05306299999999E-6</v>
      </c>
      <c r="I3776">
        <v>23.09543</v>
      </c>
      <c r="J3776">
        <v>-412.63639999999998</v>
      </c>
      <c r="K3776">
        <v>1.113081</v>
      </c>
      <c r="L3776">
        <v>27.710509999999999</v>
      </c>
      <c r="M3776">
        <v>0.74711079999999996</v>
      </c>
      <c r="N3776">
        <v>-2.3068140000000001E-2</v>
      </c>
      <c r="O3776">
        <v>-0.66429950000000004</v>
      </c>
      <c r="P3776">
        <v>0.94407419999999997</v>
      </c>
      <c r="Q3776">
        <v>-3.8974200000000001E-2</v>
      </c>
      <c r="R3776">
        <v>-0.3274223</v>
      </c>
      <c r="S3776">
        <v>2.767395</v>
      </c>
      <c r="T3776">
        <v>-0.27301249999999999</v>
      </c>
      <c r="U3776">
        <v>-1.1509400000000001</v>
      </c>
      <c r="V3776">
        <v>-0.38255719999999999</v>
      </c>
      <c r="W3776">
        <v>-1.9168899999999999E-2</v>
      </c>
      <c r="X3776">
        <v>0.92373289999999997</v>
      </c>
      <c r="Y3776">
        <v>-0.32389370000000001</v>
      </c>
      <c r="Z3776">
        <v>5.923022E-2</v>
      </c>
      <c r="AA3776">
        <v>0.94423760000000001</v>
      </c>
      <c r="AB3776">
        <v>13</v>
      </c>
      <c r="AC3776">
        <v>11.1845999999999</v>
      </c>
      <c r="AD3776">
        <v>-1.1130870530629999</v>
      </c>
      <c r="AE3776">
        <v>-4.6150799999999901</v>
      </c>
      <c r="AF3776">
        <v>-3.9495808868962801</v>
      </c>
      <c r="AG3776">
        <v>-1.1130870530629999</v>
      </c>
      <c r="AH3776">
        <v>11.329087840852599</v>
      </c>
      <c r="AI3776">
        <v>95.300397553809404</v>
      </c>
      <c r="AJ3776">
        <v>109.219731175379</v>
      </c>
      <c r="AK3776">
        <v>12.0493312376906</v>
      </c>
      <c r="AL3776">
        <v>91.098364379224805</v>
      </c>
      <c r="AM3776">
        <v>112.496532414272</v>
      </c>
      <c r="AN3776">
        <v>0.99999996427072901</v>
      </c>
    </row>
    <row r="3777" spans="1:40" x14ac:dyDescent="0.25">
      <c r="A3777" t="str">
        <f>"20190305135705172"</f>
        <v>20190305135705172</v>
      </c>
      <c r="B3777" t="str">
        <f>"1551765425165772"</f>
        <v>1551765425165772</v>
      </c>
      <c r="C3777" t="s">
        <v>40</v>
      </c>
      <c r="D3777">
        <v>4.7149409999999996</v>
      </c>
      <c r="E3777">
        <v>0.53855609999999998</v>
      </c>
      <c r="F3777" t="s">
        <v>42</v>
      </c>
      <c r="G3777">
        <v>-393.00330000000002</v>
      </c>
      <c r="H3777" s="1">
        <v>-3.479817E-6</v>
      </c>
      <c r="I3777">
        <v>18.534269999999999</v>
      </c>
      <c r="J3777">
        <v>-412.53269999999998</v>
      </c>
      <c r="K3777">
        <v>1.1134230000000001</v>
      </c>
      <c r="L3777">
        <v>27.630189999999999</v>
      </c>
      <c r="M3777">
        <v>0.75289640000000002</v>
      </c>
      <c r="N3777">
        <v>-2.2780769999999999E-2</v>
      </c>
      <c r="O3777">
        <v>-0.65774489999999997</v>
      </c>
      <c r="P3777">
        <v>0.94486060000000005</v>
      </c>
      <c r="Q3777">
        <v>-3.8148300000000003E-2</v>
      </c>
      <c r="R3777">
        <v>-0.32524360000000002</v>
      </c>
      <c r="S3777">
        <v>2.7289729999999999</v>
      </c>
      <c r="T3777">
        <v>-0.15471679999999999</v>
      </c>
      <c r="U3777">
        <v>-1.275482</v>
      </c>
      <c r="V3777">
        <v>-0.37660060000000001</v>
      </c>
      <c r="W3777">
        <v>-1.9132030000000001E-2</v>
      </c>
      <c r="X3777">
        <v>0.92617819999999995</v>
      </c>
      <c r="Y3777">
        <v>-0.27649559999999901</v>
      </c>
      <c r="Z3777">
        <v>2.6646710000000001E-2</v>
      </c>
      <c r="AA3777">
        <v>0.96064570000000005</v>
      </c>
      <c r="AB3777">
        <v>13</v>
      </c>
      <c r="AC3777">
        <v>19.5293999999999</v>
      </c>
      <c r="AD3777">
        <v>-1.1134264798169999</v>
      </c>
      <c r="AE3777">
        <v>-9.0959199999999996</v>
      </c>
      <c r="AF3777">
        <v>-5.9826537380271398</v>
      </c>
      <c r="AG3777">
        <v>-1.1134264798169999</v>
      </c>
      <c r="AH3777">
        <v>20.636655275467401</v>
      </c>
      <c r="AI3777">
        <v>92.9664226659755</v>
      </c>
      <c r="AJ3777">
        <v>106.16709755140501</v>
      </c>
      <c r="AK3777">
        <v>21.5151901045183</v>
      </c>
      <c r="AL3777">
        <v>91.096251399743295</v>
      </c>
      <c r="AM3777">
        <v>112.12753723599999</v>
      </c>
      <c r="AN3777">
        <v>1.00000005232375</v>
      </c>
    </row>
    <row r="3778" spans="1:40" x14ac:dyDescent="0.25">
      <c r="A3778" t="str">
        <f>"20190305135705197"</f>
        <v>20190305135705197</v>
      </c>
      <c r="B3778" t="str">
        <f>"1551765425186268"</f>
        <v>1551765425186268</v>
      </c>
      <c r="C3778" t="s">
        <v>40</v>
      </c>
      <c r="D3778">
        <v>4.4169900000000002</v>
      </c>
      <c r="E3778">
        <v>0.54202130000000004</v>
      </c>
      <c r="F3778" t="s">
        <v>84</v>
      </c>
      <c r="G3778">
        <v>-383.07010000000002</v>
      </c>
      <c r="H3778" s="1">
        <v>-4.2745999999999997E-6</v>
      </c>
      <c r="I3778">
        <v>13.988189999999999</v>
      </c>
      <c r="J3778">
        <v>-412.41950000000003</v>
      </c>
      <c r="K3778">
        <v>1.1137709999999901</v>
      </c>
      <c r="L3778">
        <v>27.545649999999998</v>
      </c>
      <c r="M3778">
        <v>0.75893049999999995</v>
      </c>
      <c r="N3778">
        <v>-2.159254E-2</v>
      </c>
      <c r="O3778">
        <v>-0.65081339999999999</v>
      </c>
      <c r="P3778">
        <v>0.94568529999999995</v>
      </c>
      <c r="Q3778">
        <v>-3.6701629999999999E-2</v>
      </c>
      <c r="R3778">
        <v>-0.32300499999999999</v>
      </c>
      <c r="S3778">
        <v>2.7350159999999999</v>
      </c>
      <c r="T3778">
        <v>-0.1033596</v>
      </c>
      <c r="U3778">
        <v>-1.2663879999999901</v>
      </c>
      <c r="V3778">
        <v>-0.37027680000000002</v>
      </c>
      <c r="W3778">
        <v>-1.945005E-2</v>
      </c>
      <c r="X3778">
        <v>0.92871780000000004</v>
      </c>
      <c r="Y3778">
        <v>-0.27149279999999998</v>
      </c>
      <c r="Z3778">
        <v>1.4127809999999999E-2</v>
      </c>
      <c r="AA3778">
        <v>0.96233679999999999</v>
      </c>
      <c r="AB3778">
        <v>13</v>
      </c>
      <c r="AC3778">
        <v>29.349399999999999</v>
      </c>
      <c r="AD3778">
        <v>-1.11377527459999</v>
      </c>
      <c r="AE3778">
        <v>-13.557460000000001</v>
      </c>
      <c r="AF3778">
        <v>-8.8034201864096193</v>
      </c>
      <c r="AG3778">
        <v>-1.11377527459999</v>
      </c>
      <c r="AH3778">
        <v>31.067912936144801</v>
      </c>
      <c r="AI3778">
        <v>91.975446042548796</v>
      </c>
      <c r="AJ3778">
        <v>105.82063624196</v>
      </c>
      <c r="AK3778">
        <v>32.310306661322002</v>
      </c>
      <c r="AL3778">
        <v>91.114476071842404</v>
      </c>
      <c r="AM3778">
        <v>111.73701093322001</v>
      </c>
      <c r="AN3778">
        <v>0.99999998255004097</v>
      </c>
    </row>
    <row r="3779" spans="1:40" x14ac:dyDescent="0.25">
      <c r="A3779" t="str">
        <f>"20190305135705218"</f>
        <v>20190305135705218</v>
      </c>
      <c r="B3779" t="str">
        <f>"1551765425205788"</f>
        <v>1551765425205788</v>
      </c>
      <c r="C3779" t="s">
        <v>40</v>
      </c>
      <c r="D3779">
        <v>4.4392329999999998</v>
      </c>
      <c r="E3779">
        <v>0.545894199999999</v>
      </c>
      <c r="F3779" t="s">
        <v>84</v>
      </c>
      <c r="G3779">
        <v>-382.83929999999998</v>
      </c>
      <c r="H3779" s="1">
        <v>-4.4521860000000004E-6</v>
      </c>
      <c r="I3779">
        <v>13.601929999999999</v>
      </c>
      <c r="J3779">
        <v>-412.3211</v>
      </c>
      <c r="K3779">
        <v>1.11381</v>
      </c>
      <c r="L3779">
        <v>27.474270000000001</v>
      </c>
      <c r="M3779">
        <v>0.76379989999999998</v>
      </c>
      <c r="N3779">
        <v>-2.0671459999999999E-2</v>
      </c>
      <c r="O3779">
        <v>-0.64512190000000003</v>
      </c>
      <c r="P3779">
        <v>0.94597540000000002</v>
      </c>
      <c r="Q3779">
        <v>-3.6394320000000001E-2</v>
      </c>
      <c r="R3779">
        <v>-0.32218999999999998</v>
      </c>
      <c r="S3779">
        <v>2.7289119999999998</v>
      </c>
      <c r="T3779">
        <v>-0.1027513</v>
      </c>
      <c r="U3779">
        <v>-1.2863770000000001</v>
      </c>
      <c r="V3779">
        <v>-0.36410199999999998</v>
      </c>
      <c r="W3779">
        <v>-2.0199399999999999E-2</v>
      </c>
      <c r="X3779">
        <v>0.93113999999999997</v>
      </c>
      <c r="Y3779">
        <v>-0.257664</v>
      </c>
      <c r="Z3779">
        <v>1.4108529999999999E-2</v>
      </c>
      <c r="AA3779">
        <v>0.96613159999999998</v>
      </c>
      <c r="AB3779">
        <v>13</v>
      </c>
      <c r="AC3779">
        <v>29.4818</v>
      </c>
      <c r="AD3779">
        <v>-1.1138144521860001</v>
      </c>
      <c r="AE3779">
        <v>-13.872339999999999</v>
      </c>
      <c r="AF3779">
        <v>-8.4156295284114595</v>
      </c>
      <c r="AG3779">
        <v>-1.1138144521860001</v>
      </c>
      <c r="AH3779">
        <v>31.4375365617325</v>
      </c>
      <c r="AI3779">
        <v>91.9601486369437</v>
      </c>
      <c r="AJ3779">
        <v>104.986339472438</v>
      </c>
      <c r="AK3779">
        <v>32.563508841395397</v>
      </c>
      <c r="AL3779">
        <v>91.157419095890006</v>
      </c>
      <c r="AM3779">
        <v>111.356899945612</v>
      </c>
      <c r="AN3779">
        <v>0.99999999088217995</v>
      </c>
    </row>
    <row r="3780" spans="1:40" x14ac:dyDescent="0.25">
      <c r="A3780" t="str">
        <f>"20190305135705238"</f>
        <v>20190305135705238</v>
      </c>
      <c r="B3780" t="str">
        <f>"1551765425226284"</f>
        <v>1551765425226284</v>
      </c>
      <c r="C3780" t="s">
        <v>40</v>
      </c>
      <c r="D3780">
        <v>4.7069859999999997</v>
      </c>
      <c r="E3780">
        <v>0.54573570000000005</v>
      </c>
      <c r="F3780" t="s">
        <v>84</v>
      </c>
      <c r="G3780">
        <v>-382.43860000000001</v>
      </c>
      <c r="H3780" s="1">
        <v>-4.739719E-6</v>
      </c>
      <c r="I3780">
        <v>13.04881</v>
      </c>
      <c r="J3780">
        <v>-412.22809999999998</v>
      </c>
      <c r="K3780">
        <v>1.1135569999999999</v>
      </c>
      <c r="L3780">
        <v>27.40802</v>
      </c>
      <c r="M3780">
        <v>0.76819759999999904</v>
      </c>
      <c r="N3780">
        <v>-2.0032870000000001E-2</v>
      </c>
      <c r="O3780">
        <v>-0.63989960000000001</v>
      </c>
      <c r="P3780">
        <v>0.94608720000000002</v>
      </c>
      <c r="Q3780">
        <v>-3.670872E-2</v>
      </c>
      <c r="R3780">
        <v>-0.3218258</v>
      </c>
      <c r="S3780">
        <v>2.7201840000000002</v>
      </c>
      <c r="T3780">
        <v>-0.10138990000000001</v>
      </c>
      <c r="U3780">
        <v>-1.3131409999999999</v>
      </c>
      <c r="V3780">
        <v>-0.35808790000000001</v>
      </c>
      <c r="W3780">
        <v>-2.0930440000000002E-2</v>
      </c>
      <c r="X3780">
        <v>0.93345330000000004</v>
      </c>
      <c r="Y3780">
        <v>-0.24211779999999999</v>
      </c>
      <c r="Z3780">
        <v>1.37146E-2</v>
      </c>
      <c r="AA3780">
        <v>0.97014990000000001</v>
      </c>
      <c r="AB3780">
        <v>13</v>
      </c>
      <c r="AC3780">
        <v>29.789499999999901</v>
      </c>
      <c r="AD3780">
        <v>-1.1135617397190001</v>
      </c>
      <c r="AE3780">
        <v>-14.359209999999999</v>
      </c>
      <c r="AF3780">
        <v>-8.0240906777042103</v>
      </c>
      <c r="AG3780">
        <v>-1.1135617397190001</v>
      </c>
      <c r="AH3780">
        <v>32.042773961235802</v>
      </c>
      <c r="AI3780">
        <v>91.930790543616695</v>
      </c>
      <c r="AJ3780">
        <v>104.058787649555</v>
      </c>
      <c r="AK3780">
        <v>33.050951787853798</v>
      </c>
      <c r="AL3780">
        <v>91.199313398347201</v>
      </c>
      <c r="AM3780">
        <v>110.987627663488</v>
      </c>
      <c r="AN3780">
        <v>1.0000000453629401</v>
      </c>
    </row>
    <row r="3781" spans="1:40" x14ac:dyDescent="0.25">
      <c r="A3781" t="str">
        <f>"20190305135705262"</f>
        <v>20190305135705262</v>
      </c>
      <c r="B3781" t="str">
        <f>"1551765425256539"</f>
        <v>1551765425256539</v>
      </c>
      <c r="C3781" t="s">
        <v>40</v>
      </c>
      <c r="D3781">
        <v>4.7456189999999996</v>
      </c>
      <c r="E3781">
        <v>0.54113</v>
      </c>
      <c r="F3781" t="s">
        <v>84</v>
      </c>
      <c r="G3781">
        <v>-385.50529999999998</v>
      </c>
      <c r="H3781" s="1">
        <v>-3.080829E-6</v>
      </c>
      <c r="I3781">
        <v>14.52609</v>
      </c>
      <c r="J3781">
        <v>-412.12169999999998</v>
      </c>
      <c r="K3781">
        <v>1.1129629999999999</v>
      </c>
      <c r="L3781">
        <v>27.332789999999999</v>
      </c>
      <c r="M3781">
        <v>0.77324510000000002</v>
      </c>
      <c r="N3781">
        <v>-1.9397169999999998E-2</v>
      </c>
      <c r="O3781">
        <v>-0.63381069999999995</v>
      </c>
      <c r="P3781">
        <v>0.94702059999999999</v>
      </c>
      <c r="Q3781">
        <v>-3.7722949999999998E-2</v>
      </c>
      <c r="R3781">
        <v>-0.31895020000000002</v>
      </c>
      <c r="S3781">
        <v>2.7204899999999999</v>
      </c>
      <c r="T3781">
        <v>-0.1133649</v>
      </c>
      <c r="U3781">
        <v>-1.3114319999999999</v>
      </c>
      <c r="V3781">
        <v>-0.35352620000000001</v>
      </c>
      <c r="W3781">
        <v>-2.2059550000000001E-2</v>
      </c>
      <c r="X3781">
        <v>0.93516449999999995</v>
      </c>
      <c r="Y3781">
        <v>-0.23490910000000001</v>
      </c>
      <c r="Z3781">
        <v>1.6733410000000001E-2</v>
      </c>
      <c r="AA3781">
        <v>0.97187330000000005</v>
      </c>
      <c r="AB3781">
        <v>13</v>
      </c>
      <c r="AC3781">
        <v>26.616399999999999</v>
      </c>
      <c r="AD3781">
        <v>-1.1129660808289901</v>
      </c>
      <c r="AE3781">
        <v>-12.806699999999999</v>
      </c>
      <c r="AF3781">
        <v>-6.9584716933002504</v>
      </c>
      <c r="AG3781">
        <v>-1.1129660808289901</v>
      </c>
      <c r="AH3781">
        <v>28.6627260507038</v>
      </c>
      <c r="AI3781">
        <v>92.160955789812306</v>
      </c>
      <c r="AJ3781">
        <v>103.645745146205</v>
      </c>
      <c r="AK3781">
        <v>29.516281718082901</v>
      </c>
      <c r="AL3781">
        <v>91.264021619037194</v>
      </c>
      <c r="AM3781">
        <v>110.70841581763899</v>
      </c>
      <c r="AN3781">
        <v>1.0000000199464401</v>
      </c>
    </row>
    <row r="3782" spans="1:40" x14ac:dyDescent="0.25">
      <c r="A3782" t="str">
        <f>"20190305135705284"</f>
        <v>20190305135705284</v>
      </c>
      <c r="B3782" t="str">
        <f>"1551765425276059"</f>
        <v>1551765425276059</v>
      </c>
      <c r="C3782" t="s">
        <v>40</v>
      </c>
      <c r="D3782">
        <v>4.7386189999999999</v>
      </c>
      <c r="E3782">
        <v>0.5388889</v>
      </c>
      <c r="F3782" t="s">
        <v>42</v>
      </c>
      <c r="G3782">
        <v>-393.4237</v>
      </c>
      <c r="H3782" s="1">
        <v>-3.261891E-6</v>
      </c>
      <c r="I3782">
        <v>18.642420000000001</v>
      </c>
      <c r="J3782">
        <v>-412.01530000000002</v>
      </c>
      <c r="K3782">
        <v>1.1122700000000001</v>
      </c>
      <c r="L3782">
        <v>27.257930000000002</v>
      </c>
      <c r="M3782">
        <v>0.77834159999999997</v>
      </c>
      <c r="N3782">
        <v>-1.872269E-2</v>
      </c>
      <c r="O3782">
        <v>-0.62756190000000001</v>
      </c>
      <c r="P3782">
        <v>0.9483975</v>
      </c>
      <c r="Q3782">
        <v>-3.7698839999999997E-2</v>
      </c>
      <c r="R3782">
        <v>-0.31483489999999997</v>
      </c>
      <c r="S3782">
        <v>2.7334589999999999</v>
      </c>
      <c r="T3782">
        <v>-0.16270470000000001</v>
      </c>
      <c r="U3782">
        <v>-1.2704470000000001</v>
      </c>
      <c r="V3782">
        <v>-0.35007270000000001</v>
      </c>
      <c r="W3782">
        <v>-2.2118289999999999E-2</v>
      </c>
      <c r="X3782">
        <v>0.93646130000000005</v>
      </c>
      <c r="Y3782">
        <v>-0.24036479999999999</v>
      </c>
      <c r="Z3782">
        <v>2.9000069999999999E-2</v>
      </c>
      <c r="AA3782">
        <v>0.97024929999999998</v>
      </c>
      <c r="AB3782">
        <v>13</v>
      </c>
      <c r="AC3782">
        <v>18.5916</v>
      </c>
      <c r="AD3782">
        <v>-1.1122732618910001</v>
      </c>
      <c r="AE3782">
        <v>-8.6155099999999898</v>
      </c>
      <c r="AF3782">
        <v>-4.9478607465023003</v>
      </c>
      <c r="AG3782">
        <v>-1.1122732618910001</v>
      </c>
      <c r="AH3782">
        <v>19.8224586380367</v>
      </c>
      <c r="AI3782">
        <v>93.116187426172701</v>
      </c>
      <c r="AJ3782">
        <v>104.015147616794</v>
      </c>
      <c r="AK3782">
        <v>20.460897933193699</v>
      </c>
      <c r="AL3782">
        <v>91.267388095484606</v>
      </c>
      <c r="AM3782">
        <v>110.497002856686</v>
      </c>
      <c r="AN3782">
        <v>0.99999994021774996</v>
      </c>
    </row>
    <row r="3783" spans="1:40" x14ac:dyDescent="0.25">
      <c r="A3783" t="str">
        <f>"20190305135705307"</f>
        <v>20190305135705307</v>
      </c>
      <c r="B3783" t="str">
        <f>"1551765425296555"</f>
        <v>1551765425296555</v>
      </c>
      <c r="C3783" t="s">
        <v>40</v>
      </c>
      <c r="D3783">
        <v>4.7445389999999996</v>
      </c>
      <c r="E3783">
        <v>0.53715029999999997</v>
      </c>
      <c r="F3783" t="s">
        <v>42</v>
      </c>
      <c r="G3783">
        <v>-396.14949999999999</v>
      </c>
      <c r="H3783" s="1">
        <v>-1.9207690000000001E-6</v>
      </c>
      <c r="I3783">
        <v>20.06793</v>
      </c>
      <c r="J3783">
        <v>-411.91030000000001</v>
      </c>
      <c r="K3783">
        <v>1.1117549999999901</v>
      </c>
      <c r="L3783">
        <v>27.18411</v>
      </c>
      <c r="M3783">
        <v>0.78321280000000004</v>
      </c>
      <c r="N3783">
        <v>-1.805172E-2</v>
      </c>
      <c r="O3783">
        <v>-0.62149160000000003</v>
      </c>
      <c r="P3783">
        <v>0.94950369999999995</v>
      </c>
      <c r="Q3783">
        <v>-3.7649229999999999E-2</v>
      </c>
      <c r="R3783">
        <v>-0.31148989999999999</v>
      </c>
      <c r="S3783">
        <v>2.74295</v>
      </c>
      <c r="T3783">
        <v>-0.19229499999999999</v>
      </c>
      <c r="U3783">
        <v>-1.243042</v>
      </c>
      <c r="V3783">
        <v>-0.34610439999999998</v>
      </c>
      <c r="W3783">
        <v>-2.228987E-2</v>
      </c>
      <c r="X3783">
        <v>0.93793119999999996</v>
      </c>
      <c r="Y3783">
        <v>-0.2417493</v>
      </c>
      <c r="Z3783">
        <v>3.6290490000000002E-2</v>
      </c>
      <c r="AA3783">
        <v>0.96965990000000002</v>
      </c>
      <c r="AB3783">
        <v>13</v>
      </c>
      <c r="AC3783">
        <v>15.7608</v>
      </c>
      <c r="AD3783">
        <v>-1.1117569207689999</v>
      </c>
      <c r="AE3783">
        <v>-7.1161799999999902</v>
      </c>
      <c r="AF3783">
        <v>-4.2050294240054704</v>
      </c>
      <c r="AG3783">
        <v>-1.1117569207689999</v>
      </c>
      <c r="AH3783">
        <v>16.700413078465999</v>
      </c>
      <c r="AI3783">
        <v>93.693642752560095</v>
      </c>
      <c r="AJ3783">
        <v>104.132833855041</v>
      </c>
      <c r="AK3783">
        <v>17.257522212039301</v>
      </c>
      <c r="AL3783">
        <v>91.2772212347395</v>
      </c>
      <c r="AM3783">
        <v>110.254479506813</v>
      </c>
      <c r="AN3783">
        <v>1.0000000149687001</v>
      </c>
    </row>
    <row r="3784" spans="1:40" x14ac:dyDescent="0.25">
      <c r="A3784" t="str">
        <f>"20190305135705327"</f>
        <v>20190305135705327</v>
      </c>
      <c r="B3784" t="str">
        <f>"1551765425316680"</f>
        <v>1551765425316680</v>
      </c>
      <c r="C3784" t="s">
        <v>40</v>
      </c>
      <c r="D3784">
        <v>4.70092</v>
      </c>
      <c r="E3784">
        <v>0.53564509999999999</v>
      </c>
      <c r="F3784" t="s">
        <v>42</v>
      </c>
      <c r="G3784">
        <v>-397.32229999999998</v>
      </c>
      <c r="H3784" s="1">
        <v>-1.536598E-6</v>
      </c>
      <c r="I3784">
        <v>20.707529999999998</v>
      </c>
      <c r="J3784">
        <v>-411.815</v>
      </c>
      <c r="K3784">
        <v>1.111542</v>
      </c>
      <c r="L3784">
        <v>27.117609999999999</v>
      </c>
      <c r="M3784">
        <v>0.78730789999999995</v>
      </c>
      <c r="N3784">
        <v>-1.7520279999999999E-2</v>
      </c>
      <c r="O3784">
        <v>-0.61631130000000001</v>
      </c>
      <c r="P3784">
        <v>0.95012549999999996</v>
      </c>
      <c r="Q3784">
        <v>-3.7556060000000002E-2</v>
      </c>
      <c r="R3784">
        <v>-0.30959900000000001</v>
      </c>
      <c r="S3784">
        <v>2.7505799999999998</v>
      </c>
      <c r="T3784">
        <v>-0.209622</v>
      </c>
      <c r="U3784">
        <v>-1.2211609999999999</v>
      </c>
      <c r="V3784">
        <v>-0.34178540000000002</v>
      </c>
      <c r="W3784">
        <v>-2.251935E-2</v>
      </c>
      <c r="X3784">
        <v>0.93950820000000002</v>
      </c>
      <c r="Y3784">
        <v>-0.24253240000000001</v>
      </c>
      <c r="Z3784">
        <v>4.0518600000000002E-2</v>
      </c>
      <c r="AA3784">
        <v>0.96929679999999996</v>
      </c>
      <c r="AB3784">
        <v>13</v>
      </c>
      <c r="AC3784">
        <v>14.492699999999999</v>
      </c>
      <c r="AD3784">
        <v>-1.111543536598</v>
      </c>
      <c r="AE3784">
        <v>-6.4100799999999998</v>
      </c>
      <c r="AF3784">
        <v>-3.8668792436420198</v>
      </c>
      <c r="AG3784">
        <v>-1.111543536598</v>
      </c>
      <c r="AH3784">
        <v>15.287962028619299</v>
      </c>
      <c r="AI3784">
        <v>94.031955553783405</v>
      </c>
      <c r="AJ3784">
        <v>104.194470410516</v>
      </c>
      <c r="AK3784">
        <v>15.808544117254</v>
      </c>
      <c r="AL3784">
        <v>91.290372765665296</v>
      </c>
      <c r="AM3784">
        <v>109.990972998448</v>
      </c>
      <c r="AN3784">
        <v>1.0000000193224099</v>
      </c>
    </row>
    <row r="3785" spans="1:40" x14ac:dyDescent="0.25">
      <c r="A3785" t="str">
        <f>"20190305135705351"</f>
        <v>20190305135705351</v>
      </c>
      <c r="B3785" t="str">
        <f>"1551765425345948"</f>
        <v>1551765425345948</v>
      </c>
      <c r="C3785" t="s">
        <v>40</v>
      </c>
      <c r="D3785">
        <v>4.7362140000000004</v>
      </c>
      <c r="E3785">
        <v>0.53444789999999998</v>
      </c>
      <c r="F3785" t="s">
        <v>42</v>
      </c>
      <c r="G3785">
        <v>-398.10520000000002</v>
      </c>
      <c r="H3785" s="1">
        <v>-1.2774010000000001E-6</v>
      </c>
      <c r="I3785">
        <v>21.12426</v>
      </c>
      <c r="J3785">
        <v>-411.70639999999997</v>
      </c>
      <c r="K3785">
        <v>1.111556</v>
      </c>
      <c r="L3785">
        <v>27.042570000000001</v>
      </c>
      <c r="M3785">
        <v>0.79160609999999998</v>
      </c>
      <c r="N3785">
        <v>-1.7027509999999999E-2</v>
      </c>
      <c r="O3785">
        <v>-0.61079439999999996</v>
      </c>
      <c r="P3785">
        <v>0.95100790000000002</v>
      </c>
      <c r="Q3785">
        <v>-3.7627840000000003E-2</v>
      </c>
      <c r="R3785">
        <v>-0.30686839999999999</v>
      </c>
      <c r="S3785">
        <v>2.7560730000000002</v>
      </c>
      <c r="T3785">
        <v>-0.22345190000000001</v>
      </c>
      <c r="U3785">
        <v>-1.204834</v>
      </c>
      <c r="V3785">
        <v>-0.33790559999999997</v>
      </c>
      <c r="W3785">
        <v>-2.304399E-2</v>
      </c>
      <c r="X3785">
        <v>0.94089789999999995</v>
      </c>
      <c r="Y3785">
        <v>-0.2410651</v>
      </c>
      <c r="Z3785">
        <v>4.374285E-2</v>
      </c>
      <c r="AA3785">
        <v>0.96952269999999896</v>
      </c>
      <c r="AB3785">
        <v>13</v>
      </c>
      <c r="AC3785">
        <v>13.601199999999899</v>
      </c>
      <c r="AD3785">
        <v>-1.1115572774009901</v>
      </c>
      <c r="AE3785">
        <v>-5.91831</v>
      </c>
      <c r="AF3785">
        <v>-3.6028592964096799</v>
      </c>
      <c r="AG3785">
        <v>-1.1115572774009901</v>
      </c>
      <c r="AH3785">
        <v>14.3034255067244</v>
      </c>
      <c r="AI3785">
        <v>94.309593412315493</v>
      </c>
      <c r="AJ3785">
        <v>104.138002046485</v>
      </c>
      <c r="AK3785">
        <v>14.7920294725599</v>
      </c>
      <c r="AL3785">
        <v>91.320440200652698</v>
      </c>
      <c r="AM3785">
        <v>109.754786373497</v>
      </c>
      <c r="AN3785">
        <v>1.00000003910544</v>
      </c>
    </row>
    <row r="3786" spans="1:40" x14ac:dyDescent="0.25">
      <c r="A3786" t="str">
        <f>"20190305135705374"</f>
        <v>20190305135705374</v>
      </c>
      <c r="B3786" t="str">
        <f>"1551765425366445"</f>
        <v>1551765425366445</v>
      </c>
      <c r="C3786" t="s">
        <v>40</v>
      </c>
      <c r="D3786">
        <v>4.7197310000000003</v>
      </c>
      <c r="E3786">
        <v>0.53377489999999905</v>
      </c>
      <c r="F3786" t="s">
        <v>42</v>
      </c>
      <c r="G3786">
        <v>-398.86279999999999</v>
      </c>
      <c r="H3786" s="1">
        <v>-1.023453E-6</v>
      </c>
      <c r="I3786">
        <v>21.51576</v>
      </c>
      <c r="J3786">
        <v>-411.59870000000001</v>
      </c>
      <c r="K3786">
        <v>1.111686</v>
      </c>
      <c r="L3786">
        <v>26.969480000000001</v>
      </c>
      <c r="M3786">
        <v>0.79561400000000004</v>
      </c>
      <c r="N3786">
        <v>-1.6600699999999999E-2</v>
      </c>
      <c r="O3786">
        <v>-0.60557659999999902</v>
      </c>
      <c r="P3786">
        <v>0.95194860000000003</v>
      </c>
      <c r="Q3786">
        <v>-3.6936740000000003E-2</v>
      </c>
      <c r="R3786">
        <v>-0.30402269999999998</v>
      </c>
      <c r="S3786">
        <v>2.7616580000000002</v>
      </c>
      <c r="T3786">
        <v>-0.239009</v>
      </c>
      <c r="U3786">
        <v>-1.188385</v>
      </c>
      <c r="V3786">
        <v>-0.33453729999999998</v>
      </c>
      <c r="W3786">
        <v>-2.2839669999999999E-2</v>
      </c>
      <c r="X3786">
        <v>0.94210570000000005</v>
      </c>
      <c r="Y3786">
        <v>-0.24000840000000001</v>
      </c>
      <c r="Z3786">
        <v>4.7307950000000001E-2</v>
      </c>
      <c r="AA3786">
        <v>0.96961739999999996</v>
      </c>
      <c r="AB3786">
        <v>13</v>
      </c>
      <c r="AC3786">
        <v>12.735900000000001</v>
      </c>
      <c r="AD3786">
        <v>-1.1116870234530001</v>
      </c>
      <c r="AE3786">
        <v>-5.4537199999999899</v>
      </c>
      <c r="AF3786">
        <v>-3.3523871840405901</v>
      </c>
      <c r="AG3786">
        <v>-1.1116870234530001</v>
      </c>
      <c r="AH3786">
        <v>13.351392531114399</v>
      </c>
      <c r="AI3786">
        <v>94.617013993059103</v>
      </c>
      <c r="AJ3786">
        <v>104.09495072403</v>
      </c>
      <c r="AK3786">
        <v>13.8106491661229</v>
      </c>
      <c r="AL3786">
        <v>91.308730492960393</v>
      </c>
      <c r="AM3786">
        <v>109.54971101854299</v>
      </c>
      <c r="AN3786">
        <v>1.00000000279474</v>
      </c>
    </row>
    <row r="3787" spans="1:40" x14ac:dyDescent="0.25">
      <c r="A3787" t="str">
        <f>"20190305135705398"</f>
        <v>20190305135705398</v>
      </c>
      <c r="B3787" t="str">
        <f>"1551765425385964"</f>
        <v>1551765425385964</v>
      </c>
      <c r="C3787" t="s">
        <v>40</v>
      </c>
      <c r="D3787">
        <v>4.7048199999999998</v>
      </c>
      <c r="E3787">
        <v>0.53313129999999997</v>
      </c>
      <c r="F3787" t="s">
        <v>42</v>
      </c>
      <c r="G3787">
        <v>-399.0428</v>
      </c>
      <c r="H3787" s="1">
        <v>-9.7027159999999995E-7</v>
      </c>
      <c r="I3787">
        <v>21.635660000000001</v>
      </c>
      <c r="J3787">
        <v>-411.48759999999999</v>
      </c>
      <c r="K3787">
        <v>1.1118209999999999</v>
      </c>
      <c r="L3787">
        <v>26.89526</v>
      </c>
      <c r="M3787">
        <v>0.79968090000000003</v>
      </c>
      <c r="N3787">
        <v>-1.6171609999999999E-2</v>
      </c>
      <c r="O3787">
        <v>-0.60020769999999901</v>
      </c>
      <c r="P3787">
        <v>0.95322980000000002</v>
      </c>
      <c r="Q3787">
        <v>-3.7185120000000002E-2</v>
      </c>
      <c r="R3787">
        <v>-0.29995139999999998</v>
      </c>
      <c r="S3787">
        <v>2.7666019999999998</v>
      </c>
      <c r="T3787">
        <v>-0.24495040000000001</v>
      </c>
      <c r="U3787">
        <v>-1.175262</v>
      </c>
      <c r="V3787">
        <v>-0.33220080000000002</v>
      </c>
      <c r="W3787">
        <v>-2.3592760000000001E-2</v>
      </c>
      <c r="X3787">
        <v>0.94291360000000002</v>
      </c>
      <c r="Y3787">
        <v>-0.23789080000000001</v>
      </c>
      <c r="Z3787">
        <v>4.8530549999999999E-2</v>
      </c>
      <c r="AA3787">
        <v>0.97007869999999996</v>
      </c>
      <c r="AB3787">
        <v>13</v>
      </c>
      <c r="AC3787">
        <v>12.444799999999899</v>
      </c>
      <c r="AD3787">
        <v>-1.1118219702715999</v>
      </c>
      <c r="AE3787">
        <v>-5.2595999999999901</v>
      </c>
      <c r="AF3787">
        <v>-3.2419347907838398</v>
      </c>
      <c r="AG3787">
        <v>-1.1118219702715999</v>
      </c>
      <c r="AH3787">
        <v>13.0222459960235</v>
      </c>
      <c r="AI3787">
        <v>94.736128925908901</v>
      </c>
      <c r="AJ3787">
        <v>103.979801056738</v>
      </c>
      <c r="AK3787">
        <v>13.465703845778901</v>
      </c>
      <c r="AL3787">
        <v>91.351890977686494</v>
      </c>
      <c r="AM3787">
        <v>109.408027820575</v>
      </c>
      <c r="AN3787">
        <v>1.0000000234549999</v>
      </c>
    </row>
    <row r="3788" spans="1:40" x14ac:dyDescent="0.25">
      <c r="A3788" t="str">
        <f>"20190305135705418"</f>
        <v>20190305135705418</v>
      </c>
      <c r="B3788" t="str">
        <f>"1551765425406461"</f>
        <v>1551765425406461</v>
      </c>
      <c r="C3788" t="s">
        <v>40</v>
      </c>
      <c r="D3788">
        <v>4.7104559999999998</v>
      </c>
      <c r="E3788">
        <v>0.53265929999999995</v>
      </c>
      <c r="F3788" t="s">
        <v>42</v>
      </c>
      <c r="G3788">
        <v>-399.267</v>
      </c>
      <c r="H3788" s="1">
        <v>-9.0484639999999997E-7</v>
      </c>
      <c r="I3788">
        <v>21.788150000000002</v>
      </c>
      <c r="J3788">
        <v>-411.39049999999997</v>
      </c>
      <c r="K3788">
        <v>1.1118859999999999</v>
      </c>
      <c r="L3788">
        <v>26.83136</v>
      </c>
      <c r="M3788">
        <v>0.80322959999999999</v>
      </c>
      <c r="N3788">
        <v>-1.5805570000000001E-2</v>
      </c>
      <c r="O3788">
        <v>-0.59545999999999999</v>
      </c>
      <c r="P3788">
        <v>0.95422390000000001</v>
      </c>
      <c r="Q3788">
        <v>-3.7584319999999997E-2</v>
      </c>
      <c r="R3788">
        <v>-0.29672340000000003</v>
      </c>
      <c r="S3788">
        <v>2.7727360000000001</v>
      </c>
      <c r="T3788">
        <v>-0.25226100000000001</v>
      </c>
      <c r="U3788">
        <v>-1.158752</v>
      </c>
      <c r="V3788">
        <v>-0.32978449999999998</v>
      </c>
      <c r="W3788">
        <v>-2.4382839999999999E-2</v>
      </c>
      <c r="X3788">
        <v>0.94374130000000001</v>
      </c>
      <c r="Y3788">
        <v>-0.23768359999999999</v>
      </c>
      <c r="Z3788">
        <v>5.0125639999999999E-2</v>
      </c>
      <c r="AA3788">
        <v>0.97004840000000003</v>
      </c>
      <c r="AB3788">
        <v>13</v>
      </c>
      <c r="AC3788">
        <v>12.1234999999999</v>
      </c>
      <c r="AD3788">
        <v>-1.1118869048464</v>
      </c>
      <c r="AE3788">
        <v>-5.0432099999999904</v>
      </c>
      <c r="AF3788">
        <v>-3.1460404747243098</v>
      </c>
      <c r="AG3788">
        <v>-1.1118869048464</v>
      </c>
      <c r="AH3788">
        <v>12.6518538675257</v>
      </c>
      <c r="AI3788">
        <v>94.874738213758306</v>
      </c>
      <c r="AJ3788">
        <v>103.964090673451</v>
      </c>
      <c r="AK3788">
        <v>13.084466723676501</v>
      </c>
      <c r="AL3788">
        <v>91.397172303205807</v>
      </c>
      <c r="AM3788">
        <v>109.26164868091701</v>
      </c>
      <c r="AN3788">
        <v>0.99999999032620202</v>
      </c>
    </row>
    <row r="3789" spans="1:40" x14ac:dyDescent="0.25">
      <c r="A3789" t="str">
        <f>"20190305135705440"</f>
        <v>20190305135705440</v>
      </c>
      <c r="B3789" t="str">
        <f>"1551765425436387"</f>
        <v>1551765425436387</v>
      </c>
      <c r="C3789" t="s">
        <v>40</v>
      </c>
      <c r="D3789">
        <v>4.7073999999999998</v>
      </c>
      <c r="E3789">
        <v>0.53210429999999997</v>
      </c>
      <c r="F3789" t="s">
        <v>42</v>
      </c>
      <c r="G3789">
        <v>-399.51080000000002</v>
      </c>
      <c r="H3789" s="1">
        <v>-8.2701639999999997E-7</v>
      </c>
      <c r="I3789">
        <v>21.92886</v>
      </c>
      <c r="J3789">
        <v>-411.2878</v>
      </c>
      <c r="K3789">
        <v>1.111899</v>
      </c>
      <c r="L3789">
        <v>26.764800000000001</v>
      </c>
      <c r="M3789">
        <v>0.80696009999999996</v>
      </c>
      <c r="N3789">
        <v>-1.544592E-2</v>
      </c>
      <c r="O3789">
        <v>-0.59040400000000004</v>
      </c>
      <c r="P3789">
        <v>0.95523179999999996</v>
      </c>
      <c r="Q3789">
        <v>-3.8836519999999999E-2</v>
      </c>
      <c r="R3789">
        <v>-0.29329899999999998</v>
      </c>
      <c r="S3789">
        <v>2.7772519999999998</v>
      </c>
      <c r="T3789">
        <v>-0.2599397</v>
      </c>
      <c r="U3789">
        <v>-1.146118</v>
      </c>
      <c r="V3789">
        <v>-0.32719870000000001</v>
      </c>
      <c r="W3789">
        <v>-2.5972720000000001E-2</v>
      </c>
      <c r="X3789">
        <v>0.94459859999999896</v>
      </c>
      <c r="Y3789">
        <v>-0.2357727</v>
      </c>
      <c r="Z3789">
        <v>5.1681890000000001E-2</v>
      </c>
      <c r="AA3789">
        <v>0.97043299999999999</v>
      </c>
      <c r="AB3789">
        <v>13</v>
      </c>
      <c r="AC3789">
        <v>11.7769999999999</v>
      </c>
      <c r="AD3789">
        <v>-1.1118998270164</v>
      </c>
      <c r="AE3789">
        <v>-4.8359399999999999</v>
      </c>
      <c r="AF3789">
        <v>-3.0280442951614002</v>
      </c>
      <c r="AG3789">
        <v>-1.1118998270164</v>
      </c>
      <c r="AH3789">
        <v>12.2666358742804</v>
      </c>
      <c r="AI3789">
        <v>95.029222616637497</v>
      </c>
      <c r="AJ3789">
        <v>103.866363914281</v>
      </c>
      <c r="AK3789">
        <v>12.6836796376667</v>
      </c>
      <c r="AL3789">
        <v>91.488294535523096</v>
      </c>
      <c r="AM3789">
        <v>109.105530126196</v>
      </c>
      <c r="AN3789">
        <v>1.00000004329392</v>
      </c>
    </row>
    <row r="3790" spans="1:40" x14ac:dyDescent="0.25">
      <c r="A3790" t="str">
        <f>"20190305135705462"</f>
        <v>20190305135705462</v>
      </c>
      <c r="B3790" t="str">
        <f>"1551765425455907"</f>
        <v>1551765425455907</v>
      </c>
      <c r="C3790" t="s">
        <v>40</v>
      </c>
      <c r="D3790">
        <v>4.7260960000000001</v>
      </c>
      <c r="E3790">
        <v>0.53187869999999904</v>
      </c>
      <c r="F3790" t="s">
        <v>42</v>
      </c>
      <c r="G3790">
        <v>-399.90940000000001</v>
      </c>
      <c r="H3790" s="1">
        <v>-6.9289559999999999E-7</v>
      </c>
      <c r="I3790">
        <v>22.132819999999999</v>
      </c>
      <c r="J3790">
        <v>-411.18079999999998</v>
      </c>
      <c r="K3790">
        <v>1.1118629999999901</v>
      </c>
      <c r="L3790">
        <v>26.696259999999999</v>
      </c>
      <c r="M3790">
        <v>0.81078939999999999</v>
      </c>
      <c r="N3790">
        <v>-1.5112820000000001E-2</v>
      </c>
      <c r="O3790">
        <v>-0.58514299999999997</v>
      </c>
      <c r="P3790">
        <v>0.95643630000000002</v>
      </c>
      <c r="Q3790">
        <v>-3.940623E-2</v>
      </c>
      <c r="R3790">
        <v>-0.28926970000000002</v>
      </c>
      <c r="S3790">
        <v>2.78186</v>
      </c>
      <c r="T3790">
        <v>-0.27184219999999998</v>
      </c>
      <c r="U3790">
        <v>-1.1324459999999901</v>
      </c>
      <c r="V3790">
        <v>-0.32501740000000001</v>
      </c>
      <c r="W3790">
        <v>-2.6813839999999999E-2</v>
      </c>
      <c r="X3790">
        <v>0.94532780000000005</v>
      </c>
      <c r="Y3790">
        <v>-0.23388339999999999</v>
      </c>
      <c r="Z3790">
        <v>5.4137159999999997E-2</v>
      </c>
      <c r="AA3790">
        <v>0.97075619999999996</v>
      </c>
      <c r="AB3790">
        <v>13</v>
      </c>
      <c r="AC3790">
        <v>11.2713999999999</v>
      </c>
      <c r="AD3790">
        <v>-1.1118636928955901</v>
      </c>
      <c r="AE3790">
        <v>-4.5634399999999902</v>
      </c>
      <c r="AF3790">
        <v>-2.8717139333003501</v>
      </c>
      <c r="AG3790">
        <v>-1.1118636928955901</v>
      </c>
      <c r="AH3790">
        <v>11.712424348299701</v>
      </c>
      <c r="AI3790">
        <v>95.267743604070304</v>
      </c>
      <c r="AJ3790">
        <v>103.7763143825</v>
      </c>
      <c r="AK3790">
        <v>12.1104857830284</v>
      </c>
      <c r="AL3790">
        <v>91.536504066598496</v>
      </c>
      <c r="AM3790">
        <v>108.97371251846999</v>
      </c>
      <c r="AN3790">
        <v>0.99999997088557202</v>
      </c>
    </row>
    <row r="3791" spans="1:40" x14ac:dyDescent="0.25">
      <c r="A3791" t="str">
        <f>"20190305135705486"</f>
        <v>20190305135705486</v>
      </c>
      <c r="B3791" t="str">
        <f>"1551765425476402"</f>
        <v>1551765425476402</v>
      </c>
      <c r="C3791" t="s">
        <v>40</v>
      </c>
      <c r="D3791">
        <v>4.7371189999999999</v>
      </c>
      <c r="E3791">
        <v>0.53167319999999996</v>
      </c>
      <c r="F3791" t="s">
        <v>78</v>
      </c>
      <c r="G3791">
        <v>-400.02050000000003</v>
      </c>
      <c r="H3791" s="1">
        <v>-6.432975E-6</v>
      </c>
      <c r="I3791">
        <v>22.213329999999999</v>
      </c>
      <c r="J3791">
        <v>-411.06939999999997</v>
      </c>
      <c r="K3791">
        <v>1.1117870000000001</v>
      </c>
      <c r="L3791">
        <v>26.625789999999999</v>
      </c>
      <c r="M3791">
        <v>0.81468629999999997</v>
      </c>
      <c r="N3791">
        <v>-1.4804360000000001E-2</v>
      </c>
      <c r="O3791">
        <v>-0.57971300000000003</v>
      </c>
      <c r="P3791">
        <v>0.957959</v>
      </c>
      <c r="Q3791">
        <v>-3.8600450000000001E-2</v>
      </c>
      <c r="R3791">
        <v>-0.28429739999999998</v>
      </c>
      <c r="S3791">
        <v>2.7866520000000001</v>
      </c>
      <c r="T3791">
        <v>-0.27762540000000002</v>
      </c>
      <c r="U3791">
        <v>-1.119354</v>
      </c>
      <c r="V3791">
        <v>-0.32363550000000002</v>
      </c>
      <c r="W3791">
        <v>-2.6229880000000001E-2</v>
      </c>
      <c r="X3791">
        <v>0.94581820000000005</v>
      </c>
      <c r="Y3791">
        <v>-0.23178750000000001</v>
      </c>
      <c r="Z3791">
        <v>5.5134160000000002E-2</v>
      </c>
      <c r="AA3791">
        <v>0.97120269999999997</v>
      </c>
      <c r="AB3791">
        <v>13</v>
      </c>
      <c r="AC3791">
        <v>11.0488999999999</v>
      </c>
      <c r="AD3791">
        <v>-1.1117934329749899</v>
      </c>
      <c r="AE3791">
        <v>-4.4124600000000003</v>
      </c>
      <c r="AF3791">
        <v>-2.7863956147429501</v>
      </c>
      <c r="AG3791">
        <v>-1.1117934329749899</v>
      </c>
      <c r="AH3791">
        <v>11.460533777094801</v>
      </c>
      <c r="AI3791">
        <v>95.385047220435098</v>
      </c>
      <c r="AJ3791">
        <v>103.66516236183701</v>
      </c>
      <c r="AK3791">
        <v>11.8466839079717</v>
      </c>
      <c r="AL3791">
        <v>91.503033796068493</v>
      </c>
      <c r="AM3791">
        <v>108.889672819799</v>
      </c>
      <c r="AN3791">
        <v>1.0000000054581499</v>
      </c>
    </row>
    <row r="3792" spans="1:40" x14ac:dyDescent="0.25">
      <c r="A3792" t="str">
        <f>"20190305135705510"</f>
        <v>20190305135705510</v>
      </c>
      <c r="B3792" t="str">
        <f>"1551765425506659"</f>
        <v>1551765425506659</v>
      </c>
      <c r="C3792" t="s">
        <v>40</v>
      </c>
      <c r="D3792">
        <v>4.7401790000000004</v>
      </c>
      <c r="E3792">
        <v>0.53154389999999996</v>
      </c>
      <c r="F3792" t="s">
        <v>78</v>
      </c>
      <c r="G3792">
        <v>-399.96800000000002</v>
      </c>
      <c r="H3792" s="1">
        <v>-6.4532809999999901E-6</v>
      </c>
      <c r="I3792">
        <v>22.237680000000001</v>
      </c>
      <c r="J3792">
        <v>-410.9581</v>
      </c>
      <c r="K3792">
        <v>1.11168</v>
      </c>
      <c r="L3792">
        <v>26.556149999999999</v>
      </c>
      <c r="M3792">
        <v>0.81847150000000002</v>
      </c>
      <c r="N3792">
        <v>-1.450859E-2</v>
      </c>
      <c r="O3792">
        <v>-0.57436399999999999</v>
      </c>
      <c r="P3792">
        <v>0.95920570000000005</v>
      </c>
      <c r="Q3792">
        <v>-3.79209E-2</v>
      </c>
      <c r="R3792">
        <v>-0.28015489999999998</v>
      </c>
      <c r="S3792">
        <v>2.7927550000000001</v>
      </c>
      <c r="T3792">
        <v>-0.27969240000000001</v>
      </c>
      <c r="U3792">
        <v>-1.103912</v>
      </c>
      <c r="V3792">
        <v>-0.32154840000000001</v>
      </c>
      <c r="W3792">
        <v>-2.5737900000000001E-2</v>
      </c>
      <c r="X3792">
        <v>0.94654329999999998</v>
      </c>
      <c r="Y3792">
        <v>-0.2307517</v>
      </c>
      <c r="Z3792">
        <v>5.5320929999999997E-2</v>
      </c>
      <c r="AA3792">
        <v>0.97143880000000005</v>
      </c>
      <c r="AB3792">
        <v>13</v>
      </c>
      <c r="AC3792">
        <v>10.990099999999901</v>
      </c>
      <c r="AD3792">
        <v>-1.111686453281</v>
      </c>
      <c r="AE3792">
        <v>-4.3184699999999996</v>
      </c>
      <c r="AF3792">
        <v>-2.7536584748505799</v>
      </c>
      <c r="AG3792">
        <v>-1.111686453281</v>
      </c>
      <c r="AH3792">
        <v>11.375835362132101</v>
      </c>
      <c r="AI3792">
        <v>95.425703217548104</v>
      </c>
      <c r="AJ3792">
        <v>103.607395157168</v>
      </c>
      <c r="AK3792">
        <v>11.757045205019001</v>
      </c>
      <c r="AL3792">
        <v>91.4748358822293</v>
      </c>
      <c r="AM3792">
        <v>108.763038869273</v>
      </c>
      <c r="AN3792">
        <v>1.00000001590692</v>
      </c>
    </row>
    <row r="3793" spans="1:40" x14ac:dyDescent="0.25">
      <c r="A3793" t="str">
        <f>"20190305135705541"</f>
        <v>20190305135705541</v>
      </c>
      <c r="B3793" t="str">
        <f>"1551765425536661"</f>
        <v>1551765425536661</v>
      </c>
      <c r="C3793" t="s">
        <v>40</v>
      </c>
      <c r="D3793">
        <v>4.7786949999999999</v>
      </c>
      <c r="E3793">
        <v>0.53148619999999902</v>
      </c>
      <c r="F3793" t="s">
        <v>42</v>
      </c>
      <c r="G3793">
        <v>-399.94760000000002</v>
      </c>
      <c r="H3793" s="1">
        <v>-7.0858239999999998E-7</v>
      </c>
      <c r="I3793">
        <v>22.25975</v>
      </c>
      <c r="J3793">
        <v>-410.80990000000003</v>
      </c>
      <c r="K3793">
        <v>1.111504</v>
      </c>
      <c r="L3793">
        <v>26.46481</v>
      </c>
      <c r="M3793">
        <v>0.82331880000000002</v>
      </c>
      <c r="N3793">
        <v>-1.405755E-2</v>
      </c>
      <c r="O3793">
        <v>-0.56740500000000005</v>
      </c>
      <c r="P3793">
        <v>0.96068229999999999</v>
      </c>
      <c r="Q3793">
        <v>-4.0064849999999999E-2</v>
      </c>
      <c r="R3793">
        <v>-0.2747443</v>
      </c>
      <c r="S3793">
        <v>2.797577</v>
      </c>
      <c r="T3793">
        <v>-0.28245949999999997</v>
      </c>
      <c r="U3793">
        <v>-1.0916440000000001</v>
      </c>
      <c r="V3793">
        <v>-0.31880069999999999</v>
      </c>
      <c r="W3793">
        <v>-2.8197449999999999E-2</v>
      </c>
      <c r="X3793">
        <v>0.94740219999999997</v>
      </c>
      <c r="Y3793">
        <v>-0.22672880000000001</v>
      </c>
      <c r="Z3793">
        <v>5.5469650000000002E-2</v>
      </c>
      <c r="AA3793">
        <v>0.97237709999999999</v>
      </c>
      <c r="AB3793">
        <v>13</v>
      </c>
      <c r="AC3793">
        <v>10.862299999999999</v>
      </c>
      <c r="AD3793">
        <v>-1.1115047085823999</v>
      </c>
      <c r="AE3793">
        <v>-4.2050599999999898</v>
      </c>
      <c r="AF3793">
        <v>-2.6771074694304899</v>
      </c>
      <c r="AG3793">
        <v>-1.1115047085823999</v>
      </c>
      <c r="AH3793">
        <v>11.227984951178</v>
      </c>
      <c r="AI3793">
        <v>95.500327040454295</v>
      </c>
      <c r="AJ3793">
        <v>103.410739659744</v>
      </c>
      <c r="AK3793">
        <v>11.596119746879101</v>
      </c>
      <c r="AL3793">
        <v>91.615809118753802</v>
      </c>
      <c r="AM3793">
        <v>108.598078750741</v>
      </c>
      <c r="AN3793">
        <v>0.99999995553591503</v>
      </c>
    </row>
    <row r="3794" spans="1:40" x14ac:dyDescent="0.25">
      <c r="A3794" t="str">
        <f>"20190305135705563"</f>
        <v>20190305135705563</v>
      </c>
      <c r="B3794" t="str">
        <f>"1551765425556181"</f>
        <v>1551765425556181</v>
      </c>
      <c r="C3794" t="s">
        <v>40</v>
      </c>
      <c r="D3794">
        <v>4.7412039999999998</v>
      </c>
      <c r="E3794">
        <v>0.53146879999999996</v>
      </c>
      <c r="F3794" t="s">
        <v>78</v>
      </c>
      <c r="G3794">
        <v>-400.22410000000002</v>
      </c>
      <c r="H3794" s="1">
        <v>-6.3860159999999999E-6</v>
      </c>
      <c r="I3794">
        <v>22.40166</v>
      </c>
      <c r="J3794">
        <v>-410.69709999999998</v>
      </c>
      <c r="K3794">
        <v>1.1113820000000001</v>
      </c>
      <c r="L3794">
        <v>26.395969999999998</v>
      </c>
      <c r="M3794">
        <v>0.82687869999999997</v>
      </c>
      <c r="N3794">
        <v>-1.3672190000000001E-2</v>
      </c>
      <c r="O3794">
        <v>-0.56221409999999905</v>
      </c>
      <c r="P3794">
        <v>0.96163129999999997</v>
      </c>
      <c r="Q3794">
        <v>-4.2294089999999999E-2</v>
      </c>
      <c r="R3794">
        <v>-0.27106560000000002</v>
      </c>
      <c r="S3794">
        <v>2.802826</v>
      </c>
      <c r="T3794">
        <v>-0.29429529999999998</v>
      </c>
      <c r="U3794">
        <v>-1.075806</v>
      </c>
      <c r="V3794">
        <v>-0.31640159999999901</v>
      </c>
      <c r="W3794">
        <v>-3.0725949999999998E-2</v>
      </c>
      <c r="X3794">
        <v>0.94812759999999996</v>
      </c>
      <c r="Y3794">
        <v>-0.22576070000000001</v>
      </c>
      <c r="Z3794">
        <v>5.7821020000000001E-2</v>
      </c>
      <c r="AA3794">
        <v>0.97246529999999998</v>
      </c>
      <c r="AB3794">
        <v>13</v>
      </c>
      <c r="AC3794">
        <v>10.4729999999999</v>
      </c>
      <c r="AD3794">
        <v>-1.1113883860160001</v>
      </c>
      <c r="AE3794">
        <v>-3.99431</v>
      </c>
      <c r="AF3794">
        <v>-2.5603287657798002</v>
      </c>
      <c r="AG3794">
        <v>-1.1113883860160001</v>
      </c>
      <c r="AH3794">
        <v>10.8003957456488</v>
      </c>
      <c r="AI3794">
        <v>95.717830820865004</v>
      </c>
      <c r="AJ3794">
        <v>103.336286479709</v>
      </c>
      <c r="AK3794">
        <v>11.1552236999568</v>
      </c>
      <c r="AL3794">
        <v>91.760744377022306</v>
      </c>
      <c r="AM3794">
        <v>108.45447530859499</v>
      </c>
      <c r="AN3794">
        <v>1.0000000011838599</v>
      </c>
    </row>
    <row r="3795" spans="1:40" x14ac:dyDescent="0.25">
      <c r="A3795" t="str">
        <f>"20190305135705588"</f>
        <v>20190305135705588</v>
      </c>
      <c r="B3795" t="str">
        <f>"1551765425575705"</f>
        <v>1551765425575705</v>
      </c>
      <c r="C3795" t="s">
        <v>40</v>
      </c>
      <c r="D3795">
        <v>4.7239149999999999</v>
      </c>
      <c r="E3795">
        <v>0.53158519999999998</v>
      </c>
      <c r="F3795" t="s">
        <v>78</v>
      </c>
      <c r="G3795">
        <v>-400.46249999999998</v>
      </c>
      <c r="H3795" s="1">
        <v>-6.3186279999999999E-6</v>
      </c>
      <c r="I3795">
        <v>22.512160000000002</v>
      </c>
      <c r="J3795">
        <v>-410.58139999999997</v>
      </c>
      <c r="K3795">
        <v>1.111264</v>
      </c>
      <c r="L3795">
        <v>26.326170000000001</v>
      </c>
      <c r="M3795">
        <v>0.83038369999999995</v>
      </c>
      <c r="N3795">
        <v>-1.321141E-2</v>
      </c>
      <c r="O3795">
        <v>-0.55703570000000002</v>
      </c>
      <c r="P3795">
        <v>0.9631345</v>
      </c>
      <c r="Q3795">
        <v>-4.158622E-2</v>
      </c>
      <c r="R3795">
        <v>-0.26578689999999999</v>
      </c>
      <c r="S3795">
        <v>2.8060909999999999</v>
      </c>
      <c r="T3795">
        <v>-0.30471730000000002</v>
      </c>
      <c r="U3795">
        <v>-1.0648500000000001</v>
      </c>
      <c r="V3795">
        <v>-0.31569530000000001</v>
      </c>
      <c r="W3795">
        <v>-3.041288E-2</v>
      </c>
      <c r="X3795">
        <v>0.94837309999999997</v>
      </c>
      <c r="Y3795">
        <v>-0.2231535</v>
      </c>
      <c r="Z3795">
        <v>5.977731E-2</v>
      </c>
      <c r="AA3795">
        <v>0.9729487</v>
      </c>
      <c r="AB3795">
        <v>13</v>
      </c>
      <c r="AC3795">
        <v>10.118899999999901</v>
      </c>
      <c r="AD3795">
        <v>-1.111270318628</v>
      </c>
      <c r="AE3795">
        <v>-3.8140100000000001</v>
      </c>
      <c r="AF3795">
        <v>-2.4439032368031701</v>
      </c>
      <c r="AG3795">
        <v>-1.111270318628</v>
      </c>
      <c r="AH3795">
        <v>10.4180076382425</v>
      </c>
      <c r="AI3795">
        <v>95.928861511550707</v>
      </c>
      <c r="AJ3795">
        <v>103.201989258794</v>
      </c>
      <c r="AK3795">
        <v>10.758367343719</v>
      </c>
      <c r="AL3795">
        <v>91.742798400029002</v>
      </c>
      <c r="AM3795">
        <v>108.411615874728</v>
      </c>
      <c r="AN3795">
        <v>1.0000000012577901</v>
      </c>
    </row>
    <row r="3796" spans="1:40" x14ac:dyDescent="0.25">
      <c r="A3796" t="str">
        <f>"20190305135705608"</f>
        <v>20190305135705608</v>
      </c>
      <c r="B3796" t="str">
        <f>"1551765425605957"</f>
        <v>1551765425605957</v>
      </c>
      <c r="C3796" t="s">
        <v>40</v>
      </c>
      <c r="D3796">
        <v>4.7183840000000004</v>
      </c>
      <c r="E3796">
        <v>0.53166619999999998</v>
      </c>
      <c r="F3796" t="s">
        <v>78</v>
      </c>
      <c r="G3796">
        <v>-400.3811</v>
      </c>
      <c r="H3796" s="1">
        <v>-6.3462519999999899E-6</v>
      </c>
      <c r="I3796">
        <v>22.515529999999998</v>
      </c>
      <c r="J3796">
        <v>-410.4785</v>
      </c>
      <c r="K3796">
        <v>1.1111439999999999</v>
      </c>
      <c r="L3796">
        <v>26.26465</v>
      </c>
      <c r="M3796">
        <v>0.83336449999999995</v>
      </c>
      <c r="N3796">
        <v>-1.2708499999999999E-2</v>
      </c>
      <c r="O3796">
        <v>-0.55257780000000001</v>
      </c>
      <c r="P3796">
        <v>0.96464970000000005</v>
      </c>
      <c r="Q3796">
        <v>-3.9439719999999998E-2</v>
      </c>
      <c r="R3796">
        <v>-0.26056780000000002</v>
      </c>
      <c r="S3796">
        <v>2.8117369999999999</v>
      </c>
      <c r="T3796">
        <v>-0.30632419999999999</v>
      </c>
      <c r="U3796">
        <v>-1.0504150000000001</v>
      </c>
      <c r="V3796">
        <v>-0.31580429999999998</v>
      </c>
      <c r="W3796">
        <v>-2.871278E-2</v>
      </c>
      <c r="X3796">
        <v>0.94838979999999995</v>
      </c>
      <c r="Y3796">
        <v>-0.22291610000000001</v>
      </c>
      <c r="Z3796">
        <v>5.9981020000000003E-2</v>
      </c>
      <c r="AA3796">
        <v>0.97299060000000004</v>
      </c>
      <c r="AB3796">
        <v>13</v>
      </c>
      <c r="AC3796">
        <v>10.097399999999899</v>
      </c>
      <c r="AD3796">
        <v>-1.111150346252</v>
      </c>
      <c r="AE3796">
        <v>-3.74912</v>
      </c>
      <c r="AF3796">
        <v>-2.42955750339627</v>
      </c>
      <c r="AG3796">
        <v>-1.111150346252</v>
      </c>
      <c r="AH3796">
        <v>10.3769067926997</v>
      </c>
      <c r="AI3796">
        <v>95.952133399216805</v>
      </c>
      <c r="AJ3796">
        <v>103.17736793950699</v>
      </c>
      <c r="AK3796">
        <v>10.7152974451791</v>
      </c>
      <c r="AL3796">
        <v>91.6453472484108</v>
      </c>
      <c r="AM3796">
        <v>108.41724154328701</v>
      </c>
      <c r="AN3796">
        <v>0.99999999618892899</v>
      </c>
    </row>
    <row r="3797" spans="1:40" x14ac:dyDescent="0.25">
      <c r="A3797" t="str">
        <f>"20190305135705632"</f>
        <v>20190305135705632</v>
      </c>
      <c r="B3797" t="str">
        <f>"1551765425626585"</f>
        <v>1551765425626585</v>
      </c>
      <c r="C3797" t="s">
        <v>40</v>
      </c>
      <c r="D3797">
        <v>4.7228599999999998</v>
      </c>
      <c r="E3797">
        <v>0.53188359999999901</v>
      </c>
      <c r="F3797" t="s">
        <v>78</v>
      </c>
      <c r="G3797">
        <v>-400.20080000000002</v>
      </c>
      <c r="H3797" s="1">
        <v>-6.4029479999999998E-6</v>
      </c>
      <c r="I3797">
        <v>22.48301</v>
      </c>
      <c r="J3797">
        <v>-410.36669999999998</v>
      </c>
      <c r="K3797">
        <v>1.110984</v>
      </c>
      <c r="L3797">
        <v>26.198460000000001</v>
      </c>
      <c r="M3797">
        <v>0.83644869999999905</v>
      </c>
      <c r="N3797">
        <v>-1.205614E-2</v>
      </c>
      <c r="O3797">
        <v>-0.54791299999999998</v>
      </c>
      <c r="P3797">
        <v>0.96626250000000002</v>
      </c>
      <c r="Q3797">
        <v>-3.818742E-2</v>
      </c>
      <c r="R3797">
        <v>-0.25471389999999999</v>
      </c>
      <c r="S3797">
        <v>2.8174739999999998</v>
      </c>
      <c r="T3797">
        <v>-0.30460619999999999</v>
      </c>
      <c r="U3797">
        <v>-1.0366820000000001</v>
      </c>
      <c r="V3797">
        <v>-0.31628420000000002</v>
      </c>
      <c r="W3797">
        <v>-2.8044050000000001E-2</v>
      </c>
      <c r="X3797">
        <v>0.94824989999999998</v>
      </c>
      <c r="Y3797">
        <v>-0.22232060000000001</v>
      </c>
      <c r="Z3797">
        <v>5.9494089999999999E-2</v>
      </c>
      <c r="AA3797">
        <v>0.97315680000000004</v>
      </c>
      <c r="AB3797">
        <v>13</v>
      </c>
      <c r="AC3797">
        <v>10.165899999999899</v>
      </c>
      <c r="AD3797">
        <v>-1.110990402948</v>
      </c>
      <c r="AE3797">
        <v>-3.7154500000000001</v>
      </c>
      <c r="AF3797">
        <v>-2.43675014313567</v>
      </c>
      <c r="AG3797">
        <v>-1.110990402948</v>
      </c>
      <c r="AH3797">
        <v>10.429871231346199</v>
      </c>
      <c r="AI3797">
        <v>95.921927570653196</v>
      </c>
      <c r="AJ3797">
        <v>103.150242024066</v>
      </c>
      <c r="AK3797">
        <v>10.7682062033552</v>
      </c>
      <c r="AL3797">
        <v>91.607016367560206</v>
      </c>
      <c r="AM3797">
        <v>108.445873149261</v>
      </c>
      <c r="AN3797">
        <v>1.00000001838002</v>
      </c>
    </row>
    <row r="3798" spans="1:40" x14ac:dyDescent="0.25">
      <c r="A3798" t="str">
        <f>"20190305135705654"</f>
        <v>20190305135705654</v>
      </c>
      <c r="B3798" t="str">
        <f>"1551765425646106"</f>
        <v>1551765425646106</v>
      </c>
      <c r="C3798" t="s">
        <v>40</v>
      </c>
      <c r="D3798">
        <v>4.678801</v>
      </c>
      <c r="E3798">
        <v>0.53210649999999904</v>
      </c>
      <c r="F3798" t="s">
        <v>78</v>
      </c>
      <c r="G3798">
        <v>-400.024</v>
      </c>
      <c r="H3798" s="1">
        <v>-6.4591630000000004E-6</v>
      </c>
      <c r="I3798">
        <v>22.456669999999999</v>
      </c>
      <c r="J3798">
        <v>-410.25</v>
      </c>
      <c r="K3798">
        <v>1.110792</v>
      </c>
      <c r="L3798">
        <v>26.12988</v>
      </c>
      <c r="M3798">
        <v>0.83951419999999999</v>
      </c>
      <c r="N3798">
        <v>-1.1306429999999999E-2</v>
      </c>
      <c r="O3798">
        <v>-0.54322040000000005</v>
      </c>
      <c r="P3798">
        <v>0.96752280000000002</v>
      </c>
      <c r="Q3798">
        <v>-3.9207680000000002E-2</v>
      </c>
      <c r="R3798">
        <v>-0.24972549999999999</v>
      </c>
      <c r="S3798">
        <v>2.8234859999999999</v>
      </c>
      <c r="T3798">
        <v>-0.30329319999999999</v>
      </c>
      <c r="U3798">
        <v>-1.0214840000000001</v>
      </c>
      <c r="V3798">
        <v>-0.31583559999999999</v>
      </c>
      <c r="W3798">
        <v>-2.9728000000000001E-2</v>
      </c>
      <c r="X3798">
        <v>0.94834810000000003</v>
      </c>
      <c r="Y3798">
        <v>-0.22217290000000001</v>
      </c>
      <c r="Z3798">
        <v>5.915778E-2</v>
      </c>
      <c r="AA3798">
        <v>0.97321089999999999</v>
      </c>
      <c r="AB3798">
        <v>13</v>
      </c>
      <c r="AC3798">
        <v>10.226000000000001</v>
      </c>
      <c r="AD3798">
        <v>-1.110798459163</v>
      </c>
      <c r="AE3798">
        <v>-3.6732099999999899</v>
      </c>
      <c r="AF3798">
        <v>-2.4458559640214901</v>
      </c>
      <c r="AG3798">
        <v>-1.110798459163</v>
      </c>
      <c r="AH3798">
        <v>10.471472824405501</v>
      </c>
      <c r="AI3798">
        <v>95.897630964655207</v>
      </c>
      <c r="AJ3798">
        <v>103.14705818949299</v>
      </c>
      <c r="AK3798">
        <v>10.8105424343963</v>
      </c>
      <c r="AL3798">
        <v>91.703539915451799</v>
      </c>
      <c r="AM3798">
        <v>108.419698974876</v>
      </c>
      <c r="AN3798">
        <v>0.99999999949248497</v>
      </c>
    </row>
    <row r="3799" spans="1:40" x14ac:dyDescent="0.25">
      <c r="A3799" t="str">
        <f>"20190305135705676"</f>
        <v>20190305135705676</v>
      </c>
      <c r="B3799" t="str">
        <f>"1551765425666605"</f>
        <v>1551765425666605</v>
      </c>
      <c r="C3799" t="s">
        <v>40</v>
      </c>
      <c r="D3799">
        <v>4.6317629999999896</v>
      </c>
      <c r="E3799">
        <v>0.53230010000000005</v>
      </c>
      <c r="F3799" t="s">
        <v>78</v>
      </c>
      <c r="G3799">
        <v>-400.07060000000001</v>
      </c>
      <c r="H3799" s="1">
        <v>-6.4483170000000004E-6</v>
      </c>
      <c r="I3799">
        <v>22.498699999999999</v>
      </c>
      <c r="J3799">
        <v>-410.14</v>
      </c>
      <c r="K3799">
        <v>1.1106290000000001</v>
      </c>
      <c r="L3799">
        <v>26.065670000000001</v>
      </c>
      <c r="M3799">
        <v>0.84228179999999997</v>
      </c>
      <c r="N3799">
        <v>-1.059267E-2</v>
      </c>
      <c r="O3799">
        <v>-0.538933199999999</v>
      </c>
      <c r="P3799">
        <v>0.96874289999999996</v>
      </c>
      <c r="Q3799">
        <v>-4.1104160000000001E-2</v>
      </c>
      <c r="R3799">
        <v>-0.24463799999999999</v>
      </c>
      <c r="S3799">
        <v>2.82782</v>
      </c>
      <c r="T3799">
        <v>-0.30857600000000002</v>
      </c>
      <c r="U3799">
        <v>-1.0087280000000001</v>
      </c>
      <c r="V3799">
        <v>-0.3159305</v>
      </c>
      <c r="W3799">
        <v>-3.2268989999999997E-2</v>
      </c>
      <c r="X3799">
        <v>0.9482334</v>
      </c>
      <c r="Y3799">
        <v>-0.22144440000000001</v>
      </c>
      <c r="Z3799">
        <v>6.0199950000000002E-2</v>
      </c>
      <c r="AA3799">
        <v>0.97331310000000004</v>
      </c>
      <c r="AB3799">
        <v>13</v>
      </c>
      <c r="AC3799">
        <v>10.0693999999999</v>
      </c>
      <c r="AD3799">
        <v>-1.110635448317</v>
      </c>
      <c r="AE3799">
        <v>-3.56697</v>
      </c>
      <c r="AF3799">
        <v>-2.39657099746365</v>
      </c>
      <c r="AG3799">
        <v>-1.110635448317</v>
      </c>
      <c r="AH3799">
        <v>10.2929562244087</v>
      </c>
      <c r="AI3799">
        <v>95.999274318026906</v>
      </c>
      <c r="AJ3799">
        <v>103.106996806873</v>
      </c>
      <c r="AK3799">
        <v>10.6264769082955</v>
      </c>
      <c r="AL3799">
        <v>91.849198002183599</v>
      </c>
      <c r="AM3799">
        <v>108.426938078483</v>
      </c>
      <c r="AN3799">
        <v>0.999999974710714</v>
      </c>
    </row>
    <row r="3800" spans="1:40" x14ac:dyDescent="0.25">
      <c r="A3800" t="str">
        <f>"20190305135705698"</f>
        <v>20190305135705698</v>
      </c>
      <c r="B3800" t="str">
        <f>"1551765425686121"</f>
        <v>1551765425686121</v>
      </c>
      <c r="C3800" t="s">
        <v>40</v>
      </c>
      <c r="D3800">
        <v>4.6350870000000004</v>
      </c>
      <c r="E3800">
        <v>0.53256179999999997</v>
      </c>
      <c r="F3800" t="s">
        <v>78</v>
      </c>
      <c r="G3800">
        <v>-400.22359999999998</v>
      </c>
      <c r="H3800" s="1">
        <v>-6.4064350000000001E-6</v>
      </c>
      <c r="I3800">
        <v>22.58173</v>
      </c>
      <c r="J3800">
        <v>-410.02480000000003</v>
      </c>
      <c r="K3800">
        <v>1.110492</v>
      </c>
      <c r="L3800">
        <v>25.999020000000002</v>
      </c>
      <c r="M3800">
        <v>0.84504729999999995</v>
      </c>
      <c r="N3800">
        <v>-9.8688490000000007E-3</v>
      </c>
      <c r="O3800">
        <v>-0.53460069999999904</v>
      </c>
      <c r="P3800">
        <v>0.97004480000000004</v>
      </c>
      <c r="Q3800">
        <v>-4.1696289999999997E-2</v>
      </c>
      <c r="R3800">
        <v>-0.23932149999999999</v>
      </c>
      <c r="S3800">
        <v>2.8320620000000001</v>
      </c>
      <c r="T3800">
        <v>-0.31719140000000001</v>
      </c>
      <c r="U3800">
        <v>-0.99499510000000002</v>
      </c>
      <c r="V3800">
        <v>-0.31624069999999999</v>
      </c>
      <c r="W3800">
        <v>-3.3522719999999999E-2</v>
      </c>
      <c r="X3800">
        <v>0.94808650000000005</v>
      </c>
      <c r="Y3800">
        <v>-0.22089110000000001</v>
      </c>
      <c r="Z3800">
        <v>6.192893E-2</v>
      </c>
      <c r="AA3800">
        <v>0.97333029999999998</v>
      </c>
      <c r="AB3800">
        <v>13</v>
      </c>
      <c r="AC3800">
        <v>9.8012000000000494</v>
      </c>
      <c r="AD3800">
        <v>-1.1104984064350001</v>
      </c>
      <c r="AE3800">
        <v>-3.4172899999999999</v>
      </c>
      <c r="AF3800">
        <v>-2.3254538331379502</v>
      </c>
      <c r="AG3800">
        <v>-1.1104984064350001</v>
      </c>
      <c r="AH3800">
        <v>9.9954465687776803</v>
      </c>
      <c r="AI3800">
        <v>96.175973037530994</v>
      </c>
      <c r="AJ3800">
        <v>103.096957852462</v>
      </c>
      <c r="AK3800">
        <v>10.3223008263681</v>
      </c>
      <c r="AL3800">
        <v>91.921070330212004</v>
      </c>
      <c r="AM3800">
        <v>108.44647142841499</v>
      </c>
      <c r="AN3800">
        <v>0.999999982287469</v>
      </c>
    </row>
    <row r="3801" spans="1:40" x14ac:dyDescent="0.25">
      <c r="A3801" t="str">
        <f>"20190305135705719"</f>
        <v>20190305135705719</v>
      </c>
      <c r="B3801" t="str">
        <f>"1551765425716377"</f>
        <v>1551765425716377</v>
      </c>
      <c r="C3801" t="s">
        <v>40</v>
      </c>
      <c r="D3801">
        <v>4.5760889999999996</v>
      </c>
      <c r="E3801">
        <v>0.53310919999999995</v>
      </c>
      <c r="F3801" t="s">
        <v>78</v>
      </c>
      <c r="G3801">
        <v>-400.22620000000001</v>
      </c>
      <c r="H3801" s="1">
        <v>-6.4085050000000001E-6</v>
      </c>
      <c r="I3801">
        <v>22.60783</v>
      </c>
      <c r="J3801">
        <v>-409.91300000000001</v>
      </c>
      <c r="K3801">
        <v>1.1103730000000001</v>
      </c>
      <c r="L3801">
        <v>25.93478</v>
      </c>
      <c r="M3801">
        <v>0.84760219999999897</v>
      </c>
      <c r="N3801">
        <v>-9.2031909999999995E-3</v>
      </c>
      <c r="O3801">
        <v>-0.53055240000000004</v>
      </c>
      <c r="P3801">
        <v>0.97140210000000005</v>
      </c>
      <c r="Q3801">
        <v>-4.1082199999999902E-2</v>
      </c>
      <c r="R3801">
        <v>-0.23385990000000001</v>
      </c>
      <c r="S3801">
        <v>2.8366090000000002</v>
      </c>
      <c r="T3801">
        <v>-0.32147920000000002</v>
      </c>
      <c r="U3801">
        <v>-0.98172000000000004</v>
      </c>
      <c r="V3801">
        <v>-0.317052099999999</v>
      </c>
      <c r="W3801">
        <v>-3.35248E-2</v>
      </c>
      <c r="X3801">
        <v>0.94781539999999997</v>
      </c>
      <c r="Y3801">
        <v>-0.2206698</v>
      </c>
      <c r="Z3801">
        <v>6.2740039999999997E-2</v>
      </c>
      <c r="AA3801">
        <v>0.97332859999999999</v>
      </c>
      <c r="AB3801">
        <v>14</v>
      </c>
      <c r="AC3801">
        <v>9.6867999999999999</v>
      </c>
      <c r="AD3801">
        <v>-1.1103794085050001</v>
      </c>
      <c r="AE3801">
        <v>-3.3269500000000001</v>
      </c>
      <c r="AF3801">
        <v>-2.2925779086718601</v>
      </c>
      <c r="AG3801">
        <v>-1.1103794085050001</v>
      </c>
      <c r="AH3801">
        <v>9.8602075982698398</v>
      </c>
      <c r="AI3801">
        <v>96.259543171809298</v>
      </c>
      <c r="AJ3801">
        <v>103.08917184029301</v>
      </c>
      <c r="AK3801">
        <v>10.183935868766</v>
      </c>
      <c r="AL3801">
        <v>91.921189558783098</v>
      </c>
      <c r="AM3801">
        <v>108.495515031255</v>
      </c>
      <c r="AN3801">
        <v>0.99999998940330403</v>
      </c>
    </row>
    <row r="3802" spans="1:40" x14ac:dyDescent="0.25">
      <c r="A3802" t="str">
        <f>"20190305135705743"</f>
        <v>20190305135705743</v>
      </c>
      <c r="B3802" t="str">
        <f>"1551765425736405"</f>
        <v>1551765425736405</v>
      </c>
      <c r="C3802" t="s">
        <v>40</v>
      </c>
      <c r="D3802">
        <v>4.5543120000000004</v>
      </c>
      <c r="E3802">
        <v>0.53351499999999996</v>
      </c>
      <c r="F3802" t="s">
        <v>78</v>
      </c>
      <c r="G3802">
        <v>-400.11790000000002</v>
      </c>
      <c r="H3802" s="1">
        <v>-6.4426649999999901E-6</v>
      </c>
      <c r="I3802">
        <v>22.589410000000001</v>
      </c>
      <c r="J3802">
        <v>-409.79419999999999</v>
      </c>
      <c r="K3802">
        <v>1.1102700000000001</v>
      </c>
      <c r="L3802">
        <v>25.86703</v>
      </c>
      <c r="M3802">
        <v>0.85018050000000001</v>
      </c>
      <c r="N3802">
        <v>-8.5481469999999903E-3</v>
      </c>
      <c r="O3802">
        <v>-0.5264219</v>
      </c>
      <c r="P3802">
        <v>0.97258259999999996</v>
      </c>
      <c r="Q3802">
        <v>-4.040465E-2</v>
      </c>
      <c r="R3802">
        <v>-0.22902110000000001</v>
      </c>
      <c r="S3802">
        <v>2.8410950000000001</v>
      </c>
      <c r="T3802">
        <v>-0.32206980000000002</v>
      </c>
      <c r="U3802">
        <v>-0.97033689999999995</v>
      </c>
      <c r="V3802">
        <v>-0.31717269999999997</v>
      </c>
      <c r="W3802">
        <v>-3.3449939999999997E-2</v>
      </c>
      <c r="X3802">
        <v>0.94777769999999995</v>
      </c>
      <c r="Y3802">
        <v>-0.2198705</v>
      </c>
      <c r="Z3802">
        <v>6.2720999999999999E-2</v>
      </c>
      <c r="AA3802">
        <v>0.97351069999999995</v>
      </c>
      <c r="AB3802">
        <v>14</v>
      </c>
      <c r="AC3802">
        <v>9.6762999999999693</v>
      </c>
      <c r="AD3802">
        <v>-1.110276442665</v>
      </c>
      <c r="AE3802">
        <v>-3.27761999999999</v>
      </c>
      <c r="AF3802">
        <v>-2.2803990909121699</v>
      </c>
      <c r="AG3802">
        <v>-1.110276442665</v>
      </c>
      <c r="AH3802">
        <v>9.8362048794356305</v>
      </c>
      <c r="AI3802">
        <v>96.275038881203599</v>
      </c>
      <c r="AJ3802">
        <v>103.05270436428501</v>
      </c>
      <c r="AK3802">
        <v>10.157945669435399</v>
      </c>
      <c r="AL3802">
        <v>91.916897980202705</v>
      </c>
      <c r="AM3802">
        <v>108.502757283718</v>
      </c>
      <c r="AN3802">
        <v>0.99999999436429099</v>
      </c>
    </row>
    <row r="3803" spans="1:40" x14ac:dyDescent="0.25">
      <c r="A3803" t="str">
        <f>"20190305135705764"</f>
        <v>20190305135705764</v>
      </c>
      <c r="B3803" t="str">
        <f>"1551765425755928"</f>
        <v>1551765425755928</v>
      </c>
      <c r="C3803" t="s">
        <v>40</v>
      </c>
      <c r="D3803">
        <v>4.5386759999999997</v>
      </c>
      <c r="E3803">
        <v>0.5471724</v>
      </c>
      <c r="F3803" t="s">
        <v>78</v>
      </c>
      <c r="G3803">
        <v>-399.97199999999998</v>
      </c>
      <c r="H3803" s="1">
        <v>-6.4875769999999999E-6</v>
      </c>
      <c r="I3803">
        <v>22.554269999999999</v>
      </c>
      <c r="J3803">
        <v>-409.67020000000002</v>
      </c>
      <c r="K3803">
        <v>1.1101810000000001</v>
      </c>
      <c r="L3803">
        <v>25.796880000000002</v>
      </c>
      <c r="M3803">
        <v>0.85272829999999999</v>
      </c>
      <c r="N3803">
        <v>-7.9331349999999991E-3</v>
      </c>
      <c r="O3803">
        <v>-0.52229459999999905</v>
      </c>
      <c r="P3803">
        <v>0.97346679999999997</v>
      </c>
      <c r="Q3803">
        <v>-4.1063139999999998E-2</v>
      </c>
      <c r="R3803">
        <v>-0.22511439999999999</v>
      </c>
      <c r="S3803">
        <v>2.8452449999999998</v>
      </c>
      <c r="T3803">
        <v>-0.3216194</v>
      </c>
      <c r="U3803">
        <v>-0.95962519999999996</v>
      </c>
      <c r="V3803">
        <v>-0.31636350000000002</v>
      </c>
      <c r="W3803">
        <v>-3.4665670000000003E-2</v>
      </c>
      <c r="X3803">
        <v>0.94800439999999997</v>
      </c>
      <c r="Y3803">
        <v>-0.21887319999999999</v>
      </c>
      <c r="Z3803">
        <v>6.2457110000000003E-2</v>
      </c>
      <c r="AA3803">
        <v>0.97375239999999996</v>
      </c>
      <c r="AB3803">
        <v>14</v>
      </c>
      <c r="AC3803">
        <v>9.6982000000000408</v>
      </c>
      <c r="AD3803">
        <v>-1.1101874875769999</v>
      </c>
      <c r="AE3803">
        <v>-3.2426099999999898</v>
      </c>
      <c r="AF3803">
        <v>-2.27352733083519</v>
      </c>
      <c r="AG3803">
        <v>-1.1101874875769999</v>
      </c>
      <c r="AH3803">
        <v>9.8477687958362896</v>
      </c>
      <c r="AI3803">
        <v>96.268555363901498</v>
      </c>
      <c r="AJ3803">
        <v>102.99994897350101</v>
      </c>
      <c r="AK3803">
        <v>10.1675952436096</v>
      </c>
      <c r="AL3803">
        <v>91.986594689450101</v>
      </c>
      <c r="AM3803">
        <v>108.45463917935299</v>
      </c>
      <c r="AN3803">
        <v>0.99999995761407801</v>
      </c>
    </row>
    <row r="3804" spans="1:40" x14ac:dyDescent="0.25">
      <c r="A3804" t="str">
        <f>"20190305135705787"</f>
        <v>20190305135705787</v>
      </c>
      <c r="B3804" t="str">
        <f>"1551765425776420"</f>
        <v>1551765425776420</v>
      </c>
      <c r="C3804" t="s">
        <v>40</v>
      </c>
      <c r="D3804">
        <v>4.5390940000000004</v>
      </c>
      <c r="E3804">
        <v>0.5478731</v>
      </c>
      <c r="F3804" t="s">
        <v>78</v>
      </c>
      <c r="G3804">
        <v>-401.25560000000002</v>
      </c>
      <c r="H3804" s="1">
        <v>-6.0680280000000001E-6</v>
      </c>
      <c r="I3804">
        <v>22.644380000000002</v>
      </c>
      <c r="J3804">
        <v>-409.55110000000002</v>
      </c>
      <c r="K3804">
        <v>1.1101019999999999</v>
      </c>
      <c r="L3804">
        <v>25.729949999999999</v>
      </c>
      <c r="M3804">
        <v>0.85504829999999998</v>
      </c>
      <c r="N3804">
        <v>-7.4107649999999997E-3</v>
      </c>
      <c r="O3804">
        <v>-0.5184957</v>
      </c>
      <c r="P3804">
        <v>0.97410649999999999</v>
      </c>
      <c r="Q3804">
        <v>-4.1513889999999998E-2</v>
      </c>
      <c r="R3804">
        <v>-0.22224669999999999</v>
      </c>
      <c r="S3804">
        <v>2.8215940000000002</v>
      </c>
      <c r="T3804">
        <v>-0.37226959999999998</v>
      </c>
      <c r="U3804">
        <v>-1.0570980000000001</v>
      </c>
      <c r="V3804">
        <v>-0.31492550000000002</v>
      </c>
      <c r="W3804">
        <v>-3.5580649999999998E-2</v>
      </c>
      <c r="X3804">
        <v>0.94844930000000005</v>
      </c>
      <c r="Y3804">
        <v>-0.18113650000000001</v>
      </c>
      <c r="Z3804">
        <v>7.0125270000000003E-2</v>
      </c>
      <c r="AA3804">
        <v>0.98095460000000001</v>
      </c>
      <c r="AB3804">
        <v>14</v>
      </c>
      <c r="AC3804">
        <v>8.2955000000000005</v>
      </c>
      <c r="AD3804">
        <v>-1.110108068028</v>
      </c>
      <c r="AE3804">
        <v>-3.0855700000000001</v>
      </c>
      <c r="AF3804">
        <v>-1.6371602005961601</v>
      </c>
      <c r="AG3804">
        <v>-1.110108068028</v>
      </c>
      <c r="AH3804">
        <v>8.5585075933472794</v>
      </c>
      <c r="AI3804">
        <v>97.260268933156496</v>
      </c>
      <c r="AJ3804">
        <v>100.82930769777499</v>
      </c>
      <c r="AK3804">
        <v>8.7841155314863606</v>
      </c>
      <c r="AL3804">
        <v>92.039051335292896</v>
      </c>
      <c r="AM3804">
        <v>108.368360962437</v>
      </c>
      <c r="AN3804">
        <v>1.0000000639375699</v>
      </c>
    </row>
    <row r="3805" spans="1:40" x14ac:dyDescent="0.25">
      <c r="A3805" t="str">
        <f>"20190305135705810"</f>
        <v>20190305135705810</v>
      </c>
      <c r="B3805" t="str">
        <f>"1551765425806676"</f>
        <v>1551765425806676</v>
      </c>
      <c r="C3805" t="s">
        <v>40</v>
      </c>
      <c r="D3805">
        <v>4.4952500000000004</v>
      </c>
      <c r="E3805">
        <v>0.54899319999999996</v>
      </c>
      <c r="F3805" t="s">
        <v>78</v>
      </c>
      <c r="G3805">
        <v>-401.1696</v>
      </c>
      <c r="H3805" s="1">
        <v>-6.0918989999999998E-6</v>
      </c>
      <c r="I3805">
        <v>22.60087</v>
      </c>
      <c r="J3805">
        <v>-409.42540000000002</v>
      </c>
      <c r="K3805">
        <v>1.1100239999999999</v>
      </c>
      <c r="L3805">
        <v>25.65982</v>
      </c>
      <c r="M3805">
        <v>0.85737909999999995</v>
      </c>
      <c r="N3805">
        <v>-6.9189769999999998E-3</v>
      </c>
      <c r="O3805">
        <v>-0.51463899999999996</v>
      </c>
      <c r="P3805">
        <v>0.97488359999999996</v>
      </c>
      <c r="Q3805">
        <v>-4.1692819999999998E-2</v>
      </c>
      <c r="R3805">
        <v>-0.21877869999999999</v>
      </c>
      <c r="S3805">
        <v>2.823334</v>
      </c>
      <c r="T3805">
        <v>-0.3739461</v>
      </c>
      <c r="U3805">
        <v>-1.054047</v>
      </c>
      <c r="V3805">
        <v>-0.31402340000000001</v>
      </c>
      <c r="W3805">
        <v>-3.6196730000000003E-2</v>
      </c>
      <c r="X3805">
        <v>0.94872500000000004</v>
      </c>
      <c r="Y3805">
        <v>-0.17781739999999999</v>
      </c>
      <c r="Z3805">
        <v>7.0043049999999996E-2</v>
      </c>
      <c r="AA3805">
        <v>0.98156759999999998</v>
      </c>
      <c r="AB3805">
        <v>14</v>
      </c>
      <c r="AC3805">
        <v>8.2558000000000202</v>
      </c>
      <c r="AD3805">
        <v>-1.11003009189899</v>
      </c>
      <c r="AE3805">
        <v>-3.0589499999999901</v>
      </c>
      <c r="AF3805">
        <v>-1.6006718009366001</v>
      </c>
      <c r="AG3805">
        <v>-1.11003009189899</v>
      </c>
      <c r="AH3805">
        <v>8.5174211210189696</v>
      </c>
      <c r="AI3805">
        <v>97.298848395335796</v>
      </c>
      <c r="AJ3805">
        <v>100.643407413049</v>
      </c>
      <c r="AK3805">
        <v>8.73732107525041</v>
      </c>
      <c r="AL3805">
        <v>92.074372978927101</v>
      </c>
      <c r="AM3805">
        <v>108.31429456593</v>
      </c>
      <c r="AN3805">
        <v>1.00000001231762</v>
      </c>
    </row>
    <row r="3806" spans="1:40" x14ac:dyDescent="0.25">
      <c r="A3806" t="str">
        <f>"20190305135705833"</f>
        <v>20190305135705833</v>
      </c>
      <c r="B3806" t="str">
        <f>"1551765425826197"</f>
        <v>1551765425826197</v>
      </c>
      <c r="C3806" t="s">
        <v>40</v>
      </c>
      <c r="D3806">
        <v>4.5011700000000001</v>
      </c>
      <c r="E3806">
        <v>0.55013570000000001</v>
      </c>
      <c r="F3806" t="s">
        <v>78</v>
      </c>
      <c r="G3806">
        <v>-401.05919999999998</v>
      </c>
      <c r="H3806" s="1">
        <v>-6.1223249999999999E-6</v>
      </c>
      <c r="I3806">
        <v>22.5426</v>
      </c>
      <c r="J3806">
        <v>-409.29860000000002</v>
      </c>
      <c r="K3806">
        <v>1.1099460000000001</v>
      </c>
      <c r="L3806">
        <v>25.589569999999998</v>
      </c>
      <c r="M3806">
        <v>0.85960979999999998</v>
      </c>
      <c r="N3806">
        <v>-6.4717169999999897E-3</v>
      </c>
      <c r="O3806">
        <v>-0.51090970000000002</v>
      </c>
      <c r="P3806">
        <v>0.97563500000000003</v>
      </c>
      <c r="Q3806">
        <v>-4.1351270000000002E-2</v>
      </c>
      <c r="R3806">
        <v>-0.21546850000000001</v>
      </c>
      <c r="S3806">
        <v>2.8250730000000002</v>
      </c>
      <c r="T3806">
        <v>-0.37483129999999998</v>
      </c>
      <c r="U3806">
        <v>-1.0526120000000001</v>
      </c>
      <c r="V3806">
        <v>-0.31313049999999998</v>
      </c>
      <c r="W3806">
        <v>-3.6253559999999997E-2</v>
      </c>
      <c r="X3806">
        <v>0.94901789999999997</v>
      </c>
      <c r="Y3806">
        <v>-0.17418510000000001</v>
      </c>
      <c r="Z3806">
        <v>6.9762950000000004E-2</v>
      </c>
      <c r="AA3806">
        <v>0.98223859999999996</v>
      </c>
      <c r="AB3806">
        <v>14</v>
      </c>
      <c r="AC3806">
        <v>8.2394000000000407</v>
      </c>
      <c r="AD3806">
        <v>-1.109952122325</v>
      </c>
      <c r="AE3806">
        <v>-3.04697</v>
      </c>
      <c r="AF3806">
        <v>-1.56542676256339</v>
      </c>
      <c r="AG3806">
        <v>-1.109952122325</v>
      </c>
      <c r="AH3806">
        <v>8.5038204715201093</v>
      </c>
      <c r="AI3806">
        <v>97.314886687204094</v>
      </c>
      <c r="AJ3806">
        <v>100.43052544010099</v>
      </c>
      <c r="AK3806">
        <v>8.7176554918537494</v>
      </c>
      <c r="AL3806">
        <v>92.077631256817995</v>
      </c>
      <c r="AM3806">
        <v>108.260417735159</v>
      </c>
      <c r="AN3806">
        <v>1.00000000258166</v>
      </c>
    </row>
    <row r="3807" spans="1:40" x14ac:dyDescent="0.25">
      <c r="A3807" t="str">
        <f>"20190305135705854"</f>
        <v>20190305135705854</v>
      </c>
      <c r="B3807" t="str">
        <f>"1551765425846693"</f>
        <v>1551765425846693</v>
      </c>
      <c r="C3807" t="s">
        <v>40</v>
      </c>
      <c r="D3807">
        <v>4.569941</v>
      </c>
      <c r="E3807">
        <v>0.55047080000000004</v>
      </c>
      <c r="F3807" t="s">
        <v>78</v>
      </c>
      <c r="G3807">
        <v>-400.87220000000002</v>
      </c>
      <c r="H3807" s="1">
        <v>-6.1750470000000004E-6</v>
      </c>
      <c r="I3807">
        <v>22.454979999999999</v>
      </c>
      <c r="J3807">
        <v>-409.16820000000001</v>
      </c>
      <c r="K3807">
        <v>1.109874</v>
      </c>
      <c r="L3807">
        <v>25.517849999999999</v>
      </c>
      <c r="M3807">
        <v>0.86180259999999997</v>
      </c>
      <c r="N3807">
        <v>-6.0396180000000001E-3</v>
      </c>
      <c r="O3807">
        <v>-0.50720799999999999</v>
      </c>
      <c r="P3807">
        <v>0.97622759999999997</v>
      </c>
      <c r="Q3807">
        <v>-4.3169199999999998E-2</v>
      </c>
      <c r="R3807">
        <v>-0.21240619999999999</v>
      </c>
      <c r="S3807">
        <v>2.8269039999999999</v>
      </c>
      <c r="T3807">
        <v>-0.3723725</v>
      </c>
      <c r="U3807">
        <v>-1.0516049999999999</v>
      </c>
      <c r="V3807">
        <v>-0.31197909999999901</v>
      </c>
      <c r="W3807">
        <v>-3.8462499999999997E-2</v>
      </c>
      <c r="X3807">
        <v>0.94931010000000005</v>
      </c>
      <c r="Y3807">
        <v>-0.1705545</v>
      </c>
      <c r="Z3807">
        <v>6.8832169999999998E-2</v>
      </c>
      <c r="AA3807">
        <v>0.98294119999999996</v>
      </c>
      <c r="AB3807">
        <v>15</v>
      </c>
      <c r="AC3807">
        <v>8.2959999999999905</v>
      </c>
      <c r="AD3807">
        <v>-1.109880175047</v>
      </c>
      <c r="AE3807">
        <v>-3.0628700000000002</v>
      </c>
      <c r="AF3807">
        <v>-1.54391787053346</v>
      </c>
      <c r="AG3807">
        <v>-1.109880175047</v>
      </c>
      <c r="AH3807">
        <v>8.5682231908491193</v>
      </c>
      <c r="AI3807">
        <v>97.264960139060705</v>
      </c>
      <c r="AJ3807">
        <v>100.21458096977</v>
      </c>
      <c r="AK3807">
        <v>8.7766716380481995</v>
      </c>
      <c r="AL3807">
        <v>92.204282649317307</v>
      </c>
      <c r="AM3807">
        <v>108.19247338167</v>
      </c>
      <c r="AN3807">
        <v>0.99999999435253495</v>
      </c>
    </row>
    <row r="3808" spans="1:40" x14ac:dyDescent="0.25">
      <c r="A3808" t="str">
        <f>"20190305135705877"</f>
        <v>20190305135705877</v>
      </c>
      <c r="B3808" t="str">
        <f>"1551765425866213"</f>
        <v>1551765425866213</v>
      </c>
      <c r="C3808" t="s">
        <v>40</v>
      </c>
      <c r="D3808">
        <v>4.3574510000000002</v>
      </c>
      <c r="E3808">
        <v>0.54815550000000002</v>
      </c>
      <c r="F3808" t="s">
        <v>78</v>
      </c>
      <c r="G3808">
        <v>-400.89519999999999</v>
      </c>
      <c r="H3808" s="1">
        <v>-6.168081E-6</v>
      </c>
      <c r="I3808">
        <v>22.461510000000001</v>
      </c>
      <c r="J3808">
        <v>-409.0394</v>
      </c>
      <c r="K3808">
        <v>1.1098159999999999</v>
      </c>
      <c r="L3808">
        <v>25.447569999999999</v>
      </c>
      <c r="M3808">
        <v>0.86388609999999899</v>
      </c>
      <c r="N3808">
        <v>-5.6351429999999996E-3</v>
      </c>
      <c r="O3808">
        <v>-0.50365559999999998</v>
      </c>
      <c r="P3808">
        <v>0.97686719999999905</v>
      </c>
      <c r="Q3808">
        <v>-4.5517259999999997E-2</v>
      </c>
      <c r="R3808">
        <v>-0.2089462</v>
      </c>
      <c r="S3808">
        <v>2.8288880000000001</v>
      </c>
      <c r="T3808">
        <v>-0.37951869999999999</v>
      </c>
      <c r="U3808">
        <v>-1.045105</v>
      </c>
      <c r="V3808">
        <v>-0.31136970000000003</v>
      </c>
      <c r="W3808">
        <v>-4.1193699999999903E-2</v>
      </c>
      <c r="X3808">
        <v>0.94939560000000001</v>
      </c>
      <c r="Y3808">
        <v>-0.1685516</v>
      </c>
      <c r="Z3808">
        <v>6.9858039999999996E-2</v>
      </c>
      <c r="AA3808">
        <v>0.98321420000000004</v>
      </c>
      <c r="AB3808">
        <v>15</v>
      </c>
      <c r="AC3808">
        <v>8.1442000000000103</v>
      </c>
      <c r="AD3808">
        <v>-1.1098221680810001</v>
      </c>
      <c r="AE3808">
        <v>-2.9860600000000002</v>
      </c>
      <c r="AF3808">
        <v>-1.49776302168997</v>
      </c>
      <c r="AG3808">
        <v>-1.1098221680810001</v>
      </c>
      <c r="AH3808">
        <v>8.4022042591823105</v>
      </c>
      <c r="AI3808">
        <v>97.409005265445401</v>
      </c>
      <c r="AJ3808">
        <v>100.107286658611</v>
      </c>
      <c r="AK3808">
        <v>8.60651124015574</v>
      </c>
      <c r="AL3808">
        <v>92.3608931627614</v>
      </c>
      <c r="AM3808">
        <v>108.15774374694</v>
      </c>
      <c r="AN3808">
        <v>1.00000000814857</v>
      </c>
    </row>
    <row r="3809" spans="1:40" x14ac:dyDescent="0.25">
      <c r="A3809" t="str">
        <f>"20190305135705900"</f>
        <v>20190305135705900</v>
      </c>
      <c r="B3809" t="str">
        <f>"1551765425896469"</f>
        <v>1551765425896469</v>
      </c>
      <c r="C3809" t="s">
        <v>40</v>
      </c>
      <c r="D3809">
        <v>4.3145030000000002</v>
      </c>
      <c r="E3809">
        <v>0.48596289999999998</v>
      </c>
      <c r="F3809" t="s">
        <v>78</v>
      </c>
      <c r="G3809">
        <v>-401.27080000000001</v>
      </c>
      <c r="H3809" s="1">
        <v>-6.0645140000000001E-6</v>
      </c>
      <c r="I3809">
        <v>22.65849</v>
      </c>
      <c r="J3809">
        <v>-408.91019999999997</v>
      </c>
      <c r="K3809">
        <v>1.109782</v>
      </c>
      <c r="L3809">
        <v>25.377559999999999</v>
      </c>
      <c r="M3809">
        <v>0.86590889999999998</v>
      </c>
      <c r="N3809">
        <v>-5.2419299999999997E-3</v>
      </c>
      <c r="O3809">
        <v>-0.50017409999999995</v>
      </c>
      <c r="P3809">
        <v>0.97767389999999998</v>
      </c>
      <c r="Q3809">
        <v>-4.7653180000000003E-2</v>
      </c>
      <c r="R3809">
        <v>-0.20465349999999999</v>
      </c>
      <c r="S3809">
        <v>2.8345030000000002</v>
      </c>
      <c r="T3809">
        <v>-0.40493620000000002</v>
      </c>
      <c r="U3809">
        <v>-1.017639</v>
      </c>
      <c r="V3809">
        <v>-0.31165589999999999</v>
      </c>
      <c r="W3809">
        <v>-4.3718060000000003E-2</v>
      </c>
      <c r="X3809">
        <v>0.94918880000000005</v>
      </c>
      <c r="Y3809">
        <v>-0.1729445</v>
      </c>
      <c r="Z3809">
        <v>7.4771210000000005E-2</v>
      </c>
      <c r="AA3809">
        <v>0.98208930000000005</v>
      </c>
      <c r="AB3809">
        <v>15</v>
      </c>
      <c r="AC3809">
        <v>7.6393999999999602</v>
      </c>
      <c r="AD3809">
        <v>-1.1097880645139999</v>
      </c>
      <c r="AE3809">
        <v>-2.7190699999999901</v>
      </c>
      <c r="AF3809">
        <v>-1.43961799155532</v>
      </c>
      <c r="AG3809">
        <v>-1.1097880645139999</v>
      </c>
      <c r="AH3809">
        <v>7.8285078271893598</v>
      </c>
      <c r="AI3809">
        <v>97.937269879199107</v>
      </c>
      <c r="AJ3809">
        <v>100.41995074923599</v>
      </c>
      <c r="AK3809">
        <v>8.0367695195341096</v>
      </c>
      <c r="AL3809">
        <v>92.505658865064703</v>
      </c>
      <c r="AM3809">
        <v>108.177036137708</v>
      </c>
      <c r="AN3809">
        <v>1.0000000234102</v>
      </c>
    </row>
    <row r="3810" spans="1:40" x14ac:dyDescent="0.25">
      <c r="A3810" t="str">
        <f>"20190305135705922"</f>
        <v>20190305135705922</v>
      </c>
      <c r="B3810" t="str">
        <f>"1551765425915988"</f>
        <v>1551765425915988</v>
      </c>
      <c r="C3810" t="s">
        <v>40</v>
      </c>
      <c r="D3810">
        <v>4.3115670000000001</v>
      </c>
      <c r="E3810">
        <v>0.48788340000000002</v>
      </c>
      <c r="F3810" t="s">
        <v>42</v>
      </c>
      <c r="G3810">
        <v>-391.38409999999999</v>
      </c>
      <c r="H3810" s="1">
        <v>-4.668527E-6</v>
      </c>
      <c r="I3810">
        <v>22.37163</v>
      </c>
      <c r="J3810">
        <v>-408.77480000000003</v>
      </c>
      <c r="K3810">
        <v>1.1097570000000001</v>
      </c>
      <c r="L3810">
        <v>25.304690000000001</v>
      </c>
      <c r="M3810">
        <v>0.86796200000000001</v>
      </c>
      <c r="N3810">
        <v>-4.8267179999999998E-3</v>
      </c>
      <c r="O3810">
        <v>-0.49660729999999997</v>
      </c>
      <c r="P3810">
        <v>0.97860259999999999</v>
      </c>
      <c r="Q3810">
        <v>-4.7700039999999999E-2</v>
      </c>
      <c r="R3810">
        <v>-0.20015459999999999</v>
      </c>
      <c r="S3810">
        <v>2.9533390000000002</v>
      </c>
      <c r="T3810">
        <v>-0.18701039999999999</v>
      </c>
      <c r="U3810">
        <v>-0.50653079999999995</v>
      </c>
      <c r="V3810">
        <v>-0.3121102</v>
      </c>
      <c r="W3810">
        <v>-4.4181570000000003E-2</v>
      </c>
      <c r="X3810">
        <v>0.94901800000000003</v>
      </c>
      <c r="Y3810">
        <v>-0.34130559999999899</v>
      </c>
      <c r="Z3810">
        <v>3.8824190000000001E-2</v>
      </c>
      <c r="AA3810">
        <v>0.93915020000000005</v>
      </c>
      <c r="AB3810">
        <v>15</v>
      </c>
      <c r="AC3810">
        <v>17.390699999999999</v>
      </c>
      <c r="AD3810">
        <v>-1.109761668527</v>
      </c>
      <c r="AE3810">
        <v>-2.9330599999999998</v>
      </c>
      <c r="AF3810">
        <v>-6.0666134978128197</v>
      </c>
      <c r="AG3810">
        <v>-1.109761668527</v>
      </c>
      <c r="AH3810">
        <v>16.485960654194098</v>
      </c>
      <c r="AI3810">
        <v>93.6147992558666</v>
      </c>
      <c r="AJ3810">
        <v>110.202941695421</v>
      </c>
      <c r="AK3810">
        <v>17.601768916345101</v>
      </c>
      <c r="AL3810">
        <v>92.532241837019996</v>
      </c>
      <c r="AM3810">
        <v>108.204846644361</v>
      </c>
      <c r="AN3810">
        <v>0.99999997619785197</v>
      </c>
    </row>
    <row r="3811" spans="1:40" x14ac:dyDescent="0.25">
      <c r="A3811" t="str">
        <f>"20190305135705944"</f>
        <v>20190305135705944</v>
      </c>
      <c r="B3811" t="str">
        <f>"1551765425936486"</f>
        <v>1551765425936486</v>
      </c>
      <c r="C3811" t="s">
        <v>40</v>
      </c>
      <c r="D3811">
        <v>4.2792879999999904</v>
      </c>
      <c r="E3811">
        <v>0.48963220000000002</v>
      </c>
      <c r="F3811" t="s">
        <v>42</v>
      </c>
      <c r="G3811">
        <v>-390.75639999999999</v>
      </c>
      <c r="H3811" s="1">
        <v>-4.880319E-6</v>
      </c>
      <c r="I3811">
        <v>22.206810000000001</v>
      </c>
      <c r="J3811">
        <v>-408.64460000000003</v>
      </c>
      <c r="K3811">
        <v>1.109726</v>
      </c>
      <c r="L3811">
        <v>25.23526</v>
      </c>
      <c r="M3811">
        <v>0.86987510000000001</v>
      </c>
      <c r="N3811">
        <v>-4.4130710000000002E-3</v>
      </c>
      <c r="O3811">
        <v>-0.49325210000000003</v>
      </c>
      <c r="P3811">
        <v>0.97950579999999998</v>
      </c>
      <c r="Q3811">
        <v>-4.6435270000000001E-2</v>
      </c>
      <c r="R3811">
        <v>-0.1959911</v>
      </c>
      <c r="S3811">
        <v>2.9529109999999998</v>
      </c>
      <c r="T3811">
        <v>-0.1818717</v>
      </c>
      <c r="U3811">
        <v>-0.50769039999999999</v>
      </c>
      <c r="V3811">
        <v>-0.31251060000000003</v>
      </c>
      <c r="W3811">
        <v>-4.3331509999999997E-2</v>
      </c>
      <c r="X3811">
        <v>0.94892540000000003</v>
      </c>
      <c r="Y3811">
        <v>-0.33737689999999998</v>
      </c>
      <c r="Z3811">
        <v>3.7570319999999997E-2</v>
      </c>
      <c r="AA3811">
        <v>0.9406196</v>
      </c>
      <c r="AB3811">
        <v>15</v>
      </c>
      <c r="AC3811">
        <v>17.888200000000001</v>
      </c>
      <c r="AD3811">
        <v>-1.109730880319</v>
      </c>
      <c r="AE3811">
        <v>-3.0284499999999901</v>
      </c>
      <c r="AF3811">
        <v>-6.1660106012355396</v>
      </c>
      <c r="AG3811">
        <v>-1.109730880319</v>
      </c>
      <c r="AH3811">
        <v>16.990887866768698</v>
      </c>
      <c r="AI3811">
        <v>93.5132926735984</v>
      </c>
      <c r="AJ3811">
        <v>109.945886375437</v>
      </c>
      <c r="AK3811">
        <v>18.109154034973301</v>
      </c>
      <c r="AL3811">
        <v>92.483490344113406</v>
      </c>
      <c r="AM3811">
        <v>108.228319161014</v>
      </c>
      <c r="AN3811">
        <v>0.99999995481819903</v>
      </c>
    </row>
    <row r="3812" spans="1:40" x14ac:dyDescent="0.25">
      <c r="A3812" t="str">
        <f>"20190305135705967"</f>
        <v>20190305135705967</v>
      </c>
      <c r="B3812" t="str">
        <f>"1551765425956005"</f>
        <v>1551765425956005</v>
      </c>
      <c r="C3812" t="s">
        <v>40</v>
      </c>
      <c r="D3812">
        <v>4.2913129999999997</v>
      </c>
      <c r="E3812">
        <v>0.49107919999999999</v>
      </c>
      <c r="F3812" t="s">
        <v>42</v>
      </c>
      <c r="G3812">
        <v>-390.20209999999997</v>
      </c>
      <c r="H3812" s="1">
        <v>-5.0666349999999998E-6</v>
      </c>
      <c r="I3812">
        <v>22.056999999999999</v>
      </c>
      <c r="J3812">
        <v>-408.50139999999999</v>
      </c>
      <c r="K3812">
        <v>1.1096809999999999</v>
      </c>
      <c r="L3812">
        <v>25.15936</v>
      </c>
      <c r="M3812">
        <v>0.87191749999999901</v>
      </c>
      <c r="N3812">
        <v>-3.9429770000000003E-3</v>
      </c>
      <c r="O3812">
        <v>-0.48963719999999999</v>
      </c>
      <c r="P3812">
        <v>0.98054209999999997</v>
      </c>
      <c r="Q3812">
        <v>-4.5259569999999999E-2</v>
      </c>
      <c r="R3812">
        <v>-0.19102160000000001</v>
      </c>
      <c r="S3812">
        <v>2.9525450000000002</v>
      </c>
      <c r="T3812">
        <v>-0.17766129999999999</v>
      </c>
      <c r="U3812">
        <v>-0.50881960000000004</v>
      </c>
      <c r="V3812">
        <v>-0.31340869999999998</v>
      </c>
      <c r="W3812">
        <v>-4.2625290000000003E-2</v>
      </c>
      <c r="X3812">
        <v>0.94866119999999998</v>
      </c>
      <c r="Y3812">
        <v>-0.33316469999999998</v>
      </c>
      <c r="Z3812">
        <v>3.6525660000000001E-2</v>
      </c>
      <c r="AA3812">
        <v>0.94216089999999997</v>
      </c>
      <c r="AB3812">
        <v>15</v>
      </c>
      <c r="AC3812">
        <v>18.299299999999999</v>
      </c>
      <c r="AD3812">
        <v>-1.1096860666349999</v>
      </c>
      <c r="AE3812">
        <v>-3.10236</v>
      </c>
      <c r="AF3812">
        <v>-6.2327842659834802</v>
      </c>
      <c r="AG3812">
        <v>-1.1096860666349999</v>
      </c>
      <c r="AH3812">
        <v>17.4124023215068</v>
      </c>
      <c r="AI3812">
        <v>93.4337158908736</v>
      </c>
      <c r="AJ3812">
        <v>109.69487134195801</v>
      </c>
      <c r="AK3812">
        <v>18.5275675003167</v>
      </c>
      <c r="AL3812">
        <v>92.442989381679297</v>
      </c>
      <c r="AM3812">
        <v>108.28197811350699</v>
      </c>
      <c r="AN3812">
        <v>1.0000000004843499</v>
      </c>
    </row>
    <row r="3813" spans="1:40" x14ac:dyDescent="0.25">
      <c r="A3813" t="str">
        <f>"20190305135705989"</f>
        <v>20190305135705989</v>
      </c>
      <c r="B3813" t="str">
        <f>"1551765425976501"</f>
        <v>1551765425976501</v>
      </c>
      <c r="C3813" t="s">
        <v>40</v>
      </c>
      <c r="D3813">
        <v>4.305739</v>
      </c>
      <c r="E3813">
        <v>0.49218339999999999</v>
      </c>
      <c r="F3813" t="s">
        <v>84</v>
      </c>
      <c r="G3813">
        <v>-389.30810000000002</v>
      </c>
      <c r="H3813" s="1">
        <v>-9.2906480000000003E-7</v>
      </c>
      <c r="I3813">
        <v>21.87715</v>
      </c>
      <c r="J3813">
        <v>-408.36770000000001</v>
      </c>
      <c r="K3813">
        <v>1.1096299999999999</v>
      </c>
      <c r="L3813">
        <v>25.089169999999999</v>
      </c>
      <c r="M3813">
        <v>0.87376139999999902</v>
      </c>
      <c r="N3813">
        <v>-3.5005909999999999E-3</v>
      </c>
      <c r="O3813">
        <v>-0.48634240000000001</v>
      </c>
      <c r="P3813">
        <v>0.98150879999999996</v>
      </c>
      <c r="Q3813">
        <v>-4.4581250000000003E-2</v>
      </c>
      <c r="R3813">
        <v>-0.1861536</v>
      </c>
      <c r="S3813">
        <v>2.9532780000000001</v>
      </c>
      <c r="T3813">
        <v>-0.1707467</v>
      </c>
      <c r="U3813">
        <v>-0.50503540000000002</v>
      </c>
      <c r="V3813">
        <v>-0.31454840000000001</v>
      </c>
      <c r="W3813">
        <v>-4.2384270000000002E-2</v>
      </c>
      <c r="X3813">
        <v>0.94829470000000005</v>
      </c>
      <c r="Y3813">
        <v>-0.33091759999999998</v>
      </c>
      <c r="Z3813">
        <v>3.4982020000000003E-2</v>
      </c>
      <c r="AA3813">
        <v>0.94301100000000004</v>
      </c>
      <c r="AB3813">
        <v>16</v>
      </c>
      <c r="AC3813">
        <v>19.0595999999999</v>
      </c>
      <c r="AD3813">
        <v>-1.1096309290648001</v>
      </c>
      <c r="AE3813">
        <v>-3.2120199999999999</v>
      </c>
      <c r="AF3813">
        <v>-6.4417605065484</v>
      </c>
      <c r="AG3813">
        <v>-1.1096309290648001</v>
      </c>
      <c r="AH3813">
        <v>18.1559551024543</v>
      </c>
      <c r="AI3813">
        <v>93.296519543613798</v>
      </c>
      <c r="AJ3813">
        <v>109.53476250265</v>
      </c>
      <c r="AK3813">
        <v>19.296794161331501</v>
      </c>
      <c r="AL3813">
        <v>92.429167510883701</v>
      </c>
      <c r="AM3813">
        <v>108.350630979595</v>
      </c>
      <c r="AN3813">
        <v>0.99999998016704095</v>
      </c>
    </row>
    <row r="3814" spans="1:40" x14ac:dyDescent="0.25">
      <c r="A3814" t="str">
        <f>"20190305135706012"</f>
        <v>20190305135706012</v>
      </c>
      <c r="B3814" t="str">
        <f>"1551765426006757"</f>
        <v>1551765426006757</v>
      </c>
      <c r="C3814" t="s">
        <v>40</v>
      </c>
      <c r="D3814">
        <v>4.3262640000000001</v>
      </c>
      <c r="E3814">
        <v>0.49371350000000003</v>
      </c>
      <c r="F3814" t="s">
        <v>84</v>
      </c>
      <c r="G3814">
        <v>-388.69630000000001</v>
      </c>
      <c r="H3814" s="1">
        <v>-1.1890050000000001E-6</v>
      </c>
      <c r="I3814">
        <v>21.767209999999999</v>
      </c>
      <c r="J3814">
        <v>-408.2244</v>
      </c>
      <c r="K3814">
        <v>1.109561</v>
      </c>
      <c r="L3814">
        <v>25.01437</v>
      </c>
      <c r="M3814">
        <v>0.87566719999999898</v>
      </c>
      <c r="N3814">
        <v>-3.0371840000000001E-3</v>
      </c>
      <c r="O3814">
        <v>-0.48290569999999999</v>
      </c>
      <c r="P3814">
        <v>0.98233309999999996</v>
      </c>
      <c r="Q3814">
        <v>-4.5359330000000003E-2</v>
      </c>
      <c r="R3814">
        <v>-0.18156149999999999</v>
      </c>
      <c r="S3814">
        <v>2.9543149999999998</v>
      </c>
      <c r="T3814">
        <v>-0.16664770000000001</v>
      </c>
      <c r="U3814">
        <v>-0.49890139999999999</v>
      </c>
      <c r="V3814">
        <v>-0.31523390000000001</v>
      </c>
      <c r="W3814">
        <v>-4.3611480000000001E-2</v>
      </c>
      <c r="X3814">
        <v>0.94801139999999995</v>
      </c>
      <c r="Y3814">
        <v>-0.32922459999999998</v>
      </c>
      <c r="Z3814">
        <v>3.4062710000000003E-2</v>
      </c>
      <c r="AA3814">
        <v>0.94363710000000001</v>
      </c>
      <c r="AB3814">
        <v>16</v>
      </c>
      <c r="AC3814">
        <v>19.528099999999899</v>
      </c>
      <c r="AD3814">
        <v>-1.109562189005</v>
      </c>
      <c r="AE3814">
        <v>-3.2471599999999898</v>
      </c>
      <c r="AF3814">
        <v>-6.5662012867683499</v>
      </c>
      <c r="AG3814">
        <v>-1.109562189005</v>
      </c>
      <c r="AH3814">
        <v>18.609810214658498</v>
      </c>
      <c r="AI3814">
        <v>93.218080967465795</v>
      </c>
      <c r="AJ3814">
        <v>109.434649411656</v>
      </c>
      <c r="AK3814">
        <v>19.7654032039631</v>
      </c>
      <c r="AL3814">
        <v>92.499546525518696</v>
      </c>
      <c r="AM3814">
        <v>108.393060627879</v>
      </c>
      <c r="AN3814">
        <v>0.99999999371348003</v>
      </c>
    </row>
    <row r="3815" spans="1:40" x14ac:dyDescent="0.25">
      <c r="A3815" t="str">
        <f>"20190305135706034"</f>
        <v>20190305135706034</v>
      </c>
      <c r="B3815" t="str">
        <f>"1551765426026276"</f>
        <v>1551765426026276</v>
      </c>
      <c r="C3815" t="s">
        <v>40</v>
      </c>
      <c r="D3815">
        <v>4.3106289999999996</v>
      </c>
      <c r="E3815">
        <v>0.49470799999999998</v>
      </c>
      <c r="F3815" t="s">
        <v>84</v>
      </c>
      <c r="G3815">
        <v>-388.6841</v>
      </c>
      <c r="H3815" s="1">
        <v>-1.184014E-6</v>
      </c>
      <c r="I3815">
        <v>21.726669999999999</v>
      </c>
      <c r="J3815">
        <v>-408.0752</v>
      </c>
      <c r="K3815">
        <v>1.1094869999999999</v>
      </c>
      <c r="L3815">
        <v>24.937190000000001</v>
      </c>
      <c r="M3815">
        <v>0.87755890000000003</v>
      </c>
      <c r="N3815">
        <v>-2.5826949999999999E-3</v>
      </c>
      <c r="O3815">
        <v>-0.4794621</v>
      </c>
      <c r="P3815">
        <v>0.98303039999999997</v>
      </c>
      <c r="Q3815">
        <v>-4.5831120000000003E-2</v>
      </c>
      <c r="R3815">
        <v>-0.17762639999999999</v>
      </c>
      <c r="S3815">
        <v>2.9543149999999998</v>
      </c>
      <c r="T3815">
        <v>-0.1677555</v>
      </c>
      <c r="U3815">
        <v>-0.49707030000000002</v>
      </c>
      <c r="V3815">
        <v>-0.31529190000000001</v>
      </c>
      <c r="W3815">
        <v>-4.4515150000000003E-2</v>
      </c>
      <c r="X3815">
        <v>0.94795010000000002</v>
      </c>
      <c r="Y3815">
        <v>-0.32606839999999998</v>
      </c>
      <c r="Z3815">
        <v>3.4197699999999998E-2</v>
      </c>
      <c r="AA3815">
        <v>0.94472739999999999</v>
      </c>
      <c r="AB3815">
        <v>16</v>
      </c>
      <c r="AC3815">
        <v>19.391099999999899</v>
      </c>
      <c r="AD3815">
        <v>-1.1094881840140001</v>
      </c>
      <c r="AE3815">
        <v>-3.21051999999999</v>
      </c>
      <c r="AF3815">
        <v>-6.4593163477744904</v>
      </c>
      <c r="AG3815">
        <v>-1.1094881840140001</v>
      </c>
      <c r="AH3815">
        <v>18.497275995468001</v>
      </c>
      <c r="AI3815">
        <v>93.241070882944399</v>
      </c>
      <c r="AJ3815">
        <v>109.249388180924</v>
      </c>
      <c r="AK3815">
        <v>19.6240401284652</v>
      </c>
      <c r="AL3815">
        <v>92.551373360558401</v>
      </c>
      <c r="AM3815">
        <v>108.397326474697</v>
      </c>
      <c r="AN3815">
        <v>0.99999998643757104</v>
      </c>
    </row>
    <row r="3816" spans="1:40" x14ac:dyDescent="0.25">
      <c r="A3816" t="str">
        <f>"20190305135706056"</f>
        <v>20190305135706056</v>
      </c>
      <c r="B3816" t="str">
        <f>"1551765426046777"</f>
        <v>1551765426046777</v>
      </c>
      <c r="C3816" t="s">
        <v>40</v>
      </c>
      <c r="D3816">
        <v>4.3065689999999996</v>
      </c>
      <c r="E3816">
        <v>0.50764849999999995</v>
      </c>
      <c r="F3816" t="s">
        <v>84</v>
      </c>
      <c r="G3816">
        <v>-388.41919999999999</v>
      </c>
      <c r="H3816" s="1">
        <v>-1.2910969999999999E-6</v>
      </c>
      <c r="I3816">
        <v>21.658550000000002</v>
      </c>
      <c r="J3816">
        <v>-407.93049999999999</v>
      </c>
      <c r="K3816">
        <v>1.1094310000000001</v>
      </c>
      <c r="L3816">
        <v>24.862819999999999</v>
      </c>
      <c r="M3816">
        <v>0.87931489999999901</v>
      </c>
      <c r="N3816">
        <v>-2.1737520000000001E-3</v>
      </c>
      <c r="O3816">
        <v>-0.47623589999999999</v>
      </c>
      <c r="P3816">
        <v>0.98364589999999996</v>
      </c>
      <c r="Q3816">
        <v>-4.5358500000000003E-2</v>
      </c>
      <c r="R3816">
        <v>-0.174309299999999</v>
      </c>
      <c r="S3816">
        <v>2.9549560000000001</v>
      </c>
      <c r="T3816">
        <v>-0.166793</v>
      </c>
      <c r="U3816">
        <v>-0.49288939999999998</v>
      </c>
      <c r="V3816">
        <v>-0.31501780000000001</v>
      </c>
      <c r="W3816">
        <v>-4.4430579999999997E-2</v>
      </c>
      <c r="X3816">
        <v>0.94804520000000003</v>
      </c>
      <c r="Y3816">
        <v>-0.3239437</v>
      </c>
      <c r="Z3816">
        <v>3.3919190000000002E-2</v>
      </c>
      <c r="AA3816">
        <v>0.94546810000000003</v>
      </c>
      <c r="AB3816">
        <v>16</v>
      </c>
      <c r="AC3816">
        <v>19.511299999999999</v>
      </c>
      <c r="AD3816">
        <v>-1.109432291097</v>
      </c>
      <c r="AE3816">
        <v>-3.2042700000000002</v>
      </c>
      <c r="AF3816">
        <v>-6.4541150267784397</v>
      </c>
      <c r="AG3816">
        <v>-1.109432291097</v>
      </c>
      <c r="AH3816">
        <v>18.623975664510301</v>
      </c>
      <c r="AI3816">
        <v>93.221553948592302</v>
      </c>
      <c r="AJ3816">
        <v>109.11369354779799</v>
      </c>
      <c r="AK3816">
        <v>19.741806156977798</v>
      </c>
      <c r="AL3816">
        <v>92.546523033126604</v>
      </c>
      <c r="AM3816">
        <v>108.38068825365001</v>
      </c>
      <c r="AN3816">
        <v>0.99999999599950795</v>
      </c>
    </row>
    <row r="3817" spans="1:40" x14ac:dyDescent="0.25">
      <c r="A3817" t="str">
        <f>"20190305135706078"</f>
        <v>20190305135706078</v>
      </c>
      <c r="B3817" t="str">
        <f>"1551765426066293"</f>
        <v>1551765426066293</v>
      </c>
      <c r="C3817" t="s">
        <v>40</v>
      </c>
      <c r="D3817">
        <v>4.3457489999999996</v>
      </c>
      <c r="E3817">
        <v>0.50693770000000005</v>
      </c>
      <c r="F3817" t="s">
        <v>84</v>
      </c>
      <c r="G3817">
        <v>-384.21839999999997</v>
      </c>
      <c r="H3817" s="1">
        <v>-2.878029E-6</v>
      </c>
      <c r="I3817">
        <v>20.159800000000001</v>
      </c>
      <c r="J3817">
        <v>-407.78919999999999</v>
      </c>
      <c r="K3817">
        <v>1.1093850000000001</v>
      </c>
      <c r="L3817">
        <v>24.790800000000001</v>
      </c>
      <c r="M3817">
        <v>0.88095159999999995</v>
      </c>
      <c r="N3817">
        <v>-1.809948E-3</v>
      </c>
      <c r="O3817">
        <v>-0.47320299999999998</v>
      </c>
      <c r="P3817">
        <v>0.98430410000000002</v>
      </c>
      <c r="Q3817">
        <v>-4.460248E-2</v>
      </c>
      <c r="R3817">
        <v>-0.17075209999999999</v>
      </c>
      <c r="S3817">
        <v>2.9402159999999999</v>
      </c>
      <c r="T3817">
        <v>-0.137566299999999</v>
      </c>
      <c r="U3817">
        <v>-0.58316040000000002</v>
      </c>
      <c r="V3817">
        <v>-0.31519619999999998</v>
      </c>
      <c r="W3817">
        <v>-4.4018910000000001E-2</v>
      </c>
      <c r="X3817">
        <v>0.94800510000000004</v>
      </c>
      <c r="Y3817">
        <v>-0.29204330000000001</v>
      </c>
      <c r="Z3817">
        <v>2.7118380000000001E-2</v>
      </c>
      <c r="AA3817">
        <v>0.95602050000000005</v>
      </c>
      <c r="AB3817">
        <v>17</v>
      </c>
      <c r="AC3817">
        <v>23.570799999999998</v>
      </c>
      <c r="AD3817">
        <v>-1.1093878780290001</v>
      </c>
      <c r="AE3817">
        <v>-4.6310000000000002</v>
      </c>
      <c r="AF3817">
        <v>-7.0590415382474401</v>
      </c>
      <c r="AG3817">
        <v>-1.1093878780290001</v>
      </c>
      <c r="AH3817">
        <v>22.9073149029334</v>
      </c>
      <c r="AI3817">
        <v>92.649859406929096</v>
      </c>
      <c r="AJ3817">
        <v>107.127029957875</v>
      </c>
      <c r="AK3817">
        <v>23.995955595991099</v>
      </c>
      <c r="AL3817">
        <v>92.522912996374899</v>
      </c>
      <c r="AM3817">
        <v>108.391122942891</v>
      </c>
      <c r="AN3817">
        <v>0.99999998927901901</v>
      </c>
    </row>
    <row r="3818" spans="1:40" x14ac:dyDescent="0.25">
      <c r="A3818" t="str">
        <f>"20190305135706100"</f>
        <v>20190305135706100</v>
      </c>
      <c r="B3818" t="str">
        <f>"1551765426096549"</f>
        <v>1551765426096549</v>
      </c>
      <c r="C3818" t="s">
        <v>40</v>
      </c>
      <c r="D3818">
        <v>4.3163910000000003</v>
      </c>
      <c r="E3818">
        <v>0.50656329999999905</v>
      </c>
      <c r="F3818" t="s">
        <v>84</v>
      </c>
      <c r="G3818">
        <v>-384.71539999999999</v>
      </c>
      <c r="H3818" s="1">
        <v>-2.6918249999999998E-6</v>
      </c>
      <c r="I3818">
        <v>20.3429</v>
      </c>
      <c r="J3818">
        <v>-407.63940000000002</v>
      </c>
      <c r="K3818">
        <v>1.1093329999999999</v>
      </c>
      <c r="L3818">
        <v>24.714939999999999</v>
      </c>
      <c r="M3818">
        <v>0.88260360000000004</v>
      </c>
      <c r="N3818">
        <v>-1.458294E-3</v>
      </c>
      <c r="O3818">
        <v>-0.47011579999999897</v>
      </c>
      <c r="P3818">
        <v>0.98484689999999997</v>
      </c>
      <c r="Q3818">
        <v>-4.3684389999999997E-2</v>
      </c>
      <c r="R3818">
        <v>-0.16783509999999999</v>
      </c>
      <c r="S3818">
        <v>2.9430239999999999</v>
      </c>
      <c r="T3818">
        <v>-0.1415004</v>
      </c>
      <c r="U3818">
        <v>-0.56732179999999999</v>
      </c>
      <c r="V3818">
        <v>-0.31470799999999999</v>
      </c>
      <c r="W3818">
        <v>-4.3422990000000002E-2</v>
      </c>
      <c r="X3818">
        <v>0.94819469999999995</v>
      </c>
      <c r="Y3818">
        <v>-0.29377700000000001</v>
      </c>
      <c r="Z3818">
        <v>2.7944070000000001E-2</v>
      </c>
      <c r="AA3818">
        <v>0.95546540000000002</v>
      </c>
      <c r="AB3818">
        <v>17</v>
      </c>
      <c r="AC3818">
        <v>22.923999999999999</v>
      </c>
      <c r="AD3818">
        <v>-1.1093356918249999</v>
      </c>
      <c r="AE3818">
        <v>-4.3720399999999904</v>
      </c>
      <c r="AF3818">
        <v>-6.9025664033484597</v>
      </c>
      <c r="AG3818">
        <v>-1.1093356918249999</v>
      </c>
      <c r="AH3818">
        <v>22.237943981054499</v>
      </c>
      <c r="AI3818">
        <v>92.727652120551795</v>
      </c>
      <c r="AJ3818">
        <v>107.24412797007599</v>
      </c>
      <c r="AK3818">
        <v>23.310988849345499</v>
      </c>
      <c r="AL3818">
        <v>92.488736749135697</v>
      </c>
      <c r="AM3818">
        <v>108.36112412004201</v>
      </c>
      <c r="AN3818">
        <v>0.99999993521631203</v>
      </c>
    </row>
    <row r="3819" spans="1:40" x14ac:dyDescent="0.25">
      <c r="A3819" t="str">
        <f>"20190305135706121"</f>
        <v>20190305135706121</v>
      </c>
      <c r="B3819" t="str">
        <f>"1551765426116069"</f>
        <v>1551765426116069</v>
      </c>
      <c r="C3819" t="s">
        <v>40</v>
      </c>
      <c r="D3819">
        <v>4.7581619999999996</v>
      </c>
      <c r="E3819">
        <v>0.50657220000000003</v>
      </c>
      <c r="F3819" t="s">
        <v>84</v>
      </c>
      <c r="G3819">
        <v>-384.42129999999997</v>
      </c>
      <c r="H3819" s="1">
        <v>-2.8283889999999998E-6</v>
      </c>
      <c r="I3819">
        <v>20.333649999999999</v>
      </c>
      <c r="J3819">
        <v>-407.48649999999998</v>
      </c>
      <c r="K3819">
        <v>1.1092709999999999</v>
      </c>
      <c r="L3819">
        <v>24.637910000000002</v>
      </c>
      <c r="M3819">
        <v>0.88420560000000004</v>
      </c>
      <c r="N3819">
        <v>-1.116099E-3</v>
      </c>
      <c r="O3819">
        <v>-0.46709689999999998</v>
      </c>
      <c r="P3819">
        <v>0.98541190000000001</v>
      </c>
      <c r="Q3819">
        <v>-4.3681789999999998E-2</v>
      </c>
      <c r="R3819">
        <v>-0.16448570000000001</v>
      </c>
      <c r="S3819">
        <v>2.94516</v>
      </c>
      <c r="T3819">
        <v>-0.1407166</v>
      </c>
      <c r="U3819">
        <v>-0.55575559999999902</v>
      </c>
      <c r="V3819">
        <v>-0.31469259999999999</v>
      </c>
      <c r="W3819">
        <v>-4.3725050000000001E-2</v>
      </c>
      <c r="X3819">
        <v>0.94818599999999997</v>
      </c>
      <c r="Y3819">
        <v>-0.29426619999999998</v>
      </c>
      <c r="Z3819">
        <v>2.7787200000000001E-2</v>
      </c>
      <c r="AA3819">
        <v>0.95531949999999999</v>
      </c>
      <c r="AB3819">
        <v>17</v>
      </c>
      <c r="AC3819">
        <v>23.065200000000001</v>
      </c>
      <c r="AD3819">
        <v>-1.10927382838899</v>
      </c>
      <c r="AE3819">
        <v>-4.3042600000000002</v>
      </c>
      <c r="AF3819">
        <v>-6.9522968462940096</v>
      </c>
      <c r="AG3819">
        <v>-1.10927382838899</v>
      </c>
      <c r="AH3819">
        <v>22.354930623032399</v>
      </c>
      <c r="AI3819">
        <v>92.712787490519403</v>
      </c>
      <c r="AJ3819">
        <v>107.275491469627</v>
      </c>
      <c r="AK3819">
        <v>23.4373173171746</v>
      </c>
      <c r="AL3819">
        <v>92.506059800726803</v>
      </c>
      <c r="AM3819">
        <v>108.36044305604101</v>
      </c>
      <c r="AN3819">
        <v>1.0000000015441299</v>
      </c>
    </row>
    <row r="3820" spans="1:40" x14ac:dyDescent="0.25">
      <c r="A3820" t="str">
        <f>"20190305135706145"</f>
        <v>20190305135706145</v>
      </c>
      <c r="B3820" t="str">
        <f>"1551765426136565"</f>
        <v>1551765426136565</v>
      </c>
      <c r="C3820" t="s">
        <v>40</v>
      </c>
      <c r="D3820">
        <v>4.5594349999999997</v>
      </c>
      <c r="E3820">
        <v>0.50592209999999904</v>
      </c>
      <c r="F3820" t="s">
        <v>84</v>
      </c>
      <c r="G3820">
        <v>-384.41489999999999</v>
      </c>
      <c r="H3820" s="1">
        <v>-2.8397399999999999E-6</v>
      </c>
      <c r="I3820">
        <v>20.364909999999998</v>
      </c>
      <c r="J3820">
        <v>-407.322</v>
      </c>
      <c r="K3820">
        <v>1.109181</v>
      </c>
      <c r="L3820">
        <v>24.555599999999998</v>
      </c>
      <c r="M3820">
        <v>0.88583840000000003</v>
      </c>
      <c r="N3820">
        <v>-7.5027749999999999E-4</v>
      </c>
      <c r="O3820">
        <v>-0.4639933</v>
      </c>
      <c r="P3820">
        <v>0.98594800000000005</v>
      </c>
      <c r="Q3820">
        <v>-4.3468670000000001E-2</v>
      </c>
      <c r="R3820">
        <v>-0.16129869999999999</v>
      </c>
      <c r="S3820">
        <v>2.9470209999999999</v>
      </c>
      <c r="T3820">
        <v>-0.14169189999999901</v>
      </c>
      <c r="U3820">
        <v>-0.54580689999999998</v>
      </c>
      <c r="V3820">
        <v>-0.31444109999999997</v>
      </c>
      <c r="W3820">
        <v>-4.3826080000000003E-2</v>
      </c>
      <c r="X3820">
        <v>0.94826480000000002</v>
      </c>
      <c r="Y3820">
        <v>-0.29412820000000001</v>
      </c>
      <c r="Z3820">
        <v>2.796862E-2</v>
      </c>
      <c r="AA3820">
        <v>0.95535669999999995</v>
      </c>
      <c r="AB3820">
        <v>17</v>
      </c>
      <c r="AC3820">
        <v>22.9070999999999</v>
      </c>
      <c r="AD3820">
        <v>-1.10918383974</v>
      </c>
      <c r="AE3820">
        <v>-4.1906899999999903</v>
      </c>
      <c r="AF3820">
        <v>-6.9008130767485296</v>
      </c>
      <c r="AG3820">
        <v>-1.10918383974</v>
      </c>
      <c r="AH3820">
        <v>22.1861141810896</v>
      </c>
      <c r="AI3820">
        <v>92.733141283468399</v>
      </c>
      <c r="AJ3820">
        <v>107.277887380872</v>
      </c>
      <c r="AK3820">
        <v>23.261022599337899</v>
      </c>
      <c r="AL3820">
        <v>92.511853874144904</v>
      </c>
      <c r="AM3820">
        <v>108.34533003268901</v>
      </c>
      <c r="AN3820">
        <v>1.0000000307882</v>
      </c>
    </row>
    <row r="3821" spans="1:40" x14ac:dyDescent="0.25">
      <c r="A3821" t="str">
        <f>"20190305135706167"</f>
        <v>20190305135706167</v>
      </c>
      <c r="B3821" t="str">
        <f>"1551765426156085"</f>
        <v>1551765426156085</v>
      </c>
      <c r="C3821" t="s">
        <v>40</v>
      </c>
      <c r="D3821">
        <v>4.4027529999999997</v>
      </c>
      <c r="E3821">
        <v>0.50508489999999995</v>
      </c>
      <c r="F3821" t="s">
        <v>84</v>
      </c>
      <c r="G3821">
        <v>-385.99990000000003</v>
      </c>
      <c r="H3821" s="1">
        <v>-2.1822550000000001E-6</v>
      </c>
      <c r="I3821">
        <v>20.709869999999999</v>
      </c>
      <c r="J3821">
        <v>-407.16539999999998</v>
      </c>
      <c r="K3821">
        <v>1.1090799999999901</v>
      </c>
      <c r="L3821">
        <v>24.477720000000001</v>
      </c>
      <c r="M3821">
        <v>0.88730580000000003</v>
      </c>
      <c r="N3821">
        <v>-4.0652750000000001E-4</v>
      </c>
      <c r="O3821">
        <v>-0.46118170000000003</v>
      </c>
      <c r="P3821">
        <v>0.98648939999999996</v>
      </c>
      <c r="Q3821">
        <v>-4.3664340000000003E-2</v>
      </c>
      <c r="R3821">
        <v>-0.15790100000000001</v>
      </c>
      <c r="S3821">
        <v>2.9489749999999999</v>
      </c>
      <c r="T3821">
        <v>-0.1534073</v>
      </c>
      <c r="U3821">
        <v>-0.53189090000000006</v>
      </c>
      <c r="V3821">
        <v>-0.3147007</v>
      </c>
      <c r="W3821">
        <v>-4.4311839999999998E-2</v>
      </c>
      <c r="X3821">
        <v>0.94815609999999995</v>
      </c>
      <c r="Y3821">
        <v>-0.29543249999999999</v>
      </c>
      <c r="Z3821">
        <v>3.0318620000000001E-2</v>
      </c>
      <c r="AA3821">
        <v>0.95488240000000002</v>
      </c>
      <c r="AB3821">
        <v>17</v>
      </c>
      <c r="AC3821">
        <v>21.165499999999899</v>
      </c>
      <c r="AD3821">
        <v>-1.1090821822550001</v>
      </c>
      <c r="AE3821">
        <v>-3.7678499999999899</v>
      </c>
      <c r="AF3821">
        <v>-6.4008699555593296</v>
      </c>
      <c r="AG3821">
        <v>-1.1090821822550001</v>
      </c>
      <c r="AH3821">
        <v>20.463470079362001</v>
      </c>
      <c r="AI3821">
        <v>92.961082645996299</v>
      </c>
      <c r="AJ3821">
        <v>107.36941885974301</v>
      </c>
      <c r="AK3821">
        <v>21.469858107680199</v>
      </c>
      <c r="AL3821">
        <v>92.539712939104604</v>
      </c>
      <c r="AM3821">
        <v>108.36142411986</v>
      </c>
      <c r="AN3821">
        <v>1.0000000298559399</v>
      </c>
    </row>
    <row r="3822" spans="1:40" x14ac:dyDescent="0.25">
      <c r="A3822" t="str">
        <f>"20190305135706189"</f>
        <v>20190305135706189</v>
      </c>
      <c r="B3822" t="str">
        <f>"1551765426176581"</f>
        <v>1551765426176581</v>
      </c>
      <c r="C3822" t="s">
        <v>40</v>
      </c>
      <c r="D3822">
        <v>4.3693089999999897</v>
      </c>
      <c r="E3822">
        <v>0.50438760000000005</v>
      </c>
      <c r="F3822" t="s">
        <v>84</v>
      </c>
      <c r="G3822">
        <v>-388.2758</v>
      </c>
      <c r="H3822" s="1">
        <v>-1.2295710000000001E-6</v>
      </c>
      <c r="I3822">
        <v>21.172609999999999</v>
      </c>
      <c r="J3822">
        <v>-407.00779999999997</v>
      </c>
      <c r="K3822">
        <v>1.108968</v>
      </c>
      <c r="L3822">
        <v>24.39969</v>
      </c>
      <c r="M3822">
        <v>0.88869609999999899</v>
      </c>
      <c r="N3822" s="1">
        <v>-7.3415109999999995E-5</v>
      </c>
      <c r="O3822">
        <v>-0.45849699999999999</v>
      </c>
      <c r="P3822">
        <v>0.9869367</v>
      </c>
      <c r="Q3822">
        <v>-4.4199620000000002E-2</v>
      </c>
      <c r="R3822">
        <v>-0.15492810000000001</v>
      </c>
      <c r="S3822">
        <v>2.9507750000000001</v>
      </c>
      <c r="T3822">
        <v>-0.1732513</v>
      </c>
      <c r="U3822">
        <v>-0.51629639999999999</v>
      </c>
      <c r="V3822">
        <v>-0.31468249999999998</v>
      </c>
      <c r="W3822">
        <v>-4.5122929999999999E-2</v>
      </c>
      <c r="X3822">
        <v>0.94812390000000002</v>
      </c>
      <c r="Y3822">
        <v>-0.29727559999999997</v>
      </c>
      <c r="Z3822">
        <v>3.427877E-2</v>
      </c>
      <c r="AA3822">
        <v>0.95417620000000003</v>
      </c>
      <c r="AB3822">
        <v>18</v>
      </c>
      <c r="AC3822">
        <v>18.7319999999999</v>
      </c>
      <c r="AD3822">
        <v>-1.1089692295710001</v>
      </c>
      <c r="AE3822">
        <v>-3.2270799999999999</v>
      </c>
      <c r="AF3822">
        <v>-5.7012654783733403</v>
      </c>
      <c r="AG3822">
        <v>-1.1089692295710001</v>
      </c>
      <c r="AH3822">
        <v>18.065168619779101</v>
      </c>
      <c r="AI3822">
        <v>93.350328569445907</v>
      </c>
      <c r="AJ3822">
        <v>107.515402775025</v>
      </c>
      <c r="AK3822">
        <v>18.975894130925202</v>
      </c>
      <c r="AL3822">
        <v>92.586231474470694</v>
      </c>
      <c r="AM3822">
        <v>108.361015179753</v>
      </c>
      <c r="AN3822">
        <v>1.00000004218462</v>
      </c>
    </row>
    <row r="3823" spans="1:40" x14ac:dyDescent="0.25">
      <c r="A3823" t="str">
        <f>"20190305135706212"</f>
        <v>20190305135706212</v>
      </c>
      <c r="B3823" t="str">
        <f>"1551765426206839"</f>
        <v>1551765426206839</v>
      </c>
      <c r="C3823" t="s">
        <v>40</v>
      </c>
      <c r="D3823">
        <v>4.4161669999999997</v>
      </c>
      <c r="E3823">
        <v>0.50249429999999995</v>
      </c>
      <c r="F3823" t="s">
        <v>84</v>
      </c>
      <c r="G3823">
        <v>-389.78800000000001</v>
      </c>
      <c r="H3823" s="1">
        <v>-5.9299899999999995E-7</v>
      </c>
      <c r="I3823">
        <v>21.46677</v>
      </c>
      <c r="J3823">
        <v>-406.83980000000003</v>
      </c>
      <c r="K3823">
        <v>1.108857</v>
      </c>
      <c r="L3823">
        <v>24.317019999999999</v>
      </c>
      <c r="M3823">
        <v>0.89007619999999898</v>
      </c>
      <c r="N3823">
        <v>2.606083E-4</v>
      </c>
      <c r="O3823">
        <v>-0.4558121</v>
      </c>
      <c r="P3823">
        <v>0.9872088</v>
      </c>
      <c r="Q3823">
        <v>-4.5341689999999997E-2</v>
      </c>
      <c r="R3823">
        <v>-0.15285029999999999</v>
      </c>
      <c r="S3823">
        <v>2.9522710000000001</v>
      </c>
      <c r="T3823">
        <v>-0.19012870000000001</v>
      </c>
      <c r="U3823">
        <v>-0.50283809999999995</v>
      </c>
      <c r="V3823">
        <v>-0.31379400000000002</v>
      </c>
      <c r="W3823">
        <v>-4.653827E-2</v>
      </c>
      <c r="X3823">
        <v>0.94834989999999997</v>
      </c>
      <c r="Y3823">
        <v>-0.29845129999999997</v>
      </c>
      <c r="Z3823">
        <v>3.760927E-2</v>
      </c>
      <c r="AA3823">
        <v>0.95368359999999996</v>
      </c>
      <c r="AB3823">
        <v>18</v>
      </c>
      <c r="AC3823">
        <v>17.0518</v>
      </c>
      <c r="AD3823">
        <v>-1.1088575929990001</v>
      </c>
      <c r="AE3823">
        <v>-2.8502499999999902</v>
      </c>
      <c r="AF3823">
        <v>-5.2140267881274598</v>
      </c>
      <c r="AG3823">
        <v>-1.1088575929990001</v>
      </c>
      <c r="AH3823">
        <v>16.409073538322598</v>
      </c>
      <c r="AI3823">
        <v>93.684918409074399</v>
      </c>
      <c r="AJ3823">
        <v>107.627793095889</v>
      </c>
      <c r="AK3823">
        <v>17.2532123065515</v>
      </c>
      <c r="AL3823">
        <v>92.667409875298503</v>
      </c>
      <c r="AM3823">
        <v>108.308563774318</v>
      </c>
      <c r="AN3823">
        <v>1.0000000089203001</v>
      </c>
    </row>
    <row r="3824" spans="1:40" x14ac:dyDescent="0.25">
      <c r="A3824" t="str">
        <f>"20190305135706236"</f>
        <v>20190305135706236</v>
      </c>
      <c r="B3824" t="str">
        <f>"1551765426226356"</f>
        <v>1551765426226356</v>
      </c>
      <c r="C3824" t="s">
        <v>40</v>
      </c>
      <c r="D3824">
        <v>4.4374719999999996</v>
      </c>
      <c r="E3824">
        <v>0.50150379999999894</v>
      </c>
      <c r="F3824" t="s">
        <v>42</v>
      </c>
      <c r="G3824">
        <v>-395.66410000000002</v>
      </c>
      <c r="H3824" s="1">
        <v>-2.7892459999999999E-6</v>
      </c>
      <c r="I3824">
        <v>22.469460000000002</v>
      </c>
      <c r="J3824">
        <v>-406.661</v>
      </c>
      <c r="K3824">
        <v>1.1087530000000001</v>
      </c>
      <c r="L3824">
        <v>24.229369999999999</v>
      </c>
      <c r="M3824">
        <v>0.89144460000000003</v>
      </c>
      <c r="N3824">
        <v>5.8935539999999999E-4</v>
      </c>
      <c r="O3824">
        <v>-0.45312970000000002</v>
      </c>
      <c r="P3824">
        <v>0.98740539999999999</v>
      </c>
      <c r="Q3824">
        <v>-4.6313809999999997E-2</v>
      </c>
      <c r="R3824">
        <v>-0.151282</v>
      </c>
      <c r="S3824">
        <v>2.9498899999999999</v>
      </c>
      <c r="T3824">
        <v>-0.2926879</v>
      </c>
      <c r="U3824">
        <v>-0.48767090000000002</v>
      </c>
      <c r="V3824">
        <v>-0.31242589999999998</v>
      </c>
      <c r="W3824">
        <v>-4.778251E-2</v>
      </c>
      <c r="X3824">
        <v>0.94873960000000002</v>
      </c>
      <c r="Y3824">
        <v>-0.29824329999999999</v>
      </c>
      <c r="Z3824">
        <v>5.7710949999999997E-2</v>
      </c>
      <c r="AA3824">
        <v>0.95274360000000002</v>
      </c>
      <c r="AB3824">
        <v>18</v>
      </c>
      <c r="AC3824">
        <v>10.996899999999901</v>
      </c>
      <c r="AD3824">
        <v>-1.108755789246</v>
      </c>
      <c r="AE3824">
        <v>-1.7599099999999901</v>
      </c>
      <c r="AF3824">
        <v>-3.3806517199111599</v>
      </c>
      <c r="AG3824">
        <v>-1.108755789246</v>
      </c>
      <c r="AH3824">
        <v>10.4965558793466</v>
      </c>
      <c r="AI3824">
        <v>95.741469663034096</v>
      </c>
      <c r="AJ3824">
        <v>107.852320825112</v>
      </c>
      <c r="AK3824">
        <v>11.083132715066199</v>
      </c>
      <c r="AL3824">
        <v>92.738779097156296</v>
      </c>
      <c r="AM3824">
        <v>108.227038255227</v>
      </c>
      <c r="AN3824">
        <v>0.99999996993043405</v>
      </c>
    </row>
    <row r="3825" spans="1:40" x14ac:dyDescent="0.25">
      <c r="A3825" t="str">
        <f>"20190305135706257"</f>
        <v>20190305135706257</v>
      </c>
      <c r="B3825" t="str">
        <f>"1551765426245877"</f>
        <v>1551765426245877</v>
      </c>
      <c r="C3825" t="s">
        <v>40</v>
      </c>
      <c r="D3825">
        <v>4.4301629999999896</v>
      </c>
      <c r="E3825">
        <v>0.5010192</v>
      </c>
      <c r="F3825" t="s">
        <v>42</v>
      </c>
      <c r="G3825">
        <v>-396.041</v>
      </c>
      <c r="H3825" s="1">
        <v>-2.6235500000000001E-6</v>
      </c>
      <c r="I3825">
        <v>22.516349999999999</v>
      </c>
      <c r="J3825">
        <v>-406.49599999999998</v>
      </c>
      <c r="K3825">
        <v>1.1086819999999999</v>
      </c>
      <c r="L3825">
        <v>24.148900000000001</v>
      </c>
      <c r="M3825">
        <v>0.89263359999999903</v>
      </c>
      <c r="N3825">
        <v>8.6724899999999995E-4</v>
      </c>
      <c r="O3825">
        <v>-0.45078200000000002</v>
      </c>
      <c r="P3825">
        <v>0.98755780000000004</v>
      </c>
      <c r="Q3825">
        <v>-4.6062659999999998E-2</v>
      </c>
      <c r="R3825">
        <v>-0.1503601</v>
      </c>
      <c r="S3825">
        <v>2.9508969999999999</v>
      </c>
      <c r="T3825">
        <v>-0.30807980000000001</v>
      </c>
      <c r="U3825">
        <v>-0.47598269999999998</v>
      </c>
      <c r="V3825">
        <v>-0.3108223</v>
      </c>
      <c r="W3825">
        <v>-4.7768659999999998E-2</v>
      </c>
      <c r="X3825">
        <v>0.94926690000000002</v>
      </c>
      <c r="Y3825">
        <v>-0.29909019999999997</v>
      </c>
      <c r="Z3825">
        <v>6.0641710000000001E-2</v>
      </c>
      <c r="AA3825">
        <v>0.95229600000000003</v>
      </c>
      <c r="AB3825">
        <v>19</v>
      </c>
      <c r="AC3825">
        <v>10.454999999999901</v>
      </c>
      <c r="AD3825">
        <v>-1.1086846235500001</v>
      </c>
      <c r="AE3825">
        <v>-1.6325499999999999</v>
      </c>
      <c r="AF3825">
        <v>-3.2203070994193799</v>
      </c>
      <c r="AG3825">
        <v>-1.1086846235500001</v>
      </c>
      <c r="AH3825">
        <v>9.9590862660417905</v>
      </c>
      <c r="AI3825">
        <v>96.046451538551096</v>
      </c>
      <c r="AJ3825">
        <v>107.91880415590499</v>
      </c>
      <c r="AK3825">
        <v>10.525348386800699</v>
      </c>
      <c r="AL3825">
        <v>92.737984568549905</v>
      </c>
      <c r="AM3825">
        <v>108.13020842840299</v>
      </c>
      <c r="AN3825">
        <v>0.999999997245547</v>
      </c>
    </row>
    <row r="3826" spans="1:40" x14ac:dyDescent="0.25">
      <c r="A3826" t="str">
        <f>"20190305135706278"</f>
        <v>20190305135706278</v>
      </c>
      <c r="B3826" t="str">
        <f>"1551765426266373"</f>
        <v>1551765426266373</v>
      </c>
      <c r="C3826" t="s">
        <v>40</v>
      </c>
      <c r="D3826">
        <v>4.4913349999999896</v>
      </c>
      <c r="E3826">
        <v>0.50089839999999997</v>
      </c>
      <c r="F3826" t="s">
        <v>42</v>
      </c>
      <c r="G3826">
        <v>-396.29050000000001</v>
      </c>
      <c r="H3826" s="1">
        <v>-2.5072610000000001E-6</v>
      </c>
      <c r="I3826">
        <v>22.522549999999999</v>
      </c>
      <c r="J3826">
        <v>-406.33499999999998</v>
      </c>
      <c r="K3826">
        <v>1.1086229999999999</v>
      </c>
      <c r="L3826">
        <v>24.070740000000001</v>
      </c>
      <c r="M3826">
        <v>0.8937349</v>
      </c>
      <c r="N3826">
        <v>1.111059E-3</v>
      </c>
      <c r="O3826">
        <v>-0.44859450000000001</v>
      </c>
      <c r="P3826">
        <v>0.98776319999999995</v>
      </c>
      <c r="Q3826">
        <v>-4.5715550000000001E-2</v>
      </c>
      <c r="R3826">
        <v>-0.1491111</v>
      </c>
      <c r="S3826">
        <v>2.9512330000000002</v>
      </c>
      <c r="T3826">
        <v>-0.320609599999999</v>
      </c>
      <c r="U3826">
        <v>-0.47030640000000001</v>
      </c>
      <c r="V3826">
        <v>-0.30970789999999998</v>
      </c>
      <c r="W3826">
        <v>-4.7636209999999998E-2</v>
      </c>
      <c r="X3826">
        <v>0.94963779999999998</v>
      </c>
      <c r="Y3826">
        <v>-0.29825159999999901</v>
      </c>
      <c r="Z3826">
        <v>6.2909290000000007E-2</v>
      </c>
      <c r="AA3826">
        <v>0.95241189999999998</v>
      </c>
      <c r="AB3826">
        <v>19</v>
      </c>
      <c r="AC3826">
        <v>10.0444999999999</v>
      </c>
      <c r="AD3826">
        <v>-1.1086255072609901</v>
      </c>
      <c r="AE3826">
        <v>-1.54819</v>
      </c>
      <c r="AF3826">
        <v>-3.0855223156481699</v>
      </c>
      <c r="AG3826">
        <v>-1.1086255072609901</v>
      </c>
      <c r="AH3826">
        <v>9.5579030991794909</v>
      </c>
      <c r="AI3826">
        <v>96.298880809584702</v>
      </c>
      <c r="AJ3826">
        <v>107.89133454804799</v>
      </c>
      <c r="AK3826">
        <v>10.104603412752899</v>
      </c>
      <c r="AL3826">
        <v>92.730386890575105</v>
      </c>
      <c r="AM3826">
        <v>108.06283874277899</v>
      </c>
      <c r="AN3826">
        <v>1.0000000715071999</v>
      </c>
    </row>
    <row r="3827" spans="1:40" x14ac:dyDescent="0.25">
      <c r="A3827" t="str">
        <f>"20190305135706301"</f>
        <v>20190305135706301</v>
      </c>
      <c r="B3827" t="str">
        <f>"1551765426296630"</f>
        <v>1551765426296630</v>
      </c>
      <c r="C3827" t="s">
        <v>40</v>
      </c>
      <c r="D3827">
        <v>4.515593</v>
      </c>
      <c r="E3827">
        <v>0.50113620000000003</v>
      </c>
      <c r="F3827" t="s">
        <v>42</v>
      </c>
      <c r="G3827">
        <v>-396.03590000000003</v>
      </c>
      <c r="H3827" s="1">
        <v>-2.6073940000000001E-6</v>
      </c>
      <c r="I3827">
        <v>22.446619999999999</v>
      </c>
      <c r="J3827">
        <v>-406.15859999999998</v>
      </c>
      <c r="K3827">
        <v>1.108582</v>
      </c>
      <c r="L3827">
        <v>23.985499999999998</v>
      </c>
      <c r="M3827">
        <v>0.89488590000000001</v>
      </c>
      <c r="N3827">
        <v>1.3454459999999999E-3</v>
      </c>
      <c r="O3827">
        <v>-0.44629350000000001</v>
      </c>
      <c r="P3827">
        <v>0.98798370000000002</v>
      </c>
      <c r="Q3827">
        <v>-4.6100250000000002E-2</v>
      </c>
      <c r="R3827">
        <v>-0.1475253</v>
      </c>
      <c r="S3827">
        <v>2.9521790000000001</v>
      </c>
      <c r="T3827">
        <v>-0.31778109999999998</v>
      </c>
      <c r="U3827">
        <v>-0.46554570000000001</v>
      </c>
      <c r="V3827">
        <v>-0.30878050000000001</v>
      </c>
      <c r="W3827">
        <v>-4.8232320000000002E-2</v>
      </c>
      <c r="X3827">
        <v>0.94990960000000002</v>
      </c>
      <c r="Y3827">
        <v>-0.29742469999999999</v>
      </c>
      <c r="Z3827">
        <v>6.2159699999999998E-2</v>
      </c>
      <c r="AA3827">
        <v>0.95271969999999995</v>
      </c>
      <c r="AB3827">
        <v>19</v>
      </c>
      <c r="AC3827">
        <v>10.122699999999901</v>
      </c>
      <c r="AD3827">
        <v>-1.108584607394</v>
      </c>
      <c r="AE3827">
        <v>-1.53887999999999</v>
      </c>
      <c r="AF3827">
        <v>-3.1041863074758602</v>
      </c>
      <c r="AG3827">
        <v>-1.108584607394</v>
      </c>
      <c r="AH3827">
        <v>9.6325421633578703</v>
      </c>
      <c r="AI3827">
        <v>96.251253631583296</v>
      </c>
      <c r="AJ3827">
        <v>107.862072580469</v>
      </c>
      <c r="AK3827">
        <v>10.1809037414238</v>
      </c>
      <c r="AL3827">
        <v>92.764580976911901</v>
      </c>
      <c r="AM3827">
        <v>108.007428283322</v>
      </c>
      <c r="AN3827">
        <v>1.0000000010224901</v>
      </c>
    </row>
    <row r="3828" spans="1:40" x14ac:dyDescent="0.25">
      <c r="A3828" t="str">
        <f>"20190305135706323"</f>
        <v>20190305135706323</v>
      </c>
      <c r="B3828" t="str">
        <f>"1551765426316150"</f>
        <v>1551765426316150</v>
      </c>
      <c r="C3828" t="s">
        <v>40</v>
      </c>
      <c r="D3828">
        <v>4.5098760000000002</v>
      </c>
      <c r="E3828">
        <v>0.5013879</v>
      </c>
      <c r="F3828" t="s">
        <v>42</v>
      </c>
      <c r="G3828">
        <v>-395.87819999999999</v>
      </c>
      <c r="H3828" s="1">
        <v>-2.6627750000000001E-6</v>
      </c>
      <c r="I3828">
        <v>22.37453</v>
      </c>
      <c r="J3828">
        <v>-405.9769</v>
      </c>
      <c r="K3828">
        <v>1.1085560000000001</v>
      </c>
      <c r="L3828">
        <v>23.898129999999998</v>
      </c>
      <c r="M3828">
        <v>0.89602389999999998</v>
      </c>
      <c r="N3828">
        <v>1.5521790000000001E-3</v>
      </c>
      <c r="O3828">
        <v>-0.44400329999999899</v>
      </c>
      <c r="P3828">
        <v>0.98838199999999998</v>
      </c>
      <c r="Q3828">
        <v>-4.5535119999999998E-2</v>
      </c>
      <c r="R3828">
        <v>-0.14501</v>
      </c>
      <c r="S3828">
        <v>2.9525760000000001</v>
      </c>
      <c r="T3828">
        <v>-0.31838889999999997</v>
      </c>
      <c r="U3828">
        <v>-0.462677</v>
      </c>
      <c r="V3828">
        <v>-0.30878240000000001</v>
      </c>
      <c r="W3828">
        <v>-4.7860199999999999E-2</v>
      </c>
      <c r="X3828">
        <v>0.94992779999999999</v>
      </c>
      <c r="Y3828">
        <v>-0.2959059</v>
      </c>
      <c r="Z3828">
        <v>6.2037160000000001E-2</v>
      </c>
      <c r="AA3828">
        <v>0.95320050000000001</v>
      </c>
      <c r="AB3828">
        <v>19</v>
      </c>
      <c r="AC3828">
        <v>10.098699999999999</v>
      </c>
      <c r="AD3828">
        <v>-1.1085586627749999</v>
      </c>
      <c r="AE3828">
        <v>-1.5235999999999901</v>
      </c>
      <c r="AF3828">
        <v>-3.0823618197398699</v>
      </c>
      <c r="AG3828">
        <v>-1.1085586627749999</v>
      </c>
      <c r="AH3828">
        <v>9.6119250555977906</v>
      </c>
      <c r="AI3828">
        <v>96.267270643438593</v>
      </c>
      <c r="AJ3828">
        <v>107.78005913584499</v>
      </c>
      <c r="AK3828">
        <v>10.154750610971799</v>
      </c>
      <c r="AL3828">
        <v>92.743235429947603</v>
      </c>
      <c r="AM3828">
        <v>108.007209195489</v>
      </c>
      <c r="AN3828">
        <v>0.99999999725332001</v>
      </c>
    </row>
    <row r="3829" spans="1:40" x14ac:dyDescent="0.25">
      <c r="A3829" t="str">
        <f>"20190305135706346"</f>
        <v>20190305135706346</v>
      </c>
      <c r="B3829" t="str">
        <f>"1551765426336645"</f>
        <v>1551765426336645</v>
      </c>
      <c r="C3829" t="s">
        <v>40</v>
      </c>
      <c r="D3829">
        <v>4.5237800000000004</v>
      </c>
      <c r="E3829">
        <v>0.50135079999999999</v>
      </c>
      <c r="F3829" t="s">
        <v>42</v>
      </c>
      <c r="G3829">
        <v>-395.5129</v>
      </c>
      <c r="H3829" s="1">
        <v>-2.8099859999999998E-6</v>
      </c>
      <c r="I3829">
        <v>22.278829999999999</v>
      </c>
      <c r="J3829">
        <v>-405.79070000000002</v>
      </c>
      <c r="K3829">
        <v>1.1085419999999999</v>
      </c>
      <c r="L3829">
        <v>23.809080000000002</v>
      </c>
      <c r="M3829">
        <v>0.89715109999999998</v>
      </c>
      <c r="N3829">
        <v>1.7299749999999999E-3</v>
      </c>
      <c r="O3829">
        <v>-0.44172050000000002</v>
      </c>
      <c r="P3829">
        <v>0.98877190000000004</v>
      </c>
      <c r="Q3829">
        <v>-4.5849729999999998E-2</v>
      </c>
      <c r="R3829">
        <v>-0.14222670000000001</v>
      </c>
      <c r="S3829">
        <v>2.953735</v>
      </c>
      <c r="T3829">
        <v>-0.31292009999999998</v>
      </c>
      <c r="U3829">
        <v>-0.45709230000000001</v>
      </c>
      <c r="V3829">
        <v>-0.30903009999999997</v>
      </c>
      <c r="W3829">
        <v>-4.8346989999999999E-2</v>
      </c>
      <c r="X3829">
        <v>0.94982259999999996</v>
      </c>
      <c r="Y3829">
        <v>-0.29543829999999999</v>
      </c>
      <c r="Z3829">
        <v>6.0787330000000001E-2</v>
      </c>
      <c r="AA3829">
        <v>0.953426</v>
      </c>
      <c r="AB3829">
        <v>20</v>
      </c>
      <c r="AC3829">
        <v>10.277799999999999</v>
      </c>
      <c r="AD3829">
        <v>-1.108544809986</v>
      </c>
      <c r="AE3829">
        <v>-1.5302499999999899</v>
      </c>
      <c r="AF3829">
        <v>-3.13141515721491</v>
      </c>
      <c r="AG3829">
        <v>-1.108544809986</v>
      </c>
      <c r="AH3829">
        <v>9.7853290064172693</v>
      </c>
      <c r="AI3829">
        <v>96.158182838985496</v>
      </c>
      <c r="AJ3829">
        <v>107.745255212724</v>
      </c>
      <c r="AK3829">
        <v>10.333793894132601</v>
      </c>
      <c r="AL3829">
        <v>92.771158752799295</v>
      </c>
      <c r="AM3829">
        <v>108.022587503854</v>
      </c>
      <c r="AN3829">
        <v>1.00000000280941</v>
      </c>
    </row>
    <row r="3830" spans="1:40" x14ac:dyDescent="0.25">
      <c r="A3830" t="str">
        <f>"20190305135706368"</f>
        <v>20190305135706368</v>
      </c>
      <c r="B3830" t="str">
        <f>"1551765426365925"</f>
        <v>1551765426365925</v>
      </c>
      <c r="C3830" t="s">
        <v>40</v>
      </c>
      <c r="D3830">
        <v>4.5150690000000004</v>
      </c>
      <c r="E3830">
        <v>0.5017104</v>
      </c>
      <c r="F3830" t="s">
        <v>42</v>
      </c>
      <c r="G3830">
        <v>-395.29480000000001</v>
      </c>
      <c r="H3830" s="1">
        <v>-2.896351E-6</v>
      </c>
      <c r="I3830">
        <v>22.215900000000001</v>
      </c>
      <c r="J3830">
        <v>-405.61349999999999</v>
      </c>
      <c r="K3830">
        <v>1.1085370000000001</v>
      </c>
      <c r="L3830">
        <v>23.724730000000001</v>
      </c>
      <c r="M3830">
        <v>0.89819689999999996</v>
      </c>
      <c r="N3830">
        <v>1.86987E-3</v>
      </c>
      <c r="O3830">
        <v>-0.43958930000000002</v>
      </c>
      <c r="P3830">
        <v>0.9892242</v>
      </c>
      <c r="Q3830">
        <v>-4.5913259999999997E-2</v>
      </c>
      <c r="R3830">
        <v>-0.13902390000000001</v>
      </c>
      <c r="S3830">
        <v>2.9550480000000001</v>
      </c>
      <c r="T3830">
        <v>-0.31210179999999998</v>
      </c>
      <c r="U3830">
        <v>-0.44854739999999999</v>
      </c>
      <c r="V3830">
        <v>-0.3098477</v>
      </c>
      <c r="W3830">
        <v>-4.85552E-2</v>
      </c>
      <c r="X3830">
        <v>0.94954559999999999</v>
      </c>
      <c r="Y3830">
        <v>-0.29595399999999999</v>
      </c>
      <c r="Z3830">
        <v>6.0489229999999998E-2</v>
      </c>
      <c r="AA3830">
        <v>0.95328500000000005</v>
      </c>
      <c r="AB3830">
        <v>20</v>
      </c>
      <c r="AC3830">
        <v>10.3186999999999</v>
      </c>
      <c r="AD3830">
        <v>-1.108539896351</v>
      </c>
      <c r="AE3830">
        <v>-1.5088299999999899</v>
      </c>
      <c r="AF3830">
        <v>-3.1452293887822398</v>
      </c>
      <c r="AG3830">
        <v>-1.108539896351</v>
      </c>
      <c r="AH3830">
        <v>9.8205390154512493</v>
      </c>
      <c r="AI3830">
        <v>96.135786869537299</v>
      </c>
      <c r="AJ3830">
        <v>107.75873177087701</v>
      </c>
      <c r="AK3830">
        <v>10.3713217655158</v>
      </c>
      <c r="AL3830">
        <v>92.783102270737501</v>
      </c>
      <c r="AM3830">
        <v>108.07210280967</v>
      </c>
      <c r="AN3830">
        <v>1.0000000255608399</v>
      </c>
    </row>
    <row r="3831" spans="1:40" x14ac:dyDescent="0.25">
      <c r="A3831" t="str">
        <f>"20190305135706390"</f>
        <v>20190305135706390</v>
      </c>
      <c r="B3831" t="str">
        <f>"1551765426386421"</f>
        <v>1551765426386421</v>
      </c>
      <c r="C3831" t="s">
        <v>40</v>
      </c>
      <c r="D3831">
        <v>4.5691179999999996</v>
      </c>
      <c r="E3831">
        <v>0.50192479999999995</v>
      </c>
      <c r="F3831" t="s">
        <v>42</v>
      </c>
      <c r="G3831">
        <v>-394.9332</v>
      </c>
      <c r="H3831" s="1">
        <v>-3.04423E-6</v>
      </c>
      <c r="I3831">
        <v>22.12932</v>
      </c>
      <c r="J3831">
        <v>-405.43680000000001</v>
      </c>
      <c r="K3831">
        <v>1.1085499999999999</v>
      </c>
      <c r="L3831">
        <v>23.641079999999999</v>
      </c>
      <c r="M3831">
        <v>0.89921989999999996</v>
      </c>
      <c r="N3831">
        <v>1.9841820000000001E-3</v>
      </c>
      <c r="O3831">
        <v>-0.4374923</v>
      </c>
      <c r="P3831">
        <v>0.98963730000000005</v>
      </c>
      <c r="Q3831">
        <v>-4.596476E-2</v>
      </c>
      <c r="R3831">
        <v>-0.13603489999999999</v>
      </c>
      <c r="S3831">
        <v>2.9563600000000001</v>
      </c>
      <c r="T3831">
        <v>-0.30685059999999997</v>
      </c>
      <c r="U3831">
        <v>-0.44161990000000001</v>
      </c>
      <c r="V3831">
        <v>-0.310496299999999</v>
      </c>
      <c r="W3831">
        <v>-4.8734510000000002E-2</v>
      </c>
      <c r="X3831">
        <v>0.94932450000000002</v>
      </c>
      <c r="Y3831">
        <v>-0.29610900000000001</v>
      </c>
      <c r="Z3831">
        <v>5.9320570000000003E-2</v>
      </c>
      <c r="AA3831">
        <v>0.95331030000000005</v>
      </c>
      <c r="AB3831">
        <v>20</v>
      </c>
      <c r="AC3831">
        <v>10.5036</v>
      </c>
      <c r="AD3831">
        <v>-1.10855304423</v>
      </c>
      <c r="AE3831">
        <v>-1.51175999999999</v>
      </c>
      <c r="AF3831">
        <v>-3.2009153993502801</v>
      </c>
      <c r="AG3831">
        <v>-1.10855304423</v>
      </c>
      <c r="AH3831">
        <v>9.9973519575919099</v>
      </c>
      <c r="AI3831">
        <v>96.028310331945505</v>
      </c>
      <c r="AJ3831">
        <v>107.75383536139501</v>
      </c>
      <c r="AK3831">
        <v>10.5556522967382</v>
      </c>
      <c r="AL3831">
        <v>92.793388209747803</v>
      </c>
      <c r="AM3831">
        <v>108.11140805540801</v>
      </c>
      <c r="AN3831">
        <v>1.00000000553944</v>
      </c>
    </row>
    <row r="3832" spans="1:40" x14ac:dyDescent="0.25">
      <c r="A3832" t="str">
        <f>"20190305135706413"</f>
        <v>20190305135706413</v>
      </c>
      <c r="B3832" t="str">
        <f>"1551765426405941"</f>
        <v>1551765426405941</v>
      </c>
      <c r="C3832" t="s">
        <v>40</v>
      </c>
      <c r="D3832">
        <v>4.5676550000000002</v>
      </c>
      <c r="E3832">
        <v>0.50213940000000001</v>
      </c>
      <c r="F3832" t="s">
        <v>42</v>
      </c>
      <c r="G3832">
        <v>-394.69850000000002</v>
      </c>
      <c r="H3832" s="1">
        <v>-3.1378919999999998E-6</v>
      </c>
      <c r="I3832">
        <v>22.064350000000001</v>
      </c>
      <c r="J3832">
        <v>-405.23700000000002</v>
      </c>
      <c r="K3832">
        <v>1.1085780000000001</v>
      </c>
      <c r="L3832">
        <v>23.54712</v>
      </c>
      <c r="M3832">
        <v>0.90035959999999904</v>
      </c>
      <c r="N3832">
        <v>2.083962E-3</v>
      </c>
      <c r="O3832">
        <v>-0.43514170000000002</v>
      </c>
      <c r="P3832">
        <v>0.99013930000000006</v>
      </c>
      <c r="Q3832">
        <v>-4.5646600000000002E-2</v>
      </c>
      <c r="R3832">
        <v>-0.13244129999999901</v>
      </c>
      <c r="S3832">
        <v>2.9575499999999999</v>
      </c>
      <c r="T3832">
        <v>-0.30531920000000001</v>
      </c>
      <c r="U3832">
        <v>-0.43426510000000001</v>
      </c>
      <c r="V3832">
        <v>-0.31146509999999999</v>
      </c>
      <c r="W3832">
        <v>-4.8542500000000002E-2</v>
      </c>
      <c r="X3832">
        <v>0.94901690000000005</v>
      </c>
      <c r="Y3832">
        <v>-0.29603790000000002</v>
      </c>
      <c r="Z3832">
        <v>5.8826900000000001E-2</v>
      </c>
      <c r="AA3832">
        <v>0.95336299999999996</v>
      </c>
      <c r="AB3832">
        <v>21</v>
      </c>
      <c r="AC3832">
        <v>10.5384999999999</v>
      </c>
      <c r="AD3832">
        <v>-1.1085811378919901</v>
      </c>
      <c r="AE3832">
        <v>-1.4827699999999899</v>
      </c>
      <c r="AF3832">
        <v>-3.21582711409732</v>
      </c>
      <c r="AG3832">
        <v>-1.1085811378919901</v>
      </c>
      <c r="AH3832">
        <v>10.024897770337599</v>
      </c>
      <c r="AI3832">
        <v>96.010964855970002</v>
      </c>
      <c r="AJ3832">
        <v>107.785411303234</v>
      </c>
      <c r="AK3832">
        <v>10.586268061634099</v>
      </c>
      <c r="AL3832">
        <v>92.782373883125601</v>
      </c>
      <c r="AM3832">
        <v>108.169713491373</v>
      </c>
      <c r="AN3832">
        <v>0.99999997965493403</v>
      </c>
    </row>
    <row r="3833" spans="1:40" x14ac:dyDescent="0.25">
      <c r="A3833" t="str">
        <f>"20190305135706438"</f>
        <v>20190305135706438</v>
      </c>
      <c r="B3833" t="str">
        <f>"1551765426426437"</f>
        <v>1551765426426437</v>
      </c>
      <c r="C3833" t="s">
        <v>40</v>
      </c>
      <c r="D3833">
        <v>4.8290649999999999</v>
      </c>
      <c r="E3833">
        <v>0.50242159999999902</v>
      </c>
      <c r="F3833" t="s">
        <v>42</v>
      </c>
      <c r="G3833">
        <v>-394.44029999999998</v>
      </c>
      <c r="H3833" s="1">
        <v>-3.2415860000000001E-6</v>
      </c>
      <c r="I3833">
        <v>21.995429999999999</v>
      </c>
      <c r="J3833">
        <v>-405.03179999999998</v>
      </c>
      <c r="K3833">
        <v>1.108611</v>
      </c>
      <c r="L3833">
        <v>23.451139999999999</v>
      </c>
      <c r="M3833">
        <v>0.9015185</v>
      </c>
      <c r="N3833">
        <v>2.1619209999999998E-3</v>
      </c>
      <c r="O3833">
        <v>-0.43273529999999999</v>
      </c>
      <c r="P3833">
        <v>0.99064390000000002</v>
      </c>
      <c r="Q3833">
        <v>-4.5890229999999997E-2</v>
      </c>
      <c r="R3833">
        <v>-0.12852710000000001</v>
      </c>
      <c r="S3833">
        <v>2.9589840000000001</v>
      </c>
      <c r="T3833">
        <v>-0.30382300000000001</v>
      </c>
      <c r="U3833">
        <v>-0.42526249999999999</v>
      </c>
      <c r="V3833">
        <v>-0.31266949999999999</v>
      </c>
      <c r="W3833">
        <v>-4.889976E-2</v>
      </c>
      <c r="X3833">
        <v>0.94860239999999996</v>
      </c>
      <c r="Y3833">
        <v>-0.29643950000000002</v>
      </c>
      <c r="Z3833">
        <v>5.8351889999999997E-2</v>
      </c>
      <c r="AA3833">
        <v>0.95326739999999999</v>
      </c>
      <c r="AB3833">
        <v>21</v>
      </c>
      <c r="AC3833">
        <v>10.5914999999999</v>
      </c>
      <c r="AD3833">
        <v>-1.1086142415860001</v>
      </c>
      <c r="AE3833">
        <v>-1.4557099999999901</v>
      </c>
      <c r="AF3833">
        <v>-3.2361761644985498</v>
      </c>
      <c r="AG3833">
        <v>-1.1086142415860001</v>
      </c>
      <c r="AH3833">
        <v>10.0701123071188</v>
      </c>
      <c r="AI3833">
        <v>95.983345866198206</v>
      </c>
      <c r="AJ3833">
        <v>107.815559310908</v>
      </c>
      <c r="AK3833">
        <v>10.6352726143857</v>
      </c>
      <c r="AL3833">
        <v>92.802867772573805</v>
      </c>
      <c r="AM3833">
        <v>108.242772802632</v>
      </c>
      <c r="AN3833">
        <v>0.99999995802203201</v>
      </c>
    </row>
    <row r="3834" spans="1:40" x14ac:dyDescent="0.25">
      <c r="A3834" t="str">
        <f>"20190305135706458"</f>
        <v>20190305135706458</v>
      </c>
      <c r="B3834" t="str">
        <f>"1551765426445957"</f>
        <v>1551765426445957</v>
      </c>
      <c r="C3834" t="s">
        <v>40</v>
      </c>
      <c r="D3834">
        <v>4.5851870000000003</v>
      </c>
      <c r="E3834">
        <v>0.50255019999999995</v>
      </c>
      <c r="F3834" t="s">
        <v>42</v>
      </c>
      <c r="G3834">
        <v>-394.2765</v>
      </c>
      <c r="H3834" s="1">
        <v>-3.304297E-6</v>
      </c>
      <c r="I3834">
        <v>21.940100000000001</v>
      </c>
      <c r="J3834">
        <v>-404.85270000000003</v>
      </c>
      <c r="K3834">
        <v>1.108636</v>
      </c>
      <c r="L3834">
        <v>23.367920000000002</v>
      </c>
      <c r="M3834">
        <v>0.90252200000000005</v>
      </c>
      <c r="N3834">
        <v>2.212632E-3</v>
      </c>
      <c r="O3834">
        <v>-0.43063829999999997</v>
      </c>
      <c r="P3834">
        <v>0.99105779999999999</v>
      </c>
      <c r="Q3834">
        <v>-4.6816000000000003E-2</v>
      </c>
      <c r="R3834">
        <v>-0.12495199999999999</v>
      </c>
      <c r="S3834">
        <v>2.9602360000000001</v>
      </c>
      <c r="T3834">
        <v>-0.30513119999999999</v>
      </c>
      <c r="U3834">
        <v>-0.41589359999999997</v>
      </c>
      <c r="V3834">
        <v>-0.31385940000000001</v>
      </c>
      <c r="W3834">
        <v>-4.9911850000000001E-2</v>
      </c>
      <c r="X3834">
        <v>0.94815669999999996</v>
      </c>
      <c r="Y3834">
        <v>-0.2972091</v>
      </c>
      <c r="Z3834">
        <v>5.8449929999999997E-2</v>
      </c>
      <c r="AA3834">
        <v>0.95302169999999997</v>
      </c>
      <c r="AB3834">
        <v>21</v>
      </c>
      <c r="AC3834">
        <v>10.5762</v>
      </c>
      <c r="AD3834">
        <v>-1.108639304297</v>
      </c>
      <c r="AE3834">
        <v>-1.4278200000000001</v>
      </c>
      <c r="AF3834">
        <v>-3.2310183343619099</v>
      </c>
      <c r="AG3834">
        <v>-1.108639304297</v>
      </c>
      <c r="AH3834">
        <v>10.0516794743983</v>
      </c>
      <c r="AI3834">
        <v>95.994240801901995</v>
      </c>
      <c r="AJ3834">
        <v>107.819515903058</v>
      </c>
      <c r="AK3834">
        <v>10.6162526740868</v>
      </c>
      <c r="AL3834">
        <v>92.860926983391593</v>
      </c>
      <c r="AM3834">
        <v>108.315607335455</v>
      </c>
      <c r="AN3834">
        <v>1.0000000217468299</v>
      </c>
    </row>
    <row r="3835" spans="1:40" x14ac:dyDescent="0.25">
      <c r="A3835" t="str">
        <f>"20190305135706479"</f>
        <v>20190305135706479</v>
      </c>
      <c r="B3835" t="str">
        <f>"1551765426476213"</f>
        <v>1551765426476213</v>
      </c>
      <c r="C3835" t="s">
        <v>40</v>
      </c>
      <c r="D3835">
        <v>4.6247259999999999</v>
      </c>
      <c r="E3835">
        <v>0.5027876</v>
      </c>
      <c r="F3835" t="s">
        <v>42</v>
      </c>
      <c r="G3835">
        <v>-394.23430000000002</v>
      </c>
      <c r="H3835" s="1">
        <v>-3.3165619999999999E-6</v>
      </c>
      <c r="I3835">
        <v>21.911100000000001</v>
      </c>
      <c r="J3835">
        <v>-404.66640000000001</v>
      </c>
      <c r="K3835">
        <v>1.108665</v>
      </c>
      <c r="L3835">
        <v>23.281890000000001</v>
      </c>
      <c r="M3835">
        <v>0.90355949999999996</v>
      </c>
      <c r="N3835">
        <v>2.2501560000000001E-3</v>
      </c>
      <c r="O3835">
        <v>-0.42845660000000002</v>
      </c>
      <c r="P3835">
        <v>0.99141889999999999</v>
      </c>
      <c r="Q3835">
        <v>-4.834484E-2</v>
      </c>
      <c r="R3835">
        <v>-0.1214558</v>
      </c>
      <c r="S3835">
        <v>2.9612729999999998</v>
      </c>
      <c r="T3835">
        <v>-0.30917869999999997</v>
      </c>
      <c r="U3835">
        <v>-0.40628049999999999</v>
      </c>
      <c r="V3835">
        <v>-0.31486969999999997</v>
      </c>
      <c r="W3835">
        <v>-5.1516579999999999E-2</v>
      </c>
      <c r="X3835">
        <v>0.94773580000000002</v>
      </c>
      <c r="Y3835">
        <v>-0.29789450000000001</v>
      </c>
      <c r="Z3835">
        <v>5.9048829999999997E-2</v>
      </c>
      <c r="AA3835">
        <v>0.95277080000000003</v>
      </c>
      <c r="AB3835">
        <v>21</v>
      </c>
      <c r="AC3835">
        <v>10.432099999999901</v>
      </c>
      <c r="AD3835">
        <v>-1.1086683165619999</v>
      </c>
      <c r="AE3835">
        <v>-1.37078999999999</v>
      </c>
      <c r="AF3835">
        <v>-3.1956401736183602</v>
      </c>
      <c r="AG3835">
        <v>-1.1086683165619999</v>
      </c>
      <c r="AH3835">
        <v>9.9034191600191299</v>
      </c>
      <c r="AI3835">
        <v>96.081284329124799</v>
      </c>
      <c r="AJ3835">
        <v>107.883878091933</v>
      </c>
      <c r="AK3835">
        <v>10.4651312755467</v>
      </c>
      <c r="AL3835">
        <v>92.952989729461905</v>
      </c>
      <c r="AM3835">
        <v>108.378222324614</v>
      </c>
      <c r="AN3835">
        <v>1.0000000162973099</v>
      </c>
    </row>
    <row r="3836" spans="1:40" x14ac:dyDescent="0.25">
      <c r="A3836" t="str">
        <f>"20190305135706502"</f>
        <v>20190305135706502</v>
      </c>
      <c r="B3836" t="str">
        <f>"1551765426496710"</f>
        <v>1551765426496710</v>
      </c>
      <c r="C3836" t="s">
        <v>40</v>
      </c>
      <c r="D3836">
        <v>4.9012820000000001</v>
      </c>
      <c r="E3836">
        <v>0.50313220000000003</v>
      </c>
      <c r="F3836" t="s">
        <v>42</v>
      </c>
      <c r="G3836">
        <v>-394.32040000000001</v>
      </c>
      <c r="H3836" s="1">
        <v>-3.2706960000000002E-6</v>
      </c>
      <c r="I3836">
        <v>21.891749999999998</v>
      </c>
      <c r="J3836">
        <v>-404.45960000000002</v>
      </c>
      <c r="K3836">
        <v>1.1087020000000001</v>
      </c>
      <c r="L3836">
        <v>23.187010000000001</v>
      </c>
      <c r="M3836">
        <v>0.90470459999999997</v>
      </c>
      <c r="N3836">
        <v>2.2762920000000001E-3</v>
      </c>
      <c r="O3836">
        <v>-0.42603360000000001</v>
      </c>
      <c r="P3836">
        <v>0.99178960000000005</v>
      </c>
      <c r="Q3836">
        <v>-4.9936960000000002E-2</v>
      </c>
      <c r="R3836">
        <v>-0.117727</v>
      </c>
      <c r="S3836">
        <v>2.9617</v>
      </c>
      <c r="T3836">
        <v>-0.31737459999999901</v>
      </c>
      <c r="U3836">
        <v>-0.3979492</v>
      </c>
      <c r="V3836">
        <v>-0.31584800000000002</v>
      </c>
      <c r="W3836">
        <v>-5.3177170000000003E-2</v>
      </c>
      <c r="X3836">
        <v>0.9473184</v>
      </c>
      <c r="Y3836">
        <v>-0.29779939999999999</v>
      </c>
      <c r="Z3836">
        <v>6.036064E-2</v>
      </c>
      <c r="AA3836">
        <v>0.95271830000000002</v>
      </c>
      <c r="AB3836">
        <v>22</v>
      </c>
      <c r="AC3836">
        <v>10.139200000000001</v>
      </c>
      <c r="AD3836">
        <v>-1.1087052706959999</v>
      </c>
      <c r="AE3836">
        <v>-1.2952600000000001</v>
      </c>
      <c r="AF3836">
        <v>-3.1112163168706202</v>
      </c>
      <c r="AG3836">
        <v>-1.1087052706959999</v>
      </c>
      <c r="AH3836">
        <v>9.6117463821478406</v>
      </c>
      <c r="AI3836">
        <v>96.262751260519494</v>
      </c>
      <c r="AJ3836">
        <v>107.936195317244</v>
      </c>
      <c r="AK3836">
        <v>10.163393275002299</v>
      </c>
      <c r="AL3836">
        <v>93.048265333152699</v>
      </c>
      <c r="AM3836">
        <v>108.43904215205499</v>
      </c>
      <c r="AN3836">
        <v>0.99999996074588304</v>
      </c>
    </row>
    <row r="3837" spans="1:40" x14ac:dyDescent="0.25">
      <c r="A3837" t="str">
        <f>"20190305135706525"</f>
        <v>20190305135706525</v>
      </c>
      <c r="B3837" t="str">
        <f>"1551765426517205"</f>
        <v>1551765426517205</v>
      </c>
      <c r="C3837" t="s">
        <v>40</v>
      </c>
      <c r="D3837">
        <v>4.6960199999999999</v>
      </c>
      <c r="E3837">
        <v>0.50347749999999902</v>
      </c>
      <c r="F3837" t="s">
        <v>42</v>
      </c>
      <c r="G3837">
        <v>-394.26560000000001</v>
      </c>
      <c r="H3837" s="1">
        <v>-3.284507E-6</v>
      </c>
      <c r="I3837">
        <v>21.846270000000001</v>
      </c>
      <c r="J3837">
        <v>-404.25659999999999</v>
      </c>
      <c r="K3837">
        <v>1.108741</v>
      </c>
      <c r="L3837">
        <v>23.09451</v>
      </c>
      <c r="M3837">
        <v>0.9058214</v>
      </c>
      <c r="N3837">
        <v>2.2886450000000002E-3</v>
      </c>
      <c r="O3837">
        <v>-0.42365380000000002</v>
      </c>
      <c r="P3837">
        <v>0.99217840000000002</v>
      </c>
      <c r="Q3837">
        <v>-5.0383339999999999E-2</v>
      </c>
      <c r="R3837">
        <v>-0.1142112</v>
      </c>
      <c r="S3837">
        <v>2.9623719999999998</v>
      </c>
      <c r="T3837">
        <v>-0.3221889</v>
      </c>
      <c r="U3837">
        <v>-0.38961790000000002</v>
      </c>
      <c r="V3837">
        <v>-0.31669770000000003</v>
      </c>
      <c r="W3837">
        <v>-5.3675899999999999E-2</v>
      </c>
      <c r="X3837">
        <v>0.94700660000000003</v>
      </c>
      <c r="Y3837">
        <v>-0.29784529999999998</v>
      </c>
      <c r="Z3837">
        <v>6.1032349999999999E-2</v>
      </c>
      <c r="AA3837">
        <v>0.95266119999999999</v>
      </c>
      <c r="AB3837">
        <v>22</v>
      </c>
      <c r="AC3837">
        <v>9.9909999999999801</v>
      </c>
      <c r="AD3837">
        <v>-1.1087442845069999</v>
      </c>
      <c r="AE3837">
        <v>-1.24823999999999</v>
      </c>
      <c r="AF3837">
        <v>-3.0648855788324201</v>
      </c>
      <c r="AG3837">
        <v>-1.1087442845069999</v>
      </c>
      <c r="AH3837">
        <v>9.4641449973551293</v>
      </c>
      <c r="AI3837">
        <v>96.359569492236204</v>
      </c>
      <c r="AJ3837">
        <v>107.944119916156</v>
      </c>
      <c r="AK3837">
        <v>10.0096392557736</v>
      </c>
      <c r="AL3837">
        <v>93.076881152418295</v>
      </c>
      <c r="AM3837">
        <v>108.49095236571701</v>
      </c>
      <c r="AN3837">
        <v>1.0000000179348201</v>
      </c>
    </row>
    <row r="3838" spans="1:40" x14ac:dyDescent="0.25">
      <c r="A3838" t="str">
        <f>"20190305135706547"</f>
        <v>20190305135706547</v>
      </c>
      <c r="B3838" t="str">
        <f>"1551765426536729"</f>
        <v>1551765426536729</v>
      </c>
      <c r="C3838" t="s">
        <v>40</v>
      </c>
      <c r="D3838">
        <v>4.6021330000000003</v>
      </c>
      <c r="E3838">
        <v>0.50367899999999999</v>
      </c>
      <c r="F3838" t="s">
        <v>42</v>
      </c>
      <c r="G3838">
        <v>-394.09690000000001</v>
      </c>
      <c r="H3838" s="1">
        <v>-3.347839E-6</v>
      </c>
      <c r="I3838">
        <v>21.78462</v>
      </c>
      <c r="J3838">
        <v>-404.05130000000003</v>
      </c>
      <c r="K3838">
        <v>1.108771</v>
      </c>
      <c r="L3838">
        <v>23.001650000000001</v>
      </c>
      <c r="M3838">
        <v>0.90694240000000004</v>
      </c>
      <c r="N3838">
        <v>2.289718E-3</v>
      </c>
      <c r="O3838">
        <v>-0.42124820000000002</v>
      </c>
      <c r="P3838">
        <v>0.99259810000000004</v>
      </c>
      <c r="Q3838">
        <v>-5.1243839999999999E-2</v>
      </c>
      <c r="R3838">
        <v>-0.11010540000000001</v>
      </c>
      <c r="S3838">
        <v>2.9632260000000001</v>
      </c>
      <c r="T3838">
        <v>-0.3233819</v>
      </c>
      <c r="U3838">
        <v>-0.38204959999999999</v>
      </c>
      <c r="V3838">
        <v>-0.31807439999999998</v>
      </c>
      <c r="W3838">
        <v>-5.4577260000000002E-2</v>
      </c>
      <c r="X3838">
        <v>0.94649349999999999</v>
      </c>
      <c r="Y3838">
        <v>-0.2977262</v>
      </c>
      <c r="Z3838">
        <v>6.1004660000000002E-2</v>
      </c>
      <c r="AA3838">
        <v>0.95270010000000005</v>
      </c>
      <c r="AB3838">
        <v>22</v>
      </c>
      <c r="AC3838">
        <v>9.9544000000000192</v>
      </c>
      <c r="AD3838">
        <v>-1.108774347839</v>
      </c>
      <c r="AE3838">
        <v>-1.2170300000000001</v>
      </c>
      <c r="AF3838">
        <v>-3.0521954051376698</v>
      </c>
      <c r="AG3838">
        <v>-1.108774347839</v>
      </c>
      <c r="AH3838">
        <v>9.4255473847332993</v>
      </c>
      <c r="AI3838">
        <v>96.3856065117009</v>
      </c>
      <c r="AJ3838">
        <v>107.943070972629</v>
      </c>
      <c r="AK3838">
        <v>9.9692638066921493</v>
      </c>
      <c r="AL3838">
        <v>93.128601233753997</v>
      </c>
      <c r="AM3838">
        <v>108.575208712693</v>
      </c>
      <c r="AN3838">
        <v>0.999999973393358</v>
      </c>
    </row>
    <row r="3839" spans="1:40" x14ac:dyDescent="0.25">
      <c r="A3839" t="str">
        <f>"20190305135706580"</f>
        <v>20190305135706580</v>
      </c>
      <c r="B3839" t="str">
        <f>"1551765426576742"</f>
        <v>1551765426576742</v>
      </c>
      <c r="C3839" t="s">
        <v>40</v>
      </c>
      <c r="D3839">
        <v>4.5387979999999999</v>
      </c>
      <c r="E3839">
        <v>0.51944809999999997</v>
      </c>
      <c r="F3839" t="s">
        <v>42</v>
      </c>
      <c r="G3839">
        <v>-393.98950000000002</v>
      </c>
      <c r="H3839" s="1">
        <v>-3.386728E-6</v>
      </c>
      <c r="I3839">
        <v>21.74006</v>
      </c>
      <c r="J3839">
        <v>-403.7527</v>
      </c>
      <c r="K3839">
        <v>1.1088169999999999</v>
      </c>
      <c r="L3839">
        <v>22.867740000000001</v>
      </c>
      <c r="M3839">
        <v>0.90855739999999996</v>
      </c>
      <c r="N3839">
        <v>2.2734040000000001E-3</v>
      </c>
      <c r="O3839">
        <v>-0.41775400000000001</v>
      </c>
      <c r="P3839">
        <v>0.99314880000000005</v>
      </c>
      <c r="Q3839">
        <v>-5.1636170000000002E-2</v>
      </c>
      <c r="R3839">
        <v>-0.104830199999999</v>
      </c>
      <c r="S3839">
        <v>2.964264</v>
      </c>
      <c r="T3839">
        <v>-0.32665169999999999</v>
      </c>
      <c r="U3839">
        <v>-0.37167359999999999</v>
      </c>
      <c r="V3839">
        <v>-0.31944129999999998</v>
      </c>
      <c r="W3839">
        <v>-5.500509E-2</v>
      </c>
      <c r="X3839">
        <v>0.94600830000000002</v>
      </c>
      <c r="Y3839">
        <v>-0.29731879999999999</v>
      </c>
      <c r="Z3839">
        <v>6.1228930000000001E-2</v>
      </c>
      <c r="AA3839">
        <v>0.95281300000000002</v>
      </c>
      <c r="AB3839">
        <v>22</v>
      </c>
      <c r="AC3839">
        <v>9.7631999999999799</v>
      </c>
      <c r="AD3839">
        <v>-1.108820386728</v>
      </c>
      <c r="AE3839">
        <v>-1.12767999999999</v>
      </c>
      <c r="AF3839">
        <v>-3.0156760572981902</v>
      </c>
      <c r="AG3839">
        <v>-1.108820386728</v>
      </c>
      <c r="AH3839">
        <v>9.2241332223020898</v>
      </c>
      <c r="AI3839">
        <v>96.5182000125819</v>
      </c>
      <c r="AJ3839">
        <v>108.104290773323</v>
      </c>
      <c r="AK3839">
        <v>9.7677232984643005</v>
      </c>
      <c r="AL3839">
        <v>93.153150869491299</v>
      </c>
      <c r="AM3839">
        <v>108.658428119007</v>
      </c>
      <c r="AN3839">
        <v>1.0000000038702399</v>
      </c>
    </row>
    <row r="3840" spans="1:40" x14ac:dyDescent="0.25">
      <c r="A3840" t="str">
        <f>"20190305135706602"</f>
        <v>20190305135706602</v>
      </c>
      <c r="B3840" t="str">
        <f>"1551765426596262"</f>
        <v>1551765426596262</v>
      </c>
      <c r="C3840" t="s">
        <v>40</v>
      </c>
      <c r="D3840">
        <v>4.4931559999999999</v>
      </c>
      <c r="E3840">
        <v>0.52079969999999998</v>
      </c>
      <c r="F3840" t="s">
        <v>42</v>
      </c>
      <c r="G3840">
        <v>-390.01479999999998</v>
      </c>
      <c r="H3840" s="1">
        <v>-4.8908970000000002E-6</v>
      </c>
      <c r="I3840">
        <v>20.660869999999999</v>
      </c>
      <c r="J3840">
        <v>-403.53660000000002</v>
      </c>
      <c r="K3840">
        <v>1.1088530000000001</v>
      </c>
      <c r="L3840">
        <v>22.77158</v>
      </c>
      <c r="M3840">
        <v>0.90971389999999996</v>
      </c>
      <c r="N3840">
        <v>2.251818E-3</v>
      </c>
      <c r="O3840">
        <v>-0.41522979999999998</v>
      </c>
      <c r="P3840">
        <v>0.99359540000000002</v>
      </c>
      <c r="Q3840">
        <v>-5.1624719999999999E-2</v>
      </c>
      <c r="R3840">
        <v>-0.1005173</v>
      </c>
      <c r="S3840">
        <v>2.9580989999999998</v>
      </c>
      <c r="T3840">
        <v>-0.23875489999999999</v>
      </c>
      <c r="U3840">
        <v>-0.47518919999999998</v>
      </c>
      <c r="V3840">
        <v>-0.32091730000000002</v>
      </c>
      <c r="W3840">
        <v>-5.5008479999999998E-2</v>
      </c>
      <c r="X3840">
        <v>0.94550840000000003</v>
      </c>
      <c r="Y3840">
        <v>-0.26358090000000001</v>
      </c>
      <c r="Z3840">
        <v>4.3401670000000003E-2</v>
      </c>
      <c r="AA3840">
        <v>0.96366039999999997</v>
      </c>
      <c r="AB3840">
        <v>23</v>
      </c>
      <c r="AC3840">
        <v>13.521800000000001</v>
      </c>
      <c r="AD3840">
        <v>-1.1088578908969999</v>
      </c>
      <c r="AE3840">
        <v>-2.1107099999999899</v>
      </c>
      <c r="AF3840">
        <v>-3.67042507172828</v>
      </c>
      <c r="AG3840">
        <v>-1.1088578908969999</v>
      </c>
      <c r="AH3840">
        <v>13.0914867661703</v>
      </c>
      <c r="AI3840">
        <v>94.662491464505294</v>
      </c>
      <c r="AJ3840">
        <v>105.66176048878501</v>
      </c>
      <c r="AK3840">
        <v>13.641429975563</v>
      </c>
      <c r="AL3840">
        <v>93.153345439249094</v>
      </c>
      <c r="AM3840">
        <v>108.747850784574</v>
      </c>
      <c r="AN3840">
        <v>0.99999999039087994</v>
      </c>
    </row>
    <row r="3841" spans="1:40" x14ac:dyDescent="0.25">
      <c r="A3841" t="str">
        <f>"20190305135706626"</f>
        <v>20190305135706626</v>
      </c>
      <c r="B3841" t="str">
        <f>"1551765426616761"</f>
        <v>1551765426616761</v>
      </c>
      <c r="C3841" t="s">
        <v>40</v>
      </c>
      <c r="D3841">
        <v>4.5445359999999999</v>
      </c>
      <c r="E3841">
        <v>0.52166440000000003</v>
      </c>
      <c r="F3841" t="s">
        <v>84</v>
      </c>
      <c r="G3841">
        <v>-388.59089999999998</v>
      </c>
      <c r="H3841" s="1">
        <v>-8.7225519999999895E-7</v>
      </c>
      <c r="I3841">
        <v>20.389510000000001</v>
      </c>
      <c r="J3841">
        <v>-403.31200000000001</v>
      </c>
      <c r="K3841">
        <v>1.1088910000000001</v>
      </c>
      <c r="L3841">
        <v>22.67239</v>
      </c>
      <c r="M3841">
        <v>0.91090470000000001</v>
      </c>
      <c r="N3841">
        <v>2.2220159999999998E-3</v>
      </c>
      <c r="O3841">
        <v>-0.4126109</v>
      </c>
      <c r="P3841">
        <v>0.99410949999999998</v>
      </c>
      <c r="Q3841">
        <v>-5.135369E-2</v>
      </c>
      <c r="R3841">
        <v>-9.5441880000000007E-2</v>
      </c>
      <c r="S3841">
        <v>2.9602050000000002</v>
      </c>
      <c r="T3841">
        <v>-0.21962419999999999</v>
      </c>
      <c r="U3841">
        <v>-0.47180179999999999</v>
      </c>
      <c r="V3841">
        <v>-0.323026599999999</v>
      </c>
      <c r="W3841">
        <v>-5.4745639999999998E-2</v>
      </c>
      <c r="X3841">
        <v>0.94480509999999995</v>
      </c>
      <c r="Y3841">
        <v>-0.26232149999999999</v>
      </c>
      <c r="Z3841">
        <v>3.9729460000000001E-2</v>
      </c>
      <c r="AA3841">
        <v>0.96416230000000003</v>
      </c>
      <c r="AB3841">
        <v>23</v>
      </c>
      <c r="AC3841">
        <v>14.7210999999999</v>
      </c>
      <c r="AD3841">
        <v>-1.1088918722551999</v>
      </c>
      <c r="AE3841">
        <v>-2.2828799999999898</v>
      </c>
      <c r="AF3841">
        <v>-3.9725983081920901</v>
      </c>
      <c r="AG3841">
        <v>-1.1088918722551999</v>
      </c>
      <c r="AH3841">
        <v>14.272413827745099</v>
      </c>
      <c r="AI3841">
        <v>94.280573763152404</v>
      </c>
      <c r="AJ3841">
        <v>105.554066658811</v>
      </c>
      <c r="AK3841">
        <v>14.856411914490501</v>
      </c>
      <c r="AL3841">
        <v>93.138263143078106</v>
      </c>
      <c r="AM3841">
        <v>108.87543529942199</v>
      </c>
      <c r="AN3841">
        <v>0.99999997319628897</v>
      </c>
    </row>
    <row r="3842" spans="1:40" x14ac:dyDescent="0.25">
      <c r="A3842" t="str">
        <f>"20190305135706648"</f>
        <v>20190305135706648</v>
      </c>
      <c r="B3842" t="str">
        <f>"1551765426646037"</f>
        <v>1551765426646037</v>
      </c>
      <c r="C3842" t="s">
        <v>40</v>
      </c>
      <c r="D3842">
        <v>4.5336959999999999</v>
      </c>
      <c r="E3842">
        <v>0.52203889999999997</v>
      </c>
      <c r="F3842" t="s">
        <v>84</v>
      </c>
      <c r="G3842">
        <v>-387.43509999999998</v>
      </c>
      <c r="H3842" s="1">
        <v>-1.36624E-6</v>
      </c>
      <c r="I3842">
        <v>20.192589999999999</v>
      </c>
      <c r="J3842">
        <v>-403.09120000000001</v>
      </c>
      <c r="K3842">
        <v>1.1089169999999999</v>
      </c>
      <c r="L3842">
        <v>22.575679999999998</v>
      </c>
      <c r="M3842">
        <v>0.91206379999999998</v>
      </c>
      <c r="N3842">
        <v>2.1862679999999999E-3</v>
      </c>
      <c r="O3842">
        <v>-0.41004279999999999</v>
      </c>
      <c r="P3842">
        <v>0.99448939999999997</v>
      </c>
      <c r="Q3842">
        <v>-5.133045E-2</v>
      </c>
      <c r="R3842">
        <v>-9.1413030000000006E-2</v>
      </c>
      <c r="S3842">
        <v>2.9626769999999998</v>
      </c>
      <c r="T3842">
        <v>-0.20692250000000001</v>
      </c>
      <c r="U3842">
        <v>-0.46273799999999998</v>
      </c>
      <c r="V3842">
        <v>-0.3241887</v>
      </c>
      <c r="W3842">
        <v>-5.4720110000000002E-2</v>
      </c>
      <c r="X3842">
        <v>0.94440849999999998</v>
      </c>
      <c r="Y3842">
        <v>-0.26281009999999999</v>
      </c>
      <c r="Z3842">
        <v>3.7295700000000001E-2</v>
      </c>
      <c r="AA3842">
        <v>0.9641265</v>
      </c>
      <c r="AB3842">
        <v>23</v>
      </c>
      <c r="AC3842">
        <v>15.6561</v>
      </c>
      <c r="AD3842">
        <v>-1.10891836624</v>
      </c>
      <c r="AE3842">
        <v>-2.3830900000000002</v>
      </c>
      <c r="AF3842">
        <v>-4.2254322002429801</v>
      </c>
      <c r="AG3842">
        <v>-1.10891836624</v>
      </c>
      <c r="AH3842">
        <v>15.182123667422299</v>
      </c>
      <c r="AI3842">
        <v>94.025073842983204</v>
      </c>
      <c r="AJ3842">
        <v>105.55275082194601</v>
      </c>
      <c r="AK3842">
        <v>15.7981282522563</v>
      </c>
      <c r="AL3842">
        <v>93.136798072629702</v>
      </c>
      <c r="AM3842">
        <v>108.94589505058001</v>
      </c>
      <c r="AN3842">
        <v>1.0000000092591701</v>
      </c>
    </row>
    <row r="3843" spans="1:40" x14ac:dyDescent="0.25">
      <c r="A3843" t="str">
        <f>"20190305135706669"</f>
        <v>20190305135706669</v>
      </c>
      <c r="B3843" t="str">
        <f>"1551765426666533"</f>
        <v>1551765426666533</v>
      </c>
      <c r="C3843" t="s">
        <v>40</v>
      </c>
      <c r="D3843">
        <v>4.4916349999999996</v>
      </c>
      <c r="E3843">
        <v>0.52254369999999895</v>
      </c>
      <c r="F3843" t="s">
        <v>84</v>
      </c>
      <c r="G3843">
        <v>-386.55079999999998</v>
      </c>
      <c r="H3843" s="1">
        <v>-1.745729E-6</v>
      </c>
      <c r="I3843">
        <v>20.047799999999999</v>
      </c>
      <c r="J3843">
        <v>-402.89190000000002</v>
      </c>
      <c r="K3843">
        <v>1.1089469999999999</v>
      </c>
      <c r="L3843">
        <v>22.488980000000002</v>
      </c>
      <c r="M3843">
        <v>0.91310279999999999</v>
      </c>
      <c r="N3843">
        <v>2.1490810000000002E-3</v>
      </c>
      <c r="O3843">
        <v>-0.40772409999999998</v>
      </c>
      <c r="P3843">
        <v>0.99484689999999998</v>
      </c>
      <c r="Q3843">
        <v>-5.1493110000000002E-2</v>
      </c>
      <c r="R3843">
        <v>-8.7339059999999996E-2</v>
      </c>
      <c r="S3843">
        <v>2.9646910000000002</v>
      </c>
      <c r="T3843">
        <v>-0.19876060000000001</v>
      </c>
      <c r="U3843">
        <v>-0.45309450000000001</v>
      </c>
      <c r="V3843">
        <v>-0.32564870000000001</v>
      </c>
      <c r="W3843">
        <v>-5.4878389999999999E-2</v>
      </c>
      <c r="X3843">
        <v>0.94389690000000004</v>
      </c>
      <c r="Y3843">
        <v>-0.26364680000000001</v>
      </c>
      <c r="Z3843">
        <v>3.5712519999999998E-2</v>
      </c>
      <c r="AA3843">
        <v>0.96395799999999998</v>
      </c>
      <c r="AB3843">
        <v>24</v>
      </c>
      <c r="AC3843">
        <v>16.341100000000001</v>
      </c>
      <c r="AD3843">
        <v>-1.1089487457289999</v>
      </c>
      <c r="AE3843">
        <v>-2.4411799999999899</v>
      </c>
      <c r="AF3843">
        <v>-4.4137386314845202</v>
      </c>
      <c r="AG3843">
        <v>-1.1089487457289999</v>
      </c>
      <c r="AH3843">
        <v>15.8450877538887</v>
      </c>
      <c r="AI3843">
        <v>93.857050236996898</v>
      </c>
      <c r="AJ3843">
        <v>105.565478587193</v>
      </c>
      <c r="AK3843">
        <v>16.485680512376401</v>
      </c>
      <c r="AL3843">
        <v>93.145880412702894</v>
      </c>
      <c r="AM3843">
        <v>109.034665952777</v>
      </c>
      <c r="AN3843">
        <v>1.00000003566514</v>
      </c>
    </row>
    <row r="3844" spans="1:40" x14ac:dyDescent="0.25">
      <c r="A3844" t="str">
        <f>"20190305135706691"</f>
        <v>20190305135706691</v>
      </c>
      <c r="B3844" t="str">
        <f>"1551765426686054"</f>
        <v>1551765426686054</v>
      </c>
      <c r="C3844" t="s">
        <v>40</v>
      </c>
      <c r="D3844">
        <v>5.7618010000000002</v>
      </c>
      <c r="E3844">
        <v>0.52289259999999904</v>
      </c>
      <c r="F3844" t="s">
        <v>84</v>
      </c>
      <c r="G3844">
        <v>-386.42360000000002</v>
      </c>
      <c r="H3844" s="1">
        <v>-1.797902E-6</v>
      </c>
      <c r="I3844">
        <v>20.018080000000001</v>
      </c>
      <c r="J3844">
        <v>-402.66860000000003</v>
      </c>
      <c r="K3844">
        <v>1.1089899999999999</v>
      </c>
      <c r="L3844">
        <v>22.392579999999999</v>
      </c>
      <c r="M3844">
        <v>0.91426549999999995</v>
      </c>
      <c r="N3844">
        <v>2.1022060000000001E-3</v>
      </c>
      <c r="O3844">
        <v>-0.40511039999999998</v>
      </c>
      <c r="P3844">
        <v>0.99528289999999997</v>
      </c>
      <c r="Q3844">
        <v>-5.1613119999999998E-2</v>
      </c>
      <c r="R3844">
        <v>-8.2150440000000005E-2</v>
      </c>
      <c r="S3844">
        <v>2.9661249999999999</v>
      </c>
      <c r="T3844">
        <v>-0.1997342</v>
      </c>
      <c r="U3844">
        <v>-0.44503779999999998</v>
      </c>
      <c r="V3844">
        <v>-0.32786130000000002</v>
      </c>
      <c r="W3844">
        <v>-5.4996290000000003E-2</v>
      </c>
      <c r="X3844">
        <v>0.94312370000000001</v>
      </c>
      <c r="Y3844">
        <v>-0.26351059999999998</v>
      </c>
      <c r="Z3844">
        <v>3.5694759999999999E-2</v>
      </c>
      <c r="AA3844">
        <v>0.96399590000000002</v>
      </c>
      <c r="AB3844">
        <v>24</v>
      </c>
      <c r="AC3844">
        <v>16.245000000000001</v>
      </c>
      <c r="AD3844">
        <v>-1.1089917979020001</v>
      </c>
      <c r="AE3844">
        <v>-2.3744999999999998</v>
      </c>
      <c r="AF3844">
        <v>-4.3900729440048796</v>
      </c>
      <c r="AG3844">
        <v>-1.1089917979020001</v>
      </c>
      <c r="AH3844">
        <v>15.7423804546961</v>
      </c>
      <c r="AI3844">
        <v>93.8819738178032</v>
      </c>
      <c r="AJ3844">
        <v>105.58217570373</v>
      </c>
      <c r="AK3844">
        <v>16.380633249111501</v>
      </c>
      <c r="AL3844">
        <v>93.152646013180501</v>
      </c>
      <c r="AM3844">
        <v>109.169158888555</v>
      </c>
      <c r="AN3844">
        <v>0.99999996872657104</v>
      </c>
    </row>
    <row r="3845" spans="1:40" x14ac:dyDescent="0.25">
      <c r="A3845" t="str">
        <f>"20190305135706716"</f>
        <v>20190305135706716</v>
      </c>
      <c r="B3845" t="str">
        <f>"1551765426706549"</f>
        <v>1551765426706549</v>
      </c>
      <c r="C3845" t="s">
        <v>40</v>
      </c>
      <c r="D3845">
        <v>4.5270010000000003</v>
      </c>
      <c r="E3845">
        <v>0.52334559999999997</v>
      </c>
      <c r="F3845" t="s">
        <v>84</v>
      </c>
      <c r="G3845">
        <v>-386.0788</v>
      </c>
      <c r="H3845" s="1">
        <v>-1.9499530000000001E-6</v>
      </c>
      <c r="I3845">
        <v>19.976890000000001</v>
      </c>
      <c r="J3845">
        <v>-402.42869999999999</v>
      </c>
      <c r="K3845">
        <v>1.109046</v>
      </c>
      <c r="L3845">
        <v>22.28989</v>
      </c>
      <c r="M3845">
        <v>0.91552069999999997</v>
      </c>
      <c r="N3845">
        <v>2.0461210000000001E-3</v>
      </c>
      <c r="O3845">
        <v>-0.40226580000000001</v>
      </c>
      <c r="P3845">
        <v>0.99571600000000005</v>
      </c>
      <c r="Q3845">
        <v>-5.1829010000000002E-2</v>
      </c>
      <c r="R3845">
        <v>-7.6572310000000005E-2</v>
      </c>
      <c r="S3845">
        <v>2.9682919999999999</v>
      </c>
      <c r="T3845">
        <v>-0.19842370000000001</v>
      </c>
      <c r="U3845">
        <v>-0.43222050000000001</v>
      </c>
      <c r="V3845">
        <v>-0.33019939999999998</v>
      </c>
      <c r="W3845">
        <v>-5.5215189999999997E-2</v>
      </c>
      <c r="X3845">
        <v>0.94229490000000005</v>
      </c>
      <c r="Y3845">
        <v>-0.26471270000000002</v>
      </c>
      <c r="Z3845">
        <v>3.5300390000000001E-2</v>
      </c>
      <c r="AA3845">
        <v>0.96368100000000001</v>
      </c>
      <c r="AB3845">
        <v>24</v>
      </c>
      <c r="AC3845">
        <v>16.349899999999899</v>
      </c>
      <c r="AD3845">
        <v>-1.1090479499529999</v>
      </c>
      <c r="AE3845">
        <v>-2.3130000000000002</v>
      </c>
      <c r="AF3845">
        <v>-4.4393896027133302</v>
      </c>
      <c r="AG3845">
        <v>-1.1090479499529999</v>
      </c>
      <c r="AH3845">
        <v>15.827747464675699</v>
      </c>
      <c r="AI3845">
        <v>93.859685727937205</v>
      </c>
      <c r="AJ3845">
        <v>105.66782301609599</v>
      </c>
      <c r="AK3845">
        <v>16.475914457338</v>
      </c>
      <c r="AL3845">
        <v>93.1652069843541</v>
      </c>
      <c r="AM3845">
        <v>109.31150428236</v>
      </c>
      <c r="AN3845">
        <v>1.00000001976655</v>
      </c>
    </row>
    <row r="3846" spans="1:40" x14ac:dyDescent="0.25">
      <c r="A3846" t="str">
        <f>"20190305135706737"</f>
        <v>20190305135706737</v>
      </c>
      <c r="B3846" t="str">
        <f>"1551765426726069"</f>
        <v>1551765426726069</v>
      </c>
      <c r="C3846" t="s">
        <v>40</v>
      </c>
      <c r="D3846">
        <v>4.5024470000000001</v>
      </c>
      <c r="E3846">
        <v>0.5237541</v>
      </c>
      <c r="F3846" t="s">
        <v>84</v>
      </c>
      <c r="G3846">
        <v>-385.9203</v>
      </c>
      <c r="H3846" s="1">
        <v>-2.0202219999999999E-6</v>
      </c>
      <c r="I3846">
        <v>19.959409999999998</v>
      </c>
      <c r="J3846">
        <v>-402.20839999999998</v>
      </c>
      <c r="K3846">
        <v>1.1091070000000001</v>
      </c>
      <c r="L3846">
        <v>22.196349999999999</v>
      </c>
      <c r="M3846">
        <v>0.91668059999999996</v>
      </c>
      <c r="N3846">
        <v>1.990084E-3</v>
      </c>
      <c r="O3846">
        <v>-0.39961580000000002</v>
      </c>
      <c r="P3846">
        <v>0.99605949999999999</v>
      </c>
      <c r="Q3846">
        <v>-5.1926529999999999E-2</v>
      </c>
      <c r="R3846">
        <v>-7.1897799999999998E-2</v>
      </c>
      <c r="S3846">
        <v>2.9702760000000001</v>
      </c>
      <c r="T3846">
        <v>-0.19954549999999999</v>
      </c>
      <c r="U3846">
        <v>-0.4193115</v>
      </c>
      <c r="V3846">
        <v>-0.33188509999999999</v>
      </c>
      <c r="W3846">
        <v>-5.531668E-2</v>
      </c>
      <c r="X3846">
        <v>0.94169650000000005</v>
      </c>
      <c r="Y3846">
        <v>-0.2661075</v>
      </c>
      <c r="Z3846">
        <v>3.5351510000000003E-2</v>
      </c>
      <c r="AA3846">
        <v>0.96329489999999995</v>
      </c>
      <c r="AB3846">
        <v>24</v>
      </c>
      <c r="AC3846">
        <v>16.288099999999901</v>
      </c>
      <c r="AD3846">
        <v>-1.109109020222</v>
      </c>
      <c r="AE3846">
        <v>-2.2369399999999899</v>
      </c>
      <c r="AF3846">
        <v>-4.4382335422777297</v>
      </c>
      <c r="AG3846">
        <v>-1.109109020222</v>
      </c>
      <c r="AH3846">
        <v>15.7532419694989</v>
      </c>
      <c r="AI3846">
        <v>93.876835529515901</v>
      </c>
      <c r="AJ3846">
        <v>105.734365543211</v>
      </c>
      <c r="AK3846">
        <v>16.404044389848401</v>
      </c>
      <c r="AL3846">
        <v>93.171030971322395</v>
      </c>
      <c r="AM3846">
        <v>109.414149132359</v>
      </c>
      <c r="AN3846">
        <v>0.99999997640024096</v>
      </c>
    </row>
    <row r="3847" spans="1:40" x14ac:dyDescent="0.25">
      <c r="A3847" t="str">
        <f>"20190305135706759"</f>
        <v>20190305135706759</v>
      </c>
      <c r="B3847" t="str">
        <f>"1551765426756325"</f>
        <v>1551765426756325</v>
      </c>
      <c r="C3847" t="s">
        <v>40</v>
      </c>
      <c r="D3847">
        <v>4.6189299999999998</v>
      </c>
      <c r="E3847">
        <v>0.52407159999999997</v>
      </c>
      <c r="F3847" t="s">
        <v>84</v>
      </c>
      <c r="G3847">
        <v>-385.86590000000001</v>
      </c>
      <c r="H3847" s="1">
        <v>-2.0430939999999998E-6</v>
      </c>
      <c r="I3847">
        <v>19.948730000000001</v>
      </c>
      <c r="J3847">
        <v>-401.9896</v>
      </c>
      <c r="K3847">
        <v>1.1091879999999901</v>
      </c>
      <c r="L3847">
        <v>22.104189999999999</v>
      </c>
      <c r="M3847">
        <v>0.91784869999999996</v>
      </c>
      <c r="N3847">
        <v>1.9300509999999999E-3</v>
      </c>
      <c r="O3847">
        <v>-0.3969259</v>
      </c>
      <c r="P3847">
        <v>0.99632330000000002</v>
      </c>
      <c r="Q3847">
        <v>-5.1603120000000002E-2</v>
      </c>
      <c r="R3847">
        <v>-6.838988E-2</v>
      </c>
      <c r="S3847">
        <v>2.971832</v>
      </c>
      <c r="T3847">
        <v>-0.2016878</v>
      </c>
      <c r="U3847">
        <v>-0.40872190000000003</v>
      </c>
      <c r="V3847">
        <v>-0.33243830000000002</v>
      </c>
      <c r="W3847">
        <v>-5.4999220000000001E-2</v>
      </c>
      <c r="X3847">
        <v>0.94152000000000002</v>
      </c>
      <c r="Y3847">
        <v>-0.26669369999999998</v>
      </c>
      <c r="Z3847">
        <v>3.5549959999999999E-2</v>
      </c>
      <c r="AA3847">
        <v>0.96312549999999997</v>
      </c>
      <c r="AB3847">
        <v>25</v>
      </c>
      <c r="AC3847">
        <v>16.1236999999999</v>
      </c>
      <c r="AD3847">
        <v>-1.1091900430939901</v>
      </c>
      <c r="AE3847">
        <v>-2.1554600000000002</v>
      </c>
      <c r="AF3847">
        <v>-4.4010739050675998</v>
      </c>
      <c r="AG3847">
        <v>-1.1091900430939901</v>
      </c>
      <c r="AH3847">
        <v>15.582256169752499</v>
      </c>
      <c r="AI3847">
        <v>93.918808510355504</v>
      </c>
      <c r="AJ3847">
        <v>105.771875356447</v>
      </c>
      <c r="AK3847">
        <v>16.229801644177801</v>
      </c>
      <c r="AL3847">
        <v>93.152813969992906</v>
      </c>
      <c r="AM3847">
        <v>109.447454756231</v>
      </c>
      <c r="AN3847">
        <v>1.0000000239537401</v>
      </c>
    </row>
    <row r="3848" spans="1:40" x14ac:dyDescent="0.25">
      <c r="A3848" t="str">
        <f>"20190305135706782"</f>
        <v>20190305135706782</v>
      </c>
      <c r="B3848" t="str">
        <f>"1551765426775846"</f>
        <v>1551765426775846</v>
      </c>
      <c r="C3848" t="s">
        <v>40</v>
      </c>
      <c r="D3848">
        <v>4.4812770000000004</v>
      </c>
      <c r="E3848">
        <v>0.53167959999999903</v>
      </c>
      <c r="F3848" t="s">
        <v>84</v>
      </c>
      <c r="G3848">
        <v>-385.83550000000002</v>
      </c>
      <c r="H3848" s="1">
        <v>-2.0513120000000001E-6</v>
      </c>
      <c r="I3848">
        <v>19.925609999999999</v>
      </c>
      <c r="J3848">
        <v>-401.75490000000002</v>
      </c>
      <c r="K3848">
        <v>1.1092930000000001</v>
      </c>
      <c r="L3848">
        <v>22.006260000000001</v>
      </c>
      <c r="M3848">
        <v>0.91912919999999998</v>
      </c>
      <c r="N3848">
        <v>1.8606639999999999E-3</v>
      </c>
      <c r="O3848">
        <v>-0.39395170000000002</v>
      </c>
      <c r="P3848">
        <v>0.99660689999999996</v>
      </c>
      <c r="Q3848">
        <v>-5.0951320000000001E-2</v>
      </c>
      <c r="R3848">
        <v>-6.4642539999999998E-2</v>
      </c>
      <c r="S3848">
        <v>2.9729610000000002</v>
      </c>
      <c r="T3848">
        <v>-0.20413239999999999</v>
      </c>
      <c r="U3848">
        <v>-0.40093990000000002</v>
      </c>
      <c r="V3848">
        <v>-0.33293420000000001</v>
      </c>
      <c r="W3848">
        <v>-5.436407E-2</v>
      </c>
      <c r="X3848">
        <v>0.94138160000000004</v>
      </c>
      <c r="Y3848">
        <v>-0.26607219999999998</v>
      </c>
      <c r="Z3848">
        <v>3.5737739999999997E-2</v>
      </c>
      <c r="AA3848">
        <v>0.96329039999999999</v>
      </c>
      <c r="AB3848">
        <v>25</v>
      </c>
      <c r="AC3848">
        <v>15.9193999999999</v>
      </c>
      <c r="AD3848">
        <v>-1.1092950513119999</v>
      </c>
      <c r="AE3848">
        <v>-2.0806499999999999</v>
      </c>
      <c r="AF3848">
        <v>-4.3383847504412598</v>
      </c>
      <c r="AG3848">
        <v>-1.1092950513119999</v>
      </c>
      <c r="AH3848">
        <v>15.3782723289538</v>
      </c>
      <c r="AI3848">
        <v>93.971340323281893</v>
      </c>
      <c r="AJ3848">
        <v>105.75436019785</v>
      </c>
      <c r="AK3848">
        <v>16.016971548242001</v>
      </c>
      <c r="AL3848">
        <v>93.116368178912296</v>
      </c>
      <c r="AM3848">
        <v>109.47693042930899</v>
      </c>
      <c r="AN3848">
        <v>0.99999997522758199</v>
      </c>
    </row>
    <row r="3849" spans="1:40" x14ac:dyDescent="0.25">
      <c r="A3849" t="str">
        <f>"20190305135706805"</f>
        <v>20190305135706805</v>
      </c>
      <c r="B3849" t="str">
        <f>"1551765426796341"</f>
        <v>1551765426796341</v>
      </c>
      <c r="C3849" t="s">
        <v>40</v>
      </c>
      <c r="D3849">
        <v>4.4092580000000003</v>
      </c>
      <c r="E3849">
        <v>0.531470199999999</v>
      </c>
      <c r="F3849" t="s">
        <v>84</v>
      </c>
      <c r="G3849">
        <v>-384.71710000000002</v>
      </c>
      <c r="H3849" s="1">
        <v>-2.5312520000000002E-6</v>
      </c>
      <c r="I3849">
        <v>19.42728</v>
      </c>
      <c r="J3849">
        <v>-401.51560000000001</v>
      </c>
      <c r="K3849">
        <v>1.109423</v>
      </c>
      <c r="L3849">
        <v>21.907409999999999</v>
      </c>
      <c r="M3849">
        <v>0.92047440000000003</v>
      </c>
      <c r="N3849">
        <v>1.7844929999999901E-3</v>
      </c>
      <c r="O3849">
        <v>-0.39079930000000002</v>
      </c>
      <c r="P3849">
        <v>0.99684589999999995</v>
      </c>
      <c r="Q3849">
        <v>-5.057263E-2</v>
      </c>
      <c r="R3849">
        <v>-6.1165169999999998E-2</v>
      </c>
      <c r="S3849">
        <v>2.9711609999999999</v>
      </c>
      <c r="T3849">
        <v>-0.1934456</v>
      </c>
      <c r="U3849">
        <v>-0.44973750000000001</v>
      </c>
      <c r="V3849">
        <v>-0.332986</v>
      </c>
      <c r="W3849">
        <v>-5.4012959999999999E-2</v>
      </c>
      <c r="X3849">
        <v>0.94138350000000004</v>
      </c>
      <c r="Y3849">
        <v>-0.24733769999999999</v>
      </c>
      <c r="Z3849">
        <v>3.3055340000000002E-2</v>
      </c>
      <c r="AA3849">
        <v>0.96836529999999998</v>
      </c>
      <c r="AB3849">
        <v>25</v>
      </c>
      <c r="AC3849">
        <v>16.798499999999901</v>
      </c>
      <c r="AD3849">
        <v>-1.1094255312520001</v>
      </c>
      <c r="AE3849">
        <v>-2.4801299999999999</v>
      </c>
      <c r="AF3849">
        <v>-4.2637513743175397</v>
      </c>
      <c r="AG3849">
        <v>-1.1094255312520001</v>
      </c>
      <c r="AH3849">
        <v>16.362001525267999</v>
      </c>
      <c r="AI3849">
        <v>93.754012218836294</v>
      </c>
      <c r="AJ3849">
        <v>104.605801550105</v>
      </c>
      <c r="AK3849">
        <v>16.944777800380301</v>
      </c>
      <c r="AL3849">
        <v>93.096221425580097</v>
      </c>
      <c r="AM3849">
        <v>109.479696253759</v>
      </c>
      <c r="AN3849">
        <v>0.99999998505810495</v>
      </c>
    </row>
    <row r="3850" spans="1:40" x14ac:dyDescent="0.25">
      <c r="A3850" t="str">
        <f>"20190305135706827"</f>
        <v>20190305135706827</v>
      </c>
      <c r="B3850" t="str">
        <f>"1551765426816841"</f>
        <v>1551765426816841</v>
      </c>
      <c r="C3850" t="s">
        <v>40</v>
      </c>
      <c r="D3850">
        <v>4.4518490000000002</v>
      </c>
      <c r="E3850">
        <v>0.53136830000000002</v>
      </c>
      <c r="F3850" t="s">
        <v>84</v>
      </c>
      <c r="G3850">
        <v>-385.30560000000003</v>
      </c>
      <c r="H3850" s="1">
        <v>-2.2372529999999999E-6</v>
      </c>
      <c r="I3850">
        <v>19.516369999999998</v>
      </c>
      <c r="J3850">
        <v>-401.27379999999999</v>
      </c>
      <c r="K3850">
        <v>1.109572</v>
      </c>
      <c r="L3850">
        <v>21.808589999999999</v>
      </c>
      <c r="M3850">
        <v>0.92188360000000003</v>
      </c>
      <c r="N3850">
        <v>1.702035E-3</v>
      </c>
      <c r="O3850">
        <v>-0.38746360000000002</v>
      </c>
      <c r="P3850">
        <v>0.99703379999999997</v>
      </c>
      <c r="Q3850">
        <v>-5.0733960000000002E-2</v>
      </c>
      <c r="R3850">
        <v>-5.788132E-2</v>
      </c>
      <c r="S3850">
        <v>2.972229</v>
      </c>
      <c r="T3850">
        <v>-0.20342109999999999</v>
      </c>
      <c r="U3850">
        <v>-0.43841550000000001</v>
      </c>
      <c r="V3850">
        <v>-0.33265460000000002</v>
      </c>
      <c r="W3850">
        <v>-5.4213600000000001E-2</v>
      </c>
      <c r="X3850">
        <v>0.94148920000000003</v>
      </c>
      <c r="Y3850">
        <v>-0.24736240000000001</v>
      </c>
      <c r="Z3850">
        <v>3.4496260000000001E-2</v>
      </c>
      <c r="AA3850">
        <v>0.96830870000000002</v>
      </c>
      <c r="AB3850">
        <v>25</v>
      </c>
      <c r="AC3850">
        <v>15.9681999999999</v>
      </c>
      <c r="AD3850">
        <v>-1.109574237253</v>
      </c>
      <c r="AE3850">
        <v>-2.2922199999999902</v>
      </c>
      <c r="AF3850">
        <v>-4.0547588962231798</v>
      </c>
      <c r="AG3850">
        <v>-1.109574237253</v>
      </c>
      <c r="AH3850">
        <v>15.5354970270946</v>
      </c>
      <c r="AI3850">
        <v>93.953244932371703</v>
      </c>
      <c r="AJ3850">
        <v>104.62785082672001</v>
      </c>
      <c r="AK3850">
        <v>16.094219228447901</v>
      </c>
      <c r="AL3850">
        <v>93.1077339001409</v>
      </c>
      <c r="AM3850">
        <v>109.459746396361</v>
      </c>
      <c r="AN3850">
        <v>1.0000000555213699</v>
      </c>
    </row>
    <row r="3851" spans="1:40" x14ac:dyDescent="0.25">
      <c r="A3851" t="str">
        <f>"20190305135706850"</f>
        <v>20190305135706850</v>
      </c>
      <c r="B3851" t="str">
        <f>"1551765426846118"</f>
        <v>1551765426846118</v>
      </c>
      <c r="C3851" t="s">
        <v>40</v>
      </c>
      <c r="D3851">
        <v>4.4155889999999998</v>
      </c>
      <c r="E3851">
        <v>0.53146400000000005</v>
      </c>
      <c r="F3851" t="s">
        <v>84</v>
      </c>
      <c r="G3851">
        <v>-385.08019999999999</v>
      </c>
      <c r="H3851" s="1">
        <v>-2.3503679999999999E-6</v>
      </c>
      <c r="I3851">
        <v>19.479330000000001</v>
      </c>
      <c r="J3851">
        <v>-401.03910000000002</v>
      </c>
      <c r="K3851">
        <v>1.1097300000000001</v>
      </c>
      <c r="L3851">
        <v>21.713809999999999</v>
      </c>
      <c r="M3851">
        <v>0.92330619999999997</v>
      </c>
      <c r="N3851">
        <v>1.6166570000000001E-3</v>
      </c>
      <c r="O3851">
        <v>-0.38406170000000001</v>
      </c>
      <c r="P3851">
        <v>0.99709930000000002</v>
      </c>
      <c r="Q3851">
        <v>-5.2390989999999998E-2</v>
      </c>
      <c r="R3851">
        <v>-5.5213369999999998E-2</v>
      </c>
      <c r="S3851">
        <v>2.9737239999999998</v>
      </c>
      <c r="T3851">
        <v>-0.2037573</v>
      </c>
      <c r="U3851">
        <v>-0.42773440000000001</v>
      </c>
      <c r="V3851">
        <v>-0.33163779999999998</v>
      </c>
      <c r="W3851">
        <v>-5.591517E-2</v>
      </c>
      <c r="X3851">
        <v>0.94174829999999998</v>
      </c>
      <c r="Y3851">
        <v>-0.2472714</v>
      </c>
      <c r="Z3851">
        <v>3.430296E-2</v>
      </c>
      <c r="AA3851">
        <v>0.9683389</v>
      </c>
      <c r="AB3851">
        <v>26</v>
      </c>
      <c r="AC3851">
        <v>15.9589</v>
      </c>
      <c r="AD3851">
        <v>-1.1097323503680001</v>
      </c>
      <c r="AE3851">
        <v>-2.23448</v>
      </c>
      <c r="AF3851">
        <v>-4.0469055631362298</v>
      </c>
      <c r="AG3851">
        <v>-1.1097323503680001</v>
      </c>
      <c r="AH3851">
        <v>15.5195471726193</v>
      </c>
      <c r="AI3851">
        <v>93.958086162081003</v>
      </c>
      <c r="AJ3851">
        <v>104.61509451666601</v>
      </c>
      <c r="AK3851">
        <v>16.0768558794794</v>
      </c>
      <c r="AL3851">
        <v>93.205375009088598</v>
      </c>
      <c r="AM3851">
        <v>109.399776535721</v>
      </c>
      <c r="AN3851">
        <v>0.99999999858892896</v>
      </c>
    </row>
    <row r="3852" spans="1:40" x14ac:dyDescent="0.25">
      <c r="A3852" t="str">
        <f>"20190305135706873"</f>
        <v>20190305135706873</v>
      </c>
      <c r="B3852" t="str">
        <f>"1551765426866614"</f>
        <v>1551765426866614</v>
      </c>
      <c r="C3852" t="s">
        <v>40</v>
      </c>
      <c r="D3852">
        <v>4.4222460000000003</v>
      </c>
      <c r="E3852">
        <v>0.53186119999999903</v>
      </c>
      <c r="F3852" t="s">
        <v>84</v>
      </c>
      <c r="G3852">
        <v>-385.47829999999999</v>
      </c>
      <c r="H3852" s="1">
        <v>-2.1560210000000001E-6</v>
      </c>
      <c r="I3852">
        <v>19.514019999999999</v>
      </c>
      <c r="J3852">
        <v>-400.7921</v>
      </c>
      <c r="K3852">
        <v>1.109907</v>
      </c>
      <c r="L3852">
        <v>21.61542</v>
      </c>
      <c r="M3852">
        <v>0.92487140000000001</v>
      </c>
      <c r="N3852">
        <v>1.521372E-3</v>
      </c>
      <c r="O3852">
        <v>-0.38027739999999999</v>
      </c>
      <c r="P3852">
        <v>0.99709499999999995</v>
      </c>
      <c r="Q3852">
        <v>-5.5054180000000001E-2</v>
      </c>
      <c r="R3852">
        <v>-5.2639980000000003E-2</v>
      </c>
      <c r="S3852">
        <v>2.9743040000000001</v>
      </c>
      <c r="T3852">
        <v>-0.21211579999999999</v>
      </c>
      <c r="U3852">
        <v>-0.42047119999999999</v>
      </c>
      <c r="V3852">
        <v>-0.33011479999999999</v>
      </c>
      <c r="W3852">
        <v>-5.862966E-2</v>
      </c>
      <c r="X3852">
        <v>0.94211820000000002</v>
      </c>
      <c r="Y3852">
        <v>-0.24554480000000001</v>
      </c>
      <c r="Z3852">
        <v>3.5351809999999997E-2</v>
      </c>
      <c r="AA3852">
        <v>0.96874039999999995</v>
      </c>
      <c r="AB3852">
        <v>26</v>
      </c>
      <c r="AC3852">
        <v>15.313800000000001</v>
      </c>
      <c r="AD3852">
        <v>-1.1099091560209999</v>
      </c>
      <c r="AE3852">
        <v>-2.1013999999999902</v>
      </c>
      <c r="AF3852">
        <v>-3.8600689008889102</v>
      </c>
      <c r="AG3852">
        <v>-1.1099091560209999</v>
      </c>
      <c r="AH3852">
        <v>14.8856759473308</v>
      </c>
      <c r="AI3852">
        <v>94.128166878048802</v>
      </c>
      <c r="AJ3852">
        <v>104.53741096999001</v>
      </c>
      <c r="AK3852">
        <v>15.4180212304683</v>
      </c>
      <c r="AL3852">
        <v>93.361159713072894</v>
      </c>
      <c r="AM3852">
        <v>109.310275777672</v>
      </c>
      <c r="AN3852">
        <v>0.99999996049099704</v>
      </c>
    </row>
    <row r="3853" spans="1:40" x14ac:dyDescent="0.25">
      <c r="A3853" t="str">
        <f>"20190305135706895"</f>
        <v>20190305135706895</v>
      </c>
      <c r="B3853" t="str">
        <f>"1551765426886134"</f>
        <v>1551765426886134</v>
      </c>
      <c r="C3853" t="s">
        <v>40</v>
      </c>
      <c r="D3853">
        <v>4.4545170000000001</v>
      </c>
      <c r="E3853">
        <v>0.53200480000000006</v>
      </c>
      <c r="F3853" t="s">
        <v>84</v>
      </c>
      <c r="G3853">
        <v>-385.7534</v>
      </c>
      <c r="H3853" s="1">
        <v>-2.0260799999999998E-6</v>
      </c>
      <c r="I3853">
        <v>19.513470000000002</v>
      </c>
      <c r="J3853">
        <v>-400.54039999999998</v>
      </c>
      <c r="K3853">
        <v>1.1100890000000001</v>
      </c>
      <c r="L3853">
        <v>21.516570000000002</v>
      </c>
      <c r="M3853">
        <v>0.92652800000000002</v>
      </c>
      <c r="N3853">
        <v>1.4206829999999901E-3</v>
      </c>
      <c r="O3853">
        <v>-0.37622319999999998</v>
      </c>
      <c r="P3853">
        <v>0.99713180000000001</v>
      </c>
      <c r="Q3853">
        <v>-5.7035059999999999E-2</v>
      </c>
      <c r="R3853">
        <v>-4.9753840000000001E-2</v>
      </c>
      <c r="S3853">
        <v>2.974701</v>
      </c>
      <c r="T3853">
        <v>-0.21954309999999999</v>
      </c>
      <c r="U3853">
        <v>-0.41577150000000002</v>
      </c>
      <c r="V3853">
        <v>-0.32863239999999999</v>
      </c>
      <c r="W3853">
        <v>-6.0662399999999998E-2</v>
      </c>
      <c r="X3853">
        <v>0.94250769999999995</v>
      </c>
      <c r="Y3853">
        <v>-0.24272969999999999</v>
      </c>
      <c r="Z3853">
        <v>3.6164109999999999E-2</v>
      </c>
      <c r="AA3853">
        <v>0.9694197</v>
      </c>
      <c r="AB3853">
        <v>26</v>
      </c>
      <c r="AC3853">
        <v>14.7869999999999</v>
      </c>
      <c r="AD3853">
        <v>-1.1100910260800001</v>
      </c>
      <c r="AE3853">
        <v>-2.0030999999999999</v>
      </c>
      <c r="AF3853">
        <v>-3.6868836868245198</v>
      </c>
      <c r="AG3853">
        <v>-1.1100910260800001</v>
      </c>
      <c r="AH3853">
        <v>14.3746433985328</v>
      </c>
      <c r="AI3853">
        <v>94.278005200626694</v>
      </c>
      <c r="AJ3853">
        <v>104.385425069904</v>
      </c>
      <c r="AK3853">
        <v>14.881390601732701</v>
      </c>
      <c r="AL3853">
        <v>93.477834847486506</v>
      </c>
      <c r="AM3853">
        <v>109.22257751424399</v>
      </c>
      <c r="AN3853">
        <v>0.99999997283140396</v>
      </c>
    </row>
    <row r="3854" spans="1:40" x14ac:dyDescent="0.25">
      <c r="A3854" t="str">
        <f>"20190305135706917"</f>
        <v>20190305135706917</v>
      </c>
      <c r="B3854" t="str">
        <f>"1551765426906630"</f>
        <v>1551765426906630</v>
      </c>
      <c r="C3854" t="s">
        <v>40</v>
      </c>
      <c r="D3854">
        <v>4.4681850000000001</v>
      </c>
      <c r="E3854">
        <v>0.53238319999999995</v>
      </c>
      <c r="F3854" t="s">
        <v>84</v>
      </c>
      <c r="G3854">
        <v>-385.91469999999998</v>
      </c>
      <c r="H3854" s="1">
        <v>-1.9505370000000002E-6</v>
      </c>
      <c r="I3854">
        <v>19.50938</v>
      </c>
      <c r="J3854">
        <v>-400.29910000000001</v>
      </c>
      <c r="K3854">
        <v>1.110268</v>
      </c>
      <c r="L3854">
        <v>21.423190000000002</v>
      </c>
      <c r="M3854">
        <v>0.92815950000000003</v>
      </c>
      <c r="N3854">
        <v>1.3231370000000001E-3</v>
      </c>
      <c r="O3854">
        <v>-0.37218010000000001</v>
      </c>
      <c r="P3854">
        <v>0.99731840000000005</v>
      </c>
      <c r="Q3854">
        <v>-5.6508339999999997E-2</v>
      </c>
      <c r="R3854">
        <v>-4.6505640000000001E-2</v>
      </c>
      <c r="S3854">
        <v>2.975311</v>
      </c>
      <c r="T3854">
        <v>-0.2258269</v>
      </c>
      <c r="U3854">
        <v>-0.4083252</v>
      </c>
      <c r="V3854">
        <v>-0.3275825</v>
      </c>
      <c r="W3854">
        <v>-6.0176720000000003E-2</v>
      </c>
      <c r="X3854">
        <v>0.94290430000000003</v>
      </c>
      <c r="Y3854">
        <v>-0.2408333</v>
      </c>
      <c r="Z3854">
        <v>3.6803219999999998E-2</v>
      </c>
      <c r="AA3854">
        <v>0.96986850000000002</v>
      </c>
      <c r="AB3854">
        <v>26</v>
      </c>
      <c r="AC3854">
        <v>14.384399999999999</v>
      </c>
      <c r="AD3854">
        <v>-1.1102699505369999</v>
      </c>
      <c r="AE3854">
        <v>-1.91380999999999</v>
      </c>
      <c r="AF3854">
        <v>-3.5564504410859898</v>
      </c>
      <c r="AG3854">
        <v>-1.1102699505369999</v>
      </c>
      <c r="AH3854">
        <v>13.9814653935814</v>
      </c>
      <c r="AI3854">
        <v>94.400772940077005</v>
      </c>
      <c r="AJ3854">
        <v>104.27159686314</v>
      </c>
      <c r="AK3854">
        <v>14.4693612041057</v>
      </c>
      <c r="AL3854">
        <v>93.449956318712694</v>
      </c>
      <c r="AM3854">
        <v>109.158178326838</v>
      </c>
      <c r="AN3854">
        <v>1.00000002544734</v>
      </c>
    </row>
    <row r="3855" spans="1:40" x14ac:dyDescent="0.25">
      <c r="A3855" t="str">
        <f>"20190305135706939"</f>
        <v>20190305135706939</v>
      </c>
      <c r="B3855" t="str">
        <f>"1551765426926150"</f>
        <v>1551765426926150</v>
      </c>
      <c r="C3855" t="s">
        <v>40</v>
      </c>
      <c r="D3855">
        <v>4.4690130000000003</v>
      </c>
      <c r="E3855">
        <v>0.53259619999999996</v>
      </c>
      <c r="F3855" t="s">
        <v>84</v>
      </c>
      <c r="G3855">
        <v>-385.49829999999997</v>
      </c>
      <c r="H3855" s="1">
        <v>-2.1620619999999998E-6</v>
      </c>
      <c r="I3855">
        <v>19.426590000000001</v>
      </c>
      <c r="J3855">
        <v>-400.05599999999998</v>
      </c>
      <c r="K3855">
        <v>1.110441</v>
      </c>
      <c r="L3855">
        <v>21.330410000000001</v>
      </c>
      <c r="M3855">
        <v>0.92983870000000002</v>
      </c>
      <c r="N3855">
        <v>1.2250690000000001E-3</v>
      </c>
      <c r="O3855">
        <v>-0.36796590000000001</v>
      </c>
      <c r="P3855">
        <v>0.99759350000000002</v>
      </c>
      <c r="Q3855">
        <v>-5.4638430000000002E-2</v>
      </c>
      <c r="R3855">
        <v>-4.2683789999999999E-2</v>
      </c>
      <c r="S3855">
        <v>2.9766849999999998</v>
      </c>
      <c r="T3855">
        <v>-0.22329460000000001</v>
      </c>
      <c r="U3855">
        <v>-0.40155030000000003</v>
      </c>
      <c r="V3855">
        <v>-0.3269473</v>
      </c>
      <c r="W3855">
        <v>-5.8341110000000002E-2</v>
      </c>
      <c r="X3855">
        <v>0.94323999999999997</v>
      </c>
      <c r="Y3855">
        <v>-0.23871539999999999</v>
      </c>
      <c r="Z3855">
        <v>3.5986850000000001E-2</v>
      </c>
      <c r="AA3855">
        <v>0.97042260000000002</v>
      </c>
      <c r="AB3855">
        <v>27</v>
      </c>
      <c r="AC3855">
        <v>14.557700000000001</v>
      </c>
      <c r="AD3855">
        <v>-1.1104431620620001</v>
      </c>
      <c r="AE3855">
        <v>-1.9038200000000001</v>
      </c>
      <c r="AF3855">
        <v>-3.5660933926085598</v>
      </c>
      <c r="AG3855">
        <v>-1.1104431620620001</v>
      </c>
      <c r="AH3855">
        <v>14.155881162101201</v>
      </c>
      <c r="AI3855">
        <v>94.349963192204399</v>
      </c>
      <c r="AJ3855">
        <v>104.13951959056701</v>
      </c>
      <c r="AK3855">
        <v>14.640323684144001</v>
      </c>
      <c r="AL3855">
        <v>93.344598669213795</v>
      </c>
      <c r="AM3855">
        <v>109.11741804626899</v>
      </c>
      <c r="AN3855">
        <v>0.99999995984666001</v>
      </c>
    </row>
    <row r="3856" spans="1:40" x14ac:dyDescent="0.25">
      <c r="A3856" t="str">
        <f>"20190305135706961"</f>
        <v>20190305135706961</v>
      </c>
      <c r="B3856" t="str">
        <f>"1551765426956406"</f>
        <v>1551765426956406</v>
      </c>
      <c r="C3856" t="s">
        <v>40</v>
      </c>
      <c r="D3856">
        <v>4.43398</v>
      </c>
      <c r="E3856">
        <v>0.53297919999999999</v>
      </c>
      <c r="F3856" t="s">
        <v>84</v>
      </c>
      <c r="G3856">
        <v>-384.8426</v>
      </c>
      <c r="H3856" s="1">
        <v>-2.4894900000000002E-6</v>
      </c>
      <c r="I3856">
        <v>19.32807</v>
      </c>
      <c r="J3856">
        <v>-399.8143</v>
      </c>
      <c r="K3856">
        <v>1.110603</v>
      </c>
      <c r="L3856">
        <v>21.239619999999999</v>
      </c>
      <c r="M3856">
        <v>0.93153549999999996</v>
      </c>
      <c r="N3856">
        <v>1.128249E-3</v>
      </c>
      <c r="O3856">
        <v>-0.36364849999999999</v>
      </c>
      <c r="P3856">
        <v>0.99782689999999996</v>
      </c>
      <c r="Q3856">
        <v>-5.3685740000000003E-2</v>
      </c>
      <c r="R3856">
        <v>-3.8203979999999998E-2</v>
      </c>
      <c r="S3856">
        <v>2.9785460000000001</v>
      </c>
      <c r="T3856">
        <v>-0.21740789999999999</v>
      </c>
      <c r="U3856">
        <v>-0.39202880000000001</v>
      </c>
      <c r="V3856">
        <v>-0.32681280000000001</v>
      </c>
      <c r="W3856">
        <v>-5.7418280000000002E-2</v>
      </c>
      <c r="X3856">
        <v>0.9433433</v>
      </c>
      <c r="Y3856">
        <v>-0.23744119999999999</v>
      </c>
      <c r="Z3856">
        <v>3.467133E-2</v>
      </c>
      <c r="AA3856">
        <v>0.97078299999999995</v>
      </c>
      <c r="AB3856">
        <v>27</v>
      </c>
      <c r="AC3856">
        <v>14.971699999999901</v>
      </c>
      <c r="AD3856">
        <v>-1.1106054894899999</v>
      </c>
      <c r="AE3856">
        <v>-1.9115500000000001</v>
      </c>
      <c r="AF3856">
        <v>-3.64403164362612</v>
      </c>
      <c r="AG3856">
        <v>-1.1106054894899999</v>
      </c>
      <c r="AH3856">
        <v>14.562961930574099</v>
      </c>
      <c r="AI3856">
        <v>94.231113747494206</v>
      </c>
      <c r="AJ3856">
        <v>104.04842971574</v>
      </c>
      <c r="AK3856">
        <v>15.052982141900801</v>
      </c>
      <c r="AL3856">
        <v>93.2916354024767</v>
      </c>
      <c r="AM3856">
        <v>109.108183144918</v>
      </c>
      <c r="AN3856">
        <v>1.0000000233884401</v>
      </c>
    </row>
    <row r="3857" spans="1:40" x14ac:dyDescent="0.25">
      <c r="A3857" t="str">
        <f>"20190305135706983"</f>
        <v>20190305135706983</v>
      </c>
      <c r="B3857" t="str">
        <f>"1551765426975926"</f>
        <v>1551765426975926</v>
      </c>
      <c r="C3857" t="s">
        <v>40</v>
      </c>
      <c r="D3857">
        <v>4.4266290000000001</v>
      </c>
      <c r="E3857">
        <v>0.53310639999999998</v>
      </c>
      <c r="F3857" t="s">
        <v>84</v>
      </c>
      <c r="G3857">
        <v>-384.25850000000003</v>
      </c>
      <c r="H3857" s="1">
        <v>-2.7799420000000002E-6</v>
      </c>
      <c r="I3857">
        <v>19.247209999999999</v>
      </c>
      <c r="J3857">
        <v>-399.54829999999998</v>
      </c>
      <c r="K3857">
        <v>1.110776</v>
      </c>
      <c r="L3857">
        <v>21.141200000000001</v>
      </c>
      <c r="M3857">
        <v>0.93342670000000005</v>
      </c>
      <c r="N3857">
        <v>1.0226300000000001E-3</v>
      </c>
      <c r="O3857">
        <v>-0.35876659999999999</v>
      </c>
      <c r="P3857">
        <v>0.99805790000000005</v>
      </c>
      <c r="Q3857">
        <v>-5.260869E-2</v>
      </c>
      <c r="R3857">
        <v>-3.3360880000000002E-2</v>
      </c>
      <c r="S3857">
        <v>2.9804689999999998</v>
      </c>
      <c r="T3857">
        <v>-0.21279049999999999</v>
      </c>
      <c r="U3857">
        <v>-0.38174439999999998</v>
      </c>
      <c r="V3857">
        <v>-0.3264609</v>
      </c>
      <c r="W3857">
        <v>-5.63648E-2</v>
      </c>
      <c r="X3857">
        <v>0.9435287</v>
      </c>
      <c r="Y3857">
        <v>-0.2358143</v>
      </c>
      <c r="Z3857">
        <v>3.3520399999999999E-2</v>
      </c>
      <c r="AA3857">
        <v>0.97121979999999997</v>
      </c>
      <c r="AB3857">
        <v>27</v>
      </c>
      <c r="AC3857">
        <v>15.2897999999999</v>
      </c>
      <c r="AD3857">
        <v>-1.1107787799419999</v>
      </c>
      <c r="AE3857">
        <v>-1.8939900000000001</v>
      </c>
      <c r="AF3857">
        <v>-3.6983467229940499</v>
      </c>
      <c r="AG3857">
        <v>-1.1107787799419999</v>
      </c>
      <c r="AH3857">
        <v>14.874100396722699</v>
      </c>
      <c r="AI3857">
        <v>94.145097169563599</v>
      </c>
      <c r="AJ3857">
        <v>103.96306427533899</v>
      </c>
      <c r="AK3857">
        <v>15.3671877906544</v>
      </c>
      <c r="AL3857">
        <v>93.231177408957393</v>
      </c>
      <c r="AM3857">
        <v>109.085618441368</v>
      </c>
      <c r="AN3857">
        <v>1.00000005881576</v>
      </c>
    </row>
    <row r="3858" spans="1:40" x14ac:dyDescent="0.25">
      <c r="A3858" t="str">
        <f>"20190305135707006"</f>
        <v>20190305135707006</v>
      </c>
      <c r="B3858" t="str">
        <f>"1551765426996422"</f>
        <v>1551765426996422</v>
      </c>
      <c r="C3858" t="s">
        <v>40</v>
      </c>
      <c r="D3858">
        <v>4.4656969999999996</v>
      </c>
      <c r="E3858">
        <v>0.53330369999999905</v>
      </c>
      <c r="F3858" t="s">
        <v>84</v>
      </c>
      <c r="G3858">
        <v>-383.66370000000001</v>
      </c>
      <c r="H3858" s="1">
        <v>-3.073005E-6</v>
      </c>
      <c r="I3858">
        <v>19.18027</v>
      </c>
      <c r="J3858">
        <v>-399.29500000000002</v>
      </c>
      <c r="K3858">
        <v>1.110919</v>
      </c>
      <c r="L3858">
        <v>21.049040000000002</v>
      </c>
      <c r="M3858">
        <v>0.93524149999999995</v>
      </c>
      <c r="N3858">
        <v>9.234035E-4</v>
      </c>
      <c r="O3858">
        <v>-0.35400959999999998</v>
      </c>
      <c r="P3858">
        <v>0.99819820000000004</v>
      </c>
      <c r="Q3858">
        <v>-5.2318709999999997E-2</v>
      </c>
      <c r="R3858">
        <v>-2.9386260000000001E-2</v>
      </c>
      <c r="S3858">
        <v>2.9825740000000001</v>
      </c>
      <c r="T3858">
        <v>-0.20856569999999999</v>
      </c>
      <c r="U3858">
        <v>-0.36819459999999998</v>
      </c>
      <c r="V3858">
        <v>-0.3254031</v>
      </c>
      <c r="W3858">
        <v>-5.608399E-2</v>
      </c>
      <c r="X3858">
        <v>0.94391069999999999</v>
      </c>
      <c r="Y3858">
        <v>-0.23536889999999999</v>
      </c>
      <c r="Z3858">
        <v>3.2498779999999998E-2</v>
      </c>
      <c r="AA3858">
        <v>0.97136259999999996</v>
      </c>
      <c r="AB3858">
        <v>27</v>
      </c>
      <c r="AC3858">
        <v>15.6313</v>
      </c>
      <c r="AD3858">
        <v>-1.110922073005</v>
      </c>
      <c r="AE3858">
        <v>-1.8687699999999901</v>
      </c>
      <c r="AF3858">
        <v>-3.76712044480082</v>
      </c>
      <c r="AG3858">
        <v>-1.110922073005</v>
      </c>
      <c r="AH3858">
        <v>15.2048894994313</v>
      </c>
      <c r="AI3858">
        <v>94.056581928602796</v>
      </c>
      <c r="AJ3858">
        <v>103.915234380141</v>
      </c>
      <c r="AK3858">
        <v>15.7039488342214</v>
      </c>
      <c r="AL3858">
        <v>93.215062878752406</v>
      </c>
      <c r="AM3858">
        <v>109.021084287709</v>
      </c>
      <c r="AN3858">
        <v>1.00000000049921</v>
      </c>
    </row>
    <row r="3859" spans="1:40" x14ac:dyDescent="0.25">
      <c r="A3859" t="str">
        <f>"20190305135707027"</f>
        <v>20190305135707027</v>
      </c>
      <c r="B3859" t="str">
        <f>"1551765427015945"</f>
        <v>1551765427015945</v>
      </c>
      <c r="C3859" t="s">
        <v>40</v>
      </c>
      <c r="D3859">
        <v>4.4310769999999904</v>
      </c>
      <c r="E3859">
        <v>0.53340379999999998</v>
      </c>
      <c r="F3859" t="s">
        <v>84</v>
      </c>
      <c r="G3859">
        <v>-383.36900000000003</v>
      </c>
      <c r="H3859" s="1">
        <v>-3.2196949999999999E-6</v>
      </c>
      <c r="I3859">
        <v>19.13869</v>
      </c>
      <c r="J3859">
        <v>-399.0437</v>
      </c>
      <c r="K3859">
        <v>1.111048</v>
      </c>
      <c r="L3859">
        <v>20.959199999999999</v>
      </c>
      <c r="M3859">
        <v>0.93704529999999997</v>
      </c>
      <c r="N3859">
        <v>8.2697109999999995E-4</v>
      </c>
      <c r="O3859">
        <v>-0.34920699999999999</v>
      </c>
      <c r="P3859">
        <v>0.99825430000000004</v>
      </c>
      <c r="Q3859">
        <v>-5.3420049999999997E-2</v>
      </c>
      <c r="R3859">
        <v>-2.519422E-2</v>
      </c>
      <c r="S3859">
        <v>2.9840390000000001</v>
      </c>
      <c r="T3859">
        <v>-0.2081527</v>
      </c>
      <c r="U3859">
        <v>-0.3579407</v>
      </c>
      <c r="V3859">
        <v>-0.32447740000000003</v>
      </c>
      <c r="W3859">
        <v>-5.7187849999999998E-2</v>
      </c>
      <c r="X3859">
        <v>0.94416310000000003</v>
      </c>
      <c r="Y3859">
        <v>-0.23375299999999999</v>
      </c>
      <c r="Z3859">
        <v>3.203404E-2</v>
      </c>
      <c r="AA3859">
        <v>0.97176810000000002</v>
      </c>
      <c r="AB3859">
        <v>27</v>
      </c>
      <c r="AC3859">
        <v>15.6746999999999</v>
      </c>
      <c r="AD3859">
        <v>-1.111051219695</v>
      </c>
      <c r="AE3859">
        <v>-1.8205099999999901</v>
      </c>
      <c r="AF3859">
        <v>-3.74922942707913</v>
      </c>
      <c r="AG3859">
        <v>-1.111051219695</v>
      </c>
      <c r="AH3859">
        <v>15.248053116542399</v>
      </c>
      <c r="AI3859">
        <v>94.047364534076806</v>
      </c>
      <c r="AJ3859">
        <v>103.813991284674</v>
      </c>
      <c r="AK3859">
        <v>15.7414827749663</v>
      </c>
      <c r="AL3859">
        <v>93.278411095084394</v>
      </c>
      <c r="AM3859">
        <v>108.966138414835</v>
      </c>
      <c r="AN3859">
        <v>0.99999999634999603</v>
      </c>
    </row>
    <row r="3860" spans="1:40" x14ac:dyDescent="0.25">
      <c r="A3860" t="str">
        <f>"20190305135707051"</f>
        <v>20190305135707051</v>
      </c>
      <c r="B3860" t="str">
        <f>"1551765427046198"</f>
        <v>1551765427046198</v>
      </c>
      <c r="C3860" t="s">
        <v>40</v>
      </c>
      <c r="D3860">
        <v>4.4455239999999998</v>
      </c>
      <c r="E3860">
        <v>0.5333871</v>
      </c>
      <c r="F3860" t="s">
        <v>84</v>
      </c>
      <c r="G3860">
        <v>-383.43990000000002</v>
      </c>
      <c r="H3860" s="1">
        <v>-3.1842820000000001E-6</v>
      </c>
      <c r="I3860">
        <v>19.149280000000001</v>
      </c>
      <c r="J3860">
        <v>-398.77550000000002</v>
      </c>
      <c r="K3860">
        <v>1.111154</v>
      </c>
      <c r="L3860">
        <v>20.864930000000001</v>
      </c>
      <c r="M3860">
        <v>0.93896820000000003</v>
      </c>
      <c r="N3860">
        <v>7.2611729999999997E-4</v>
      </c>
      <c r="O3860">
        <v>-0.34400380000000003</v>
      </c>
      <c r="P3860">
        <v>0.99827200000000005</v>
      </c>
      <c r="Q3860">
        <v>-5.5104300000000002E-2</v>
      </c>
      <c r="R3860">
        <v>-2.0416340000000002E-2</v>
      </c>
      <c r="S3860">
        <v>2.9851380000000001</v>
      </c>
      <c r="T3860">
        <v>-0.21255309999999999</v>
      </c>
      <c r="U3860">
        <v>-0.34625240000000002</v>
      </c>
      <c r="V3860">
        <v>-0.3236948</v>
      </c>
      <c r="W3860">
        <v>-5.8867410000000002E-2</v>
      </c>
      <c r="X3860">
        <v>0.94432850000000002</v>
      </c>
      <c r="Y3860">
        <v>-0.2321153</v>
      </c>
      <c r="Z3860">
        <v>3.2273070000000001E-2</v>
      </c>
      <c r="AA3860">
        <v>0.97215269999999998</v>
      </c>
      <c r="AB3860">
        <v>28</v>
      </c>
      <c r="AC3860">
        <v>15.335599999999999</v>
      </c>
      <c r="AD3860">
        <v>-1.1111571842820001</v>
      </c>
      <c r="AE3860">
        <v>-1.7156499999999999</v>
      </c>
      <c r="AF3860">
        <v>-3.6456613682291801</v>
      </c>
      <c r="AG3860">
        <v>-1.1111571842820001</v>
      </c>
      <c r="AH3860">
        <v>14.912510460215399</v>
      </c>
      <c r="AI3860">
        <v>94.139861133155307</v>
      </c>
      <c r="AJ3860">
        <v>103.737649732153</v>
      </c>
      <c r="AK3860">
        <v>15.3918317729247</v>
      </c>
      <c r="AL3860">
        <v>93.3748052010138</v>
      </c>
      <c r="AM3860">
        <v>108.92057400246</v>
      </c>
      <c r="AN3860">
        <v>1.0000000057096901</v>
      </c>
    </row>
    <row r="3861" spans="1:40" x14ac:dyDescent="0.25">
      <c r="A3861" t="str">
        <f>"20190305135707073"</f>
        <v>20190305135707073</v>
      </c>
      <c r="B3861" t="str">
        <f>"1551765427066694"</f>
        <v>1551765427066694</v>
      </c>
      <c r="C3861" t="s">
        <v>40</v>
      </c>
      <c r="D3861">
        <v>4.4067449999999999</v>
      </c>
      <c r="E3861">
        <v>0.52616379999999996</v>
      </c>
      <c r="F3861" t="s">
        <v>84</v>
      </c>
      <c r="G3861">
        <v>-383.61829999999998</v>
      </c>
      <c r="H3861" s="1">
        <v>-3.0944069999999999E-6</v>
      </c>
      <c r="I3861">
        <v>19.18046</v>
      </c>
      <c r="J3861">
        <v>-398.50360000000001</v>
      </c>
      <c r="K3861">
        <v>1.1112500000000001</v>
      </c>
      <c r="L3861">
        <v>20.771270000000001</v>
      </c>
      <c r="M3861">
        <v>0.94090450000000003</v>
      </c>
      <c r="N3861">
        <v>6.2693839999999998E-4</v>
      </c>
      <c r="O3861">
        <v>-0.33867150000000001</v>
      </c>
      <c r="P3861">
        <v>0.99826610000000005</v>
      </c>
      <c r="Q3861">
        <v>-5.7074560000000003E-2</v>
      </c>
      <c r="R3861">
        <v>-1.440323E-2</v>
      </c>
      <c r="S3861">
        <v>2.9862980000000001</v>
      </c>
      <c r="T3861">
        <v>-0.21892329999999999</v>
      </c>
      <c r="U3861">
        <v>-0.33187870000000003</v>
      </c>
      <c r="V3861">
        <v>-0.32395370000000001</v>
      </c>
      <c r="W3861">
        <v>-6.0833360000000003E-2</v>
      </c>
      <c r="X3861">
        <v>0.94411509999999998</v>
      </c>
      <c r="Y3861">
        <v>-0.23119319999999999</v>
      </c>
      <c r="Z3861">
        <v>3.2807269999999999E-2</v>
      </c>
      <c r="AA3861">
        <v>0.97235450000000001</v>
      </c>
      <c r="AB3861">
        <v>28</v>
      </c>
      <c r="AC3861">
        <v>14.885300000000001</v>
      </c>
      <c r="AD3861">
        <v>-1.111253094407</v>
      </c>
      <c r="AE3861">
        <v>-1.5908100000000001</v>
      </c>
      <c r="AF3861">
        <v>-3.5250032122547501</v>
      </c>
      <c r="AG3861">
        <v>-1.111253094407</v>
      </c>
      <c r="AH3861">
        <v>14.464704731044501</v>
      </c>
      <c r="AI3861">
        <v>94.268683016297601</v>
      </c>
      <c r="AJ3861">
        <v>103.69584335777</v>
      </c>
      <c r="AK3861">
        <v>14.9294411831969</v>
      </c>
      <c r="AL3861">
        <v>93.487648129321997</v>
      </c>
      <c r="AM3861">
        <v>108.938604449651</v>
      </c>
      <c r="AN3861">
        <v>1.0000000097402899</v>
      </c>
    </row>
    <row r="3862" spans="1:40" x14ac:dyDescent="0.25">
      <c r="A3862" t="str">
        <f>"20190305135707095"</f>
        <v>20190305135707095</v>
      </c>
      <c r="B3862" t="str">
        <f>"1551765427086214"</f>
        <v>1551765427086214</v>
      </c>
      <c r="C3862" t="s">
        <v>40</v>
      </c>
      <c r="D3862">
        <v>4.4441750000000004</v>
      </c>
      <c r="E3862">
        <v>0.52626689999999998</v>
      </c>
      <c r="F3862" t="s">
        <v>84</v>
      </c>
      <c r="G3862">
        <v>-384.22329999999999</v>
      </c>
      <c r="H3862" s="1">
        <v>-2.7438680000000001E-6</v>
      </c>
      <c r="I3862">
        <v>19.544609999999999</v>
      </c>
      <c r="J3862">
        <v>-398.23349999999999</v>
      </c>
      <c r="K3862">
        <v>1.111321</v>
      </c>
      <c r="L3862">
        <v>20.679870000000001</v>
      </c>
      <c r="M3862">
        <v>0.94280739999999996</v>
      </c>
      <c r="N3862">
        <v>5.3067040000000004E-4</v>
      </c>
      <c r="O3862">
        <v>-0.33333780000000002</v>
      </c>
      <c r="P3862">
        <v>0.99818309999999999</v>
      </c>
      <c r="Q3862">
        <v>-5.9601510000000003E-2</v>
      </c>
      <c r="R3862">
        <v>-8.8581700000000003E-3</v>
      </c>
      <c r="S3862">
        <v>2.9882200000000001</v>
      </c>
      <c r="T3862">
        <v>-0.23253360000000001</v>
      </c>
      <c r="U3862">
        <v>-0.2566833</v>
      </c>
      <c r="V3862">
        <v>-0.32376389999999999</v>
      </c>
      <c r="W3862">
        <v>-6.3342720000000005E-2</v>
      </c>
      <c r="X3862">
        <v>0.9440151</v>
      </c>
      <c r="Y3862">
        <v>-0.24970970000000001</v>
      </c>
      <c r="Z3862">
        <v>3.5176619999999999E-2</v>
      </c>
      <c r="AA3862">
        <v>0.96768160000000003</v>
      </c>
      <c r="AB3862">
        <v>28</v>
      </c>
      <c r="AC3862">
        <v>14.0101999999999</v>
      </c>
      <c r="AD3862">
        <v>-1.1113237438679999</v>
      </c>
      <c r="AE3862">
        <v>-1.1352599999999899</v>
      </c>
      <c r="AF3862">
        <v>-3.5774353411682802</v>
      </c>
      <c r="AG3862">
        <v>-1.1113237438679999</v>
      </c>
      <c r="AH3862">
        <v>13.5029390864959</v>
      </c>
      <c r="AI3862">
        <v>94.548731648939693</v>
      </c>
      <c r="AJ3862">
        <v>104.838882646765</v>
      </c>
      <c r="AK3862">
        <v>14.012938594654001</v>
      </c>
      <c r="AL3862">
        <v>93.631702097585105</v>
      </c>
      <c r="AM3862">
        <v>108.930160999628</v>
      </c>
      <c r="AN3862">
        <v>0.99999993607410698</v>
      </c>
    </row>
    <row r="3863" spans="1:40" x14ac:dyDescent="0.25">
      <c r="A3863" t="str">
        <f>"20190305135707118"</f>
        <v>20190305135707118</v>
      </c>
      <c r="B3863" t="str">
        <f>"1551765427106710"</f>
        <v>1551765427106710</v>
      </c>
      <c r="C3863" t="s">
        <v>40</v>
      </c>
      <c r="D3863">
        <v>4.480092</v>
      </c>
      <c r="E3863">
        <v>0.52650240000000004</v>
      </c>
      <c r="F3863" t="s">
        <v>84</v>
      </c>
      <c r="G3863">
        <v>-384.38720000000001</v>
      </c>
      <c r="H3863" s="1">
        <v>-2.6629220000000001E-6</v>
      </c>
      <c r="I3863">
        <v>19.564050000000002</v>
      </c>
      <c r="J3863">
        <v>-397.96069999999997</v>
      </c>
      <c r="K3863">
        <v>1.1113930000000001</v>
      </c>
      <c r="L3863">
        <v>20.589289999999998</v>
      </c>
      <c r="M3863">
        <v>0.94470100000000001</v>
      </c>
      <c r="N3863">
        <v>4.3546500000000001E-4</v>
      </c>
      <c r="O3863">
        <v>-0.32793280000000002</v>
      </c>
      <c r="P3863">
        <v>0.9980909</v>
      </c>
      <c r="Q3863">
        <v>-6.1657530000000002E-2</v>
      </c>
      <c r="R3863">
        <v>-3.5694839999999999E-3</v>
      </c>
      <c r="S3863">
        <v>2.9890439999999998</v>
      </c>
      <c r="T3863">
        <v>-0.23990500000000001</v>
      </c>
      <c r="U3863">
        <v>-0.24087520000000001</v>
      </c>
      <c r="V3863">
        <v>-0.32328489999999999</v>
      </c>
      <c r="W3863">
        <v>-6.5369819999999995E-2</v>
      </c>
      <c r="X3863">
        <v>0.94404109999999997</v>
      </c>
      <c r="Y3863">
        <v>-0.24918029999999999</v>
      </c>
      <c r="Z3863">
        <v>3.5834539999999998E-2</v>
      </c>
      <c r="AA3863">
        <v>0.96779389999999998</v>
      </c>
      <c r="AB3863">
        <v>28</v>
      </c>
      <c r="AC3863">
        <v>13.5734999999999</v>
      </c>
      <c r="AD3863">
        <v>-1.1113956629220001</v>
      </c>
      <c r="AE3863">
        <v>-1.0252399999999899</v>
      </c>
      <c r="AF3863">
        <v>-3.45958822459811</v>
      </c>
      <c r="AG3863">
        <v>-1.1113956629220001</v>
      </c>
      <c r="AH3863">
        <v>13.0719682059833</v>
      </c>
      <c r="AI3863">
        <v>94.698665870671704</v>
      </c>
      <c r="AJ3863">
        <v>104.823863954936</v>
      </c>
      <c r="AK3863">
        <v>13.567619680016801</v>
      </c>
      <c r="AL3863">
        <v>93.748087544380496</v>
      </c>
      <c r="AM3863">
        <v>108.903660712966</v>
      </c>
      <c r="AN3863">
        <v>0.99999996921202505</v>
      </c>
    </row>
    <row r="3864" spans="1:40" x14ac:dyDescent="0.25">
      <c r="A3864" t="str">
        <f>"20190305135707138"</f>
        <v>20190305135707138</v>
      </c>
      <c r="B3864" t="str">
        <f>"1551765427126233"</f>
        <v>1551765427126233</v>
      </c>
      <c r="C3864" t="s">
        <v>40</v>
      </c>
      <c r="D3864">
        <v>4.4430839999999998</v>
      </c>
      <c r="E3864">
        <v>0.52690400000000004</v>
      </c>
      <c r="F3864" t="s">
        <v>84</v>
      </c>
      <c r="G3864">
        <v>-384.43709999999999</v>
      </c>
      <c r="H3864" s="1">
        <v>-2.6394690000000001E-6</v>
      </c>
      <c r="I3864">
        <v>19.563230000000001</v>
      </c>
      <c r="J3864">
        <v>-397.71800000000002</v>
      </c>
      <c r="K3864">
        <v>1.111456</v>
      </c>
      <c r="L3864">
        <v>20.51013</v>
      </c>
      <c r="M3864">
        <v>0.94636010000000004</v>
      </c>
      <c r="N3864">
        <v>3.5215449999999998E-4</v>
      </c>
      <c r="O3864">
        <v>-0.32311420000000002</v>
      </c>
      <c r="P3864">
        <v>0.99801930000000005</v>
      </c>
      <c r="Q3864">
        <v>-6.2895610000000005E-2</v>
      </c>
      <c r="R3864">
        <v>1.430043E-3</v>
      </c>
      <c r="S3864">
        <v>2.989716</v>
      </c>
      <c r="T3864">
        <v>-0.24570059999999999</v>
      </c>
      <c r="U3864">
        <v>-0.22683719999999999</v>
      </c>
      <c r="V3864">
        <v>-0.32315500000000003</v>
      </c>
      <c r="W3864">
        <v>-6.6579570000000005E-2</v>
      </c>
      <c r="X3864">
        <v>0.94400110000000004</v>
      </c>
      <c r="Y3864">
        <v>-0.24871019999999999</v>
      </c>
      <c r="Z3864">
        <v>3.6285350000000001E-2</v>
      </c>
      <c r="AA3864">
        <v>0.96789800000000004</v>
      </c>
      <c r="AB3864">
        <v>29</v>
      </c>
      <c r="AC3864">
        <v>13.280900000000001</v>
      </c>
      <c r="AD3864">
        <v>-1.111458639469</v>
      </c>
      <c r="AE3864">
        <v>-0.94690000000000296</v>
      </c>
      <c r="AF3864">
        <v>-3.3716438479890298</v>
      </c>
      <c r="AG3864">
        <v>-1.111458639469</v>
      </c>
      <c r="AH3864">
        <v>12.7853763543688</v>
      </c>
      <c r="AI3864">
        <v>94.804889906922199</v>
      </c>
      <c r="AJ3864">
        <v>104.773194652244</v>
      </c>
      <c r="AK3864">
        <v>13.2691058880313</v>
      </c>
      <c r="AL3864">
        <v>93.817552212098306</v>
      </c>
      <c r="AM3864">
        <v>108.89734791235099</v>
      </c>
      <c r="AN3864">
        <v>1.0000000349837901</v>
      </c>
    </row>
    <row r="3865" spans="1:40" x14ac:dyDescent="0.25">
      <c r="A3865" t="str">
        <f>"20190305135707161"</f>
        <v>20190305135707161</v>
      </c>
      <c r="B3865" t="str">
        <f>"1551765427156175"</f>
        <v>1551765427156175</v>
      </c>
      <c r="C3865" t="s">
        <v>40</v>
      </c>
      <c r="D3865">
        <v>4.4635730000000002</v>
      </c>
      <c r="E3865">
        <v>0.52697969999999905</v>
      </c>
      <c r="F3865" t="s">
        <v>84</v>
      </c>
      <c r="G3865">
        <v>-384.28640000000001</v>
      </c>
      <c r="H3865" s="1">
        <v>-2.7139349999999999E-6</v>
      </c>
      <c r="I3865">
        <v>19.545100000000001</v>
      </c>
      <c r="J3865">
        <v>-397.43880000000001</v>
      </c>
      <c r="K3865">
        <v>1.1115200000000001</v>
      </c>
      <c r="L3865">
        <v>20.420750000000002</v>
      </c>
      <c r="M3865">
        <v>0.94823460000000004</v>
      </c>
      <c r="N3865">
        <v>2.5748550000000001E-4</v>
      </c>
      <c r="O3865">
        <v>-0.31757089999999999</v>
      </c>
      <c r="P3865">
        <v>0.99798969999999998</v>
      </c>
      <c r="Q3865">
        <v>-6.2986570000000006E-2</v>
      </c>
      <c r="R3865">
        <v>7.0427340000000001E-3</v>
      </c>
      <c r="S3865">
        <v>2.9906920000000001</v>
      </c>
      <c r="T3865">
        <v>-0.247479</v>
      </c>
      <c r="U3865">
        <v>-0.21487429999999999</v>
      </c>
      <c r="V3865">
        <v>-0.32292739999999998</v>
      </c>
      <c r="W3865">
        <v>-6.6632430000000006E-2</v>
      </c>
      <c r="X3865">
        <v>0.9440752</v>
      </c>
      <c r="Y3865">
        <v>-0.2469171</v>
      </c>
      <c r="Z3865">
        <v>3.6014450000000003E-2</v>
      </c>
      <c r="AA3865">
        <v>0.96836719999999998</v>
      </c>
      <c r="AB3865">
        <v>29</v>
      </c>
      <c r="AC3865">
        <v>13.1524</v>
      </c>
      <c r="AD3865">
        <v>-1.1115227139349999</v>
      </c>
      <c r="AE3865">
        <v>-0.87565000000000004</v>
      </c>
      <c r="AF3865">
        <v>-3.3228700738654902</v>
      </c>
      <c r="AG3865">
        <v>-1.1115227139349999</v>
      </c>
      <c r="AH3865">
        <v>12.6596234166934</v>
      </c>
      <c r="AI3865">
        <v>94.854136009048901</v>
      </c>
      <c r="AJ3865">
        <v>104.70711379887</v>
      </c>
      <c r="AK3865">
        <v>13.135562923753</v>
      </c>
      <c r="AL3865">
        <v>93.820587799347393</v>
      </c>
      <c r="AM3865">
        <v>108.88360468547</v>
      </c>
      <c r="AN3865">
        <v>0.99999998482675201</v>
      </c>
    </row>
    <row r="3866" spans="1:40" x14ac:dyDescent="0.25">
      <c r="A3866" t="str">
        <f>"20190305135707184"</f>
        <v>20190305135707184</v>
      </c>
      <c r="B3866" t="str">
        <f>"1551765427176671"</f>
        <v>1551765427176671</v>
      </c>
      <c r="C3866" t="s">
        <v>40</v>
      </c>
      <c r="D3866">
        <v>4.4318650000000002</v>
      </c>
      <c r="E3866">
        <v>0.52730730000000003</v>
      </c>
      <c r="F3866" t="s">
        <v>84</v>
      </c>
      <c r="G3866">
        <v>-384.0385</v>
      </c>
      <c r="H3866" s="1">
        <v>-2.833652E-6</v>
      </c>
      <c r="I3866">
        <v>19.53077</v>
      </c>
      <c r="J3866">
        <v>-397.14370000000002</v>
      </c>
      <c r="K3866">
        <v>1.1116140000000001</v>
      </c>
      <c r="L3866">
        <v>20.328130000000002</v>
      </c>
      <c r="M3866">
        <v>0.95017649999999998</v>
      </c>
      <c r="N3866">
        <v>1.57725499999999E-4</v>
      </c>
      <c r="O3866">
        <v>-0.3117125</v>
      </c>
      <c r="P3866">
        <v>0.99798200000000004</v>
      </c>
      <c r="Q3866">
        <v>-6.2196439999999999E-2</v>
      </c>
      <c r="R3866">
        <v>1.2790920000000001E-2</v>
      </c>
      <c r="S3866">
        <v>2.9917910000000001</v>
      </c>
      <c r="T3866">
        <v>-0.24816189999999999</v>
      </c>
      <c r="U3866">
        <v>-0.19869999999999999</v>
      </c>
      <c r="V3866">
        <v>-0.32255240000000002</v>
      </c>
      <c r="W3866">
        <v>-6.5796610000000005E-2</v>
      </c>
      <c r="X3866">
        <v>0.94426200000000005</v>
      </c>
      <c r="Y3866">
        <v>-0.24618699999999999</v>
      </c>
      <c r="Z3866">
        <v>3.5599159999999998E-2</v>
      </c>
      <c r="AA3866">
        <v>0.9685684</v>
      </c>
      <c r="AB3866">
        <v>29</v>
      </c>
      <c r="AC3866">
        <v>13.1052</v>
      </c>
      <c r="AD3866">
        <v>-1.11161683365199</v>
      </c>
      <c r="AE3866">
        <v>-0.79735999999999696</v>
      </c>
      <c r="AF3866">
        <v>-3.3037395089517201</v>
      </c>
      <c r="AG3866">
        <v>-1.11161683365199</v>
      </c>
      <c r="AH3866">
        <v>12.6104041618434</v>
      </c>
      <c r="AI3866">
        <v>94.873987802938998</v>
      </c>
      <c r="AJ3866">
        <v>104.680707048426</v>
      </c>
      <c r="AK3866">
        <v>13.083297743799299</v>
      </c>
      <c r="AL3866">
        <v>93.772593511718796</v>
      </c>
      <c r="AM3866">
        <v>108.859759568483</v>
      </c>
      <c r="AN3866">
        <v>0.99999998463862505</v>
      </c>
    </row>
    <row r="3867" spans="1:40" x14ac:dyDescent="0.25">
      <c r="A3867" t="str">
        <f>"20190305135707206"</f>
        <v>20190305135707206</v>
      </c>
      <c r="B3867" t="str">
        <f>"1551765427196191"</f>
        <v>1551765427196191</v>
      </c>
      <c r="C3867" t="s">
        <v>40</v>
      </c>
      <c r="D3867">
        <v>4.4348979999999996</v>
      </c>
      <c r="E3867">
        <v>0.52770430000000002</v>
      </c>
      <c r="F3867" t="s">
        <v>84</v>
      </c>
      <c r="G3867">
        <v>-383.61470000000003</v>
      </c>
      <c r="H3867" s="1">
        <v>-3.0401299999999999E-6</v>
      </c>
      <c r="I3867">
        <v>19.49607</v>
      </c>
      <c r="J3867">
        <v>-396.86439999999999</v>
      </c>
      <c r="K3867">
        <v>1.111696</v>
      </c>
      <c r="L3867">
        <v>20.242280000000001</v>
      </c>
      <c r="M3867">
        <v>0.95197580000000004</v>
      </c>
      <c r="N3867" s="1">
        <v>6.3232609999999996E-5</v>
      </c>
      <c r="O3867">
        <v>-0.3061738</v>
      </c>
      <c r="P3867">
        <v>0.99802760000000001</v>
      </c>
      <c r="Q3867">
        <v>-6.0360530000000003E-2</v>
      </c>
      <c r="R3867">
        <v>1.7267020000000001E-2</v>
      </c>
      <c r="S3867">
        <v>2.993134</v>
      </c>
      <c r="T3867">
        <v>-0.24593329999999999</v>
      </c>
      <c r="U3867">
        <v>-0.184082</v>
      </c>
      <c r="V3867">
        <v>-0.32133400000000001</v>
      </c>
      <c r="W3867">
        <v>-6.3905690000000001E-2</v>
      </c>
      <c r="X3867">
        <v>0.94480710000000001</v>
      </c>
      <c r="Y3867">
        <v>-0.24534039999999999</v>
      </c>
      <c r="Z3867">
        <v>3.4788090000000001E-2</v>
      </c>
      <c r="AA3867">
        <v>0.96881260000000002</v>
      </c>
      <c r="AB3867">
        <v>29</v>
      </c>
      <c r="AC3867">
        <v>13.249699999999899</v>
      </c>
      <c r="AD3867">
        <v>-1.11169904013</v>
      </c>
      <c r="AE3867">
        <v>-0.74620999999999704</v>
      </c>
      <c r="AF3867">
        <v>-3.3230170809106201</v>
      </c>
      <c r="AG3867">
        <v>-1.11169904013</v>
      </c>
      <c r="AH3867">
        <v>12.7523709411607</v>
      </c>
      <c r="AI3867">
        <v>94.821988391533495</v>
      </c>
      <c r="AJ3867">
        <v>104.60535706994</v>
      </c>
      <c r="AK3867">
        <v>13.225024835394899</v>
      </c>
      <c r="AL3867">
        <v>93.664023278756005</v>
      </c>
      <c r="AM3867">
        <v>108.78344643792499</v>
      </c>
      <c r="AN3867">
        <v>0.99999996649039202</v>
      </c>
    </row>
    <row r="3868" spans="1:40" x14ac:dyDescent="0.25">
      <c r="A3868" t="str">
        <f>"20190305135707228"</f>
        <v>20190305135707228</v>
      </c>
      <c r="B3868" t="str">
        <f>"1551765427216691"</f>
        <v>1551765427216691</v>
      </c>
      <c r="C3868" t="s">
        <v>40</v>
      </c>
      <c r="D3868">
        <v>4.4427989999999999</v>
      </c>
      <c r="E3868">
        <v>0.52784089999999995</v>
      </c>
      <c r="F3868" t="s">
        <v>84</v>
      </c>
      <c r="G3868">
        <v>-382.84769999999997</v>
      </c>
      <c r="H3868" s="1">
        <v>-3.4144810000000002E-6</v>
      </c>
      <c r="I3868">
        <v>19.429770000000001</v>
      </c>
      <c r="J3868">
        <v>-396.60140000000001</v>
      </c>
      <c r="K3868">
        <v>1.1117790000000001</v>
      </c>
      <c r="L3868">
        <v>20.163060000000002</v>
      </c>
      <c r="M3868">
        <v>0.9536365</v>
      </c>
      <c r="N3868" s="1">
        <v>-2.6008579999999999E-5</v>
      </c>
      <c r="O3868">
        <v>-0.30096070000000003</v>
      </c>
      <c r="P3868">
        <v>0.99807599999999996</v>
      </c>
      <c r="Q3868">
        <v>-5.840998E-2</v>
      </c>
      <c r="R3868">
        <v>2.0796579999999999E-2</v>
      </c>
      <c r="S3868">
        <v>2.9945369999999998</v>
      </c>
      <c r="T3868">
        <v>-0.2375033</v>
      </c>
      <c r="U3868">
        <v>-0.17358399999999999</v>
      </c>
      <c r="V3868">
        <v>-0.31955430000000001</v>
      </c>
      <c r="W3868">
        <v>-6.18948E-2</v>
      </c>
      <c r="X3868">
        <v>0.9455443</v>
      </c>
      <c r="Y3868">
        <v>-0.24359539999999999</v>
      </c>
      <c r="Z3868">
        <v>3.3110109999999998E-2</v>
      </c>
      <c r="AA3868">
        <v>0.96931160000000005</v>
      </c>
      <c r="AB3868">
        <v>29</v>
      </c>
      <c r="AC3868">
        <v>13.7537</v>
      </c>
      <c r="AD3868">
        <v>-1.111782414481</v>
      </c>
      <c r="AE3868">
        <v>-0.73329</v>
      </c>
      <c r="AF3868">
        <v>-3.4177617612403801</v>
      </c>
      <c r="AG3868">
        <v>-1.111782414481</v>
      </c>
      <c r="AH3868">
        <v>13.2503854936521</v>
      </c>
      <c r="AI3868">
        <v>94.644877143430193</v>
      </c>
      <c r="AJ3868">
        <v>104.46343209462</v>
      </c>
      <c r="AK3868">
        <v>13.7291613481718</v>
      </c>
      <c r="AL3868">
        <v>93.548579132029801</v>
      </c>
      <c r="AM3868">
        <v>108.673095687168</v>
      </c>
      <c r="AN3868">
        <v>0.99999997008900898</v>
      </c>
    </row>
    <row r="3869" spans="1:40" x14ac:dyDescent="0.25">
      <c r="A3869" t="str">
        <f>"20190305135707385"</f>
        <v>20190305135707385</v>
      </c>
      <c r="B3869" t="str">
        <f>"1551765427376751"</f>
        <v>1551765427376751</v>
      </c>
      <c r="C3869" t="s">
        <v>40</v>
      </c>
      <c r="D3869">
        <v>4.2769259999999996</v>
      </c>
      <c r="E3869">
        <v>0.52892680000000003</v>
      </c>
      <c r="F3869" t="s">
        <v>84</v>
      </c>
      <c r="G3869">
        <v>-382.1635</v>
      </c>
      <c r="H3869" s="1">
        <v>-3.7480220000000001E-6</v>
      </c>
      <c r="I3869">
        <v>19.37265</v>
      </c>
      <c r="J3869">
        <v>-394.54259999999999</v>
      </c>
      <c r="K3869">
        <v>1.1123799999999999</v>
      </c>
      <c r="L3869">
        <v>19.595829999999999</v>
      </c>
      <c r="M3869">
        <v>0.96562360000000003</v>
      </c>
      <c r="N3869">
        <v>-7.5574409999999996E-4</v>
      </c>
      <c r="O3869">
        <v>-0.2599437</v>
      </c>
      <c r="P3869">
        <v>0.99740759999999995</v>
      </c>
      <c r="Q3869">
        <v>-5.5063979999999998E-2</v>
      </c>
      <c r="R3869">
        <v>4.6326539999999999E-2</v>
      </c>
      <c r="S3869">
        <v>2.9956969999999998</v>
      </c>
      <c r="T3869">
        <v>-0.23068259999999999</v>
      </c>
      <c r="U3869">
        <v>-0.16400149999999999</v>
      </c>
      <c r="V3869">
        <v>-0.30331580000000002</v>
      </c>
      <c r="W3869">
        <v>-5.8064249999999998E-2</v>
      </c>
      <c r="X3869">
        <v>0.95111939999999995</v>
      </c>
      <c r="Y3869">
        <v>-0.2054242</v>
      </c>
      <c r="Z3869">
        <v>2.753365E-2</v>
      </c>
      <c r="AA3869">
        <v>0.97828559999999998</v>
      </c>
      <c r="AB3869">
        <v>31</v>
      </c>
      <c r="AC3869">
        <v>12.3790999999999</v>
      </c>
      <c r="AD3869">
        <v>-1.112383748022</v>
      </c>
      <c r="AE3869">
        <v>-0.22317999999999899</v>
      </c>
      <c r="AF3869">
        <v>-2.9783201961942001</v>
      </c>
      <c r="AG3869">
        <v>-1.112383748022</v>
      </c>
      <c r="AH3869">
        <v>11.9153844194861</v>
      </c>
      <c r="AI3869">
        <v>95.175185752786902</v>
      </c>
      <c r="AJ3869">
        <v>104.033863339002</v>
      </c>
      <c r="AK3869">
        <v>12.3322412666171</v>
      </c>
      <c r="AL3869">
        <v>93.328708614021394</v>
      </c>
      <c r="AM3869">
        <v>107.68769139908601</v>
      </c>
      <c r="AN3869">
        <v>1.00000002235703</v>
      </c>
    </row>
    <row r="3870" spans="1:40" x14ac:dyDescent="0.25">
      <c r="A3870" t="str">
        <f>"20190305135707407"</f>
        <v>20190305135707407</v>
      </c>
      <c r="B3870" t="str">
        <f>"1551765427396271"</f>
        <v>1551765427396271</v>
      </c>
      <c r="C3870" t="s">
        <v>40</v>
      </c>
      <c r="D3870">
        <v>4.335197</v>
      </c>
      <c r="E3870">
        <v>0.52878579999999997</v>
      </c>
      <c r="F3870" t="s">
        <v>85</v>
      </c>
      <c r="G3870">
        <v>-377.79930000000002</v>
      </c>
      <c r="H3870" s="1">
        <v>-1.1180449999999999E-6</v>
      </c>
      <c r="I3870">
        <v>19.067699999999999</v>
      </c>
      <c r="J3870">
        <v>-394.2398</v>
      </c>
      <c r="K3870">
        <v>1.11249</v>
      </c>
      <c r="L3870">
        <v>19.520289999999999</v>
      </c>
      <c r="M3870">
        <v>0.96726710000000005</v>
      </c>
      <c r="N3870">
        <v>-8.6995170000000001E-4</v>
      </c>
      <c r="O3870">
        <v>-0.25375879999999901</v>
      </c>
      <c r="P3870">
        <v>0.99723150000000005</v>
      </c>
      <c r="Q3870">
        <v>-5.5000060000000003E-2</v>
      </c>
      <c r="R3870">
        <v>5.0042830000000003E-2</v>
      </c>
      <c r="S3870">
        <v>3.0011899999999998</v>
      </c>
      <c r="T3870">
        <v>-0.19939180000000001</v>
      </c>
      <c r="U3870">
        <v>-9.4665529999999998E-2</v>
      </c>
      <c r="V3870">
        <v>-0.30075990000000002</v>
      </c>
      <c r="W3870">
        <v>-5.7939789999999998E-2</v>
      </c>
      <c r="X3870">
        <v>0.95193830000000002</v>
      </c>
      <c r="Y3870">
        <v>-0.22210930000000001</v>
      </c>
      <c r="Z3870">
        <v>2.392186E-2</v>
      </c>
      <c r="AA3870">
        <v>0.97472829999999999</v>
      </c>
      <c r="AB3870">
        <v>31</v>
      </c>
      <c r="AC3870">
        <v>16.440499999999901</v>
      </c>
      <c r="AD3870">
        <v>-1.1124911180449999</v>
      </c>
      <c r="AE3870">
        <v>-0.45258999999999999</v>
      </c>
      <c r="AF3870">
        <v>-3.7171400836256399</v>
      </c>
      <c r="AG3870">
        <v>-1.1124911180449999</v>
      </c>
      <c r="AH3870">
        <v>15.9442578934711</v>
      </c>
      <c r="AI3870">
        <v>93.887363186212497</v>
      </c>
      <c r="AJ3870">
        <v>103.12316147849</v>
      </c>
      <c r="AK3870">
        <v>16.4095742376985</v>
      </c>
      <c r="AL3870">
        <v>93.321565524274703</v>
      </c>
      <c r="AM3870">
        <v>107.533657489666</v>
      </c>
      <c r="AN3870">
        <v>1.0000000318600699</v>
      </c>
    </row>
    <row r="3871" spans="1:40" x14ac:dyDescent="0.25">
      <c r="A3871" t="str">
        <f>"20190305135707429"</f>
        <v>20190305135707429</v>
      </c>
      <c r="B3871" t="str">
        <f>"1551765427426528"</f>
        <v>1551765427426528</v>
      </c>
      <c r="C3871" t="s">
        <v>40</v>
      </c>
      <c r="D3871">
        <v>4.3360120000000002</v>
      </c>
      <c r="E3871">
        <v>0.528049199999999</v>
      </c>
      <c r="F3871" t="s">
        <v>85</v>
      </c>
      <c r="G3871">
        <v>-376.25490000000002</v>
      </c>
      <c r="H3871" s="1">
        <v>-1.854292E-6</v>
      </c>
      <c r="I3871">
        <v>19.033080000000002</v>
      </c>
      <c r="J3871">
        <v>-393.95249999999999</v>
      </c>
      <c r="K3871">
        <v>1.1125940000000001</v>
      </c>
      <c r="L3871">
        <v>19.450530000000001</v>
      </c>
      <c r="M3871">
        <v>0.96880109999999997</v>
      </c>
      <c r="N3871">
        <v>-9.788685000000001E-4</v>
      </c>
      <c r="O3871">
        <v>-0.24783740000000001</v>
      </c>
      <c r="P3871">
        <v>0.99708110000000005</v>
      </c>
      <c r="Q3871">
        <v>-5.4604340000000001E-2</v>
      </c>
      <c r="R3871">
        <v>5.3365929999999999E-2</v>
      </c>
      <c r="S3871">
        <v>3.0021969999999998</v>
      </c>
      <c r="T3871">
        <v>-0.18570610000000001</v>
      </c>
      <c r="U3871">
        <v>-8.1329349999999995E-2</v>
      </c>
      <c r="V3871">
        <v>-0.29810579999999998</v>
      </c>
      <c r="W3871">
        <v>-5.7481289999999997E-2</v>
      </c>
      <c r="X3871">
        <v>0.95280050000000005</v>
      </c>
      <c r="Y3871">
        <v>-0.2206341</v>
      </c>
      <c r="Z3871">
        <v>2.1858470000000001E-2</v>
      </c>
      <c r="AA3871">
        <v>0.97511170000000003</v>
      </c>
      <c r="AB3871">
        <v>31</v>
      </c>
      <c r="AC3871">
        <v>17.697599999999898</v>
      </c>
      <c r="AD3871">
        <v>-1.112595854292</v>
      </c>
      <c r="AE3871">
        <v>-0.41745000000000199</v>
      </c>
      <c r="AF3871">
        <v>-3.9660371293091501</v>
      </c>
      <c r="AG3871">
        <v>-1.112595854292</v>
      </c>
      <c r="AH3871">
        <v>17.181056801284299</v>
      </c>
      <c r="AI3871">
        <v>93.610452682045505</v>
      </c>
      <c r="AJ3871">
        <v>102.998346109479</v>
      </c>
      <c r="AK3871">
        <v>17.667937991033501</v>
      </c>
      <c r="AL3871">
        <v>93.295251725920295</v>
      </c>
      <c r="AM3871">
        <v>107.37350617772</v>
      </c>
      <c r="AN3871">
        <v>0.99999997974697596</v>
      </c>
    </row>
    <row r="3872" spans="1:40" x14ac:dyDescent="0.25">
      <c r="A3872" t="str">
        <f>"20190305135707452"</f>
        <v>20190305135707452</v>
      </c>
      <c r="B3872" t="str">
        <f>"1551765427446048"</f>
        <v>1551765427446048</v>
      </c>
      <c r="C3872" t="s">
        <v>40</v>
      </c>
      <c r="D3872">
        <v>4.3395609999999998</v>
      </c>
      <c r="E3872">
        <v>0.52733450000000004</v>
      </c>
      <c r="F3872" t="s">
        <v>85</v>
      </c>
      <c r="G3872">
        <v>-373.9205</v>
      </c>
      <c r="H3872" s="1">
        <v>-2.959515E-6</v>
      </c>
      <c r="I3872">
        <v>19.023240000000001</v>
      </c>
      <c r="J3872">
        <v>-393.64179999999999</v>
      </c>
      <c r="K3872">
        <v>1.1127039999999999</v>
      </c>
      <c r="L3872">
        <v>19.377320000000001</v>
      </c>
      <c r="M3872">
        <v>0.97042689999999998</v>
      </c>
      <c r="N3872">
        <v>-1.0950179999999999E-3</v>
      </c>
      <c r="O3872">
        <v>-0.24139340000000001</v>
      </c>
      <c r="P3872">
        <v>0.99688399999999999</v>
      </c>
      <c r="Q3872">
        <v>-5.4366129999999999E-2</v>
      </c>
      <c r="R3872">
        <v>5.7154490000000002E-2</v>
      </c>
      <c r="S3872">
        <v>3.003082</v>
      </c>
      <c r="T3872">
        <v>-0.1667942</v>
      </c>
      <c r="U3872">
        <v>-6.4056399999999999E-2</v>
      </c>
      <c r="V3872">
        <v>-0.2953866</v>
      </c>
      <c r="W3872">
        <v>-5.717146E-2</v>
      </c>
      <c r="X3872">
        <v>0.95366569999999995</v>
      </c>
      <c r="Y3872">
        <v>-0.2199477</v>
      </c>
      <c r="Z3872">
        <v>1.9243119999999999E-2</v>
      </c>
      <c r="AA3872">
        <v>0.97532189999999996</v>
      </c>
      <c r="AB3872">
        <v>31</v>
      </c>
      <c r="AC3872">
        <v>19.7212999999999</v>
      </c>
      <c r="AD3872">
        <v>-1.1127069595150001</v>
      </c>
      <c r="AE3872">
        <v>-0.354080000000003</v>
      </c>
      <c r="AF3872">
        <v>-4.4029729128074901</v>
      </c>
      <c r="AG3872">
        <v>-1.1127069595150001</v>
      </c>
      <c r="AH3872">
        <v>19.162578448284901</v>
      </c>
      <c r="AI3872">
        <v>93.239028813860003</v>
      </c>
      <c r="AJ3872">
        <v>102.940211774076</v>
      </c>
      <c r="AK3872">
        <v>19.693366904502199</v>
      </c>
      <c r="AL3872">
        <v>93.277470324181607</v>
      </c>
      <c r="AM3872">
        <v>107.209744928196</v>
      </c>
      <c r="AN3872">
        <v>1.00000004332728</v>
      </c>
    </row>
    <row r="3873" spans="1:40" x14ac:dyDescent="0.25">
      <c r="A3873" t="str">
        <f>"20190305135707477"</f>
        <v>20190305135707477</v>
      </c>
      <c r="B3873" t="str">
        <f>"1551765427466543"</f>
        <v>1551765427466543</v>
      </c>
      <c r="C3873" t="s">
        <v>40</v>
      </c>
      <c r="D3873">
        <v>4.3027670000000002</v>
      </c>
      <c r="E3873">
        <v>0.52679370000000003</v>
      </c>
      <c r="F3873" t="s">
        <v>85</v>
      </c>
      <c r="G3873">
        <v>-372.45269999999999</v>
      </c>
      <c r="H3873" s="1">
        <v>-3.648529E-6</v>
      </c>
      <c r="I3873">
        <v>19.050270000000001</v>
      </c>
      <c r="J3873">
        <v>-393.29129999999998</v>
      </c>
      <c r="K3873">
        <v>1.112816</v>
      </c>
      <c r="L3873">
        <v>19.29739</v>
      </c>
      <c r="M3873">
        <v>0.97221539999999995</v>
      </c>
      <c r="N3873">
        <v>-1.2229560000000001E-3</v>
      </c>
      <c r="O3873">
        <v>-0.23408580000000001</v>
      </c>
      <c r="P3873">
        <v>0.99658769999999997</v>
      </c>
      <c r="Q3873">
        <v>-5.4052360000000001E-2</v>
      </c>
      <c r="R3873">
        <v>6.2382260000000002E-2</v>
      </c>
      <c r="S3873">
        <v>3.003387</v>
      </c>
      <c r="T3873">
        <v>-0.15771729999999901</v>
      </c>
      <c r="U3873">
        <v>-4.6356199999999903E-2</v>
      </c>
      <c r="V3873">
        <v>-0.29320869999999999</v>
      </c>
      <c r="W3873">
        <v>-5.6780839999999999E-2</v>
      </c>
      <c r="X3873">
        <v>0.95436080000000001</v>
      </c>
      <c r="Y3873">
        <v>-0.21844369999999999</v>
      </c>
      <c r="Z3873">
        <v>1.7768030000000001E-2</v>
      </c>
      <c r="AA3873">
        <v>0.97568779999999999</v>
      </c>
      <c r="AB3873">
        <v>32</v>
      </c>
      <c r="AC3873">
        <v>20.8385999999999</v>
      </c>
      <c r="AD3873">
        <v>-1.1128196485290001</v>
      </c>
      <c r="AE3873">
        <v>-0.24711999999999801</v>
      </c>
      <c r="AF3873">
        <v>-4.6245825961907698</v>
      </c>
      <c r="AG3873">
        <v>-1.1128196485290001</v>
      </c>
      <c r="AH3873">
        <v>20.259698217772101</v>
      </c>
      <c r="AI3873">
        <v>93.065280987617896</v>
      </c>
      <c r="AJ3873">
        <v>102.85832205121</v>
      </c>
      <c r="AK3873">
        <v>20.8105863356692</v>
      </c>
      <c r="AL3873">
        <v>93.255053267097395</v>
      </c>
      <c r="AM3873">
        <v>107.078552090857</v>
      </c>
      <c r="AN3873">
        <v>0.99999997106171701</v>
      </c>
    </row>
    <row r="3874" spans="1:40" x14ac:dyDescent="0.25">
      <c r="A3874" t="str">
        <f>"20190305135707498"</f>
        <v>20190305135707498</v>
      </c>
      <c r="B3874" t="str">
        <f>"1551765427486063"</f>
        <v>1551765427486063</v>
      </c>
      <c r="C3874" t="s">
        <v>40</v>
      </c>
      <c r="D3874">
        <v>4.2770570000000001</v>
      </c>
      <c r="E3874">
        <v>0.52632630000000002</v>
      </c>
      <c r="F3874" t="s">
        <v>85</v>
      </c>
      <c r="G3874">
        <v>-371.10480000000001</v>
      </c>
      <c r="H3874" s="1">
        <v>-4.2756549999999998E-6</v>
      </c>
      <c r="I3874">
        <v>19.106919999999999</v>
      </c>
      <c r="J3874">
        <v>-392.99610000000001</v>
      </c>
      <c r="K3874">
        <v>1.112908</v>
      </c>
      <c r="L3874">
        <v>19.232119999999998</v>
      </c>
      <c r="M3874">
        <v>0.97367879999999996</v>
      </c>
      <c r="N3874">
        <v>-1.346269E-3</v>
      </c>
      <c r="O3874">
        <v>-0.22792090000000001</v>
      </c>
      <c r="P3874">
        <v>0.99636009999999997</v>
      </c>
      <c r="Q3874">
        <v>-5.3633090000000001E-2</v>
      </c>
      <c r="R3874">
        <v>6.6258449999999997E-2</v>
      </c>
      <c r="S3874">
        <v>3.0037229999999999</v>
      </c>
      <c r="T3874">
        <v>-0.1506593</v>
      </c>
      <c r="U3874">
        <v>-2.5787350000000001E-2</v>
      </c>
      <c r="V3874">
        <v>-0.29087449999999998</v>
      </c>
      <c r="W3874">
        <v>-5.6269859999999998E-2</v>
      </c>
      <c r="X3874">
        <v>0.95510510000000004</v>
      </c>
      <c r="Y3874">
        <v>-0.219004</v>
      </c>
      <c r="Z3874">
        <v>1.6673090000000002E-2</v>
      </c>
      <c r="AA3874">
        <v>0.97558149999999999</v>
      </c>
      <c r="AB3874">
        <v>32</v>
      </c>
      <c r="AC3874">
        <v>21.891300000000001</v>
      </c>
      <c r="AD3874">
        <v>-1.1129122756550001</v>
      </c>
      <c r="AE3874">
        <v>-0.12519999999999901</v>
      </c>
      <c r="AF3874">
        <v>-4.8550367507675096</v>
      </c>
      <c r="AG3874">
        <v>-1.1129122756550001</v>
      </c>
      <c r="AH3874">
        <v>21.288629158405001</v>
      </c>
      <c r="AI3874">
        <v>92.917764374123195</v>
      </c>
      <c r="AJ3874">
        <v>102.847027836265</v>
      </c>
      <c r="AK3874">
        <v>21.863569860127999</v>
      </c>
      <c r="AL3874">
        <v>93.225729252338098</v>
      </c>
      <c r="AM3874">
        <v>106.937962750872</v>
      </c>
      <c r="AN3874">
        <v>1.0000000119703301</v>
      </c>
    </row>
    <row r="3875" spans="1:40" x14ac:dyDescent="0.25">
      <c r="A3875" t="str">
        <f>"20190305135707519"</f>
        <v>20190305135707519</v>
      </c>
      <c r="B3875" t="str">
        <f>"1551765427516320"</f>
        <v>1551765427516320</v>
      </c>
      <c r="C3875" t="s">
        <v>40</v>
      </c>
      <c r="D3875">
        <v>4.278435</v>
      </c>
      <c r="E3875">
        <v>0.52570469999999903</v>
      </c>
      <c r="F3875" t="s">
        <v>86</v>
      </c>
      <c r="G3875">
        <v>-369.84609999999998</v>
      </c>
      <c r="H3875" s="1">
        <v>-1.8233720000000001E-7</v>
      </c>
      <c r="I3875">
        <v>19.15474</v>
      </c>
      <c r="J3875">
        <v>-392.70710000000003</v>
      </c>
      <c r="K3875">
        <v>1.113035</v>
      </c>
      <c r="L3875">
        <v>19.17014</v>
      </c>
      <c r="M3875">
        <v>0.9750664</v>
      </c>
      <c r="N3875">
        <v>-1.5357529999999999E-3</v>
      </c>
      <c r="O3875">
        <v>-0.22190860000000001</v>
      </c>
      <c r="P3875">
        <v>0.99608240000000003</v>
      </c>
      <c r="Q3875">
        <v>-5.3468420000000003E-2</v>
      </c>
      <c r="R3875">
        <v>7.0437130000000001E-2</v>
      </c>
      <c r="S3875">
        <v>3.0038149999999999</v>
      </c>
      <c r="T3875">
        <v>-0.144404799999999</v>
      </c>
      <c r="U3875">
        <v>-1.004028E-2</v>
      </c>
      <c r="V3875">
        <v>-0.28898259999999998</v>
      </c>
      <c r="W3875">
        <v>-5.595787E-2</v>
      </c>
      <c r="X3875">
        <v>0.95569749999999998</v>
      </c>
      <c r="Y3875">
        <v>-0.2181517</v>
      </c>
      <c r="Z3875">
        <v>1.5658950000000001E-2</v>
      </c>
      <c r="AA3875">
        <v>0.97578920000000002</v>
      </c>
      <c r="AB3875">
        <v>32</v>
      </c>
      <c r="AC3875">
        <v>22.861000000000001</v>
      </c>
      <c r="AD3875">
        <v>-1.1130351823372</v>
      </c>
      <c r="AE3875">
        <v>-1.53999999999996E-2</v>
      </c>
      <c r="AF3875">
        <v>-5.0460803842824102</v>
      </c>
      <c r="AG3875">
        <v>-1.1130351823372</v>
      </c>
      <c r="AH3875">
        <v>22.241711227376499</v>
      </c>
      <c r="AI3875">
        <v>92.793958947876106</v>
      </c>
      <c r="AJ3875">
        <v>102.782576134466</v>
      </c>
      <c r="AK3875">
        <v>22.8340862064539</v>
      </c>
      <c r="AL3875">
        <v>93.207825470647407</v>
      </c>
      <c r="AM3875">
        <v>106.824200218748</v>
      </c>
      <c r="AN3875">
        <v>0.99999996891197296</v>
      </c>
    </row>
    <row r="3876" spans="1:40" x14ac:dyDescent="0.25">
      <c r="A3876" t="str">
        <f>"20190305135707541"</f>
        <v>20190305135707541</v>
      </c>
      <c r="B3876" t="str">
        <f>"1551765427535840"</f>
        <v>1551765427535840</v>
      </c>
      <c r="C3876" t="s">
        <v>40</v>
      </c>
      <c r="D3876">
        <v>4.2884029999999997</v>
      </c>
      <c r="E3876">
        <v>0.52542279999999997</v>
      </c>
      <c r="F3876" t="s">
        <v>86</v>
      </c>
      <c r="G3876">
        <v>-368.35309999999998</v>
      </c>
      <c r="H3876" s="1">
        <v>-8.4654830000000005E-7</v>
      </c>
      <c r="I3876">
        <v>19.235199999999999</v>
      </c>
      <c r="J3876">
        <v>-392.39100000000002</v>
      </c>
      <c r="K3876">
        <v>1.113218</v>
      </c>
      <c r="L3876">
        <v>19.104520000000001</v>
      </c>
      <c r="M3876">
        <v>0.97652760000000005</v>
      </c>
      <c r="N3876">
        <v>-1.8901440000000001E-3</v>
      </c>
      <c r="O3876">
        <v>-0.21538470000000001</v>
      </c>
      <c r="P3876">
        <v>0.99574180000000001</v>
      </c>
      <c r="Q3876">
        <v>-5.3072580000000001E-2</v>
      </c>
      <c r="R3876">
        <v>7.5379219999999997E-2</v>
      </c>
      <c r="S3876">
        <v>3.003876</v>
      </c>
      <c r="T3876">
        <v>-0.1372842</v>
      </c>
      <c r="U3876">
        <v>8.0261229999999996E-3</v>
      </c>
      <c r="V3876">
        <v>-0.28733609999999998</v>
      </c>
      <c r="W3876">
        <v>-5.5273469999999998E-2</v>
      </c>
      <c r="X3876">
        <v>0.95623369999999996</v>
      </c>
      <c r="Y3876">
        <v>-0.2175531</v>
      </c>
      <c r="Z3876">
        <v>1.4545860000000001E-2</v>
      </c>
      <c r="AA3876">
        <v>0.97594009999999998</v>
      </c>
      <c r="AB3876">
        <v>32</v>
      </c>
      <c r="AC3876">
        <v>24.037899999999901</v>
      </c>
      <c r="AD3876">
        <v>-1.1132188465482999</v>
      </c>
      <c r="AE3876">
        <v>0.13067999999999799</v>
      </c>
      <c r="AF3876">
        <v>-5.29366417510799</v>
      </c>
      <c r="AG3876">
        <v>-1.1132188465482999</v>
      </c>
      <c r="AH3876">
        <v>23.395389960936999</v>
      </c>
      <c r="AI3876">
        <v>92.657168767718105</v>
      </c>
      <c r="AJ3876">
        <v>102.749599054995</v>
      </c>
      <c r="AK3876">
        <v>24.0126301771264</v>
      </c>
      <c r="AL3876">
        <v>93.168551225559099</v>
      </c>
      <c r="AM3876">
        <v>106.724856642014</v>
      </c>
      <c r="AN3876">
        <v>1.0000000399323601</v>
      </c>
    </row>
    <row r="3877" spans="1:40" x14ac:dyDescent="0.25">
      <c r="A3877" t="str">
        <f>"20190305135707565"</f>
        <v>20190305135707565</v>
      </c>
      <c r="B3877" t="str">
        <f>"1551765427556336"</f>
        <v>1551765427556336</v>
      </c>
      <c r="C3877" t="s">
        <v>40</v>
      </c>
      <c r="D3877">
        <v>4.3959530000000004</v>
      </c>
      <c r="E3877">
        <v>0.52529519999999996</v>
      </c>
      <c r="F3877" t="s">
        <v>86</v>
      </c>
      <c r="G3877">
        <v>-367.24369999999999</v>
      </c>
      <c r="H3877" s="1">
        <v>-1.3564109999999999E-6</v>
      </c>
      <c r="I3877">
        <v>19.31709</v>
      </c>
      <c r="J3877">
        <v>-392.05200000000002</v>
      </c>
      <c r="K3877">
        <v>1.1134740000000001</v>
      </c>
      <c r="L3877">
        <v>19.036740000000002</v>
      </c>
      <c r="M3877">
        <v>0.97803059999999997</v>
      </c>
      <c r="N3877">
        <v>-2.5067029999999999E-3</v>
      </c>
      <c r="O3877">
        <v>-0.2084464</v>
      </c>
      <c r="P3877">
        <v>0.99533559999999999</v>
      </c>
      <c r="Q3877">
        <v>-5.2554839999999999E-2</v>
      </c>
      <c r="R3877">
        <v>8.0899460000000006E-2</v>
      </c>
      <c r="S3877">
        <v>3.0038450000000001</v>
      </c>
      <c r="T3877">
        <v>-0.13297410000000001</v>
      </c>
      <c r="U3877">
        <v>2.5390630000000001E-2</v>
      </c>
      <c r="V3877">
        <v>-0.28585519999999998</v>
      </c>
      <c r="W3877">
        <v>-5.4226200000000002E-2</v>
      </c>
      <c r="X3877">
        <v>0.95673730000000001</v>
      </c>
      <c r="Y3877">
        <v>-0.2163031</v>
      </c>
      <c r="Z3877">
        <v>1.370504E-2</v>
      </c>
      <c r="AA3877">
        <v>0.97623009999999999</v>
      </c>
      <c r="AB3877">
        <v>32</v>
      </c>
      <c r="AC3877">
        <v>24.8082999999999</v>
      </c>
      <c r="AD3877">
        <v>-1.113475356411</v>
      </c>
      <c r="AE3877">
        <v>0.28035000000000199</v>
      </c>
      <c r="AF3877">
        <v>-5.4344623788670896</v>
      </c>
      <c r="AG3877">
        <v>-1.113475356411</v>
      </c>
      <c r="AH3877">
        <v>24.1562575908425</v>
      </c>
      <c r="AI3877">
        <v>92.574897179296102</v>
      </c>
      <c r="AJ3877">
        <v>102.67881314913799</v>
      </c>
      <c r="AK3877">
        <v>24.785035596339</v>
      </c>
      <c r="AL3877">
        <v>93.108457160658801</v>
      </c>
      <c r="AM3877">
        <v>106.63516109579901</v>
      </c>
      <c r="AN3877">
        <v>0.99999996867238405</v>
      </c>
    </row>
    <row r="3878" spans="1:40" x14ac:dyDescent="0.25">
      <c r="A3878" t="str">
        <f>"20190305135707587"</f>
        <v>20190305135707587</v>
      </c>
      <c r="B3878" t="str">
        <f>"1551765427575856"</f>
        <v>1551765427575856</v>
      </c>
      <c r="C3878" t="s">
        <v>40</v>
      </c>
      <c r="D3878">
        <v>4.2370049999999999</v>
      </c>
      <c r="E3878">
        <v>0.52517550000000002</v>
      </c>
      <c r="F3878" t="s">
        <v>86</v>
      </c>
      <c r="G3878">
        <v>-366.0421</v>
      </c>
      <c r="H3878" s="1">
        <v>-1.9076810000000001E-6</v>
      </c>
      <c r="I3878">
        <v>19.411449999999999</v>
      </c>
      <c r="J3878">
        <v>-391.74340000000001</v>
      </c>
      <c r="K3878">
        <v>1.1137440000000001</v>
      </c>
      <c r="L3878">
        <v>18.977360000000001</v>
      </c>
      <c r="M3878">
        <v>0.97934900000000003</v>
      </c>
      <c r="N3878">
        <v>-3.3139509999999999E-3</v>
      </c>
      <c r="O3878">
        <v>-0.20215089999999999</v>
      </c>
      <c r="P3878">
        <v>0.99503929999999996</v>
      </c>
      <c r="Q3878">
        <v>-5.2083450000000003E-2</v>
      </c>
      <c r="R3878">
        <v>8.476119E-2</v>
      </c>
      <c r="S3878">
        <v>3.003784</v>
      </c>
      <c r="T3878">
        <v>-0.12859119999999999</v>
      </c>
      <c r="U3878">
        <v>4.3273930000000002E-2</v>
      </c>
      <c r="V3878">
        <v>-0.28342440000000002</v>
      </c>
      <c r="W3878">
        <v>-5.3009769999999998E-2</v>
      </c>
      <c r="X3878">
        <v>0.95752839999999995</v>
      </c>
      <c r="Y3878">
        <v>-0.2158698</v>
      </c>
      <c r="Z3878">
        <v>1.2910980000000001E-2</v>
      </c>
      <c r="AA3878">
        <v>0.9763368</v>
      </c>
      <c r="AB3878">
        <v>32</v>
      </c>
      <c r="AC3878">
        <v>25.7013</v>
      </c>
      <c r="AD3878">
        <v>-1.1137459076809999</v>
      </c>
      <c r="AE3878">
        <v>0.43408999999999698</v>
      </c>
      <c r="AF3878">
        <v>-5.6101641119165802</v>
      </c>
      <c r="AG3878">
        <v>-1.1137459076809999</v>
      </c>
      <c r="AH3878">
        <v>25.035922654575099</v>
      </c>
      <c r="AI3878">
        <v>92.4856140972866</v>
      </c>
      <c r="AJ3878">
        <v>102.63045111343</v>
      </c>
      <c r="AK3878">
        <v>25.680961712431699</v>
      </c>
      <c r="AL3878">
        <v>93.038660256812193</v>
      </c>
      <c r="AM3878">
        <v>106.488533286305</v>
      </c>
      <c r="AN3878">
        <v>1.0000000315186801</v>
      </c>
    </row>
    <row r="3879" spans="1:40" x14ac:dyDescent="0.25">
      <c r="A3879" t="str">
        <f>"20190305135707619"</f>
        <v>20190305135707619</v>
      </c>
      <c r="B3879" t="str">
        <f>"1551765427616849"</f>
        <v>1551765427616849</v>
      </c>
      <c r="C3879" t="s">
        <v>40</v>
      </c>
      <c r="D3879">
        <v>4.4402429999999997</v>
      </c>
      <c r="E3879">
        <v>0.52502550000000003</v>
      </c>
      <c r="F3879" t="s">
        <v>86</v>
      </c>
      <c r="G3879">
        <v>-364.86130000000003</v>
      </c>
      <c r="H3879" s="1">
        <v>-2.4539010000000002E-6</v>
      </c>
      <c r="I3879">
        <v>19.479089999999999</v>
      </c>
      <c r="J3879">
        <v>-391.29399999999998</v>
      </c>
      <c r="K3879">
        <v>1.114047</v>
      </c>
      <c r="L3879">
        <v>18.895019999999999</v>
      </c>
      <c r="M3879">
        <v>0.98123669999999996</v>
      </c>
      <c r="N3879">
        <v>-4.4728650000000003E-3</v>
      </c>
      <c r="O3879">
        <v>-0.19275529999999999</v>
      </c>
      <c r="P3879">
        <v>0.99445190000000006</v>
      </c>
      <c r="Q3879">
        <v>-5.1938159999999997E-2</v>
      </c>
      <c r="R3879">
        <v>9.1475319999999999E-2</v>
      </c>
      <c r="S3879">
        <v>3.0036619999999998</v>
      </c>
      <c r="T3879">
        <v>-0.12444379999999999</v>
      </c>
      <c r="U3879">
        <v>5.6060789999999999E-2</v>
      </c>
      <c r="V3879">
        <v>-0.28071689999999999</v>
      </c>
      <c r="W3879">
        <v>-5.1782969999999998E-2</v>
      </c>
      <c r="X3879">
        <v>0.95839269999999999</v>
      </c>
      <c r="Y3879">
        <v>-0.21070430000000001</v>
      </c>
      <c r="Z3879">
        <v>1.191626E-2</v>
      </c>
      <c r="AA3879">
        <v>0.97747720000000005</v>
      </c>
      <c r="AB3879">
        <v>32</v>
      </c>
      <c r="AC3879">
        <v>26.432700000000001</v>
      </c>
      <c r="AD3879">
        <v>-1.114049453901</v>
      </c>
      <c r="AE3879">
        <v>0.58406999999999698</v>
      </c>
      <c r="AF3879">
        <v>-5.6581645157348301</v>
      </c>
      <c r="AG3879">
        <v>-1.114049453901</v>
      </c>
      <c r="AH3879">
        <v>25.778640849168401</v>
      </c>
      <c r="AI3879">
        <v>92.417086717480402</v>
      </c>
      <c r="AJ3879">
        <v>102.37956624901599</v>
      </c>
      <c r="AK3879">
        <v>26.415795575815501</v>
      </c>
      <c r="AL3879">
        <v>92.968273168080103</v>
      </c>
      <c r="AM3879">
        <v>106.32551029054</v>
      </c>
      <c r="AN3879">
        <v>1.0000000106704601</v>
      </c>
    </row>
    <row r="3880" spans="1:40" x14ac:dyDescent="0.25">
      <c r="A3880" t="str">
        <f>"20190305135707643"</f>
        <v>20190305135707643</v>
      </c>
      <c r="B3880" t="str">
        <f>"1551765427636368"</f>
        <v>1551765427636368</v>
      </c>
      <c r="C3880" t="s">
        <v>40</v>
      </c>
      <c r="D3880">
        <v>4.2873809999999999</v>
      </c>
      <c r="E3880">
        <v>0.52506019999999998</v>
      </c>
      <c r="F3880" t="s">
        <v>86</v>
      </c>
      <c r="G3880">
        <v>-363.95679999999999</v>
      </c>
      <c r="H3880" s="1">
        <v>-2.85975E-6</v>
      </c>
      <c r="I3880">
        <v>19.60144</v>
      </c>
      <c r="J3880">
        <v>-390.95209999999997</v>
      </c>
      <c r="K3880">
        <v>1.114217</v>
      </c>
      <c r="L3880">
        <v>18.83539</v>
      </c>
      <c r="M3880">
        <v>0.98263579999999995</v>
      </c>
      <c r="N3880">
        <v>-5.3473289999999996E-3</v>
      </c>
      <c r="O3880">
        <v>-0.1854674</v>
      </c>
      <c r="P3880">
        <v>0.99392349999999996</v>
      </c>
      <c r="Q3880">
        <v>-5.2610619999999997E-2</v>
      </c>
      <c r="R3880">
        <v>9.6686140000000004E-2</v>
      </c>
      <c r="S3880">
        <v>3.0032040000000002</v>
      </c>
      <c r="T3880">
        <v>-0.1223871</v>
      </c>
      <c r="U3880">
        <v>7.76062E-2</v>
      </c>
      <c r="V3880">
        <v>-0.278616799999999</v>
      </c>
      <c r="W3880">
        <v>-5.161926E-2</v>
      </c>
      <c r="X3880">
        <v>0.95901409999999998</v>
      </c>
      <c r="Y3880">
        <v>-0.21048</v>
      </c>
      <c r="Z3880">
        <v>1.137966E-2</v>
      </c>
      <c r="AA3880">
        <v>0.97753190000000001</v>
      </c>
      <c r="AB3880">
        <v>32</v>
      </c>
      <c r="AC3880">
        <v>26.995299999999901</v>
      </c>
      <c r="AD3880">
        <v>-1.1142198597499999</v>
      </c>
      <c r="AE3880">
        <v>0.76604999999999901</v>
      </c>
      <c r="AF3880">
        <v>-5.7497915744580999</v>
      </c>
      <c r="AG3880">
        <v>-1.1142198597499999</v>
      </c>
      <c r="AH3880">
        <v>26.3400133872758</v>
      </c>
      <c r="AI3880">
        <v>92.366585160670795</v>
      </c>
      <c r="AJ3880">
        <v>102.313994788179</v>
      </c>
      <c r="AK3880">
        <v>26.983289167324202</v>
      </c>
      <c r="AL3880">
        <v>92.958880874732401</v>
      </c>
      <c r="AM3880">
        <v>106.199859397626</v>
      </c>
      <c r="AN3880">
        <v>0.99999995662199703</v>
      </c>
    </row>
    <row r="3881" spans="1:40" x14ac:dyDescent="0.25">
      <c r="A3881" t="str">
        <f>"20190305135707665"</f>
        <v>20190305135707665</v>
      </c>
      <c r="B3881" t="str">
        <f>"1551765427656864"</f>
        <v>1551765427656864</v>
      </c>
      <c r="C3881" t="s">
        <v>40</v>
      </c>
      <c r="D3881">
        <v>4.2648169999999999</v>
      </c>
      <c r="E3881">
        <v>0.52513529999999997</v>
      </c>
      <c r="F3881" t="s">
        <v>86</v>
      </c>
      <c r="G3881">
        <v>-363.99290000000002</v>
      </c>
      <c r="H3881" s="1">
        <v>-2.8544639999999998E-6</v>
      </c>
      <c r="I3881">
        <v>19.670500000000001</v>
      </c>
      <c r="J3881">
        <v>-390.63159999999999</v>
      </c>
      <c r="K3881">
        <v>1.114336</v>
      </c>
      <c r="L3881">
        <v>18.781860000000002</v>
      </c>
      <c r="M3881">
        <v>0.9839097</v>
      </c>
      <c r="N3881">
        <v>-6.1558280000000003E-3</v>
      </c>
      <c r="O3881">
        <v>-0.1785611</v>
      </c>
      <c r="P3881">
        <v>0.99351610000000001</v>
      </c>
      <c r="Q3881">
        <v>-5.3641349999999997E-2</v>
      </c>
      <c r="R3881">
        <v>0.1002434</v>
      </c>
      <c r="S3881">
        <v>3.002777</v>
      </c>
      <c r="T3881">
        <v>-0.1241043</v>
      </c>
      <c r="U3881">
        <v>9.3017580000000002E-2</v>
      </c>
      <c r="V3881">
        <v>-0.2752985</v>
      </c>
      <c r="W3881">
        <v>-5.183397E-2</v>
      </c>
      <c r="X3881">
        <v>0.95996040000000005</v>
      </c>
      <c r="Y3881">
        <v>-0.2086298</v>
      </c>
      <c r="Z3881">
        <v>1.119904E-2</v>
      </c>
      <c r="AA3881">
        <v>0.97793050000000004</v>
      </c>
      <c r="AB3881">
        <v>32</v>
      </c>
      <c r="AC3881">
        <v>26.638699999999901</v>
      </c>
      <c r="AD3881">
        <v>-1.1143388544640001</v>
      </c>
      <c r="AE3881">
        <v>0.88863999999999799</v>
      </c>
      <c r="AF3881">
        <v>-5.6212574595870199</v>
      </c>
      <c r="AG3881">
        <v>-1.1143388544640001</v>
      </c>
      <c r="AH3881">
        <v>26.006431464320499</v>
      </c>
      <c r="AI3881">
        <v>92.398225913097903</v>
      </c>
      <c r="AJ3881">
        <v>102.196775379966</v>
      </c>
      <c r="AK3881">
        <v>26.630335409414801</v>
      </c>
      <c r="AL3881">
        <v>92.971199222807101</v>
      </c>
      <c r="AM3881">
        <v>106.00189081899801</v>
      </c>
      <c r="AN3881">
        <v>0.99999999705818499</v>
      </c>
    </row>
    <row r="3882" spans="1:40" x14ac:dyDescent="0.25">
      <c r="A3882" t="str">
        <f>"20190305135707689"</f>
        <v>20190305135707689</v>
      </c>
      <c r="B3882" t="str">
        <f>"1551765427676383"</f>
        <v>1551765427676383</v>
      </c>
      <c r="C3882" t="s">
        <v>40</v>
      </c>
      <c r="D3882">
        <v>4.2491120000000002</v>
      </c>
      <c r="E3882">
        <v>0.52521439999999997</v>
      </c>
      <c r="F3882" t="s">
        <v>86</v>
      </c>
      <c r="G3882">
        <v>-364.37799999999999</v>
      </c>
      <c r="H3882" s="1">
        <v>-2.6758840000000001E-6</v>
      </c>
      <c r="I3882">
        <v>19.683589999999999</v>
      </c>
      <c r="J3882">
        <v>-390.30380000000002</v>
      </c>
      <c r="K3882">
        <v>1.114403</v>
      </c>
      <c r="L3882">
        <v>18.72946</v>
      </c>
      <c r="M3882">
        <v>0.98516340000000002</v>
      </c>
      <c r="N3882">
        <v>-6.9292249999999998E-3</v>
      </c>
      <c r="O3882">
        <v>-0.1714791</v>
      </c>
      <c r="P3882">
        <v>0.99307699999999999</v>
      </c>
      <c r="Q3882">
        <v>-5.5022660000000001E-2</v>
      </c>
      <c r="R3882">
        <v>0.103782399999999</v>
      </c>
      <c r="S3882">
        <v>3.0022579999999999</v>
      </c>
      <c r="T3882">
        <v>-0.1274315</v>
      </c>
      <c r="U3882">
        <v>0.1031189</v>
      </c>
      <c r="V3882">
        <v>-0.27179179999999997</v>
      </c>
      <c r="W3882">
        <v>-5.2413229999999998E-2</v>
      </c>
      <c r="X3882">
        <v>0.96092770000000005</v>
      </c>
      <c r="Y3882">
        <v>-0.20487910000000001</v>
      </c>
      <c r="Z3882">
        <v>1.111552E-2</v>
      </c>
      <c r="AA3882">
        <v>0.97872420000000004</v>
      </c>
      <c r="AB3882">
        <v>32</v>
      </c>
      <c r="AC3882">
        <v>25.925799999999899</v>
      </c>
      <c r="AD3882">
        <v>-1.114405675884</v>
      </c>
      <c r="AE3882">
        <v>0.95412999999999903</v>
      </c>
      <c r="AF3882">
        <v>-5.3759166133062202</v>
      </c>
      <c r="AG3882">
        <v>-1.114405675884</v>
      </c>
      <c r="AH3882">
        <v>25.331404380506001</v>
      </c>
      <c r="AI3882">
        <v>92.464180931125895</v>
      </c>
      <c r="AJ3882">
        <v>101.98173483337</v>
      </c>
      <c r="AK3882">
        <v>25.9195375601569</v>
      </c>
      <c r="AL3882">
        <v>93.004433584461395</v>
      </c>
      <c r="AM3882">
        <v>105.793191288567</v>
      </c>
      <c r="AN3882">
        <v>0.99999998692678105</v>
      </c>
    </row>
    <row r="3883" spans="1:40" x14ac:dyDescent="0.25">
      <c r="A3883" t="str">
        <f>"20190305135707709"</f>
        <v>20190305135707709</v>
      </c>
      <c r="B3883" t="str">
        <f>"1551765427706639"</f>
        <v>1551765427706639</v>
      </c>
      <c r="C3883" t="s">
        <v>40</v>
      </c>
      <c r="D3883">
        <v>4.2596089999999904</v>
      </c>
      <c r="E3883">
        <v>0.52544829999999998</v>
      </c>
      <c r="F3883" t="s">
        <v>86</v>
      </c>
      <c r="G3883">
        <v>-365.1293</v>
      </c>
      <c r="H3883" s="1">
        <v>-2.3191989999999999E-6</v>
      </c>
      <c r="I3883">
        <v>19.677710000000001</v>
      </c>
      <c r="J3883">
        <v>-390.01100000000002</v>
      </c>
      <c r="K3883">
        <v>1.1144289999999999</v>
      </c>
      <c r="L3883">
        <v>18.684750000000001</v>
      </c>
      <c r="M3883">
        <v>0.98623070000000002</v>
      </c>
      <c r="N3883">
        <v>-7.5538609999999898E-3</v>
      </c>
      <c r="O3883">
        <v>-0.1652033</v>
      </c>
      <c r="P3883">
        <v>0.99276410000000004</v>
      </c>
      <c r="Q3883">
        <v>-5.6957000000000001E-2</v>
      </c>
      <c r="R3883">
        <v>0.1057153</v>
      </c>
      <c r="S3883">
        <v>3.00177</v>
      </c>
      <c r="T3883">
        <v>-0.13288</v>
      </c>
      <c r="U3883">
        <v>0.1130676</v>
      </c>
      <c r="V3883">
        <v>-0.26751009999999997</v>
      </c>
      <c r="W3883">
        <v>-5.3660520000000003E-2</v>
      </c>
      <c r="X3883">
        <v>0.96205969999999996</v>
      </c>
      <c r="Y3883">
        <v>-0.20187250000000001</v>
      </c>
      <c r="Z3883">
        <v>1.126456E-2</v>
      </c>
      <c r="AA3883">
        <v>0.97934710000000003</v>
      </c>
      <c r="AB3883">
        <v>32</v>
      </c>
      <c r="AC3883">
        <v>24.881699999999899</v>
      </c>
      <c r="AD3883">
        <v>-1.1144313191990001</v>
      </c>
      <c r="AE3883">
        <v>0.99295999999999995</v>
      </c>
      <c r="AF3883">
        <v>-5.0797971008461804</v>
      </c>
      <c r="AG3883">
        <v>-1.1144313191990001</v>
      </c>
      <c r="AH3883">
        <v>24.327025180617799</v>
      </c>
      <c r="AI3883">
        <v>92.567606433902597</v>
      </c>
      <c r="AJ3883">
        <v>101.79462153672701</v>
      </c>
      <c r="AK3883">
        <v>24.876704964472101</v>
      </c>
      <c r="AL3883">
        <v>93.075998770825706</v>
      </c>
      <c r="AM3883">
        <v>105.53910955460201</v>
      </c>
      <c r="AN3883">
        <v>0.99999998568638504</v>
      </c>
    </row>
    <row r="3884" spans="1:40" x14ac:dyDescent="0.25">
      <c r="A3884" t="str">
        <f>"20190305135707732"</f>
        <v>20190305135707732</v>
      </c>
      <c r="B3884" t="str">
        <f>"1551765427726160"</f>
        <v>1551765427726160</v>
      </c>
      <c r="C3884" t="s">
        <v>40</v>
      </c>
      <c r="D3884">
        <v>4.299112</v>
      </c>
      <c r="E3884">
        <v>0.52557989999999999</v>
      </c>
      <c r="F3884" t="s">
        <v>86</v>
      </c>
      <c r="G3884">
        <v>-365.82249999999999</v>
      </c>
      <c r="H3884" s="1">
        <v>-1.978264E-6</v>
      </c>
      <c r="I3884">
        <v>19.627929999999999</v>
      </c>
      <c r="J3884">
        <v>-389.70150000000001</v>
      </c>
      <c r="K3884">
        <v>1.114412</v>
      </c>
      <c r="L3884">
        <v>18.639589999999998</v>
      </c>
      <c r="M3884">
        <v>0.98729659999999997</v>
      </c>
      <c r="N3884">
        <v>-8.1445030000000009E-3</v>
      </c>
      <c r="O3884">
        <v>-0.15867919999999999</v>
      </c>
      <c r="P3884">
        <v>0.9923826</v>
      </c>
      <c r="Q3884">
        <v>-5.9285259999999999E-2</v>
      </c>
      <c r="R3884">
        <v>0.10799110000000001</v>
      </c>
      <c r="S3884">
        <v>3.001465</v>
      </c>
      <c r="T3884">
        <v>-0.13828599999999999</v>
      </c>
      <c r="U3884">
        <v>0.1170349</v>
      </c>
      <c r="V3884">
        <v>-0.26331470000000001</v>
      </c>
      <c r="W3884">
        <v>-5.5316129999999998E-2</v>
      </c>
      <c r="X3884">
        <v>0.96312279999999995</v>
      </c>
      <c r="Y3884">
        <v>-0.19667490000000001</v>
      </c>
      <c r="Z3884">
        <v>1.132035E-2</v>
      </c>
      <c r="AA3884">
        <v>0.98040340000000004</v>
      </c>
      <c r="AB3884">
        <v>32</v>
      </c>
      <c r="AC3884">
        <v>23.879000000000001</v>
      </c>
      <c r="AD3884">
        <v>-1.1144139782639999</v>
      </c>
      <c r="AE3884">
        <v>0.98834</v>
      </c>
      <c r="AF3884">
        <v>-4.75470527747731</v>
      </c>
      <c r="AG3884">
        <v>-1.1144139782639999</v>
      </c>
      <c r="AH3884">
        <v>23.368792760904199</v>
      </c>
      <c r="AI3884">
        <v>92.675523672357897</v>
      </c>
      <c r="AJ3884">
        <v>101.50063721746</v>
      </c>
      <c r="AK3884">
        <v>23.873617570295199</v>
      </c>
      <c r="AL3884">
        <v>93.170999282470802</v>
      </c>
      <c r="AM3884">
        <v>105.290818419535</v>
      </c>
      <c r="AN3884">
        <v>1.00000001667705</v>
      </c>
    </row>
    <row r="3885" spans="1:40" x14ac:dyDescent="0.25">
      <c r="A3885" t="str">
        <f>"20190305135707754"</f>
        <v>20190305135707754</v>
      </c>
      <c r="B3885" t="str">
        <f>"1551765427746656"</f>
        <v>1551765427746656</v>
      </c>
      <c r="C3885" t="s">
        <v>40</v>
      </c>
      <c r="D3885">
        <v>4.2503209999999996</v>
      </c>
      <c r="E3885">
        <v>0.52563179999999998</v>
      </c>
      <c r="F3885" t="s">
        <v>86</v>
      </c>
      <c r="G3885">
        <v>-366.7285</v>
      </c>
      <c r="H3885" s="1">
        <v>-1.553324E-6</v>
      </c>
      <c r="I3885">
        <v>19.58013</v>
      </c>
      <c r="J3885">
        <v>-389.36849999999998</v>
      </c>
      <c r="K3885">
        <v>1.114341</v>
      </c>
      <c r="L3885">
        <v>18.593229999999998</v>
      </c>
      <c r="M3885">
        <v>0.98837220000000003</v>
      </c>
      <c r="N3885">
        <v>-8.7060969999999994E-3</v>
      </c>
      <c r="O3885">
        <v>-0.151805</v>
      </c>
      <c r="P3885">
        <v>0.9920274</v>
      </c>
      <c r="Q3885">
        <v>-6.0892630000000003E-2</v>
      </c>
      <c r="R3885">
        <v>0.1103349</v>
      </c>
      <c r="S3885">
        <v>3.0009769999999998</v>
      </c>
      <c r="T3885">
        <v>-0.14557610000000001</v>
      </c>
      <c r="U3885">
        <v>0.1228638</v>
      </c>
      <c r="V3885">
        <v>-0.2588703</v>
      </c>
      <c r="W3885">
        <v>-5.625028E-2</v>
      </c>
      <c r="X3885">
        <v>0.96427289999999999</v>
      </c>
      <c r="Y3885">
        <v>-0.1917316</v>
      </c>
      <c r="Z3885">
        <v>1.149886E-2</v>
      </c>
      <c r="AA3885">
        <v>0.98138000000000003</v>
      </c>
      <c r="AB3885">
        <v>32</v>
      </c>
      <c r="AC3885">
        <v>22.639999999999901</v>
      </c>
      <c r="AD3885">
        <v>-1.1143425533239999</v>
      </c>
      <c r="AE3885">
        <v>0.986900000000002</v>
      </c>
      <c r="AF3885">
        <v>-4.4018129204828798</v>
      </c>
      <c r="AG3885">
        <v>-1.1143425533239999</v>
      </c>
      <c r="AH3885">
        <v>22.174153305563099</v>
      </c>
      <c r="AI3885">
        <v>92.821955722487701</v>
      </c>
      <c r="AJ3885">
        <v>101.227875843432</v>
      </c>
      <c r="AK3885">
        <v>22.634283534755198</v>
      </c>
      <c r="AL3885">
        <v>93.224605414801701</v>
      </c>
      <c r="AM3885">
        <v>105.027391631076</v>
      </c>
      <c r="AN3885">
        <v>1.0000000759482801</v>
      </c>
    </row>
    <row r="3886" spans="1:40" x14ac:dyDescent="0.25">
      <c r="A3886" t="str">
        <f>"20190305135707776"</f>
        <v>20190305135707776</v>
      </c>
      <c r="B3886" t="str">
        <f>"1551765427766176"</f>
        <v>1551765427766176</v>
      </c>
      <c r="C3886" t="s">
        <v>40</v>
      </c>
      <c r="D3886">
        <v>4.5295399999999999</v>
      </c>
      <c r="E3886">
        <v>0.52569980000000005</v>
      </c>
      <c r="F3886" t="s">
        <v>86</v>
      </c>
      <c r="G3886">
        <v>-367.23129999999998</v>
      </c>
      <c r="H3886" s="1">
        <v>-1.3212749999999999E-6</v>
      </c>
      <c r="I3886">
        <v>19.54834</v>
      </c>
      <c r="J3886">
        <v>-389.05369999999999</v>
      </c>
      <c r="K3886">
        <v>1.114258</v>
      </c>
      <c r="L3886">
        <v>18.55142</v>
      </c>
      <c r="M3886">
        <v>0.98932520000000002</v>
      </c>
      <c r="N3886">
        <v>-9.1747679999999998E-3</v>
      </c>
      <c r="O3886">
        <v>-0.14543599999999901</v>
      </c>
      <c r="P3886">
        <v>0.99171750000000003</v>
      </c>
      <c r="Q3886">
        <v>-6.2158640000000001E-2</v>
      </c>
      <c r="R3886">
        <v>0.1123967</v>
      </c>
      <c r="S3886">
        <v>3.0004580000000001</v>
      </c>
      <c r="T3886">
        <v>-0.15103730000000001</v>
      </c>
      <c r="U3886">
        <v>0.1294556</v>
      </c>
      <c r="V3886">
        <v>-0.25465539999999998</v>
      </c>
      <c r="W3886">
        <v>-5.6930979999999999E-2</v>
      </c>
      <c r="X3886">
        <v>0.96535459999999995</v>
      </c>
      <c r="Y3886">
        <v>-0.1875511</v>
      </c>
      <c r="Z3886">
        <v>1.154028E-2</v>
      </c>
      <c r="AA3886">
        <v>0.98218700000000003</v>
      </c>
      <c r="AB3886">
        <v>32</v>
      </c>
      <c r="AC3886">
        <v>21.822399999999998</v>
      </c>
      <c r="AD3886">
        <v>-1.114259321275</v>
      </c>
      <c r="AE3886">
        <v>0.99691999999999903</v>
      </c>
      <c r="AF3886">
        <v>-4.1494197490009901</v>
      </c>
      <c r="AG3886">
        <v>-1.114259321275</v>
      </c>
      <c r="AH3886">
        <v>21.389712866989701</v>
      </c>
      <c r="AI3886">
        <v>92.9275476042626</v>
      </c>
      <c r="AJ3886">
        <v>100.97852532260001</v>
      </c>
      <c r="AK3886">
        <v>21.816944667407299</v>
      </c>
      <c r="AL3886">
        <v>93.263669477767394</v>
      </c>
      <c r="AM3886">
        <v>104.777679136039</v>
      </c>
      <c r="AN3886">
        <v>1.00000000648704</v>
      </c>
    </row>
    <row r="3887" spans="1:40" x14ac:dyDescent="0.25">
      <c r="A3887" t="str">
        <f>"20190305135707797"</f>
        <v>20190305135707797</v>
      </c>
      <c r="B3887" t="str">
        <f>"1551765427786675"</f>
        <v>1551765427786675</v>
      </c>
      <c r="C3887" t="s">
        <v>40</v>
      </c>
      <c r="D3887">
        <v>4.4110760000000004</v>
      </c>
      <c r="E3887">
        <v>0.52582510000000005</v>
      </c>
      <c r="F3887" t="s">
        <v>86</v>
      </c>
      <c r="G3887">
        <v>-367.52789999999999</v>
      </c>
      <c r="H3887" s="1">
        <v>-1.18594E-6</v>
      </c>
      <c r="I3887">
        <v>19.52102</v>
      </c>
      <c r="J3887">
        <v>-388.76440000000002</v>
      </c>
      <c r="K3887">
        <v>1.1141700000000001</v>
      </c>
      <c r="L3887">
        <v>18.514679999999998</v>
      </c>
      <c r="M3887">
        <v>0.99014559999999996</v>
      </c>
      <c r="N3887">
        <v>-9.5563639999999995E-3</v>
      </c>
      <c r="O3887">
        <v>-0.13971510000000001</v>
      </c>
      <c r="P3887">
        <v>0.99143800000000004</v>
      </c>
      <c r="Q3887">
        <v>-6.3055079999999999E-2</v>
      </c>
      <c r="R3887">
        <v>0.1143455</v>
      </c>
      <c r="S3887">
        <v>3.0000309999999999</v>
      </c>
      <c r="T3887">
        <v>-0.15529309999999999</v>
      </c>
      <c r="U3887">
        <v>0.1351318</v>
      </c>
      <c r="V3887">
        <v>-0.25097360000000002</v>
      </c>
      <c r="W3887">
        <v>-5.7332540000000001E-2</v>
      </c>
      <c r="X3887">
        <v>0.9662946</v>
      </c>
      <c r="Y3887">
        <v>-0.18372189999999999</v>
      </c>
      <c r="Z3887">
        <v>1.150404E-2</v>
      </c>
      <c r="AA3887">
        <v>0.98291090000000003</v>
      </c>
      <c r="AB3887">
        <v>32</v>
      </c>
      <c r="AC3887">
        <v>21.236499999999999</v>
      </c>
      <c r="AD3887">
        <v>-1.1141711859399901</v>
      </c>
      <c r="AE3887">
        <v>1.00634</v>
      </c>
      <c r="AF3887">
        <v>-3.9528079588390099</v>
      </c>
      <c r="AG3887">
        <v>-1.1141711859399901</v>
      </c>
      <c r="AH3887">
        <v>20.8303719951281</v>
      </c>
      <c r="AI3887">
        <v>93.008128359835396</v>
      </c>
      <c r="AJ3887">
        <v>100.744791722249</v>
      </c>
      <c r="AK3887">
        <v>21.231355718523002</v>
      </c>
      <c r="AL3887">
        <v>93.286714797263002</v>
      </c>
      <c r="AM3887">
        <v>104.55960847803</v>
      </c>
      <c r="AN3887">
        <v>1.00000001101448</v>
      </c>
    </row>
    <row r="3888" spans="1:40" x14ac:dyDescent="0.25">
      <c r="A3888" t="str">
        <f>"20190305135707820"</f>
        <v>20190305135707820</v>
      </c>
      <c r="B3888" t="str">
        <f>"1551765427815953"</f>
        <v>1551765427815953</v>
      </c>
      <c r="C3888" t="s">
        <v>40</v>
      </c>
      <c r="D3888">
        <v>4.2052360000000002</v>
      </c>
      <c r="E3888">
        <v>0.5259045</v>
      </c>
      <c r="F3888" t="s">
        <v>86</v>
      </c>
      <c r="G3888">
        <v>-367.71129999999999</v>
      </c>
      <c r="H3888" s="1">
        <v>-1.103496E-6</v>
      </c>
      <c r="I3888">
        <v>19.496939999999999</v>
      </c>
      <c r="J3888">
        <v>-388.42720000000003</v>
      </c>
      <c r="K3888">
        <v>1.114036</v>
      </c>
      <c r="L3888">
        <v>18.473849999999999</v>
      </c>
      <c r="M3888">
        <v>0.99103269999999999</v>
      </c>
      <c r="N3888">
        <v>-9.9444930000000004E-3</v>
      </c>
      <c r="O3888">
        <v>-0.13325010000000001</v>
      </c>
      <c r="P3888">
        <v>0.99102109999999999</v>
      </c>
      <c r="Q3888">
        <v>-6.3692319999999997E-2</v>
      </c>
      <c r="R3888">
        <v>0.1175615</v>
      </c>
      <c r="S3888">
        <v>2.9996640000000001</v>
      </c>
      <c r="T3888">
        <v>-0.15874839999999901</v>
      </c>
      <c r="U3888">
        <v>0.13995360000000001</v>
      </c>
      <c r="V3888">
        <v>-0.24781510000000001</v>
      </c>
      <c r="W3888">
        <v>-5.7452290000000003E-2</v>
      </c>
      <c r="X3888">
        <v>0.96710229999999997</v>
      </c>
      <c r="Y3888">
        <v>-0.17888280000000001</v>
      </c>
      <c r="Z3888">
        <v>1.1325440000000001E-2</v>
      </c>
      <c r="AA3888">
        <v>0.98380520000000005</v>
      </c>
      <c r="AB3888">
        <v>32</v>
      </c>
      <c r="AC3888">
        <v>20.715900000000001</v>
      </c>
      <c r="AD3888">
        <v>-1.1140371034959999</v>
      </c>
      <c r="AE3888">
        <v>1.0230899999999901</v>
      </c>
      <c r="AF3888">
        <v>-3.7636396777641101</v>
      </c>
      <c r="AG3888">
        <v>-1.1140371034959999</v>
      </c>
      <c r="AH3888">
        <v>20.336144793607598</v>
      </c>
      <c r="AI3888">
        <v>93.083337569072995</v>
      </c>
      <c r="AJ3888">
        <v>100.48517605894</v>
      </c>
      <c r="AK3888">
        <v>20.711466567063301</v>
      </c>
      <c r="AL3888">
        <v>93.293587416660699</v>
      </c>
      <c r="AM3888">
        <v>104.372508252842</v>
      </c>
      <c r="AN3888">
        <v>0.99999997403977103</v>
      </c>
    </row>
    <row r="3889" spans="1:40" x14ac:dyDescent="0.25">
      <c r="A3889" t="str">
        <f>"20190305135707843"</f>
        <v>20190305135707843</v>
      </c>
      <c r="B3889" t="str">
        <f>"1551765427836448"</f>
        <v>1551765427836448</v>
      </c>
      <c r="C3889" t="s">
        <v>40</v>
      </c>
      <c r="D3889">
        <v>4.2207249999999998</v>
      </c>
      <c r="E3889">
        <v>0.52596659999999995</v>
      </c>
      <c r="F3889" t="s">
        <v>86</v>
      </c>
      <c r="G3889">
        <v>-367.84660000000002</v>
      </c>
      <c r="H3889" s="1">
        <v>-1.0397200000000001E-6</v>
      </c>
      <c r="I3889">
        <v>19.495819999999998</v>
      </c>
      <c r="J3889">
        <v>-388.10919999999999</v>
      </c>
      <c r="K3889">
        <v>1.1138859999999999</v>
      </c>
      <c r="L3889">
        <v>18.43713</v>
      </c>
      <c r="M3889">
        <v>0.99180179999999996</v>
      </c>
      <c r="N3889">
        <v>-1.026028E-2</v>
      </c>
      <c r="O3889">
        <v>-0.12737380000000001</v>
      </c>
      <c r="P3889">
        <v>0.99078060000000001</v>
      </c>
      <c r="Q3889">
        <v>-6.4049149999999999E-2</v>
      </c>
      <c r="R3889">
        <v>0.119381</v>
      </c>
      <c r="S3889">
        <v>2.9990839999999999</v>
      </c>
      <c r="T3889">
        <v>-0.16234170000000001</v>
      </c>
      <c r="U3889">
        <v>0.148925799999999</v>
      </c>
      <c r="V3889">
        <v>-0.24388019999999999</v>
      </c>
      <c r="W3889">
        <v>-5.7339269999999998E-2</v>
      </c>
      <c r="X3889">
        <v>0.96810879999999999</v>
      </c>
      <c r="Y3889">
        <v>-0.1759879</v>
      </c>
      <c r="Z3889">
        <v>1.1230840000000001E-2</v>
      </c>
      <c r="AA3889">
        <v>0.98432830000000004</v>
      </c>
      <c r="AB3889">
        <v>32</v>
      </c>
      <c r="AC3889">
        <v>20.2625999999999</v>
      </c>
      <c r="AD3889">
        <v>-1.11388703972</v>
      </c>
      <c r="AE3889">
        <v>1.0586899999999999</v>
      </c>
      <c r="AF3889">
        <v>-3.62021539306502</v>
      </c>
      <c r="AG3889">
        <v>-1.11388703972</v>
      </c>
      <c r="AH3889">
        <v>19.902701025259699</v>
      </c>
      <c r="AI3889">
        <v>93.151702192947994</v>
      </c>
      <c r="AJ3889">
        <v>100.309144795385</v>
      </c>
      <c r="AK3889">
        <v>20.259916385077101</v>
      </c>
      <c r="AL3889">
        <v>93.287101081863796</v>
      </c>
      <c r="AM3889">
        <v>104.13941239875599</v>
      </c>
      <c r="AN3889">
        <v>0.99999999623680602</v>
      </c>
    </row>
    <row r="3890" spans="1:40" x14ac:dyDescent="0.25">
      <c r="A3890" t="str">
        <f>"20190305135707866"</f>
        <v>20190305135707866</v>
      </c>
      <c r="B3890" t="str">
        <f>"1551765427855971"</f>
        <v>1551765427855971</v>
      </c>
      <c r="C3890" t="s">
        <v>40</v>
      </c>
      <c r="D3890">
        <v>4.2424720000000002</v>
      </c>
      <c r="E3890">
        <v>0.5260283</v>
      </c>
      <c r="F3890" t="s">
        <v>86</v>
      </c>
      <c r="G3890">
        <v>-367.7176</v>
      </c>
      <c r="H3890" s="1">
        <v>-1.1028489999999999E-6</v>
      </c>
      <c r="I3890">
        <v>19.48387</v>
      </c>
      <c r="J3890">
        <v>-387.77319999999997</v>
      </c>
      <c r="K3890">
        <v>1.1136950000000001</v>
      </c>
      <c r="L3890">
        <v>18.40015</v>
      </c>
      <c r="M3890">
        <v>0.99254450000000005</v>
      </c>
      <c r="N3890">
        <v>-1.054721E-2</v>
      </c>
      <c r="O3890">
        <v>-0.1214263</v>
      </c>
      <c r="P3890">
        <v>0.99062899999999998</v>
      </c>
      <c r="Q3890">
        <v>-6.3670199999999996E-2</v>
      </c>
      <c r="R3890">
        <v>0.1208326</v>
      </c>
      <c r="S3890">
        <v>2.9987490000000001</v>
      </c>
      <c r="T3890">
        <v>-0.1638058</v>
      </c>
      <c r="U3890">
        <v>0.1539307</v>
      </c>
      <c r="V3890">
        <v>-0.23953659999999999</v>
      </c>
      <c r="W3890">
        <v>-5.649125E-2</v>
      </c>
      <c r="X3890">
        <v>0.96924250000000001</v>
      </c>
      <c r="Y3890">
        <v>-0.1717359</v>
      </c>
      <c r="Z3890">
        <v>1.0926959999999999E-2</v>
      </c>
      <c r="AA3890">
        <v>0.98508240000000002</v>
      </c>
      <c r="AB3890">
        <v>32</v>
      </c>
      <c r="AC3890">
        <v>20.055599999999899</v>
      </c>
      <c r="AD3890">
        <v>-1.113696102849</v>
      </c>
      <c r="AE3890">
        <v>1.08371999999999</v>
      </c>
      <c r="AF3890">
        <v>-3.5003502654846201</v>
      </c>
      <c r="AG3890">
        <v>-1.113696102849</v>
      </c>
      <c r="AH3890">
        <v>19.714964984026501</v>
      </c>
      <c r="AI3890">
        <v>93.183512564590501</v>
      </c>
      <c r="AJ3890">
        <v>100.06782894067101</v>
      </c>
      <c r="AK3890">
        <v>20.0542418284005</v>
      </c>
      <c r="AL3890">
        <v>93.238434102693006</v>
      </c>
      <c r="AM3890">
        <v>103.881802282457</v>
      </c>
      <c r="AN3890">
        <v>1.0000000339361801</v>
      </c>
    </row>
    <row r="3891" spans="1:40" x14ac:dyDescent="0.25">
      <c r="A3891" t="str">
        <f>"20190305135707892"</f>
        <v>20190305135707892</v>
      </c>
      <c r="B3891" t="str">
        <f>"1551765427886225"</f>
        <v>1551765427886225</v>
      </c>
      <c r="C3891" t="s">
        <v>40</v>
      </c>
      <c r="D3891">
        <v>4.2626119999999998</v>
      </c>
      <c r="E3891">
        <v>0.52614589999999894</v>
      </c>
      <c r="F3891" t="s">
        <v>86</v>
      </c>
      <c r="G3891">
        <v>-367.3374</v>
      </c>
      <c r="H3891" s="1">
        <v>-1.2840549999999999E-6</v>
      </c>
      <c r="I3891">
        <v>19.475390000000001</v>
      </c>
      <c r="J3891">
        <v>-387.4228</v>
      </c>
      <c r="K3891">
        <v>1.1134630000000001</v>
      </c>
      <c r="L3891">
        <v>18.363430000000001</v>
      </c>
      <c r="M3891">
        <v>0.99324259999999998</v>
      </c>
      <c r="N3891">
        <v>-1.080133E-2</v>
      </c>
      <c r="O3891">
        <v>-0.1155548</v>
      </c>
      <c r="P3891">
        <v>0.99049100000000001</v>
      </c>
      <c r="Q3891">
        <v>-6.4228859999999999E-2</v>
      </c>
      <c r="R3891">
        <v>0.1216666</v>
      </c>
      <c r="S3891">
        <v>2.9986570000000001</v>
      </c>
      <c r="T3891">
        <v>-0.16341919999999999</v>
      </c>
      <c r="U3891">
        <v>0.1577759</v>
      </c>
      <c r="V3891">
        <v>-0.2346481</v>
      </c>
      <c r="W3891">
        <v>-5.6587039999999998E-2</v>
      </c>
      <c r="X3891">
        <v>0.97043190000000001</v>
      </c>
      <c r="Y3891">
        <v>-0.16718629999999901</v>
      </c>
      <c r="Z3891">
        <v>1.048838E-2</v>
      </c>
      <c r="AA3891">
        <v>0.98586949999999995</v>
      </c>
      <c r="AB3891">
        <v>32</v>
      </c>
      <c r="AC3891">
        <v>20.0854</v>
      </c>
      <c r="AD3891">
        <v>-1.113464284055</v>
      </c>
      <c r="AE3891">
        <v>1.1119600000000001</v>
      </c>
      <c r="AF3891">
        <v>-3.4151461223971502</v>
      </c>
      <c r="AG3891">
        <v>-1.113464284055</v>
      </c>
      <c r="AH3891">
        <v>19.7617881009195</v>
      </c>
      <c r="AI3891">
        <v>93.17787509979</v>
      </c>
      <c r="AJ3891">
        <v>99.804765169329201</v>
      </c>
      <c r="AK3891">
        <v>20.085599186851098</v>
      </c>
      <c r="AL3891">
        <v>93.243931536881703</v>
      </c>
      <c r="AM3891">
        <v>103.593078721692</v>
      </c>
      <c r="AN3891">
        <v>0.99999994823358895</v>
      </c>
    </row>
    <row r="3892" spans="1:40" x14ac:dyDescent="0.25">
      <c r="A3892" t="str">
        <f>"20190305135707913"</f>
        <v>20190305135707913</v>
      </c>
      <c r="B3892" t="str">
        <f>"1551765427906720"</f>
        <v>1551765427906720</v>
      </c>
      <c r="C3892" t="s">
        <v>40</v>
      </c>
      <c r="D3892">
        <v>4.2732429999999999</v>
      </c>
      <c r="E3892">
        <v>0.5262443</v>
      </c>
      <c r="F3892" t="s">
        <v>86</v>
      </c>
      <c r="G3892">
        <v>-367.29880000000003</v>
      </c>
      <c r="H3892" s="1">
        <v>-1.3098999999999999E-6</v>
      </c>
      <c r="I3892">
        <v>19.432569999999998</v>
      </c>
      <c r="J3892">
        <v>-387.10550000000001</v>
      </c>
      <c r="K3892">
        <v>1.11317</v>
      </c>
      <c r="L3892">
        <v>18.331759999999999</v>
      </c>
      <c r="M3892">
        <v>0.99381070000000005</v>
      </c>
      <c r="N3892">
        <v>-1.0843119999999999E-2</v>
      </c>
      <c r="O3892">
        <v>-0.110558</v>
      </c>
      <c r="P3892">
        <v>0.99029120000000004</v>
      </c>
      <c r="Q3892">
        <v>-6.5041390000000004E-2</v>
      </c>
      <c r="R3892">
        <v>0.1228538</v>
      </c>
      <c r="S3892">
        <v>2.9984739999999999</v>
      </c>
      <c r="T3892">
        <v>-0.16590650000000001</v>
      </c>
      <c r="U3892">
        <v>0.15930179999999999</v>
      </c>
      <c r="V3892">
        <v>-0.2309532</v>
      </c>
      <c r="W3892">
        <v>-5.7159019999999998E-2</v>
      </c>
      <c r="X3892">
        <v>0.97128440000000005</v>
      </c>
      <c r="Y3892">
        <v>-0.1627304</v>
      </c>
      <c r="Z3892">
        <v>1.028418E-2</v>
      </c>
      <c r="AA3892">
        <v>0.98661699999999997</v>
      </c>
      <c r="AB3892">
        <v>32</v>
      </c>
      <c r="AC3892">
        <v>19.8066999999999</v>
      </c>
      <c r="AD3892">
        <v>-1.1131713099</v>
      </c>
      <c r="AE3892">
        <v>1.1008100000000001</v>
      </c>
      <c r="AF3892">
        <v>-3.2736698826597501</v>
      </c>
      <c r="AG3892">
        <v>-1.1131713099</v>
      </c>
      <c r="AH3892">
        <v>19.502143197135101</v>
      </c>
      <c r="AI3892">
        <v>93.221885586089201</v>
      </c>
      <c r="AJ3892">
        <v>99.528949007943993</v>
      </c>
      <c r="AK3892">
        <v>19.806303394308099</v>
      </c>
      <c r="AL3892">
        <v>93.276756670854795</v>
      </c>
      <c r="AM3892">
        <v>103.37547044992</v>
      </c>
      <c r="AN3892">
        <v>0.99999995992047896</v>
      </c>
    </row>
    <row r="3893" spans="1:40" x14ac:dyDescent="0.25">
      <c r="A3893" t="str">
        <f>"20190305135707936"</f>
        <v>20190305135707936</v>
      </c>
      <c r="B3893" t="str">
        <f>"1551765427926241"</f>
        <v>1551765427926241</v>
      </c>
      <c r="C3893" t="s">
        <v>40</v>
      </c>
      <c r="D3893">
        <v>4.2544459999999997</v>
      </c>
      <c r="E3893">
        <v>0.52634669999999995</v>
      </c>
      <c r="F3893" t="s">
        <v>86</v>
      </c>
      <c r="G3893">
        <v>-367.30200000000002</v>
      </c>
      <c r="H3893" s="1">
        <v>-1.313692E-6</v>
      </c>
      <c r="I3893">
        <v>19.402709999999999</v>
      </c>
      <c r="J3893">
        <v>-386.78269999999998</v>
      </c>
      <c r="K3893">
        <v>1.112555</v>
      </c>
      <c r="L3893">
        <v>18.300660000000001</v>
      </c>
      <c r="M3893">
        <v>0.99434279999999997</v>
      </c>
      <c r="N3893">
        <v>-9.8978880000000005E-3</v>
      </c>
      <c r="O3893">
        <v>-0.1057569</v>
      </c>
      <c r="P3893">
        <v>0.99036049999999998</v>
      </c>
      <c r="Q3893">
        <v>-6.4376619999999996E-2</v>
      </c>
      <c r="R3893">
        <v>0.1226458</v>
      </c>
      <c r="S3893">
        <v>2.9981990000000001</v>
      </c>
      <c r="T3893">
        <v>-0.16853129999999999</v>
      </c>
      <c r="U3893">
        <v>0.162139899999999</v>
      </c>
      <c r="V3893">
        <v>-0.2261058</v>
      </c>
      <c r="W3893">
        <v>-5.7161160000000003E-2</v>
      </c>
      <c r="X3893">
        <v>0.97242410000000001</v>
      </c>
      <c r="Y3893">
        <v>-0.15889779999999901</v>
      </c>
      <c r="Z3893">
        <v>1.013229E-2</v>
      </c>
      <c r="AA3893">
        <v>0.98724310000000004</v>
      </c>
      <c r="AB3893">
        <v>32</v>
      </c>
      <c r="AC3893">
        <v>19.480699999999999</v>
      </c>
      <c r="AD3893">
        <v>-1.112556313692</v>
      </c>
      <c r="AE3893">
        <v>1.10204999999999</v>
      </c>
      <c r="AF3893">
        <v>-3.1459601540130602</v>
      </c>
      <c r="AG3893">
        <v>-1.112556313692</v>
      </c>
      <c r="AH3893">
        <v>19.192487569365699</v>
      </c>
      <c r="AI3893">
        <v>93.274031750208593</v>
      </c>
      <c r="AJ3893">
        <v>99.308924736924396</v>
      </c>
      <c r="AK3893">
        <v>19.480411339138399</v>
      </c>
      <c r="AL3893">
        <v>93.276879580699898</v>
      </c>
      <c r="AM3893">
        <v>103.089694065063</v>
      </c>
      <c r="AN3893">
        <v>0.99999993063349502</v>
      </c>
    </row>
    <row r="3894" spans="1:40" x14ac:dyDescent="0.25">
      <c r="A3894" t="str">
        <f>"20190305135707955"</f>
        <v>20190305135707955</v>
      </c>
      <c r="B3894" t="str">
        <f>"1551765427946736"</f>
        <v>1551765427946736</v>
      </c>
      <c r="C3894" t="s">
        <v>40</v>
      </c>
      <c r="D3894">
        <v>4.316694</v>
      </c>
      <c r="E3894">
        <v>0.52639809999999998</v>
      </c>
      <c r="F3894" t="s">
        <v>86</v>
      </c>
      <c r="G3894">
        <v>-366.76130000000001</v>
      </c>
      <c r="H3894" s="1">
        <v>-1.574518E-6</v>
      </c>
      <c r="I3894">
        <v>19.37332</v>
      </c>
      <c r="J3894">
        <v>-386.48520000000002</v>
      </c>
      <c r="K3894">
        <v>1.1119779999999999</v>
      </c>
      <c r="L3894">
        <v>18.272860000000001</v>
      </c>
      <c r="M3894">
        <v>0.99478449999999996</v>
      </c>
      <c r="N3894">
        <v>-8.8070679999999995E-3</v>
      </c>
      <c r="O3894">
        <v>-0.1016188</v>
      </c>
      <c r="P3894">
        <v>0.99064180000000002</v>
      </c>
      <c r="Q3894">
        <v>-6.3485609999999998E-2</v>
      </c>
      <c r="R3894">
        <v>0.1208253</v>
      </c>
      <c r="S3894">
        <v>2.9984739999999999</v>
      </c>
      <c r="T3894">
        <v>-0.16661979999999901</v>
      </c>
      <c r="U3894">
        <v>0.1606445</v>
      </c>
      <c r="V3894">
        <v>-0.22031719999999999</v>
      </c>
      <c r="W3894">
        <v>-5.709467E-2</v>
      </c>
      <c r="X3894">
        <v>0.97375590000000001</v>
      </c>
      <c r="Y3894">
        <v>-0.15431310000000001</v>
      </c>
      <c r="Z3894">
        <v>9.702301E-3</v>
      </c>
      <c r="AA3894">
        <v>0.98797429999999997</v>
      </c>
      <c r="AB3894">
        <v>33</v>
      </c>
      <c r="AC3894">
        <v>19.7239</v>
      </c>
      <c r="AD3894">
        <v>-1.1119795745179999</v>
      </c>
      <c r="AE3894">
        <v>1.10045999999999</v>
      </c>
      <c r="AF3894">
        <v>-3.0893707948024498</v>
      </c>
      <c r="AG3894">
        <v>-1.1119795745179999</v>
      </c>
      <c r="AH3894">
        <v>19.4483351103651</v>
      </c>
      <c r="AI3894">
        <v>93.231950347434406</v>
      </c>
      <c r="AJ3894">
        <v>99.026027895217993</v>
      </c>
      <c r="AK3894">
        <v>19.7235506196775</v>
      </c>
      <c r="AL3894">
        <v>93.273063487750804</v>
      </c>
      <c r="AM3894">
        <v>102.748809722665</v>
      </c>
      <c r="AN3894">
        <v>1.0000000113715199</v>
      </c>
    </row>
    <row r="3895" spans="1:40" x14ac:dyDescent="0.25">
      <c r="A3895" t="str">
        <f>"20190305135707978"</f>
        <v>20190305135707978</v>
      </c>
      <c r="B3895" t="str">
        <f>"1551765427966256"</f>
        <v>1551765427966256</v>
      </c>
      <c r="C3895" t="s">
        <v>40</v>
      </c>
      <c r="D3895">
        <v>4.2949590000000004</v>
      </c>
      <c r="E3895">
        <v>0.52777549999999995</v>
      </c>
      <c r="F3895" t="s">
        <v>86</v>
      </c>
      <c r="G3895">
        <v>-366.16090000000003</v>
      </c>
      <c r="H3895" s="1">
        <v>-1.8674990000000001E-6</v>
      </c>
      <c r="I3895">
        <v>19.321650000000002</v>
      </c>
      <c r="J3895">
        <v>-386.1508</v>
      </c>
      <c r="K3895">
        <v>1.111391</v>
      </c>
      <c r="L3895">
        <v>18.242519999999999</v>
      </c>
      <c r="M3895">
        <v>0.99523660000000003</v>
      </c>
      <c r="N3895">
        <v>-7.5716919999999997E-3</v>
      </c>
      <c r="O3895">
        <v>-9.7194240000000001E-2</v>
      </c>
      <c r="P3895">
        <v>0.99090420000000001</v>
      </c>
      <c r="Q3895">
        <v>-6.2516820000000001E-2</v>
      </c>
      <c r="R3895">
        <v>0.1191661</v>
      </c>
      <c r="S3895">
        <v>2.9989620000000001</v>
      </c>
      <c r="T3895">
        <v>-0.16407859999999999</v>
      </c>
      <c r="U3895">
        <v>0.15475459999999999</v>
      </c>
      <c r="V3895">
        <v>-0.21440480000000001</v>
      </c>
      <c r="W3895">
        <v>-5.7087220000000001E-2</v>
      </c>
      <c r="X3895">
        <v>0.97507520000000003</v>
      </c>
      <c r="Y3895">
        <v>-0.14799899999999999</v>
      </c>
      <c r="Z3895">
        <v>9.1759029999999991E-3</v>
      </c>
      <c r="AA3895">
        <v>0.98894490000000002</v>
      </c>
      <c r="AB3895">
        <v>33</v>
      </c>
      <c r="AC3895">
        <v>19.989899999999899</v>
      </c>
      <c r="AD3895">
        <v>-1.1113928674989999</v>
      </c>
      <c r="AE3895">
        <v>1.0791299999999899</v>
      </c>
      <c r="AF3895">
        <v>-3.0077092492577902</v>
      </c>
      <c r="AG3895">
        <v>-1.1113928674989999</v>
      </c>
      <c r="AH3895">
        <v>19.729553840318701</v>
      </c>
      <c r="AI3895">
        <v>93.187394884371898</v>
      </c>
      <c r="AJ3895">
        <v>98.667827966451597</v>
      </c>
      <c r="AK3895">
        <v>19.988416740003</v>
      </c>
      <c r="AL3895">
        <v>93.272635950185304</v>
      </c>
      <c r="AM3895">
        <v>102.40115538674399</v>
      </c>
      <c r="AN3895">
        <v>1.0000000073027</v>
      </c>
    </row>
    <row r="3896" spans="1:40" x14ac:dyDescent="0.25">
      <c r="A3896" t="str">
        <f>"20190305135707999"</f>
        <v>20190305135707999</v>
      </c>
      <c r="B3896" t="str">
        <f>"1551765427996512"</f>
        <v>1551765427996512</v>
      </c>
      <c r="C3896" t="s">
        <v>40</v>
      </c>
      <c r="D3896">
        <v>4.4261200000000001</v>
      </c>
      <c r="E3896">
        <v>0.61442759999999996</v>
      </c>
      <c r="F3896" t="s">
        <v>86</v>
      </c>
      <c r="G3896">
        <v>-365.14710000000002</v>
      </c>
      <c r="H3896" s="1">
        <v>-2.365661E-6</v>
      </c>
      <c r="I3896">
        <v>19.214829999999999</v>
      </c>
      <c r="J3896">
        <v>-385.8424</v>
      </c>
      <c r="K3896">
        <v>1.110967</v>
      </c>
      <c r="L3896">
        <v>18.21536</v>
      </c>
      <c r="M3896">
        <v>0.99561219999999995</v>
      </c>
      <c r="N3896">
        <v>-6.4596920000000004E-3</v>
      </c>
      <c r="O3896">
        <v>-9.3352550000000006E-2</v>
      </c>
      <c r="P3896">
        <v>0.99127920000000003</v>
      </c>
      <c r="Q3896">
        <v>-6.2013060000000002E-2</v>
      </c>
      <c r="R3896">
        <v>0.11627609999999999</v>
      </c>
      <c r="S3896">
        <v>3.0008539999999999</v>
      </c>
      <c r="T3896">
        <v>-0.1587877</v>
      </c>
      <c r="U3896">
        <v>0.13891600000000001</v>
      </c>
      <c r="V3896">
        <v>-0.2078265</v>
      </c>
      <c r="W3896">
        <v>-5.747882E-2</v>
      </c>
      <c r="X3896">
        <v>0.97647550000000005</v>
      </c>
      <c r="Y3896">
        <v>-0.13897709999999999</v>
      </c>
      <c r="Z3896">
        <v>8.450038E-3</v>
      </c>
      <c r="AA3896">
        <v>0.99025949999999996</v>
      </c>
      <c r="AB3896">
        <v>33</v>
      </c>
      <c r="AC3896">
        <v>20.6952999999999</v>
      </c>
      <c r="AD3896">
        <v>-1.110969365661</v>
      </c>
      <c r="AE3896">
        <v>0.99946999999999797</v>
      </c>
      <c r="AF3896">
        <v>-2.9187129945331298</v>
      </c>
      <c r="AG3896">
        <v>-1.110969365661</v>
      </c>
      <c r="AH3896">
        <v>20.452813889635902</v>
      </c>
      <c r="AI3896">
        <v>93.078051400121396</v>
      </c>
      <c r="AJ3896">
        <v>98.121543416083298</v>
      </c>
      <c r="AK3896">
        <v>20.689870335020899</v>
      </c>
      <c r="AL3896">
        <v>93.295109787137605</v>
      </c>
      <c r="AM3896">
        <v>102.01516950497199</v>
      </c>
      <c r="AN3896">
        <v>1.0000000354755401</v>
      </c>
    </row>
    <row r="3897" spans="1:40" x14ac:dyDescent="0.25">
      <c r="A3897" t="str">
        <f>"20190305135708023"</f>
        <v>20190305135708023</v>
      </c>
      <c r="B3897" t="str">
        <f>"1551765428016033"</f>
        <v>1551765428016033</v>
      </c>
      <c r="C3897" t="s">
        <v>40</v>
      </c>
      <c r="D3897">
        <v>4.3291680000000001</v>
      </c>
      <c r="E3897">
        <v>0.61371549999999997</v>
      </c>
      <c r="F3897" t="s">
        <v>41</v>
      </c>
      <c r="G3897">
        <v>-384.97199999999998</v>
      </c>
      <c r="H3897">
        <v>1.038956</v>
      </c>
      <c r="I3897">
        <v>18.055980000000002</v>
      </c>
      <c r="J3897">
        <v>-385.47300000000001</v>
      </c>
      <c r="K3897">
        <v>1.1106119999999999</v>
      </c>
      <c r="L3897">
        <v>18.18393</v>
      </c>
      <c r="M3897">
        <v>0.99600809999999995</v>
      </c>
      <c r="N3897">
        <v>-5.1926709999999899E-3</v>
      </c>
      <c r="O3897">
        <v>-8.9111850000000006E-2</v>
      </c>
      <c r="P3897">
        <v>0.99157790000000001</v>
      </c>
      <c r="Q3897">
        <v>-6.0875510000000001E-2</v>
      </c>
      <c r="R3897">
        <v>0.1143129</v>
      </c>
      <c r="S3897">
        <v>3.076416</v>
      </c>
      <c r="T3897">
        <v>-0.25477339999999998</v>
      </c>
      <c r="U3897">
        <v>-0.56234740000000005</v>
      </c>
      <c r="V3897">
        <v>-0.201763</v>
      </c>
      <c r="W3897">
        <v>-5.743173E-2</v>
      </c>
      <c r="X3897">
        <v>0.97774910000000004</v>
      </c>
      <c r="Y3897">
        <v>9.1374280000000002E-2</v>
      </c>
      <c r="Z3897">
        <v>2.8395360000000001E-3</v>
      </c>
      <c r="AA3897">
        <v>0.99581260000000005</v>
      </c>
      <c r="AB3897">
        <v>34</v>
      </c>
      <c r="AC3897">
        <v>0.50100000000003297</v>
      </c>
      <c r="AD3897">
        <v>-7.1656000000000095E-2</v>
      </c>
      <c r="AE3897">
        <v>-0.12795000000000201</v>
      </c>
      <c r="AF3897">
        <v>8.1235282717413898E-2</v>
      </c>
      <c r="AG3897">
        <v>-7.1656000000000095E-2</v>
      </c>
      <c r="AH3897">
        <v>0.50079165499900802</v>
      </c>
      <c r="AI3897">
        <v>98.039239172183599</v>
      </c>
      <c r="AJ3897">
        <v>80.786094523340495</v>
      </c>
      <c r="AK3897">
        <v>0.51237294543215595</v>
      </c>
      <c r="AL3897">
        <v>93.292407357940206</v>
      </c>
      <c r="AM3897">
        <v>101.65958769223499</v>
      </c>
      <c r="AN3897">
        <v>1.0000000071652999</v>
      </c>
    </row>
    <row r="3898" spans="1:40" x14ac:dyDescent="0.25">
      <c r="A3898" t="str">
        <f>"20190305135708045"</f>
        <v>20190305135708045</v>
      </c>
      <c r="B3898" t="str">
        <f>"1551765428036529"</f>
        <v>1551765428036529</v>
      </c>
      <c r="C3898" t="s">
        <v>40</v>
      </c>
      <c r="D3898">
        <v>4.3956010000000001</v>
      </c>
      <c r="E3898">
        <v>0.61336359999999901</v>
      </c>
      <c r="F3898" t="s">
        <v>41</v>
      </c>
      <c r="G3898">
        <v>-384.66879999999998</v>
      </c>
      <c r="H3898">
        <v>1.0399590000000001</v>
      </c>
      <c r="I3898">
        <v>18.036249999999999</v>
      </c>
      <c r="J3898">
        <v>-385.14789999999999</v>
      </c>
      <c r="K3898">
        <v>1.1104080000000001</v>
      </c>
      <c r="L3898">
        <v>18.15729</v>
      </c>
      <c r="M3898">
        <v>0.99630960000000002</v>
      </c>
      <c r="N3898">
        <v>-4.176595E-3</v>
      </c>
      <c r="O3898">
        <v>-8.5731139999999997E-2</v>
      </c>
      <c r="P3898">
        <v>0.99202820000000003</v>
      </c>
      <c r="Q3898">
        <v>-5.9983460000000002E-2</v>
      </c>
      <c r="R3898">
        <v>0.1108249</v>
      </c>
      <c r="S3898">
        <v>3.0738829999999999</v>
      </c>
      <c r="T3898">
        <v>-0.27019539999999997</v>
      </c>
      <c r="U3898">
        <v>-0.56375120000000001</v>
      </c>
      <c r="V3898">
        <v>-0.1950199</v>
      </c>
      <c r="W3898">
        <v>-5.7429260000000003E-2</v>
      </c>
      <c r="X3898">
        <v>0.97911649999999995</v>
      </c>
      <c r="Y3898">
        <v>9.5318799999999995E-2</v>
      </c>
      <c r="Z3898">
        <v>2.734673E-3</v>
      </c>
      <c r="AA3898">
        <v>0.99544299999999997</v>
      </c>
      <c r="AB3898">
        <v>34</v>
      </c>
      <c r="AC3898">
        <v>0.47910000000001601</v>
      </c>
      <c r="AD3898">
        <v>-7.0448999999999901E-2</v>
      </c>
      <c r="AE3898">
        <v>-0.12103999999999999</v>
      </c>
      <c r="AF3898">
        <v>7.7936177635096707E-2</v>
      </c>
      <c r="AG3898">
        <v>-7.0448999999999901E-2</v>
      </c>
      <c r="AH3898">
        <v>0.47799784808427498</v>
      </c>
      <c r="AI3898">
        <v>98.276348933920701</v>
      </c>
      <c r="AJ3898">
        <v>80.739574615766102</v>
      </c>
      <c r="AK3898">
        <v>0.48940683705743898</v>
      </c>
      <c r="AL3898">
        <v>93.292265623931399</v>
      </c>
      <c r="AM3898">
        <v>101.26472032024201</v>
      </c>
      <c r="AN3898">
        <v>1.0000000009362</v>
      </c>
    </row>
    <row r="3899" spans="1:40" x14ac:dyDescent="0.25">
      <c r="A3899" t="str">
        <f>"20190305135708067"</f>
        <v>20190305135708067</v>
      </c>
      <c r="B3899" t="str">
        <f>"1551765428056060"</f>
        <v>1551765428056060</v>
      </c>
      <c r="C3899" t="s">
        <v>40</v>
      </c>
      <c r="D3899">
        <v>4.3471140000000004</v>
      </c>
      <c r="E3899">
        <v>0.61273149999999998</v>
      </c>
      <c r="F3899" t="s">
        <v>41</v>
      </c>
      <c r="G3899">
        <v>-384.36250000000001</v>
      </c>
      <c r="H3899">
        <v>1.043204</v>
      </c>
      <c r="I3899">
        <v>18.011009999999999</v>
      </c>
      <c r="J3899">
        <v>-384.8032</v>
      </c>
      <c r="K3899">
        <v>1.110257</v>
      </c>
      <c r="L3899">
        <v>18.130099999999999</v>
      </c>
      <c r="M3899">
        <v>0.99658630000000004</v>
      </c>
      <c r="N3899">
        <v>-3.230489E-3</v>
      </c>
      <c r="O3899">
        <v>-8.2496899999999998E-2</v>
      </c>
      <c r="P3899">
        <v>0.99252640000000003</v>
      </c>
      <c r="Q3899">
        <v>-5.9109429999999998E-2</v>
      </c>
      <c r="R3899">
        <v>0.1067612</v>
      </c>
      <c r="S3899">
        <v>3.0720830000000001</v>
      </c>
      <c r="T3899">
        <v>-0.26302049999999999</v>
      </c>
      <c r="U3899">
        <v>-0.57144169999999905</v>
      </c>
      <c r="V3899">
        <v>-0.1878435</v>
      </c>
      <c r="W3899">
        <v>-5.7384989999999997E-2</v>
      </c>
      <c r="X3899">
        <v>0.98052119999999998</v>
      </c>
      <c r="Y3899">
        <v>0.1010436</v>
      </c>
      <c r="Z3899">
        <v>2.2608609999999999E-3</v>
      </c>
      <c r="AA3899">
        <v>0.99487939999999997</v>
      </c>
      <c r="AB3899">
        <v>34</v>
      </c>
      <c r="AC3899">
        <v>0.44069999999999199</v>
      </c>
      <c r="AD3899">
        <v>-6.7053000000000001E-2</v>
      </c>
      <c r="AE3899">
        <v>-0.119089999999999</v>
      </c>
      <c r="AF3899">
        <v>8.0588826073612702E-2</v>
      </c>
      <c r="AG3899">
        <v>-6.7053000000000001E-2</v>
      </c>
      <c r="AH3899">
        <v>0.43953953453151801</v>
      </c>
      <c r="AI3899">
        <v>98.533655080170405</v>
      </c>
      <c r="AJ3899">
        <v>79.610312591176296</v>
      </c>
      <c r="AK3899">
        <v>0.451869080722621</v>
      </c>
      <c r="AL3899">
        <v>93.289724885033806</v>
      </c>
      <c r="AM3899">
        <v>100.845047053622</v>
      </c>
      <c r="AN3899">
        <v>1.0000000206094899</v>
      </c>
    </row>
    <row r="3900" spans="1:40" x14ac:dyDescent="0.25">
      <c r="A3900" t="str">
        <f>"20190305135708091"</f>
        <v>20190305135708091</v>
      </c>
      <c r="B3900" t="str">
        <f>"1551765428086304"</f>
        <v>1551765428086304</v>
      </c>
      <c r="C3900" t="s">
        <v>40</v>
      </c>
      <c r="D3900">
        <v>4.396801</v>
      </c>
      <c r="E3900">
        <v>0.61160360000000003</v>
      </c>
      <c r="F3900" t="s">
        <v>41</v>
      </c>
      <c r="G3900">
        <v>-384.05380000000002</v>
      </c>
      <c r="H3900">
        <v>1.0462039999999999</v>
      </c>
      <c r="I3900">
        <v>17.988240000000001</v>
      </c>
      <c r="J3900">
        <v>-384.45949999999999</v>
      </c>
      <c r="K3900">
        <v>1.1101259999999999</v>
      </c>
      <c r="L3900">
        <v>18.103999999999999</v>
      </c>
      <c r="M3900">
        <v>0.99682179999999998</v>
      </c>
      <c r="N3900">
        <v>-2.443934E-3</v>
      </c>
      <c r="O3900">
        <v>-7.9626769999999999E-2</v>
      </c>
      <c r="P3900">
        <v>0.99314119999999995</v>
      </c>
      <c r="Q3900">
        <v>-5.8714780000000001E-2</v>
      </c>
      <c r="R3900">
        <v>0.10111100000000001</v>
      </c>
      <c r="S3900">
        <v>3.0691830000000002</v>
      </c>
      <c r="T3900">
        <v>-0.2627237</v>
      </c>
      <c r="U3900">
        <v>-0.57894899999999905</v>
      </c>
      <c r="V3900">
        <v>-0.17944760000000001</v>
      </c>
      <c r="W3900">
        <v>-5.7650920000000001E-2</v>
      </c>
      <c r="X3900">
        <v>0.98207690000000003</v>
      </c>
      <c r="Y3900">
        <v>0.10640670000000001</v>
      </c>
      <c r="Z3900">
        <v>1.8957609999999999E-3</v>
      </c>
      <c r="AA3900">
        <v>0.99432089999999995</v>
      </c>
      <c r="AB3900">
        <v>34</v>
      </c>
      <c r="AC3900">
        <v>0.40569999999996698</v>
      </c>
      <c r="AD3900">
        <v>-6.3921999999999798E-2</v>
      </c>
      <c r="AE3900">
        <v>-0.115759999999998</v>
      </c>
      <c r="AF3900">
        <v>8.1223187492060894E-2</v>
      </c>
      <c r="AG3900">
        <v>-6.3921999999999798E-2</v>
      </c>
      <c r="AH3900">
        <v>0.40434718017338001</v>
      </c>
      <c r="AI3900">
        <v>98.810220854129398</v>
      </c>
      <c r="AJ3900">
        <v>78.641877190662399</v>
      </c>
      <c r="AK3900">
        <v>0.41734861972281001</v>
      </c>
      <c r="AL3900">
        <v>93.304986708752693</v>
      </c>
      <c r="AM3900">
        <v>100.354997082251</v>
      </c>
      <c r="AN3900">
        <v>1.0000000536181</v>
      </c>
    </row>
    <row r="3901" spans="1:40" x14ac:dyDescent="0.25">
      <c r="A3901" t="str">
        <f>"20190305135708113"</f>
        <v>20190305135708113</v>
      </c>
      <c r="B3901" t="str">
        <f>"1551765428106801"</f>
        <v>1551765428106801</v>
      </c>
      <c r="C3901" t="s">
        <v>40</v>
      </c>
      <c r="D3901">
        <v>4.6655850000000001</v>
      </c>
      <c r="E3901">
        <v>0.6115659</v>
      </c>
      <c r="F3901" t="s">
        <v>41</v>
      </c>
      <c r="G3901">
        <v>-383.44549999999998</v>
      </c>
      <c r="H3901">
        <v>1.0229790000000001</v>
      </c>
      <c r="I3901">
        <v>17.909559999999999</v>
      </c>
      <c r="J3901">
        <v>-384.09609999999998</v>
      </c>
      <c r="K3901">
        <v>1.109969</v>
      </c>
      <c r="L3901">
        <v>18.077449999999999</v>
      </c>
      <c r="M3901">
        <v>0.99702950000000001</v>
      </c>
      <c r="N3901">
        <v>-1.8123659999999999E-3</v>
      </c>
      <c r="O3901">
        <v>-7.7000540000000006E-2</v>
      </c>
      <c r="P3901">
        <v>0.99374030000000002</v>
      </c>
      <c r="Q3901">
        <v>-5.7782630000000001E-2</v>
      </c>
      <c r="R3901">
        <v>9.5612489999999994E-2</v>
      </c>
      <c r="S3901">
        <v>3.0649410000000001</v>
      </c>
      <c r="T3901">
        <v>-0.2633934</v>
      </c>
      <c r="U3901">
        <v>-0.58731080000000002</v>
      </c>
      <c r="V3901">
        <v>-0.17144809999999999</v>
      </c>
      <c r="W3901">
        <v>-5.7211430000000001E-2</v>
      </c>
      <c r="X3901">
        <v>0.98353060000000003</v>
      </c>
      <c r="Y3901">
        <v>0.1118706</v>
      </c>
      <c r="Z3901">
        <v>1.5330999999999999E-3</v>
      </c>
      <c r="AA3901">
        <v>0.99372159999999998</v>
      </c>
      <c r="AB3901">
        <v>35</v>
      </c>
      <c r="AC3901">
        <v>0.65059999999999696</v>
      </c>
      <c r="AD3901">
        <v>-8.6989999999999901E-2</v>
      </c>
      <c r="AE3901">
        <v>-0.16788999999999901</v>
      </c>
      <c r="AF3901">
        <v>0.115361287399541</v>
      </c>
      <c r="AG3901">
        <v>-8.6989999999999901E-2</v>
      </c>
      <c r="AH3901">
        <v>0.65068951987236401</v>
      </c>
      <c r="AI3901">
        <v>97.499079957724007</v>
      </c>
      <c r="AJ3901">
        <v>79.946449367495404</v>
      </c>
      <c r="AK3901">
        <v>0.66653757433636596</v>
      </c>
      <c r="AL3901">
        <v>93.279764267755695</v>
      </c>
      <c r="AM3901">
        <v>99.888383798450903</v>
      </c>
      <c r="AN3901">
        <v>1.0000000199262999</v>
      </c>
    </row>
    <row r="3902" spans="1:40" x14ac:dyDescent="0.25">
      <c r="A3902" t="str">
        <f>"20190305135708134"</f>
        <v>20190305135708134</v>
      </c>
      <c r="B3902" t="str">
        <f>"1551765428126321"</f>
        <v>1551765428126321</v>
      </c>
      <c r="C3902" t="s">
        <v>40</v>
      </c>
      <c r="D3902">
        <v>4.6620010000000001</v>
      </c>
      <c r="E3902">
        <v>0.61045159999999998</v>
      </c>
      <c r="F3902" t="s">
        <v>41</v>
      </c>
      <c r="G3902">
        <v>-383.13029999999998</v>
      </c>
      <c r="H3902">
        <v>1.0250030000000001</v>
      </c>
      <c r="I3902">
        <v>17.88682</v>
      </c>
      <c r="J3902">
        <v>-383.7611</v>
      </c>
      <c r="K3902">
        <v>1.1098159999999999</v>
      </c>
      <c r="L3902">
        <v>18.053709999999999</v>
      </c>
      <c r="M3902">
        <v>0.9971932</v>
      </c>
      <c r="N3902">
        <v>-1.3832460000000001E-3</v>
      </c>
      <c r="O3902">
        <v>-7.4859770000000006E-2</v>
      </c>
      <c r="P3902">
        <v>0.99390270000000003</v>
      </c>
      <c r="Q3902">
        <v>-5.7964219999999997E-2</v>
      </c>
      <c r="R3902">
        <v>9.3795390000000006E-2</v>
      </c>
      <c r="S3902">
        <v>3.061401</v>
      </c>
      <c r="T3902">
        <v>-0.2693546</v>
      </c>
      <c r="U3902">
        <v>-0.60418700000000003</v>
      </c>
      <c r="V3902">
        <v>-0.16755729999999999</v>
      </c>
      <c r="W3902">
        <v>-5.7713929999999997E-2</v>
      </c>
      <c r="X3902">
        <v>0.98417160000000004</v>
      </c>
      <c r="Y3902">
        <v>0.11945359999999999</v>
      </c>
      <c r="Z3902">
        <v>1.1136449999999999E-3</v>
      </c>
      <c r="AA3902">
        <v>0.99283920000000003</v>
      </c>
      <c r="AB3902">
        <v>35</v>
      </c>
      <c r="AC3902">
        <v>0.63080000000002201</v>
      </c>
      <c r="AD3902">
        <v>-8.4812999999999805E-2</v>
      </c>
      <c r="AE3902">
        <v>-0.16688999999999801</v>
      </c>
      <c r="AF3902">
        <v>0.11721970290612101</v>
      </c>
      <c r="AG3902">
        <v>-8.4812999999999805E-2</v>
      </c>
      <c r="AH3902">
        <v>0.63086489103499599</v>
      </c>
      <c r="AI3902">
        <v>97.529533784877401</v>
      </c>
      <c r="AJ3902">
        <v>79.474028935785597</v>
      </c>
      <c r="AK3902">
        <v>0.64724355111425902</v>
      </c>
      <c r="AL3902">
        <v>93.308602973955203</v>
      </c>
      <c r="AM3902">
        <v>99.662084320564801</v>
      </c>
      <c r="AN3902">
        <v>1.00000004237294</v>
      </c>
    </row>
    <row r="3903" spans="1:40" x14ac:dyDescent="0.25">
      <c r="A3903" t="str">
        <f>"20190305135708156"</f>
        <v>20190305135708156</v>
      </c>
      <c r="B3903" t="str">
        <f>"1551765428146820"</f>
        <v>1551765428146820</v>
      </c>
      <c r="C3903" t="s">
        <v>40</v>
      </c>
      <c r="D3903">
        <v>4.367801</v>
      </c>
      <c r="E3903">
        <v>0.61002489999999998</v>
      </c>
      <c r="F3903" t="s">
        <v>41</v>
      </c>
      <c r="G3903">
        <v>-382.81270000000001</v>
      </c>
      <c r="H3903">
        <v>1.0280910000000001</v>
      </c>
      <c r="I3903">
        <v>17.867179999999902</v>
      </c>
      <c r="J3903">
        <v>-383.41379999999998</v>
      </c>
      <c r="K3903">
        <v>1.109632</v>
      </c>
      <c r="L3903">
        <v>18.029689999999999</v>
      </c>
      <c r="M3903">
        <v>0.99733760000000005</v>
      </c>
      <c r="N3903">
        <v>-1.0800199999999999E-3</v>
      </c>
      <c r="O3903">
        <v>-7.2914469999999995E-2</v>
      </c>
      <c r="P3903">
        <v>0.99433389999999999</v>
      </c>
      <c r="Q3903">
        <v>-5.834835E-2</v>
      </c>
      <c r="R3903">
        <v>8.885912E-2</v>
      </c>
      <c r="S3903">
        <v>3.0597530000000002</v>
      </c>
      <c r="T3903">
        <v>-0.26371470000000002</v>
      </c>
      <c r="U3903">
        <v>-0.60073849999999995</v>
      </c>
      <c r="V3903">
        <v>-0.1607731</v>
      </c>
      <c r="W3903">
        <v>-5.826257E-2</v>
      </c>
      <c r="X3903">
        <v>0.98527030000000004</v>
      </c>
      <c r="Y3903">
        <v>0.1204148</v>
      </c>
      <c r="Z3903">
        <v>9.2397539999999998E-4</v>
      </c>
      <c r="AA3903">
        <v>0.99272320000000003</v>
      </c>
      <c r="AB3903">
        <v>35</v>
      </c>
      <c r="AC3903">
        <v>0.60109999999997399</v>
      </c>
      <c r="AD3903">
        <v>-8.1540999999999794E-2</v>
      </c>
      <c r="AE3903">
        <v>-0.16251000000000099</v>
      </c>
      <c r="AF3903">
        <v>0.116254937726757</v>
      </c>
      <c r="AG3903">
        <v>-8.1540999999999794E-2</v>
      </c>
      <c r="AH3903">
        <v>0.60104245105936904</v>
      </c>
      <c r="AI3903">
        <v>97.586981827323299</v>
      </c>
      <c r="AJ3903">
        <v>79.052907865687899</v>
      </c>
      <c r="AK3903">
        <v>0.61758900022774599</v>
      </c>
      <c r="AL3903">
        <v>93.340090721577099</v>
      </c>
      <c r="AM3903">
        <v>99.267653579751595</v>
      </c>
      <c r="AN3903">
        <v>1.0000000404043501</v>
      </c>
    </row>
    <row r="3904" spans="1:40" x14ac:dyDescent="0.25">
      <c r="A3904" t="str">
        <f>"20190305135708178"</f>
        <v>20190305135708178</v>
      </c>
      <c r="B3904" t="str">
        <f>"1551765428166336"</f>
        <v>1551765428166336</v>
      </c>
      <c r="C3904" t="s">
        <v>40</v>
      </c>
      <c r="D3904">
        <v>4.3177599999999998</v>
      </c>
      <c r="E3904">
        <v>0.60952469999999903</v>
      </c>
      <c r="F3904" t="s">
        <v>41</v>
      </c>
      <c r="G3904">
        <v>-382.49329999999998</v>
      </c>
      <c r="H3904">
        <v>1.0310429999999999</v>
      </c>
      <c r="I3904">
        <v>17.84525</v>
      </c>
      <c r="J3904">
        <v>-383.0718</v>
      </c>
      <c r="K3904">
        <v>1.109424</v>
      </c>
      <c r="L3904">
        <v>18.00656</v>
      </c>
      <c r="M3904">
        <v>0.99745740000000005</v>
      </c>
      <c r="N3904">
        <v>-8.9422539999999895E-4</v>
      </c>
      <c r="O3904">
        <v>-7.1261389999999994E-2</v>
      </c>
      <c r="P3904">
        <v>0.99469439999999998</v>
      </c>
      <c r="Q3904">
        <v>-5.9118539999999997E-2</v>
      </c>
      <c r="R3904">
        <v>8.4190119999999993E-2</v>
      </c>
      <c r="S3904">
        <v>3.056549</v>
      </c>
      <c r="T3904">
        <v>-0.26093719999999998</v>
      </c>
      <c r="U3904">
        <v>-0.61245729999999998</v>
      </c>
      <c r="V3904">
        <v>-0.1545398</v>
      </c>
      <c r="W3904">
        <v>-5.9079680000000002E-2</v>
      </c>
      <c r="X3904">
        <v>0.98621859999999995</v>
      </c>
      <c r="Y3904">
        <v>0.12589739999999999</v>
      </c>
      <c r="Z3904">
        <v>5.6694220000000004E-4</v>
      </c>
      <c r="AA3904">
        <v>0.99204309999999996</v>
      </c>
      <c r="AB3904">
        <v>36</v>
      </c>
      <c r="AC3904">
        <v>0.578500000000019</v>
      </c>
      <c r="AD3904">
        <v>-7.8381000000000006E-2</v>
      </c>
      <c r="AE3904">
        <v>-0.16131000000000001</v>
      </c>
      <c r="AF3904">
        <v>0.11767086301063601</v>
      </c>
      <c r="AG3904">
        <v>-7.8381000000000006E-2</v>
      </c>
      <c r="AH3904">
        <v>0.57866788831914695</v>
      </c>
      <c r="AI3904">
        <v>97.560915077447007</v>
      </c>
      <c r="AJ3904">
        <v>78.505747513845805</v>
      </c>
      <c r="AK3904">
        <v>0.59568996813309605</v>
      </c>
      <c r="AL3904">
        <v>93.386988455335398</v>
      </c>
      <c r="AM3904">
        <v>98.905788934126306</v>
      </c>
      <c r="AN3904">
        <v>1.00000004267945</v>
      </c>
    </row>
    <row r="3905" spans="1:40" x14ac:dyDescent="0.25">
      <c r="A3905" t="str">
        <f>"20190305135708200"</f>
        <v>20190305135708200</v>
      </c>
      <c r="B3905" t="str">
        <f>"1551765428196592"</f>
        <v>1551765428196592</v>
      </c>
      <c r="C3905" t="s">
        <v>40</v>
      </c>
      <c r="D3905">
        <v>4.358924</v>
      </c>
      <c r="E3905">
        <v>0.60827710000000002</v>
      </c>
      <c r="F3905" t="s">
        <v>41</v>
      </c>
      <c r="G3905">
        <v>-382.17189999999999</v>
      </c>
      <c r="H3905">
        <v>1.034259</v>
      </c>
      <c r="I3905">
        <v>17.82273</v>
      </c>
      <c r="J3905">
        <v>-382.71559999999999</v>
      </c>
      <c r="K3905">
        <v>1.1091679999999999</v>
      </c>
      <c r="L3905">
        <v>17.98273</v>
      </c>
      <c r="M3905">
        <v>0.99755939999999999</v>
      </c>
      <c r="N3905">
        <v>-7.9151869999999997E-4</v>
      </c>
      <c r="O3905">
        <v>-6.9819270000000003E-2</v>
      </c>
      <c r="P3905">
        <v>0.99502089999999999</v>
      </c>
      <c r="Q3905">
        <v>-5.929624E-2</v>
      </c>
      <c r="R3905">
        <v>8.0110050000000002E-2</v>
      </c>
      <c r="S3905">
        <v>3.0534970000000001</v>
      </c>
      <c r="T3905">
        <v>-0.25511739999999999</v>
      </c>
      <c r="U3905">
        <v>-0.62265009999999998</v>
      </c>
      <c r="V3905">
        <v>-0.1491085</v>
      </c>
      <c r="W3905">
        <v>-5.9218569999999998E-2</v>
      </c>
      <c r="X3905">
        <v>0.98704599999999998</v>
      </c>
      <c r="Y3905">
        <v>0.13069120000000001</v>
      </c>
      <c r="Z3905">
        <v>2.4863750000000002E-4</v>
      </c>
      <c r="AA3905">
        <v>0.9914231</v>
      </c>
      <c r="AB3905">
        <v>36</v>
      </c>
      <c r="AC3905">
        <v>0.54370000000000096</v>
      </c>
      <c r="AD3905">
        <v>-7.4908999999999795E-2</v>
      </c>
      <c r="AE3905">
        <v>-0.16</v>
      </c>
      <c r="AF3905">
        <v>0.11956014746761</v>
      </c>
      <c r="AG3905">
        <v>-7.4908999999999795E-2</v>
      </c>
      <c r="AH3905">
        <v>0.54404018533569398</v>
      </c>
      <c r="AI3905">
        <v>97.659243782050197</v>
      </c>
      <c r="AJ3905">
        <v>77.605509794281005</v>
      </c>
      <c r="AK3905">
        <v>0.562037107674905</v>
      </c>
      <c r="AL3905">
        <v>93.394960385318896</v>
      </c>
      <c r="AM3905">
        <v>98.590456007450001</v>
      </c>
      <c r="AN3905">
        <v>0.99999999496054703</v>
      </c>
    </row>
    <row r="3906" spans="1:40" x14ac:dyDescent="0.25">
      <c r="A3906" t="str">
        <f>"20190305135708223"</f>
        <v>20190305135708223</v>
      </c>
      <c r="B3906" t="str">
        <f>"1551765428216113"</f>
        <v>1551765428216113</v>
      </c>
      <c r="C3906" t="s">
        <v>40</v>
      </c>
      <c r="D3906">
        <v>4.3789550000000004</v>
      </c>
      <c r="E3906">
        <v>0.60767090000000001</v>
      </c>
      <c r="F3906" t="s">
        <v>41</v>
      </c>
      <c r="G3906">
        <v>-381.84899999999999</v>
      </c>
      <c r="H3906">
        <v>1.0363849999999999</v>
      </c>
      <c r="I3906">
        <v>17.804950000000002</v>
      </c>
      <c r="J3906">
        <v>-382.3347</v>
      </c>
      <c r="K3906">
        <v>1.1088739999999999</v>
      </c>
      <c r="L3906">
        <v>17.957519999999999</v>
      </c>
      <c r="M3906">
        <v>0.99764410000000003</v>
      </c>
      <c r="N3906">
        <v>-7.5928129999999999E-4</v>
      </c>
      <c r="O3906">
        <v>-6.8597959999999999E-2</v>
      </c>
      <c r="P3906">
        <v>0.995309</v>
      </c>
      <c r="Q3906">
        <v>-5.9331660000000001E-2</v>
      </c>
      <c r="R3906">
        <v>7.6419609999999999E-2</v>
      </c>
      <c r="S3906">
        <v>3.050049</v>
      </c>
      <c r="T3906">
        <v>-0.25625959999999998</v>
      </c>
      <c r="U3906">
        <v>-0.62542719999999996</v>
      </c>
      <c r="V3906">
        <v>-0.14428779999999999</v>
      </c>
      <c r="W3906">
        <v>-5.9141199999999901E-2</v>
      </c>
      <c r="X3906">
        <v>0.9877669</v>
      </c>
      <c r="Y3906">
        <v>0.1329767</v>
      </c>
      <c r="Z3906" s="1">
        <v>5.9227459999999999E-5</v>
      </c>
      <c r="AA3906">
        <v>0.99111910000000003</v>
      </c>
      <c r="AB3906">
        <v>36</v>
      </c>
      <c r="AC3906">
        <v>0.48570000000000801</v>
      </c>
      <c r="AD3906">
        <v>-7.2488999999999804E-2</v>
      </c>
      <c r="AE3906">
        <v>-0.15257000000000001</v>
      </c>
      <c r="AF3906">
        <v>0.116530036272256</v>
      </c>
      <c r="AG3906">
        <v>-7.2488999999999804E-2</v>
      </c>
      <c r="AH3906">
        <v>0.48518523074609998</v>
      </c>
      <c r="AI3906">
        <v>98.265734829387497</v>
      </c>
      <c r="AJ3906">
        <v>76.494711227376698</v>
      </c>
      <c r="AK3906">
        <v>0.504220797477414</v>
      </c>
      <c r="AL3906">
        <v>93.390519441687502</v>
      </c>
      <c r="AM3906">
        <v>98.310688442338403</v>
      </c>
      <c r="AN3906">
        <v>1.00000004975094</v>
      </c>
    </row>
    <row r="3907" spans="1:40" x14ac:dyDescent="0.25">
      <c r="A3907" t="str">
        <f>"20190305135708245"</f>
        <v>20190305135708245</v>
      </c>
      <c r="B3907" t="str">
        <f>"1551765428236609"</f>
        <v>1551765428236609</v>
      </c>
      <c r="C3907" t="s">
        <v>40</v>
      </c>
      <c r="D3907">
        <v>4.3197749999999999</v>
      </c>
      <c r="E3907">
        <v>0.60709299999999999</v>
      </c>
      <c r="F3907" t="s">
        <v>41</v>
      </c>
      <c r="G3907">
        <v>-381.52289999999999</v>
      </c>
      <c r="H3907">
        <v>1.0417000000000001</v>
      </c>
      <c r="I3907">
        <v>17.788799999999998</v>
      </c>
      <c r="J3907">
        <v>-381.9821</v>
      </c>
      <c r="K3907">
        <v>1.1085929999999999</v>
      </c>
      <c r="L3907">
        <v>17.934200000000001</v>
      </c>
      <c r="M3907">
        <v>0.99770080000000005</v>
      </c>
      <c r="N3907">
        <v>-7.871512E-4</v>
      </c>
      <c r="O3907">
        <v>-6.7770769999999994E-2</v>
      </c>
      <c r="P3907">
        <v>0.99556999999999995</v>
      </c>
      <c r="Q3907">
        <v>-5.9371500000000001E-2</v>
      </c>
      <c r="R3907">
        <v>7.2909119999999994E-2</v>
      </c>
      <c r="S3907">
        <v>3.0476380000000001</v>
      </c>
      <c r="T3907">
        <v>-0.25216189999999999</v>
      </c>
      <c r="U3907">
        <v>-0.63183590000000001</v>
      </c>
      <c r="V3907">
        <v>-0.1400305</v>
      </c>
      <c r="W3907">
        <v>-5.9026790000000003E-2</v>
      </c>
      <c r="X3907">
        <v>0.98838619999999999</v>
      </c>
      <c r="Y3907">
        <v>0.13594529999999999</v>
      </c>
      <c r="Z3907">
        <v>-1.3624740000000001E-4</v>
      </c>
      <c r="AA3907">
        <v>0.99071629999999999</v>
      </c>
      <c r="AB3907">
        <v>36</v>
      </c>
      <c r="AC3907">
        <v>0.45920000000000899</v>
      </c>
      <c r="AD3907">
        <v>-6.68929999999998E-2</v>
      </c>
      <c r="AE3907">
        <v>-0.145400000000002</v>
      </c>
      <c r="AF3907">
        <v>0.11178930272414001</v>
      </c>
      <c r="AG3907">
        <v>-6.68929999999998E-2</v>
      </c>
      <c r="AH3907">
        <v>0.45914269190052398</v>
      </c>
      <c r="AI3907">
        <v>98.057019367554801</v>
      </c>
      <c r="AJ3907">
        <v>76.3162113095009</v>
      </c>
      <c r="AK3907">
        <v>0.47726673169016198</v>
      </c>
      <c r="AL3907">
        <v>93.383952956959206</v>
      </c>
      <c r="AM3907">
        <v>98.063764535700003</v>
      </c>
      <c r="AN3907">
        <v>0.99999999160919695</v>
      </c>
    </row>
    <row r="3908" spans="1:40" x14ac:dyDescent="0.25">
      <c r="A3908" t="str">
        <f>"20190305135708268"</f>
        <v>20190305135708268</v>
      </c>
      <c r="B3908" t="str">
        <f>"1551765428256128"</f>
        <v>1551765428256128</v>
      </c>
      <c r="C3908" t="s">
        <v>40</v>
      </c>
      <c r="D3908">
        <v>4.8552039999999996</v>
      </c>
      <c r="E3908">
        <v>0.6065313</v>
      </c>
      <c r="F3908" t="s">
        <v>41</v>
      </c>
      <c r="G3908">
        <v>-381.19690000000003</v>
      </c>
      <c r="H3908">
        <v>1.04382</v>
      </c>
      <c r="I3908">
        <v>17.76961</v>
      </c>
      <c r="J3908">
        <v>-381.61320000000001</v>
      </c>
      <c r="K3908">
        <v>1.108312</v>
      </c>
      <c r="L3908">
        <v>17.90982</v>
      </c>
      <c r="M3908">
        <v>0.99773900000000004</v>
      </c>
      <c r="N3908">
        <v>-8.6894390000000004E-4</v>
      </c>
      <c r="O3908">
        <v>-6.720305E-2</v>
      </c>
      <c r="P3908">
        <v>0.9957587</v>
      </c>
      <c r="Q3908">
        <v>-6.0021430000000001E-2</v>
      </c>
      <c r="R3908">
        <v>6.9730299999999995E-2</v>
      </c>
      <c r="S3908">
        <v>3.0450740000000001</v>
      </c>
      <c r="T3908">
        <v>-0.25126660000000001</v>
      </c>
      <c r="U3908">
        <v>-0.6379089</v>
      </c>
      <c r="V3908">
        <v>-0.1363531</v>
      </c>
      <c r="W3908">
        <v>-5.947823E-2</v>
      </c>
      <c r="X3908">
        <v>0.98887320000000001</v>
      </c>
      <c r="Y3908">
        <v>0.13855789999999901</v>
      </c>
      <c r="Z3908">
        <v>-3.0052380000000002E-4</v>
      </c>
      <c r="AA3908">
        <v>0.99035430000000002</v>
      </c>
      <c r="AB3908">
        <v>36</v>
      </c>
      <c r="AC3908">
        <v>0.41629999999997802</v>
      </c>
      <c r="AD3908">
        <v>-6.4492000000000202E-2</v>
      </c>
      <c r="AE3908">
        <v>-0.140209999999999</v>
      </c>
      <c r="AF3908">
        <v>0.109555008180773</v>
      </c>
      <c r="AG3908">
        <v>-6.4492000000000202E-2</v>
      </c>
      <c r="AH3908">
        <v>0.41581873349074899</v>
      </c>
      <c r="AI3908">
        <v>98.529552221733098</v>
      </c>
      <c r="AJ3908">
        <v>75.239811404989297</v>
      </c>
      <c r="AK3908">
        <v>0.43481805045713101</v>
      </c>
      <c r="AL3908">
        <v>93.409864003614203</v>
      </c>
      <c r="AM3908">
        <v>97.850856794001899</v>
      </c>
      <c r="AN3908">
        <v>1.00000001670089</v>
      </c>
    </row>
    <row r="3909" spans="1:40" x14ac:dyDescent="0.25">
      <c r="A3909" t="str">
        <f>"20190305135708291"</f>
        <v>20190305135708291</v>
      </c>
      <c r="B3909" t="str">
        <f>"1551765428286384"</f>
        <v>1551765428286384</v>
      </c>
      <c r="C3909" t="s">
        <v>40</v>
      </c>
      <c r="D3909">
        <v>4.3667949999999998</v>
      </c>
      <c r="E3909">
        <v>0.60576779999999997</v>
      </c>
      <c r="F3909" t="s">
        <v>41</v>
      </c>
      <c r="G3909">
        <v>-380.8689</v>
      </c>
      <c r="H3909">
        <v>1.0465040000000001</v>
      </c>
      <c r="I3909">
        <v>17.752269999999999</v>
      </c>
      <c r="J3909">
        <v>-381.24079999999998</v>
      </c>
      <c r="K3909">
        <v>1.1080639999999999</v>
      </c>
      <c r="L3909">
        <v>17.88504</v>
      </c>
      <c r="M3909">
        <v>0.99775670000000005</v>
      </c>
      <c r="N3909">
        <v>-1.030464E-3</v>
      </c>
      <c r="O3909">
        <v>-6.6939460000000006E-2</v>
      </c>
      <c r="P3909">
        <v>0.99592579999999997</v>
      </c>
      <c r="Q3909">
        <v>-6.0430610000000003E-2</v>
      </c>
      <c r="R3909">
        <v>6.6935140000000004E-2</v>
      </c>
      <c r="S3909">
        <v>3.0426030000000002</v>
      </c>
      <c r="T3909">
        <v>-0.25258199999999997</v>
      </c>
      <c r="U3909">
        <v>-0.64312740000000002</v>
      </c>
      <c r="V3909">
        <v>-0.13335659999999999</v>
      </c>
      <c r="W3909">
        <v>-5.962456E-2</v>
      </c>
      <c r="X3909">
        <v>0.98927299999999996</v>
      </c>
      <c r="Y3909">
        <v>0.1405951</v>
      </c>
      <c r="Z3909">
        <v>-4.2952780000000002E-4</v>
      </c>
      <c r="AA3909">
        <v>0.99006709999999998</v>
      </c>
      <c r="AB3909">
        <v>36</v>
      </c>
      <c r="AC3909">
        <v>0.37189999999998202</v>
      </c>
      <c r="AD3909">
        <v>-6.1559999999999802E-2</v>
      </c>
      <c r="AE3909">
        <v>-0.132769999999997</v>
      </c>
      <c r="AF3909">
        <v>0.10502506167341701</v>
      </c>
      <c r="AG3909">
        <v>-6.1559999999999802E-2</v>
      </c>
      <c r="AH3909">
        <v>0.37093874662587101</v>
      </c>
      <c r="AI3909">
        <v>99.0724187361985</v>
      </c>
      <c r="AJ3909">
        <v>74.191423093310604</v>
      </c>
      <c r="AK3909">
        <v>0.39040421479266502</v>
      </c>
      <c r="AL3909">
        <v>93.418262819633696</v>
      </c>
      <c r="AM3909">
        <v>97.677341294892301</v>
      </c>
      <c r="AN3909">
        <v>1.00000006972387</v>
      </c>
    </row>
    <row r="3910" spans="1:40" x14ac:dyDescent="0.25">
      <c r="A3910" t="str">
        <f>"20190305135708314"</f>
        <v>20190305135708314</v>
      </c>
      <c r="B3910" t="str">
        <f>"1551765428306881"</f>
        <v>1551765428306881</v>
      </c>
      <c r="C3910" t="s">
        <v>40</v>
      </c>
      <c r="D3910">
        <v>4.3539849999999998</v>
      </c>
      <c r="E3910">
        <v>0.60538210000000003</v>
      </c>
      <c r="F3910" t="s">
        <v>41</v>
      </c>
      <c r="G3910">
        <v>-380.2253</v>
      </c>
      <c r="H3910">
        <v>1.0222960000000001</v>
      </c>
      <c r="I3910">
        <v>17.66883</v>
      </c>
      <c r="J3910">
        <v>-380.86529999999999</v>
      </c>
      <c r="K3910">
        <v>1.107856</v>
      </c>
      <c r="L3910">
        <v>17.85989</v>
      </c>
      <c r="M3910">
        <v>0.99775460000000005</v>
      </c>
      <c r="N3910">
        <v>-1.3153800000000001E-3</v>
      </c>
      <c r="O3910">
        <v>-6.6963579999999995E-2</v>
      </c>
      <c r="P3910">
        <v>0.99604919999999997</v>
      </c>
      <c r="Q3910">
        <v>-6.1185179999999999E-2</v>
      </c>
      <c r="R3910">
        <v>6.4363710000000005E-2</v>
      </c>
      <c r="S3910">
        <v>3.0400999999999998</v>
      </c>
      <c r="T3910">
        <v>-0.25666610000000001</v>
      </c>
      <c r="U3910">
        <v>-0.64578250000000004</v>
      </c>
      <c r="V3910">
        <v>-0.13086199999999901</v>
      </c>
      <c r="W3910">
        <v>-6.000722E-2</v>
      </c>
      <c r="X3910">
        <v>0.98958290000000004</v>
      </c>
      <c r="Y3910">
        <v>0.1415486</v>
      </c>
      <c r="Z3910">
        <v>-5.1198900000000002E-4</v>
      </c>
      <c r="AA3910">
        <v>0.98993120000000001</v>
      </c>
      <c r="AB3910">
        <v>37</v>
      </c>
      <c r="AC3910">
        <v>0.63999999999998602</v>
      </c>
      <c r="AD3910">
        <v>-8.5559999999999997E-2</v>
      </c>
      <c r="AE3910">
        <v>-0.19106000000000001</v>
      </c>
      <c r="AF3910">
        <v>0.14538861337131301</v>
      </c>
      <c r="AG3910">
        <v>-8.5559999999999997E-2</v>
      </c>
      <c r="AH3910">
        <v>0.64084140569925996</v>
      </c>
      <c r="AI3910">
        <v>97.418360440019995</v>
      </c>
      <c r="AJ3910">
        <v>77.217598548359803</v>
      </c>
      <c r="AK3910">
        <v>0.66267342617358405</v>
      </c>
      <c r="AL3910">
        <v>93.440227111460601</v>
      </c>
      <c r="AM3910">
        <v>97.533060206150694</v>
      </c>
      <c r="AN3910">
        <v>1.00000002273426</v>
      </c>
    </row>
    <row r="3911" spans="1:40" x14ac:dyDescent="0.25">
      <c r="A3911" t="str">
        <f>"20190305135708336"</f>
        <v>20190305135708336</v>
      </c>
      <c r="B3911" t="str">
        <f>"1551765428326401"</f>
        <v>1551765428326401</v>
      </c>
      <c r="C3911" t="s">
        <v>40</v>
      </c>
      <c r="D3911">
        <v>4.3562949999999896</v>
      </c>
      <c r="E3911">
        <v>0.60472879999999996</v>
      </c>
      <c r="F3911" t="s">
        <v>41</v>
      </c>
      <c r="G3911">
        <v>-379.89339999999999</v>
      </c>
      <c r="H3911">
        <v>1.025739</v>
      </c>
      <c r="I3911">
        <v>17.651700000000002</v>
      </c>
      <c r="J3911">
        <v>-380.49970000000002</v>
      </c>
      <c r="K3911">
        <v>1.1076969999999999</v>
      </c>
      <c r="L3911">
        <v>17.83521</v>
      </c>
      <c r="M3911">
        <v>0.99773860000000003</v>
      </c>
      <c r="N3911">
        <v>-1.6896109999999999E-3</v>
      </c>
      <c r="O3911">
        <v>-6.7194829999999997E-2</v>
      </c>
      <c r="P3911">
        <v>0.99613859999999999</v>
      </c>
      <c r="Q3911">
        <v>-6.2455669999999998E-2</v>
      </c>
      <c r="R3911">
        <v>6.1705669999999997E-2</v>
      </c>
      <c r="S3911">
        <v>3.0381469999999999</v>
      </c>
      <c r="T3911">
        <v>-0.25665310000000002</v>
      </c>
      <c r="U3911">
        <v>-0.6503601</v>
      </c>
      <c r="V3911">
        <v>-0.12847790000000001</v>
      </c>
      <c r="W3911">
        <v>-6.083421E-2</v>
      </c>
      <c r="X3911">
        <v>0.98984470000000002</v>
      </c>
      <c r="Y3911">
        <v>0.14286679999999999</v>
      </c>
      <c r="Z3911">
        <v>-6.0112309999999999E-4</v>
      </c>
      <c r="AA3911">
        <v>0.98974169999999995</v>
      </c>
      <c r="AB3911">
        <v>37</v>
      </c>
      <c r="AC3911">
        <v>0.60630000000003204</v>
      </c>
      <c r="AD3911">
        <v>-8.1957999999999906E-2</v>
      </c>
      <c r="AE3911">
        <v>-0.18350999999999801</v>
      </c>
      <c r="AF3911">
        <v>0.14001126112211401</v>
      </c>
      <c r="AG3911">
        <v>-8.1957999999999906E-2</v>
      </c>
      <c r="AH3911">
        <v>0.60709816044791798</v>
      </c>
      <c r="AI3911">
        <v>97.4940357481387</v>
      </c>
      <c r="AJ3911">
        <v>77.013296835735204</v>
      </c>
      <c r="AK3911">
        <v>0.62840149858530003</v>
      </c>
      <c r="AL3911">
        <v>93.487697126200203</v>
      </c>
      <c r="AM3911">
        <v>97.395418725832002</v>
      </c>
      <c r="AN3911">
        <v>0.99999995100641004</v>
      </c>
    </row>
    <row r="3912" spans="1:40" x14ac:dyDescent="0.25">
      <c r="A3912" t="str">
        <f>"20190305135708358"</f>
        <v>20190305135708358</v>
      </c>
      <c r="B3912" t="str">
        <f>"1551765428345920"</f>
        <v>1551765428345920</v>
      </c>
      <c r="C3912" t="s">
        <v>40</v>
      </c>
      <c r="D3912">
        <v>4.381316</v>
      </c>
      <c r="E3912">
        <v>0.60425949999999995</v>
      </c>
      <c r="F3912" t="s">
        <v>41</v>
      </c>
      <c r="G3912">
        <v>-379.56200000000001</v>
      </c>
      <c r="H3912">
        <v>1.0266059999999999</v>
      </c>
      <c r="I3912">
        <v>17.633050000000001</v>
      </c>
      <c r="J3912">
        <v>-380.12700000000001</v>
      </c>
      <c r="K3912">
        <v>1.107588</v>
      </c>
      <c r="L3912">
        <v>17.809719999999999</v>
      </c>
      <c r="M3912">
        <v>0.99770919999999996</v>
      </c>
      <c r="N3912">
        <v>-2.2173169999999999E-3</v>
      </c>
      <c r="O3912">
        <v>-6.7613419999999994E-2</v>
      </c>
      <c r="P3912">
        <v>0.99622259999999996</v>
      </c>
      <c r="Q3912">
        <v>-6.3717949999999995E-2</v>
      </c>
      <c r="R3912">
        <v>5.8999330000000003E-2</v>
      </c>
      <c r="S3912">
        <v>3.0356450000000001</v>
      </c>
      <c r="T3912">
        <v>-0.26247920000000002</v>
      </c>
      <c r="U3912">
        <v>-0.65325929999999999</v>
      </c>
      <c r="V3912">
        <v>-0.12622800000000001</v>
      </c>
      <c r="W3912">
        <v>-6.1511549999999998E-2</v>
      </c>
      <c r="X3912">
        <v>0.99009230000000004</v>
      </c>
      <c r="Y3912">
        <v>0.14350250000000001</v>
      </c>
      <c r="Z3912">
        <v>-6.7623559999999995E-4</v>
      </c>
      <c r="AA3912">
        <v>0.98964969999999997</v>
      </c>
      <c r="AB3912">
        <v>37</v>
      </c>
      <c r="AC3912">
        <v>0.56499999999999695</v>
      </c>
      <c r="AD3912">
        <v>-8.0982000000000096E-2</v>
      </c>
      <c r="AE3912">
        <v>-0.17667000000000099</v>
      </c>
      <c r="AF3912">
        <v>0.135527764935784</v>
      </c>
      <c r="AG3912">
        <v>-8.0982000000000096E-2</v>
      </c>
      <c r="AH3912">
        <v>0.56507747473910597</v>
      </c>
      <c r="AI3912">
        <v>97.933597400298297</v>
      </c>
      <c r="AJ3912">
        <v>76.512975023038294</v>
      </c>
      <c r="AK3912">
        <v>0.58671834115699395</v>
      </c>
      <c r="AL3912">
        <v>93.526578600731398</v>
      </c>
      <c r="AM3912">
        <v>97.265509152100194</v>
      </c>
      <c r="AN3912">
        <v>0.999999970643345</v>
      </c>
    </row>
    <row r="3913" spans="1:40" x14ac:dyDescent="0.25">
      <c r="A3913" t="str">
        <f>"20190305135708379"</f>
        <v>20190305135708379</v>
      </c>
      <c r="B3913" t="str">
        <f>"1551765428376177"</f>
        <v>1551765428376177</v>
      </c>
      <c r="C3913" t="s">
        <v>40</v>
      </c>
      <c r="D3913">
        <v>4.3754269999999904</v>
      </c>
      <c r="E3913">
        <v>0.60361769999999904</v>
      </c>
      <c r="F3913" t="s">
        <v>41</v>
      </c>
      <c r="G3913">
        <v>-379.2296</v>
      </c>
      <c r="H3913">
        <v>1.0285519999999999</v>
      </c>
      <c r="I3913">
        <v>17.615010000000002</v>
      </c>
      <c r="J3913">
        <v>-379.7833</v>
      </c>
      <c r="K3913">
        <v>1.107545</v>
      </c>
      <c r="L3913">
        <v>17.786010000000001</v>
      </c>
      <c r="M3913">
        <v>0.99767189999999994</v>
      </c>
      <c r="N3913">
        <v>-2.8950130000000001E-3</v>
      </c>
      <c r="O3913">
        <v>-6.8136769999999999E-2</v>
      </c>
      <c r="P3913">
        <v>0.99624650000000003</v>
      </c>
      <c r="Q3913">
        <v>-6.5508170000000004E-2</v>
      </c>
      <c r="R3913">
        <v>5.658461E-2</v>
      </c>
      <c r="S3913">
        <v>3.033264</v>
      </c>
      <c r="T3913">
        <v>-0.26711489999999999</v>
      </c>
      <c r="U3913">
        <v>-0.65777589999999997</v>
      </c>
      <c r="V3913">
        <v>-0.1243645</v>
      </c>
      <c r="W3913">
        <v>-6.2581929999999994E-2</v>
      </c>
      <c r="X3913">
        <v>0.99026110000000001</v>
      </c>
      <c r="Y3913">
        <v>0.1445303</v>
      </c>
      <c r="Z3913">
        <v>-7.8003389999999897E-4</v>
      </c>
      <c r="AA3913">
        <v>0.98950000000000005</v>
      </c>
      <c r="AB3913">
        <v>37</v>
      </c>
      <c r="AC3913">
        <v>0.55369999999999198</v>
      </c>
      <c r="AD3913">
        <v>-7.8992999999999799E-2</v>
      </c>
      <c r="AE3913">
        <v>-0.17099999999999899</v>
      </c>
      <c r="AF3913">
        <v>0.130451218487878</v>
      </c>
      <c r="AG3913">
        <v>-7.8992999999999799E-2</v>
      </c>
      <c r="AH3913">
        <v>0.55377503273961404</v>
      </c>
      <c r="AI3913">
        <v>97.904651432633003</v>
      </c>
      <c r="AJ3913">
        <v>76.744656829699395</v>
      </c>
      <c r="AK3913">
        <v>0.57439028659939295</v>
      </c>
      <c r="AL3913">
        <v>93.588025018047304</v>
      </c>
      <c r="AM3913">
        <v>97.158162144242795</v>
      </c>
      <c r="AN3913">
        <v>1.00000003649799</v>
      </c>
    </row>
    <row r="3914" spans="1:40" x14ac:dyDescent="0.25">
      <c r="A3914" t="str">
        <f>"20190305135708401"</f>
        <v>20190305135708401</v>
      </c>
      <c r="B3914" t="str">
        <f>"1551765428396673"</f>
        <v>1551765428396673</v>
      </c>
      <c r="C3914" t="s">
        <v>40</v>
      </c>
      <c r="D3914">
        <v>4.3706759999999996</v>
      </c>
      <c r="E3914">
        <v>0.60324060000000002</v>
      </c>
      <c r="F3914" t="s">
        <v>41</v>
      </c>
      <c r="G3914">
        <v>-378.89830000000001</v>
      </c>
      <c r="H3914">
        <v>1.028756</v>
      </c>
      <c r="I3914">
        <v>17.593150000000001</v>
      </c>
      <c r="J3914">
        <v>-379.41590000000002</v>
      </c>
      <c r="K3914">
        <v>1.1075660000000001</v>
      </c>
      <c r="L3914">
        <v>17.76031</v>
      </c>
      <c r="M3914">
        <v>0.99762269999999997</v>
      </c>
      <c r="N3914">
        <v>-3.8327280000000001E-3</v>
      </c>
      <c r="O3914">
        <v>-6.8807549999999995E-2</v>
      </c>
      <c r="P3914">
        <v>0.99625490000000005</v>
      </c>
      <c r="Q3914">
        <v>-6.7183270000000003E-2</v>
      </c>
      <c r="R3914">
        <v>5.4433200000000001E-2</v>
      </c>
      <c r="S3914">
        <v>3.0310359999999998</v>
      </c>
      <c r="T3914">
        <v>-0.26979209999999998</v>
      </c>
      <c r="U3914">
        <v>-0.65978999999999999</v>
      </c>
      <c r="V3914">
        <v>-0.1229069</v>
      </c>
      <c r="W3914">
        <v>-6.328578E-2</v>
      </c>
      <c r="X3914">
        <v>0.99039829999999995</v>
      </c>
      <c r="Y3914">
        <v>0.1446277</v>
      </c>
      <c r="Z3914">
        <v>-8.6436279999999998E-4</v>
      </c>
      <c r="AA3914">
        <v>0.98948570000000002</v>
      </c>
      <c r="AB3914">
        <v>37</v>
      </c>
      <c r="AC3914">
        <v>0.51760000000001505</v>
      </c>
      <c r="AD3914">
        <v>-7.8810000000000005E-2</v>
      </c>
      <c r="AE3914">
        <v>-0.167159999999999</v>
      </c>
      <c r="AF3914">
        <v>0.12845209403841901</v>
      </c>
      <c r="AG3914">
        <v>-7.8810000000000005E-2</v>
      </c>
      <c r="AH3914">
        <v>0.51702104326710596</v>
      </c>
      <c r="AI3914">
        <v>98.414942227239095</v>
      </c>
      <c r="AJ3914">
        <v>76.047557622945405</v>
      </c>
      <c r="AK3914">
        <v>0.53853664289801295</v>
      </c>
      <c r="AL3914">
        <v>93.628432905276298</v>
      </c>
      <c r="AM3914">
        <v>97.074150747440299</v>
      </c>
      <c r="AN3914">
        <v>0.99999999433035403</v>
      </c>
    </row>
    <row r="3915" spans="1:40" x14ac:dyDescent="0.25">
      <c r="A3915" t="str">
        <f>"20190305135708424"</f>
        <v>20190305135708424</v>
      </c>
      <c r="B3915" t="str">
        <f>"1551765428416192"</f>
        <v>1551765428416192</v>
      </c>
      <c r="C3915" t="s">
        <v>40</v>
      </c>
      <c r="D3915">
        <v>4.505935</v>
      </c>
      <c r="E3915">
        <v>0.55984350000000005</v>
      </c>
      <c r="F3915" t="s">
        <v>41</v>
      </c>
      <c r="G3915">
        <v>-378.56619999999998</v>
      </c>
      <c r="H3915">
        <v>1.031247</v>
      </c>
      <c r="I3915">
        <v>17.57423</v>
      </c>
      <c r="J3915">
        <v>-379.05509999999998</v>
      </c>
      <c r="K3915">
        <v>1.107626</v>
      </c>
      <c r="L3915">
        <v>17.7348</v>
      </c>
      <c r="M3915">
        <v>0.99756679999999998</v>
      </c>
      <c r="N3915">
        <v>-4.881542E-3</v>
      </c>
      <c r="O3915">
        <v>-6.9546189999999994E-2</v>
      </c>
      <c r="P3915">
        <v>0.99617710000000004</v>
      </c>
      <c r="Q3915">
        <v>-6.926177E-2</v>
      </c>
      <c r="R3915">
        <v>5.3237920000000001E-2</v>
      </c>
      <c r="S3915">
        <v>3.0291139999999999</v>
      </c>
      <c r="T3915">
        <v>-0.2720397</v>
      </c>
      <c r="U3915">
        <v>-0.66320800000000002</v>
      </c>
      <c r="V3915">
        <v>-0.1224613</v>
      </c>
      <c r="W3915">
        <v>-6.4292769999999999E-2</v>
      </c>
      <c r="X3915">
        <v>0.99038859999999995</v>
      </c>
      <c r="Y3915">
        <v>0.1450737</v>
      </c>
      <c r="Z3915">
        <v>-9.7490100000000002E-4</v>
      </c>
      <c r="AA3915">
        <v>0.98942039999999998</v>
      </c>
      <c r="AB3915">
        <v>37</v>
      </c>
      <c r="AC3915">
        <v>0.488900000000001</v>
      </c>
      <c r="AD3915">
        <v>-7.6378999999999905E-2</v>
      </c>
      <c r="AE3915">
        <v>-0.16056999999999899</v>
      </c>
      <c r="AF3915">
        <v>0.123459815193928</v>
      </c>
      <c r="AG3915">
        <v>-7.6378999999999905E-2</v>
      </c>
      <c r="AH3915">
        <v>0.48812973884906502</v>
      </c>
      <c r="AI3915">
        <v>98.625772319708503</v>
      </c>
      <c r="AJ3915">
        <v>75.806177519580302</v>
      </c>
      <c r="AK3915">
        <v>0.50926095428333695</v>
      </c>
      <c r="AL3915">
        <v>93.686247076203898</v>
      </c>
      <c r="AM3915">
        <v>97.048830157058504</v>
      </c>
      <c r="AN3915">
        <v>0.99999995464096003</v>
      </c>
    </row>
    <row r="3916" spans="1:40" x14ac:dyDescent="0.25">
      <c r="A3916" t="str">
        <f>"20190305135708447"</f>
        <v>20190305135708447</v>
      </c>
      <c r="B3916" t="str">
        <f>"1551765428436692"</f>
        <v>1551765428436692</v>
      </c>
      <c r="C3916" t="s">
        <v>40</v>
      </c>
      <c r="D3916">
        <v>4.4036900000000001</v>
      </c>
      <c r="E3916">
        <v>0.54182390000000002</v>
      </c>
      <c r="F3916" t="s">
        <v>41</v>
      </c>
      <c r="G3916">
        <v>-378.22800000000001</v>
      </c>
      <c r="H3916">
        <v>1.034327</v>
      </c>
      <c r="I3916">
        <v>17.64658</v>
      </c>
      <c r="J3916">
        <v>-378.661</v>
      </c>
      <c r="K3916">
        <v>1.107685</v>
      </c>
      <c r="L3916">
        <v>17.706600000000002</v>
      </c>
      <c r="M3916">
        <v>0.9975001</v>
      </c>
      <c r="N3916">
        <v>-6.0364950000000002E-3</v>
      </c>
      <c r="O3916">
        <v>-7.0409269999999996E-2</v>
      </c>
      <c r="P3916">
        <v>0.99609610000000004</v>
      </c>
      <c r="Q3916">
        <v>-7.0974280000000001E-2</v>
      </c>
      <c r="R3916">
        <v>5.2495880000000002E-2</v>
      </c>
      <c r="S3916">
        <v>3.0100709999999999</v>
      </c>
      <c r="T3916">
        <v>-0.26673419999999998</v>
      </c>
      <c r="U3916">
        <v>-0.32025150000000002</v>
      </c>
      <c r="V3916">
        <v>-0.12258819999999999</v>
      </c>
      <c r="W3916">
        <v>-6.4833619999999995E-2</v>
      </c>
      <c r="X3916">
        <v>0.99033769999999999</v>
      </c>
      <c r="Y3916">
        <v>3.5607119999999999E-2</v>
      </c>
      <c r="Z3916">
        <v>4.0981009999999998E-3</v>
      </c>
      <c r="AA3916">
        <v>0.99935750000000001</v>
      </c>
      <c r="AB3916">
        <v>37</v>
      </c>
      <c r="AC3916">
        <v>0.432999999999992</v>
      </c>
      <c r="AD3916">
        <v>-7.3358000000000007E-2</v>
      </c>
      <c r="AE3916">
        <v>-6.0020000000001503E-2</v>
      </c>
      <c r="AF3916">
        <v>2.8578463483406698E-2</v>
      </c>
      <c r="AG3916">
        <v>-7.3358000000000007E-2</v>
      </c>
      <c r="AH3916">
        <v>0.42420517693291399</v>
      </c>
      <c r="AI3916">
        <v>99.789393906957699</v>
      </c>
      <c r="AJ3916">
        <v>86.145839496807795</v>
      </c>
      <c r="AK3916">
        <v>0.43144890413090398</v>
      </c>
      <c r="AL3916">
        <v>93.7173000735649</v>
      </c>
      <c r="AM3916">
        <v>97.056419887135306</v>
      </c>
      <c r="AN3916">
        <v>1.0000000125514099</v>
      </c>
    </row>
    <row r="3917" spans="1:40" x14ac:dyDescent="0.25">
      <c r="A3917" t="str">
        <f>"20190305135708467"</f>
        <v>20190305135708467</v>
      </c>
      <c r="B3917" t="str">
        <f>"1551765428456209"</f>
        <v>1551765428456209</v>
      </c>
      <c r="C3917" t="s">
        <v>40</v>
      </c>
      <c r="D3917">
        <v>4.3811580000000001</v>
      </c>
      <c r="E3917">
        <v>0.5336843</v>
      </c>
      <c r="F3917" t="s">
        <v>86</v>
      </c>
      <c r="G3917">
        <v>-364.00889999999998</v>
      </c>
      <c r="H3917" s="1">
        <v>-3.3240010000000001E-6</v>
      </c>
      <c r="I3917">
        <v>16.845310000000001</v>
      </c>
      <c r="J3917">
        <v>-378.31729999999999</v>
      </c>
      <c r="K3917">
        <v>1.107734</v>
      </c>
      <c r="L3917">
        <v>17.681699999999999</v>
      </c>
      <c r="M3917">
        <v>0.99743970000000004</v>
      </c>
      <c r="N3917">
        <v>-6.9850789999999999E-3</v>
      </c>
      <c r="O3917">
        <v>-7.1171189999999995E-2</v>
      </c>
      <c r="P3917">
        <v>0.99596470000000004</v>
      </c>
      <c r="Q3917">
        <v>-7.2999430000000004E-2</v>
      </c>
      <c r="R3917">
        <v>5.2204550000000002E-2</v>
      </c>
      <c r="S3917">
        <v>3.004883</v>
      </c>
      <c r="T3917">
        <v>-0.22716639999999999</v>
      </c>
      <c r="U3917">
        <v>-0.17663570000000001</v>
      </c>
      <c r="V3917">
        <v>-0.1230556</v>
      </c>
      <c r="W3917">
        <v>-6.5902150000000007E-2</v>
      </c>
      <c r="X3917">
        <v>0.99020920000000001</v>
      </c>
      <c r="Y3917">
        <v>-1.2313009999999999E-2</v>
      </c>
      <c r="Z3917">
        <v>5.3728129999999997E-3</v>
      </c>
      <c r="AA3917">
        <v>0.99990979999999996</v>
      </c>
      <c r="AB3917">
        <v>37</v>
      </c>
      <c r="AC3917">
        <v>14.308400000000001</v>
      </c>
      <c r="AD3917">
        <v>-1.107737324001</v>
      </c>
      <c r="AE3917">
        <v>-0.83638999999999797</v>
      </c>
      <c r="AF3917">
        <v>-0.183008593484566</v>
      </c>
      <c r="AG3917">
        <v>-1.107737324001</v>
      </c>
      <c r="AH3917">
        <v>14.246544066114099</v>
      </c>
      <c r="AI3917">
        <v>94.445711472610697</v>
      </c>
      <c r="AJ3917">
        <v>90.735971002339198</v>
      </c>
      <c r="AK3917">
        <v>14.2907169852322</v>
      </c>
      <c r="AL3917">
        <v>93.7786535393506</v>
      </c>
      <c r="AM3917">
        <v>97.083961426269894</v>
      </c>
      <c r="AN3917">
        <v>1.00000001691531</v>
      </c>
    </row>
    <row r="3918" spans="1:40" x14ac:dyDescent="0.25">
      <c r="A3918" t="str">
        <f>"20190305135708492"</f>
        <v>20190305135708492</v>
      </c>
      <c r="B3918" t="str">
        <f>"1551765428486465"</f>
        <v>1551765428486465</v>
      </c>
      <c r="C3918" t="s">
        <v>40</v>
      </c>
      <c r="D3918">
        <v>4.3245459999999998</v>
      </c>
      <c r="E3918">
        <v>0.53039029999999998</v>
      </c>
      <c r="F3918" t="s">
        <v>86</v>
      </c>
      <c r="G3918">
        <v>-363.75979999999998</v>
      </c>
      <c r="H3918" s="1">
        <v>-3.3900970000000001E-6</v>
      </c>
      <c r="I3918">
        <v>17.13653</v>
      </c>
      <c r="J3918">
        <v>-377.9255</v>
      </c>
      <c r="K3918">
        <v>1.1077969999999999</v>
      </c>
      <c r="L3918">
        <v>17.652979999999999</v>
      </c>
      <c r="M3918">
        <v>0.99737399999999998</v>
      </c>
      <c r="N3918">
        <v>-7.9770799999999992E-3</v>
      </c>
      <c r="O3918">
        <v>-7.198206E-2</v>
      </c>
      <c r="P3918">
        <v>0.99584130000000004</v>
      </c>
      <c r="Q3918">
        <v>-7.4851920000000002E-2</v>
      </c>
      <c r="R3918">
        <v>5.1937400000000002E-2</v>
      </c>
      <c r="S3918">
        <v>3.0012819999999998</v>
      </c>
      <c r="T3918">
        <v>-0.22837979999999999</v>
      </c>
      <c r="U3918">
        <v>-0.1123962</v>
      </c>
      <c r="V3918">
        <v>-0.12359150000000001</v>
      </c>
      <c r="W3918">
        <v>-6.6763740000000002E-2</v>
      </c>
      <c r="X3918">
        <v>0.99008470000000004</v>
      </c>
      <c r="Y3918">
        <v>-3.4332250000000002E-2</v>
      </c>
      <c r="Z3918">
        <v>6.3294680000000004E-3</v>
      </c>
      <c r="AA3918">
        <v>0.99939040000000001</v>
      </c>
      <c r="AB3918">
        <v>37</v>
      </c>
      <c r="AC3918">
        <v>14.165699999999999</v>
      </c>
      <c r="AD3918">
        <v>-1.1078003900969999</v>
      </c>
      <c r="AE3918">
        <v>-0.51644999999999897</v>
      </c>
      <c r="AF3918">
        <v>-0.50153535973502195</v>
      </c>
      <c r="AG3918">
        <v>-1.1078003900969999</v>
      </c>
      <c r="AH3918">
        <v>14.0801314039165</v>
      </c>
      <c r="AI3918">
        <v>94.495825947593403</v>
      </c>
      <c r="AJ3918">
        <v>92.040017564701998</v>
      </c>
      <c r="AK3918">
        <v>14.132546117841599</v>
      </c>
      <c r="AL3918">
        <v>93.828128100193496</v>
      </c>
      <c r="AM3918">
        <v>97.115381663729806</v>
      </c>
      <c r="AN3918">
        <v>0.999999984512563</v>
      </c>
    </row>
    <row r="3919" spans="1:40" x14ac:dyDescent="0.25">
      <c r="A3919" t="str">
        <f>"20190305135708514"</f>
        <v>20190305135708514</v>
      </c>
      <c r="B3919" t="str">
        <f>"1551765428505984"</f>
        <v>1551765428505984</v>
      </c>
      <c r="C3919" t="s">
        <v>40</v>
      </c>
      <c r="D3919">
        <v>4.3256309999999996</v>
      </c>
      <c r="E3919">
        <v>0.52945699999999996</v>
      </c>
      <c r="F3919" t="s">
        <v>86</v>
      </c>
      <c r="G3919">
        <v>-363.08170000000001</v>
      </c>
      <c r="H3919" s="1">
        <v>-3.694909E-6</v>
      </c>
      <c r="I3919">
        <v>17.22523</v>
      </c>
      <c r="J3919">
        <v>-377.55259999999998</v>
      </c>
      <c r="K3919">
        <v>1.107882</v>
      </c>
      <c r="L3919">
        <v>17.625429999999898</v>
      </c>
      <c r="M3919">
        <v>0.9973187</v>
      </c>
      <c r="N3919">
        <v>-8.8300129999999994E-3</v>
      </c>
      <c r="O3919">
        <v>-7.2647539999999997E-2</v>
      </c>
      <c r="P3919">
        <v>0.99574759999999995</v>
      </c>
      <c r="Q3919">
        <v>-7.5942469999999998E-2</v>
      </c>
      <c r="R3919">
        <v>5.2149460000000002E-2</v>
      </c>
      <c r="S3919">
        <v>3.0002140000000002</v>
      </c>
      <c r="T3919">
        <v>-0.22390679999999999</v>
      </c>
      <c r="U3919">
        <v>-8.64563E-2</v>
      </c>
      <c r="V3919">
        <v>-0.1244547</v>
      </c>
      <c r="W3919">
        <v>-6.7015329999999998E-2</v>
      </c>
      <c r="X3919">
        <v>0.98995960000000005</v>
      </c>
      <c r="Y3919">
        <v>-4.3599590000000001E-2</v>
      </c>
      <c r="Z3919">
        <v>6.5840580000000003E-3</v>
      </c>
      <c r="AA3919">
        <v>0.99902740000000001</v>
      </c>
      <c r="AB3919">
        <v>37</v>
      </c>
      <c r="AC3919">
        <v>14.470899999999901</v>
      </c>
      <c r="AD3919">
        <v>-1.1078856949089999</v>
      </c>
      <c r="AE3919">
        <v>-0.400199999999998</v>
      </c>
      <c r="AF3919">
        <v>-0.64837622930198102</v>
      </c>
      <c r="AG3919">
        <v>-1.1078856949089999</v>
      </c>
      <c r="AH3919">
        <v>14.377527357391299</v>
      </c>
      <c r="AI3919">
        <v>94.401863636210194</v>
      </c>
      <c r="AJ3919">
        <v>92.582089941157903</v>
      </c>
      <c r="AK3919">
        <v>14.4347184025267</v>
      </c>
      <c r="AL3919">
        <v>93.842575372495304</v>
      </c>
      <c r="AM3919">
        <v>97.1654589227267</v>
      </c>
      <c r="AN3919">
        <v>1.00000001821962</v>
      </c>
    </row>
    <row r="3920" spans="1:40" x14ac:dyDescent="0.25">
      <c r="A3920" t="str">
        <f>"20190305135708536"</f>
        <v>20190305135708536</v>
      </c>
      <c r="B3920" t="str">
        <f>"1551765428526480"</f>
        <v>1551765428526480</v>
      </c>
      <c r="C3920" t="s">
        <v>40</v>
      </c>
      <c r="D3920">
        <v>4.2753139999999998</v>
      </c>
      <c r="E3920">
        <v>0.5288794</v>
      </c>
      <c r="F3920" t="s">
        <v>86</v>
      </c>
      <c r="G3920">
        <v>-362.53339999999997</v>
      </c>
      <c r="H3920" s="1">
        <v>-3.9524149999999998E-6</v>
      </c>
      <c r="I3920">
        <v>17.23461</v>
      </c>
      <c r="J3920">
        <v>-377.1884</v>
      </c>
      <c r="K3920">
        <v>1.107985</v>
      </c>
      <c r="L3920">
        <v>17.59836</v>
      </c>
      <c r="M3920">
        <v>0.99727160000000004</v>
      </c>
      <c r="N3920">
        <v>-9.5802319999999993E-3</v>
      </c>
      <c r="O3920">
        <v>-7.3196849999999994E-2</v>
      </c>
      <c r="P3920">
        <v>0.99569890000000005</v>
      </c>
      <c r="Q3920">
        <v>-7.6304919999999998E-2</v>
      </c>
      <c r="R3920">
        <v>5.2550430000000002E-2</v>
      </c>
      <c r="S3920">
        <v>3.0000309999999999</v>
      </c>
      <c r="T3920">
        <v>-0.2212973</v>
      </c>
      <c r="U3920">
        <v>-7.8063960000000002E-2</v>
      </c>
      <c r="V3920">
        <v>-0.1253881</v>
      </c>
      <c r="W3920">
        <v>-6.6649970000000003E-2</v>
      </c>
      <c r="X3920">
        <v>0.98986640000000004</v>
      </c>
      <c r="Y3920">
        <v>-4.6938899999999999E-2</v>
      </c>
      <c r="Z3920">
        <v>6.6390900000000003E-3</v>
      </c>
      <c r="AA3920">
        <v>0.99887570000000003</v>
      </c>
      <c r="AB3920">
        <v>37</v>
      </c>
      <c r="AC3920">
        <v>14.654999999999999</v>
      </c>
      <c r="AD3920">
        <v>-1.107988952415</v>
      </c>
      <c r="AE3920">
        <v>-0.36374999999999902</v>
      </c>
      <c r="AF3920">
        <v>-0.70594205636398399</v>
      </c>
      <c r="AG3920">
        <v>-1.107988952415</v>
      </c>
      <c r="AH3920">
        <v>14.559140965936299</v>
      </c>
      <c r="AI3920">
        <v>94.346883622268805</v>
      </c>
      <c r="AJ3920">
        <v>92.775977426623299</v>
      </c>
      <c r="AK3920">
        <v>14.618296048843099</v>
      </c>
      <c r="AL3920">
        <v>93.8215951703163</v>
      </c>
      <c r="AM3920">
        <v>97.219306957525603</v>
      </c>
      <c r="AN3920">
        <v>0.99999994198578301</v>
      </c>
    </row>
    <row r="3921" spans="1:40" x14ac:dyDescent="0.25">
      <c r="A3921" t="str">
        <f>"20190305135708557"</f>
        <v>20190305135708557</v>
      </c>
      <c r="B3921" t="str">
        <f>"1551765428546994"</f>
        <v>1551765428546994</v>
      </c>
      <c r="C3921" t="s">
        <v>40</v>
      </c>
      <c r="D3921">
        <v>4.3328419999999896</v>
      </c>
      <c r="E3921">
        <v>0.52862140000000002</v>
      </c>
      <c r="F3921" t="s">
        <v>86</v>
      </c>
      <c r="G3921">
        <v>-362.21629999999999</v>
      </c>
      <c r="H3921" s="1">
        <v>-4.101767E-6</v>
      </c>
      <c r="I3921">
        <v>17.237819999999999</v>
      </c>
      <c r="J3921">
        <v>-376.84219999999999</v>
      </c>
      <c r="K3921">
        <v>1.10809</v>
      </c>
      <c r="L3921">
        <v>17.572510000000001</v>
      </c>
      <c r="M3921">
        <v>0.9972356</v>
      </c>
      <c r="N3921">
        <v>-1.021934E-2</v>
      </c>
      <c r="O3921">
        <v>-7.3601249999999993E-2</v>
      </c>
      <c r="P3921">
        <v>0.99569949999999996</v>
      </c>
      <c r="Q3921">
        <v>-7.5826149999999995E-2</v>
      </c>
      <c r="R3921">
        <v>5.3230380000000001E-2</v>
      </c>
      <c r="S3921">
        <v>2.9997560000000001</v>
      </c>
      <c r="T3921">
        <v>-0.22199240000000001</v>
      </c>
      <c r="U3921">
        <v>-7.2235110000000005E-2</v>
      </c>
      <c r="V3921">
        <v>-0.12645399999999901</v>
      </c>
      <c r="W3921">
        <v>-6.5561259999999996E-2</v>
      </c>
      <c r="X3921">
        <v>0.98980360000000001</v>
      </c>
      <c r="Y3921">
        <v>-4.9273409999999997E-2</v>
      </c>
      <c r="Z3921">
        <v>6.7544229999999999E-3</v>
      </c>
      <c r="AA3921">
        <v>0.9987625</v>
      </c>
      <c r="AB3921">
        <v>37</v>
      </c>
      <c r="AC3921">
        <v>14.6259</v>
      </c>
      <c r="AD3921">
        <v>-1.1080941017669901</v>
      </c>
      <c r="AE3921">
        <v>-0.33468999999999799</v>
      </c>
      <c r="AF3921">
        <v>-0.73852151137987698</v>
      </c>
      <c r="AG3921">
        <v>-1.1080941017669901</v>
      </c>
      <c r="AH3921">
        <v>14.527518071644399</v>
      </c>
      <c r="AI3921">
        <v>94.356216356573</v>
      </c>
      <c r="AJ3921">
        <v>92.910185415872405</v>
      </c>
      <c r="AK3921">
        <v>14.5884223918522</v>
      </c>
      <c r="AL3921">
        <v>93.759079601181398</v>
      </c>
      <c r="AM3921">
        <v>97.2804781692181</v>
      </c>
      <c r="AN3921">
        <v>1.00000002975087</v>
      </c>
    </row>
    <row r="3922" spans="1:40" x14ac:dyDescent="0.25">
      <c r="A3922" t="str">
        <f>"20190305135708580"</f>
        <v>20190305135708580</v>
      </c>
      <c r="B3922" t="str">
        <f>"1551765428576275"</f>
        <v>1551765428576275</v>
      </c>
      <c r="C3922" t="s">
        <v>40</v>
      </c>
      <c r="D3922">
        <v>4.3955000000000002</v>
      </c>
      <c r="E3922">
        <v>0.52826830000000002</v>
      </c>
      <c r="F3922" t="s">
        <v>86</v>
      </c>
      <c r="G3922">
        <v>-361.64510000000001</v>
      </c>
      <c r="H3922" s="1">
        <v>-4.37349499999999E-6</v>
      </c>
      <c r="I3922">
        <v>17.227920000000001</v>
      </c>
      <c r="J3922">
        <v>-376.49299999999999</v>
      </c>
      <c r="K3922">
        <v>1.1082129999999999</v>
      </c>
      <c r="L3922">
        <v>17.546420000000001</v>
      </c>
      <c r="M3922">
        <v>0.99720980000000004</v>
      </c>
      <c r="N3922">
        <v>-1.0793499999999999E-2</v>
      </c>
      <c r="O3922">
        <v>-7.3864440000000003E-2</v>
      </c>
      <c r="P3922">
        <v>0.99567300000000003</v>
      </c>
      <c r="Q3922">
        <v>-7.5791979999999995E-2</v>
      </c>
      <c r="R3922">
        <v>5.3768410000000003E-2</v>
      </c>
      <c r="S3922">
        <v>2.9999690000000001</v>
      </c>
      <c r="T3922">
        <v>-0.2187433</v>
      </c>
      <c r="U3922">
        <v>-6.8023680000000003E-2</v>
      </c>
      <c r="V3922">
        <v>-0.12723329999999999</v>
      </c>
      <c r="W3922">
        <v>-6.4990590000000001E-2</v>
      </c>
      <c r="X3922">
        <v>0.98974130000000005</v>
      </c>
      <c r="Y3922">
        <v>-5.0945650000000002E-2</v>
      </c>
      <c r="Z3922">
        <v>6.7062750000000003E-3</v>
      </c>
      <c r="AA3922">
        <v>0.99867890000000004</v>
      </c>
      <c r="AB3922">
        <v>37</v>
      </c>
      <c r="AC3922">
        <v>14.847899999999999</v>
      </c>
      <c r="AD3922">
        <v>-1.1082173734949901</v>
      </c>
      <c r="AE3922">
        <v>-0.31850000000000001</v>
      </c>
      <c r="AF3922">
        <v>-0.774851367878574</v>
      </c>
      <c r="AG3922">
        <v>-1.1082173734949901</v>
      </c>
      <c r="AH3922">
        <v>14.748737410019499</v>
      </c>
      <c r="AI3922">
        <v>94.291223240817502</v>
      </c>
      <c r="AJ3922">
        <v>93.007371658600604</v>
      </c>
      <c r="AK3922">
        <v>14.810597407901099</v>
      </c>
      <c r="AL3922">
        <v>93.726312976744595</v>
      </c>
      <c r="AM3922">
        <v>97.325315935564902</v>
      </c>
      <c r="AN3922">
        <v>0.99999996517156298</v>
      </c>
    </row>
    <row r="3923" spans="1:40" x14ac:dyDescent="0.25">
      <c r="A3923" t="str">
        <f>"20190305135708602"</f>
        <v>20190305135708602</v>
      </c>
      <c r="B3923" t="str">
        <f>"1551765428596771"</f>
        <v>1551765428596771</v>
      </c>
      <c r="C3923" t="s">
        <v>40</v>
      </c>
      <c r="D3923">
        <v>4.4139249999999999</v>
      </c>
      <c r="E3923">
        <v>0.52810249999999903</v>
      </c>
      <c r="F3923" t="s">
        <v>86</v>
      </c>
      <c r="G3923">
        <v>-361.19510000000002</v>
      </c>
      <c r="H3923" s="1">
        <v>-4.5872199999999996E-6</v>
      </c>
      <c r="I3923">
        <v>17.22241</v>
      </c>
      <c r="J3923">
        <v>-376.11619999999999</v>
      </c>
      <c r="K3923">
        <v>1.108371</v>
      </c>
      <c r="L3923">
        <v>17.518370000000001</v>
      </c>
      <c r="M3923">
        <v>0.99719840000000004</v>
      </c>
      <c r="N3923">
        <v>-1.133993E-2</v>
      </c>
      <c r="O3923">
        <v>-7.393827E-2</v>
      </c>
      <c r="P3923">
        <v>0.99557169999999895</v>
      </c>
      <c r="Q3923">
        <v>-7.6566330000000002E-2</v>
      </c>
      <c r="R3923">
        <v>5.4540249999999998E-2</v>
      </c>
      <c r="S3923">
        <v>2.999908</v>
      </c>
      <c r="T3923">
        <v>-0.21732009999999999</v>
      </c>
      <c r="U3923">
        <v>-6.35376E-2</v>
      </c>
      <c r="V3923">
        <v>-0.12804589999999999</v>
      </c>
      <c r="W3923">
        <v>-6.5271170000000003E-2</v>
      </c>
      <c r="X3923">
        <v>0.98961809999999995</v>
      </c>
      <c r="Y3923">
        <v>-5.251281E-2</v>
      </c>
      <c r="Z3923">
        <v>6.7033409999999998E-3</v>
      </c>
      <c r="AA3923">
        <v>0.99859770000000003</v>
      </c>
      <c r="AB3923">
        <v>37</v>
      </c>
      <c r="AC3923">
        <v>14.9210999999999</v>
      </c>
      <c r="AD3923">
        <v>-1.1083755872200001</v>
      </c>
      <c r="AE3923">
        <v>-0.29596</v>
      </c>
      <c r="AF3923">
        <v>-0.80372826958874399</v>
      </c>
      <c r="AG3923">
        <v>-1.1083755872200001</v>
      </c>
      <c r="AH3923">
        <v>14.820392205670201</v>
      </c>
      <c r="AI3923">
        <v>94.270776252603099</v>
      </c>
      <c r="AJ3923">
        <v>93.104180481521993</v>
      </c>
      <c r="AK3923">
        <v>14.883497596451299</v>
      </c>
      <c r="AL3923">
        <v>93.742422986914306</v>
      </c>
      <c r="AM3923">
        <v>97.372495117310606</v>
      </c>
      <c r="AN3923">
        <v>1.00000003099379</v>
      </c>
    </row>
    <row r="3924" spans="1:40" x14ac:dyDescent="0.25">
      <c r="A3924" t="str">
        <f>"20190305135708625"</f>
        <v>20190305135708625</v>
      </c>
      <c r="B3924" t="str">
        <f>"1551765428616291"</f>
        <v>1551765428616291</v>
      </c>
      <c r="C3924" t="s">
        <v>40</v>
      </c>
      <c r="D3924">
        <v>4.3968550000000004</v>
      </c>
      <c r="E3924">
        <v>0.52790870000000001</v>
      </c>
      <c r="F3924" t="s">
        <v>86</v>
      </c>
      <c r="G3924">
        <v>-360.96620000000001</v>
      </c>
      <c r="H3924" s="1">
        <v>-4.6965470000000001E-6</v>
      </c>
      <c r="I3924">
        <v>17.215979999999998</v>
      </c>
      <c r="J3924">
        <v>-375.73809999999997</v>
      </c>
      <c r="K3924">
        <v>1.1085689999999999</v>
      </c>
      <c r="L3924">
        <v>17.49042</v>
      </c>
      <c r="M3924">
        <v>0.99720719999999996</v>
      </c>
      <c r="N3924">
        <v>-1.1819700000000001E-2</v>
      </c>
      <c r="O3924">
        <v>-7.3743690000000001E-2</v>
      </c>
      <c r="P3924">
        <v>0.99536990000000003</v>
      </c>
      <c r="Q3924">
        <v>-7.8231770000000006E-2</v>
      </c>
      <c r="R3924">
        <v>5.584633E-2</v>
      </c>
      <c r="S3924">
        <v>2.9998170000000002</v>
      </c>
      <c r="T3924">
        <v>-0.21946750000000001</v>
      </c>
      <c r="U3924">
        <v>-5.9875490000000003E-2</v>
      </c>
      <c r="V3924">
        <v>-0.12911049999999999</v>
      </c>
      <c r="W3924">
        <v>-6.6525130000000002E-2</v>
      </c>
      <c r="X3924">
        <v>0.98939619999999995</v>
      </c>
      <c r="Y3924">
        <v>-5.3528510000000001E-2</v>
      </c>
      <c r="Z3924">
        <v>6.7835109999999999E-3</v>
      </c>
      <c r="AA3924">
        <v>0.99854330000000002</v>
      </c>
      <c r="AB3924">
        <v>37</v>
      </c>
      <c r="AC3924">
        <v>14.771899999999899</v>
      </c>
      <c r="AD3924">
        <v>-1.1085736965469899</v>
      </c>
      <c r="AE3924">
        <v>-0.27444000000000102</v>
      </c>
      <c r="AF3924">
        <v>-0.811151076241442</v>
      </c>
      <c r="AG3924">
        <v>-1.1085736965469899</v>
      </c>
      <c r="AH3924">
        <v>14.669325529316099</v>
      </c>
      <c r="AI3924">
        <v>94.315110452577997</v>
      </c>
      <c r="AJ3924">
        <v>93.164988853387698</v>
      </c>
      <c r="AK3924">
        <v>14.7334996926802</v>
      </c>
      <c r="AL3924">
        <v>93.814426319327595</v>
      </c>
      <c r="AM3924">
        <v>97.434757319682603</v>
      </c>
      <c r="AN3924">
        <v>0.99999997735310298</v>
      </c>
    </row>
    <row r="3925" spans="1:40" x14ac:dyDescent="0.25">
      <c r="A3925" t="str">
        <f>"20190305135708648"</f>
        <v>20190305135708648</v>
      </c>
      <c r="B3925" t="str">
        <f>"1551765428636789"</f>
        <v>1551765428636789</v>
      </c>
      <c r="C3925" t="s">
        <v>40</v>
      </c>
      <c r="D3925">
        <v>4.4027390000000004</v>
      </c>
      <c r="E3925">
        <v>0.52775479999999997</v>
      </c>
      <c r="F3925" t="s">
        <v>86</v>
      </c>
      <c r="G3925">
        <v>-361.0324</v>
      </c>
      <c r="H3925" s="1">
        <v>-4.6639679999999997E-6</v>
      </c>
      <c r="I3925">
        <v>17.223320000000001</v>
      </c>
      <c r="J3925">
        <v>-375.37119999999999</v>
      </c>
      <c r="K3925">
        <v>1.1087910000000001</v>
      </c>
      <c r="L3925">
        <v>17.463650000000001</v>
      </c>
      <c r="M3925">
        <v>0.99723850000000003</v>
      </c>
      <c r="N3925">
        <v>-1.222614E-2</v>
      </c>
      <c r="O3925">
        <v>-7.3252880000000006E-2</v>
      </c>
      <c r="P3925">
        <v>0.99500219999999995</v>
      </c>
      <c r="Q3925">
        <v>-8.0960959999999998E-2</v>
      </c>
      <c r="R3925">
        <v>5.8448029999999998E-2</v>
      </c>
      <c r="S3925">
        <v>2.9992369999999999</v>
      </c>
      <c r="T3925">
        <v>-0.22609460000000001</v>
      </c>
      <c r="U3925">
        <v>-5.4473880000000002E-2</v>
      </c>
      <c r="V3925">
        <v>-0.1311533</v>
      </c>
      <c r="W3925">
        <v>-6.8932060000000003E-2</v>
      </c>
      <c r="X3925">
        <v>0.98896269999999997</v>
      </c>
      <c r="Y3925">
        <v>-5.4809320000000002E-2</v>
      </c>
      <c r="Z3925">
        <v>7.0123679999999997E-3</v>
      </c>
      <c r="AA3925">
        <v>0.99847220000000003</v>
      </c>
      <c r="AB3925">
        <v>37</v>
      </c>
      <c r="AC3925">
        <v>14.3387999999999</v>
      </c>
      <c r="AD3925">
        <v>-1.1087956639679999</v>
      </c>
      <c r="AE3925">
        <v>-0.24032999999999999</v>
      </c>
      <c r="AF3925">
        <v>-0.80593475563434602</v>
      </c>
      <c r="AG3925">
        <v>-1.1087956639679999</v>
      </c>
      <c r="AH3925">
        <v>14.2327942290599</v>
      </c>
      <c r="AI3925">
        <v>94.447493658223905</v>
      </c>
      <c r="AJ3925">
        <v>93.240923759588796</v>
      </c>
      <c r="AK3925">
        <v>14.298649944016899</v>
      </c>
      <c r="AL3925">
        <v>93.952650513330198</v>
      </c>
      <c r="AM3925">
        <v>97.554315533796498</v>
      </c>
      <c r="AN3925">
        <v>1.00000001949401</v>
      </c>
    </row>
    <row r="3926" spans="1:40" x14ac:dyDescent="0.25">
      <c r="A3926" t="str">
        <f>"20190305135708680"</f>
        <v>20190305135708680</v>
      </c>
      <c r="B3926" t="str">
        <f>"1551765428676805"</f>
        <v>1551765428676805</v>
      </c>
      <c r="C3926" t="s">
        <v>40</v>
      </c>
      <c r="D3926">
        <v>4.3258479999999997</v>
      </c>
      <c r="E3926">
        <v>0.47034740000000003</v>
      </c>
      <c r="F3926" t="s">
        <v>86</v>
      </c>
      <c r="G3926">
        <v>-361.221</v>
      </c>
      <c r="H3926" s="1">
        <v>-4.5702169999999997E-6</v>
      </c>
      <c r="I3926">
        <v>17.249220000000001</v>
      </c>
      <c r="J3926">
        <v>-374.84739999999999</v>
      </c>
      <c r="K3926">
        <v>1.1092139999999999</v>
      </c>
      <c r="L3926">
        <v>17.426449999999999</v>
      </c>
      <c r="M3926">
        <v>0.99732920000000003</v>
      </c>
      <c r="N3926">
        <v>-1.2713260000000001E-2</v>
      </c>
      <c r="O3926">
        <v>-7.1924899999999903E-2</v>
      </c>
      <c r="P3926">
        <v>0.99452220000000002</v>
      </c>
      <c r="Q3926">
        <v>-8.2674280000000003E-2</v>
      </c>
      <c r="R3926">
        <v>6.3960429999999999E-2</v>
      </c>
      <c r="S3926">
        <v>2.998596</v>
      </c>
      <c r="T3926">
        <v>-0.23496739999999999</v>
      </c>
      <c r="U3926">
        <v>-4.5440670000000002E-2</v>
      </c>
      <c r="V3926">
        <v>-0.13523199999999999</v>
      </c>
      <c r="W3926">
        <v>-7.0306899999999894E-2</v>
      </c>
      <c r="X3926">
        <v>0.98831639999999998</v>
      </c>
      <c r="Y3926">
        <v>-5.6453999999999997E-2</v>
      </c>
      <c r="Z3926">
        <v>7.2765379999999999E-3</v>
      </c>
      <c r="AA3926">
        <v>0.99837869999999995</v>
      </c>
      <c r="AB3926">
        <v>37</v>
      </c>
      <c r="AC3926">
        <v>13.626399999999901</v>
      </c>
      <c r="AD3926">
        <v>-1.1092185702170001</v>
      </c>
      <c r="AE3926">
        <v>-0.177229999999998</v>
      </c>
      <c r="AF3926">
        <v>-0.798098035567395</v>
      </c>
      <c r="AG3926">
        <v>-1.1092185702170001</v>
      </c>
      <c r="AH3926">
        <v>13.5143159381111</v>
      </c>
      <c r="AI3926">
        <v>94.684040760287502</v>
      </c>
      <c r="AJ3926">
        <v>93.379719744260399</v>
      </c>
      <c r="AK3926">
        <v>13.583227215429099</v>
      </c>
      <c r="AL3926">
        <v>94.031614601102604</v>
      </c>
      <c r="AM3926">
        <v>97.7914352024343</v>
      </c>
      <c r="AN3926">
        <v>1.0000000302602801</v>
      </c>
    </row>
    <row r="3927" spans="1:40" x14ac:dyDescent="0.25">
      <c r="A3927" t="str">
        <f>"20190305135708704"</f>
        <v>20190305135708704</v>
      </c>
      <c r="B3927" t="str">
        <f>"1551765428696325"</f>
        <v>1551765428696325</v>
      </c>
      <c r="C3927" t="s">
        <v>40</v>
      </c>
      <c r="D3927">
        <v>4.4431699999999896</v>
      </c>
      <c r="E3927">
        <v>0.45719199999999999</v>
      </c>
      <c r="F3927" t="s">
        <v>42</v>
      </c>
      <c r="G3927">
        <v>-350.57549999999998</v>
      </c>
      <c r="H3927" s="1">
        <v>-4.3192689999999997E-6</v>
      </c>
      <c r="I3927">
        <v>20.964200000000002</v>
      </c>
      <c r="J3927">
        <v>-374.46100000000001</v>
      </c>
      <c r="K3927">
        <v>1.109537</v>
      </c>
      <c r="L3927">
        <v>17.399840000000001</v>
      </c>
      <c r="M3927">
        <v>0.99742379999999997</v>
      </c>
      <c r="N3927">
        <v>-1.3019040000000001E-2</v>
      </c>
      <c r="O3927">
        <v>-7.0544060000000006E-2</v>
      </c>
      <c r="P3927">
        <v>0.99423919999999999</v>
      </c>
      <c r="Q3927">
        <v>-8.2626550000000007E-2</v>
      </c>
      <c r="R3927">
        <v>6.8277580000000004E-2</v>
      </c>
      <c r="S3927">
        <v>2.9772639999999999</v>
      </c>
      <c r="T3927">
        <v>-0.13605999999999999</v>
      </c>
      <c r="U3927">
        <v>0.43396000000000001</v>
      </c>
      <c r="V3927">
        <v>-0.138099</v>
      </c>
      <c r="W3927">
        <v>-7.0071350000000004E-2</v>
      </c>
      <c r="X3927">
        <v>0.98793660000000005</v>
      </c>
      <c r="Y3927">
        <v>-0.2133681</v>
      </c>
      <c r="Z3927">
        <v>8.5391809999999999E-3</v>
      </c>
      <c r="AA3927">
        <v>0.97693459999999999</v>
      </c>
      <c r="AB3927">
        <v>36</v>
      </c>
      <c r="AC3927">
        <v>23.8855</v>
      </c>
      <c r="AD3927">
        <v>-1.109541319269</v>
      </c>
      <c r="AE3927">
        <v>3.5643600000000002</v>
      </c>
      <c r="AF3927">
        <v>-5.2295625565480304</v>
      </c>
      <c r="AG3927">
        <v>-1.109541319269</v>
      </c>
      <c r="AH3927">
        <v>23.524860424217501</v>
      </c>
      <c r="AI3927">
        <v>92.636078991476893</v>
      </c>
      <c r="AJ3927">
        <v>102.533021971157</v>
      </c>
      <c r="AK3927">
        <v>24.124644338330199</v>
      </c>
      <c r="AL3927">
        <v>94.018085227219999</v>
      </c>
      <c r="AM3927">
        <v>97.957544310546993</v>
      </c>
      <c r="AN3927">
        <v>1.0000000267556901</v>
      </c>
    </row>
    <row r="3928" spans="1:40" x14ac:dyDescent="0.25">
      <c r="A3928" t="str">
        <f>"20190305135708725"</f>
        <v>20190305135708725</v>
      </c>
      <c r="B3928" t="str">
        <f>"1551765428716822"</f>
        <v>1551765428716822</v>
      </c>
      <c r="C3928" t="s">
        <v>40</v>
      </c>
      <c r="D3928">
        <v>4.3175840000000001</v>
      </c>
      <c r="E3928">
        <v>0.45428819999999998</v>
      </c>
      <c r="F3928" t="s">
        <v>42</v>
      </c>
      <c r="G3928">
        <v>-352.94970000000001</v>
      </c>
      <c r="H3928" s="1">
        <v>-3.4797930000000001E-6</v>
      </c>
      <c r="I3928">
        <v>21.393699999999999</v>
      </c>
      <c r="J3928">
        <v>-374.11090000000002</v>
      </c>
      <c r="K3928">
        <v>1.10982</v>
      </c>
      <c r="L3928">
        <v>17.376560000000001</v>
      </c>
      <c r="M3928">
        <v>0.99752909999999995</v>
      </c>
      <c r="N3928">
        <v>-1.325906E-2</v>
      </c>
      <c r="O3928">
        <v>-6.8990659999999995E-2</v>
      </c>
      <c r="P3928">
        <v>0.99398390000000003</v>
      </c>
      <c r="Q3928">
        <v>-8.2222359999999994E-2</v>
      </c>
      <c r="R3928">
        <v>7.2357370000000004E-2</v>
      </c>
      <c r="S3928">
        <v>2.9668269999999999</v>
      </c>
      <c r="T3928">
        <v>-0.15302729999999901</v>
      </c>
      <c r="U3928">
        <v>0.55084230000000001</v>
      </c>
      <c r="V3928">
        <v>-0.14056949999999999</v>
      </c>
      <c r="W3928">
        <v>-6.9533529999999996E-2</v>
      </c>
      <c r="X3928">
        <v>0.98762609999999995</v>
      </c>
      <c r="Y3928">
        <v>-0.2494943</v>
      </c>
      <c r="Z3928">
        <v>1.0669090000000001E-2</v>
      </c>
      <c r="AA3928">
        <v>0.96831750000000005</v>
      </c>
      <c r="AB3928">
        <v>36</v>
      </c>
      <c r="AC3928">
        <v>21.161200000000001</v>
      </c>
      <c r="AD3928">
        <v>-1.109823479793</v>
      </c>
      <c r="AE3928">
        <v>4.0171399999999897</v>
      </c>
      <c r="AF3928">
        <v>-5.4531426601114097</v>
      </c>
      <c r="AG3928">
        <v>-1.109823479793</v>
      </c>
      <c r="AH3928">
        <v>20.7784357854751</v>
      </c>
      <c r="AI3928">
        <v>92.957427369798495</v>
      </c>
      <c r="AJ3928">
        <v>104.70521663557599</v>
      </c>
      <c r="AK3928">
        <v>21.510738404781499</v>
      </c>
      <c r="AL3928">
        <v>93.987195153159504</v>
      </c>
      <c r="AM3928">
        <v>98.100539678552593</v>
      </c>
      <c r="AN3928">
        <v>1.0000000047628601</v>
      </c>
    </row>
    <row r="3929" spans="1:40" x14ac:dyDescent="0.25">
      <c r="A3929" t="str">
        <f>"20190305135708748"</f>
        <v>20190305135708748</v>
      </c>
      <c r="B3929" t="str">
        <f>"1551765428736341"</f>
        <v>1551765428736341</v>
      </c>
      <c r="C3929" t="s">
        <v>40</v>
      </c>
      <c r="D3929">
        <v>4.2895779999999997</v>
      </c>
      <c r="E3929">
        <v>0.4531386</v>
      </c>
      <c r="F3929" t="s">
        <v>42</v>
      </c>
      <c r="G3929">
        <v>-353.7647</v>
      </c>
      <c r="H3929" s="1">
        <v>-3.131447E-6</v>
      </c>
      <c r="I3929">
        <v>21.398530000000001</v>
      </c>
      <c r="J3929">
        <v>-373.75150000000002</v>
      </c>
      <c r="K3929">
        <v>1.110112</v>
      </c>
      <c r="L3929">
        <v>17.353449999999999</v>
      </c>
      <c r="M3929">
        <v>0.99765649999999995</v>
      </c>
      <c r="N3929">
        <v>-1.3473600000000001E-2</v>
      </c>
      <c r="O3929">
        <v>-6.7082130000000004E-2</v>
      </c>
      <c r="P3929">
        <v>0.99358809999999997</v>
      </c>
      <c r="Q3929">
        <v>-8.2214880000000004E-2</v>
      </c>
      <c r="R3929">
        <v>7.761113E-2</v>
      </c>
      <c r="S3929">
        <v>2.962189</v>
      </c>
      <c r="T3929">
        <v>-0.1615789</v>
      </c>
      <c r="U3929">
        <v>0.58557130000000002</v>
      </c>
      <c r="V3929">
        <v>-0.143851799999999</v>
      </c>
      <c r="W3929">
        <v>-6.9426370000000001E-2</v>
      </c>
      <c r="X3929">
        <v>0.98716090000000001</v>
      </c>
      <c r="Y3929">
        <v>-0.25878640000000003</v>
      </c>
      <c r="Z3929">
        <v>1.147872E-2</v>
      </c>
      <c r="AA3929">
        <v>0.96586640000000001</v>
      </c>
      <c r="AB3929">
        <v>36</v>
      </c>
      <c r="AC3929">
        <v>19.986799999999999</v>
      </c>
      <c r="AD3929">
        <v>-1.1101151314469999</v>
      </c>
      <c r="AE3929">
        <v>4.0450799999999898</v>
      </c>
      <c r="AF3929">
        <v>-5.3609578576259702</v>
      </c>
      <c r="AG3929">
        <v>-1.1101151314469999</v>
      </c>
      <c r="AH3929">
        <v>19.612271145041799</v>
      </c>
      <c r="AI3929">
        <v>93.125247112955407</v>
      </c>
      <c r="AJ3929">
        <v>105.28816949012599</v>
      </c>
      <c r="AK3929">
        <v>20.3620579564775</v>
      </c>
      <c r="AL3929">
        <v>93.981040475319801</v>
      </c>
      <c r="AM3929">
        <v>98.290940797506295</v>
      </c>
      <c r="AN3929">
        <v>1.0000000018517099</v>
      </c>
    </row>
    <row r="3930" spans="1:40" x14ac:dyDescent="0.25">
      <c r="A3930" t="str">
        <f>"20190305135708770"</f>
        <v>20190305135708770</v>
      </c>
      <c r="B3930" t="str">
        <f>"1551765428766598"</f>
        <v>1551765428766598</v>
      </c>
      <c r="C3930" t="s">
        <v>40</v>
      </c>
      <c r="D3930">
        <v>4.3151070000000002</v>
      </c>
      <c r="E3930">
        <v>0.45274819999999999</v>
      </c>
      <c r="F3930" t="s">
        <v>42</v>
      </c>
      <c r="G3930">
        <v>-354.17320000000001</v>
      </c>
      <c r="H3930" s="1">
        <v>-2.9541860000000001E-6</v>
      </c>
      <c r="I3930">
        <v>21.390979999999999</v>
      </c>
      <c r="J3930">
        <v>-373.39819999999997</v>
      </c>
      <c r="K3930">
        <v>1.11039</v>
      </c>
      <c r="L3930">
        <v>17.331759999999999</v>
      </c>
      <c r="M3930">
        <v>0.99779810000000002</v>
      </c>
      <c r="N3930">
        <v>-1.365677E-2</v>
      </c>
      <c r="O3930">
        <v>-6.4902169999999995E-2</v>
      </c>
      <c r="P3930">
        <v>0.99317409999999995</v>
      </c>
      <c r="Q3930">
        <v>-8.2068940000000007E-2</v>
      </c>
      <c r="R3930">
        <v>8.2884239999999998E-2</v>
      </c>
      <c r="S3930">
        <v>2.9577939999999998</v>
      </c>
      <c r="T3930">
        <v>-0.16771150000000001</v>
      </c>
      <c r="U3930">
        <v>0.60998540000000001</v>
      </c>
      <c r="V3930">
        <v>-0.1468884</v>
      </c>
      <c r="W3930">
        <v>-6.9210540000000001E-2</v>
      </c>
      <c r="X3930">
        <v>0.98672879999999996</v>
      </c>
      <c r="Y3930">
        <v>-0.264555599999999</v>
      </c>
      <c r="Z3930">
        <v>1.2010989999999999E-2</v>
      </c>
      <c r="AA3930">
        <v>0.96429560000000003</v>
      </c>
      <c r="AB3930">
        <v>36</v>
      </c>
      <c r="AC3930">
        <v>19.224999999999898</v>
      </c>
      <c r="AD3930">
        <v>-1.110392954186</v>
      </c>
      <c r="AE3930">
        <v>4.0592199999999998</v>
      </c>
      <c r="AF3930">
        <v>-5.2816533474679996</v>
      </c>
      <c r="AG3930">
        <v>-1.110392954186</v>
      </c>
      <c r="AH3930">
        <v>18.860748861246101</v>
      </c>
      <c r="AI3930">
        <v>93.244755518912797</v>
      </c>
      <c r="AJ3930">
        <v>105.644059636528</v>
      </c>
      <c r="AK3930">
        <v>19.6177644547619</v>
      </c>
      <c r="AL3930">
        <v>93.968644466137206</v>
      </c>
      <c r="AM3930">
        <v>98.467099497506496</v>
      </c>
      <c r="AN3930">
        <v>1.00000001282554</v>
      </c>
    </row>
    <row r="3931" spans="1:40" x14ac:dyDescent="0.25">
      <c r="A3931" t="str">
        <f>"20190305135708791"</f>
        <v>20190305135708791</v>
      </c>
      <c r="B3931" t="str">
        <f>"1551765428786118"</f>
        <v>1551765428786118</v>
      </c>
      <c r="C3931" t="s">
        <v>40</v>
      </c>
      <c r="D3931">
        <v>4.3487809999999998</v>
      </c>
      <c r="E3931">
        <v>0.45280629999999999</v>
      </c>
      <c r="F3931" t="s">
        <v>42</v>
      </c>
      <c r="G3931">
        <v>-354.0147</v>
      </c>
      <c r="H3931" s="1">
        <v>-3.0398250000000002E-6</v>
      </c>
      <c r="I3931">
        <v>21.457190000000001</v>
      </c>
      <c r="J3931">
        <v>-373.04230000000001</v>
      </c>
      <c r="K3931">
        <v>1.1106549999999999</v>
      </c>
      <c r="L3931">
        <v>17.310970000000001</v>
      </c>
      <c r="M3931">
        <v>0.99795370000000005</v>
      </c>
      <c r="N3931">
        <v>-1.381664E-2</v>
      </c>
      <c r="O3931">
        <v>-6.2431639999999997E-2</v>
      </c>
      <c r="P3931">
        <v>0.99272320000000003</v>
      </c>
      <c r="Q3931">
        <v>-8.1711019999999995E-2</v>
      </c>
      <c r="R3931">
        <v>8.8453809999999994E-2</v>
      </c>
      <c r="S3931">
        <v>2.9541629999999999</v>
      </c>
      <c r="T3931">
        <v>-0.16923060000000001</v>
      </c>
      <c r="U3931">
        <v>0.62875369999999997</v>
      </c>
      <c r="V3931">
        <v>-0.1499385</v>
      </c>
      <c r="W3931">
        <v>-6.8804509999999999E-2</v>
      </c>
      <c r="X3931">
        <v>0.98629829999999996</v>
      </c>
      <c r="Y3931">
        <v>-0.26825329999999997</v>
      </c>
      <c r="Z3931">
        <v>1.215454E-2</v>
      </c>
      <c r="AA3931">
        <v>0.96327169999999895</v>
      </c>
      <c r="AB3931">
        <v>36</v>
      </c>
      <c r="AC3931">
        <v>19.0276</v>
      </c>
      <c r="AD3931">
        <v>-1.1106580398250001</v>
      </c>
      <c r="AE3931">
        <v>4.1462199999999996</v>
      </c>
      <c r="AF3931">
        <v>-5.3088994177039597</v>
      </c>
      <c r="AG3931">
        <v>-1.1106580398250001</v>
      </c>
      <c r="AH3931">
        <v>18.6708637113625</v>
      </c>
      <c r="AI3931">
        <v>93.274783499563696</v>
      </c>
      <c r="AJ3931">
        <v>105.87264533581499</v>
      </c>
      <c r="AK3931">
        <v>19.442713957598599</v>
      </c>
      <c r="AL3931">
        <v>93.945325218300098</v>
      </c>
      <c r="AM3931">
        <v>98.644003947850905</v>
      </c>
      <c r="AN3931">
        <v>0.99999997548073905</v>
      </c>
    </row>
    <row r="3932" spans="1:40" x14ac:dyDescent="0.25">
      <c r="A3932" t="str">
        <f>"20190305135708814"</f>
        <v>20190305135708814</v>
      </c>
      <c r="B3932" t="str">
        <f>"1551765428806614"</f>
        <v>1551765428806614</v>
      </c>
      <c r="C3932" t="s">
        <v>40</v>
      </c>
      <c r="D3932">
        <v>4.3494089999999996</v>
      </c>
      <c r="E3932">
        <v>0.4530419</v>
      </c>
      <c r="F3932" t="s">
        <v>42</v>
      </c>
      <c r="G3932">
        <v>-353.93270000000001</v>
      </c>
      <c r="H3932" s="1">
        <v>-3.0828360000000001E-6</v>
      </c>
      <c r="I3932">
        <v>21.486619999999998</v>
      </c>
      <c r="J3932">
        <v>-372.67680000000001</v>
      </c>
      <c r="K3932">
        <v>1.110895</v>
      </c>
      <c r="L3932">
        <v>17.290769999999998</v>
      </c>
      <c r="M3932">
        <v>0.99811919999999998</v>
      </c>
      <c r="N3932">
        <v>-1.395861E-2</v>
      </c>
      <c r="O3932">
        <v>-5.9693929999999999E-2</v>
      </c>
      <c r="P3932">
        <v>0.99223030000000001</v>
      </c>
      <c r="Q3932">
        <v>-8.1007179999999998E-2</v>
      </c>
      <c r="R3932">
        <v>9.4431070000000006E-2</v>
      </c>
      <c r="S3932">
        <v>2.9504389999999998</v>
      </c>
      <c r="T3932">
        <v>-0.17148070000000001</v>
      </c>
      <c r="U3932">
        <v>0.64471440000000002</v>
      </c>
      <c r="V3932">
        <v>-0.15314029999999901</v>
      </c>
      <c r="W3932">
        <v>-6.8064769999999997E-2</v>
      </c>
      <c r="X3932">
        <v>0.9858576</v>
      </c>
      <c r="Y3932">
        <v>-0.27081809999999901</v>
      </c>
      <c r="Z3932">
        <v>1.22942E-2</v>
      </c>
      <c r="AA3932">
        <v>0.96255199999999996</v>
      </c>
      <c r="AB3932">
        <v>36</v>
      </c>
      <c r="AC3932">
        <v>18.7441</v>
      </c>
      <c r="AD3932">
        <v>-1.110898082836</v>
      </c>
      <c r="AE3932">
        <v>4.1958500000000001</v>
      </c>
      <c r="AF3932">
        <v>-5.2896905642901597</v>
      </c>
      <c r="AG3932">
        <v>-1.110898082836</v>
      </c>
      <c r="AH3932">
        <v>18.3986346093929</v>
      </c>
      <c r="AI3932">
        <v>93.321074969689505</v>
      </c>
      <c r="AJ3932">
        <v>106.04018237357199</v>
      </c>
      <c r="AK3932">
        <v>19.176148630690701</v>
      </c>
      <c r="AL3932">
        <v>93.902841597031994</v>
      </c>
      <c r="AM3932">
        <v>98.829595524395799</v>
      </c>
      <c r="AN3932">
        <v>0.99999998593850103</v>
      </c>
    </row>
    <row r="3933" spans="1:40" x14ac:dyDescent="0.25">
      <c r="A3933" t="str">
        <f>"20190305135708837"</f>
        <v>20190305135708837</v>
      </c>
      <c r="B3933" t="str">
        <f>"1551765428826134"</f>
        <v>1551765428826134</v>
      </c>
      <c r="C3933" t="s">
        <v>40</v>
      </c>
      <c r="D3933">
        <v>4.3831550000000004</v>
      </c>
      <c r="E3933">
        <v>0.45337640000000001</v>
      </c>
      <c r="F3933" t="s">
        <v>42</v>
      </c>
      <c r="G3933">
        <v>-353.34539999999998</v>
      </c>
      <c r="H3933" s="1">
        <v>-3.3713810000000001E-6</v>
      </c>
      <c r="I3933">
        <v>21.62415</v>
      </c>
      <c r="J3933">
        <v>-372.30970000000002</v>
      </c>
      <c r="K3933">
        <v>1.1111</v>
      </c>
      <c r="L3933">
        <v>17.271609999999999</v>
      </c>
      <c r="M3933">
        <v>0.99828709999999998</v>
      </c>
      <c r="N3933">
        <v>-1.408032E-2</v>
      </c>
      <c r="O3933">
        <v>-5.6786370000000003E-2</v>
      </c>
      <c r="P3933">
        <v>0.99175749999999996</v>
      </c>
      <c r="Q3933">
        <v>-7.9500689999999999E-2</v>
      </c>
      <c r="R3933">
        <v>0.10048360000000001</v>
      </c>
      <c r="S3933">
        <v>2.9468380000000001</v>
      </c>
      <c r="T3933">
        <v>-0.16934260000000001</v>
      </c>
      <c r="U3933">
        <v>0.66058349999999999</v>
      </c>
      <c r="V3933">
        <v>-0.15626590000000001</v>
      </c>
      <c r="W3933">
        <v>-6.6530119999999998E-2</v>
      </c>
      <c r="X3933">
        <v>0.98547180000000001</v>
      </c>
      <c r="Y3933">
        <v>-0.27321099999999998</v>
      </c>
      <c r="Z3933">
        <v>1.21329E-2</v>
      </c>
      <c r="AA3933">
        <v>0.9618776</v>
      </c>
      <c r="AB3933">
        <v>36</v>
      </c>
      <c r="AC3933">
        <v>18.964300000000001</v>
      </c>
      <c r="AD3933">
        <v>-1.1111033713809999</v>
      </c>
      <c r="AE3933">
        <v>4.3525400000000003</v>
      </c>
      <c r="AF3933">
        <v>-5.40491062023826</v>
      </c>
      <c r="AG3933">
        <v>-1.1111033713809999</v>
      </c>
      <c r="AH3933">
        <v>18.625765588391399</v>
      </c>
      <c r="AI3933">
        <v>93.278931642705203</v>
      </c>
      <c r="AJ3933">
        <v>106.181915634034</v>
      </c>
      <c r="AK3933">
        <v>19.425929920298898</v>
      </c>
      <c r="AL3933">
        <v>93.814712855765805</v>
      </c>
      <c r="AM3933">
        <v>99.010350704640302</v>
      </c>
      <c r="AN3933">
        <v>0.999999978482632</v>
      </c>
    </row>
    <row r="3934" spans="1:40" x14ac:dyDescent="0.25">
      <c r="A3934" t="str">
        <f>"20190305135708859"</f>
        <v>20190305135708859</v>
      </c>
      <c r="B3934" t="str">
        <f>"1551765428856390"</f>
        <v>1551765428856390</v>
      </c>
      <c r="C3934" t="s">
        <v>40</v>
      </c>
      <c r="D3934">
        <v>4.3375680000000001</v>
      </c>
      <c r="E3934">
        <v>0.4539281</v>
      </c>
      <c r="F3934" t="s">
        <v>42</v>
      </c>
      <c r="G3934">
        <v>-352.25299999999999</v>
      </c>
      <c r="H3934" s="1">
        <v>-3.9077589999999996E-6</v>
      </c>
      <c r="I3934">
        <v>21.878740000000001</v>
      </c>
      <c r="J3934">
        <v>-371.97179999999997</v>
      </c>
      <c r="K3934">
        <v>1.1112679999999999</v>
      </c>
      <c r="L3934">
        <v>17.255040000000001</v>
      </c>
      <c r="M3934">
        <v>0.99844010000000005</v>
      </c>
      <c r="N3934">
        <v>-1.4176329999999999E-2</v>
      </c>
      <c r="O3934">
        <v>-5.400452E-2</v>
      </c>
      <c r="P3934">
        <v>0.99125890000000005</v>
      </c>
      <c r="Q3934">
        <v>-7.7866489999999997E-2</v>
      </c>
      <c r="R3934">
        <v>0.10650220000000001</v>
      </c>
      <c r="S3934">
        <v>2.9433590000000001</v>
      </c>
      <c r="T3934">
        <v>-0.16305629999999999</v>
      </c>
      <c r="U3934">
        <v>0.67611690000000002</v>
      </c>
      <c r="V3934">
        <v>-0.15949379999999999</v>
      </c>
      <c r="W3934">
        <v>-6.4877900000000002E-2</v>
      </c>
      <c r="X3934">
        <v>0.98506470000000002</v>
      </c>
      <c r="Y3934">
        <v>-0.27563729999999997</v>
      </c>
      <c r="Z3934">
        <v>1.171206E-2</v>
      </c>
      <c r="AA3934">
        <v>0.96119030000000005</v>
      </c>
      <c r="AB3934">
        <v>36</v>
      </c>
      <c r="AC3934">
        <v>19.718799999999899</v>
      </c>
      <c r="AD3934">
        <v>-1.1112719077590001</v>
      </c>
      <c r="AE3934">
        <v>4.6237000000000004</v>
      </c>
      <c r="AF3934">
        <v>-5.6649084847099997</v>
      </c>
      <c r="AG3934">
        <v>-1.1112719077590001</v>
      </c>
      <c r="AH3934">
        <v>19.381943788274199</v>
      </c>
      <c r="AI3934">
        <v>93.149978736579598</v>
      </c>
      <c r="AJ3934">
        <v>106.292460286414</v>
      </c>
      <c r="AK3934">
        <v>20.223398784698201</v>
      </c>
      <c r="AL3934">
        <v>93.7198427585422</v>
      </c>
      <c r="AM3934">
        <v>99.197060253596902</v>
      </c>
      <c r="AN3934">
        <v>0.99999993866646797</v>
      </c>
    </row>
    <row r="3935" spans="1:40" x14ac:dyDescent="0.25">
      <c r="A3935" t="str">
        <f>"20190305135708882"</f>
        <v>20190305135708882</v>
      </c>
      <c r="B3935" t="str">
        <f>"1551765428875910"</f>
        <v>1551765428875910</v>
      </c>
      <c r="C3935" t="s">
        <v>40</v>
      </c>
      <c r="D3935">
        <v>4.3437640000000002</v>
      </c>
      <c r="E3935">
        <v>0.45488309999999998</v>
      </c>
      <c r="F3935" t="s">
        <v>42</v>
      </c>
      <c r="G3935">
        <v>-351.01339999999999</v>
      </c>
      <c r="H3935" s="1">
        <v>-4.3844069999999999E-6</v>
      </c>
      <c r="I3935">
        <v>22.171489999999999</v>
      </c>
      <c r="J3935">
        <v>-371.59410000000003</v>
      </c>
      <c r="K3935">
        <v>1.1114139999999999</v>
      </c>
      <c r="L3935">
        <v>17.237670000000001</v>
      </c>
      <c r="M3935">
        <v>0.9986062</v>
      </c>
      <c r="N3935">
        <v>-1.4268090000000001E-2</v>
      </c>
      <c r="O3935">
        <v>-5.0815399999999997E-2</v>
      </c>
      <c r="P3935">
        <v>0.99064730000000001</v>
      </c>
      <c r="Q3935">
        <v>-7.6997200000000002E-2</v>
      </c>
      <c r="R3935">
        <v>0.11264879999999999</v>
      </c>
      <c r="S3935">
        <v>2.9400629999999999</v>
      </c>
      <c r="T3935">
        <v>-0.15589049999999999</v>
      </c>
      <c r="U3935">
        <v>0.68969729999999996</v>
      </c>
      <c r="V3935">
        <v>-0.16244520000000001</v>
      </c>
      <c r="W3935">
        <v>-6.3987959999999997E-2</v>
      </c>
      <c r="X3935">
        <v>0.98464059999999998</v>
      </c>
      <c r="Y3935">
        <v>-0.27705819999999998</v>
      </c>
      <c r="Z3935">
        <v>1.119215E-2</v>
      </c>
      <c r="AA3935">
        <v>0.96078799999999998</v>
      </c>
      <c r="AB3935">
        <v>36</v>
      </c>
      <c r="AC3935">
        <v>20.5807</v>
      </c>
      <c r="AD3935">
        <v>-1.11141838440699</v>
      </c>
      <c r="AE3935">
        <v>4.9338199999999901</v>
      </c>
      <c r="AF3935">
        <v>-5.9569392339440199</v>
      </c>
      <c r="AG3935">
        <v>-1.11141838440699</v>
      </c>
      <c r="AH3935">
        <v>20.247526959058298</v>
      </c>
      <c r="AI3935">
        <v>93.014400822219102</v>
      </c>
      <c r="AJ3935">
        <v>106.39418723277301</v>
      </c>
      <c r="AK3935">
        <v>21.1348698557596</v>
      </c>
      <c r="AL3935">
        <v>93.668746522680095</v>
      </c>
      <c r="AM3935">
        <v>99.368223879339794</v>
      </c>
      <c r="AN3935">
        <v>1.00000000659818</v>
      </c>
    </row>
    <row r="3936" spans="1:40" x14ac:dyDescent="0.25">
      <c r="A3936" t="str">
        <f>"20190305135708906"</f>
        <v>20190305135708906</v>
      </c>
      <c r="B3936" t="str">
        <f>"1551765428896407"</f>
        <v>1551765428896407</v>
      </c>
      <c r="C3936" t="s">
        <v>40</v>
      </c>
      <c r="D3936">
        <v>4.460928</v>
      </c>
      <c r="E3936">
        <v>0.4554356</v>
      </c>
      <c r="F3936" t="s">
        <v>42</v>
      </c>
      <c r="G3936">
        <v>-348.42189999999999</v>
      </c>
      <c r="H3936" s="1">
        <v>-1.4974170000000001E-6</v>
      </c>
      <c r="I3936">
        <v>22.766159999999999</v>
      </c>
      <c r="J3936">
        <v>-371.2251</v>
      </c>
      <c r="K3936">
        <v>1.1115219999999999</v>
      </c>
      <c r="L3936">
        <v>17.221889999999998</v>
      </c>
      <c r="M3936">
        <v>0.99876109999999896</v>
      </c>
      <c r="N3936">
        <v>-1.4344350000000001E-2</v>
      </c>
      <c r="O3936">
        <v>-4.7651569999999997E-2</v>
      </c>
      <c r="P3936">
        <v>0.99002270000000003</v>
      </c>
      <c r="Q3936">
        <v>-7.6241699999999996E-2</v>
      </c>
      <c r="R3936">
        <v>0.11850049999999999</v>
      </c>
      <c r="S3936">
        <v>2.9377140000000002</v>
      </c>
      <c r="T3936">
        <v>-0.14090220000000001</v>
      </c>
      <c r="U3936">
        <v>0.7008972</v>
      </c>
      <c r="V3936">
        <v>-0.16513599999999901</v>
      </c>
      <c r="W3936">
        <v>-6.321425E-2</v>
      </c>
      <c r="X3936">
        <v>0.98424290000000003</v>
      </c>
      <c r="Y3936">
        <v>-0.27774080000000001</v>
      </c>
      <c r="Z3936">
        <v>1.016807E-2</v>
      </c>
      <c r="AA3936">
        <v>0.96060219999999996</v>
      </c>
      <c r="AB3936">
        <v>36</v>
      </c>
      <c r="AC3936">
        <v>22.8032</v>
      </c>
      <c r="AD3936">
        <v>-1.1115234974170001</v>
      </c>
      <c r="AE3936">
        <v>5.54427</v>
      </c>
      <c r="AF3936">
        <v>-6.6098620903366001</v>
      </c>
      <c r="AG3936">
        <v>-1.1115234974170001</v>
      </c>
      <c r="AH3936">
        <v>22.462678033266801</v>
      </c>
      <c r="AI3936">
        <v>92.717823394558593</v>
      </c>
      <c r="AJ3936">
        <v>106.397033863657</v>
      </c>
      <c r="AK3936">
        <v>23.441366550710899</v>
      </c>
      <c r="AL3936">
        <v>93.624326247637498</v>
      </c>
      <c r="AM3936">
        <v>99.524360746323495</v>
      </c>
      <c r="AN3936">
        <v>1.00000001304973</v>
      </c>
    </row>
    <row r="3937" spans="1:40" x14ac:dyDescent="0.25">
      <c r="A3937" t="str">
        <f>"20190305135708930"</f>
        <v>20190305135708930</v>
      </c>
      <c r="B3937" t="str">
        <f>"1551765428926661"</f>
        <v>1551765428926661</v>
      </c>
      <c r="C3937" t="s">
        <v>40</v>
      </c>
      <c r="D3937">
        <v>4.4081859999999997</v>
      </c>
      <c r="E3937">
        <v>0.4555514</v>
      </c>
      <c r="F3937" t="s">
        <v>42</v>
      </c>
      <c r="G3937">
        <v>-346.91669999999999</v>
      </c>
      <c r="H3937" s="1">
        <v>-2.2419230000000001E-6</v>
      </c>
      <c r="I3937">
        <v>23.137429999999998</v>
      </c>
      <c r="J3937">
        <v>-370.83629999999999</v>
      </c>
      <c r="K3937">
        <v>1.1116109999999999</v>
      </c>
      <c r="L3937">
        <v>17.20654</v>
      </c>
      <c r="M3937">
        <v>0.99891459999999999</v>
      </c>
      <c r="N3937">
        <v>-1.441287E-2</v>
      </c>
      <c r="O3937">
        <v>-4.4292249999999998E-2</v>
      </c>
      <c r="P3937">
        <v>0.98938729999999997</v>
      </c>
      <c r="Q3937">
        <v>-7.5485099999999999E-2</v>
      </c>
      <c r="R3937">
        <v>0.1241573</v>
      </c>
      <c r="S3937">
        <v>2.934418</v>
      </c>
      <c r="T3937">
        <v>-0.13417889999999999</v>
      </c>
      <c r="U3937">
        <v>0.7141113</v>
      </c>
      <c r="V3937">
        <v>-0.16744629999999999</v>
      </c>
      <c r="W3937">
        <v>-6.2437840000000001E-2</v>
      </c>
      <c r="X3937">
        <v>0.98390200000000005</v>
      </c>
      <c r="Y3937">
        <v>-0.27887719999999999</v>
      </c>
      <c r="Z3937">
        <v>9.6901790000000002E-3</v>
      </c>
      <c r="AA3937">
        <v>0.96027790000000002</v>
      </c>
      <c r="AB3937">
        <v>36</v>
      </c>
      <c r="AC3937">
        <v>23.919599999999999</v>
      </c>
      <c r="AD3937">
        <v>-1.111613241923</v>
      </c>
      <c r="AE3937">
        <v>5.93088999999999</v>
      </c>
      <c r="AF3937">
        <v>-6.9704489560036196</v>
      </c>
      <c r="AG3937">
        <v>-1.111613241923</v>
      </c>
      <c r="AH3937">
        <v>23.585413200037902</v>
      </c>
      <c r="AI3937">
        <v>92.587937791918193</v>
      </c>
      <c r="AJ3937">
        <v>106.46455341169001</v>
      </c>
      <c r="AK3937">
        <v>24.6189877627898</v>
      </c>
      <c r="AL3937">
        <v>93.579753415295102</v>
      </c>
      <c r="AM3937">
        <v>99.658400085353307</v>
      </c>
      <c r="AN3937">
        <v>0.99999994642577605</v>
      </c>
    </row>
    <row r="3938" spans="1:40" x14ac:dyDescent="0.25">
      <c r="A3938" t="str">
        <f>"20190305135708952"</f>
        <v>20190305135708952</v>
      </c>
      <c r="B3938" t="str">
        <f>"1551765428946182"</f>
        <v>1551765428946182</v>
      </c>
      <c r="C3938" t="s">
        <v>40</v>
      </c>
      <c r="D3938">
        <v>4.3155159999999997</v>
      </c>
      <c r="E3938">
        <v>0.45596219999999998</v>
      </c>
      <c r="F3938" t="s">
        <v>42</v>
      </c>
      <c r="G3938">
        <v>-346.1524</v>
      </c>
      <c r="H3938" s="1">
        <v>-2.6276749999999998E-6</v>
      </c>
      <c r="I3938">
        <v>23.354880000000001</v>
      </c>
      <c r="J3938">
        <v>-370.48649999999998</v>
      </c>
      <c r="K3938">
        <v>1.1116760000000001</v>
      </c>
      <c r="L3938">
        <v>17.193939999999898</v>
      </c>
      <c r="M3938">
        <v>0.9990443</v>
      </c>
      <c r="N3938">
        <v>-1.4464309999999999E-2</v>
      </c>
      <c r="O3938">
        <v>-4.125011E-2</v>
      </c>
      <c r="P3938">
        <v>0.98862459999999996</v>
      </c>
      <c r="Q3938">
        <v>-7.5205649999999999E-2</v>
      </c>
      <c r="R3938">
        <v>0.13025210000000001</v>
      </c>
      <c r="S3938">
        <v>2.9305110000000001</v>
      </c>
      <c r="T3938">
        <v>-0.13197239999999999</v>
      </c>
      <c r="U3938">
        <v>0.72994999999999999</v>
      </c>
      <c r="V3938">
        <v>-0.1705045</v>
      </c>
      <c r="W3938">
        <v>-6.215673E-2</v>
      </c>
      <c r="X3938">
        <v>0.98339449999999995</v>
      </c>
      <c r="Y3938">
        <v>-0.28114879999999998</v>
      </c>
      <c r="Z3938">
        <v>9.541519E-3</v>
      </c>
      <c r="AA3938">
        <v>0.95961680000000005</v>
      </c>
      <c r="AB3938">
        <v>36</v>
      </c>
      <c r="AC3938">
        <v>24.3340999999999</v>
      </c>
      <c r="AD3938">
        <v>-1.1116786276749999</v>
      </c>
      <c r="AE3938">
        <v>6.1609400000000001</v>
      </c>
      <c r="AF3938">
        <v>-7.1455695605229996</v>
      </c>
      <c r="AG3938">
        <v>-1.1116786276749999</v>
      </c>
      <c r="AH3938">
        <v>24.012122645725899</v>
      </c>
      <c r="AI3938">
        <v>92.540746683508004</v>
      </c>
      <c r="AJ3938">
        <v>106.572044807891</v>
      </c>
      <c r="AK3938">
        <v>25.0774206741619</v>
      </c>
      <c r="AL3938">
        <v>93.563615485808796</v>
      </c>
      <c r="AM3938">
        <v>99.836361211020304</v>
      </c>
      <c r="AN3938">
        <v>0.99999999311739596</v>
      </c>
    </row>
    <row r="3939" spans="1:40" x14ac:dyDescent="0.25">
      <c r="A3939" t="str">
        <f>"20190305135708971"</f>
        <v>20190305135708971</v>
      </c>
      <c r="B3939" t="str">
        <f>"1551765428966677"</f>
        <v>1551765428966677</v>
      </c>
      <c r="C3939" t="s">
        <v>40</v>
      </c>
      <c r="D3939">
        <v>4.2958239999999996</v>
      </c>
      <c r="E3939">
        <v>0.456507</v>
      </c>
      <c r="F3939" t="s">
        <v>42</v>
      </c>
      <c r="G3939">
        <v>-344.67290000000003</v>
      </c>
      <c r="H3939" s="1">
        <v>-3.371069E-6</v>
      </c>
      <c r="I3939">
        <v>23.76341</v>
      </c>
      <c r="J3939">
        <v>-370.18020000000001</v>
      </c>
      <c r="K3939">
        <v>1.1117250000000001</v>
      </c>
      <c r="L3939">
        <v>17.183779999999999</v>
      </c>
      <c r="M3939">
        <v>0.99915109999999996</v>
      </c>
      <c r="N3939">
        <v>-1.450385E-2</v>
      </c>
      <c r="O3939">
        <v>-3.8564649999999999E-2</v>
      </c>
      <c r="P3939">
        <v>0.98800639999999995</v>
      </c>
      <c r="Q3939">
        <v>-7.4853050000000004E-2</v>
      </c>
      <c r="R3939">
        <v>0.13505829999999999</v>
      </c>
      <c r="S3939">
        <v>2.9268190000000001</v>
      </c>
      <c r="T3939">
        <v>-0.12604509999999999</v>
      </c>
      <c r="U3939">
        <v>0.74487300000000001</v>
      </c>
      <c r="V3939">
        <v>-0.17263819999999999</v>
      </c>
      <c r="W3939">
        <v>-6.1803599999999903E-2</v>
      </c>
      <c r="X3939">
        <v>0.98304440000000004</v>
      </c>
      <c r="Y3939">
        <v>-0.28348119999999999</v>
      </c>
      <c r="Z3939">
        <v>9.1809349999999994E-3</v>
      </c>
      <c r="AA3939">
        <v>0.95893390000000001</v>
      </c>
      <c r="AB3939">
        <v>36</v>
      </c>
      <c r="AC3939">
        <v>25.507299999999901</v>
      </c>
      <c r="AD3939">
        <v>-1.111728371069</v>
      </c>
      <c r="AE3939">
        <v>6.5796299999999999</v>
      </c>
      <c r="AF3939">
        <v>-7.5450791087028097</v>
      </c>
      <c r="AG3939">
        <v>-1.111728371069</v>
      </c>
      <c r="AH3939">
        <v>25.189687849016199</v>
      </c>
      <c r="AI3939">
        <v>92.420933226290799</v>
      </c>
      <c r="AJ3939">
        <v>106.674560373774</v>
      </c>
      <c r="AK3939">
        <v>26.318900673441799</v>
      </c>
      <c r="AL3939">
        <v>93.543343759776405</v>
      </c>
      <c r="AM3939">
        <v>99.960480267415505</v>
      </c>
      <c r="AN3939">
        <v>0.99999996272177905</v>
      </c>
    </row>
    <row r="3940" spans="1:40" x14ac:dyDescent="0.25">
      <c r="A3940" t="str">
        <f>"20190305135708994"</f>
        <v>20190305135708994</v>
      </c>
      <c r="B3940" t="str">
        <f>"1551765428986198"</f>
        <v>1551765428986198</v>
      </c>
      <c r="C3940" t="s">
        <v>40</v>
      </c>
      <c r="D3940">
        <v>4.2834149999999998</v>
      </c>
      <c r="E3940">
        <v>0.45724399999999998</v>
      </c>
      <c r="F3940" t="s">
        <v>42</v>
      </c>
      <c r="G3940">
        <v>-343.36630000000002</v>
      </c>
      <c r="H3940" s="1">
        <v>-3.9267839999999998E-6</v>
      </c>
      <c r="I3940">
        <v>24.10566</v>
      </c>
      <c r="J3940">
        <v>-369.79590000000002</v>
      </c>
      <c r="K3940">
        <v>1.111788</v>
      </c>
      <c r="L3940">
        <v>17.172329999999999</v>
      </c>
      <c r="M3940">
        <v>0.99927569999999999</v>
      </c>
      <c r="N3940">
        <v>-1.454653E-2</v>
      </c>
      <c r="O3940">
        <v>-3.5164239999999999E-2</v>
      </c>
      <c r="P3940">
        <v>0.9872571</v>
      </c>
      <c r="Q3940">
        <v>-7.4947399999999997E-2</v>
      </c>
      <c r="R3940">
        <v>0.1403799</v>
      </c>
      <c r="S3940">
        <v>2.9241030000000001</v>
      </c>
      <c r="T3940">
        <v>-0.121236</v>
      </c>
      <c r="U3940">
        <v>0.75485230000000003</v>
      </c>
      <c r="V3940">
        <v>-0.17457839999999999</v>
      </c>
      <c r="W3940">
        <v>-6.1897899999999999E-2</v>
      </c>
      <c r="X3940">
        <v>0.98269580000000001</v>
      </c>
      <c r="Y3940">
        <v>-0.28352579999999999</v>
      </c>
      <c r="Z3940">
        <v>8.8096909999999997E-3</v>
      </c>
      <c r="AA3940">
        <v>0.9589242</v>
      </c>
      <c r="AB3940">
        <v>36</v>
      </c>
      <c r="AC3940">
        <v>26.429599999999901</v>
      </c>
      <c r="AD3940">
        <v>-1.111791926784</v>
      </c>
      <c r="AE3940">
        <v>6.9333299999999998</v>
      </c>
      <c r="AF3940">
        <v>-7.8455270182863401</v>
      </c>
      <c r="AG3940">
        <v>-1.111791926784</v>
      </c>
      <c r="AH3940">
        <v>26.126164858525801</v>
      </c>
      <c r="AI3940">
        <v>92.333897606980599</v>
      </c>
      <c r="AJ3940">
        <v>106.71468996961499</v>
      </c>
      <c r="AK3940">
        <v>27.301371132197598</v>
      </c>
      <c r="AL3940">
        <v>93.548756978365901</v>
      </c>
      <c r="AM3940">
        <v>100.07364179977399</v>
      </c>
      <c r="AN3940">
        <v>1.0000000015543</v>
      </c>
    </row>
    <row r="3941" spans="1:40" x14ac:dyDescent="0.25">
      <c r="A3941" t="str">
        <f>"20190305135709016"</f>
        <v>20190305135709016</v>
      </c>
      <c r="B3941" t="str">
        <f>"1551765429006697"</f>
        <v>1551765429006697</v>
      </c>
      <c r="C3941" t="s">
        <v>40</v>
      </c>
      <c r="D3941">
        <v>4.5019739999999997</v>
      </c>
      <c r="E3941">
        <v>0.47901070000000001</v>
      </c>
      <c r="F3941" t="s">
        <v>42</v>
      </c>
      <c r="G3941">
        <v>-341.3349</v>
      </c>
      <c r="H3941" s="1">
        <v>-4.7106469999999997E-6</v>
      </c>
      <c r="I3941">
        <v>24.62735</v>
      </c>
      <c r="J3941">
        <v>-369.45049999999998</v>
      </c>
      <c r="K3941">
        <v>1.111842</v>
      </c>
      <c r="L3941">
        <v>17.163150000000002</v>
      </c>
      <c r="M3941">
        <v>0.99937949999999998</v>
      </c>
      <c r="N3941">
        <v>-1.4579689999999999E-2</v>
      </c>
      <c r="O3941">
        <v>-3.2068770000000003E-2</v>
      </c>
      <c r="P3941">
        <v>0.98659459999999999</v>
      </c>
      <c r="Q3941">
        <v>-7.4730530000000003E-2</v>
      </c>
      <c r="R3941">
        <v>0.14507490000000001</v>
      </c>
      <c r="S3941">
        <v>2.921265</v>
      </c>
      <c r="T3941">
        <v>-0.11411540000000001</v>
      </c>
      <c r="U3941">
        <v>0.76519780000000004</v>
      </c>
      <c r="V3941">
        <v>-0.17620279999999999</v>
      </c>
      <c r="W3941">
        <v>-6.1685759999999999E-2</v>
      </c>
      <c r="X3941">
        <v>0.98241920000000005</v>
      </c>
      <c r="Y3941">
        <v>-0.28399489999999999</v>
      </c>
      <c r="Z3941">
        <v>8.3320379999999999E-3</v>
      </c>
      <c r="AA3941">
        <v>0.95878960000000002</v>
      </c>
      <c r="AB3941">
        <v>36</v>
      </c>
      <c r="AC3941">
        <v>28.115599999999901</v>
      </c>
      <c r="AD3941">
        <v>-1.111846710647</v>
      </c>
      <c r="AE3941">
        <v>7.4641999999999902</v>
      </c>
      <c r="AF3941">
        <v>-8.3498902425055608</v>
      </c>
      <c r="AG3941">
        <v>-1.111846710647</v>
      </c>
      <c r="AH3941">
        <v>27.8210995297047</v>
      </c>
      <c r="AI3941">
        <v>92.192061532326704</v>
      </c>
      <c r="AJ3941">
        <v>106.70597095378599</v>
      </c>
      <c r="AK3941">
        <v>29.068375414040599</v>
      </c>
      <c r="AL3941">
        <v>93.536578907429799</v>
      </c>
      <c r="AM3941">
        <v>100.168230463863</v>
      </c>
      <c r="AN3941">
        <v>1.0000000221216201</v>
      </c>
    </row>
    <row r="3942" spans="1:40" x14ac:dyDescent="0.25">
      <c r="A3942" t="str">
        <f>"20190305135709037"</f>
        <v>20190305135709037</v>
      </c>
      <c r="B3942" t="str">
        <f>"1551765429026214"</f>
        <v>1551765429026214</v>
      </c>
      <c r="C3942" t="s">
        <v>40</v>
      </c>
      <c r="D3942">
        <v>4.2702830000000001</v>
      </c>
      <c r="E3942">
        <v>0.47614519999999999</v>
      </c>
      <c r="F3942" t="s">
        <v>43</v>
      </c>
      <c r="G3942">
        <v>-305.27749999999997</v>
      </c>
      <c r="H3942">
        <v>-0.05</v>
      </c>
      <c r="I3942">
        <v>30.451080000000001</v>
      </c>
      <c r="J3942">
        <v>-369.10719999999998</v>
      </c>
      <c r="K3942">
        <v>1.1119059999999901</v>
      </c>
      <c r="L3942">
        <v>17.155149999999999</v>
      </c>
      <c r="M3942">
        <v>0.99947450000000004</v>
      </c>
      <c r="N3942">
        <v>-1.460845E-2</v>
      </c>
      <c r="O3942">
        <v>-2.893772E-2</v>
      </c>
      <c r="P3942">
        <v>0.98592230000000003</v>
      </c>
      <c r="Q3942">
        <v>-7.4787480000000003E-2</v>
      </c>
      <c r="R3942">
        <v>0.1495464</v>
      </c>
      <c r="S3942">
        <v>2.9470519999999998</v>
      </c>
      <c r="T3942">
        <v>-5.3355930000000003E-2</v>
      </c>
      <c r="U3942">
        <v>0.61022949999999998</v>
      </c>
      <c r="V3942">
        <v>-0.17756839999999999</v>
      </c>
      <c r="W3942">
        <v>-6.1751599999999997E-2</v>
      </c>
      <c r="X3942">
        <v>0.98216919999999996</v>
      </c>
      <c r="Y3942">
        <v>-0.23095099999999999</v>
      </c>
      <c r="Z3942">
        <v>3.8741790000000002E-3</v>
      </c>
      <c r="AA3942">
        <v>0.97295770000000004</v>
      </c>
      <c r="AB3942">
        <v>36</v>
      </c>
      <c r="AC3942">
        <v>63.829700000000003</v>
      </c>
      <c r="AD3942">
        <v>-1.1619060000000001</v>
      </c>
      <c r="AE3942">
        <v>13.295929999999901</v>
      </c>
      <c r="AF3942">
        <v>-15.132837887025699</v>
      </c>
      <c r="AG3942">
        <v>-1.1619060000000001</v>
      </c>
      <c r="AH3942">
        <v>63.3980347384895</v>
      </c>
      <c r="AI3942">
        <v>91.021267111840501</v>
      </c>
      <c r="AJ3942">
        <v>103.425051237696</v>
      </c>
      <c r="AK3942">
        <v>65.189444059376299</v>
      </c>
      <c r="AL3942">
        <v>93.5403583074186</v>
      </c>
      <c r="AM3942">
        <v>100.247925515584</v>
      </c>
      <c r="AN3942">
        <v>1.0000000671048701</v>
      </c>
    </row>
    <row r="3943" spans="1:40" x14ac:dyDescent="0.25">
      <c r="A3943" t="str">
        <f>"20190305135709061"</f>
        <v>20190305135709061</v>
      </c>
      <c r="B3943" t="str">
        <f>"1551765429056469"</f>
        <v>1551765429056469</v>
      </c>
      <c r="C3943" t="s">
        <v>40</v>
      </c>
      <c r="D3943">
        <v>4.278594</v>
      </c>
      <c r="E3943">
        <v>0.47609790000000002</v>
      </c>
      <c r="F3943" t="s">
        <v>43</v>
      </c>
      <c r="G3943">
        <v>-279.6746</v>
      </c>
      <c r="H3943">
        <v>-0.05</v>
      </c>
      <c r="I3943">
        <v>36.823509999999999</v>
      </c>
      <c r="J3943">
        <v>-368.76089999999999</v>
      </c>
      <c r="K3943">
        <v>1.1119829999999999</v>
      </c>
      <c r="L3943">
        <v>17.148219999999998</v>
      </c>
      <c r="M3943">
        <v>0.99956239999999996</v>
      </c>
      <c r="N3943">
        <v>-1.463414E-2</v>
      </c>
      <c r="O3943">
        <v>-2.5705519999999999E-2</v>
      </c>
      <c r="P3943">
        <v>0.98535360000000005</v>
      </c>
      <c r="Q3943">
        <v>-7.4456629999999996E-2</v>
      </c>
      <c r="R3943">
        <v>0.15341009999999999</v>
      </c>
      <c r="S3943">
        <v>2.9418030000000002</v>
      </c>
      <c r="T3943">
        <v>-3.821981E-2</v>
      </c>
      <c r="U3943">
        <v>0.64697269999999996</v>
      </c>
      <c r="V3943">
        <v>-0.17823599999999901</v>
      </c>
      <c r="W3943">
        <v>-6.1428839999999998E-2</v>
      </c>
      <c r="X3943">
        <v>0.98206839999999995</v>
      </c>
      <c r="Y3943">
        <v>-0.239786</v>
      </c>
      <c r="Z3943">
        <v>3.2733760000000002E-3</v>
      </c>
      <c r="AA3943">
        <v>0.97082020000000002</v>
      </c>
      <c r="AB3943">
        <v>36</v>
      </c>
      <c r="AC3943">
        <v>89.086299999999994</v>
      </c>
      <c r="AD3943">
        <v>-1.161983</v>
      </c>
      <c r="AE3943">
        <v>19.67529</v>
      </c>
      <c r="AF3943">
        <v>-21.955480545126701</v>
      </c>
      <c r="AG3943">
        <v>-1.161983</v>
      </c>
      <c r="AH3943">
        <v>88.536676051539402</v>
      </c>
      <c r="AI3943">
        <v>90.729821642086407</v>
      </c>
      <c r="AJ3943">
        <v>103.92735728603201</v>
      </c>
      <c r="AK3943">
        <v>91.225743826591795</v>
      </c>
      <c r="AL3943">
        <v>93.521830731933605</v>
      </c>
      <c r="AM3943">
        <v>100.28666663099</v>
      </c>
      <c r="AN3943">
        <v>0.99999995817915099</v>
      </c>
    </row>
    <row r="3944" spans="1:40" x14ac:dyDescent="0.25">
      <c r="A3944" t="str">
        <f>"20190305135709083"</f>
        <v>20190305135709083</v>
      </c>
      <c r="B3944" t="str">
        <f>"1551765429075990"</f>
        <v>1551765429075990</v>
      </c>
      <c r="C3944" t="s">
        <v>40</v>
      </c>
      <c r="D3944">
        <v>4.2793989999999997</v>
      </c>
      <c r="E3944">
        <v>0.47714230000000002</v>
      </c>
      <c r="F3944" t="s">
        <v>43</v>
      </c>
      <c r="G3944">
        <v>-289.37110000000001</v>
      </c>
      <c r="H3944">
        <v>-0.05</v>
      </c>
      <c r="I3944">
        <v>34.940429999999999</v>
      </c>
      <c r="J3944">
        <v>-368.38200000000001</v>
      </c>
      <c r="K3944">
        <v>1.1120680000000001</v>
      </c>
      <c r="L3944">
        <v>17.142029999999998</v>
      </c>
      <c r="M3944">
        <v>0.99964889999999995</v>
      </c>
      <c r="N3944">
        <v>-1.4659190000000001E-2</v>
      </c>
      <c r="O3944">
        <v>-2.2077940000000001E-2</v>
      </c>
      <c r="P3944">
        <v>0.98507789999999995</v>
      </c>
      <c r="Q3944">
        <v>-7.28383999999999E-2</v>
      </c>
      <c r="R3944">
        <v>0.1559381</v>
      </c>
      <c r="S3944">
        <v>2.9388429999999999</v>
      </c>
      <c r="T3944">
        <v>-4.3014169999999997E-2</v>
      </c>
      <c r="U3944">
        <v>0.65863039999999995</v>
      </c>
      <c r="V3944">
        <v>-0.17719689999999999</v>
      </c>
      <c r="W3944">
        <v>-5.9806020000000001E-2</v>
      </c>
      <c r="X3944">
        <v>0.98235660000000002</v>
      </c>
      <c r="Y3944">
        <v>-0.2401298</v>
      </c>
      <c r="Z3944">
        <v>3.5174260000000001E-3</v>
      </c>
      <c r="AA3944">
        <v>0.9707344</v>
      </c>
      <c r="AB3944">
        <v>36</v>
      </c>
      <c r="AC3944">
        <v>79.010899999999907</v>
      </c>
      <c r="AD3944">
        <v>-1.1620680000000001</v>
      </c>
      <c r="AE3944">
        <v>17.798400000000001</v>
      </c>
      <c r="AF3944">
        <v>-19.5346243207741</v>
      </c>
      <c r="AG3944">
        <v>-1.1620680000000001</v>
      </c>
      <c r="AH3944">
        <v>78.5824652434233</v>
      </c>
      <c r="AI3944">
        <v>90.822201406494202</v>
      </c>
      <c r="AJ3944">
        <v>103.960052448838</v>
      </c>
      <c r="AK3944">
        <v>80.982441264290301</v>
      </c>
      <c r="AL3944">
        <v>93.428678552875795</v>
      </c>
      <c r="AM3944">
        <v>100.225028472156</v>
      </c>
      <c r="AN3944">
        <v>0.99999999548070495</v>
      </c>
    </row>
    <row r="3945" spans="1:40" x14ac:dyDescent="0.25">
      <c r="A3945" t="str">
        <f>"20190305135709108"</f>
        <v>20190305135709108</v>
      </c>
      <c r="B3945" t="str">
        <f>"1551765429096486"</f>
        <v>1551765429096486</v>
      </c>
      <c r="C3945" t="s">
        <v>40</v>
      </c>
      <c r="D3945">
        <v>4.3096589999999999</v>
      </c>
      <c r="E3945">
        <v>0.47809689999999999</v>
      </c>
      <c r="F3945" t="s">
        <v>43</v>
      </c>
      <c r="G3945">
        <v>-285.32400000000001</v>
      </c>
      <c r="H3945">
        <v>-0.05</v>
      </c>
      <c r="I3945">
        <v>35.730490000000003</v>
      </c>
      <c r="J3945">
        <v>-368.01389999999998</v>
      </c>
      <c r="K3945">
        <v>1.112152</v>
      </c>
      <c r="L3945">
        <v>17.137360000000001</v>
      </c>
      <c r="M3945">
        <v>0.99972169999999905</v>
      </c>
      <c r="N3945">
        <v>-1.468036E-2</v>
      </c>
      <c r="O3945">
        <v>-1.8468020000000002E-2</v>
      </c>
      <c r="P3945">
        <v>0.9848789</v>
      </c>
      <c r="Q3945">
        <v>-7.1352849999999995E-2</v>
      </c>
      <c r="R3945">
        <v>0.1578687</v>
      </c>
      <c r="S3945">
        <v>2.9382929999999998</v>
      </c>
      <c r="T3945">
        <v>-4.1109800000000002E-2</v>
      </c>
      <c r="U3945">
        <v>0.65759279999999998</v>
      </c>
      <c r="V3945">
        <v>-0.17558019999999999</v>
      </c>
      <c r="W3945">
        <v>-5.8312269999999999E-2</v>
      </c>
      <c r="X3945">
        <v>0.98273659999999996</v>
      </c>
      <c r="Y3945">
        <v>-0.23633889999999999</v>
      </c>
      <c r="Z3945">
        <v>3.3769130000000001E-3</v>
      </c>
      <c r="AA3945">
        <v>0.9716648</v>
      </c>
      <c r="AB3945">
        <v>36</v>
      </c>
      <c r="AC3945">
        <v>82.689899999999895</v>
      </c>
      <c r="AD3945">
        <v>-1.1621520000000001</v>
      </c>
      <c r="AE3945">
        <v>18.593129999999999</v>
      </c>
      <c r="AF3945">
        <v>-20.113459852617801</v>
      </c>
      <c r="AG3945">
        <v>-1.1621520000000001</v>
      </c>
      <c r="AH3945">
        <v>82.316901940260095</v>
      </c>
      <c r="AI3945">
        <v>90.785737097876705</v>
      </c>
      <c r="AJ3945">
        <v>103.73071858961799</v>
      </c>
      <c r="AK3945">
        <v>84.746529188848598</v>
      </c>
      <c r="AL3945">
        <v>93.342943386117398</v>
      </c>
      <c r="AM3945">
        <v>100.129842587471</v>
      </c>
      <c r="AN3945">
        <v>0.99999997622207604</v>
      </c>
    </row>
    <row r="3946" spans="1:40" x14ac:dyDescent="0.25">
      <c r="A3946" t="str">
        <f>"20190305135709131"</f>
        <v>20190305135709131</v>
      </c>
      <c r="B3946" t="str">
        <f>"1551765429126742"</f>
        <v>1551765429126742</v>
      </c>
      <c r="C3946" t="s">
        <v>40</v>
      </c>
      <c r="D3946">
        <v>4.2431190000000001</v>
      </c>
      <c r="E3946">
        <v>0.47918880000000003</v>
      </c>
      <c r="F3946" t="s">
        <v>43</v>
      </c>
      <c r="G3946">
        <v>-283.92509999999999</v>
      </c>
      <c r="H3946">
        <v>-0.05</v>
      </c>
      <c r="I3946">
        <v>35.897640000000003</v>
      </c>
      <c r="J3946">
        <v>-367.65429999999998</v>
      </c>
      <c r="K3946">
        <v>1.112223</v>
      </c>
      <c r="L3946">
        <v>17.134219999999999</v>
      </c>
      <c r="M3946">
        <v>0.99978140000000004</v>
      </c>
      <c r="N3946">
        <v>-1.4697899999999899E-2</v>
      </c>
      <c r="O3946">
        <v>-1.487023E-2</v>
      </c>
      <c r="P3946">
        <v>0.98461620000000005</v>
      </c>
      <c r="Q3946">
        <v>-7.1256949999999999E-2</v>
      </c>
      <c r="R3946">
        <v>0.15954090000000001</v>
      </c>
      <c r="S3946">
        <v>2.9380799999999998</v>
      </c>
      <c r="T3946">
        <v>-4.0605780000000001E-2</v>
      </c>
      <c r="U3946">
        <v>0.65548709999999999</v>
      </c>
      <c r="V3946">
        <v>-0.1737061</v>
      </c>
      <c r="W3946">
        <v>-5.8204930000000002E-2</v>
      </c>
      <c r="X3946">
        <v>0.98307599999999995</v>
      </c>
      <c r="Y3946">
        <v>-0.23219339999999999</v>
      </c>
      <c r="Z3946">
        <v>3.299569E-3</v>
      </c>
      <c r="AA3946">
        <v>0.97266410000000003</v>
      </c>
      <c r="AB3946">
        <v>36</v>
      </c>
      <c r="AC3946">
        <v>83.729199999999906</v>
      </c>
      <c r="AD3946">
        <v>-1.162223</v>
      </c>
      <c r="AE3946">
        <v>18.76342</v>
      </c>
      <c r="AF3946">
        <v>-20.002882127329499</v>
      </c>
      <c r="AG3946">
        <v>-1.162223</v>
      </c>
      <c r="AH3946">
        <v>83.425588328702503</v>
      </c>
      <c r="AI3946">
        <v>90.776154669029395</v>
      </c>
      <c r="AJ3946">
        <v>103.483226083397</v>
      </c>
      <c r="AK3946">
        <v>85.797988576025006</v>
      </c>
      <c r="AL3946">
        <v>93.336782639074698</v>
      </c>
      <c r="AM3946">
        <v>100.02053284042</v>
      </c>
      <c r="AN3946">
        <v>1.0000000224147501</v>
      </c>
    </row>
    <row r="3947" spans="1:40" x14ac:dyDescent="0.25">
      <c r="A3947" t="str">
        <f>"20190305135709151"</f>
        <v>20190305135709151</v>
      </c>
      <c r="B3947" t="str">
        <f>"1551765429146262"</f>
        <v>1551765429146262</v>
      </c>
      <c r="C3947" t="s">
        <v>40</v>
      </c>
      <c r="D3947">
        <v>4.2856990000000001</v>
      </c>
      <c r="E3947">
        <v>0.47988979999999998</v>
      </c>
      <c r="F3947" t="s">
        <v>43</v>
      </c>
      <c r="G3947">
        <v>-289.20280000000002</v>
      </c>
      <c r="H3947">
        <v>-0.05</v>
      </c>
      <c r="I3947">
        <v>34.534550000000003</v>
      </c>
      <c r="J3947">
        <v>-367.33300000000003</v>
      </c>
      <c r="K3947">
        <v>1.112277</v>
      </c>
      <c r="L3947">
        <v>17.132539999999999</v>
      </c>
      <c r="M3947">
        <v>0.9998245</v>
      </c>
      <c r="N3947">
        <v>-1.471094E-2</v>
      </c>
      <c r="O3947">
        <v>-1.161244E-2</v>
      </c>
      <c r="P3947">
        <v>0.98443539999999996</v>
      </c>
      <c r="Q3947">
        <v>-7.1379100000000001E-2</v>
      </c>
      <c r="R3947">
        <v>0.1605994</v>
      </c>
      <c r="S3947">
        <v>2.9381409999999999</v>
      </c>
      <c r="T3947">
        <v>-4.3527250000000003E-2</v>
      </c>
      <c r="U3947">
        <v>0.65167240000000004</v>
      </c>
      <c r="V3947">
        <v>-0.1715554</v>
      </c>
      <c r="W3947">
        <v>-5.8308190000000003E-2</v>
      </c>
      <c r="X3947">
        <v>0.98344739999999997</v>
      </c>
      <c r="Y3947">
        <v>-0.22781029999999999</v>
      </c>
      <c r="Z3947">
        <v>3.3644209999999998E-3</v>
      </c>
      <c r="AA3947">
        <v>0.97369969999999995</v>
      </c>
      <c r="AB3947">
        <v>35</v>
      </c>
      <c r="AC3947">
        <v>78.130200000000002</v>
      </c>
      <c r="AD3947">
        <v>-1.162277</v>
      </c>
      <c r="AE3947">
        <v>17.402010000000001</v>
      </c>
      <c r="AF3947">
        <v>-18.304357405562499</v>
      </c>
      <c r="AG3947">
        <v>-1.162277</v>
      </c>
      <c r="AH3947">
        <v>77.906403348024895</v>
      </c>
      <c r="AI3947">
        <v>90.832071372939694</v>
      </c>
      <c r="AJ3947">
        <v>103.222009107076</v>
      </c>
      <c r="AK3947">
        <v>80.036292208475302</v>
      </c>
      <c r="AL3947">
        <v>93.342709327299303</v>
      </c>
      <c r="AM3947">
        <v>99.895270657269904</v>
      </c>
      <c r="AN3947">
        <v>0.99999994442849605</v>
      </c>
    </row>
    <row r="3948" spans="1:40" x14ac:dyDescent="0.25">
      <c r="A3948" t="str">
        <f>"20190305135709173"</f>
        <v>20190305135709173</v>
      </c>
      <c r="B3948" t="str">
        <f>"1551765429166770"</f>
        <v>1551765429166770</v>
      </c>
      <c r="C3948" t="s">
        <v>40</v>
      </c>
      <c r="D3948">
        <v>4.2763929999999997</v>
      </c>
      <c r="E3948">
        <v>0.48052139999999999</v>
      </c>
      <c r="F3948" t="s">
        <v>43</v>
      </c>
      <c r="G3948">
        <v>-294.59469999999999</v>
      </c>
      <c r="H3948">
        <v>-0.05</v>
      </c>
      <c r="I3948">
        <v>33.211469999999998</v>
      </c>
      <c r="J3948">
        <v>-366.98219999999998</v>
      </c>
      <c r="K3948">
        <v>1.112312</v>
      </c>
      <c r="L3948">
        <v>17.132020000000001</v>
      </c>
      <c r="M3948">
        <v>0.99985950000000001</v>
      </c>
      <c r="N3948">
        <v>-1.4722280000000001E-2</v>
      </c>
      <c r="O3948">
        <v>-8.0223989999999995E-3</v>
      </c>
      <c r="P3948">
        <v>0.98425479999999999</v>
      </c>
      <c r="Q3948">
        <v>-7.1613540000000003E-2</v>
      </c>
      <c r="R3948">
        <v>0.16159780000000001</v>
      </c>
      <c r="S3948">
        <v>2.93811</v>
      </c>
      <c r="T3948">
        <v>-4.6947719999999998E-2</v>
      </c>
      <c r="U3948">
        <v>0.64947509999999997</v>
      </c>
      <c r="V3948">
        <v>-0.16901759999999999</v>
      </c>
      <c r="W3948">
        <v>-5.851634E-2</v>
      </c>
      <c r="X3948">
        <v>0.98387440000000004</v>
      </c>
      <c r="Y3948">
        <v>-0.22361519999999999</v>
      </c>
      <c r="Z3948">
        <v>3.4411250000000002E-3</v>
      </c>
      <c r="AA3948">
        <v>0.97467139999999997</v>
      </c>
      <c r="AB3948">
        <v>35</v>
      </c>
      <c r="AC3948">
        <v>72.387499999999903</v>
      </c>
      <c r="AD3948">
        <v>-1.162312</v>
      </c>
      <c r="AE3948">
        <v>16.079449999999898</v>
      </c>
      <c r="AF3948">
        <v>-16.6556245173511</v>
      </c>
      <c r="AG3948">
        <v>-1.162312</v>
      </c>
      <c r="AH3948">
        <v>72.238411510658594</v>
      </c>
      <c r="AI3948">
        <v>90.898244142851397</v>
      </c>
      <c r="AJ3948">
        <v>102.98348768398699</v>
      </c>
      <c r="AK3948">
        <v>74.142760232079198</v>
      </c>
      <c r="AL3948">
        <v>93.354655746438695</v>
      </c>
      <c r="AM3948">
        <v>99.747570981621706</v>
      </c>
      <c r="AN3948">
        <v>0.99999997306605704</v>
      </c>
    </row>
    <row r="3949" spans="1:40" x14ac:dyDescent="0.25">
      <c r="A3949" t="str">
        <f>"20190305135709195"</f>
        <v>20190305135709195</v>
      </c>
      <c r="B3949" t="str">
        <f>"1551765429186278"</f>
        <v>1551765429186278</v>
      </c>
      <c r="C3949" t="s">
        <v>40</v>
      </c>
      <c r="D3949">
        <v>4.2882600000000002</v>
      </c>
      <c r="E3949">
        <v>0.48112460000000001</v>
      </c>
      <c r="F3949" t="s">
        <v>43</v>
      </c>
      <c r="G3949">
        <v>-296.6653</v>
      </c>
      <c r="H3949">
        <v>-0.05</v>
      </c>
      <c r="I3949">
        <v>32.630850000000002</v>
      </c>
      <c r="J3949">
        <v>-366.62360000000001</v>
      </c>
      <c r="K3949">
        <v>1.112333</v>
      </c>
      <c r="L3949">
        <v>17.13278</v>
      </c>
      <c r="M3949">
        <v>0.9998821</v>
      </c>
      <c r="N3949">
        <v>-1.4731569999999999E-2</v>
      </c>
      <c r="O3949">
        <v>-4.3368549999999997E-3</v>
      </c>
      <c r="P3949">
        <v>0.98416789999999998</v>
      </c>
      <c r="Q3949">
        <v>-7.181071E-2</v>
      </c>
      <c r="R3949">
        <v>0.1620405</v>
      </c>
      <c r="S3949">
        <v>2.9381710000000001</v>
      </c>
      <c r="T3949">
        <v>-4.8566819999999997E-2</v>
      </c>
      <c r="U3949">
        <v>0.64761349999999995</v>
      </c>
      <c r="V3949">
        <v>-0.16583249999999999</v>
      </c>
      <c r="W3949">
        <v>-5.8676499999999999E-2</v>
      </c>
      <c r="X3949">
        <v>0.98440680000000003</v>
      </c>
      <c r="Y3949">
        <v>-0.2194256</v>
      </c>
      <c r="Z3949">
        <v>3.4353000000000001E-3</v>
      </c>
      <c r="AA3949">
        <v>0.97562320000000002</v>
      </c>
      <c r="AB3949">
        <v>35</v>
      </c>
      <c r="AC3949">
        <v>69.958299999999994</v>
      </c>
      <c r="AD3949">
        <v>-1.1623330000000001</v>
      </c>
      <c r="AE3949">
        <v>15.49807</v>
      </c>
      <c r="AF3949">
        <v>-15.7971993807143</v>
      </c>
      <c r="AG3949">
        <v>-1.1623330000000001</v>
      </c>
      <c r="AH3949">
        <v>69.872036140743305</v>
      </c>
      <c r="AI3949">
        <v>90.929579320674094</v>
      </c>
      <c r="AJ3949">
        <v>102.739680637532</v>
      </c>
      <c r="AK3949">
        <v>71.644985593761305</v>
      </c>
      <c r="AL3949">
        <v>93.363847778315701</v>
      </c>
      <c r="AM3949">
        <v>99.562228540930107</v>
      </c>
      <c r="AN3949">
        <v>1.0000000487973599</v>
      </c>
    </row>
    <row r="3950" spans="1:40" x14ac:dyDescent="0.25">
      <c r="A3950" t="str">
        <f>"20190305135709218"</f>
        <v>20190305135709218</v>
      </c>
      <c r="B3950" t="str">
        <f>"1551765429206774"</f>
        <v>1551765429206774</v>
      </c>
      <c r="C3950" t="s">
        <v>40</v>
      </c>
      <c r="D3950">
        <v>4.2763109999999998</v>
      </c>
      <c r="E3950">
        <v>0.4816957</v>
      </c>
      <c r="F3950" t="s">
        <v>43</v>
      </c>
      <c r="G3950">
        <v>-297.97269999999997</v>
      </c>
      <c r="H3950">
        <v>-0.05</v>
      </c>
      <c r="I3950">
        <v>32.18497</v>
      </c>
      <c r="J3950">
        <v>-366.26280000000003</v>
      </c>
      <c r="K3950">
        <v>1.1123369999999999</v>
      </c>
      <c r="L3950">
        <v>17.134829999999901</v>
      </c>
      <c r="M3950">
        <v>0.99989130000000004</v>
      </c>
      <c r="N3950">
        <v>-1.473879E-2</v>
      </c>
      <c r="O3950">
        <v>-6.4584279999999896E-4</v>
      </c>
      <c r="P3950">
        <v>0.98416689999999996</v>
      </c>
      <c r="Q3950">
        <v>-7.2163370000000004E-2</v>
      </c>
      <c r="R3950">
        <v>0.16188939999999999</v>
      </c>
      <c r="S3950">
        <v>2.938507</v>
      </c>
      <c r="T3950">
        <v>-4.9751999999999998E-2</v>
      </c>
      <c r="U3950">
        <v>0.6442871</v>
      </c>
      <c r="V3950">
        <v>-0.16204730000000001</v>
      </c>
      <c r="W3950">
        <v>-5.8980949999999997E-2</v>
      </c>
      <c r="X3950">
        <v>0.98501870000000002</v>
      </c>
      <c r="Y3950">
        <v>-0.21474389999999999</v>
      </c>
      <c r="Z3950">
        <v>3.3992580000000001E-3</v>
      </c>
      <c r="AA3950">
        <v>0.97666450000000005</v>
      </c>
      <c r="AB3950">
        <v>35</v>
      </c>
      <c r="AC3950">
        <v>68.290099999999995</v>
      </c>
      <c r="AD3950">
        <v>-1.162337</v>
      </c>
      <c r="AE3950">
        <v>15.050140000000001</v>
      </c>
      <c r="AF3950">
        <v>-15.090077210932501</v>
      </c>
      <c r="AG3950">
        <v>-1.162337</v>
      </c>
      <c r="AH3950">
        <v>68.261505305497707</v>
      </c>
      <c r="AI3950">
        <v>90.952529091320798</v>
      </c>
      <c r="AJ3950">
        <v>102.465486478222</v>
      </c>
      <c r="AK3950">
        <v>69.919200253621</v>
      </c>
      <c r="AL3950">
        <v>93.381322042790302</v>
      </c>
      <c r="AM3950">
        <v>99.342158211555102</v>
      </c>
      <c r="AN3950">
        <v>0.99999995962494004</v>
      </c>
    </row>
    <row r="3951" spans="1:40" x14ac:dyDescent="0.25">
      <c r="A3951" t="str">
        <f>"20190305135709238"</f>
        <v>20190305135709238</v>
      </c>
      <c r="B3951" t="str">
        <f>"1551765429236054"</f>
        <v>1551765429236054</v>
      </c>
      <c r="C3951" t="s">
        <v>40</v>
      </c>
      <c r="D3951">
        <v>4.4035140000000004</v>
      </c>
      <c r="E3951">
        <v>0.48208030000000002</v>
      </c>
      <c r="F3951" t="s">
        <v>43</v>
      </c>
      <c r="G3951">
        <v>-301.63670000000002</v>
      </c>
      <c r="H3951">
        <v>-0.05</v>
      </c>
      <c r="I3951">
        <v>31.18843</v>
      </c>
      <c r="J3951">
        <v>-365.9452</v>
      </c>
      <c r="K3951">
        <v>1.1123190000000001</v>
      </c>
      <c r="L3951">
        <v>17.13766</v>
      </c>
      <c r="M3951">
        <v>0.9998882</v>
      </c>
      <c r="N3951">
        <v>-1.4743050000000001E-2</v>
      </c>
      <c r="O3951">
        <v>2.5554330000000002E-3</v>
      </c>
      <c r="P3951">
        <v>0.98434219999999895</v>
      </c>
      <c r="Q3951">
        <v>-7.2768040000000006E-2</v>
      </c>
      <c r="R3951">
        <v>0.1605481</v>
      </c>
      <c r="S3951">
        <v>2.939209</v>
      </c>
      <c r="T3951">
        <v>-5.2863239999999999E-2</v>
      </c>
      <c r="U3951">
        <v>0.63916019999999996</v>
      </c>
      <c r="V3951">
        <v>-0.15755269999999999</v>
      </c>
      <c r="W3951">
        <v>-5.9525160000000001E-2</v>
      </c>
      <c r="X3951">
        <v>0.98571489999999995</v>
      </c>
      <c r="Y3951">
        <v>-0.2099355</v>
      </c>
      <c r="Z3951">
        <v>3.4234970000000002E-3</v>
      </c>
      <c r="AA3951">
        <v>0.97770919999999895</v>
      </c>
      <c r="AB3951">
        <v>35</v>
      </c>
      <c r="AC3951">
        <v>64.308499999999896</v>
      </c>
      <c r="AD3951">
        <v>-1.1623190000000001</v>
      </c>
      <c r="AE3951">
        <v>14.05077</v>
      </c>
      <c r="AF3951">
        <v>-13.8820419387848</v>
      </c>
      <c r="AG3951">
        <v>-1.1623190000000001</v>
      </c>
      <c r="AH3951">
        <v>64.324144095981794</v>
      </c>
      <c r="AI3951">
        <v>91.011913728074006</v>
      </c>
      <c r="AJ3951">
        <v>102.17844327535499</v>
      </c>
      <c r="AK3951">
        <v>65.815329426574806</v>
      </c>
      <c r="AL3951">
        <v>93.412557789043206</v>
      </c>
      <c r="AM3951">
        <v>99.081113208360094</v>
      </c>
      <c r="AN3951">
        <v>0.99999998101616205</v>
      </c>
    </row>
    <row r="3952" spans="1:40" x14ac:dyDescent="0.25">
      <c r="A3952" t="str">
        <f>"20190305135709261"</f>
        <v>20190305135709261</v>
      </c>
      <c r="B3952" t="str">
        <f>"1551765429256551"</f>
        <v>1551765429256551</v>
      </c>
      <c r="C3952" t="s">
        <v>40</v>
      </c>
      <c r="D3952">
        <v>4.6621670000000002</v>
      </c>
      <c r="E3952">
        <v>0.48275600000000002</v>
      </c>
      <c r="F3952" t="s">
        <v>43</v>
      </c>
      <c r="G3952">
        <v>-304.52859999999998</v>
      </c>
      <c r="H3952">
        <v>-0.05</v>
      </c>
      <c r="I3952">
        <v>30.338979999999999</v>
      </c>
      <c r="J3952">
        <v>-365.5881</v>
      </c>
      <c r="K3952">
        <v>1.112263</v>
      </c>
      <c r="L3952">
        <v>17.142029999999998</v>
      </c>
      <c r="M3952">
        <v>0.99987309999999996</v>
      </c>
      <c r="N3952">
        <v>-1.4745350000000001E-2</v>
      </c>
      <c r="O3952">
        <v>6.0553849999999999E-3</v>
      </c>
      <c r="P3952">
        <v>0.98471609999999998</v>
      </c>
      <c r="Q3952">
        <v>-7.2845569999999998E-2</v>
      </c>
      <c r="R3952">
        <v>0.158201799999999</v>
      </c>
      <c r="S3952">
        <v>2.9404910000000002</v>
      </c>
      <c r="T3952">
        <v>-5.5649280000000002E-2</v>
      </c>
      <c r="U3952">
        <v>0.63204959999999999</v>
      </c>
      <c r="V3952">
        <v>-0.15176489999999901</v>
      </c>
      <c r="W3952">
        <v>-5.951791E-2</v>
      </c>
      <c r="X3952">
        <v>0.98662300000000003</v>
      </c>
      <c r="Y3952">
        <v>-0.20415920000000001</v>
      </c>
      <c r="Z3952">
        <v>3.407429E-3</v>
      </c>
      <c r="AA3952">
        <v>0.97893180000000002</v>
      </c>
      <c r="AB3952">
        <v>35</v>
      </c>
      <c r="AC3952">
        <v>61.0595</v>
      </c>
      <c r="AD3952">
        <v>-1.1622629999999901</v>
      </c>
      <c r="AE3952">
        <v>13.196949999999999</v>
      </c>
      <c r="AF3952">
        <v>-12.822490459458599</v>
      </c>
      <c r="AG3952">
        <v>-1.1622629999999901</v>
      </c>
      <c r="AH3952">
        <v>61.117145381544603</v>
      </c>
      <c r="AI3952">
        <v>91.066252585983705</v>
      </c>
      <c r="AJ3952">
        <v>101.848905318069</v>
      </c>
      <c r="AK3952">
        <v>62.458566877994599</v>
      </c>
      <c r="AL3952">
        <v>93.412141744671402</v>
      </c>
      <c r="AM3952">
        <v>98.744843069575097</v>
      </c>
      <c r="AN3952">
        <v>0.99999995530588803</v>
      </c>
    </row>
    <row r="3953" spans="1:40" x14ac:dyDescent="0.25">
      <c r="A3953" t="str">
        <f>"20190305135709284"</f>
        <v>20190305135709284</v>
      </c>
      <c r="B3953" t="str">
        <f>"1551765429276070"</f>
        <v>1551765429276070</v>
      </c>
      <c r="C3953" t="s">
        <v>40</v>
      </c>
      <c r="D3953">
        <v>4.5153819999999998</v>
      </c>
      <c r="E3953">
        <v>0.55890719999999905</v>
      </c>
      <c r="F3953" t="s">
        <v>43</v>
      </c>
      <c r="G3953">
        <v>-311.84640000000002</v>
      </c>
      <c r="H3953">
        <v>-0.05</v>
      </c>
      <c r="I3953">
        <v>28.451429999999998</v>
      </c>
      <c r="J3953">
        <v>-365.22800000000001</v>
      </c>
      <c r="K3953">
        <v>1.112168</v>
      </c>
      <c r="L3953">
        <v>17.14752</v>
      </c>
      <c r="M3953">
        <v>0.99984669999999998</v>
      </c>
      <c r="N3953">
        <v>-1.474491E-2</v>
      </c>
      <c r="O3953">
        <v>9.4417609999999999E-3</v>
      </c>
      <c r="P3953">
        <v>0.98547969999999896</v>
      </c>
      <c r="Q3953">
        <v>-7.2232809999999995E-2</v>
      </c>
      <c r="R3953">
        <v>0.15366250000000001</v>
      </c>
      <c r="S3953">
        <v>2.9424130000000002</v>
      </c>
      <c r="T3953">
        <v>-6.3635109999999995E-2</v>
      </c>
      <c r="U3953">
        <v>0.61920169999999997</v>
      </c>
      <c r="V3953">
        <v>-0.14389839999999901</v>
      </c>
      <c r="W3953">
        <v>-5.8790370000000002E-2</v>
      </c>
      <c r="X3953">
        <v>0.98784459999999996</v>
      </c>
      <c r="Y3953">
        <v>-0.1966051</v>
      </c>
      <c r="Z3953">
        <v>3.5040660000000001E-3</v>
      </c>
      <c r="AA3953">
        <v>0.98047649999999997</v>
      </c>
      <c r="AB3953">
        <v>35</v>
      </c>
      <c r="AC3953">
        <v>53.381599999999899</v>
      </c>
      <c r="AD3953">
        <v>-1.1621680000000001</v>
      </c>
      <c r="AE3953">
        <v>11.303909999999901</v>
      </c>
      <c r="AF3953">
        <v>-10.794438201496501</v>
      </c>
      <c r="AG3953">
        <v>-1.1621680000000001</v>
      </c>
      <c r="AH3953">
        <v>53.461708463226898</v>
      </c>
      <c r="AI3953">
        <v>91.220692082503305</v>
      </c>
      <c r="AJ3953">
        <v>101.415103811618</v>
      </c>
      <c r="AK3953">
        <v>54.552954112066303</v>
      </c>
      <c r="AL3953">
        <v>93.370383477031297</v>
      </c>
      <c r="AM3953">
        <v>98.287928911824395</v>
      </c>
      <c r="AN3953">
        <v>1.0000000054382201</v>
      </c>
    </row>
    <row r="3954" spans="1:40" x14ac:dyDescent="0.25">
      <c r="A3954" t="str">
        <f>"20190305135709308"</f>
        <v>20190305135709308</v>
      </c>
      <c r="B3954" t="str">
        <f>"1551765429296570"</f>
        <v>1551765429296570</v>
      </c>
      <c r="C3954" t="s">
        <v>40</v>
      </c>
      <c r="D3954">
        <v>4.5896369999999997</v>
      </c>
      <c r="E3954">
        <v>0.62171239999999905</v>
      </c>
      <c r="F3954" t="s">
        <v>42</v>
      </c>
      <c r="G3954">
        <v>-344.30930000000001</v>
      </c>
      <c r="H3954" s="1">
        <v>-2.8622049999999998E-6</v>
      </c>
      <c r="I3954">
        <v>17.143639999999898</v>
      </c>
      <c r="J3954">
        <v>-364.86369999999999</v>
      </c>
      <c r="K3954">
        <v>1.112034</v>
      </c>
      <c r="L3954">
        <v>17.154109999999999</v>
      </c>
      <c r="M3954">
        <v>0.99981109999999895</v>
      </c>
      <c r="N3954">
        <v>-1.474233E-2</v>
      </c>
      <c r="O3954">
        <v>1.268114E-2</v>
      </c>
      <c r="P3954">
        <v>0.98630019999999996</v>
      </c>
      <c r="Q3954">
        <v>-7.2654099999999999E-2</v>
      </c>
      <c r="R3954">
        <v>0.14809990000000001</v>
      </c>
      <c r="S3954">
        <v>3.0324710000000001</v>
      </c>
      <c r="T3954">
        <v>-0.16122539999999999</v>
      </c>
      <c r="U3954">
        <v>-5.4931640000000002E-4</v>
      </c>
      <c r="V3954">
        <v>-0.13514479999999901</v>
      </c>
      <c r="W3954">
        <v>-5.9083450000000003E-2</v>
      </c>
      <c r="X3954">
        <v>0.98906269999999996</v>
      </c>
      <c r="Y3954">
        <v>1.283114E-2</v>
      </c>
      <c r="Z3954">
        <v>-9.2237560000000001E-4</v>
      </c>
      <c r="AA3954">
        <v>0.99991730000000001</v>
      </c>
      <c r="AB3954">
        <v>35</v>
      </c>
      <c r="AC3954">
        <v>20.554399999999902</v>
      </c>
      <c r="AD3954">
        <v>-1.1120368622050001</v>
      </c>
      <c r="AE3954">
        <v>-1.0470000000001501E-2</v>
      </c>
      <c r="AF3954">
        <v>0.27035930881193498</v>
      </c>
      <c r="AG3954">
        <v>-1.1120368622050001</v>
      </c>
      <c r="AH3954">
        <v>20.4926313487348</v>
      </c>
      <c r="AI3954">
        <v>93.105851038749194</v>
      </c>
      <c r="AJ3954">
        <v>89.244140567120397</v>
      </c>
      <c r="AK3954">
        <v>20.524562351824098</v>
      </c>
      <c r="AL3954">
        <v>93.3872049906591</v>
      </c>
      <c r="AM3954">
        <v>97.780669484068795</v>
      </c>
      <c r="AN3954">
        <v>0.99999999778111603</v>
      </c>
    </row>
    <row r="3955" spans="1:40" x14ac:dyDescent="0.25">
      <c r="A3955" t="str">
        <f>"20190305135709331"</f>
        <v>20190305135709331</v>
      </c>
      <c r="B3955" t="str">
        <f>"1551765429326823"</f>
        <v>1551765429326823</v>
      </c>
      <c r="C3955" t="s">
        <v>40</v>
      </c>
      <c r="D3955">
        <v>4.4527869999999998</v>
      </c>
      <c r="E3955">
        <v>0.62170059999999905</v>
      </c>
      <c r="F3955" t="s">
        <v>42</v>
      </c>
      <c r="G3955">
        <v>-345.12049999999999</v>
      </c>
      <c r="H3955" s="1">
        <v>-3.1713090000000001E-6</v>
      </c>
      <c r="I3955">
        <v>13.88574</v>
      </c>
      <c r="J3955">
        <v>-364.51240000000001</v>
      </c>
      <c r="K3955">
        <v>1.111872</v>
      </c>
      <c r="L3955">
        <v>17.16141</v>
      </c>
      <c r="M3955">
        <v>0.99977000000000005</v>
      </c>
      <c r="N3955">
        <v>-1.4737800000000001E-2</v>
      </c>
      <c r="O3955">
        <v>1.558124E-2</v>
      </c>
      <c r="P3955">
        <v>0.98719080000000003</v>
      </c>
      <c r="Q3955">
        <v>-7.3568579999999995E-2</v>
      </c>
      <c r="R3955">
        <v>0.14157030000000001</v>
      </c>
      <c r="S3955">
        <v>3.1059570000000001</v>
      </c>
      <c r="T3955">
        <v>-0.1749434</v>
      </c>
      <c r="U3955">
        <v>-0.51416019999999996</v>
      </c>
      <c r="V3955">
        <v>-0.1257529</v>
      </c>
      <c r="W3955">
        <v>-5.9864689999999998E-2</v>
      </c>
      <c r="X3955">
        <v>0.99025370000000001</v>
      </c>
      <c r="Y3955">
        <v>0.1783092</v>
      </c>
      <c r="Z3955">
        <v>-6.9513800000000001E-3</v>
      </c>
      <c r="AA3955">
        <v>0.98394999999999999</v>
      </c>
      <c r="AB3955">
        <v>35</v>
      </c>
      <c r="AC3955">
        <v>19.3919</v>
      </c>
      <c r="AD3955">
        <v>-1.111875171309</v>
      </c>
      <c r="AE3955">
        <v>-3.2756699999999999</v>
      </c>
      <c r="AF3955">
        <v>3.5660566024036502</v>
      </c>
      <c r="AG3955">
        <v>-1.111875171309</v>
      </c>
      <c r="AH3955">
        <v>19.276885415736601</v>
      </c>
      <c r="AI3955">
        <v>93.246160019651498</v>
      </c>
      <c r="AJ3955">
        <v>79.5192623702644</v>
      </c>
      <c r="AK3955">
        <v>19.635461222481101</v>
      </c>
      <c r="AL3955">
        <v>93.432046177569902</v>
      </c>
      <c r="AM3955">
        <v>97.237286361001196</v>
      </c>
      <c r="AN3955">
        <v>0.99999998166544701</v>
      </c>
    </row>
    <row r="3956" spans="1:40" x14ac:dyDescent="0.25">
      <c r="A3956" t="str">
        <f>"20190305135709351"</f>
        <v>20190305135709351</v>
      </c>
      <c r="B3956" t="str">
        <f>"1551765429346343"</f>
        <v>1551765429346343</v>
      </c>
      <c r="C3956" t="s">
        <v>40</v>
      </c>
      <c r="D3956">
        <v>4.4627480000000004</v>
      </c>
      <c r="E3956">
        <v>0.6184115</v>
      </c>
      <c r="F3956" t="s">
        <v>42</v>
      </c>
      <c r="G3956">
        <v>-338.2088</v>
      </c>
      <c r="H3956" s="1">
        <v>-2.4476629999999999E-6</v>
      </c>
      <c r="I3956">
        <v>12.655609999999999</v>
      </c>
      <c r="J3956">
        <v>-364.1891</v>
      </c>
      <c r="K3956">
        <v>1.1116969999999999</v>
      </c>
      <c r="L3956">
        <v>17.16882</v>
      </c>
      <c r="M3956">
        <v>0.99972899999999998</v>
      </c>
      <c r="N3956">
        <v>-1.473266E-2</v>
      </c>
      <c r="O3956">
        <v>1.8027060000000001E-2</v>
      </c>
      <c r="P3956">
        <v>0.98835919999999999</v>
      </c>
      <c r="Q3956">
        <v>-7.4296929999999997E-2</v>
      </c>
      <c r="R3956">
        <v>0.13276399999999999</v>
      </c>
      <c r="S3956">
        <v>3.1054379999999999</v>
      </c>
      <c r="T3956">
        <v>-0.13126959999999999</v>
      </c>
      <c r="U3956">
        <v>-0.53195190000000003</v>
      </c>
      <c r="V3956">
        <v>-0.1145275</v>
      </c>
      <c r="W3956">
        <v>-6.045118E-2</v>
      </c>
      <c r="X3956">
        <v>0.99157910000000005</v>
      </c>
      <c r="Y3956">
        <v>0.1863543</v>
      </c>
      <c r="Z3956">
        <v>-5.784974E-3</v>
      </c>
      <c r="AA3956">
        <v>0.98246560000000005</v>
      </c>
      <c r="AB3956">
        <v>35</v>
      </c>
      <c r="AC3956">
        <v>25.9803</v>
      </c>
      <c r="AD3956">
        <v>-1.111699447663</v>
      </c>
      <c r="AE3956">
        <v>-4.5132099999999902</v>
      </c>
      <c r="AF3956">
        <v>4.9720385986026301</v>
      </c>
      <c r="AG3956">
        <v>-1.111699447663</v>
      </c>
      <c r="AH3956">
        <v>25.848766075679901</v>
      </c>
      <c r="AI3956">
        <v>92.418371598562501</v>
      </c>
      <c r="AJ3956">
        <v>79.112074562547406</v>
      </c>
      <c r="AK3956">
        <v>26.346076579315302</v>
      </c>
      <c r="AL3956">
        <v>93.465710478661194</v>
      </c>
      <c r="AM3956">
        <v>96.588475258003299</v>
      </c>
      <c r="AN3956">
        <v>1.0000000024882201</v>
      </c>
    </row>
    <row r="3957" spans="1:40" x14ac:dyDescent="0.25">
      <c r="A3957" t="str">
        <f>"20190305135709373"</f>
        <v>20190305135709373</v>
      </c>
      <c r="B3957" t="str">
        <f>"1551765429366839"</f>
        <v>1551765429366839</v>
      </c>
      <c r="C3957" t="s">
        <v>40</v>
      </c>
      <c r="D3957">
        <v>4.4374409999999997</v>
      </c>
      <c r="E3957">
        <v>0.61615730000000002</v>
      </c>
      <c r="F3957" t="s">
        <v>42</v>
      </c>
      <c r="G3957">
        <v>-341.56979999999999</v>
      </c>
      <c r="H3957" s="1">
        <v>-4.7259900000000003E-6</v>
      </c>
      <c r="I3957">
        <v>13.26191</v>
      </c>
      <c r="J3957">
        <v>-363.84199999999998</v>
      </c>
      <c r="K3957">
        <v>1.111515</v>
      </c>
      <c r="L3957">
        <v>17.177489999999999</v>
      </c>
      <c r="M3957">
        <v>0.99968239999999997</v>
      </c>
      <c r="N3957">
        <v>-1.472653E-2</v>
      </c>
      <c r="O3957">
        <v>2.0447770000000001E-2</v>
      </c>
      <c r="P3957">
        <v>0.98960519999999996</v>
      </c>
      <c r="Q3957">
        <v>-7.4679170000000003E-2</v>
      </c>
      <c r="R3957">
        <v>0.1229</v>
      </c>
      <c r="S3957">
        <v>3.0957340000000002</v>
      </c>
      <c r="T3957">
        <v>-0.15215039999999999</v>
      </c>
      <c r="U3957">
        <v>-0.53469849999999997</v>
      </c>
      <c r="V3957">
        <v>-0.1022662</v>
      </c>
      <c r="W3957">
        <v>-6.0693410000000003E-2</v>
      </c>
      <c r="X3957">
        <v>0.9929038</v>
      </c>
      <c r="Y3957">
        <v>0.19001390000000001</v>
      </c>
      <c r="Z3957">
        <v>-6.7416430000000003E-3</v>
      </c>
      <c r="AA3957">
        <v>0.98175820000000003</v>
      </c>
      <c r="AB3957">
        <v>35</v>
      </c>
      <c r="AC3957">
        <v>22.272200000000002</v>
      </c>
      <c r="AD3957">
        <v>-1.11151972598999</v>
      </c>
      <c r="AE3957">
        <v>-3.9155799999999998</v>
      </c>
      <c r="AF3957">
        <v>4.35969458952066</v>
      </c>
      <c r="AG3957">
        <v>-1.11151972598999</v>
      </c>
      <c r="AH3957">
        <v>22.133994132458401</v>
      </c>
      <c r="AI3957">
        <v>92.820744238358799</v>
      </c>
      <c r="AJ3957">
        <v>78.857188705280905</v>
      </c>
      <c r="AK3957">
        <v>22.5866356341723</v>
      </c>
      <c r="AL3957">
        <v>93.479614737016604</v>
      </c>
      <c r="AM3957">
        <v>95.880562488479896</v>
      </c>
      <c r="AN3957">
        <v>1.0000000108671501</v>
      </c>
    </row>
    <row r="3958" spans="1:40" x14ac:dyDescent="0.25">
      <c r="A3958" t="str">
        <f>"20190305135709396"</f>
        <v>20190305135709396</v>
      </c>
      <c r="B3958" t="str">
        <f>"1551765429386358"</f>
        <v>1551765429386358</v>
      </c>
      <c r="C3958" t="s">
        <v>40</v>
      </c>
      <c r="D3958">
        <v>4.4710760000000001</v>
      </c>
      <c r="E3958">
        <v>0.61389019999999905</v>
      </c>
      <c r="F3958" t="s">
        <v>42</v>
      </c>
      <c r="G3958">
        <v>-341.4606</v>
      </c>
      <c r="H3958" s="1">
        <v>-4.782371E-6</v>
      </c>
      <c r="I3958">
        <v>13.208130000000001</v>
      </c>
      <c r="J3958">
        <v>-363.48840000000001</v>
      </c>
      <c r="K3958">
        <v>1.111332</v>
      </c>
      <c r="L3958">
        <v>17.18695</v>
      </c>
      <c r="M3958">
        <v>0.99963400000000002</v>
      </c>
      <c r="N3958">
        <v>-1.472043E-2</v>
      </c>
      <c r="O3958">
        <v>2.2703830000000001E-2</v>
      </c>
      <c r="P3958">
        <v>0.99092899999999995</v>
      </c>
      <c r="Q3958">
        <v>-7.4970980000000007E-2</v>
      </c>
      <c r="R3958">
        <v>0.11153200000000001</v>
      </c>
      <c r="S3958">
        <v>3.087952</v>
      </c>
      <c r="T3958">
        <v>-0.15335550000000001</v>
      </c>
      <c r="U3958">
        <v>-0.54763790000000001</v>
      </c>
      <c r="V3958">
        <v>-8.8656750000000006E-2</v>
      </c>
      <c r="W3958">
        <v>-6.0850019999999998E-2</v>
      </c>
      <c r="X3958">
        <v>0.99420180000000002</v>
      </c>
      <c r="Y3958">
        <v>0.19661410000000001</v>
      </c>
      <c r="Z3958">
        <v>-7.0882590000000004E-3</v>
      </c>
      <c r="AA3958">
        <v>0.98045530000000003</v>
      </c>
      <c r="AB3958">
        <v>35</v>
      </c>
      <c r="AC3958">
        <v>22.027799999999999</v>
      </c>
      <c r="AD3958">
        <v>-1.1113367823710001</v>
      </c>
      <c r="AE3958">
        <v>-3.9788199999999998</v>
      </c>
      <c r="AF3958">
        <v>4.46695296312756</v>
      </c>
      <c r="AG3958">
        <v>-1.1113367823710001</v>
      </c>
      <c r="AH3958">
        <v>21.8778490019941</v>
      </c>
      <c r="AI3958">
        <v>92.849289694892803</v>
      </c>
      <c r="AJ3958">
        <v>78.460135316376196</v>
      </c>
      <c r="AK3958">
        <v>22.356856111106001</v>
      </c>
      <c r="AL3958">
        <v>93.488604546630697</v>
      </c>
      <c r="AM3958">
        <v>95.095803545206394</v>
      </c>
      <c r="AN3958">
        <v>0.99999998168890103</v>
      </c>
    </row>
    <row r="3959" spans="1:40" x14ac:dyDescent="0.25">
      <c r="A3959" t="str">
        <f>"20190305135709417"</f>
        <v>20190305135709417</v>
      </c>
      <c r="B3959" t="str">
        <f>"1551765429406858"</f>
        <v>1551765429406858</v>
      </c>
      <c r="C3959" t="s">
        <v>40</v>
      </c>
      <c r="D3959">
        <v>4.4320539999999999</v>
      </c>
      <c r="E3959">
        <v>0.61180749999999995</v>
      </c>
      <c r="F3959" t="s">
        <v>42</v>
      </c>
      <c r="G3959">
        <v>-344.2663</v>
      </c>
      <c r="H3959" s="1">
        <v>-3.52495E-6</v>
      </c>
      <c r="I3959">
        <v>13.649190000000001</v>
      </c>
      <c r="J3959">
        <v>-363.15030000000002</v>
      </c>
      <c r="K3959">
        <v>1.111175</v>
      </c>
      <c r="L3959">
        <v>17.19659</v>
      </c>
      <c r="M3959">
        <v>0.99958740000000001</v>
      </c>
      <c r="N3959">
        <v>-1.471448E-2</v>
      </c>
      <c r="O3959">
        <v>2.4665340000000001E-2</v>
      </c>
      <c r="P3959">
        <v>0.99223859999999997</v>
      </c>
      <c r="Q3959">
        <v>-7.4448570000000006E-2</v>
      </c>
      <c r="R3959">
        <v>9.9598500000000006E-2</v>
      </c>
      <c r="S3959">
        <v>3.0777589999999999</v>
      </c>
      <c r="T3959">
        <v>-0.17794219999999999</v>
      </c>
      <c r="U3959">
        <v>-0.56643679999999996</v>
      </c>
      <c r="V3959">
        <v>-7.4772530000000004E-2</v>
      </c>
      <c r="W3959">
        <v>-6.0206830000000003E-2</v>
      </c>
      <c r="X3959">
        <v>0.99538139999999997</v>
      </c>
      <c r="Y3959">
        <v>0.20476759999999999</v>
      </c>
      <c r="Z3959">
        <v>-8.4401519999999994E-3</v>
      </c>
      <c r="AA3959">
        <v>0.97877420000000004</v>
      </c>
      <c r="AB3959">
        <v>35</v>
      </c>
      <c r="AC3959">
        <v>18.884</v>
      </c>
      <c r="AD3959">
        <v>-1.1111785249499999</v>
      </c>
      <c r="AE3959">
        <v>-3.5474000000000001</v>
      </c>
      <c r="AF3959">
        <v>3.99877774868169</v>
      </c>
      <c r="AG3959">
        <v>-1.1111785249499999</v>
      </c>
      <c r="AH3959">
        <v>18.728111944610902</v>
      </c>
      <c r="AI3959">
        <v>93.320818543411605</v>
      </c>
      <c r="AJ3959">
        <v>77.947338131395298</v>
      </c>
      <c r="AK3959">
        <v>19.182469033144301</v>
      </c>
      <c r="AL3959">
        <v>93.451684845693606</v>
      </c>
      <c r="AM3959">
        <v>94.295960494765694</v>
      </c>
      <c r="AN3959">
        <v>0.99999996254360402</v>
      </c>
    </row>
    <row r="3960" spans="1:40" x14ac:dyDescent="0.25">
      <c r="A3960" t="str">
        <f>"20190305135709439"</f>
        <v>20190305135709439</v>
      </c>
      <c r="B3960" t="str">
        <f>"1551765429436134"</f>
        <v>1551765429436134</v>
      </c>
      <c r="C3960" t="s">
        <v>40</v>
      </c>
      <c r="D3960">
        <v>4.4412310000000002</v>
      </c>
      <c r="E3960">
        <v>0.60908980000000001</v>
      </c>
      <c r="F3960" t="s">
        <v>42</v>
      </c>
      <c r="G3960">
        <v>-344.94920000000002</v>
      </c>
      <c r="H3960" s="1">
        <v>-3.275892E-6</v>
      </c>
      <c r="I3960">
        <v>13.711790000000001</v>
      </c>
      <c r="J3960">
        <v>-362.81450000000001</v>
      </c>
      <c r="K3960">
        <v>1.1110230000000001</v>
      </c>
      <c r="L3960">
        <v>17.206630000000001</v>
      </c>
      <c r="M3960">
        <v>0.99954240000000005</v>
      </c>
      <c r="N3960">
        <v>-1.4708250000000001E-2</v>
      </c>
      <c r="O3960">
        <v>2.6435090000000001E-2</v>
      </c>
      <c r="P3960">
        <v>0.99362989999999995</v>
      </c>
      <c r="Q3960">
        <v>-7.3241379999999995E-2</v>
      </c>
      <c r="R3960">
        <v>8.5647070000000006E-2</v>
      </c>
      <c r="S3960">
        <v>3.06839</v>
      </c>
      <c r="T3960">
        <v>-0.18732560000000001</v>
      </c>
      <c r="U3960">
        <v>-0.58746339999999997</v>
      </c>
      <c r="V3960">
        <v>-5.905813E-2</v>
      </c>
      <c r="W3960">
        <v>-5.8882429999999999E-2</v>
      </c>
      <c r="X3960">
        <v>0.99651639999999997</v>
      </c>
      <c r="Y3960">
        <v>0.2134354</v>
      </c>
      <c r="Z3960">
        <v>-9.2501470000000002E-3</v>
      </c>
      <c r="AA3960">
        <v>0.97691340000000004</v>
      </c>
      <c r="AB3960">
        <v>35</v>
      </c>
      <c r="AC3960">
        <v>17.865299999999898</v>
      </c>
      <c r="AD3960">
        <v>-1.111026275892</v>
      </c>
      <c r="AE3960">
        <v>-3.4948399999999999</v>
      </c>
      <c r="AF3960">
        <v>3.9512222258848002</v>
      </c>
      <c r="AG3960">
        <v>-1.111026275892</v>
      </c>
      <c r="AH3960">
        <v>17.7007248614693</v>
      </c>
      <c r="AI3960">
        <v>93.505534760862304</v>
      </c>
      <c r="AJ3960">
        <v>77.416520841654602</v>
      </c>
      <c r="AK3960">
        <v>18.170365904006601</v>
      </c>
      <c r="AL3960">
        <v>93.375667401800499</v>
      </c>
      <c r="AM3960">
        <v>93.391643443271704</v>
      </c>
      <c r="AN3960">
        <v>0.99999996937538005</v>
      </c>
    </row>
    <row r="3961" spans="1:40" x14ac:dyDescent="0.25">
      <c r="A3961" t="str">
        <f>"20190305135709462"</f>
        <v>20190305135709462</v>
      </c>
      <c r="B3961" t="str">
        <f>"1551765429456630"</f>
        <v>1551765429456630</v>
      </c>
      <c r="C3961" t="s">
        <v>40</v>
      </c>
      <c r="D3961">
        <v>5.4421010000000001</v>
      </c>
      <c r="E3961">
        <v>0.60715079999999999</v>
      </c>
      <c r="F3961" t="s">
        <v>42</v>
      </c>
      <c r="G3961">
        <v>-346.41890000000001</v>
      </c>
      <c r="H3961" s="1">
        <v>-2.7166220000000001E-6</v>
      </c>
      <c r="I3961">
        <v>13.93404</v>
      </c>
      <c r="J3961">
        <v>-362.45209999999997</v>
      </c>
      <c r="K3961">
        <v>1.11087</v>
      </c>
      <c r="L3961">
        <v>17.21799</v>
      </c>
      <c r="M3961">
        <v>0.99949489999999996</v>
      </c>
      <c r="N3961">
        <v>-1.470134E-2</v>
      </c>
      <c r="O3961">
        <v>2.8174640000000001E-2</v>
      </c>
      <c r="P3961">
        <v>0.9948245</v>
      </c>
      <c r="Q3961">
        <v>-7.2774980000000003E-2</v>
      </c>
      <c r="R3961">
        <v>7.0910470000000003E-2</v>
      </c>
      <c r="S3961">
        <v>3.056549</v>
      </c>
      <c r="T3961">
        <v>-0.207123</v>
      </c>
      <c r="U3961">
        <v>-0.61007690000000003</v>
      </c>
      <c r="V3961">
        <v>-4.2587409999999999E-2</v>
      </c>
      <c r="W3961">
        <v>-5.8311500000000002E-2</v>
      </c>
      <c r="X3961">
        <v>0.99738959999999999</v>
      </c>
      <c r="Y3961">
        <v>0.2226506</v>
      </c>
      <c r="Z3961">
        <v>-1.059676E-2</v>
      </c>
      <c r="AA3961">
        <v>0.9748407</v>
      </c>
      <c r="AB3961">
        <v>35</v>
      </c>
      <c r="AC3961">
        <v>16.033199999999901</v>
      </c>
      <c r="AD3961">
        <v>-1.110872716622</v>
      </c>
      <c r="AE3961">
        <v>-3.2839499999999999</v>
      </c>
      <c r="AF3961">
        <v>3.7172980360354302</v>
      </c>
      <c r="AG3961">
        <v>-1.110872716622</v>
      </c>
      <c r="AH3961">
        <v>15.861223190753799</v>
      </c>
      <c r="AI3961">
        <v>93.900923160254095</v>
      </c>
      <c r="AJ3961">
        <v>76.809992463198498</v>
      </c>
      <c r="AK3961">
        <v>16.328831678603098</v>
      </c>
      <c r="AL3961">
        <v>93.342899226188607</v>
      </c>
      <c r="AM3961">
        <v>92.444979937046298</v>
      </c>
      <c r="AN3961">
        <v>0.99999996635545796</v>
      </c>
    </row>
    <row r="3962" spans="1:40" x14ac:dyDescent="0.25">
      <c r="A3962" t="str">
        <f>"20190305135709484"</f>
        <v>20190305135709484</v>
      </c>
      <c r="B3962" t="str">
        <f>"1551765429476151"</f>
        <v>1551765429476151</v>
      </c>
      <c r="C3962" t="s">
        <v>40</v>
      </c>
      <c r="D3962">
        <v>4.3642440000000002</v>
      </c>
      <c r="E3962">
        <v>0.60516749999999997</v>
      </c>
      <c r="F3962" t="s">
        <v>42</v>
      </c>
      <c r="G3962">
        <v>-345.83370000000002</v>
      </c>
      <c r="H3962" s="1">
        <v>-2.970508E-6</v>
      </c>
      <c r="I3962">
        <v>13.728289999999999</v>
      </c>
      <c r="J3962">
        <v>-362.1139</v>
      </c>
      <c r="K3962">
        <v>1.110733</v>
      </c>
      <c r="L3962">
        <v>17.228999999999999</v>
      </c>
      <c r="M3962">
        <v>0.9994518</v>
      </c>
      <c r="N3962">
        <v>-1.4694860000000001E-2</v>
      </c>
      <c r="O3962">
        <v>2.9666629999999999E-2</v>
      </c>
      <c r="P3962">
        <v>0.99592950000000002</v>
      </c>
      <c r="Q3962">
        <v>-7.2036710000000004E-2</v>
      </c>
      <c r="R3962">
        <v>5.417545E-2</v>
      </c>
      <c r="S3962">
        <v>3.0463260000000001</v>
      </c>
      <c r="T3962">
        <v>-0.2036337</v>
      </c>
      <c r="U3962">
        <v>-0.639679</v>
      </c>
      <c r="V3962">
        <v>-2.4363010000000001E-2</v>
      </c>
      <c r="W3962">
        <v>-5.7478830000000002E-2</v>
      </c>
      <c r="X3962">
        <v>0.99804939999999998</v>
      </c>
      <c r="Y3962">
        <v>0.233795</v>
      </c>
      <c r="Z3962">
        <v>-1.0990389999999999E-2</v>
      </c>
      <c r="AA3962">
        <v>0.97222379999999997</v>
      </c>
      <c r="AB3962">
        <v>35</v>
      </c>
      <c r="AC3962">
        <v>16.280199999999901</v>
      </c>
      <c r="AD3962">
        <v>-1.110735970508</v>
      </c>
      <c r="AE3962">
        <v>-3.5007100000000002</v>
      </c>
      <c r="AF3962">
        <v>3.9645609416824601</v>
      </c>
      <c r="AG3962">
        <v>-1.110735970508</v>
      </c>
      <c r="AH3962">
        <v>16.097547644395501</v>
      </c>
      <c r="AI3962">
        <v>93.832992795702793</v>
      </c>
      <c r="AJ3962">
        <v>76.164343117364098</v>
      </c>
      <c r="AK3962">
        <v>16.615731040796199</v>
      </c>
      <c r="AL3962">
        <v>93.295110516013295</v>
      </c>
      <c r="AM3962">
        <v>91.398348104273694</v>
      </c>
      <c r="AN3962">
        <v>0.99999998849739402</v>
      </c>
    </row>
    <row r="3963" spans="1:40" x14ac:dyDescent="0.25">
      <c r="A3963" t="str">
        <f>"20190305135709507"</f>
        <v>20190305135709507</v>
      </c>
      <c r="B3963" t="str">
        <f>"1551765429496646"</f>
        <v>1551765429496646</v>
      </c>
      <c r="C3963" t="s">
        <v>40</v>
      </c>
      <c r="D3963">
        <v>4.3719330000000003</v>
      </c>
      <c r="E3963">
        <v>0.60317980000000004</v>
      </c>
      <c r="F3963" t="s">
        <v>42</v>
      </c>
      <c r="G3963">
        <v>-345.5086</v>
      </c>
      <c r="H3963" s="1">
        <v>-3.1328139999999999E-6</v>
      </c>
      <c r="I3963">
        <v>13.53403</v>
      </c>
      <c r="J3963">
        <v>-361.76420000000002</v>
      </c>
      <c r="K3963">
        <v>1.110603</v>
      </c>
      <c r="L3963">
        <v>17.240839999999999</v>
      </c>
      <c r="M3963">
        <v>0.99940830000000003</v>
      </c>
      <c r="N3963">
        <v>-1.468816E-2</v>
      </c>
      <c r="O3963">
        <v>3.1104920000000001E-2</v>
      </c>
      <c r="P3963">
        <v>0.99671920000000003</v>
      </c>
      <c r="Q3963">
        <v>-7.1794479999999994E-2</v>
      </c>
      <c r="R3963">
        <v>3.7372370000000002E-2</v>
      </c>
      <c r="S3963">
        <v>3.0343019999999998</v>
      </c>
      <c r="T3963">
        <v>-0.2029659</v>
      </c>
      <c r="U3963">
        <v>-0.67517090000000002</v>
      </c>
      <c r="V3963">
        <v>-6.1280750000000002E-3</v>
      </c>
      <c r="W3963">
        <v>-5.7160799999999998E-2</v>
      </c>
      <c r="X3963">
        <v>0.99834610000000001</v>
      </c>
      <c r="Y3963">
        <v>0.2467742</v>
      </c>
      <c r="Z3963">
        <v>-1.1585750000000001E-2</v>
      </c>
      <c r="AA3963">
        <v>0.96900370000000002</v>
      </c>
      <c r="AB3963">
        <v>35</v>
      </c>
      <c r="AC3963">
        <v>16.255600000000001</v>
      </c>
      <c r="AD3963">
        <v>-1.110606132814</v>
      </c>
      <c r="AE3963">
        <v>-3.7068099999999902</v>
      </c>
      <c r="AF3963">
        <v>4.1920988718878496</v>
      </c>
      <c r="AG3963">
        <v>-1.110606132814</v>
      </c>
      <c r="AH3963">
        <v>16.0611552814471</v>
      </c>
      <c r="AI3963">
        <v>93.827788998344204</v>
      </c>
      <c r="AJ3963">
        <v>75.371670346777904</v>
      </c>
      <c r="AK3963">
        <v>16.636341181542399</v>
      </c>
      <c r="AL3963">
        <v>93.276858945897203</v>
      </c>
      <c r="AM3963">
        <v>90.351690084647004</v>
      </c>
      <c r="AN3963">
        <v>0.99999992287252404</v>
      </c>
    </row>
    <row r="3964" spans="1:40" x14ac:dyDescent="0.25">
      <c r="A3964" t="str">
        <f>"20190305135709530"</f>
        <v>20190305135709530</v>
      </c>
      <c r="B3964" t="str">
        <f>"1551765429525926"</f>
        <v>1551765429525926</v>
      </c>
      <c r="C3964" t="s">
        <v>40</v>
      </c>
      <c r="D3964">
        <v>4.4082699999999999</v>
      </c>
      <c r="E3964">
        <v>0.60009009999999996</v>
      </c>
      <c r="F3964" t="s">
        <v>42</v>
      </c>
      <c r="G3964">
        <v>-345.35770000000002</v>
      </c>
      <c r="H3964" s="1">
        <v>-3.2241600000000001E-6</v>
      </c>
      <c r="I3964">
        <v>13.383800000000001</v>
      </c>
      <c r="J3964">
        <v>-361.40640000000002</v>
      </c>
      <c r="K3964">
        <v>1.1104940000000001</v>
      </c>
      <c r="L3964">
        <v>17.25339</v>
      </c>
      <c r="M3964">
        <v>0.99936340000000001</v>
      </c>
      <c r="N3964">
        <v>-1.4669440000000001E-2</v>
      </c>
      <c r="O3964">
        <v>3.252323E-2</v>
      </c>
      <c r="P3964">
        <v>0.9971854</v>
      </c>
      <c r="Q3964">
        <v>-7.2355820000000001E-2</v>
      </c>
      <c r="R3964">
        <v>1.9644760000000001E-2</v>
      </c>
      <c r="S3964">
        <v>3.02182</v>
      </c>
      <c r="T3964">
        <v>-0.2045554</v>
      </c>
      <c r="U3964">
        <v>-0.71038819999999903</v>
      </c>
      <c r="V3964">
        <v>1.3007360000000001E-2</v>
      </c>
      <c r="W3964">
        <v>-5.7672059999999997E-2</v>
      </c>
      <c r="X3964">
        <v>0.99825079999999999</v>
      </c>
      <c r="Y3964">
        <v>0.25965480000000002</v>
      </c>
      <c r="Z3964">
        <v>-1.2294869999999999E-2</v>
      </c>
      <c r="AA3964">
        <v>0.96562329999999996</v>
      </c>
      <c r="AB3964">
        <v>35</v>
      </c>
      <c r="AC3964">
        <v>16.048699999999901</v>
      </c>
      <c r="AD3964">
        <v>-1.11049722416</v>
      </c>
      <c r="AE3964">
        <v>-3.8695899999999899</v>
      </c>
      <c r="AF3964">
        <v>4.3697811311299199</v>
      </c>
      <c r="AG3964">
        <v>-1.11049722416</v>
      </c>
      <c r="AH3964">
        <v>15.842655814944401</v>
      </c>
      <c r="AI3964">
        <v>93.865720082333695</v>
      </c>
      <c r="AJ3964">
        <v>74.579877628199796</v>
      </c>
      <c r="AK3964">
        <v>16.471731374984198</v>
      </c>
      <c r="AL3964">
        <v>93.306200273887399</v>
      </c>
      <c r="AM3964">
        <v>89.253469512311398</v>
      </c>
      <c r="AN3964">
        <v>0.99999995880972503</v>
      </c>
    </row>
    <row r="3965" spans="1:40" x14ac:dyDescent="0.25">
      <c r="A3965" t="str">
        <f>"20190305135709552"</f>
        <v>20190305135709552</v>
      </c>
      <c r="B3965" t="str">
        <f>"1551765429546422"</f>
        <v>1551765429546422</v>
      </c>
      <c r="C3965" t="s">
        <v>40</v>
      </c>
      <c r="D3965">
        <v>4.4119449999999896</v>
      </c>
      <c r="E3965">
        <v>0.5990626</v>
      </c>
      <c r="F3965" t="s">
        <v>42</v>
      </c>
      <c r="G3965">
        <v>-345.18290000000002</v>
      </c>
      <c r="H3965" s="1">
        <v>-3.3151510000000002E-6</v>
      </c>
      <c r="I3965">
        <v>13.265420000000001</v>
      </c>
      <c r="J3965">
        <v>-361.07600000000002</v>
      </c>
      <c r="K3965">
        <v>1.110255</v>
      </c>
      <c r="L3965">
        <v>17.265139999999999</v>
      </c>
      <c r="M3965">
        <v>0.99929409999999996</v>
      </c>
      <c r="N3965">
        <v>-1.427168E-2</v>
      </c>
      <c r="O3965">
        <v>3.475147E-2</v>
      </c>
      <c r="P3965">
        <v>0.99736440000000004</v>
      </c>
      <c r="Q3965">
        <v>-7.2510409999999997E-2</v>
      </c>
      <c r="R3965">
        <v>2.5872109999999999E-3</v>
      </c>
      <c r="S3965">
        <v>3.0080870000000002</v>
      </c>
      <c r="T3965">
        <v>-0.205902</v>
      </c>
      <c r="U3965">
        <v>-0.73941040000000002</v>
      </c>
      <c r="V3965">
        <v>3.2267419999999998E-2</v>
      </c>
      <c r="W3965">
        <v>-5.8171439999999998E-2</v>
      </c>
      <c r="X3965">
        <v>0.99778500000000003</v>
      </c>
      <c r="Y3965">
        <v>0.2715282</v>
      </c>
      <c r="Z3965">
        <v>-1.297066E-2</v>
      </c>
      <c r="AA3965">
        <v>0.96234310000000001</v>
      </c>
      <c r="AB3965">
        <v>35</v>
      </c>
      <c r="AC3965">
        <v>15.893099999999899</v>
      </c>
      <c r="AD3965">
        <v>-1.1102583151509999</v>
      </c>
      <c r="AE3965">
        <v>-3.9997199999999902</v>
      </c>
      <c r="AF3965">
        <v>4.5288833565950704</v>
      </c>
      <c r="AG3965">
        <v>-1.1102583151509999</v>
      </c>
      <c r="AH3965">
        <v>15.672559612364999</v>
      </c>
      <c r="AI3965">
        <v>93.893341535116704</v>
      </c>
      <c r="AJ3965">
        <v>73.882347152120005</v>
      </c>
      <c r="AK3965">
        <v>16.351531511975899</v>
      </c>
      <c r="AL3965">
        <v>93.334860606457497</v>
      </c>
      <c r="AM3965">
        <v>88.147754385981699</v>
      </c>
      <c r="AN3965">
        <v>1.0000000045250601</v>
      </c>
    </row>
    <row r="3966" spans="1:40" x14ac:dyDescent="0.25">
      <c r="A3966" t="str">
        <f>"20190305135709572"</f>
        <v>20190305135709572</v>
      </c>
      <c r="B3966" t="str">
        <f>"1551765429565942"</f>
        <v>1551765429565942</v>
      </c>
      <c r="C3966" t="s">
        <v>40</v>
      </c>
      <c r="D3966">
        <v>4.4103890000000003</v>
      </c>
      <c r="E3966">
        <v>0.56574460000000004</v>
      </c>
      <c r="F3966" t="s">
        <v>42</v>
      </c>
      <c r="G3966">
        <v>-344.9973</v>
      </c>
      <c r="H3966" s="1">
        <v>-3.4319620000000001E-6</v>
      </c>
      <c r="I3966">
        <v>13.063650000000001</v>
      </c>
      <c r="J3966">
        <v>-360.75310000000002</v>
      </c>
      <c r="K3966">
        <v>1.11039</v>
      </c>
      <c r="L3966">
        <v>17.277100000000001</v>
      </c>
      <c r="M3966">
        <v>0.99924729999999995</v>
      </c>
      <c r="N3966">
        <v>-1.4530339999999999E-2</v>
      </c>
      <c r="O3966">
        <v>3.5967279999999997E-2</v>
      </c>
      <c r="P3966">
        <v>0.99722279999999996</v>
      </c>
      <c r="Q3966">
        <v>-7.3014640000000006E-2</v>
      </c>
      <c r="R3966">
        <v>-1.4690949999999999E-2</v>
      </c>
      <c r="S3966">
        <v>2.9949650000000001</v>
      </c>
      <c r="T3966">
        <v>-0.2068074</v>
      </c>
      <c r="U3966">
        <v>-0.78259279999999998</v>
      </c>
      <c r="V3966">
        <v>5.0759209999999999E-2</v>
      </c>
      <c r="W3966">
        <v>-5.8354799999999998E-2</v>
      </c>
      <c r="X3966">
        <v>0.99700460000000002</v>
      </c>
      <c r="Y3966">
        <v>0.28662080000000001</v>
      </c>
      <c r="Z3966">
        <v>-1.3770330000000001E-2</v>
      </c>
      <c r="AA3966">
        <v>0.95794520000000005</v>
      </c>
      <c r="AB3966">
        <v>35</v>
      </c>
      <c r="AC3966">
        <v>15.755800000000001</v>
      </c>
      <c r="AD3966">
        <v>-1.1103934319619999</v>
      </c>
      <c r="AE3966">
        <v>-4.2134499999999999</v>
      </c>
      <c r="AF3966">
        <v>4.7554336020567503</v>
      </c>
      <c r="AG3966">
        <v>-1.1103934319619999</v>
      </c>
      <c r="AH3966">
        <v>15.5220919589428</v>
      </c>
      <c r="AI3966">
        <v>93.912844048761301</v>
      </c>
      <c r="AJ3966">
        <v>72.966742176674302</v>
      </c>
      <c r="AK3966">
        <v>16.272137570067201</v>
      </c>
      <c r="AL3966">
        <v>93.345384332144505</v>
      </c>
      <c r="AM3966">
        <v>87.085490235909504</v>
      </c>
      <c r="AN3966">
        <v>0.99999997625201098</v>
      </c>
    </row>
    <row r="3967" spans="1:40" x14ac:dyDescent="0.25">
      <c r="A3967" t="str">
        <f>"20190305135709597"</f>
        <v>20190305135709597</v>
      </c>
      <c r="B3967" t="str">
        <f>"1551765429586438"</f>
        <v>1551765429586438</v>
      </c>
      <c r="C3967" t="s">
        <v>40</v>
      </c>
      <c r="D3967">
        <v>4.4004640000000004</v>
      </c>
      <c r="E3967">
        <v>0.56285189999999996</v>
      </c>
      <c r="F3967" t="s">
        <v>42</v>
      </c>
      <c r="G3967">
        <v>-346.54320000000001</v>
      </c>
      <c r="H3967" s="1">
        <v>-2.5066939999999999E-6</v>
      </c>
      <c r="I3967">
        <v>14.564080000000001</v>
      </c>
      <c r="J3967">
        <v>-360.37220000000002</v>
      </c>
      <c r="K3967">
        <v>1.1106100000000001</v>
      </c>
      <c r="L3967">
        <v>17.291989999999998</v>
      </c>
      <c r="M3967">
        <v>0.99921990000000005</v>
      </c>
      <c r="N3967">
        <v>-1.496983E-2</v>
      </c>
      <c r="O3967">
        <v>3.6545380000000002E-2</v>
      </c>
      <c r="P3967">
        <v>0.99678529999999999</v>
      </c>
      <c r="Q3967">
        <v>-7.3467340000000006E-2</v>
      </c>
      <c r="R3967">
        <v>-3.1963119999999998E-2</v>
      </c>
      <c r="S3967">
        <v>2.98291</v>
      </c>
      <c r="T3967">
        <v>-0.2330892</v>
      </c>
      <c r="U3967">
        <v>-0.56948849999999995</v>
      </c>
      <c r="V3967">
        <v>6.8607379999999996E-2</v>
      </c>
      <c r="W3967">
        <v>-5.8291120000000002E-2</v>
      </c>
      <c r="X3967">
        <v>0.99593929999999997</v>
      </c>
      <c r="Y3967">
        <v>0.2224506</v>
      </c>
      <c r="Z3967">
        <v>-1.257047E-2</v>
      </c>
      <c r="AA3967">
        <v>0.97486289999999998</v>
      </c>
      <c r="AB3967">
        <v>35</v>
      </c>
      <c r="AC3967">
        <v>13.829000000000001</v>
      </c>
      <c r="AD3967">
        <v>-1.110612506694</v>
      </c>
      <c r="AE3967">
        <v>-2.7279100000000001</v>
      </c>
      <c r="AF3967">
        <v>3.2115918401294499</v>
      </c>
      <c r="AG3967">
        <v>-1.110612506694</v>
      </c>
      <c r="AH3967">
        <v>13.635405219916001</v>
      </c>
      <c r="AI3967">
        <v>94.532997965066997</v>
      </c>
      <c r="AJ3967">
        <v>76.746496133583605</v>
      </c>
      <c r="AK3967">
        <v>14.052475148489799</v>
      </c>
      <c r="AL3967">
        <v>93.341729575618899</v>
      </c>
      <c r="AM3967">
        <v>86.0592849396498</v>
      </c>
      <c r="AN3967">
        <v>0.999999958272903</v>
      </c>
    </row>
    <row r="3968" spans="1:40" x14ac:dyDescent="0.25">
      <c r="A3968" t="str">
        <f>"20190305135709617"</f>
        <v>20190305135709617</v>
      </c>
      <c r="B3968" t="str">
        <f>"1551765429606948"</f>
        <v>1551765429606948</v>
      </c>
      <c r="C3968" t="s">
        <v>40</v>
      </c>
      <c r="D3968">
        <v>4.4378260000000003</v>
      </c>
      <c r="E3968">
        <v>0.56030990000000003</v>
      </c>
      <c r="F3968" t="s">
        <v>42</v>
      </c>
      <c r="G3968">
        <v>-346.03339999999997</v>
      </c>
      <c r="H3968" s="1">
        <v>-2.721342E-6</v>
      </c>
      <c r="I3968">
        <v>14.40936</v>
      </c>
      <c r="J3968">
        <v>-360.05869999999999</v>
      </c>
      <c r="K3968">
        <v>1.110598</v>
      </c>
      <c r="L3968">
        <v>17.30463</v>
      </c>
      <c r="M3968">
        <v>0.99919840000000004</v>
      </c>
      <c r="N3968">
        <v>-1.5106909999999999E-2</v>
      </c>
      <c r="O3968">
        <v>3.707419E-2</v>
      </c>
      <c r="P3968">
        <v>0.9960968</v>
      </c>
      <c r="Q3968">
        <v>-7.3372859999999998E-2</v>
      </c>
      <c r="R3968">
        <v>-4.9072089999999999E-2</v>
      </c>
      <c r="S3968">
        <v>2.9735719999999999</v>
      </c>
      <c r="T3968">
        <v>-0.23031760000000001</v>
      </c>
      <c r="U3968">
        <v>-0.59777829999999998</v>
      </c>
      <c r="V3968">
        <v>8.6207899999999907E-2</v>
      </c>
      <c r="W3968">
        <v>-5.8005019999999997E-2</v>
      </c>
      <c r="X3968">
        <v>0.9945872</v>
      </c>
      <c r="Y3968">
        <v>0.2324283</v>
      </c>
      <c r="Z3968">
        <v>-1.296307E-2</v>
      </c>
      <c r="AA3968">
        <v>0.97252709999999998</v>
      </c>
      <c r="AB3968">
        <v>34</v>
      </c>
      <c r="AC3968">
        <v>14.0253</v>
      </c>
      <c r="AD3968">
        <v>-1.1106007213419999</v>
      </c>
      <c r="AE3968">
        <v>-2.8952699999999898</v>
      </c>
      <c r="AF3968">
        <v>3.3929098608236101</v>
      </c>
      <c r="AG3968">
        <v>-1.1106007213419999</v>
      </c>
      <c r="AH3968">
        <v>13.825158225026</v>
      </c>
      <c r="AI3968">
        <v>94.4609962247998</v>
      </c>
      <c r="AJ3968">
        <v>76.211236326345201</v>
      </c>
      <c r="AK3968">
        <v>14.2786648967235</v>
      </c>
      <c r="AL3968">
        <v>93.325309192349394</v>
      </c>
      <c r="AM3968">
        <v>85.046151148382293</v>
      </c>
      <c r="AN3968">
        <v>1.00000004138572</v>
      </c>
    </row>
    <row r="3969" spans="1:40" x14ac:dyDescent="0.25">
      <c r="A3969" t="str">
        <f>"20190305135709640"</f>
        <v>20190305135709640</v>
      </c>
      <c r="B3969" t="str">
        <f>"1551765429636215"</f>
        <v>1551765429636215</v>
      </c>
      <c r="C3969" t="s">
        <v>40</v>
      </c>
      <c r="D3969">
        <v>4.4825299999999997</v>
      </c>
      <c r="E3969">
        <v>0.56110680000000002</v>
      </c>
      <c r="F3969" t="s">
        <v>42</v>
      </c>
      <c r="G3969">
        <v>-345.54950000000002</v>
      </c>
      <c r="H3969" s="1">
        <v>-2.934153E-6</v>
      </c>
      <c r="I3969">
        <v>14.228429999999999</v>
      </c>
      <c r="J3969">
        <v>-359.721</v>
      </c>
      <c r="K3969">
        <v>1.1104080000000001</v>
      </c>
      <c r="L3969">
        <v>17.3186</v>
      </c>
      <c r="M3969">
        <v>0.9991603</v>
      </c>
      <c r="N3969">
        <v>-1.5084530000000001E-2</v>
      </c>
      <c r="O3969">
        <v>3.8092819999999999E-2</v>
      </c>
      <c r="P3969">
        <v>0.99523830000000002</v>
      </c>
      <c r="Q3969">
        <v>-7.2417590000000004E-2</v>
      </c>
      <c r="R3969">
        <v>-6.5244150000000001E-2</v>
      </c>
      <c r="S3969">
        <v>2.9640810000000002</v>
      </c>
      <c r="T3969">
        <v>-0.22688449999999999</v>
      </c>
      <c r="U3969">
        <v>-0.62841800000000003</v>
      </c>
      <c r="V3969">
        <v>0.10332760000000001</v>
      </c>
      <c r="W3969">
        <v>-5.7057089999999998E-2</v>
      </c>
      <c r="X3969">
        <v>0.99300949999999999</v>
      </c>
      <c r="Y3969">
        <v>0.24362739999999999</v>
      </c>
      <c r="Z3969">
        <v>-1.3384389999999999E-2</v>
      </c>
      <c r="AA3969">
        <v>0.96977659999999999</v>
      </c>
      <c r="AB3969">
        <v>34</v>
      </c>
      <c r="AC3969">
        <v>14.171499999999901</v>
      </c>
      <c r="AD3969">
        <v>-1.110410934153</v>
      </c>
      <c r="AE3969">
        <v>-3.0901700000000001</v>
      </c>
      <c r="AF3969">
        <v>3.6066822264579201</v>
      </c>
      <c r="AG3969">
        <v>-1.110410934153</v>
      </c>
      <c r="AH3969">
        <v>13.961657949307501</v>
      </c>
      <c r="AI3969">
        <v>94.403370654324206</v>
      </c>
      <c r="AJ3969">
        <v>75.515571936626301</v>
      </c>
      <c r="AK3969">
        <v>14.4626782380995</v>
      </c>
      <c r="AL3969">
        <v>93.270906880482102</v>
      </c>
      <c r="AM3969">
        <v>84.059466570762098</v>
      </c>
      <c r="AN3969">
        <v>0.99999998576563898</v>
      </c>
    </row>
    <row r="3970" spans="1:40" x14ac:dyDescent="0.25">
      <c r="A3970" t="str">
        <f>"20190305135709652"</f>
        <v>20190305135709652</v>
      </c>
      <c r="B3970" t="str">
        <f>"1551765429645975"</f>
        <v>1551765429645975</v>
      </c>
      <c r="C3970" t="s">
        <v>40</v>
      </c>
      <c r="D3970">
        <v>4.5250459999999997</v>
      </c>
      <c r="E3970">
        <v>0.62139899999999904</v>
      </c>
      <c r="F3970" t="s">
        <v>42</v>
      </c>
      <c r="G3970">
        <v>-345.62799999999999</v>
      </c>
      <c r="H3970" s="1">
        <v>-2.9529609999999999E-6</v>
      </c>
      <c r="I3970">
        <v>14.057309999999999</v>
      </c>
      <c r="J3970">
        <v>-359.52229999999997</v>
      </c>
      <c r="K3970">
        <v>1.110274</v>
      </c>
      <c r="L3970">
        <v>17.326899999999998</v>
      </c>
      <c r="M3970">
        <v>0.99913160000000001</v>
      </c>
      <c r="N3970">
        <v>-1.505485E-2</v>
      </c>
      <c r="O3970">
        <v>3.88528E-2</v>
      </c>
      <c r="P3970">
        <v>0.9947513</v>
      </c>
      <c r="Q3970">
        <v>-7.2248560000000003E-2</v>
      </c>
      <c r="R3970">
        <v>-7.2458930000000005E-2</v>
      </c>
      <c r="S3970">
        <v>2.9526370000000002</v>
      </c>
      <c r="T3970">
        <v>-0.23264280000000001</v>
      </c>
      <c r="U3970">
        <v>-0.68325809999999998</v>
      </c>
      <c r="V3970">
        <v>0.111258</v>
      </c>
      <c r="W3970">
        <v>-5.6927859999999997E-2</v>
      </c>
      <c r="X3970">
        <v>0.99215969999999998</v>
      </c>
      <c r="Y3970">
        <v>0.26213320000000001</v>
      </c>
      <c r="Z3970">
        <v>-1.462317E-2</v>
      </c>
      <c r="AA3970">
        <v>0.96492089999999997</v>
      </c>
      <c r="AB3970">
        <v>34</v>
      </c>
      <c r="AC3970">
        <v>13.8942999999999</v>
      </c>
      <c r="AD3970">
        <v>-1.1102769529609999</v>
      </c>
      <c r="AE3970">
        <v>-3.2695899999999898</v>
      </c>
      <c r="AF3970">
        <v>3.7841189756122402</v>
      </c>
      <c r="AG3970">
        <v>-1.1102769529609999</v>
      </c>
      <c r="AH3970">
        <v>13.674026511513</v>
      </c>
      <c r="AI3970">
        <v>94.474550941550504</v>
      </c>
      <c r="AJ3970">
        <v>74.531225842089</v>
      </c>
      <c r="AK3970">
        <v>14.231348227466899</v>
      </c>
      <c r="AL3970">
        <v>93.2634904553599</v>
      </c>
      <c r="AM3970">
        <v>83.601741819652602</v>
      </c>
      <c r="AN3970">
        <v>0.99999999705613396</v>
      </c>
    </row>
    <row r="3971" spans="1:40" x14ac:dyDescent="0.25">
      <c r="A3971" t="str">
        <f>"20190305135709674"</f>
        <v>20190305135709674</v>
      </c>
      <c r="B3971" t="str">
        <f>"1551765429666470"</f>
        <v>1551765429666470</v>
      </c>
      <c r="C3971" t="s">
        <v>40</v>
      </c>
      <c r="D3971">
        <v>4.4653309999999999</v>
      </c>
      <c r="E3971">
        <v>0.62638549999999904</v>
      </c>
      <c r="F3971" t="s">
        <v>42</v>
      </c>
      <c r="G3971">
        <v>-347.69699999999898</v>
      </c>
      <c r="H3971" s="1">
        <v>-2.6618449999999998E-6</v>
      </c>
      <c r="I3971">
        <v>12.505269999999999</v>
      </c>
      <c r="J3971">
        <v>-359.1832</v>
      </c>
      <c r="K3971">
        <v>1.1101000000000001</v>
      </c>
      <c r="L3971">
        <v>17.341339999999999</v>
      </c>
      <c r="M3971">
        <v>0.99907639999999998</v>
      </c>
      <c r="N3971">
        <v>-1.502208E-2</v>
      </c>
      <c r="O3971">
        <v>4.0262230000000003E-2</v>
      </c>
      <c r="P3971">
        <v>0.993699</v>
      </c>
      <c r="Q3971">
        <v>-7.1128839999999999E-2</v>
      </c>
      <c r="R3971">
        <v>-8.6621749999999997E-2</v>
      </c>
      <c r="S3971">
        <v>2.909637</v>
      </c>
      <c r="T3971">
        <v>-0.27318330000000002</v>
      </c>
      <c r="U3971">
        <v>-1.18634</v>
      </c>
      <c r="V3971">
        <v>0.1267412</v>
      </c>
      <c r="W3971">
        <v>-5.5858730000000002E-2</v>
      </c>
      <c r="X3971">
        <v>0.99036179999999996</v>
      </c>
      <c r="Y3971">
        <v>0.41257929999999998</v>
      </c>
      <c r="Z3971">
        <v>-2.4867449999999999E-2</v>
      </c>
      <c r="AA3971">
        <v>0.91058220000000001</v>
      </c>
      <c r="AB3971">
        <v>34</v>
      </c>
      <c r="AC3971">
        <v>11.4862</v>
      </c>
      <c r="AD3971">
        <v>-1.1101026618449901</v>
      </c>
      <c r="AE3971">
        <v>-4.8360699999999897</v>
      </c>
      <c r="AF3971">
        <v>5.2529822012934604</v>
      </c>
      <c r="AG3971">
        <v>-1.1101026618449901</v>
      </c>
      <c r="AH3971">
        <v>11.193342246176</v>
      </c>
      <c r="AI3971">
        <v>95.130277957220898</v>
      </c>
      <c r="AJ3971">
        <v>64.859558368543802</v>
      </c>
      <c r="AK3971">
        <v>12.414389254690301</v>
      </c>
      <c r="AL3971">
        <v>93.202136129701302</v>
      </c>
      <c r="AM3971">
        <v>82.707232999871295</v>
      </c>
      <c r="AN3971">
        <v>1.0000000121969399</v>
      </c>
    </row>
    <row r="3972" spans="1:40" x14ac:dyDescent="0.25">
      <c r="A3972" t="str">
        <f>"20190305135709686"</f>
        <v>20190305135709686</v>
      </c>
      <c r="B3972" t="str">
        <f>"1551765429676230"</f>
        <v>1551765429676230</v>
      </c>
      <c r="C3972" t="s">
        <v>40</v>
      </c>
      <c r="D3972">
        <v>4.4115199999999897</v>
      </c>
      <c r="E3972">
        <v>0.62571390000000005</v>
      </c>
      <c r="F3972" t="s">
        <v>42</v>
      </c>
      <c r="G3972">
        <v>-346.14409999999998</v>
      </c>
      <c r="H3972" s="1">
        <v>-3.423509E-6</v>
      </c>
      <c r="I3972">
        <v>11.6288</v>
      </c>
      <c r="J3972">
        <v>-358.9896</v>
      </c>
      <c r="K3972">
        <v>1.1100300000000001</v>
      </c>
      <c r="L3972">
        <v>17.349640000000001</v>
      </c>
      <c r="M3972">
        <v>0.99904499999999996</v>
      </c>
      <c r="N3972">
        <v>-1.500842E-2</v>
      </c>
      <c r="O3972">
        <v>4.103805E-2</v>
      </c>
      <c r="P3972">
        <v>0.99242010000000003</v>
      </c>
      <c r="Q3972">
        <v>-6.9559889999999999E-2</v>
      </c>
      <c r="R3972">
        <v>-0.1013116</v>
      </c>
      <c r="S3972">
        <v>2.8909910000000001</v>
      </c>
      <c r="T3972">
        <v>-0.24612719999999999</v>
      </c>
      <c r="U3972">
        <v>-1.2665409999999999</v>
      </c>
      <c r="V3972">
        <v>0.1421212</v>
      </c>
      <c r="W3972">
        <v>-5.4306599999999997E-2</v>
      </c>
      <c r="X3972">
        <v>0.98835839999999997</v>
      </c>
      <c r="Y3972">
        <v>0.43684800000000001</v>
      </c>
      <c r="Z3972">
        <v>-2.393491E-2</v>
      </c>
      <c r="AA3972">
        <v>0.89921689999999999</v>
      </c>
      <c r="AB3972">
        <v>34</v>
      </c>
      <c r="AC3972">
        <v>12.845499999999999</v>
      </c>
      <c r="AD3972">
        <v>-1.1100334235089999</v>
      </c>
      <c r="AE3972">
        <v>-5.7208399999999999</v>
      </c>
      <c r="AF3972">
        <v>6.2045697272131504</v>
      </c>
      <c r="AG3972">
        <v>-1.1100334235089999</v>
      </c>
      <c r="AH3972">
        <v>12.5218485627107</v>
      </c>
      <c r="AI3972">
        <v>94.541549439292297</v>
      </c>
      <c r="AJ3972">
        <v>63.641607587186797</v>
      </c>
      <c r="AK3972">
        <v>14.0187571178267</v>
      </c>
      <c r="AL3972">
        <v>93.1130704897773</v>
      </c>
      <c r="AM3972">
        <v>81.817232443968905</v>
      </c>
      <c r="AN3972">
        <v>0.99999998457177897</v>
      </c>
    </row>
    <row r="3973" spans="1:40" x14ac:dyDescent="0.25">
      <c r="A3973" t="str">
        <f>"20190305135709699"</f>
        <v>20190305135709699</v>
      </c>
      <c r="B3973" t="str">
        <f>"1551765429696727"</f>
        <v>1551765429696727</v>
      </c>
      <c r="C3973" t="s">
        <v>40</v>
      </c>
      <c r="D3973">
        <v>4.4104910000000004</v>
      </c>
      <c r="E3973">
        <v>0.62301799999999996</v>
      </c>
      <c r="F3973" t="s">
        <v>42</v>
      </c>
      <c r="G3973">
        <v>-345.42110000000002</v>
      </c>
      <c r="H3973" s="1">
        <v>-3.7852050000000001E-6</v>
      </c>
      <c r="I3973">
        <v>11.194100000000001</v>
      </c>
      <c r="J3973">
        <v>-358.80380000000002</v>
      </c>
      <c r="K3973">
        <v>1.1099859999999999</v>
      </c>
      <c r="L3973">
        <v>17.35782</v>
      </c>
      <c r="M3973">
        <v>0.9990175</v>
      </c>
      <c r="N3973">
        <v>-1.4992790000000001E-2</v>
      </c>
      <c r="O3973">
        <v>4.1706970000000003E-2</v>
      </c>
      <c r="P3973">
        <v>0.99182190000000003</v>
      </c>
      <c r="Q3973">
        <v>-6.8558649999999999E-2</v>
      </c>
      <c r="R3973">
        <v>-0.10765280000000001</v>
      </c>
      <c r="S3973">
        <v>2.873383</v>
      </c>
      <c r="T3973">
        <v>-0.2350698</v>
      </c>
      <c r="U3973">
        <v>-1.303528</v>
      </c>
      <c r="V3973">
        <v>0.14908469999999999</v>
      </c>
      <c r="W3973">
        <v>-5.3329799999999997E-2</v>
      </c>
      <c r="X3973">
        <v>0.98738530000000002</v>
      </c>
      <c r="Y3973">
        <v>0.44916420000000001</v>
      </c>
      <c r="Z3973">
        <v>-2.3679349999999998E-2</v>
      </c>
      <c r="AA3973">
        <v>0.89313539999999902</v>
      </c>
      <c r="AB3973">
        <v>34</v>
      </c>
      <c r="AC3973">
        <v>13.3827</v>
      </c>
      <c r="AD3973">
        <v>-1.109989785205</v>
      </c>
      <c r="AE3973">
        <v>-6.1637199999999996</v>
      </c>
      <c r="AF3973">
        <v>6.6786656268376303</v>
      </c>
      <c r="AG3973">
        <v>-1.109989785205</v>
      </c>
      <c r="AH3973">
        <v>13.0399461102622</v>
      </c>
      <c r="AI3973">
        <v>94.332639537008404</v>
      </c>
      <c r="AJ3973">
        <v>62.879849287852203</v>
      </c>
      <c r="AK3973">
        <v>14.692748090024001</v>
      </c>
      <c r="AL3973">
        <v>93.057022624477597</v>
      </c>
      <c r="AM3973">
        <v>81.413802227032406</v>
      </c>
      <c r="AN3973">
        <v>1.0000000229991</v>
      </c>
    </row>
    <row r="3974" spans="1:40" x14ac:dyDescent="0.25">
      <c r="A3974" t="str">
        <f>"20190305135709718"</f>
        <v>20190305135709718</v>
      </c>
      <c r="B3974" t="str">
        <f>"1551765429706486"</f>
        <v>1551765429706486</v>
      </c>
      <c r="C3974" t="s">
        <v>40</v>
      </c>
      <c r="D3974">
        <v>4.4076019999999998</v>
      </c>
      <c r="E3974">
        <v>0.62139929999999999</v>
      </c>
      <c r="F3974" t="s">
        <v>42</v>
      </c>
      <c r="G3974">
        <v>-344.72590000000002</v>
      </c>
      <c r="H3974" s="1">
        <v>-4.080011E-6</v>
      </c>
      <c r="I3974">
        <v>10.97522</v>
      </c>
      <c r="J3974">
        <v>-358.52019999999999</v>
      </c>
      <c r="K3974">
        <v>1.1099330000000001</v>
      </c>
      <c r="L3974">
        <v>17.370419999999999</v>
      </c>
      <c r="M3974">
        <v>0.99897930000000001</v>
      </c>
      <c r="N3974">
        <v>-1.4965350000000001E-2</v>
      </c>
      <c r="O3974">
        <v>4.2621140000000002E-2</v>
      </c>
      <c r="P3974">
        <v>0.99050050000000001</v>
      </c>
      <c r="Q3974">
        <v>-6.6900230000000005E-2</v>
      </c>
      <c r="R3974">
        <v>-0.1201395</v>
      </c>
      <c r="S3974">
        <v>2.8679809999999999</v>
      </c>
      <c r="T3974">
        <v>-0.2261301</v>
      </c>
      <c r="U3974">
        <v>-1.300262</v>
      </c>
      <c r="V3974">
        <v>0.16239419999999999</v>
      </c>
      <c r="W3974">
        <v>-5.17134E-2</v>
      </c>
      <c r="X3974">
        <v>0.98536990000000002</v>
      </c>
      <c r="Y3974">
        <v>0.44987189999999999</v>
      </c>
      <c r="Z3974">
        <v>-2.3013269999999999E-2</v>
      </c>
      <c r="AA3974">
        <v>0.89279660000000005</v>
      </c>
      <c r="AB3974">
        <v>34</v>
      </c>
      <c r="AC3974">
        <v>13.7942999999999</v>
      </c>
      <c r="AD3974">
        <v>-1.109937080011</v>
      </c>
      <c r="AE3974">
        <v>-6.3952</v>
      </c>
      <c r="AF3974">
        <v>6.9403967814468599</v>
      </c>
      <c r="AG3974">
        <v>-1.109937080011</v>
      </c>
      <c r="AH3974">
        <v>13.4375527407754</v>
      </c>
      <c r="AI3974">
        <v>94.197347910889903</v>
      </c>
      <c r="AJ3974">
        <v>62.683980407587597</v>
      </c>
      <c r="AK3974">
        <v>15.1647252354476</v>
      </c>
      <c r="AL3974">
        <v>92.964281796787304</v>
      </c>
      <c r="AM3974">
        <v>80.641474052373198</v>
      </c>
      <c r="AN3974">
        <v>0.99999999587960497</v>
      </c>
    </row>
    <row r="3975" spans="1:40" x14ac:dyDescent="0.25">
      <c r="A3975" t="str">
        <f>"20190305135709742"</f>
        <v>20190305135709742</v>
      </c>
      <c r="B3975" t="str">
        <f>"1551765429736743"</f>
        <v>1551765429736743</v>
      </c>
      <c r="C3975" t="s">
        <v>40</v>
      </c>
      <c r="D3975">
        <v>4.4101499999999998</v>
      </c>
      <c r="E3975">
        <v>0.61616470000000001</v>
      </c>
      <c r="F3975" t="s">
        <v>42</v>
      </c>
      <c r="G3975">
        <v>-344.33690000000001</v>
      </c>
      <c r="H3975" s="1">
        <v>-4.2612570000000001E-6</v>
      </c>
      <c r="I3975">
        <v>10.791589999999999</v>
      </c>
      <c r="J3975">
        <v>-358.15339999999998</v>
      </c>
      <c r="K3975">
        <v>1.10985</v>
      </c>
      <c r="L3975">
        <v>17.387079999999902</v>
      </c>
      <c r="M3975">
        <v>0.9989384</v>
      </c>
      <c r="N3975">
        <v>-1.492419E-2</v>
      </c>
      <c r="O3975">
        <v>4.358165E-2</v>
      </c>
      <c r="P3975">
        <v>0.98902299999999999</v>
      </c>
      <c r="Q3975">
        <v>-6.6020339999999997E-2</v>
      </c>
      <c r="R3975">
        <v>-0.13219249999999999</v>
      </c>
      <c r="S3975">
        <v>2.8532099999999998</v>
      </c>
      <c r="T3975">
        <v>-0.2232826</v>
      </c>
      <c r="U3975">
        <v>-1.3234250000000001</v>
      </c>
      <c r="V3975">
        <v>0.17530390000000001</v>
      </c>
      <c r="W3975">
        <v>-5.0911079999999997E-2</v>
      </c>
      <c r="X3975">
        <v>0.98319719999999999</v>
      </c>
      <c r="Y3975">
        <v>0.45842759999999999</v>
      </c>
      <c r="Z3975">
        <v>-2.3265330000000001E-2</v>
      </c>
      <c r="AA3975">
        <v>0.88842719999999897</v>
      </c>
      <c r="AB3975">
        <v>34</v>
      </c>
      <c r="AC3975">
        <v>13.8164999999999</v>
      </c>
      <c r="AD3975">
        <v>-1.1098542612569999</v>
      </c>
      <c r="AE3975">
        <v>-6.5954899999999901</v>
      </c>
      <c r="AF3975">
        <v>7.1538407661252101</v>
      </c>
      <c r="AG3975">
        <v>-1.1098542612569999</v>
      </c>
      <c r="AH3975">
        <v>13.445239086239001</v>
      </c>
      <c r="AI3975">
        <v>94.167951138685893</v>
      </c>
      <c r="AJ3975">
        <v>61.983789065001098</v>
      </c>
      <c r="AK3975">
        <v>15.2703525916867</v>
      </c>
      <c r="AL3975">
        <v>92.918251406922906</v>
      </c>
      <c r="AM3975">
        <v>79.890409259005594</v>
      </c>
      <c r="AN3975">
        <v>1.0000000647549001</v>
      </c>
    </row>
    <row r="3976" spans="1:40" x14ac:dyDescent="0.25">
      <c r="A3976" t="str">
        <f>"20190305135709763"</f>
        <v>20190305135709763</v>
      </c>
      <c r="B3976" t="str">
        <f>"1551765429756263"</f>
        <v>1551765429756263</v>
      </c>
      <c r="C3976" t="s">
        <v>40</v>
      </c>
      <c r="D3976">
        <v>4.4151360000000004</v>
      </c>
      <c r="E3976">
        <v>0.61293999999999904</v>
      </c>
      <c r="F3976" t="s">
        <v>42</v>
      </c>
      <c r="G3976">
        <v>-344.23020000000002</v>
      </c>
      <c r="H3976" s="1">
        <v>-4.2590539999999996E-6</v>
      </c>
      <c r="I3976">
        <v>10.93637</v>
      </c>
      <c r="J3976">
        <v>-357.83449999999999</v>
      </c>
      <c r="K3976">
        <v>1.1097459999999999</v>
      </c>
      <c r="L3976">
        <v>17.401700000000002</v>
      </c>
      <c r="M3976">
        <v>0.99890950000000001</v>
      </c>
      <c r="N3976">
        <v>-1.488771E-2</v>
      </c>
      <c r="O3976">
        <v>4.425163E-2</v>
      </c>
      <c r="P3976">
        <v>0.98749980000000004</v>
      </c>
      <c r="Q3976">
        <v>-6.5911609999999995E-2</v>
      </c>
      <c r="R3976">
        <v>-0.14317750000000001</v>
      </c>
      <c r="S3976">
        <v>2.8421630000000002</v>
      </c>
      <c r="T3976">
        <v>-0.2265556</v>
      </c>
      <c r="U3976">
        <v>-1.3167719999999901</v>
      </c>
      <c r="V3976">
        <v>0.18685479999999999</v>
      </c>
      <c r="W3976">
        <v>-5.0893559999999997E-2</v>
      </c>
      <c r="X3976">
        <v>0.98106839999999995</v>
      </c>
      <c r="Y3976">
        <v>0.4585766</v>
      </c>
      <c r="Z3976">
        <v>-2.3684779999999999E-2</v>
      </c>
      <c r="AA3976">
        <v>0.8883392</v>
      </c>
      <c r="AB3976">
        <v>34</v>
      </c>
      <c r="AC3976">
        <v>13.604299999999901</v>
      </c>
      <c r="AD3976">
        <v>-1.1097502590539901</v>
      </c>
      <c r="AE3976">
        <v>-6.4653299999999998</v>
      </c>
      <c r="AF3976">
        <v>7.02295215397164</v>
      </c>
      <c r="AG3976">
        <v>-1.1097502590539901</v>
      </c>
      <c r="AH3976">
        <v>13.2330054587755</v>
      </c>
      <c r="AI3976">
        <v>94.236534928852393</v>
      </c>
      <c r="AJ3976">
        <v>62.044445069361203</v>
      </c>
      <c r="AK3976">
        <v>15.0221781398846</v>
      </c>
      <c r="AL3976">
        <v>92.917246359733795</v>
      </c>
      <c r="AM3976">
        <v>79.216568418278897</v>
      </c>
      <c r="AN3976">
        <v>1.0000000381055301</v>
      </c>
    </row>
    <row r="3977" spans="1:40" x14ac:dyDescent="0.25">
      <c r="A3977" t="str">
        <f>"20190305135709785"</f>
        <v>20190305135709785</v>
      </c>
      <c r="B3977" t="str">
        <f>"1551765429776758"</f>
        <v>1551765429776758</v>
      </c>
      <c r="C3977" t="s">
        <v>40</v>
      </c>
      <c r="D3977">
        <v>4.433592</v>
      </c>
      <c r="E3977">
        <v>0.59221380000000001</v>
      </c>
      <c r="F3977" t="s">
        <v>42</v>
      </c>
      <c r="G3977">
        <v>-343.53609999999998</v>
      </c>
      <c r="H3977" s="1">
        <v>-4.5519219999999998E-6</v>
      </c>
      <c r="I3977">
        <v>10.7234</v>
      </c>
      <c r="J3977">
        <v>-357.48520000000002</v>
      </c>
      <c r="K3977">
        <v>1.1095980000000001</v>
      </c>
      <c r="L3977">
        <v>17.417850000000001</v>
      </c>
      <c r="M3977">
        <v>0.99888509999999997</v>
      </c>
      <c r="N3977">
        <v>-1.484971E-2</v>
      </c>
      <c r="O3977">
        <v>4.4814079999999999E-2</v>
      </c>
      <c r="P3977">
        <v>0.98593649999999999</v>
      </c>
      <c r="Q3977">
        <v>-6.5573930000000002E-2</v>
      </c>
      <c r="R3977">
        <v>-0.15371870000000001</v>
      </c>
      <c r="S3977">
        <v>2.8315730000000001</v>
      </c>
      <c r="T3977">
        <v>-0.21976760000000001</v>
      </c>
      <c r="U3977">
        <v>-1.3225100000000001</v>
      </c>
      <c r="V3977">
        <v>0.19784579999999999</v>
      </c>
      <c r="W3977">
        <v>-5.068164E-2</v>
      </c>
      <c r="X3977">
        <v>0.97892210000000002</v>
      </c>
      <c r="Y3977">
        <v>0.46188449999999998</v>
      </c>
      <c r="Z3977">
        <v>-2.3301840000000001E-2</v>
      </c>
      <c r="AA3977">
        <v>0.88663389999999997</v>
      </c>
      <c r="AB3977">
        <v>34</v>
      </c>
      <c r="AC3977">
        <v>13.9491</v>
      </c>
      <c r="AD3977">
        <v>-1.1096025519220001</v>
      </c>
      <c r="AE3977">
        <v>-6.6944499999999998</v>
      </c>
      <c r="AF3977">
        <v>7.2754894081124704</v>
      </c>
      <c r="AG3977">
        <v>-1.1096025519220001</v>
      </c>
      <c r="AH3977">
        <v>13.565276892130001</v>
      </c>
      <c r="AI3977">
        <v>94.122984188639705</v>
      </c>
      <c r="AJ3977">
        <v>61.793925588549001</v>
      </c>
      <c r="AK3977">
        <v>15.4331040659662</v>
      </c>
      <c r="AL3977">
        <v>92.905088561922796</v>
      </c>
      <c r="AM3977">
        <v>78.5741036317973</v>
      </c>
      <c r="AN3977">
        <v>1.00000003353956</v>
      </c>
    </row>
    <row r="3978" spans="1:40" x14ac:dyDescent="0.25">
      <c r="A3978" t="str">
        <f>"20190305135709806"</f>
        <v>20190305135709806</v>
      </c>
      <c r="B3978" t="str">
        <f>"1551765429796278"</f>
        <v>1551765429796278</v>
      </c>
      <c r="C3978" t="s">
        <v>40</v>
      </c>
      <c r="D3978">
        <v>4.3502919999999996</v>
      </c>
      <c r="E3978">
        <v>0.5904722</v>
      </c>
      <c r="F3978" t="s">
        <v>42</v>
      </c>
      <c r="G3978">
        <v>-343.60050000000001</v>
      </c>
      <c r="H3978" s="1">
        <v>-4.2946649999999998E-6</v>
      </c>
      <c r="I3978">
        <v>11.607900000000001</v>
      </c>
      <c r="J3978">
        <v>-357.17169999999999</v>
      </c>
      <c r="K3978">
        <v>1.109442</v>
      </c>
      <c r="L3978">
        <v>17.43225</v>
      </c>
      <c r="M3978">
        <v>0.99887049999999999</v>
      </c>
      <c r="N3978">
        <v>-1.481828E-2</v>
      </c>
      <c r="O3978">
        <v>4.514754E-2</v>
      </c>
      <c r="P3978">
        <v>0.98439169999999998</v>
      </c>
      <c r="Q3978">
        <v>-6.3868190000000005E-2</v>
      </c>
      <c r="R3978">
        <v>-0.16399359999999999</v>
      </c>
      <c r="S3978">
        <v>2.8422550000000002</v>
      </c>
      <c r="T3978">
        <v>-0.2271398</v>
      </c>
      <c r="U3978">
        <v>-1.1893009999999999</v>
      </c>
      <c r="V3978">
        <v>0.208343</v>
      </c>
      <c r="W3978">
        <v>-4.9107869999999998E-2</v>
      </c>
      <c r="X3978">
        <v>0.97682219999999997</v>
      </c>
      <c r="Y3978">
        <v>0.42577799999999999</v>
      </c>
      <c r="Z3978">
        <v>-2.241611E-2</v>
      </c>
      <c r="AA3978">
        <v>0.90454999999999997</v>
      </c>
      <c r="AB3978">
        <v>34</v>
      </c>
      <c r="AC3978">
        <v>13.5711999999999</v>
      </c>
      <c r="AD3978">
        <v>-1.1094462946649899</v>
      </c>
      <c r="AE3978">
        <v>-5.8243499999999901</v>
      </c>
      <c r="AF3978">
        <v>6.3950919966992004</v>
      </c>
      <c r="AG3978">
        <v>-1.1094462946649899</v>
      </c>
      <c r="AH3978">
        <v>13.2197678668901</v>
      </c>
      <c r="AI3978">
        <v>94.320365111087298</v>
      </c>
      <c r="AJ3978">
        <v>64.184521465427693</v>
      </c>
      <c r="AK3978">
        <v>14.727197125775501</v>
      </c>
      <c r="AL3978">
        <v>92.814805823602597</v>
      </c>
      <c r="AM3978">
        <v>77.959990763377405</v>
      </c>
      <c r="AN3978">
        <v>0.99999999947888796</v>
      </c>
    </row>
    <row r="3979" spans="1:40" x14ac:dyDescent="0.25">
      <c r="A3979" t="str">
        <f>"20190305135709828"</f>
        <v>20190305135709828</v>
      </c>
      <c r="B3979" t="str">
        <f>"1551765429826535"</f>
        <v>1551765429826535</v>
      </c>
      <c r="C3979" t="s">
        <v>40</v>
      </c>
      <c r="D3979">
        <v>4.819318</v>
      </c>
      <c r="E3979">
        <v>0.58737969999999995</v>
      </c>
      <c r="F3979" t="s">
        <v>42</v>
      </c>
      <c r="G3979">
        <v>-343.34890000000001</v>
      </c>
      <c r="H3979" s="1">
        <v>-4.3958310000000001E-6</v>
      </c>
      <c r="I3979">
        <v>11.54949</v>
      </c>
      <c r="J3979">
        <v>-356.83609999999999</v>
      </c>
      <c r="K3979">
        <v>1.1092630000000001</v>
      </c>
      <c r="L3979">
        <v>17.44763</v>
      </c>
      <c r="M3979">
        <v>0.99886450000000004</v>
      </c>
      <c r="N3979">
        <v>-1.478733E-2</v>
      </c>
      <c r="O3979">
        <v>4.5290089999999998E-2</v>
      </c>
      <c r="P3979">
        <v>0.9827766</v>
      </c>
      <c r="Q3979">
        <v>-6.2227310000000001E-2</v>
      </c>
      <c r="R3979">
        <v>-0.17400599999999999</v>
      </c>
      <c r="S3979">
        <v>2.832001</v>
      </c>
      <c r="T3979">
        <v>-0.22730139999999999</v>
      </c>
      <c r="U3979">
        <v>-1.2052309999999999</v>
      </c>
      <c r="V3979">
        <v>0.21838479999999999</v>
      </c>
      <c r="W3979">
        <v>-4.7624569999999998E-2</v>
      </c>
      <c r="X3979">
        <v>0.97469989999999995</v>
      </c>
      <c r="Y3979">
        <v>0.43135469999999998</v>
      </c>
      <c r="Z3979">
        <v>-2.2740949999999999E-2</v>
      </c>
      <c r="AA3979">
        <v>0.90189580000000003</v>
      </c>
      <c r="AB3979">
        <v>34</v>
      </c>
      <c r="AC3979">
        <v>13.4871999999999</v>
      </c>
      <c r="AD3979">
        <v>-1.109267395831</v>
      </c>
      <c r="AE3979">
        <v>-5.8981399999999997</v>
      </c>
      <c r="AF3979">
        <v>6.46627143588886</v>
      </c>
      <c r="AG3979">
        <v>-1.109267395831</v>
      </c>
      <c r="AH3979">
        <v>13.131633889558399</v>
      </c>
      <c r="AI3979">
        <v>94.333777588567401</v>
      </c>
      <c r="AJ3979">
        <v>63.783469903272596</v>
      </c>
      <c r="AK3979">
        <v>14.679337486666199</v>
      </c>
      <c r="AL3979">
        <v>92.729719520576694</v>
      </c>
      <c r="AM3979">
        <v>77.371251230445594</v>
      </c>
      <c r="AN3979">
        <v>0.99999995779936601</v>
      </c>
    </row>
    <row r="3980" spans="1:40" x14ac:dyDescent="0.25">
      <c r="A3980" t="str">
        <f>"20190305135709852"</f>
        <v>20190305135709852</v>
      </c>
      <c r="B3980" t="str">
        <f>"1551765429846055"</f>
        <v>1551765429846055</v>
      </c>
      <c r="C3980" t="s">
        <v>40</v>
      </c>
      <c r="D3980">
        <v>4.3834460000000002</v>
      </c>
      <c r="E3980">
        <v>0.58563750000000003</v>
      </c>
      <c r="F3980" t="s">
        <v>42</v>
      </c>
      <c r="G3980">
        <v>-341.30309999999997</v>
      </c>
      <c r="H3980" s="1">
        <v>-5.2909359999999998E-6</v>
      </c>
      <c r="I3980">
        <v>10.801830000000001</v>
      </c>
      <c r="J3980">
        <v>-356.47300000000001</v>
      </c>
      <c r="K3980">
        <v>1.1090409999999999</v>
      </c>
      <c r="L3980">
        <v>17.463989999999999</v>
      </c>
      <c r="M3980">
        <v>0.99887280000000001</v>
      </c>
      <c r="N3980">
        <v>-1.475769E-2</v>
      </c>
      <c r="O3980">
        <v>4.5114090000000003E-2</v>
      </c>
      <c r="P3980">
        <v>0.98105529999999996</v>
      </c>
      <c r="Q3980">
        <v>-6.0675470000000002E-2</v>
      </c>
      <c r="R3980">
        <v>-0.18398</v>
      </c>
      <c r="S3980">
        <v>2.825745</v>
      </c>
      <c r="T3980">
        <v>-0.20179749999999999</v>
      </c>
      <c r="U3980">
        <v>-1.2089840000000001</v>
      </c>
      <c r="V3980">
        <v>0.22807040000000001</v>
      </c>
      <c r="W3980">
        <v>-4.6261900000000002E-2</v>
      </c>
      <c r="X3980">
        <v>0.97254499999999999</v>
      </c>
      <c r="Y3980">
        <v>0.43321759999999898</v>
      </c>
      <c r="Z3980">
        <v>-2.0591450000000001E-2</v>
      </c>
      <c r="AA3980">
        <v>0.90105409999999997</v>
      </c>
      <c r="AB3980">
        <v>34</v>
      </c>
      <c r="AC3980">
        <v>15.1699</v>
      </c>
      <c r="AD3980">
        <v>-1.1090462909359999</v>
      </c>
      <c r="AE3980">
        <v>-6.6621599999999903</v>
      </c>
      <c r="AF3980">
        <v>7.3070856985219796</v>
      </c>
      <c r="AG3980">
        <v>-1.1090462909359999</v>
      </c>
      <c r="AH3980">
        <v>14.787603195456899</v>
      </c>
      <c r="AI3980">
        <v>93.846638877725596</v>
      </c>
      <c r="AJ3980">
        <v>63.704369086139998</v>
      </c>
      <c r="AK3980">
        <v>16.5316875529169</v>
      </c>
      <c r="AL3980">
        <v>92.651557927574302</v>
      </c>
      <c r="AM3980">
        <v>76.802120332452802</v>
      </c>
      <c r="AN3980">
        <v>1.00000002388638</v>
      </c>
    </row>
    <row r="3981" spans="1:40" x14ac:dyDescent="0.25">
      <c r="A3981" t="str">
        <f>"20190305135709875"</f>
        <v>20190305135709875</v>
      </c>
      <c r="B3981" t="str">
        <f>"1551765429866550"</f>
        <v>1551765429866550</v>
      </c>
      <c r="C3981" t="s">
        <v>40</v>
      </c>
      <c r="D3981">
        <v>5.672822</v>
      </c>
      <c r="E3981">
        <v>0.58384130000000001</v>
      </c>
      <c r="F3981" t="s">
        <v>42</v>
      </c>
      <c r="G3981">
        <v>-340.9597</v>
      </c>
      <c r="H3981" s="1">
        <v>-5.438565E-6</v>
      </c>
      <c r="I3981">
        <v>10.72034</v>
      </c>
      <c r="J3981">
        <v>-356.13099999999997</v>
      </c>
      <c r="K3981">
        <v>1.1088169999999999</v>
      </c>
      <c r="L3981">
        <v>17.47906</v>
      </c>
      <c r="M3981">
        <v>0.99889519999999998</v>
      </c>
      <c r="N3981">
        <v>-1.473345E-2</v>
      </c>
      <c r="O3981">
        <v>4.4624909999999997E-2</v>
      </c>
      <c r="P3981">
        <v>0.97930470000000003</v>
      </c>
      <c r="Q3981">
        <v>-5.9408790000000003E-2</v>
      </c>
      <c r="R3981">
        <v>-0.19347600000000001</v>
      </c>
      <c r="S3981">
        <v>2.8159179999999999</v>
      </c>
      <c r="T3981">
        <v>-0.20130899999999999</v>
      </c>
      <c r="U3981">
        <v>-1.2240599999999999</v>
      </c>
      <c r="V3981">
        <v>0.23697480000000001</v>
      </c>
      <c r="W3981">
        <v>-4.5191530000000001E-2</v>
      </c>
      <c r="X3981">
        <v>0.9704642</v>
      </c>
      <c r="Y3981">
        <v>0.4379613</v>
      </c>
      <c r="Z3981">
        <v>-2.075956E-2</v>
      </c>
      <c r="AA3981">
        <v>0.898754099999999</v>
      </c>
      <c r="AB3981">
        <v>34</v>
      </c>
      <c r="AC3981">
        <v>15.171299999999899</v>
      </c>
      <c r="AD3981">
        <v>-1.1088224385649901</v>
      </c>
      <c r="AE3981">
        <v>-6.7587199999999896</v>
      </c>
      <c r="AF3981">
        <v>7.3961116808982501</v>
      </c>
      <c r="AG3981">
        <v>-1.1088224385649901</v>
      </c>
      <c r="AH3981">
        <v>14.788628741229401</v>
      </c>
      <c r="AI3981">
        <v>93.836461810478696</v>
      </c>
      <c r="AJ3981">
        <v>63.4293784193733</v>
      </c>
      <c r="AK3981">
        <v>16.5721300755968</v>
      </c>
      <c r="AL3981">
        <v>92.590165966306003</v>
      </c>
      <c r="AM3981">
        <v>76.277648056591602</v>
      </c>
      <c r="AN3981">
        <v>1.0000000468501999</v>
      </c>
    </row>
    <row r="3982" spans="1:40" x14ac:dyDescent="0.25">
      <c r="A3982" t="str">
        <f>"20190305135709897"</f>
        <v>20190305135709897</v>
      </c>
      <c r="B3982" t="str">
        <f>"1551765429886071"</f>
        <v>1551765429886071</v>
      </c>
      <c r="C3982" t="s">
        <v>40</v>
      </c>
      <c r="D3982">
        <v>5.1952819999999997</v>
      </c>
      <c r="E3982">
        <v>0.58208439999999995</v>
      </c>
      <c r="F3982" t="s">
        <v>42</v>
      </c>
      <c r="G3982">
        <v>-340.6524</v>
      </c>
      <c r="H3982" s="1">
        <v>-5.5816190000000004E-6</v>
      </c>
      <c r="I3982">
        <v>10.657030000000001</v>
      </c>
      <c r="J3982">
        <v>-355.79300000000001</v>
      </c>
      <c r="K3982">
        <v>1.108603</v>
      </c>
      <c r="L3982">
        <v>17.493469999999999</v>
      </c>
      <c r="M3982">
        <v>0.9989287</v>
      </c>
      <c r="N3982">
        <v>-1.4712930000000001E-2</v>
      </c>
      <c r="O3982">
        <v>4.3874440000000001E-2</v>
      </c>
      <c r="P3982">
        <v>0.97760829999999999</v>
      </c>
      <c r="Q3982">
        <v>-5.8966709999999999E-2</v>
      </c>
      <c r="R3982">
        <v>-0.20200299999999999</v>
      </c>
      <c r="S3982">
        <v>2.8068240000000002</v>
      </c>
      <c r="T3982">
        <v>-0.20106879999999999</v>
      </c>
      <c r="U3982">
        <v>-1.237061</v>
      </c>
      <c r="V3982">
        <v>0.24466399999999999</v>
      </c>
      <c r="W3982">
        <v>-4.4944949999999997E-2</v>
      </c>
      <c r="X3982">
        <v>0.96856560000000003</v>
      </c>
      <c r="Y3982">
        <v>0.44182719999999998</v>
      </c>
      <c r="Z3982">
        <v>-2.0896939999999999E-2</v>
      </c>
      <c r="AA3982">
        <v>0.89685680000000001</v>
      </c>
      <c r="AB3982">
        <v>34</v>
      </c>
      <c r="AC3982">
        <v>15.140599999999999</v>
      </c>
      <c r="AD3982">
        <v>-1.1086085816189899</v>
      </c>
      <c r="AE3982">
        <v>-6.8364399999999996</v>
      </c>
      <c r="AF3982">
        <v>7.46098629316828</v>
      </c>
      <c r="AG3982">
        <v>-1.1086085816189899</v>
      </c>
      <c r="AH3982">
        <v>14.7603069251779</v>
      </c>
      <c r="AI3982">
        <v>93.834836404254006</v>
      </c>
      <c r="AJ3982">
        <v>63.1844809946762</v>
      </c>
      <c r="AK3982">
        <v>16.575946126225801</v>
      </c>
      <c r="AL3982">
        <v>92.576023926930105</v>
      </c>
      <c r="AM3982">
        <v>75.823395641655793</v>
      </c>
      <c r="AN3982">
        <v>0.999999921464928</v>
      </c>
    </row>
    <row r="3983" spans="1:40" x14ac:dyDescent="0.25">
      <c r="A3983" t="str">
        <f>"20190305135709919"</f>
        <v>20190305135709919</v>
      </c>
      <c r="B3983" t="str">
        <f>"1551765429916326"</f>
        <v>1551765429916326</v>
      </c>
      <c r="C3983" t="s">
        <v>40</v>
      </c>
      <c r="D3983">
        <v>4.4535010000000002</v>
      </c>
      <c r="E3983">
        <v>0.58003159999999998</v>
      </c>
      <c r="F3983" t="s">
        <v>42</v>
      </c>
      <c r="G3983">
        <v>-340.24779999999998</v>
      </c>
      <c r="H3983" s="1">
        <v>-5.7717939999999998E-6</v>
      </c>
      <c r="I3983">
        <v>10.56329</v>
      </c>
      <c r="J3983">
        <v>-355.46559999999999</v>
      </c>
      <c r="K3983">
        <v>1.1083860000000001</v>
      </c>
      <c r="L3983">
        <v>17.506959999999999</v>
      </c>
      <c r="M3983">
        <v>0.99897230000000004</v>
      </c>
      <c r="N3983">
        <v>-1.469555E-2</v>
      </c>
      <c r="O3983">
        <v>4.2876530000000003E-2</v>
      </c>
      <c r="P3983">
        <v>0.97620099999999999</v>
      </c>
      <c r="Q3983">
        <v>-5.8295439999999997E-2</v>
      </c>
      <c r="R3983">
        <v>-0.2088863</v>
      </c>
      <c r="S3983">
        <v>2.7988590000000002</v>
      </c>
      <c r="T3983">
        <v>-0.19960149999999999</v>
      </c>
      <c r="U3983">
        <v>-1.2477419999999999</v>
      </c>
      <c r="V3983">
        <v>0.25048819999999999</v>
      </c>
      <c r="W3983">
        <v>-4.4465200000000003E-2</v>
      </c>
      <c r="X3983">
        <v>0.96709800000000001</v>
      </c>
      <c r="Y3983">
        <v>0.44473659999999998</v>
      </c>
      <c r="Z3983">
        <v>-2.0865990000000001E-2</v>
      </c>
      <c r="AA3983">
        <v>0.8954183</v>
      </c>
      <c r="AB3983">
        <v>34</v>
      </c>
      <c r="AC3983">
        <v>15.2178</v>
      </c>
      <c r="AD3983">
        <v>-1.1083917717939999</v>
      </c>
      <c r="AE3983">
        <v>-6.9436699999999902</v>
      </c>
      <c r="AF3983">
        <v>7.5566601008810901</v>
      </c>
      <c r="AG3983">
        <v>-1.1083917717939999</v>
      </c>
      <c r="AH3983">
        <v>14.8408861574563</v>
      </c>
      <c r="AI3983">
        <v>93.807657817266005</v>
      </c>
      <c r="AJ3983">
        <v>63.015783958959098</v>
      </c>
      <c r="AK3983">
        <v>16.690822212779299</v>
      </c>
      <c r="AL3983">
        <v>92.5485085218275</v>
      </c>
      <c r="AM3983">
        <v>75.478919592802598</v>
      </c>
      <c r="AN3983">
        <v>1.0000000169771299</v>
      </c>
    </row>
    <row r="3984" spans="1:40" x14ac:dyDescent="0.25">
      <c r="A3984" t="str">
        <f>"20190305135709943"</f>
        <v>20190305135709943</v>
      </c>
      <c r="B3984" t="str">
        <f>"1551765429935846"</f>
        <v>1551765429935846</v>
      </c>
      <c r="C3984" t="s">
        <v>40</v>
      </c>
      <c r="D3984">
        <v>4.4230939999999999</v>
      </c>
      <c r="E3984">
        <v>0.57873180000000002</v>
      </c>
      <c r="F3984" t="s">
        <v>42</v>
      </c>
      <c r="G3984">
        <v>-339.85210000000001</v>
      </c>
      <c r="H3984" s="1">
        <v>-2.4590129999999998E-6</v>
      </c>
      <c r="I3984">
        <v>10.51126</v>
      </c>
      <c r="J3984">
        <v>-355.10719999999998</v>
      </c>
      <c r="K3984">
        <v>1.108136</v>
      </c>
      <c r="L3984">
        <v>17.521000000000001</v>
      </c>
      <c r="M3984">
        <v>0.99903249999999999</v>
      </c>
      <c r="N3984">
        <v>-1.4679569999999999E-2</v>
      </c>
      <c r="O3984">
        <v>4.1454959999999999E-2</v>
      </c>
      <c r="P3984">
        <v>0.97469830000000002</v>
      </c>
      <c r="Q3984">
        <v>-5.5120349999999999E-2</v>
      </c>
      <c r="R3984">
        <v>-0.21662100000000001</v>
      </c>
      <c r="S3984">
        <v>2.7934269999999999</v>
      </c>
      <c r="T3984">
        <v>-0.19830210000000001</v>
      </c>
      <c r="U3984">
        <v>-1.251587</v>
      </c>
      <c r="V3984">
        <v>0.2567546</v>
      </c>
      <c r="W3984">
        <v>-4.1514929999999999E-2</v>
      </c>
      <c r="X3984">
        <v>0.96558460000000002</v>
      </c>
      <c r="Y3984">
        <v>0.44514969999999998</v>
      </c>
      <c r="Z3984">
        <v>-2.0714690000000001E-2</v>
      </c>
      <c r="AA3984">
        <v>0.89521649999999997</v>
      </c>
      <c r="AB3984">
        <v>34</v>
      </c>
      <c r="AC3984">
        <v>15.255099999999899</v>
      </c>
      <c r="AD3984">
        <v>-1.1081384590129999</v>
      </c>
      <c r="AE3984">
        <v>-7.0097399999999999</v>
      </c>
      <c r="AF3984">
        <v>7.6030560269941398</v>
      </c>
      <c r="AG3984">
        <v>-1.1081384590129999</v>
      </c>
      <c r="AH3984">
        <v>14.8865068236633</v>
      </c>
      <c r="AI3984">
        <v>93.7927756163852</v>
      </c>
      <c r="AJ3984">
        <v>62.945020784543303</v>
      </c>
      <c r="AK3984">
        <v>16.7523884029988</v>
      </c>
      <c r="AL3984">
        <v>92.379314023365794</v>
      </c>
      <c r="AM3984">
        <v>75.109287719058401</v>
      </c>
      <c r="AN3984">
        <v>1.00000001689561</v>
      </c>
    </row>
    <row r="3985" spans="1:40" x14ac:dyDescent="0.25">
      <c r="A3985" t="str">
        <f>"20190305135709965"</f>
        <v>20190305135709965</v>
      </c>
      <c r="B3985" t="str">
        <f>"1551765429956343"</f>
        <v>1551765429956343</v>
      </c>
      <c r="C3985" t="s">
        <v>40</v>
      </c>
      <c r="D3985">
        <v>4.456683</v>
      </c>
      <c r="E3985">
        <v>0.57740639999999999</v>
      </c>
      <c r="F3985" t="s">
        <v>42</v>
      </c>
      <c r="G3985">
        <v>-338.8775</v>
      </c>
      <c r="H3985" s="1">
        <v>-2.884022E-6</v>
      </c>
      <c r="I3985">
        <v>10.16039</v>
      </c>
      <c r="J3985">
        <v>-354.76029999999997</v>
      </c>
      <c r="K3985">
        <v>1.1078840000000001</v>
      </c>
      <c r="L3985">
        <v>17.53378</v>
      </c>
      <c r="M3985">
        <v>0.99910239999999995</v>
      </c>
      <c r="N3985">
        <v>-1.466774E-2</v>
      </c>
      <c r="O3985">
        <v>3.9738269999999999E-2</v>
      </c>
      <c r="P3985">
        <v>0.9732731</v>
      </c>
      <c r="Q3985">
        <v>-5.1520290000000003E-2</v>
      </c>
      <c r="R3985">
        <v>-0.22379679999999999</v>
      </c>
      <c r="S3985">
        <v>2.7862239999999998</v>
      </c>
      <c r="T3985">
        <v>-0.19023870000000001</v>
      </c>
      <c r="U3985">
        <v>-1.263611</v>
      </c>
      <c r="V3985">
        <v>0.2621906</v>
      </c>
      <c r="W3985">
        <v>-3.8142750000000003E-2</v>
      </c>
      <c r="X3985">
        <v>0.96426199999999995</v>
      </c>
      <c r="Y3985">
        <v>0.44776480000000002</v>
      </c>
      <c r="Z3985">
        <v>-2.0033659999999998E-2</v>
      </c>
      <c r="AA3985">
        <v>0.89392689999999997</v>
      </c>
      <c r="AB3985">
        <v>34</v>
      </c>
      <c r="AC3985">
        <v>15.8827999999999</v>
      </c>
      <c r="AD3985">
        <v>-1.107886884022</v>
      </c>
      <c r="AE3985">
        <v>-7.3733899999999997</v>
      </c>
      <c r="AF3985">
        <v>7.96689683662711</v>
      </c>
      <c r="AG3985">
        <v>-1.107886884022</v>
      </c>
      <c r="AH3985">
        <v>15.5151089403771</v>
      </c>
      <c r="AI3985">
        <v>93.634648692255197</v>
      </c>
      <c r="AJ3985">
        <v>62.819827764336601</v>
      </c>
      <c r="AK3985">
        <v>17.476197068727998</v>
      </c>
      <c r="AL3985">
        <v>92.185948874362595</v>
      </c>
      <c r="AM3985">
        <v>74.788578832273501</v>
      </c>
      <c r="AN3985">
        <v>0.99999999237496096</v>
      </c>
    </row>
    <row r="3986" spans="1:40" x14ac:dyDescent="0.25">
      <c r="A3986" t="str">
        <f>"20190305135709985"</f>
        <v>20190305135709985</v>
      </c>
      <c r="B3986" t="str">
        <f>"1551765429975866"</f>
        <v>1551765429975866</v>
      </c>
      <c r="C3986" t="s">
        <v>40</v>
      </c>
      <c r="D3986">
        <v>4.4586899999999998</v>
      </c>
      <c r="E3986">
        <v>0.56339519999999998</v>
      </c>
      <c r="F3986" t="s">
        <v>42</v>
      </c>
      <c r="G3986">
        <v>-337.90159999999997</v>
      </c>
      <c r="H3986" s="1">
        <v>-3.3100690000000001E-6</v>
      </c>
      <c r="I3986">
        <v>9.8073449999999998</v>
      </c>
      <c r="J3986">
        <v>-354.45119999999997</v>
      </c>
      <c r="K3986">
        <v>1.10765</v>
      </c>
      <c r="L3986">
        <v>17.544339999999998</v>
      </c>
      <c r="M3986">
        <v>0.99917319999999998</v>
      </c>
      <c r="N3986">
        <v>-1.4660080000000001E-2</v>
      </c>
      <c r="O3986">
        <v>3.7920879999999997E-2</v>
      </c>
      <c r="P3986">
        <v>0.97180929999999999</v>
      </c>
      <c r="Q3986">
        <v>-4.8683249999999997E-2</v>
      </c>
      <c r="R3986">
        <v>-0.23068839999999999</v>
      </c>
      <c r="S3986">
        <v>2.7798159999999998</v>
      </c>
      <c r="T3986">
        <v>-0.1826779</v>
      </c>
      <c r="U3986">
        <v>-1.273987</v>
      </c>
      <c r="V3986">
        <v>0.26725409999999999</v>
      </c>
      <c r="W3986">
        <v>-3.5515980000000003E-2</v>
      </c>
      <c r="X3986">
        <v>0.96297140000000003</v>
      </c>
      <c r="Y3986">
        <v>0.4497507</v>
      </c>
      <c r="Z3986">
        <v>-1.9366129999999999E-2</v>
      </c>
      <c r="AA3986">
        <v>0.89294419999999897</v>
      </c>
      <c r="AB3986">
        <v>34</v>
      </c>
      <c r="AC3986">
        <v>16.549599999999899</v>
      </c>
      <c r="AD3986">
        <v>-1.107653310069</v>
      </c>
      <c r="AE3986">
        <v>-7.7369949999999896</v>
      </c>
      <c r="AF3986">
        <v>8.3284556353251293</v>
      </c>
      <c r="AG3986">
        <v>-1.107653310069</v>
      </c>
      <c r="AH3986">
        <v>16.184772204992399</v>
      </c>
      <c r="AI3986">
        <v>93.482362391441896</v>
      </c>
      <c r="AJ3986">
        <v>62.770288095055697</v>
      </c>
      <c r="AK3986">
        <v>18.235594875198899</v>
      </c>
      <c r="AL3986">
        <v>92.035343747229703</v>
      </c>
      <c r="AM3986">
        <v>74.489033753634999</v>
      </c>
      <c r="AN3986">
        <v>1.00000002801006</v>
      </c>
    </row>
    <row r="3987" spans="1:40" x14ac:dyDescent="0.25">
      <c r="A3987" t="str">
        <f>"20190305135710007"</f>
        <v>20190305135710007</v>
      </c>
      <c r="B3987" t="str">
        <f>"1551765429996358"</f>
        <v>1551765429996358</v>
      </c>
      <c r="C3987" t="s">
        <v>40</v>
      </c>
      <c r="D3987">
        <v>4.6275170000000001</v>
      </c>
      <c r="E3987">
        <v>0.56354630000000006</v>
      </c>
      <c r="F3987" t="s">
        <v>42</v>
      </c>
      <c r="G3987">
        <v>-339.9579</v>
      </c>
      <c r="H3987" s="1">
        <v>-5.7486450000000001E-6</v>
      </c>
      <c r="I3987">
        <v>11.39494</v>
      </c>
      <c r="J3987">
        <v>-354.12740000000002</v>
      </c>
      <c r="K3987">
        <v>1.1074139999999999</v>
      </c>
      <c r="L3987">
        <v>17.55453</v>
      </c>
      <c r="M3987">
        <v>0.99925330000000001</v>
      </c>
      <c r="N3987">
        <v>-1.465407E-2</v>
      </c>
      <c r="O3987">
        <v>3.5753819999999999E-2</v>
      </c>
      <c r="P3987">
        <v>0.97032620000000003</v>
      </c>
      <c r="Q3987">
        <v>-4.596099E-2</v>
      </c>
      <c r="R3987">
        <v>-0.2373913</v>
      </c>
      <c r="S3987">
        <v>2.794861</v>
      </c>
      <c r="T3987">
        <v>-0.21359829999999999</v>
      </c>
      <c r="U3987">
        <v>-1.1858219999999999</v>
      </c>
      <c r="V3987">
        <v>0.27180079999999901</v>
      </c>
      <c r="W3987">
        <v>-3.3005489999999998E-2</v>
      </c>
      <c r="X3987">
        <v>0.96178739999999996</v>
      </c>
      <c r="Y3987">
        <v>0.42191830000000002</v>
      </c>
      <c r="Z3987">
        <v>-2.077965E-2</v>
      </c>
      <c r="AA3987">
        <v>0.90639570000000003</v>
      </c>
      <c r="AB3987">
        <v>34</v>
      </c>
      <c r="AC3987">
        <v>14.169499999999999</v>
      </c>
      <c r="AD3987">
        <v>-1.1074197486449999</v>
      </c>
      <c r="AE3987">
        <v>-6.1595899999999997</v>
      </c>
      <c r="AF3987">
        <v>6.6282668503223601</v>
      </c>
      <c r="AG3987">
        <v>-1.1074197486449999</v>
      </c>
      <c r="AH3987">
        <v>13.868935552736</v>
      </c>
      <c r="AI3987">
        <v>94.120695585398707</v>
      </c>
      <c r="AJ3987">
        <v>64.455847015766395</v>
      </c>
      <c r="AK3987">
        <v>15.411283960290801</v>
      </c>
      <c r="AL3987">
        <v>91.891418752667803</v>
      </c>
      <c r="AM3987">
        <v>74.219725678076202</v>
      </c>
      <c r="AN3987">
        <v>1.0000000200247601</v>
      </c>
    </row>
    <row r="3988" spans="1:40" x14ac:dyDescent="0.25">
      <c r="A3988" t="str">
        <f>"20190305135710030"</f>
        <v>20190305135710030</v>
      </c>
      <c r="B3988" t="str">
        <f>"1551765430026615"</f>
        <v>1551765430026615</v>
      </c>
      <c r="C3988" t="s">
        <v>40</v>
      </c>
      <c r="D3988">
        <v>4.359674</v>
      </c>
      <c r="E3988">
        <v>0.51055130000000004</v>
      </c>
      <c r="F3988" t="s">
        <v>42</v>
      </c>
      <c r="G3988">
        <v>-336.58350000000002</v>
      </c>
      <c r="H3988" s="1">
        <v>-3.7157109999999999E-6</v>
      </c>
      <c r="I3988">
        <v>9.9685989999999993</v>
      </c>
      <c r="J3988">
        <v>-353.78410000000002</v>
      </c>
      <c r="K3988">
        <v>1.107202</v>
      </c>
      <c r="L3988">
        <v>17.564299999999999</v>
      </c>
      <c r="M3988">
        <v>0.99934140000000005</v>
      </c>
      <c r="N3988">
        <v>-1.4649010000000001E-2</v>
      </c>
      <c r="O3988">
        <v>3.320099E-2</v>
      </c>
      <c r="P3988">
        <v>0.96873659999999995</v>
      </c>
      <c r="Q3988">
        <v>-4.3346759999999998E-2</v>
      </c>
      <c r="R3988">
        <v>-0.2442754</v>
      </c>
      <c r="S3988">
        <v>2.7884220000000002</v>
      </c>
      <c r="T3988">
        <v>-0.1760119</v>
      </c>
      <c r="U3988">
        <v>-1.2056880000000001</v>
      </c>
      <c r="V3988">
        <v>0.27616429999999997</v>
      </c>
      <c r="W3988">
        <v>-3.0596660000000001E-2</v>
      </c>
      <c r="X3988">
        <v>0.96062329999999996</v>
      </c>
      <c r="Y3988">
        <v>0.42619679999999999</v>
      </c>
      <c r="Z3988">
        <v>-1.7665839999999999E-2</v>
      </c>
      <c r="AA3988">
        <v>0.90445799999999998</v>
      </c>
      <c r="AB3988">
        <v>34</v>
      </c>
      <c r="AC3988">
        <v>17.200600000000001</v>
      </c>
      <c r="AD3988">
        <v>-1.107205715711</v>
      </c>
      <c r="AE3988">
        <v>-7.5957009999999903</v>
      </c>
      <c r="AF3988">
        <v>8.1344456767038995</v>
      </c>
      <c r="AG3988">
        <v>-1.107205715711</v>
      </c>
      <c r="AH3988">
        <v>16.880372977129699</v>
      </c>
      <c r="AI3988">
        <v>93.381589160212798</v>
      </c>
      <c r="AJ3988">
        <v>64.271150482315903</v>
      </c>
      <c r="AK3988">
        <v>18.770777895738899</v>
      </c>
      <c r="AL3988">
        <v>91.753333122616795</v>
      </c>
      <c r="AM3988">
        <v>73.960877481103296</v>
      </c>
      <c r="AN3988">
        <v>1.00000000035026</v>
      </c>
    </row>
    <row r="3989" spans="1:40" x14ac:dyDescent="0.25">
      <c r="A3989" t="str">
        <f>"20190305135710053"</f>
        <v>20190305135710053</v>
      </c>
      <c r="B3989" t="str">
        <f>"1551765430046135"</f>
        <v>1551765430046135</v>
      </c>
      <c r="C3989" t="s">
        <v>40</v>
      </c>
      <c r="D3989">
        <v>4.3291040000000001</v>
      </c>
      <c r="E3989">
        <v>0.50515949999999998</v>
      </c>
      <c r="F3989" t="s">
        <v>43</v>
      </c>
      <c r="G3989">
        <v>-310.16090000000003</v>
      </c>
      <c r="H3989">
        <v>-0.05</v>
      </c>
      <c r="I3989">
        <v>5.2808229999999998</v>
      </c>
      <c r="J3989">
        <v>-353.4359</v>
      </c>
      <c r="K3989">
        <v>1.107016</v>
      </c>
      <c r="L3989">
        <v>17.573029999999999</v>
      </c>
      <c r="M3989">
        <v>0.99943099999999996</v>
      </c>
      <c r="N3989">
        <v>-1.4644290000000001E-2</v>
      </c>
      <c r="O3989">
        <v>3.0388849999999999E-2</v>
      </c>
      <c r="P3989">
        <v>0.96719599999999994</v>
      </c>
      <c r="Q3989">
        <v>-4.1514229999999999E-2</v>
      </c>
      <c r="R3989">
        <v>-0.25061749999999999</v>
      </c>
      <c r="S3989">
        <v>2.888306</v>
      </c>
      <c r="T3989">
        <v>-7.661867E-2</v>
      </c>
      <c r="U3989">
        <v>-0.8132935</v>
      </c>
      <c r="V3989">
        <v>0.27974840000000001</v>
      </c>
      <c r="W3989">
        <v>-2.893478E-2</v>
      </c>
      <c r="X3989">
        <v>0.95963719999999997</v>
      </c>
      <c r="Y3989">
        <v>0.30001290000000003</v>
      </c>
      <c r="Z3989">
        <v>-6.4972969999999904E-3</v>
      </c>
      <c r="AA3989">
        <v>0.95391300000000001</v>
      </c>
      <c r="AB3989">
        <v>34</v>
      </c>
      <c r="AC3989">
        <v>43.274999999999899</v>
      </c>
      <c r="AD3989">
        <v>-1.157016</v>
      </c>
      <c r="AE3989">
        <v>-12.2922069999999</v>
      </c>
      <c r="AF3989">
        <v>13.592755888397001</v>
      </c>
      <c r="AG3989">
        <v>-1.157016</v>
      </c>
      <c r="AH3989">
        <v>42.853077455141097</v>
      </c>
      <c r="AI3989">
        <v>91.474235781202495</v>
      </c>
      <c r="AJ3989">
        <v>72.401264620778605</v>
      </c>
      <c r="AK3989">
        <v>44.972079627721598</v>
      </c>
      <c r="AL3989">
        <v>91.6580722384155</v>
      </c>
      <c r="AM3989">
        <v>73.7478173096777</v>
      </c>
      <c r="AN3989">
        <v>0.99999997221002301</v>
      </c>
    </row>
    <row r="3990" spans="1:40" x14ac:dyDescent="0.25">
      <c r="A3990" t="str">
        <f>"20190305135710075"</f>
        <v>20190305135710075</v>
      </c>
      <c r="B3990" t="str">
        <f>"1551765430066325"</f>
        <v>1551765430066325</v>
      </c>
      <c r="C3990" t="s">
        <v>40</v>
      </c>
      <c r="D3990">
        <v>4.3251609999999996</v>
      </c>
      <c r="E3990">
        <v>0.50228220000000001</v>
      </c>
      <c r="F3990" t="s">
        <v>43</v>
      </c>
      <c r="G3990">
        <v>-299.73520000000002</v>
      </c>
      <c r="H3990">
        <v>-0.05</v>
      </c>
      <c r="I3990">
        <v>2.9089510000000001</v>
      </c>
      <c r="J3990">
        <v>-353.101</v>
      </c>
      <c r="K3990">
        <v>1.106887</v>
      </c>
      <c r="L3990">
        <v>17.580379999999899</v>
      </c>
      <c r="M3990">
        <v>0.99951310000000004</v>
      </c>
      <c r="N3990">
        <v>-1.463908E-2</v>
      </c>
      <c r="O3990">
        <v>2.7555570000000001E-2</v>
      </c>
      <c r="P3990">
        <v>0.96590940000000003</v>
      </c>
      <c r="Q3990">
        <v>-4.0381760000000003E-2</v>
      </c>
      <c r="R3990">
        <v>-0.25571199999999999</v>
      </c>
      <c r="S3990">
        <v>2.8942869999999998</v>
      </c>
      <c r="T3990">
        <v>-6.2359329999999998E-2</v>
      </c>
      <c r="U3990">
        <v>-0.79034419999999905</v>
      </c>
      <c r="V3990">
        <v>0.2820819</v>
      </c>
      <c r="W3990">
        <v>-2.7926380000000001E-2</v>
      </c>
      <c r="X3990">
        <v>0.95898380000000005</v>
      </c>
      <c r="Y3990">
        <v>0.2898019</v>
      </c>
      <c r="Z3990">
        <v>-5.4130350000000001E-3</v>
      </c>
      <c r="AA3990">
        <v>0.95707140000000002</v>
      </c>
      <c r="AB3990">
        <v>34</v>
      </c>
      <c r="AC3990">
        <v>53.365799999999901</v>
      </c>
      <c r="AD3990">
        <v>-1.156887</v>
      </c>
      <c r="AE3990">
        <v>-14.6714289999999</v>
      </c>
      <c r="AF3990">
        <v>16.129491800680299</v>
      </c>
      <c r="AG3990">
        <v>-1.156887</v>
      </c>
      <c r="AH3990">
        <v>52.918086804583801</v>
      </c>
      <c r="AI3990">
        <v>91.197995513466694</v>
      </c>
      <c r="AJ3990">
        <v>73.048720196588306</v>
      </c>
      <c r="AK3990">
        <v>55.333740198331498</v>
      </c>
      <c r="AL3990">
        <v>91.600271753363202</v>
      </c>
      <c r="AM3990">
        <v>73.6089287063798</v>
      </c>
      <c r="AN3990">
        <v>1.00000000483497</v>
      </c>
    </row>
    <row r="3991" spans="1:40" x14ac:dyDescent="0.25">
      <c r="A3991" t="str">
        <f>"20190305135710096"</f>
        <v>20190305135710096</v>
      </c>
      <c r="B3991" t="str">
        <f>"1551765430086824"</f>
        <v>1551765430086824</v>
      </c>
      <c r="C3991" t="s">
        <v>40</v>
      </c>
      <c r="D3991">
        <v>4.3118910000000001</v>
      </c>
      <c r="E3991">
        <v>0.50026759999999904</v>
      </c>
      <c r="F3991" t="s">
        <v>43</v>
      </c>
      <c r="G3991">
        <v>-314.62189999999998</v>
      </c>
      <c r="H3991">
        <v>-0.05</v>
      </c>
      <c r="I3991">
        <v>7.1565859999999999</v>
      </c>
      <c r="J3991">
        <v>-352.7842</v>
      </c>
      <c r="K3991">
        <v>1.1068089999999999</v>
      </c>
      <c r="L3991">
        <v>17.586359999999999</v>
      </c>
      <c r="M3991">
        <v>0.99958530000000001</v>
      </c>
      <c r="N3991">
        <v>-1.463389E-2</v>
      </c>
      <c r="O3991">
        <v>2.4801210000000001E-2</v>
      </c>
      <c r="P3991">
        <v>0.96474740000000003</v>
      </c>
      <c r="Q3991">
        <v>-3.899586E-2</v>
      </c>
      <c r="R3991">
        <v>-0.26027329999999999</v>
      </c>
      <c r="S3991">
        <v>2.8946529999999999</v>
      </c>
      <c r="T3991">
        <v>-8.702886E-2</v>
      </c>
      <c r="U3991">
        <v>-0.78414919999999899</v>
      </c>
      <c r="V3991">
        <v>0.2839719</v>
      </c>
      <c r="W3991">
        <v>-2.6629819999999998E-2</v>
      </c>
      <c r="X3991">
        <v>0.9584627</v>
      </c>
      <c r="Y3991">
        <v>0.28514699999999998</v>
      </c>
      <c r="Z3991">
        <v>-6.7104969999999898E-3</v>
      </c>
      <c r="AA3991">
        <v>0.95846030000000004</v>
      </c>
      <c r="AB3991">
        <v>34</v>
      </c>
      <c r="AC3991">
        <v>38.162300000000002</v>
      </c>
      <c r="AD3991">
        <v>-1.156809</v>
      </c>
      <c r="AE3991">
        <v>-10.429773999999901</v>
      </c>
      <c r="AF3991">
        <v>11.3634219007045</v>
      </c>
      <c r="AG3991">
        <v>-1.156809</v>
      </c>
      <c r="AH3991">
        <v>37.859490014838798</v>
      </c>
      <c r="AI3991">
        <v>91.676311549458404</v>
      </c>
      <c r="AJ3991">
        <v>73.293015773125504</v>
      </c>
      <c r="AK3991">
        <v>39.544993975717901</v>
      </c>
      <c r="AL3991">
        <v>91.525956736039802</v>
      </c>
      <c r="AM3991">
        <v>73.496575491997405</v>
      </c>
      <c r="AN3991">
        <v>0.99999996729706497</v>
      </c>
    </row>
    <row r="3992" spans="1:40" x14ac:dyDescent="0.25">
      <c r="A3992" t="str">
        <f>"20190305135710119"</f>
        <v>20190305135710119</v>
      </c>
      <c r="B3992" t="str">
        <f>"1551765430116101"</f>
        <v>1551765430116101</v>
      </c>
      <c r="C3992" t="s">
        <v>40</v>
      </c>
      <c r="D3992">
        <v>4.3240759999999998</v>
      </c>
      <c r="E3992">
        <v>0.4986486</v>
      </c>
      <c r="F3992" t="s">
        <v>42</v>
      </c>
      <c r="G3992">
        <v>-323.2321</v>
      </c>
      <c r="H3992">
        <v>6.9897100000000004E-2</v>
      </c>
      <c r="I3992">
        <v>9.5964240000000007</v>
      </c>
      <c r="J3992">
        <v>-352.44929999999999</v>
      </c>
      <c r="K3992">
        <v>1.106754</v>
      </c>
      <c r="L3992">
        <v>17.591739999999898</v>
      </c>
      <c r="M3992">
        <v>0.9996543</v>
      </c>
      <c r="N3992">
        <v>-1.462828E-2</v>
      </c>
      <c r="O3992">
        <v>2.1846649999999999E-2</v>
      </c>
      <c r="P3992">
        <v>0.96368940000000003</v>
      </c>
      <c r="Q3992">
        <v>-3.6957919999999998E-2</v>
      </c>
      <c r="R3992">
        <v>-0.26445629999999998</v>
      </c>
      <c r="S3992">
        <v>2.8944399999999999</v>
      </c>
      <c r="T3992">
        <v>-0.1015587</v>
      </c>
      <c r="U3992">
        <v>-0.78256230000000004</v>
      </c>
      <c r="V3992">
        <v>0.2853057</v>
      </c>
      <c r="W3992">
        <v>-2.4658860000000001E-2</v>
      </c>
      <c r="X3992">
        <v>0.95811930000000001</v>
      </c>
      <c r="Y3992">
        <v>0.28178819999999999</v>
      </c>
      <c r="Z3992">
        <v>-7.3929950000000003E-3</v>
      </c>
      <c r="AA3992">
        <v>0.95944819999999997</v>
      </c>
      <c r="AB3992">
        <v>34</v>
      </c>
      <c r="AC3992">
        <v>29.217199999999899</v>
      </c>
      <c r="AD3992">
        <v>-1.0368568999999901</v>
      </c>
      <c r="AE3992">
        <v>-7.9953159999999901</v>
      </c>
      <c r="AF3992">
        <v>8.6216720334762105</v>
      </c>
      <c r="AG3992">
        <v>-1.0368568999999901</v>
      </c>
      <c r="AH3992">
        <v>29.001556054816401</v>
      </c>
      <c r="AI3992">
        <v>91.962729748641607</v>
      </c>
      <c r="AJ3992">
        <v>73.443676840672694</v>
      </c>
      <c r="AK3992">
        <v>30.2737271323596</v>
      </c>
      <c r="AL3992">
        <v>91.412991831068197</v>
      </c>
      <c r="AM3992">
        <v>73.4176894731022</v>
      </c>
      <c r="AN3992">
        <v>0.99999999743073897</v>
      </c>
    </row>
    <row r="3993" spans="1:40" x14ac:dyDescent="0.25">
      <c r="A3993" t="str">
        <f>"20190305135710144"</f>
        <v>20190305135710144</v>
      </c>
      <c r="B3993" t="str">
        <f>"1551765430136597"</f>
        <v>1551765430136597</v>
      </c>
      <c r="C3993" t="s">
        <v>40</v>
      </c>
      <c r="D3993">
        <v>4.3136640000000002</v>
      </c>
      <c r="E3993">
        <v>0.4979346</v>
      </c>
      <c r="F3993" t="s">
        <v>42</v>
      </c>
      <c r="G3993">
        <v>-323.5428</v>
      </c>
      <c r="H3993" s="1">
        <v>-5.0832330000000002E-6</v>
      </c>
      <c r="I3993">
        <v>9.7719699999999996</v>
      </c>
      <c r="J3993">
        <v>-352.07780000000002</v>
      </c>
      <c r="K3993">
        <v>1.106708</v>
      </c>
      <c r="L3993">
        <v>17.596529999999898</v>
      </c>
      <c r="M3993">
        <v>0.99972110000000003</v>
      </c>
      <c r="N3993">
        <v>-1.4622100000000001E-2</v>
      </c>
      <c r="O3993">
        <v>1.855151E-2</v>
      </c>
      <c r="P3993">
        <v>0.96263460000000001</v>
      </c>
      <c r="Q3993">
        <v>-3.4596250000000002E-2</v>
      </c>
      <c r="R3993">
        <v>-0.26858549999999998</v>
      </c>
      <c r="S3993">
        <v>2.8939509999999999</v>
      </c>
      <c r="T3993">
        <v>-0.11080189999999999</v>
      </c>
      <c r="U3993">
        <v>-0.78286739999999999</v>
      </c>
      <c r="V3993">
        <v>0.28626770000000001</v>
      </c>
      <c r="W3993">
        <v>-2.2349810000000001E-2</v>
      </c>
      <c r="X3993">
        <v>0.95788899999999999</v>
      </c>
      <c r="Y3993">
        <v>0.27872459999999999</v>
      </c>
      <c r="Z3993">
        <v>-7.7462719999999898E-3</v>
      </c>
      <c r="AA3993">
        <v>0.96033979999999997</v>
      </c>
      <c r="AB3993">
        <v>34</v>
      </c>
      <c r="AC3993">
        <v>28.535</v>
      </c>
      <c r="AD3993">
        <v>-1.1067130832330001</v>
      </c>
      <c r="AE3993">
        <v>-7.8245599999999902</v>
      </c>
      <c r="AF3993">
        <v>8.3409677129964006</v>
      </c>
      <c r="AG3993">
        <v>-1.1067130832330001</v>
      </c>
      <c r="AH3993">
        <v>28.345259307509501</v>
      </c>
      <c r="AI3993">
        <v>92.145068893715305</v>
      </c>
      <c r="AJ3993">
        <v>73.602782509301406</v>
      </c>
      <c r="AK3993">
        <v>29.567723643320999</v>
      </c>
      <c r="AL3993">
        <v>91.280656388938496</v>
      </c>
      <c r="AM3993">
        <v>73.361083309470402</v>
      </c>
      <c r="AN3993">
        <v>1.0000000231956601</v>
      </c>
    </row>
    <row r="3994" spans="1:40" x14ac:dyDescent="0.25">
      <c r="A3994" t="str">
        <f>"20190305135710166"</f>
        <v>20190305135710166</v>
      </c>
      <c r="B3994" t="str">
        <f>"1551765430156668"</f>
        <v>1551765430156668</v>
      </c>
      <c r="C3994" t="s">
        <v>40</v>
      </c>
      <c r="D3994">
        <v>4.3221350000000003</v>
      </c>
      <c r="E3994">
        <v>0.49744470000000002</v>
      </c>
      <c r="F3994" t="s">
        <v>42</v>
      </c>
      <c r="G3994">
        <v>-323.3295</v>
      </c>
      <c r="H3994" s="1">
        <v>-5.17298199999999E-6</v>
      </c>
      <c r="I3994">
        <v>9.7424320000000009</v>
      </c>
      <c r="J3994">
        <v>-351.74680000000001</v>
      </c>
      <c r="K3994">
        <v>1.1066819999999999</v>
      </c>
      <c r="L3994">
        <v>17.599789999999999</v>
      </c>
      <c r="M3994">
        <v>0.99977119999999997</v>
      </c>
      <c r="N3994">
        <v>-1.4616769999999999E-2</v>
      </c>
      <c r="O3994">
        <v>1.5618679999999999E-2</v>
      </c>
      <c r="P3994">
        <v>0.96202869999999996</v>
      </c>
      <c r="Q3994">
        <v>-3.2860060000000003E-2</v>
      </c>
      <c r="R3994">
        <v>-0.27096350000000002</v>
      </c>
      <c r="S3994">
        <v>2.8919980000000001</v>
      </c>
      <c r="T3994">
        <v>-0.1113323</v>
      </c>
      <c r="U3994">
        <v>-0.79010009999999997</v>
      </c>
      <c r="V3994">
        <v>0.2858348</v>
      </c>
      <c r="W3994">
        <v>-2.063767E-2</v>
      </c>
      <c r="X3994">
        <v>0.95805669999999998</v>
      </c>
      <c r="Y3994">
        <v>0.278306099999999</v>
      </c>
      <c r="Z3994">
        <v>-7.6968540000000004E-3</v>
      </c>
      <c r="AA3994">
        <v>0.96046160000000003</v>
      </c>
      <c r="AB3994">
        <v>33</v>
      </c>
      <c r="AC3994">
        <v>28.417300000000001</v>
      </c>
      <c r="AD3994">
        <v>-1.106687172982</v>
      </c>
      <c r="AE3994">
        <v>-7.8573579999999899</v>
      </c>
      <c r="AF3994">
        <v>8.2886094140445792</v>
      </c>
      <c r="AG3994">
        <v>-1.106687172982</v>
      </c>
      <c r="AH3994">
        <v>28.251294166749499</v>
      </c>
      <c r="AI3994">
        <v>92.152655127863198</v>
      </c>
      <c r="AJ3994">
        <v>73.648909520889205</v>
      </c>
      <c r="AK3994">
        <v>29.462882150489701</v>
      </c>
      <c r="AL3994">
        <v>91.1825352917744</v>
      </c>
      <c r="AM3994">
        <v>73.387605033843798</v>
      </c>
      <c r="AN3994">
        <v>1.00000004336447</v>
      </c>
    </row>
    <row r="3995" spans="1:40" x14ac:dyDescent="0.25">
      <c r="A3995" t="str">
        <f>"20190305135710185"</f>
        <v>20190305135710185</v>
      </c>
      <c r="B3995" t="str">
        <f>"1551765430176193"</f>
        <v>1551765430176193</v>
      </c>
      <c r="C3995" t="s">
        <v>40</v>
      </c>
      <c r="D3995">
        <v>4.2531619999999997</v>
      </c>
      <c r="E3995">
        <v>0.49735109999999899</v>
      </c>
      <c r="F3995" t="s">
        <v>42</v>
      </c>
      <c r="G3995">
        <v>-323.3954</v>
      </c>
      <c r="H3995" s="1">
        <v>-5.1274810000000001E-6</v>
      </c>
      <c r="I3995">
        <v>9.8183729999999994</v>
      </c>
      <c r="J3995">
        <v>-351.44099999999997</v>
      </c>
      <c r="K3995">
        <v>1.106665</v>
      </c>
      <c r="L3995">
        <v>17.601900000000001</v>
      </c>
      <c r="M3995">
        <v>0.99980990000000003</v>
      </c>
      <c r="N3995">
        <v>-1.4612150000000001E-2</v>
      </c>
      <c r="O3995">
        <v>1.2917359999999999E-2</v>
      </c>
      <c r="P3995">
        <v>0.96165540000000005</v>
      </c>
      <c r="Q3995">
        <v>-3.1639649999999998E-2</v>
      </c>
      <c r="R3995">
        <v>-0.2724297</v>
      </c>
      <c r="S3995">
        <v>2.8910520000000002</v>
      </c>
      <c r="T3995">
        <v>-0.1128513</v>
      </c>
      <c r="U3995">
        <v>-0.79348750000000001</v>
      </c>
      <c r="V3995">
        <v>0.28471400000000002</v>
      </c>
      <c r="W3995">
        <v>-1.9426240000000001E-2</v>
      </c>
      <c r="X3995">
        <v>0.95841569999999998</v>
      </c>
      <c r="Y3995">
        <v>0.2768333</v>
      </c>
      <c r="Z3995">
        <v>-7.6733259999999899E-3</v>
      </c>
      <c r="AA3995">
        <v>0.9608873</v>
      </c>
      <c r="AB3995">
        <v>33</v>
      </c>
      <c r="AC3995">
        <v>28.045599999999901</v>
      </c>
      <c r="AD3995">
        <v>-1.106670127481</v>
      </c>
      <c r="AE3995">
        <v>-7.7835270000000003</v>
      </c>
      <c r="AF3995">
        <v>8.1334326180526304</v>
      </c>
      <c r="AG3995">
        <v>-1.106670127481</v>
      </c>
      <c r="AH3995">
        <v>27.902367458257</v>
      </c>
      <c r="AI3995">
        <v>92.1806257589392</v>
      </c>
      <c r="AJ3995">
        <v>73.748799766760001</v>
      </c>
      <c r="AK3995">
        <v>29.084696228413002</v>
      </c>
      <c r="AL3995">
        <v>91.113111529422596</v>
      </c>
      <c r="AM3995">
        <v>73.455035147370594</v>
      </c>
      <c r="AN3995">
        <v>1.00000004730151</v>
      </c>
    </row>
    <row r="3996" spans="1:40" x14ac:dyDescent="0.25">
      <c r="A3996" t="str">
        <f>"20190305135710208"</f>
        <v>20190305135710208</v>
      </c>
      <c r="B3996" t="str">
        <f>"1551765430196684"</f>
        <v>1551765430196684</v>
      </c>
      <c r="C3996" t="s">
        <v>40</v>
      </c>
      <c r="D3996">
        <v>4.2484650000000004</v>
      </c>
      <c r="E3996">
        <v>0.49750309999999998</v>
      </c>
      <c r="F3996" t="s">
        <v>42</v>
      </c>
      <c r="G3996">
        <v>-322.48970000000003</v>
      </c>
      <c r="H3996">
        <v>3.1580789999999997E-2</v>
      </c>
      <c r="I3996">
        <v>9.6163369999999997</v>
      </c>
      <c r="J3996">
        <v>-351.11180000000002</v>
      </c>
      <c r="K3996">
        <v>1.1066510000000001</v>
      </c>
      <c r="L3996">
        <v>17.603269999999998</v>
      </c>
      <c r="M3996">
        <v>0.99984309999999998</v>
      </c>
      <c r="N3996">
        <v>-1.46076E-2</v>
      </c>
      <c r="O3996">
        <v>1.0019780000000001E-2</v>
      </c>
      <c r="P3996">
        <v>0.96156140000000001</v>
      </c>
      <c r="Q3996">
        <v>-3.1583729999999997E-2</v>
      </c>
      <c r="R3996">
        <v>-0.27276679999999998</v>
      </c>
      <c r="S3996">
        <v>2.8902589999999999</v>
      </c>
      <c r="T3996">
        <v>-0.1073273</v>
      </c>
      <c r="U3996">
        <v>-0.79721070000000005</v>
      </c>
      <c r="V3996">
        <v>0.28227190000000002</v>
      </c>
      <c r="W3996">
        <v>-1.9362049999999999E-2</v>
      </c>
      <c r="X3996">
        <v>0.95913899999999996</v>
      </c>
      <c r="Y3996">
        <v>0.27529140000000002</v>
      </c>
      <c r="Z3996">
        <v>-7.2862339999999999E-3</v>
      </c>
      <c r="AA3996">
        <v>0.9613332</v>
      </c>
      <c r="AB3996">
        <v>33</v>
      </c>
      <c r="AC3996">
        <v>28.6220999999999</v>
      </c>
      <c r="AD3996">
        <v>-1.07507021</v>
      </c>
      <c r="AE3996">
        <v>-7.9869329999999996</v>
      </c>
      <c r="AF3996">
        <v>8.2625349225486993</v>
      </c>
      <c r="AG3996">
        <v>-1.07507021</v>
      </c>
      <c r="AH3996">
        <v>28.503319146414601</v>
      </c>
      <c r="AI3996">
        <v>92.074691128808198</v>
      </c>
      <c r="AJ3996">
        <v>73.834196718694699</v>
      </c>
      <c r="AK3996">
        <v>29.696202815597999</v>
      </c>
      <c r="AL3996">
        <v>91.109433109724705</v>
      </c>
      <c r="AM3996">
        <v>73.600992794547906</v>
      </c>
      <c r="AN3996">
        <v>0.99999996791540502</v>
      </c>
    </row>
    <row r="3997" spans="1:40" x14ac:dyDescent="0.25">
      <c r="A3997" t="str">
        <f>"20190305135710232"</f>
        <v>20190305135710232</v>
      </c>
      <c r="B3997" t="str">
        <f>"1551765430226941"</f>
        <v>1551765430226941</v>
      </c>
      <c r="C3997" t="s">
        <v>40</v>
      </c>
      <c r="D3997">
        <v>4.232494</v>
      </c>
      <c r="E3997">
        <v>0.49761159999999999</v>
      </c>
      <c r="F3997" t="s">
        <v>42</v>
      </c>
      <c r="G3997">
        <v>-322.1463</v>
      </c>
      <c r="H3997">
        <v>7.598481E-2</v>
      </c>
      <c r="I3997">
        <v>9.5903369999999999</v>
      </c>
      <c r="J3997">
        <v>-350.76569999999998</v>
      </c>
      <c r="K3997">
        <v>1.1066560000000001</v>
      </c>
      <c r="L3997">
        <v>17.603670000000001</v>
      </c>
      <c r="M3997">
        <v>0.99986920000000001</v>
      </c>
      <c r="N3997">
        <v>-1.460322E-2</v>
      </c>
      <c r="O3997">
        <v>6.9842330000000003E-3</v>
      </c>
      <c r="P3997">
        <v>0.96147340000000003</v>
      </c>
      <c r="Q3997">
        <v>-3.059634E-2</v>
      </c>
      <c r="R3997">
        <v>-0.2731903</v>
      </c>
      <c r="S3997">
        <v>2.8897400000000002</v>
      </c>
      <c r="T3997">
        <v>-0.1028241</v>
      </c>
      <c r="U3997">
        <v>-0.79940800000000001</v>
      </c>
      <c r="V3997">
        <v>0.2797886</v>
      </c>
      <c r="W3997">
        <v>-1.8360069999999999E-2</v>
      </c>
      <c r="X3997">
        <v>0.95988609999999996</v>
      </c>
      <c r="Y3997">
        <v>0.27311609999999997</v>
      </c>
      <c r="Z3997">
        <v>-6.9438199999999999E-3</v>
      </c>
      <c r="AA3997">
        <v>0.96195600000000003</v>
      </c>
      <c r="AB3997">
        <v>33</v>
      </c>
      <c r="AC3997">
        <v>28.619399999999899</v>
      </c>
      <c r="AD3997">
        <v>-1.0306711899999901</v>
      </c>
      <c r="AE3997">
        <v>-8.0133329999999994</v>
      </c>
      <c r="AF3997">
        <v>8.2031777706653308</v>
      </c>
      <c r="AG3997">
        <v>-1.0306711899999901</v>
      </c>
      <c r="AH3997">
        <v>28.5284191101319</v>
      </c>
      <c r="AI3997">
        <v>91.988567130493806</v>
      </c>
      <c r="AJ3997">
        <v>73.957724417349297</v>
      </c>
      <c r="AK3997">
        <v>29.7022744173299</v>
      </c>
      <c r="AL3997">
        <v>91.052013591524897</v>
      </c>
      <c r="AM3997">
        <v>73.7495975012949</v>
      </c>
      <c r="AN3997">
        <v>1.00000003891678</v>
      </c>
    </row>
    <row r="3998" spans="1:40" x14ac:dyDescent="0.25">
      <c r="A3998" t="str">
        <f>"20190305135710243"</f>
        <v>20190305135710243</v>
      </c>
      <c r="B3998" t="str">
        <f>"1551765430236701"</f>
        <v>1551765430236701</v>
      </c>
      <c r="C3998" t="s">
        <v>40</v>
      </c>
      <c r="D3998">
        <v>4.2416939999999999</v>
      </c>
      <c r="E3998">
        <v>0.49767129999999998</v>
      </c>
      <c r="F3998" t="s">
        <v>42</v>
      </c>
      <c r="G3998">
        <v>-320.37459999999999</v>
      </c>
      <c r="H3998">
        <v>7.9986310000000005E-2</v>
      </c>
      <c r="I3998">
        <v>9.1744430000000001</v>
      </c>
      <c r="J3998">
        <v>-350.5711</v>
      </c>
      <c r="K3998">
        <v>1.1066590000000001</v>
      </c>
      <c r="L3998">
        <v>17.603359999999999</v>
      </c>
      <c r="M3998">
        <v>0.99987950000000003</v>
      </c>
      <c r="N3998">
        <v>-1.4600729999999999E-2</v>
      </c>
      <c r="O3998">
        <v>5.2839970000000003E-3</v>
      </c>
      <c r="P3998">
        <v>0.96142660000000002</v>
      </c>
      <c r="Q3998">
        <v>-3.016363E-2</v>
      </c>
      <c r="R3998">
        <v>-0.27340300000000001</v>
      </c>
      <c r="S3998">
        <v>2.8893740000000001</v>
      </c>
      <c r="T3998">
        <v>-9.7608689999999998E-2</v>
      </c>
      <c r="U3998">
        <v>-0.80139159999999998</v>
      </c>
      <c r="V3998">
        <v>0.2783716</v>
      </c>
      <c r="W3998">
        <v>-1.7915960000000002E-2</v>
      </c>
      <c r="X3998">
        <v>0.96030629999999995</v>
      </c>
      <c r="Y3998">
        <v>0.27214549999999998</v>
      </c>
      <c r="Z3998">
        <v>-6.6343560000000001E-3</v>
      </c>
      <c r="AA3998">
        <v>0.96223320000000001</v>
      </c>
      <c r="AB3998">
        <v>33</v>
      </c>
      <c r="AC3998">
        <v>30.1965</v>
      </c>
      <c r="AD3998">
        <v>-1.0266726900000001</v>
      </c>
      <c r="AE3998">
        <v>-8.4289170000000002</v>
      </c>
      <c r="AF3998">
        <v>8.5791740271083405</v>
      </c>
      <c r="AG3998">
        <v>-1.0266726900000001</v>
      </c>
      <c r="AH3998">
        <v>30.1192347141913</v>
      </c>
      <c r="AI3998">
        <v>91.8776534054835</v>
      </c>
      <c r="AJ3998">
        <v>74.100907347243805</v>
      </c>
      <c r="AK3998">
        <v>31.334080225344799</v>
      </c>
      <c r="AL3998">
        <v>91.026563858454494</v>
      </c>
      <c r="AM3998">
        <v>73.834292850250307</v>
      </c>
      <c r="AN3998">
        <v>0.99999995956448495</v>
      </c>
    </row>
    <row r="3999" spans="1:40" x14ac:dyDescent="0.25">
      <c r="A3999" t="str">
        <f>"20190305135710255"</f>
        <v>20190305135710255</v>
      </c>
      <c r="B3999" t="str">
        <f>"1551765430246460"</f>
        <v>1551765430246460</v>
      </c>
      <c r="C3999" t="s">
        <v>40</v>
      </c>
      <c r="D3999">
        <v>4.2261839999999999</v>
      </c>
      <c r="E3999">
        <v>0.49774659999999898</v>
      </c>
      <c r="F3999" t="s">
        <v>43</v>
      </c>
      <c r="G3999">
        <v>-315.86040000000003</v>
      </c>
      <c r="H3999">
        <v>-0.05</v>
      </c>
      <c r="I3999">
        <v>7.9616699999999998</v>
      </c>
      <c r="J3999">
        <v>-350.39830000000001</v>
      </c>
      <c r="K3999">
        <v>1.10667</v>
      </c>
      <c r="L3999">
        <v>17.60284</v>
      </c>
      <c r="M3999">
        <v>0.99988630000000001</v>
      </c>
      <c r="N3999">
        <v>-1.459848E-2</v>
      </c>
      <c r="O3999">
        <v>3.775189E-3</v>
      </c>
      <c r="P3999">
        <v>0.96147260000000001</v>
      </c>
      <c r="Q3999">
        <v>-2.947253E-2</v>
      </c>
      <c r="R3999">
        <v>-0.27331640000000001</v>
      </c>
      <c r="S3999">
        <v>2.8891300000000002</v>
      </c>
      <c r="T3999">
        <v>-9.6273899999999996E-2</v>
      </c>
      <c r="U3999">
        <v>-0.80252080000000003</v>
      </c>
      <c r="V3999">
        <v>0.27684059999999999</v>
      </c>
      <c r="W3999">
        <v>-1.7210679999999999E-2</v>
      </c>
      <c r="X3999">
        <v>0.96076170000000005</v>
      </c>
      <c r="Y3999">
        <v>0.27106950000000002</v>
      </c>
      <c r="Z3999">
        <v>-6.5169149999999999E-3</v>
      </c>
      <c r="AA3999">
        <v>0.96253770000000005</v>
      </c>
      <c r="AB3999">
        <v>33</v>
      </c>
      <c r="AC3999">
        <v>34.537899999999901</v>
      </c>
      <c r="AD3999">
        <v>-1.1566700000000001</v>
      </c>
      <c r="AE3999">
        <v>-9.64116999999999</v>
      </c>
      <c r="AF3999">
        <v>9.7613456664169398</v>
      </c>
      <c r="AG3999">
        <v>-1.1566700000000001</v>
      </c>
      <c r="AH3999">
        <v>34.465391707878702</v>
      </c>
      <c r="AI3999">
        <v>91.8494517658132</v>
      </c>
      <c r="AJ3999">
        <v>74.186728827017902</v>
      </c>
      <c r="AK3999">
        <v>35.839712335420501</v>
      </c>
      <c r="AL3999">
        <v>90.986148029750197</v>
      </c>
      <c r="AM3999">
        <v>73.925822463710901</v>
      </c>
      <c r="AN3999">
        <v>0.99999998475065599</v>
      </c>
    </row>
    <row r="4000" spans="1:40" x14ac:dyDescent="0.25">
      <c r="A4000" t="str">
        <f>"20190305135710277"</f>
        <v>20190305135710277</v>
      </c>
      <c r="B4000" t="str">
        <f>"1551765430266572"</f>
        <v>1551765430266572</v>
      </c>
      <c r="C4000" t="s">
        <v>40</v>
      </c>
      <c r="D4000">
        <v>4.2458489999999998</v>
      </c>
      <c r="E4000">
        <v>0.49798179999999997</v>
      </c>
      <c r="F4000" t="s">
        <v>43</v>
      </c>
      <c r="G4000">
        <v>-314.86070000000001</v>
      </c>
      <c r="H4000">
        <v>-0.05</v>
      </c>
      <c r="I4000">
        <v>7.7282099999999998</v>
      </c>
      <c r="J4000">
        <v>-350.08229999999998</v>
      </c>
      <c r="K4000">
        <v>1.106689</v>
      </c>
      <c r="L4000">
        <v>17.60126</v>
      </c>
      <c r="M4000">
        <v>0.99989309999999998</v>
      </c>
      <c r="N4000">
        <v>-1.4594350000000001E-2</v>
      </c>
      <c r="O4000">
        <v>1.029149E-3</v>
      </c>
      <c r="P4000">
        <v>0.96145599999999998</v>
      </c>
      <c r="Q4000">
        <v>-2.8482629999999998E-2</v>
      </c>
      <c r="R4000">
        <v>-0.2734801</v>
      </c>
      <c r="S4000">
        <v>2.88916</v>
      </c>
      <c r="T4000">
        <v>-9.4035740000000007E-2</v>
      </c>
      <c r="U4000">
        <v>-0.80279540000000005</v>
      </c>
      <c r="V4000">
        <v>0.27437220000000001</v>
      </c>
      <c r="W4000">
        <v>-1.619458E-2</v>
      </c>
      <c r="X4000">
        <v>0.96148719999999999</v>
      </c>
      <c r="Y4000">
        <v>0.26851779999999997</v>
      </c>
      <c r="Z4000">
        <v>-6.3023150000000002E-3</v>
      </c>
      <c r="AA4000">
        <v>0.9632541</v>
      </c>
      <c r="AB4000">
        <v>33</v>
      </c>
      <c r="AC4000">
        <v>35.221599999999903</v>
      </c>
      <c r="AD4000">
        <v>-1.1566889999999901</v>
      </c>
      <c r="AE4000">
        <v>-9.8730499999999992</v>
      </c>
      <c r="AF4000">
        <v>9.89939830744426</v>
      </c>
      <c r="AG4000">
        <v>-1.1566889999999901</v>
      </c>
      <c r="AH4000">
        <v>35.176246036856597</v>
      </c>
      <c r="AI4000">
        <v>91.8129842884466</v>
      </c>
      <c r="AJ4000">
        <v>74.282186639544406</v>
      </c>
      <c r="AK4000">
        <v>36.560966911962502</v>
      </c>
      <c r="AL4000">
        <v>90.927921646136696</v>
      </c>
      <c r="AM4000">
        <v>74.073251002543699</v>
      </c>
      <c r="AN4000">
        <v>1.0000000021590201</v>
      </c>
    </row>
    <row r="4001" spans="1:40" x14ac:dyDescent="0.25">
      <c r="A4001" t="str">
        <f>"20190305135710289"</f>
        <v>20190305135710289</v>
      </c>
      <c r="B4001" t="str">
        <f>"1551765430276329"</f>
        <v>1551765430276329</v>
      </c>
      <c r="C4001" t="s">
        <v>40</v>
      </c>
      <c r="D4001">
        <v>4.2428970000000001</v>
      </c>
      <c r="E4001">
        <v>0.49814510000000001</v>
      </c>
      <c r="F4001" t="s">
        <v>43</v>
      </c>
      <c r="G4001">
        <v>-313.00889999999998</v>
      </c>
      <c r="H4001">
        <v>-0.05</v>
      </c>
      <c r="I4001">
        <v>7.2688139999999999</v>
      </c>
      <c r="J4001">
        <v>-349.90370000000001</v>
      </c>
      <c r="K4001">
        <v>1.106698</v>
      </c>
      <c r="L4001">
        <v>17.600069999999999</v>
      </c>
      <c r="M4001">
        <v>0.99989340000000004</v>
      </c>
      <c r="N4001">
        <v>-1.4592020000000001E-2</v>
      </c>
      <c r="O4001">
        <v>-5.1512539999999999E-4</v>
      </c>
      <c r="P4001">
        <v>0.96146880000000001</v>
      </c>
      <c r="Q4001">
        <v>-2.744311E-2</v>
      </c>
      <c r="R4001">
        <v>-0.27354040000000002</v>
      </c>
      <c r="S4001">
        <v>2.8885800000000001</v>
      </c>
      <c r="T4001">
        <v>-9.0123529999999993E-2</v>
      </c>
      <c r="U4001">
        <v>-0.80505369999999998</v>
      </c>
      <c r="V4001">
        <v>0.2729548</v>
      </c>
      <c r="W4001">
        <v>-1.5137619999999999E-2</v>
      </c>
      <c r="X4001">
        <v>0.96190770000000003</v>
      </c>
      <c r="Y4001">
        <v>0.2677929</v>
      </c>
      <c r="Z4001">
        <v>-6.0812369999999998E-3</v>
      </c>
      <c r="AA4001">
        <v>0.96345729999999996</v>
      </c>
      <c r="AB4001">
        <v>33</v>
      </c>
      <c r="AC4001">
        <v>36.894799999999996</v>
      </c>
      <c r="AD4001">
        <v>-1.156698</v>
      </c>
      <c r="AE4001">
        <v>-10.331256</v>
      </c>
      <c r="AF4001">
        <v>10.3028567785988</v>
      </c>
      <c r="AG4001">
        <v>-1.156698</v>
      </c>
      <c r="AH4001">
        <v>36.866516151811098</v>
      </c>
      <c r="AI4001">
        <v>91.730807863016906</v>
      </c>
      <c r="AJ4001">
        <v>74.386245887589496</v>
      </c>
      <c r="AK4001">
        <v>38.296564091773</v>
      </c>
      <c r="AL4001">
        <v>90.867354911498595</v>
      </c>
      <c r="AM4001">
        <v>74.157965641244999</v>
      </c>
      <c r="AN4001">
        <v>0.99999994685079496</v>
      </c>
    </row>
    <row r="4002" spans="1:40" x14ac:dyDescent="0.25">
      <c r="A4002" t="str">
        <f>"20190305135710301"</f>
        <v>20190305135710301</v>
      </c>
      <c r="B4002" t="str">
        <f>"1551765430296825"</f>
        <v>1551765430296825</v>
      </c>
      <c r="C4002" t="s">
        <v>40</v>
      </c>
      <c r="D4002">
        <v>4.2349199999999998</v>
      </c>
      <c r="E4002">
        <v>0.4986466</v>
      </c>
      <c r="F4002" t="s">
        <v>43</v>
      </c>
      <c r="G4002">
        <v>-311.33330000000001</v>
      </c>
      <c r="H4002">
        <v>-0.05</v>
      </c>
      <c r="I4002">
        <v>6.8294220000000001</v>
      </c>
      <c r="J4002">
        <v>-349.73149999999998</v>
      </c>
      <c r="K4002">
        <v>1.1067199999999999</v>
      </c>
      <c r="L4002">
        <v>17.598510000000001</v>
      </c>
      <c r="M4002">
        <v>0.99989150000000004</v>
      </c>
      <c r="N4002">
        <v>-1.4589649999999999E-2</v>
      </c>
      <c r="O4002">
        <v>-1.9876799999999999E-3</v>
      </c>
      <c r="P4002">
        <v>0.96137859999999997</v>
      </c>
      <c r="Q4002">
        <v>-2.6586510000000001E-2</v>
      </c>
      <c r="R4002">
        <v>-0.27394180000000001</v>
      </c>
      <c r="S4002">
        <v>2.888306</v>
      </c>
      <c r="T4002">
        <v>-8.6618189999999998E-2</v>
      </c>
      <c r="U4002">
        <v>-0.80654910000000002</v>
      </c>
      <c r="V4002">
        <v>0.27194580000000002</v>
      </c>
      <c r="W4002">
        <v>-1.426444E-2</v>
      </c>
      <c r="X4002">
        <v>0.96220680000000003</v>
      </c>
      <c r="Y4002">
        <v>0.26687280000000002</v>
      </c>
      <c r="Z4002">
        <v>-5.8797550000000004E-3</v>
      </c>
      <c r="AA4002">
        <v>0.96371379999999995</v>
      </c>
      <c r="AB4002">
        <v>33</v>
      </c>
      <c r="AC4002">
        <v>38.398199999999903</v>
      </c>
      <c r="AD4002">
        <v>-1.15672</v>
      </c>
      <c r="AE4002">
        <v>-10.769088</v>
      </c>
      <c r="AF4002">
        <v>10.6837470078267</v>
      </c>
      <c r="AG4002">
        <v>-1.15672</v>
      </c>
      <c r="AH4002">
        <v>38.3872366855095</v>
      </c>
      <c r="AI4002">
        <v>91.662806222897501</v>
      </c>
      <c r="AJ4002">
        <v>74.447312835498906</v>
      </c>
      <c r="AK4002">
        <v>39.863020352639801</v>
      </c>
      <c r="AL4002">
        <v>90.817319961343699</v>
      </c>
      <c r="AM4002">
        <v>74.218265644517004</v>
      </c>
      <c r="AN4002">
        <v>0.999999959176195</v>
      </c>
    </row>
    <row r="4003" spans="1:40" x14ac:dyDescent="0.25">
      <c r="A4003" t="str">
        <f>"20190305135710313"</f>
        <v>20190305135710313</v>
      </c>
      <c r="B4003" t="str">
        <f>"1551765430306585"</f>
        <v>1551765430306585</v>
      </c>
      <c r="C4003" t="s">
        <v>40</v>
      </c>
      <c r="D4003">
        <v>4.2350339999999997</v>
      </c>
      <c r="E4003">
        <v>0.49887789999999999</v>
      </c>
      <c r="F4003" t="s">
        <v>43</v>
      </c>
      <c r="G4003">
        <v>-308.4443</v>
      </c>
      <c r="H4003">
        <v>-0.05</v>
      </c>
      <c r="I4003">
        <v>5.9943999999999997</v>
      </c>
      <c r="J4003">
        <v>-349.54430000000002</v>
      </c>
      <c r="K4003">
        <v>1.1067469999999999</v>
      </c>
      <c r="L4003">
        <v>17.596620000000001</v>
      </c>
      <c r="M4003">
        <v>0.99988719999999998</v>
      </c>
      <c r="N4003">
        <v>-1.4586989999999999E-2</v>
      </c>
      <c r="O4003">
        <v>-3.5771510000000002E-3</v>
      </c>
      <c r="P4003">
        <v>0.9613739</v>
      </c>
      <c r="Q4003">
        <v>-2.5273159999999999E-2</v>
      </c>
      <c r="R4003">
        <v>-0.27408329999999997</v>
      </c>
      <c r="S4003">
        <v>2.887054</v>
      </c>
      <c r="T4003">
        <v>-8.088505E-2</v>
      </c>
      <c r="U4003">
        <v>-0.81143189999999998</v>
      </c>
      <c r="V4003">
        <v>0.27056639999999998</v>
      </c>
      <c r="W4003">
        <v>-1.2927299999999999E-2</v>
      </c>
      <c r="X4003">
        <v>0.96261450000000004</v>
      </c>
      <c r="Y4003">
        <v>0.2669784</v>
      </c>
      <c r="Z4003">
        <v>-5.6059200000000003E-3</v>
      </c>
      <c r="AA4003">
        <v>0.96368620000000005</v>
      </c>
      <c r="AB4003">
        <v>33</v>
      </c>
      <c r="AC4003">
        <v>41.1</v>
      </c>
      <c r="AD4003">
        <v>-1.156747</v>
      </c>
      <c r="AE4003">
        <v>-11.602220000000001</v>
      </c>
      <c r="AF4003">
        <v>11.446711215723299</v>
      </c>
      <c r="AG4003">
        <v>-1.156747</v>
      </c>
      <c r="AH4003">
        <v>41.111082766067497</v>
      </c>
      <c r="AI4003">
        <v>91.552680235954597</v>
      </c>
      <c r="AJ4003">
        <v>74.441004995924999</v>
      </c>
      <c r="AK4003">
        <v>42.690588980203003</v>
      </c>
      <c r="AL4003">
        <v>90.740700373879093</v>
      </c>
      <c r="AM4003">
        <v>74.300680321771907</v>
      </c>
      <c r="AN4003">
        <v>0.99999998375224897</v>
      </c>
    </row>
    <row r="4004" spans="1:40" x14ac:dyDescent="0.25">
      <c r="A4004" t="str">
        <f>"20190305135710325"</f>
        <v>20190305135710325</v>
      </c>
      <c r="B4004" t="str">
        <f>"1551765430316346"</f>
        <v>1551765430316346</v>
      </c>
      <c r="C4004" t="s">
        <v>40</v>
      </c>
      <c r="D4004">
        <v>4.2351380000000001</v>
      </c>
      <c r="E4004">
        <v>0.49916189999999999</v>
      </c>
      <c r="F4004" t="s">
        <v>43</v>
      </c>
      <c r="G4004">
        <v>-305.4246</v>
      </c>
      <c r="H4004">
        <v>-0.05</v>
      </c>
      <c r="I4004">
        <v>5.1588589999999996</v>
      </c>
      <c r="J4004">
        <v>-349.36110000000002</v>
      </c>
      <c r="K4004">
        <v>1.1067899999999999</v>
      </c>
      <c r="L4004">
        <v>17.594479999999901</v>
      </c>
      <c r="M4004">
        <v>0.99988069999999896</v>
      </c>
      <c r="N4004">
        <v>-1.45842E-2</v>
      </c>
      <c r="O4004">
        <v>-5.1041619999999998E-3</v>
      </c>
      <c r="P4004">
        <v>0.96123289999999995</v>
      </c>
      <c r="Q4004">
        <v>-2.3921120000000001E-2</v>
      </c>
      <c r="R4004">
        <v>-0.27469870000000002</v>
      </c>
      <c r="S4004">
        <v>2.8865660000000002</v>
      </c>
      <c r="T4004">
        <v>-7.5681209999999999E-2</v>
      </c>
      <c r="U4004">
        <v>-0.81375120000000001</v>
      </c>
      <c r="V4004">
        <v>0.26972210000000002</v>
      </c>
      <c r="W4004">
        <v>-1.1551179999999999E-2</v>
      </c>
      <c r="X4004">
        <v>0.96286890000000003</v>
      </c>
      <c r="Y4004">
        <v>0.26628230000000003</v>
      </c>
      <c r="Z4004">
        <v>-5.3447549999999996E-3</v>
      </c>
      <c r="AA4004">
        <v>0.96388019999999996</v>
      </c>
      <c r="AB4004">
        <v>33</v>
      </c>
      <c r="AC4004">
        <v>43.936500000000002</v>
      </c>
      <c r="AD4004">
        <v>-1.15679</v>
      </c>
      <c r="AE4004">
        <v>-12.4356209999999</v>
      </c>
      <c r="AF4004">
        <v>12.203344188999999</v>
      </c>
      <c r="AG4004">
        <v>-1.15679</v>
      </c>
      <c r="AH4004">
        <v>43.971187618064</v>
      </c>
      <c r="AI4004">
        <v>91.452123119279904</v>
      </c>
      <c r="AJ4004">
        <v>74.489044727275498</v>
      </c>
      <c r="AK4004">
        <v>45.647837988696601</v>
      </c>
      <c r="AL4004">
        <v>90.661848594713405</v>
      </c>
      <c r="AM4004">
        <v>74.351198019519401</v>
      </c>
      <c r="AN4004">
        <v>0.99999997978750599</v>
      </c>
    </row>
    <row r="4005" spans="1:40" x14ac:dyDescent="0.25">
      <c r="A4005" t="str">
        <f>"20190305135710344"</f>
        <v>20190305135710344</v>
      </c>
      <c r="B4005" t="str">
        <f>"1551765430336840"</f>
        <v>1551765430336840</v>
      </c>
      <c r="C4005" t="s">
        <v>40</v>
      </c>
      <c r="D4005">
        <v>4.2414680000000002</v>
      </c>
      <c r="E4005">
        <v>0.49967319999999998</v>
      </c>
      <c r="F4005" t="s">
        <v>43</v>
      </c>
      <c r="G4005">
        <v>-302.16989999999998</v>
      </c>
      <c r="H4005">
        <v>-0.05</v>
      </c>
      <c r="I4005">
        <v>4.222321</v>
      </c>
      <c r="J4005">
        <v>-349.08519999999999</v>
      </c>
      <c r="K4005">
        <v>1.106865</v>
      </c>
      <c r="L4005">
        <v>17.590789999999998</v>
      </c>
      <c r="M4005">
        <v>0.99986679999999994</v>
      </c>
      <c r="N4005">
        <v>-1.45793999999999E-2</v>
      </c>
      <c r="O4005">
        <v>-7.34419999999999E-3</v>
      </c>
      <c r="P4005">
        <v>0.9610012</v>
      </c>
      <c r="Q4005">
        <v>-2.0050910000000002E-2</v>
      </c>
      <c r="R4005">
        <v>-0.27581650000000002</v>
      </c>
      <c r="S4005">
        <v>2.8855590000000002</v>
      </c>
      <c r="T4005">
        <v>-7.0733309999999994E-2</v>
      </c>
      <c r="U4005">
        <v>-0.81765750000000004</v>
      </c>
      <c r="V4005">
        <v>0.26870929999999998</v>
      </c>
      <c r="W4005">
        <v>-7.6372200000000001E-3</v>
      </c>
      <c r="X4005">
        <v>0.96319109999999997</v>
      </c>
      <c r="Y4005">
        <v>0.26543339999999999</v>
      </c>
      <c r="Z4005">
        <v>-5.0913950000000003E-3</v>
      </c>
      <c r="AA4005">
        <v>0.96411570000000002</v>
      </c>
      <c r="AB4005">
        <v>33</v>
      </c>
      <c r="AC4005">
        <v>46.915300000000002</v>
      </c>
      <c r="AD4005">
        <v>-1.156865</v>
      </c>
      <c r="AE4005">
        <v>-13.3684689999999</v>
      </c>
      <c r="AF4005">
        <v>13.016196353752999</v>
      </c>
      <c r="AG4005">
        <v>-1.156865</v>
      </c>
      <c r="AH4005">
        <v>46.985801610680802</v>
      </c>
      <c r="AI4005">
        <v>91.359256123819407</v>
      </c>
      <c r="AJ4005">
        <v>74.515989493805705</v>
      </c>
      <c r="AK4005">
        <v>48.769101459284002</v>
      </c>
      <c r="AL4005">
        <v>90.437584703025095</v>
      </c>
      <c r="AM4005">
        <v>74.4120576015643</v>
      </c>
      <c r="AN4005">
        <v>1.0000000550775101</v>
      </c>
    </row>
    <row r="4006" spans="1:40" x14ac:dyDescent="0.25">
      <c r="A4006" t="str">
        <f>"20190305135710368"</f>
        <v>20190305135710368</v>
      </c>
      <c r="B4006" t="str">
        <f>"1551765430355950"</f>
        <v>1551765430355950</v>
      </c>
      <c r="C4006" t="s">
        <v>40</v>
      </c>
      <c r="D4006">
        <v>4.6862519999999996</v>
      </c>
      <c r="E4006">
        <v>0.50003370000000003</v>
      </c>
      <c r="F4006" t="s">
        <v>43</v>
      </c>
      <c r="G4006">
        <v>-291.57589999999999</v>
      </c>
      <c r="H4006">
        <v>-0.05</v>
      </c>
      <c r="I4006">
        <v>1.1404110000000001</v>
      </c>
      <c r="J4006">
        <v>-348.74090000000001</v>
      </c>
      <c r="K4006">
        <v>1.1069880000000001</v>
      </c>
      <c r="L4006">
        <v>17.58548</v>
      </c>
      <c r="M4006">
        <v>0.9998437</v>
      </c>
      <c r="N4006">
        <v>-1.457252E-2</v>
      </c>
      <c r="O4006">
        <v>-1.001207E-2</v>
      </c>
      <c r="P4006">
        <v>0.96030340000000003</v>
      </c>
      <c r="Q4006">
        <v>-1.7022369999999998E-2</v>
      </c>
      <c r="R4006">
        <v>-0.27843839999999997</v>
      </c>
      <c r="S4006">
        <v>2.883759</v>
      </c>
      <c r="T4006">
        <v>-5.8009980000000003E-2</v>
      </c>
      <c r="U4006">
        <v>-0.82489009999999996</v>
      </c>
      <c r="V4006">
        <v>0.268787</v>
      </c>
      <c r="W4006">
        <v>-4.5477590000000002E-3</v>
      </c>
      <c r="X4006">
        <v>0.96318890000000001</v>
      </c>
      <c r="Y4006">
        <v>0.26528780000000002</v>
      </c>
      <c r="Z4006">
        <v>-4.5326940000000003E-3</v>
      </c>
      <c r="AA4006">
        <v>0.96415870000000004</v>
      </c>
      <c r="AB4006">
        <v>33</v>
      </c>
      <c r="AC4006">
        <v>57.164999999999999</v>
      </c>
      <c r="AD4006">
        <v>-1.1569879999999999</v>
      </c>
      <c r="AE4006">
        <v>-16.445069</v>
      </c>
      <c r="AF4006">
        <v>15.865841354715499</v>
      </c>
      <c r="AG4006">
        <v>-1.1569879999999999</v>
      </c>
      <c r="AH4006">
        <v>57.305120832223999</v>
      </c>
      <c r="AI4006">
        <v>91.114717998458701</v>
      </c>
      <c r="AJ4006">
        <v>74.524397578963601</v>
      </c>
      <c r="AK4006">
        <v>59.4721818728801</v>
      </c>
      <c r="AL4006">
        <v>90.260568296361001</v>
      </c>
      <c r="AM4006">
        <v>74.407735546850304</v>
      </c>
      <c r="AN4006">
        <v>0.99999999528206596</v>
      </c>
    </row>
    <row r="4007" spans="1:40" x14ac:dyDescent="0.25">
      <c r="A4007" t="str">
        <f>"20190305135710388"</f>
        <v>20190305135710388</v>
      </c>
      <c r="B4007" t="str">
        <f>"1551765430376446"</f>
        <v>1551765430376446</v>
      </c>
      <c r="C4007" t="s">
        <v>40</v>
      </c>
      <c r="D4007">
        <v>4.9098189999999997</v>
      </c>
      <c r="E4007">
        <v>0.50013149999999995</v>
      </c>
      <c r="F4007" t="s">
        <v>43</v>
      </c>
      <c r="G4007">
        <v>-282.55029999999999</v>
      </c>
      <c r="H4007">
        <v>-0.05</v>
      </c>
      <c r="I4007">
        <v>-1.6135250000000001</v>
      </c>
      <c r="J4007">
        <v>-348.44029999999998</v>
      </c>
      <c r="K4007">
        <v>1.107121</v>
      </c>
      <c r="L4007">
        <v>17.580169999999999</v>
      </c>
      <c r="M4007">
        <v>0.99981980000000004</v>
      </c>
      <c r="N4007">
        <v>-1.45659E-2</v>
      </c>
      <c r="O4007">
        <v>-1.217411E-2</v>
      </c>
      <c r="P4007">
        <v>0.95951589999999998</v>
      </c>
      <c r="Q4007">
        <v>-1.4800560000000001E-2</v>
      </c>
      <c r="R4007">
        <v>-0.28126580000000001</v>
      </c>
      <c r="S4007">
        <v>2.8808289999999999</v>
      </c>
      <c r="T4007">
        <v>-5.0355789999999997E-2</v>
      </c>
      <c r="U4007">
        <v>-0.83560179999999995</v>
      </c>
      <c r="V4007">
        <v>0.26955400000000002</v>
      </c>
      <c r="W4007">
        <v>-2.2567120000000001E-3</v>
      </c>
      <c r="X4007">
        <v>0.96298260000000002</v>
      </c>
      <c r="Y4007">
        <v>0.26678869999999999</v>
      </c>
      <c r="Z4007">
        <v>-4.2324880000000004E-3</v>
      </c>
      <c r="AA4007">
        <v>0.96374579999999999</v>
      </c>
      <c r="AB4007">
        <v>33</v>
      </c>
      <c r="AC4007">
        <v>65.889999999999901</v>
      </c>
      <c r="AD4007">
        <v>-1.1571209999999901</v>
      </c>
      <c r="AE4007">
        <v>-19.193695000000002</v>
      </c>
      <c r="AF4007">
        <v>18.384808654400899</v>
      </c>
      <c r="AG4007">
        <v>-1.1571209999999901</v>
      </c>
      <c r="AH4007">
        <v>66.100016050963205</v>
      </c>
      <c r="AI4007">
        <v>90.966225057788606</v>
      </c>
      <c r="AJ4007">
        <v>74.456824649001703</v>
      </c>
      <c r="AK4007">
        <v>68.618891277877495</v>
      </c>
      <c r="AL4007">
        <v>90.129300186832495</v>
      </c>
      <c r="AM4007">
        <v>74.362229692278405</v>
      </c>
      <c r="AN4007">
        <v>0.99999996978390404</v>
      </c>
    </row>
    <row r="4008" spans="1:40" x14ac:dyDescent="0.25">
      <c r="A4008" t="str">
        <f>"20190305135710401"</f>
        <v>20190305135710401</v>
      </c>
      <c r="B4008" t="str">
        <f>"1551765430396942"</f>
        <v>1551765430396942</v>
      </c>
      <c r="C4008" t="s">
        <v>40</v>
      </c>
      <c r="D4008">
        <v>4.3762259999999999</v>
      </c>
      <c r="E4008">
        <v>0.50037749999999903</v>
      </c>
      <c r="F4008" t="s">
        <v>42</v>
      </c>
      <c r="G4008">
        <v>-285.12360000000001</v>
      </c>
      <c r="H4008">
        <v>7.9986890000000005E-2</v>
      </c>
      <c r="I4008">
        <v>-1.0060659999999999</v>
      </c>
      <c r="J4008">
        <v>-348.24250000000001</v>
      </c>
      <c r="K4008">
        <v>1.1072310000000001</v>
      </c>
      <c r="L4008">
        <v>17.576419999999999</v>
      </c>
      <c r="M4008">
        <v>0.9998032</v>
      </c>
      <c r="N4008">
        <v>-1.456091E-2</v>
      </c>
      <c r="O4008">
        <v>-1.3471159999999999E-2</v>
      </c>
      <c r="P4008">
        <v>0.95890649999999999</v>
      </c>
      <c r="Q4008">
        <v>-1.4518629999999999E-2</v>
      </c>
      <c r="R4008">
        <v>-0.28335060000000001</v>
      </c>
      <c r="S4008">
        <v>2.8782040000000002</v>
      </c>
      <c r="T4008">
        <v>-4.6690700000000002E-2</v>
      </c>
      <c r="U4008">
        <v>-0.84487919999999905</v>
      </c>
      <c r="V4008">
        <v>0.27039960000000002</v>
      </c>
      <c r="W4008">
        <v>-1.917878E-3</v>
      </c>
      <c r="X4008">
        <v>0.96274630000000005</v>
      </c>
      <c r="Y4008">
        <v>0.26864270000000001</v>
      </c>
      <c r="Z4008">
        <v>-4.1087399999999996E-3</v>
      </c>
      <c r="AA4008">
        <v>0.96323110000000001</v>
      </c>
      <c r="AB4008">
        <v>33</v>
      </c>
      <c r="AC4008">
        <v>63.118899999999996</v>
      </c>
      <c r="AD4008">
        <v>-1.0272441099999901</v>
      </c>
      <c r="AE4008">
        <v>-18.582485999999999</v>
      </c>
      <c r="AF4008">
        <v>17.726103896163</v>
      </c>
      <c r="AG4008">
        <v>-1.0272441099999901</v>
      </c>
      <c r="AH4008">
        <v>63.348085008536401</v>
      </c>
      <c r="AI4008">
        <v>90.894659501553505</v>
      </c>
      <c r="AJ4008">
        <v>74.367281597152598</v>
      </c>
      <c r="AK4008">
        <v>65.789435808858002</v>
      </c>
      <c r="AL4008">
        <v>90.109886379084003</v>
      </c>
      <c r="AM4008">
        <v>74.311924131928293</v>
      </c>
      <c r="AN4008">
        <v>1.0000000300499301</v>
      </c>
    </row>
    <row r="4009" spans="1:40" x14ac:dyDescent="0.25">
      <c r="A4009" t="str">
        <f>"20190305135710415"</f>
        <v>20190305135710415</v>
      </c>
      <c r="B4009" t="str">
        <f>"1551765430406702"</f>
        <v>1551765430406702</v>
      </c>
      <c r="C4009" t="s">
        <v>40</v>
      </c>
      <c r="D4009">
        <v>4.3945889999999999</v>
      </c>
      <c r="E4009">
        <v>0.50480789999999998</v>
      </c>
      <c r="F4009" t="s">
        <v>43</v>
      </c>
      <c r="G4009">
        <v>-275.30020000000002</v>
      </c>
      <c r="H4009">
        <v>-0.05</v>
      </c>
      <c r="I4009">
        <v>-4.0572049999999997</v>
      </c>
      <c r="J4009">
        <v>-348.03100000000001</v>
      </c>
      <c r="K4009">
        <v>1.1073580000000001</v>
      </c>
      <c r="L4009">
        <v>17.57227</v>
      </c>
      <c r="M4009">
        <v>0.99978509999999998</v>
      </c>
      <c r="N4009">
        <v>-1.455366E-2</v>
      </c>
      <c r="O4009">
        <v>-1.477095E-2</v>
      </c>
      <c r="P4009">
        <v>0.95826469999999997</v>
      </c>
      <c r="Q4009">
        <v>-1.3992549999999999E-2</v>
      </c>
      <c r="R4009">
        <v>-0.28554049999999997</v>
      </c>
      <c r="S4009">
        <v>2.8758539999999999</v>
      </c>
      <c r="T4009">
        <v>-4.5625449999999998E-2</v>
      </c>
      <c r="U4009">
        <v>-0.85293580000000002</v>
      </c>
      <c r="V4009">
        <v>0.27134999999999998</v>
      </c>
      <c r="W4009">
        <v>-1.324006E-3</v>
      </c>
      <c r="X4009">
        <v>0.9624798</v>
      </c>
      <c r="Y4009">
        <v>0.27008680000000002</v>
      </c>
      <c r="Z4009">
        <v>-4.0856340000000003E-3</v>
      </c>
      <c r="AA4009">
        <v>0.96282730000000005</v>
      </c>
      <c r="AB4009">
        <v>33</v>
      </c>
      <c r="AC4009">
        <v>72.730799999999903</v>
      </c>
      <c r="AD4009">
        <v>-1.1573579999999899</v>
      </c>
      <c r="AE4009">
        <v>-21.629474999999999</v>
      </c>
      <c r="AF4009">
        <v>20.547917757163901</v>
      </c>
      <c r="AG4009">
        <v>-1.1573579999999899</v>
      </c>
      <c r="AH4009">
        <v>73.025396354681902</v>
      </c>
      <c r="AI4009">
        <v>90.874051069856094</v>
      </c>
      <c r="AJ4009">
        <v>74.2844368790727</v>
      </c>
      <c r="AK4009">
        <v>75.870052816995695</v>
      </c>
      <c r="AL4009">
        <v>90.075859980255302</v>
      </c>
      <c r="AM4009">
        <v>74.255369850490695</v>
      </c>
      <c r="AN4009">
        <v>0.99999997044996303</v>
      </c>
    </row>
    <row r="4010" spans="1:40" x14ac:dyDescent="0.25">
      <c r="A4010" t="str">
        <f>"20190305135710432"</f>
        <v>20190305135710432</v>
      </c>
      <c r="B4010" t="str">
        <f>"1551765430426222"</f>
        <v>1551765430426222</v>
      </c>
      <c r="C4010" t="s">
        <v>40</v>
      </c>
      <c r="D4010">
        <v>4.3890310000000001</v>
      </c>
      <c r="E4010">
        <v>0.50466480000000002</v>
      </c>
      <c r="F4010" t="s">
        <v>42</v>
      </c>
      <c r="G4010">
        <v>-326.2174</v>
      </c>
      <c r="H4010" s="1">
        <v>-3.7966970000000001E-6</v>
      </c>
      <c r="I4010">
        <v>10.74699</v>
      </c>
      <c r="J4010">
        <v>-347.78930000000003</v>
      </c>
      <c r="K4010">
        <v>1.107518</v>
      </c>
      <c r="L4010">
        <v>17.56729</v>
      </c>
      <c r="M4010">
        <v>0.9997644</v>
      </c>
      <c r="N4010">
        <v>-1.454017E-2</v>
      </c>
      <c r="O4010">
        <v>-1.6117799999999901E-2</v>
      </c>
      <c r="P4010">
        <v>0.95730590000000004</v>
      </c>
      <c r="Q4010">
        <v>-1.320969E-2</v>
      </c>
      <c r="R4010">
        <v>-0.28877570000000002</v>
      </c>
      <c r="S4010">
        <v>2.861755</v>
      </c>
      <c r="T4010">
        <v>-0.14527609999999999</v>
      </c>
      <c r="U4010">
        <v>-0.89541630000000005</v>
      </c>
      <c r="V4010">
        <v>0.27330739999999998</v>
      </c>
      <c r="W4010">
        <v>-4.635919E-4</v>
      </c>
      <c r="X4010">
        <v>0.96192659999999997</v>
      </c>
      <c r="Y4010">
        <v>0.2827674</v>
      </c>
      <c r="Z4010">
        <v>-8.5418059999999903E-3</v>
      </c>
      <c r="AA4010">
        <v>0.95915050000000002</v>
      </c>
      <c r="AB4010">
        <v>33</v>
      </c>
      <c r="AC4010">
        <v>21.571899999999999</v>
      </c>
      <c r="AD4010">
        <v>-1.1075217966969999</v>
      </c>
      <c r="AE4010">
        <v>-6.8202999999999996</v>
      </c>
      <c r="AF4010">
        <v>6.45621417618782</v>
      </c>
      <c r="AG4010">
        <v>-1.1075217966969999</v>
      </c>
      <c r="AH4010">
        <v>21.6272106658881</v>
      </c>
      <c r="AI4010">
        <v>92.809242050912403</v>
      </c>
      <c r="AJ4010">
        <v>73.3784394049882</v>
      </c>
      <c r="AK4010">
        <v>22.597467716663999</v>
      </c>
      <c r="AL4010">
        <v>90.026561861119703</v>
      </c>
      <c r="AM4010">
        <v>74.138826091775002</v>
      </c>
      <c r="AN4010">
        <v>0.99999996679988401</v>
      </c>
    </row>
    <row r="4011" spans="1:40" x14ac:dyDescent="0.25">
      <c r="A4011" t="str">
        <f>"20190305135710456"</f>
        <v>20190305135710456</v>
      </c>
      <c r="B4011" t="str">
        <f>"1551765430446722"</f>
        <v>1551765430446722</v>
      </c>
      <c r="C4011" t="s">
        <v>40</v>
      </c>
      <c r="D4011">
        <v>4.910609</v>
      </c>
      <c r="E4011">
        <v>0.50483279999999997</v>
      </c>
      <c r="F4011" t="s">
        <v>42</v>
      </c>
      <c r="G4011">
        <v>-325.86700000000002</v>
      </c>
      <c r="H4011" s="1">
        <v>-3.9612880000000002E-6</v>
      </c>
      <c r="I4011">
        <v>10.63416</v>
      </c>
      <c r="J4011">
        <v>-347.43950000000001</v>
      </c>
      <c r="K4011">
        <v>1.1077669999999999</v>
      </c>
      <c r="L4011">
        <v>17.559809999999999</v>
      </c>
      <c r="M4011">
        <v>0.9997374</v>
      </c>
      <c r="N4011">
        <v>-1.449611E-2</v>
      </c>
      <c r="O4011">
        <v>-1.7750930000000002E-2</v>
      </c>
      <c r="P4011">
        <v>0.95620099999999997</v>
      </c>
      <c r="Q4011">
        <v>-1.287495E-2</v>
      </c>
      <c r="R4011">
        <v>-0.29242800000000002</v>
      </c>
      <c r="S4011">
        <v>2.858978</v>
      </c>
      <c r="T4011">
        <v>-0.14443599999999901</v>
      </c>
      <c r="U4011">
        <v>-0.90417479999999995</v>
      </c>
      <c r="V4011">
        <v>0.2754084</v>
      </c>
      <c r="W4011" s="1">
        <v>-1.751189E-5</v>
      </c>
      <c r="X4011">
        <v>0.9613273</v>
      </c>
      <c r="Y4011">
        <v>0.28414270000000003</v>
      </c>
      <c r="Z4011">
        <v>-8.4895539999999999E-3</v>
      </c>
      <c r="AA4011">
        <v>0.95874440000000005</v>
      </c>
      <c r="AB4011">
        <v>33</v>
      </c>
      <c r="AC4011">
        <v>21.572499999999899</v>
      </c>
      <c r="AD4011">
        <v>-1.107770961288</v>
      </c>
      <c r="AE4011">
        <v>-6.9256499999999903</v>
      </c>
      <c r="AF4011">
        <v>6.5259857382511797</v>
      </c>
      <c r="AG4011">
        <v>-1.107770961288</v>
      </c>
      <c r="AH4011">
        <v>21.640317790291299</v>
      </c>
      <c r="AI4011">
        <v>92.805826173277694</v>
      </c>
      <c r="AJ4011">
        <v>73.218470560592095</v>
      </c>
      <c r="AK4011">
        <v>22.630046407891601</v>
      </c>
      <c r="AL4011">
        <v>90.001003357406006</v>
      </c>
      <c r="AM4011">
        <v>74.013646101057503</v>
      </c>
      <c r="AN4011">
        <v>0.99999998241125798</v>
      </c>
    </row>
    <row r="4012" spans="1:40" x14ac:dyDescent="0.25">
      <c r="A4012" t="str">
        <f>"20190305135710467"</f>
        <v>20190305135710467</v>
      </c>
      <c r="B4012" t="str">
        <f>"1551765430456089"</f>
        <v>1551765430456089</v>
      </c>
      <c r="C4012" t="s">
        <v>40</v>
      </c>
      <c r="D4012">
        <v>4.3325279999999999</v>
      </c>
      <c r="E4012">
        <v>0.50720520000000002</v>
      </c>
      <c r="F4012" t="s">
        <v>42</v>
      </c>
      <c r="G4012">
        <v>-325.6737</v>
      </c>
      <c r="H4012" s="1">
        <v>-4.0514200000000004E-6</v>
      </c>
      <c r="I4012">
        <v>10.57433</v>
      </c>
      <c r="J4012">
        <v>-347.26</v>
      </c>
      <c r="K4012">
        <v>1.1078950000000001</v>
      </c>
      <c r="L4012">
        <v>17.555879999999998</v>
      </c>
      <c r="M4012">
        <v>0.99972459999999996</v>
      </c>
      <c r="N4012">
        <v>-1.446455E-2</v>
      </c>
      <c r="O4012">
        <v>-1.848004E-2</v>
      </c>
      <c r="P4012">
        <v>0.95571390000000001</v>
      </c>
      <c r="Q4012">
        <v>-1.263913E-2</v>
      </c>
      <c r="R4012">
        <v>-0.2940256</v>
      </c>
      <c r="S4012">
        <v>2.8552249999999999</v>
      </c>
      <c r="T4012">
        <v>-0.14531669999999999</v>
      </c>
      <c r="U4012">
        <v>-0.91635129999999998</v>
      </c>
      <c r="V4012">
        <v>0.27631480000000003</v>
      </c>
      <c r="W4012">
        <v>2.7114549999999999E-4</v>
      </c>
      <c r="X4012">
        <v>0.96106709999999995</v>
      </c>
      <c r="Y4012">
        <v>0.28750629999999999</v>
      </c>
      <c r="Z4012">
        <v>-8.6093699999999999E-3</v>
      </c>
      <c r="AA4012">
        <v>0.95774009999999998</v>
      </c>
      <c r="AB4012">
        <v>33</v>
      </c>
      <c r="AC4012">
        <v>21.586299999999898</v>
      </c>
      <c r="AD4012">
        <v>-1.10789905142</v>
      </c>
      <c r="AE4012">
        <v>-6.9815499999999897</v>
      </c>
      <c r="AF4012">
        <v>6.5657426248527804</v>
      </c>
      <c r="AG4012">
        <v>-1.10789905142</v>
      </c>
      <c r="AH4012">
        <v>21.6599927222418</v>
      </c>
      <c r="AI4012">
        <v>92.802394562670003</v>
      </c>
      <c r="AJ4012">
        <v>73.136493062262701</v>
      </c>
      <c r="AK4012">
        <v>22.660355276374499</v>
      </c>
      <c r="AL4012">
        <v>89.984464506349198</v>
      </c>
      <c r="AM4012">
        <v>73.959615690374804</v>
      </c>
      <c r="AN4012">
        <v>0.99999995646066497</v>
      </c>
    </row>
    <row r="4013" spans="1:40" x14ac:dyDescent="0.25">
      <c r="A4013" t="str">
        <f>"20190305135710479"</f>
        <v>20190305135710479</v>
      </c>
      <c r="B4013" t="str">
        <f>"1551765430466823"</f>
        <v>1551765430466823</v>
      </c>
      <c r="C4013" t="s">
        <v>40</v>
      </c>
      <c r="D4013">
        <v>4.3691940000000002</v>
      </c>
      <c r="E4013">
        <v>0.50633009999999901</v>
      </c>
      <c r="F4013" t="s">
        <v>42</v>
      </c>
      <c r="G4013">
        <v>-324.96039999999999</v>
      </c>
      <c r="H4013" s="1">
        <v>-4.4240560000000002E-6</v>
      </c>
      <c r="I4013">
        <v>10.203290000000001</v>
      </c>
      <c r="J4013">
        <v>-347.09379999999999</v>
      </c>
      <c r="K4013">
        <v>1.1080129999999999</v>
      </c>
      <c r="L4013">
        <v>17.55219</v>
      </c>
      <c r="M4013">
        <v>0.99971489999999996</v>
      </c>
      <c r="N4013">
        <v>-1.4424620000000001E-2</v>
      </c>
      <c r="O4013">
        <v>-1.903473E-2</v>
      </c>
      <c r="P4013">
        <v>0.95547380000000004</v>
      </c>
      <c r="Q4013">
        <v>-1.226879E-2</v>
      </c>
      <c r="R4013">
        <v>-0.29482170000000002</v>
      </c>
      <c r="S4013">
        <v>2.848236</v>
      </c>
      <c r="T4013">
        <v>-0.14150769999999999</v>
      </c>
      <c r="U4013">
        <v>-0.93911739999999999</v>
      </c>
      <c r="V4013">
        <v>0.27658280000000002</v>
      </c>
      <c r="W4013">
        <v>6.8456330000000001E-4</v>
      </c>
      <c r="X4013">
        <v>0.96098980000000001</v>
      </c>
      <c r="Y4013">
        <v>0.29458050000000002</v>
      </c>
      <c r="Z4013">
        <v>-8.6536129999999992E-3</v>
      </c>
      <c r="AA4013">
        <v>0.95558750000000003</v>
      </c>
      <c r="AB4013">
        <v>33</v>
      </c>
      <c r="AC4013">
        <v>22.133399999999899</v>
      </c>
      <c r="AD4013">
        <v>-1.1080174240559999</v>
      </c>
      <c r="AE4013">
        <v>-7.3489000000000004</v>
      </c>
      <c r="AF4013">
        <v>6.9106222167770301</v>
      </c>
      <c r="AG4013">
        <v>-1.1080174240559999</v>
      </c>
      <c r="AH4013">
        <v>22.219133890792602</v>
      </c>
      <c r="AI4013">
        <v>92.726236185682296</v>
      </c>
      <c r="AJ4013">
        <v>72.723197411685902</v>
      </c>
      <c r="AK4013">
        <v>23.295371061478999</v>
      </c>
      <c r="AL4013">
        <v>89.960777407263805</v>
      </c>
      <c r="AM4013">
        <v>73.943634452422103</v>
      </c>
      <c r="AN4013">
        <v>0.99999995479339399</v>
      </c>
    </row>
    <row r="4014" spans="1:40" x14ac:dyDescent="0.25">
      <c r="A4014" t="str">
        <f>"20190305135710498"</f>
        <v>20190305135710498</v>
      </c>
      <c r="B4014" t="str">
        <f>"1551765430486344"</f>
        <v>1551765430486344</v>
      </c>
      <c r="C4014" t="s">
        <v>40</v>
      </c>
      <c r="D4014">
        <v>4.3950800000000001</v>
      </c>
      <c r="E4014">
        <v>0.46560479999999999</v>
      </c>
      <c r="F4014" t="s">
        <v>42</v>
      </c>
      <c r="G4014">
        <v>-323.49509999999998</v>
      </c>
      <c r="H4014" s="1">
        <v>-5.0911570000000004E-6</v>
      </c>
      <c r="I4014">
        <v>9.8108900000000006</v>
      </c>
      <c r="J4014">
        <v>-346.81950000000001</v>
      </c>
      <c r="K4014">
        <v>1.1082110000000001</v>
      </c>
      <c r="L4014">
        <v>17.54608</v>
      </c>
      <c r="M4014">
        <v>0.99970130000000001</v>
      </c>
      <c r="N4014">
        <v>-1.434234E-2</v>
      </c>
      <c r="O4014">
        <v>-1.979442E-2</v>
      </c>
      <c r="P4014">
        <v>0.95528069999999998</v>
      </c>
      <c r="Q4014">
        <v>-1.0978689999999999E-2</v>
      </c>
      <c r="R4014">
        <v>-0.2954968</v>
      </c>
      <c r="S4014">
        <v>2.8496090000000001</v>
      </c>
      <c r="T4014">
        <v>-0.13379649999999901</v>
      </c>
      <c r="U4014">
        <v>-0.9347839</v>
      </c>
      <c r="V4014">
        <v>0.27653450000000002</v>
      </c>
      <c r="W4014">
        <v>2.0397330000000002E-3</v>
      </c>
      <c r="X4014">
        <v>0.96100180000000002</v>
      </c>
      <c r="Y4014">
        <v>0.29244789999999998</v>
      </c>
      <c r="Z4014">
        <v>-8.2114409999999999E-3</v>
      </c>
      <c r="AA4014">
        <v>0.95624620000000005</v>
      </c>
      <c r="AB4014">
        <v>33</v>
      </c>
      <c r="AC4014">
        <v>23.324400000000001</v>
      </c>
      <c r="AD4014">
        <v>-1.108216091157</v>
      </c>
      <c r="AE4014">
        <v>-7.7351900000000002</v>
      </c>
      <c r="AF4014">
        <v>7.2571739580407</v>
      </c>
      <c r="AG4014">
        <v>-1.108216091157</v>
      </c>
      <c r="AH4014">
        <v>23.425315648195902</v>
      </c>
      <c r="AI4014">
        <v>92.587412555920693</v>
      </c>
      <c r="AJ4014">
        <v>72.786993951861106</v>
      </c>
      <c r="AK4014">
        <v>24.548729701953501</v>
      </c>
      <c r="AL4014">
        <v>89.883131823794599</v>
      </c>
      <c r="AM4014">
        <v>73.946484053408</v>
      </c>
      <c r="AN4014">
        <v>0.99999997490210002</v>
      </c>
    </row>
    <row r="4015" spans="1:40" x14ac:dyDescent="0.25">
      <c r="A4015" t="str">
        <f>"20190305135710521"</f>
        <v>20190305135710521</v>
      </c>
      <c r="B4015" t="str">
        <f>"1551765430516600"</f>
        <v>1551765430516600</v>
      </c>
      <c r="C4015" t="s">
        <v>40</v>
      </c>
      <c r="D4015">
        <v>4.3514910000000002</v>
      </c>
      <c r="E4015">
        <v>0.4569589</v>
      </c>
      <c r="F4015" t="s">
        <v>42</v>
      </c>
      <c r="G4015">
        <v>-324.31180000000001</v>
      </c>
      <c r="H4015" s="1">
        <v>-3.9942160000000002E-6</v>
      </c>
      <c r="I4015">
        <v>12.754899999999999</v>
      </c>
      <c r="J4015">
        <v>-346.47910000000002</v>
      </c>
      <c r="K4015">
        <v>1.108468</v>
      </c>
      <c r="L4015">
        <v>17.538509999999999</v>
      </c>
      <c r="M4015">
        <v>0.99969090000000005</v>
      </c>
      <c r="N4015">
        <v>-1.4207900000000001E-2</v>
      </c>
      <c r="O4015">
        <v>-2.0403950000000001E-2</v>
      </c>
      <c r="P4015">
        <v>0.95542700000000003</v>
      </c>
      <c r="Q4015">
        <v>-1.0005170000000001E-2</v>
      </c>
      <c r="R4015">
        <v>-0.2950585</v>
      </c>
      <c r="S4015">
        <v>2.9448240000000001</v>
      </c>
      <c r="T4015">
        <v>-0.14499509999999999</v>
      </c>
      <c r="U4015">
        <v>-0.62686160000000002</v>
      </c>
      <c r="V4015">
        <v>0.27550770000000002</v>
      </c>
      <c r="W4015">
        <v>3.0763740000000002E-3</v>
      </c>
      <c r="X4015">
        <v>0.96129390000000003</v>
      </c>
      <c r="Y4015">
        <v>0.18793090000000001</v>
      </c>
      <c r="Z4015">
        <v>-5.2179990000000001E-3</v>
      </c>
      <c r="AA4015">
        <v>0.98216840000000005</v>
      </c>
      <c r="AB4015">
        <v>33</v>
      </c>
      <c r="AC4015">
        <v>22.167300000000001</v>
      </c>
      <c r="AD4015">
        <v>-1.108471994216</v>
      </c>
      <c r="AE4015">
        <v>-4.7836100000000004</v>
      </c>
      <c r="AF4015">
        <v>4.3199465046800496</v>
      </c>
      <c r="AG4015">
        <v>-1.108471994216</v>
      </c>
      <c r="AH4015">
        <v>22.2072405941413</v>
      </c>
      <c r="AI4015">
        <v>92.805046653983595</v>
      </c>
      <c r="AJ4015">
        <v>78.991805464049506</v>
      </c>
      <c r="AK4015">
        <v>22.650655239337699</v>
      </c>
      <c r="AL4015">
        <v>89.823736468429303</v>
      </c>
      <c r="AM4015">
        <v>74.007649585335997</v>
      </c>
      <c r="AN4015">
        <v>0.99999995950674303</v>
      </c>
    </row>
    <row r="4016" spans="1:40" x14ac:dyDescent="0.25">
      <c r="A4016" t="str">
        <f>"20190305135710535"</f>
        <v>20190305135710535</v>
      </c>
      <c r="B4016" t="str">
        <f>"1551765430526361"</f>
        <v>1551765430526361</v>
      </c>
      <c r="C4016" t="s">
        <v>40</v>
      </c>
      <c r="D4016">
        <v>4.3251499999999998</v>
      </c>
      <c r="E4016">
        <v>0.45673370000000002</v>
      </c>
      <c r="F4016" t="s">
        <v>42</v>
      </c>
      <c r="G4016">
        <v>-325.67610000000002</v>
      </c>
      <c r="H4016" s="1">
        <v>-3.2428460000000001E-6</v>
      </c>
      <c r="I4016">
        <v>13.60975</v>
      </c>
      <c r="J4016">
        <v>-346.27929999999998</v>
      </c>
      <c r="K4016">
        <v>1.108617</v>
      </c>
      <c r="L4016">
        <v>17.534179999999999</v>
      </c>
      <c r="M4016">
        <v>0.99968780000000002</v>
      </c>
      <c r="N4016">
        <v>-1.411885E-2</v>
      </c>
      <c r="O4016">
        <v>-2.0620179999999998E-2</v>
      </c>
      <c r="P4016">
        <v>0.95565250000000002</v>
      </c>
      <c r="Q4016">
        <v>-8.9111529999999998E-3</v>
      </c>
      <c r="R4016">
        <v>-0.29436240000000002</v>
      </c>
      <c r="S4016">
        <v>2.965363</v>
      </c>
      <c r="T4016">
        <v>-0.15800739999999999</v>
      </c>
      <c r="U4016">
        <v>-0.56002810000000003</v>
      </c>
      <c r="V4016">
        <v>0.2745995</v>
      </c>
      <c r="W4016">
        <v>4.1974100000000004E-3</v>
      </c>
      <c r="X4016">
        <v>0.96154949999999995</v>
      </c>
      <c r="Y4016">
        <v>0.16500029999999999</v>
      </c>
      <c r="Z4016">
        <v>-4.731369E-3</v>
      </c>
      <c r="AA4016">
        <v>0.9862822</v>
      </c>
      <c r="AB4016">
        <v>33</v>
      </c>
      <c r="AC4016">
        <v>20.603199999999902</v>
      </c>
      <c r="AD4016">
        <v>-1.1086202428459999</v>
      </c>
      <c r="AE4016">
        <v>-3.9244299999999899</v>
      </c>
      <c r="AF4016">
        <v>3.4889634454005098</v>
      </c>
      <c r="AG4016">
        <v>-1.1086202428459999</v>
      </c>
      <c r="AH4016">
        <v>20.622131820707999</v>
      </c>
      <c r="AI4016">
        <v>93.034152331508295</v>
      </c>
      <c r="AJ4016">
        <v>80.397323429909406</v>
      </c>
      <c r="AK4016">
        <v>20.944551214978301</v>
      </c>
      <c r="AL4016">
        <v>89.759505409266495</v>
      </c>
      <c r="AM4016">
        <v>74.061706999841306</v>
      </c>
      <c r="AN4016">
        <v>0.999999972300603</v>
      </c>
    </row>
    <row r="4017" spans="1:40" x14ac:dyDescent="0.25">
      <c r="A4017" t="str">
        <f>"20190305135710547"</f>
        <v>20190305135710547</v>
      </c>
      <c r="B4017" t="str">
        <f>"1551765430536121"</f>
        <v>1551765430536121</v>
      </c>
      <c r="C4017" t="s">
        <v>40</v>
      </c>
      <c r="D4017">
        <v>4.3553499999999996</v>
      </c>
      <c r="E4017">
        <v>0.45686640000000001</v>
      </c>
      <c r="F4017" t="s">
        <v>42</v>
      </c>
      <c r="G4017">
        <v>-325.04689999999999</v>
      </c>
      <c r="H4017" s="1">
        <v>-3.4996100000000002E-6</v>
      </c>
      <c r="I4017">
        <v>13.55284</v>
      </c>
      <c r="J4017">
        <v>-346.09089999999998</v>
      </c>
      <c r="K4017">
        <v>1.108754</v>
      </c>
      <c r="L4017">
        <v>17.530089999999898</v>
      </c>
      <c r="M4017">
        <v>0.99968650000000003</v>
      </c>
      <c r="N4017">
        <v>-1.40301E-2</v>
      </c>
      <c r="O4017">
        <v>-2.073904E-2</v>
      </c>
      <c r="P4017">
        <v>0.95599659999999997</v>
      </c>
      <c r="Q4017">
        <v>-7.7874669999999898E-3</v>
      </c>
      <c r="R4017">
        <v>-0.29327439999999999</v>
      </c>
      <c r="S4017">
        <v>2.966431</v>
      </c>
      <c r="T4017">
        <v>-0.15488829999999901</v>
      </c>
      <c r="U4017">
        <v>-0.55624390000000001</v>
      </c>
      <c r="V4017">
        <v>0.27339039999999998</v>
      </c>
      <c r="W4017">
        <v>5.338944E-3</v>
      </c>
      <c r="X4017">
        <v>0.96188839999999998</v>
      </c>
      <c r="Y4017">
        <v>0.16361519999999999</v>
      </c>
      <c r="Z4017">
        <v>-4.6067399999999998E-3</v>
      </c>
      <c r="AA4017">
        <v>0.98651350000000004</v>
      </c>
      <c r="AB4017">
        <v>33</v>
      </c>
      <c r="AC4017">
        <v>21.043999999999901</v>
      </c>
      <c r="AD4017">
        <v>-1.10875749961</v>
      </c>
      <c r="AE4017">
        <v>-3.97724999999999</v>
      </c>
      <c r="AF4017">
        <v>3.53045662499497</v>
      </c>
      <c r="AG4017">
        <v>-1.10875749961</v>
      </c>
      <c r="AH4017">
        <v>21.065504807774602</v>
      </c>
      <c r="AI4017">
        <v>92.971546920900295</v>
      </c>
      <c r="AJ4017">
        <v>80.485977627436597</v>
      </c>
      <c r="AK4017">
        <v>21.388056479733901</v>
      </c>
      <c r="AL4017">
        <v>89.694099605184903</v>
      </c>
      <c r="AM4017">
        <v>74.133653340273497</v>
      </c>
      <c r="AN4017">
        <v>1.00000005459487</v>
      </c>
    </row>
    <row r="4018" spans="1:40" x14ac:dyDescent="0.25">
      <c r="A4018" t="str">
        <f>"20190305135710569"</f>
        <v>20190305135710569</v>
      </c>
      <c r="B4018" t="str">
        <f>"1551765430556616"</f>
        <v>1551765430556616</v>
      </c>
      <c r="C4018" t="s">
        <v>40</v>
      </c>
      <c r="D4018">
        <v>4.3690759999999997</v>
      </c>
      <c r="E4018">
        <v>0.45734809999999998</v>
      </c>
      <c r="F4018" t="s">
        <v>42</v>
      </c>
      <c r="G4018">
        <v>-324.2756</v>
      </c>
      <c r="H4018" s="1">
        <v>-3.8211760000000001E-6</v>
      </c>
      <c r="I4018">
        <v>13.45749</v>
      </c>
      <c r="J4018">
        <v>-345.7903</v>
      </c>
      <c r="K4018">
        <v>1.108951</v>
      </c>
      <c r="L4018">
        <v>17.523710000000001</v>
      </c>
      <c r="M4018">
        <v>0.99968840000000003</v>
      </c>
      <c r="N4018">
        <v>-1.387911E-2</v>
      </c>
      <c r="O4018">
        <v>-2.075314E-2</v>
      </c>
      <c r="P4018">
        <v>0.95682670000000003</v>
      </c>
      <c r="Q4018">
        <v>-6.0779930000000003E-3</v>
      </c>
      <c r="R4018">
        <v>-0.29059610000000002</v>
      </c>
      <c r="S4018">
        <v>2.96698</v>
      </c>
      <c r="T4018">
        <v>-0.1507965</v>
      </c>
      <c r="U4018">
        <v>-0.553894</v>
      </c>
      <c r="V4018">
        <v>0.27068049999999999</v>
      </c>
      <c r="W4018">
        <v>7.0564800000000004E-3</v>
      </c>
      <c r="X4018">
        <v>0.96264340000000004</v>
      </c>
      <c r="Y4018">
        <v>0.162827</v>
      </c>
      <c r="Z4018">
        <v>-4.4814800000000004E-3</v>
      </c>
      <c r="AA4018">
        <v>0.98664439999999998</v>
      </c>
      <c r="AB4018">
        <v>33</v>
      </c>
      <c r="AC4018">
        <v>21.514700000000001</v>
      </c>
      <c r="AD4018">
        <v>-1.1089548211759901</v>
      </c>
      <c r="AE4018">
        <v>-4.0662200000000004</v>
      </c>
      <c r="AF4018">
        <v>3.6095444829436998</v>
      </c>
      <c r="AG4018">
        <v>-1.1089548211759901</v>
      </c>
      <c r="AH4018">
        <v>21.539208892361302</v>
      </c>
      <c r="AI4018">
        <v>92.906831030557797</v>
      </c>
      <c r="AJ4018">
        <v>80.486759549251502</v>
      </c>
      <c r="AK4018">
        <v>21.867695623419799</v>
      </c>
      <c r="AL4018">
        <v>89.5956901309751</v>
      </c>
      <c r="AM4018">
        <v>74.294834661969105</v>
      </c>
      <c r="AN4018">
        <v>1.0000000212769</v>
      </c>
    </row>
    <row r="4019" spans="1:40" x14ac:dyDescent="0.25">
      <c r="A4019" t="str">
        <f>"20190305135710588"</f>
        <v>20190305135710588</v>
      </c>
      <c r="B4019" t="str">
        <f>"1551765430576137"</f>
        <v>1551765430576137</v>
      </c>
      <c r="C4019" t="s">
        <v>40</v>
      </c>
      <c r="D4019">
        <v>4.3612890000000002</v>
      </c>
      <c r="E4019">
        <v>0.45775009999999999</v>
      </c>
      <c r="F4019" t="s">
        <v>42</v>
      </c>
      <c r="G4019">
        <v>-323.75479999999999</v>
      </c>
      <c r="H4019" s="1">
        <v>-4.0275160000000004E-6</v>
      </c>
      <c r="I4019">
        <v>13.44392</v>
      </c>
      <c r="J4019">
        <v>-345.49549999999999</v>
      </c>
      <c r="K4019">
        <v>1.1091219999999999</v>
      </c>
      <c r="L4019">
        <v>17.517610000000001</v>
      </c>
      <c r="M4019">
        <v>0.99969350000000001</v>
      </c>
      <c r="N4019">
        <v>-1.3720700000000001E-2</v>
      </c>
      <c r="O4019">
        <v>-2.0609180000000001E-2</v>
      </c>
      <c r="P4019">
        <v>0.95783549999999995</v>
      </c>
      <c r="Q4019">
        <v>-3.1674839999999999E-3</v>
      </c>
      <c r="R4019">
        <v>-0.287300099999999</v>
      </c>
      <c r="S4019">
        <v>2.96759</v>
      </c>
      <c r="T4019">
        <v>-0.14934639999999999</v>
      </c>
      <c r="U4019">
        <v>-0.54943850000000005</v>
      </c>
      <c r="V4019">
        <v>0.2675013</v>
      </c>
      <c r="W4019">
        <v>9.9407620000000006E-3</v>
      </c>
      <c r="X4019">
        <v>0.96350619999999998</v>
      </c>
      <c r="Y4019">
        <v>0.1615074</v>
      </c>
      <c r="Z4019">
        <v>-4.3986889999999999E-3</v>
      </c>
      <c r="AA4019">
        <v>0.98686169999999995</v>
      </c>
      <c r="AB4019">
        <v>33</v>
      </c>
      <c r="AC4019">
        <v>21.7407</v>
      </c>
      <c r="AD4019">
        <v>-1.109126027516</v>
      </c>
      <c r="AE4019">
        <v>-4.07369</v>
      </c>
      <c r="AF4019">
        <v>3.6156334367065002</v>
      </c>
      <c r="AG4019">
        <v>-1.109126027516</v>
      </c>
      <c r="AH4019">
        <v>21.765318942625498</v>
      </c>
      <c r="AI4019">
        <v>92.877808999950005</v>
      </c>
      <c r="AJ4019">
        <v>80.5682103345287</v>
      </c>
      <c r="AK4019">
        <v>22.091447991649598</v>
      </c>
      <c r="AL4019">
        <v>89.430426900332506</v>
      </c>
      <c r="AM4019">
        <v>74.483580124335703</v>
      </c>
      <c r="AN4019">
        <v>0.99999998084463504</v>
      </c>
    </row>
    <row r="4020" spans="1:40" x14ac:dyDescent="0.25">
      <c r="A4020" t="str">
        <f>"20190305135710602"</f>
        <v>20190305135710602</v>
      </c>
      <c r="B4020" t="str">
        <f>"1551765430596632"</f>
        <v>1551765430596632</v>
      </c>
      <c r="C4020" t="s">
        <v>40</v>
      </c>
      <c r="D4020">
        <v>4.3716989999999996</v>
      </c>
      <c r="E4020">
        <v>0.45808209999999999</v>
      </c>
      <c r="F4020" t="s">
        <v>42</v>
      </c>
      <c r="G4020">
        <v>-322.67529999999999</v>
      </c>
      <c r="H4020" s="1">
        <v>-4.5547919999999998E-6</v>
      </c>
      <c r="I4020">
        <v>13.34808</v>
      </c>
      <c r="J4020">
        <v>-345.3005</v>
      </c>
      <c r="K4020">
        <v>1.1092070000000001</v>
      </c>
      <c r="L4020">
        <v>17.5137</v>
      </c>
      <c r="M4020">
        <v>0.99969850000000005</v>
      </c>
      <c r="N4020">
        <v>-1.36127E-2</v>
      </c>
      <c r="O4020">
        <v>-2.0442439999999999E-2</v>
      </c>
      <c r="P4020">
        <v>0.95844669999999998</v>
      </c>
      <c r="Q4020">
        <v>-1.7658490000000001E-3</v>
      </c>
      <c r="R4020">
        <v>-0.28526649999999998</v>
      </c>
      <c r="S4020">
        <v>2.9688720000000002</v>
      </c>
      <c r="T4020">
        <v>-0.144295799999999</v>
      </c>
      <c r="U4020">
        <v>-0.54244999999999999</v>
      </c>
      <c r="V4020">
        <v>0.26561439999999997</v>
      </c>
      <c r="W4020">
        <v>1.1303489999999999E-2</v>
      </c>
      <c r="X4020">
        <v>0.96401309999999996</v>
      </c>
      <c r="Y4020">
        <v>0.1593658</v>
      </c>
      <c r="Z4020">
        <v>-4.2249740000000003E-3</v>
      </c>
      <c r="AA4020">
        <v>0.98721060000000005</v>
      </c>
      <c r="AB4020">
        <v>33</v>
      </c>
      <c r="AC4020">
        <v>22.6252</v>
      </c>
      <c r="AD4020">
        <v>-1.1092115547920001</v>
      </c>
      <c r="AE4020">
        <v>-4.1656199999999997</v>
      </c>
      <c r="AF4020">
        <v>3.6936057585212199</v>
      </c>
      <c r="AG4020">
        <v>-1.1092115547920001</v>
      </c>
      <c r="AH4020">
        <v>22.652973205102601</v>
      </c>
      <c r="AI4020">
        <v>92.766791347272701</v>
      </c>
      <c r="AJ4020">
        <v>80.739319677149197</v>
      </c>
      <c r="AK4020">
        <v>22.978909217013801</v>
      </c>
      <c r="AL4020">
        <v>89.352343948462902</v>
      </c>
      <c r="AM4020">
        <v>74.595527991007401</v>
      </c>
      <c r="AN4020">
        <v>1.0000000176725701</v>
      </c>
    </row>
    <row r="4021" spans="1:40" x14ac:dyDescent="0.25">
      <c r="A4021" t="str">
        <f>"20190305135710616"</f>
        <v>20190305135710616</v>
      </c>
      <c r="B4021" t="str">
        <f>"1551765430606392"</f>
        <v>1551765430606392</v>
      </c>
      <c r="C4021" t="s">
        <v>40</v>
      </c>
      <c r="D4021">
        <v>4.3716339999999896</v>
      </c>
      <c r="E4021">
        <v>0.45825880000000002</v>
      </c>
      <c r="F4021" t="s">
        <v>42</v>
      </c>
      <c r="G4021">
        <v>-322.24529999999999</v>
      </c>
      <c r="H4021" s="1">
        <v>-4.7610669999999998E-6</v>
      </c>
      <c r="I4021">
        <v>13.330959999999999</v>
      </c>
      <c r="J4021">
        <v>-345.09210000000002</v>
      </c>
      <c r="K4021">
        <v>1.1092869999999999</v>
      </c>
      <c r="L4021">
        <v>17.509550000000001</v>
      </c>
      <c r="M4021">
        <v>0.99970420000000004</v>
      </c>
      <c r="N4021">
        <v>-1.349697E-2</v>
      </c>
      <c r="O4021">
        <v>-2.0234820000000001E-2</v>
      </c>
      <c r="P4021">
        <v>0.95905359999999995</v>
      </c>
      <c r="Q4021">
        <v>1.354525E-4</v>
      </c>
      <c r="R4021">
        <v>-0.2832249</v>
      </c>
      <c r="S4021">
        <v>2.969452</v>
      </c>
      <c r="T4021">
        <v>-0.14286380000000001</v>
      </c>
      <c r="U4021">
        <v>-0.53872679999999995</v>
      </c>
      <c r="V4021">
        <v>0.26375900000000002</v>
      </c>
      <c r="W4021">
        <v>1.315157E-2</v>
      </c>
      <c r="X4021">
        <v>0.96449890000000005</v>
      </c>
      <c r="Y4021">
        <v>0.15834429999999999</v>
      </c>
      <c r="Z4021">
        <v>-4.1604820000000001E-3</v>
      </c>
      <c r="AA4021">
        <v>0.98737520000000001</v>
      </c>
      <c r="AB4021">
        <v>33</v>
      </c>
      <c r="AC4021">
        <v>22.846800000000002</v>
      </c>
      <c r="AD4021">
        <v>-1.1092917610669999</v>
      </c>
      <c r="AE4021">
        <v>-4.1785899999999998</v>
      </c>
      <c r="AF4021">
        <v>3.7069353045864299</v>
      </c>
      <c r="AG4021">
        <v>-1.1092917610669999</v>
      </c>
      <c r="AH4021">
        <v>22.8745022747059</v>
      </c>
      <c r="AI4021">
        <v>92.740666864821193</v>
      </c>
      <c r="AJ4021">
        <v>80.794937046526897</v>
      </c>
      <c r="AK4021">
        <v>23.199455853081599</v>
      </c>
      <c r="AL4021">
        <v>89.246448784184096</v>
      </c>
      <c r="AM4021">
        <v>74.705418718573497</v>
      </c>
      <c r="AN4021">
        <v>0.99999995098783601</v>
      </c>
    </row>
    <row r="4022" spans="1:40" x14ac:dyDescent="0.25">
      <c r="A4022" t="str">
        <f>"20190305135710634"</f>
        <v>20190305135710634</v>
      </c>
      <c r="B4022" t="str">
        <f>"1551765430626888"</f>
        <v>1551765430626888</v>
      </c>
      <c r="C4022" t="s">
        <v>40</v>
      </c>
      <c r="D4022">
        <v>4.2948040000000001</v>
      </c>
      <c r="E4022">
        <v>0.45909329999999998</v>
      </c>
      <c r="F4022" t="s">
        <v>42</v>
      </c>
      <c r="G4022">
        <v>-321.27550000000002</v>
      </c>
      <c r="H4022" s="1">
        <v>-5.237368E-6</v>
      </c>
      <c r="I4022">
        <v>13.230309999999999</v>
      </c>
      <c r="J4022">
        <v>-344.8211</v>
      </c>
      <c r="K4022">
        <v>1.109367</v>
      </c>
      <c r="L4022">
        <v>17.504300000000001</v>
      </c>
      <c r="M4022">
        <v>0.99971259999999995</v>
      </c>
      <c r="N4022">
        <v>-1.334716E-2</v>
      </c>
      <c r="O4022">
        <v>-1.9920710000000001E-2</v>
      </c>
      <c r="P4022">
        <v>0.96049340000000005</v>
      </c>
      <c r="Q4022">
        <v>3.6446059999999999E-3</v>
      </c>
      <c r="R4022">
        <v>-0.27827960000000002</v>
      </c>
      <c r="S4022">
        <v>2.9704899999999999</v>
      </c>
      <c r="T4022">
        <v>-0.138354799999999</v>
      </c>
      <c r="U4022">
        <v>-0.53372189999999997</v>
      </c>
      <c r="V4022">
        <v>0.25908579999999998</v>
      </c>
      <c r="W4022">
        <v>1.6583460000000001E-2</v>
      </c>
      <c r="X4022">
        <v>0.96571200000000001</v>
      </c>
      <c r="Y4022">
        <v>0.15699669999999999</v>
      </c>
      <c r="Z4022">
        <v>-4.0263169999999997E-3</v>
      </c>
      <c r="AA4022">
        <v>0.98759090000000005</v>
      </c>
      <c r="AB4022">
        <v>33</v>
      </c>
      <c r="AC4022">
        <v>23.545599999999901</v>
      </c>
      <c r="AD4022">
        <v>-1.1093722373679999</v>
      </c>
      <c r="AE4022">
        <v>-4.2739900000000004</v>
      </c>
      <c r="AF4022">
        <v>3.79589718753068</v>
      </c>
      <c r="AG4022">
        <v>-1.1093722373679999</v>
      </c>
      <c r="AH4022">
        <v>23.575409496943301</v>
      </c>
      <c r="AI4022">
        <v>92.659933746997595</v>
      </c>
      <c r="AJ4022">
        <v>80.853259137640194</v>
      </c>
      <c r="AK4022">
        <v>23.904800253670999</v>
      </c>
      <c r="AL4022">
        <v>89.049794237714806</v>
      </c>
      <c r="AM4022">
        <v>74.982063510690907</v>
      </c>
      <c r="AN4022">
        <v>1.0000000649256</v>
      </c>
    </row>
    <row r="4023" spans="1:40" x14ac:dyDescent="0.25">
      <c r="A4023" t="str">
        <f>"20190305135710648"</f>
        <v>20190305135710648</v>
      </c>
      <c r="B4023" t="str">
        <f>"1551765430636649"</f>
        <v>1551765430636649</v>
      </c>
      <c r="C4023" t="s">
        <v>40</v>
      </c>
      <c r="D4023">
        <v>4.2895469999999998</v>
      </c>
      <c r="E4023">
        <v>0.4594413</v>
      </c>
      <c r="F4023" t="s">
        <v>43</v>
      </c>
      <c r="G4023">
        <v>-317.12310000000002</v>
      </c>
      <c r="H4023">
        <v>-0.05</v>
      </c>
      <c r="I4023">
        <v>12.61243</v>
      </c>
      <c r="J4023">
        <v>-344.61750000000001</v>
      </c>
      <c r="K4023">
        <v>1.109416</v>
      </c>
      <c r="L4023">
        <v>17.500429999999898</v>
      </c>
      <c r="M4023">
        <v>0.99971900000000002</v>
      </c>
      <c r="N4023">
        <v>-1.323596E-2</v>
      </c>
      <c r="O4023">
        <v>-1.9668910000000001E-2</v>
      </c>
      <c r="P4023">
        <v>0.96140429999999999</v>
      </c>
      <c r="Q4023">
        <v>5.6194160000000003E-3</v>
      </c>
      <c r="R4023">
        <v>-0.27508179999999999</v>
      </c>
      <c r="S4023">
        <v>2.971832</v>
      </c>
      <c r="T4023">
        <v>-0.12439359999999999</v>
      </c>
      <c r="U4023">
        <v>-0.5248718</v>
      </c>
      <c r="V4023">
        <v>0.2561117</v>
      </c>
      <c r="W4023">
        <v>1.8490039999999999E-2</v>
      </c>
      <c r="X4023">
        <v>0.96647039999999995</v>
      </c>
      <c r="Y4023">
        <v>0.15435360000000001</v>
      </c>
      <c r="Z4023">
        <v>-3.6763970000000001E-3</v>
      </c>
      <c r="AA4023">
        <v>0.98800889999999997</v>
      </c>
      <c r="AB4023">
        <v>33</v>
      </c>
      <c r="AC4023">
        <v>27.494399999999899</v>
      </c>
      <c r="AD4023">
        <v>-1.159416</v>
      </c>
      <c r="AE4023">
        <v>-4.8879999999999901</v>
      </c>
      <c r="AF4023">
        <v>4.3387430839209697</v>
      </c>
      <c r="AG4023">
        <v>-1.159416</v>
      </c>
      <c r="AH4023">
        <v>27.5377618626767</v>
      </c>
      <c r="AI4023">
        <v>92.381543065756006</v>
      </c>
      <c r="AJ4023">
        <v>81.046303416060496</v>
      </c>
      <c r="AK4023">
        <v>27.901563852494402</v>
      </c>
      <c r="AL4023">
        <v>88.940538433518</v>
      </c>
      <c r="AM4023">
        <v>75.157936685465501</v>
      </c>
      <c r="AN4023">
        <v>1.00000005926612</v>
      </c>
    </row>
    <row r="4024" spans="1:40" x14ac:dyDescent="0.25">
      <c r="A4024" t="str">
        <f>"20190305135710667"</f>
        <v>20190305135710667</v>
      </c>
      <c r="B4024" t="str">
        <f>"1551765430656173"</f>
        <v>1551765430656173</v>
      </c>
      <c r="C4024" t="s">
        <v>40</v>
      </c>
      <c r="D4024">
        <v>4.3515040000000003</v>
      </c>
      <c r="E4024">
        <v>0.45972570000000001</v>
      </c>
      <c r="F4024" t="s">
        <v>43</v>
      </c>
      <c r="G4024">
        <v>-315.49239999999998</v>
      </c>
      <c r="H4024">
        <v>-0.05</v>
      </c>
      <c r="I4024">
        <v>12.429460000000001</v>
      </c>
      <c r="J4024">
        <v>-344.34109999999998</v>
      </c>
      <c r="K4024">
        <v>1.1094649999999999</v>
      </c>
      <c r="L4024">
        <v>17.495270000000001</v>
      </c>
      <c r="M4024">
        <v>0.9997277</v>
      </c>
      <c r="N4024">
        <v>-1.3087919999999999E-2</v>
      </c>
      <c r="O4024">
        <v>-1.9322120000000002E-2</v>
      </c>
      <c r="P4024">
        <v>0.96327569999999996</v>
      </c>
      <c r="Q4024">
        <v>8.8426960000000006E-3</v>
      </c>
      <c r="R4024">
        <v>-0.26836870000000002</v>
      </c>
      <c r="S4024">
        <v>2.9730530000000002</v>
      </c>
      <c r="T4024">
        <v>-0.1183517</v>
      </c>
      <c r="U4024">
        <v>-0.51763919999999997</v>
      </c>
      <c r="V4024">
        <v>0.24969549999999999</v>
      </c>
      <c r="W4024">
        <v>2.1619369999999999E-2</v>
      </c>
      <c r="X4024">
        <v>0.96808300000000003</v>
      </c>
      <c r="Y4024">
        <v>0.15231059999999999</v>
      </c>
      <c r="Z4024">
        <v>-3.5007910000000001E-3</v>
      </c>
      <c r="AA4024">
        <v>0.9883265</v>
      </c>
      <c r="AB4024">
        <v>33</v>
      </c>
      <c r="AC4024">
        <v>28.848700000000001</v>
      </c>
      <c r="AD4024">
        <v>-1.159465</v>
      </c>
      <c r="AE4024">
        <v>-5.0658099999999999</v>
      </c>
      <c r="AF4024">
        <v>4.5003462276560002</v>
      </c>
      <c r="AG4024">
        <v>-1.159465</v>
      </c>
      <c r="AH4024">
        <v>28.895923501856899</v>
      </c>
      <c r="AI4024">
        <v>92.2704505046961</v>
      </c>
      <c r="AJ4024">
        <v>81.147683411251904</v>
      </c>
      <c r="AK4024">
        <v>29.2672491068117</v>
      </c>
      <c r="AL4024">
        <v>88.761204788517702</v>
      </c>
      <c r="AM4024">
        <v>75.537051320567102</v>
      </c>
      <c r="AN4024">
        <v>0.99999996738422203</v>
      </c>
    </row>
    <row r="4025" spans="1:40" x14ac:dyDescent="0.25">
      <c r="A4025" t="str">
        <f>"20190305135710680"</f>
        <v>20190305135710680</v>
      </c>
      <c r="B4025" t="str">
        <f>"1551765430676665"</f>
        <v>1551765430676665</v>
      </c>
      <c r="C4025" t="s">
        <v>40</v>
      </c>
      <c r="D4025">
        <v>4.3226570000000004</v>
      </c>
      <c r="E4025">
        <v>0.46029589999999998</v>
      </c>
      <c r="F4025" t="s">
        <v>43</v>
      </c>
      <c r="G4025">
        <v>-313.67309999999998</v>
      </c>
      <c r="H4025">
        <v>-0.05</v>
      </c>
      <c r="I4025">
        <v>12.35088</v>
      </c>
      <c r="J4025">
        <v>-344.14769999999999</v>
      </c>
      <c r="K4025">
        <v>1.109491</v>
      </c>
      <c r="L4025">
        <v>17.49173</v>
      </c>
      <c r="M4025">
        <v>0.99973380000000001</v>
      </c>
      <c r="N4025">
        <v>-1.2981680000000001E-2</v>
      </c>
      <c r="O4025">
        <v>-1.9077139999999999E-2</v>
      </c>
      <c r="P4025">
        <v>0.96420459999999997</v>
      </c>
      <c r="Q4025">
        <v>1.0056239999999999E-2</v>
      </c>
      <c r="R4025">
        <v>-0.26496920000000002</v>
      </c>
      <c r="S4025">
        <v>2.9763489999999999</v>
      </c>
      <c r="T4025">
        <v>-0.1125268</v>
      </c>
      <c r="U4025">
        <v>-0.49926759999999898</v>
      </c>
      <c r="V4025">
        <v>0.24651400000000001</v>
      </c>
      <c r="W4025">
        <v>2.2755870000000001E-2</v>
      </c>
      <c r="X4025">
        <v>0.96887199999999996</v>
      </c>
      <c r="Y4025">
        <v>0.1464559</v>
      </c>
      <c r="Z4025">
        <v>-3.236386E-3</v>
      </c>
      <c r="AA4025">
        <v>0.98921190000000003</v>
      </c>
      <c r="AB4025">
        <v>33</v>
      </c>
      <c r="AC4025">
        <v>30.474599999999999</v>
      </c>
      <c r="AD4025">
        <v>-1.159491</v>
      </c>
      <c r="AE4025">
        <v>-5.1408500000000004</v>
      </c>
      <c r="AF4025">
        <v>4.5520896969029199</v>
      </c>
      <c r="AG4025">
        <v>-1.159491</v>
      </c>
      <c r="AH4025">
        <v>30.524168965020401</v>
      </c>
      <c r="AI4025">
        <v>92.151619752048106</v>
      </c>
      <c r="AJ4025">
        <v>81.517953623510294</v>
      </c>
      <c r="AK4025">
        <v>30.883504189014001</v>
      </c>
      <c r="AL4025">
        <v>88.696072095017797</v>
      </c>
      <c r="AM4025">
        <v>75.724900517084194</v>
      </c>
      <c r="AN4025">
        <v>0.99999996709972705</v>
      </c>
    </row>
    <row r="4026" spans="1:40" x14ac:dyDescent="0.25">
      <c r="A4026" t="str">
        <f>"20190305135710692"</f>
        <v>20190305135710692</v>
      </c>
      <c r="B4026" t="str">
        <f>"1551765430686424"</f>
        <v>1551765430686424</v>
      </c>
      <c r="C4026" t="s">
        <v>40</v>
      </c>
      <c r="D4026">
        <v>4.3027860000000002</v>
      </c>
      <c r="E4026">
        <v>0.46053509999999998</v>
      </c>
      <c r="F4026" t="s">
        <v>43</v>
      </c>
      <c r="G4026">
        <v>-313.50529999999998</v>
      </c>
      <c r="H4026">
        <v>-0.05</v>
      </c>
      <c r="I4026">
        <v>12.414249999999999</v>
      </c>
      <c r="J4026">
        <v>-343.97030000000001</v>
      </c>
      <c r="K4026">
        <v>1.1095120000000001</v>
      </c>
      <c r="L4026">
        <v>17.488529999999901</v>
      </c>
      <c r="M4026">
        <v>0.9997393</v>
      </c>
      <c r="N4026">
        <v>-1.2882680000000001E-2</v>
      </c>
      <c r="O4026">
        <v>-1.88504E-2</v>
      </c>
      <c r="P4026">
        <v>0.96519219999999895</v>
      </c>
      <c r="Q4026">
        <v>1.072006E-2</v>
      </c>
      <c r="R4026">
        <v>-0.26132240000000001</v>
      </c>
      <c r="S4026">
        <v>2.9769589999999999</v>
      </c>
      <c r="T4026">
        <v>-0.1126465</v>
      </c>
      <c r="U4026">
        <v>-0.49328610000000001</v>
      </c>
      <c r="V4026">
        <v>0.24306739999999999</v>
      </c>
      <c r="W4026">
        <v>2.334746E-2</v>
      </c>
      <c r="X4026">
        <v>0.96972840000000005</v>
      </c>
      <c r="Y4026">
        <v>0.1447147</v>
      </c>
      <c r="Z4026">
        <v>-3.1907709999999998E-3</v>
      </c>
      <c r="AA4026">
        <v>0.98946829999999997</v>
      </c>
      <c r="AB4026">
        <v>33</v>
      </c>
      <c r="AC4026">
        <v>30.465</v>
      </c>
      <c r="AD4026">
        <v>-1.1595120000000001</v>
      </c>
      <c r="AE4026">
        <v>-5.0742799999999901</v>
      </c>
      <c r="AF4026">
        <v>4.4927206526920296</v>
      </c>
      <c r="AG4026">
        <v>-1.1595120000000001</v>
      </c>
      <c r="AH4026">
        <v>30.512239214781498</v>
      </c>
      <c r="AI4026">
        <v>92.153087783537899</v>
      </c>
      <c r="AJ4026">
        <v>81.623772105446093</v>
      </c>
      <c r="AK4026">
        <v>30.863015874041199</v>
      </c>
      <c r="AL4026">
        <v>88.662167541071597</v>
      </c>
      <c r="AM4026">
        <v>75.928433706361204</v>
      </c>
      <c r="AN4026">
        <v>1.0000000172988801</v>
      </c>
    </row>
    <row r="4027" spans="1:40" x14ac:dyDescent="0.25">
      <c r="A4027" t="str">
        <f>"20190305135710711"</f>
        <v>20190305135710711</v>
      </c>
      <c r="B4027" t="str">
        <f>"1551765430706920"</f>
        <v>1551765430706920</v>
      </c>
      <c r="C4027" t="s">
        <v>40</v>
      </c>
      <c r="D4027">
        <v>4.2513079999999999</v>
      </c>
      <c r="E4027">
        <v>0.46119009999999999</v>
      </c>
      <c r="F4027" t="s">
        <v>43</v>
      </c>
      <c r="G4027">
        <v>-313.24770000000001</v>
      </c>
      <c r="H4027">
        <v>-0.05</v>
      </c>
      <c r="I4027">
        <v>12.49719</v>
      </c>
      <c r="J4027">
        <v>-343.68329999999997</v>
      </c>
      <c r="K4027">
        <v>1.1095360000000001</v>
      </c>
      <c r="L4027">
        <v>17.48349</v>
      </c>
      <c r="M4027">
        <v>0.99974859999999999</v>
      </c>
      <c r="N4027">
        <v>-1.2716699999999999E-2</v>
      </c>
      <c r="O4027">
        <v>-1.847263E-2</v>
      </c>
      <c r="P4027">
        <v>0.96709480000000003</v>
      </c>
      <c r="Q4027">
        <v>1.24888E-2</v>
      </c>
      <c r="R4027">
        <v>-0.25411020000000001</v>
      </c>
      <c r="S4027">
        <v>2.978424</v>
      </c>
      <c r="T4027">
        <v>-0.11240940000000001</v>
      </c>
      <c r="U4027">
        <v>-0.4838867</v>
      </c>
      <c r="V4027">
        <v>0.23618449999999999</v>
      </c>
      <c r="W4027">
        <v>2.499446E-2</v>
      </c>
      <c r="X4027">
        <v>0.97138670000000005</v>
      </c>
      <c r="Y4027">
        <v>0.1419723</v>
      </c>
      <c r="Z4027">
        <v>-3.111099E-3</v>
      </c>
      <c r="AA4027">
        <v>0.98986569999999996</v>
      </c>
      <c r="AB4027">
        <v>33</v>
      </c>
      <c r="AC4027">
        <v>30.435599999999901</v>
      </c>
      <c r="AD4027">
        <v>-1.1595359999999999</v>
      </c>
      <c r="AE4027">
        <v>-4.9863</v>
      </c>
      <c r="AF4027">
        <v>4.4169346283150501</v>
      </c>
      <c r="AG4027">
        <v>-1.1595359999999999</v>
      </c>
      <c r="AH4027">
        <v>30.4794400682147</v>
      </c>
      <c r="AI4027">
        <v>92.156164262766396</v>
      </c>
      <c r="AJ4027">
        <v>81.754370585819103</v>
      </c>
      <c r="AK4027">
        <v>30.819638254171601</v>
      </c>
      <c r="AL4027">
        <v>88.567773753057395</v>
      </c>
      <c r="AM4027">
        <v>76.334192315943596</v>
      </c>
      <c r="AN4027">
        <v>0.99999998100391496</v>
      </c>
    </row>
    <row r="4028" spans="1:40" x14ac:dyDescent="0.25">
      <c r="A4028" t="str">
        <f>"20190305135710724"</f>
        <v>20190305135710724</v>
      </c>
      <c r="B4028" t="str">
        <f>"1551765430716681"</f>
        <v>1551765430716681</v>
      </c>
      <c r="C4028" t="s">
        <v>40</v>
      </c>
      <c r="D4028">
        <v>4.2772079999999999</v>
      </c>
      <c r="E4028">
        <v>0.46119009999999999</v>
      </c>
      <c r="F4028" t="s">
        <v>43</v>
      </c>
      <c r="G4028">
        <v>-312.23509999999999</v>
      </c>
      <c r="H4028">
        <v>-0.05</v>
      </c>
      <c r="I4028">
        <v>12.55847</v>
      </c>
      <c r="J4028">
        <v>-343.48579999999998</v>
      </c>
      <c r="K4028">
        <v>1.10955</v>
      </c>
      <c r="L4028">
        <v>17.480070000000001</v>
      </c>
      <c r="M4028">
        <v>0.99975510000000001</v>
      </c>
      <c r="N4028">
        <v>-1.2599519999999999E-2</v>
      </c>
      <c r="O4028">
        <v>-1.820012E-2</v>
      </c>
      <c r="P4028">
        <v>0.96814639999999996</v>
      </c>
      <c r="Q4028">
        <v>1.3180849999999999E-2</v>
      </c>
      <c r="R4028">
        <v>-0.25003890000000001</v>
      </c>
      <c r="S4028">
        <v>2.9808650000000001</v>
      </c>
      <c r="T4028">
        <v>-0.1099086</v>
      </c>
      <c r="U4028">
        <v>-0.4668274</v>
      </c>
      <c r="V4028">
        <v>0.2323576</v>
      </c>
      <c r="W4028">
        <v>2.559699E-2</v>
      </c>
      <c r="X4028">
        <v>0.97229359999999998</v>
      </c>
      <c r="Y4028">
        <v>0.1365972</v>
      </c>
      <c r="Z4028">
        <v>-2.929797E-3</v>
      </c>
      <c r="AA4028">
        <v>0.99062229999999996</v>
      </c>
      <c r="AB4028">
        <v>33</v>
      </c>
      <c r="AC4028">
        <v>31.250699999999899</v>
      </c>
      <c r="AD4028">
        <v>-1.1595500000000001</v>
      </c>
      <c r="AE4028">
        <v>-4.9215999999999998</v>
      </c>
      <c r="AF4028">
        <v>4.3461343231302596</v>
      </c>
      <c r="AG4028">
        <v>-1.1595500000000001</v>
      </c>
      <c r="AH4028">
        <v>31.293063295318401</v>
      </c>
      <c r="AI4028">
        <v>92.101940745369902</v>
      </c>
      <c r="AJ4028">
        <v>82.093060877729002</v>
      </c>
      <c r="AK4028">
        <v>31.614699906245999</v>
      </c>
      <c r="AL4028">
        <v>88.533240380273597</v>
      </c>
      <c r="AM4028">
        <v>76.559600971112403</v>
      </c>
      <c r="AN4028">
        <v>1.00000005238788</v>
      </c>
    </row>
    <row r="4029" spans="1:40" x14ac:dyDescent="0.25">
      <c r="A4029" t="str">
        <f>"20190305135710746"</f>
        <v>20190305135710746</v>
      </c>
      <c r="B4029" t="str">
        <f>"1551765430736201"</f>
        <v>1551765430736201</v>
      </c>
      <c r="C4029" t="s">
        <v>40</v>
      </c>
      <c r="D4029">
        <v>4.1339739999999896</v>
      </c>
      <c r="E4029">
        <v>0.47035559999999998</v>
      </c>
      <c r="F4029" t="s">
        <v>43</v>
      </c>
      <c r="G4029">
        <v>-311.37650000000002</v>
      </c>
      <c r="H4029">
        <v>-0.05</v>
      </c>
      <c r="I4029">
        <v>12.58986</v>
      </c>
      <c r="J4029">
        <v>-343.1782</v>
      </c>
      <c r="K4029">
        <v>1.10958</v>
      </c>
      <c r="L4029">
        <v>17.474910000000001</v>
      </c>
      <c r="M4029">
        <v>0.99976549999999997</v>
      </c>
      <c r="N4029">
        <v>-1.241738E-2</v>
      </c>
      <c r="O4029">
        <v>-1.774854E-2</v>
      </c>
      <c r="P4029">
        <v>0.9699314</v>
      </c>
      <c r="Q4029">
        <v>1.4686019999999999E-2</v>
      </c>
      <c r="R4029">
        <v>-0.24293500000000001</v>
      </c>
      <c r="S4029">
        <v>2.9828489999999999</v>
      </c>
      <c r="T4029">
        <v>-0.1077181</v>
      </c>
      <c r="U4029">
        <v>-0.45428469999999999</v>
      </c>
      <c r="V4029">
        <v>0.22565879999999999</v>
      </c>
      <c r="W4029">
        <v>2.6965030000000001E-2</v>
      </c>
      <c r="X4029">
        <v>0.97383310000000001</v>
      </c>
      <c r="Y4029">
        <v>0.132882</v>
      </c>
      <c r="Z4029">
        <v>-2.7973189999999999E-3</v>
      </c>
      <c r="AA4029">
        <v>0.99112789999999995</v>
      </c>
      <c r="AB4029">
        <v>33</v>
      </c>
      <c r="AC4029">
        <v>31.801699999999901</v>
      </c>
      <c r="AD4029">
        <v>-1.1595799999999901</v>
      </c>
      <c r="AE4029">
        <v>-4.8850499999999997</v>
      </c>
      <c r="AF4029">
        <v>4.3141995386281797</v>
      </c>
      <c r="AG4029">
        <v>-1.1595799999999901</v>
      </c>
      <c r="AH4029">
        <v>31.842039785196501</v>
      </c>
      <c r="AI4029">
        <v>92.066731470585296</v>
      </c>
      <c r="AJ4029">
        <v>82.284120183198098</v>
      </c>
      <c r="AK4029">
        <v>32.153886874179499</v>
      </c>
      <c r="AL4029">
        <v>88.4548302290099</v>
      </c>
      <c r="AM4029">
        <v>76.953550776499597</v>
      </c>
      <c r="AN4029">
        <v>0.99999995675797404</v>
      </c>
    </row>
    <row r="4030" spans="1:40" x14ac:dyDescent="0.25">
      <c r="A4030" t="str">
        <f>"20190305135710762"</f>
        <v>20190305135710762</v>
      </c>
      <c r="B4030" t="str">
        <f>"1551765430756697"</f>
        <v>1551765430756697</v>
      </c>
      <c r="C4030" t="s">
        <v>40</v>
      </c>
      <c r="D4030">
        <v>4.3113049999999999</v>
      </c>
      <c r="E4030">
        <v>0.44906649999999998</v>
      </c>
      <c r="F4030" t="s">
        <v>43</v>
      </c>
      <c r="G4030">
        <v>-317.96359999999999</v>
      </c>
      <c r="H4030">
        <v>-0.05</v>
      </c>
      <c r="I4030">
        <v>13.19257</v>
      </c>
      <c r="J4030">
        <v>-342.9504</v>
      </c>
      <c r="K4030">
        <v>1.10961</v>
      </c>
      <c r="L4030">
        <v>17.471219999999999</v>
      </c>
      <c r="M4030">
        <v>0.99977400000000005</v>
      </c>
      <c r="N4030">
        <v>-1.2277359999999999E-2</v>
      </c>
      <c r="O4030">
        <v>-1.7360879999999999E-2</v>
      </c>
      <c r="P4030">
        <v>0.97089320000000001</v>
      </c>
      <c r="Q4030">
        <v>1.531445E-2</v>
      </c>
      <c r="R4030">
        <v>-0.23902319999999999</v>
      </c>
      <c r="S4030">
        <v>2.9688110000000001</v>
      </c>
      <c r="T4030">
        <v>-0.13653100000000001</v>
      </c>
      <c r="U4030">
        <v>-0.50421139999999998</v>
      </c>
      <c r="V4030">
        <v>0.22210489999999999</v>
      </c>
      <c r="W4030">
        <v>2.7488889999999998E-2</v>
      </c>
      <c r="X4030">
        <v>0.97463520000000003</v>
      </c>
      <c r="Y4030">
        <v>0.15010950000000001</v>
      </c>
      <c r="Z4030">
        <v>-3.7736549999999999E-3</v>
      </c>
      <c r="AA4030">
        <v>0.98866220000000005</v>
      </c>
      <c r="AB4030">
        <v>33</v>
      </c>
      <c r="AC4030">
        <v>24.986799999999999</v>
      </c>
      <c r="AD4030">
        <v>-1.15961</v>
      </c>
      <c r="AE4030">
        <v>-4.2786499999999998</v>
      </c>
      <c r="AF4030">
        <v>3.8361526782683</v>
      </c>
      <c r="AG4030">
        <v>-1.15961</v>
      </c>
      <c r="AH4030">
        <v>25.0049990911969</v>
      </c>
      <c r="AI4030">
        <v>92.624534068798397</v>
      </c>
      <c r="AJ4030">
        <v>81.277947371581803</v>
      </c>
      <c r="AK4030">
        <v>25.324113849725201</v>
      </c>
      <c r="AL4030">
        <v>88.424804196115602</v>
      </c>
      <c r="AM4030">
        <v>77.162371927437903</v>
      </c>
      <c r="AN4030">
        <v>0.99999999937824102</v>
      </c>
    </row>
    <row r="4031" spans="1:40" x14ac:dyDescent="0.25">
      <c r="A4031" t="str">
        <f>"20190305135710780"</f>
        <v>20190305135710780</v>
      </c>
      <c r="B4031" t="str">
        <f>"1551765430777193"</f>
        <v>1551765430777193</v>
      </c>
      <c r="C4031" t="s">
        <v>40</v>
      </c>
      <c r="D4031">
        <v>4.0847160000000002</v>
      </c>
      <c r="E4031">
        <v>0.44929669999999999</v>
      </c>
      <c r="F4031" t="s">
        <v>41</v>
      </c>
      <c r="G4031">
        <v>-342.10059999999999</v>
      </c>
      <c r="H4031">
        <v>1.053639</v>
      </c>
      <c r="I4031">
        <v>17.378209999999999</v>
      </c>
      <c r="J4031">
        <v>-342.68610000000001</v>
      </c>
      <c r="K4031">
        <v>1.109669</v>
      </c>
      <c r="L4031">
        <v>17.46716</v>
      </c>
      <c r="M4031">
        <v>0.99978489999999998</v>
      </c>
      <c r="N4031">
        <v>-1.210666E-2</v>
      </c>
      <c r="O4031">
        <v>-1.6837560000000001E-2</v>
      </c>
      <c r="P4031">
        <v>0.97261419999999998</v>
      </c>
      <c r="Q4031">
        <v>1.6223270000000001E-2</v>
      </c>
      <c r="R4031">
        <v>-0.2318586</v>
      </c>
      <c r="S4031">
        <v>3.0120239999999998</v>
      </c>
      <c r="T4031">
        <v>-0.1984688</v>
      </c>
      <c r="U4031">
        <v>-0.32919310000000002</v>
      </c>
      <c r="V4031">
        <v>0.215417</v>
      </c>
      <c r="W4031">
        <v>2.828108E-2</v>
      </c>
      <c r="X4031">
        <v>0.97611250000000005</v>
      </c>
      <c r="Y4031">
        <v>9.1682630000000001E-2</v>
      </c>
      <c r="Z4031">
        <v>-2.6641770000000002E-3</v>
      </c>
      <c r="AA4031">
        <v>0.99578469999999997</v>
      </c>
      <c r="AB4031">
        <v>33</v>
      </c>
      <c r="AC4031">
        <v>0.585500000000024</v>
      </c>
      <c r="AD4031">
        <v>-5.6030000000000003E-2</v>
      </c>
      <c r="AE4031">
        <v>-8.8950000000000501E-2</v>
      </c>
      <c r="AF4031">
        <v>7.8376714062854902E-2</v>
      </c>
      <c r="AG4031">
        <v>-5.6030000000000003E-2</v>
      </c>
      <c r="AH4031">
        <v>0.58170785525403002</v>
      </c>
      <c r="AI4031">
        <v>95.452776938355498</v>
      </c>
      <c r="AJ4031">
        <v>82.326434750796196</v>
      </c>
      <c r="AK4031">
        <v>0.58963234228757699</v>
      </c>
      <c r="AL4031">
        <v>88.379397327303295</v>
      </c>
      <c r="AM4031">
        <v>77.554948915025307</v>
      </c>
      <c r="AN4031">
        <v>0.99999995801560704</v>
      </c>
    </row>
    <row r="4032" spans="1:40" x14ac:dyDescent="0.25">
      <c r="A4032" t="str">
        <f>"20190305135710800"</f>
        <v>20190305135710800</v>
      </c>
      <c r="B4032" t="str">
        <f>"1551765430796712"</f>
        <v>1551765430796712</v>
      </c>
      <c r="C4032" t="s">
        <v>40</v>
      </c>
      <c r="D4032">
        <v>4.0929449999999896</v>
      </c>
      <c r="E4032">
        <v>0.45078289999999999</v>
      </c>
      <c r="F4032" t="s">
        <v>41</v>
      </c>
      <c r="G4032">
        <v>-341.80599999999998</v>
      </c>
      <c r="H4032">
        <v>1.0539879999999999</v>
      </c>
      <c r="I4032">
        <v>17.376539999999999</v>
      </c>
      <c r="J4032">
        <v>-342.37830000000002</v>
      </c>
      <c r="K4032">
        <v>1.1097570000000001</v>
      </c>
      <c r="L4032">
        <v>17.462679999999999</v>
      </c>
      <c r="M4032">
        <v>0.99979949999999995</v>
      </c>
      <c r="N4032">
        <v>-1.1893290000000001E-2</v>
      </c>
      <c r="O4032">
        <v>-1.6104520000000001E-2</v>
      </c>
      <c r="P4032">
        <v>0.97417989999999999</v>
      </c>
      <c r="Q4032">
        <v>1.7921960000000001E-2</v>
      </c>
      <c r="R4032">
        <v>-0.22506039999999999</v>
      </c>
      <c r="S4032">
        <v>3.014008</v>
      </c>
      <c r="T4032">
        <v>-0.1908242</v>
      </c>
      <c r="U4032">
        <v>-0.30889889999999998</v>
      </c>
      <c r="V4032">
        <v>0.20930080000000001</v>
      </c>
      <c r="W4032">
        <v>2.983539E-2</v>
      </c>
      <c r="X4032">
        <v>0.97739609999999999</v>
      </c>
      <c r="Y4032">
        <v>8.5737740000000007E-2</v>
      </c>
      <c r="Z4032">
        <v>-2.3913900000000002E-3</v>
      </c>
      <c r="AA4032">
        <v>0.9963149</v>
      </c>
      <c r="AB4032">
        <v>33</v>
      </c>
      <c r="AC4032">
        <v>0.572300000000041</v>
      </c>
      <c r="AD4032">
        <v>-5.5768999999999902E-2</v>
      </c>
      <c r="AE4032">
        <v>-8.61400000000003E-2</v>
      </c>
      <c r="AF4032">
        <v>7.6203959731803994E-2</v>
      </c>
      <c r="AG4032">
        <v>-5.5768999999999902E-2</v>
      </c>
      <c r="AH4032">
        <v>0.56833578329845502</v>
      </c>
      <c r="AI4032">
        <v>95.554916496134894</v>
      </c>
      <c r="AJ4032">
        <v>82.363178823126901</v>
      </c>
      <c r="AK4032">
        <v>0.57612740554262398</v>
      </c>
      <c r="AL4032">
        <v>88.290304456625705</v>
      </c>
      <c r="AM4032">
        <v>77.913158228730296</v>
      </c>
      <c r="AN4032">
        <v>1.0000000558361399</v>
      </c>
    </row>
    <row r="4033" spans="1:40" x14ac:dyDescent="0.25">
      <c r="A4033" t="str">
        <f>"20190305135710815"</f>
        <v>20190305135710815</v>
      </c>
      <c r="B4033" t="str">
        <f>"1551765430806473"</f>
        <v>1551765430806473</v>
      </c>
      <c r="C4033" t="s">
        <v>40</v>
      </c>
      <c r="D4033">
        <v>4.4584020000000004</v>
      </c>
      <c r="E4033">
        <v>0.45078289999999999</v>
      </c>
      <c r="F4033" t="s">
        <v>42</v>
      </c>
      <c r="G4033">
        <v>-323.7133</v>
      </c>
      <c r="H4033" s="1">
        <v>-3.663195E-6</v>
      </c>
      <c r="I4033">
        <v>15.60825</v>
      </c>
      <c r="J4033">
        <v>-342.16840000000002</v>
      </c>
      <c r="K4033">
        <v>1.1098250000000001</v>
      </c>
      <c r="L4033">
        <v>17.459810000000001</v>
      </c>
      <c r="M4033">
        <v>0.9998108</v>
      </c>
      <c r="N4033">
        <v>-1.173679E-2</v>
      </c>
      <c r="O4033">
        <v>-1.552248E-2</v>
      </c>
      <c r="P4033">
        <v>0.97491530000000004</v>
      </c>
      <c r="Q4033">
        <v>1.8784189999999999E-2</v>
      </c>
      <c r="R4033">
        <v>-0.2217828</v>
      </c>
      <c r="S4033">
        <v>3.0135800000000001</v>
      </c>
      <c r="T4033">
        <v>-0.1791779</v>
      </c>
      <c r="U4033">
        <v>-0.29940800000000001</v>
      </c>
      <c r="V4033">
        <v>0.2065739</v>
      </c>
      <c r="W4033">
        <v>3.0590829999999999E-2</v>
      </c>
      <c r="X4033">
        <v>0.97795270000000001</v>
      </c>
      <c r="Y4033">
        <v>8.3249680000000006E-2</v>
      </c>
      <c r="Z4033">
        <v>-2.2189269999999999E-3</v>
      </c>
      <c r="AA4033">
        <v>0.99652620000000003</v>
      </c>
      <c r="AB4033">
        <v>33</v>
      </c>
      <c r="AC4033">
        <v>18.455100000000002</v>
      </c>
      <c r="AD4033">
        <v>-1.1098286631950001</v>
      </c>
      <c r="AE4033">
        <v>-1.8515600000000001</v>
      </c>
      <c r="AF4033">
        <v>1.5592655187522699</v>
      </c>
      <c r="AG4033">
        <v>-1.1098286631950001</v>
      </c>
      <c r="AH4033">
        <v>18.415683787710702</v>
      </c>
      <c r="AI4033">
        <v>93.436515496527903</v>
      </c>
      <c r="AJ4033">
        <v>85.160280012496003</v>
      </c>
      <c r="AK4033">
        <v>18.514870725678001</v>
      </c>
      <c r="AL4033">
        <v>88.247001118869903</v>
      </c>
      <c r="AM4033">
        <v>78.072687074302195</v>
      </c>
      <c r="AN4033">
        <v>1.0000000292392901</v>
      </c>
    </row>
    <row r="4034" spans="1:40" x14ac:dyDescent="0.25">
      <c r="A4034" t="str">
        <f>"20190305135710827"</f>
        <v>20190305135710827</v>
      </c>
      <c r="B4034" t="str">
        <f>"1551765430816233"</f>
        <v>1551765430816233</v>
      </c>
      <c r="C4034" t="s">
        <v>40</v>
      </c>
      <c r="D4034">
        <v>4.0055170000000002</v>
      </c>
      <c r="E4034">
        <v>0.4516328</v>
      </c>
      <c r="F4034" t="s">
        <v>41</v>
      </c>
      <c r="G4034">
        <v>-341.21640000000002</v>
      </c>
      <c r="H4034">
        <v>1.054071</v>
      </c>
      <c r="I4034">
        <v>17.368259999999999</v>
      </c>
      <c r="J4034">
        <v>-341.97989999999999</v>
      </c>
      <c r="K4034">
        <v>1.109896</v>
      </c>
      <c r="L4034">
        <v>17.4574</v>
      </c>
      <c r="M4034">
        <v>0.99982119999999997</v>
      </c>
      <c r="N4034">
        <v>-1.158763E-2</v>
      </c>
      <c r="O4034">
        <v>-1.4941029999999999E-2</v>
      </c>
      <c r="P4034">
        <v>0.97565029999999997</v>
      </c>
      <c r="Q4034">
        <v>2.0330020000000001E-2</v>
      </c>
      <c r="R4034">
        <v>-0.2183882</v>
      </c>
      <c r="S4034">
        <v>3.0147710000000001</v>
      </c>
      <c r="T4034">
        <v>-0.17659459999999999</v>
      </c>
      <c r="U4034">
        <v>-0.28933720000000002</v>
      </c>
      <c r="V4034">
        <v>0.20372860000000001</v>
      </c>
      <c r="W4034">
        <v>3.2033989999999998E-2</v>
      </c>
      <c r="X4034">
        <v>0.97850320000000002</v>
      </c>
      <c r="Y4034">
        <v>8.0502219999999999E-2</v>
      </c>
      <c r="Z4034">
        <v>-2.118731E-3</v>
      </c>
      <c r="AA4034">
        <v>0.99675219999999998</v>
      </c>
      <c r="AB4034">
        <v>33</v>
      </c>
      <c r="AC4034">
        <v>0.76349999999996498</v>
      </c>
      <c r="AD4034">
        <v>-5.5825E-2</v>
      </c>
      <c r="AE4034">
        <v>-8.9140000000000399E-2</v>
      </c>
      <c r="AF4034">
        <v>7.7314033458391204E-2</v>
      </c>
      <c r="AG4034">
        <v>-5.5825E-2</v>
      </c>
      <c r="AH4034">
        <v>0.76073440467202302</v>
      </c>
      <c r="AI4034">
        <v>94.175582930945097</v>
      </c>
      <c r="AJ4034">
        <v>84.196909994068903</v>
      </c>
      <c r="AK4034">
        <v>0.76668815358416997</v>
      </c>
      <c r="AL4034">
        <v>88.164273546284207</v>
      </c>
      <c r="AM4034">
        <v>78.238795313897498</v>
      </c>
      <c r="AN4034">
        <v>1.0000000156917599</v>
      </c>
    </row>
    <row r="4035" spans="1:40" x14ac:dyDescent="0.25">
      <c r="A4035" t="str">
        <f>"20190305135710846"</f>
        <v>20190305135710846</v>
      </c>
      <c r="B4035" t="str">
        <f>"1551765430836728"</f>
        <v>1551765430836728</v>
      </c>
      <c r="C4035" t="s">
        <v>40</v>
      </c>
      <c r="D4035">
        <v>4.020289</v>
      </c>
      <c r="E4035">
        <v>0.45473039999999998</v>
      </c>
      <c r="F4035" t="s">
        <v>42</v>
      </c>
      <c r="G4035">
        <v>-323.70679999999999</v>
      </c>
      <c r="H4035" s="1">
        <v>-3.645565E-6</v>
      </c>
      <c r="I4035">
        <v>15.724919999999999</v>
      </c>
      <c r="J4035">
        <v>-341.69659999999999</v>
      </c>
      <c r="K4035">
        <v>1.110015</v>
      </c>
      <c r="L4035">
        <v>17.4541</v>
      </c>
      <c r="M4035">
        <v>0.99983869999999997</v>
      </c>
      <c r="N4035">
        <v>-1.134601E-2</v>
      </c>
      <c r="O4035">
        <v>-1.392725E-2</v>
      </c>
      <c r="P4035">
        <v>0.97682550000000001</v>
      </c>
      <c r="Q4035">
        <v>2.3935709999999999E-2</v>
      </c>
      <c r="R4035">
        <v>-0.2126951</v>
      </c>
      <c r="S4035">
        <v>3.0147400000000002</v>
      </c>
      <c r="T4035">
        <v>-0.1831139</v>
      </c>
      <c r="U4035">
        <v>-0.28582760000000001</v>
      </c>
      <c r="V4035">
        <v>0.19899459999999999</v>
      </c>
      <c r="W4035">
        <v>3.5470019999999998E-2</v>
      </c>
      <c r="X4035">
        <v>0.97935850000000002</v>
      </c>
      <c r="Y4035">
        <v>8.035407E-2</v>
      </c>
      <c r="Z4035">
        <v>-2.204499E-3</v>
      </c>
      <c r="AA4035">
        <v>0.99676390000000004</v>
      </c>
      <c r="AB4035">
        <v>33</v>
      </c>
      <c r="AC4035">
        <v>17.989799999999999</v>
      </c>
      <c r="AD4035">
        <v>-1.1100186455650001</v>
      </c>
      <c r="AE4035">
        <v>-1.7291799999999899</v>
      </c>
      <c r="AF4035">
        <v>1.47289142705326</v>
      </c>
      <c r="AG4035">
        <v>-1.1100186455650001</v>
      </c>
      <c r="AH4035">
        <v>17.944446216773201</v>
      </c>
      <c r="AI4035">
        <v>93.527893383092305</v>
      </c>
      <c r="AJ4035">
        <v>85.307645353880503</v>
      </c>
      <c r="AK4035">
        <v>18.0389772597022</v>
      </c>
      <c r="AL4035">
        <v>87.967291215414093</v>
      </c>
      <c r="AM4035">
        <v>78.514502469662901</v>
      </c>
      <c r="AN4035">
        <v>1.0000000223351</v>
      </c>
    </row>
    <row r="4036" spans="1:40" x14ac:dyDescent="0.25">
      <c r="A4036" t="str">
        <f>"20190305135710969"</f>
        <v>20190305135710969</v>
      </c>
      <c r="B4036" t="str">
        <f>"1551765430966537"</f>
        <v>1551765430966537</v>
      </c>
      <c r="C4036" t="s">
        <v>40</v>
      </c>
      <c r="D4036">
        <v>4.0442030000000004</v>
      </c>
      <c r="E4036">
        <v>0.4590361</v>
      </c>
      <c r="F4036" t="s">
        <v>42</v>
      </c>
      <c r="G4036">
        <v>-322.43349999999998</v>
      </c>
      <c r="H4036" s="1">
        <v>-4.2728139999999999E-6</v>
      </c>
      <c r="I4036">
        <v>15.582000000000001</v>
      </c>
      <c r="J4036">
        <v>-339.87479999999999</v>
      </c>
      <c r="K4036">
        <v>1.1105689999999999</v>
      </c>
      <c r="L4036">
        <v>17.444369999999999</v>
      </c>
      <c r="M4036">
        <v>0.99994530000000004</v>
      </c>
      <c r="N4036">
        <v>-9.5495920000000008E-3</v>
      </c>
      <c r="O4036">
        <v>-4.2790390000000001E-3</v>
      </c>
      <c r="P4036">
        <v>0.98319970000000001</v>
      </c>
      <c r="Q4036">
        <v>3.9357860000000001E-2</v>
      </c>
      <c r="R4036">
        <v>-0.1782406</v>
      </c>
      <c r="S4036">
        <v>3.0116879999999999</v>
      </c>
      <c r="T4036">
        <v>-0.1735466</v>
      </c>
      <c r="U4036">
        <v>-0.29269410000000001</v>
      </c>
      <c r="V4036">
        <v>0.17383989999999999</v>
      </c>
      <c r="W4036">
        <v>4.9431500000000003E-2</v>
      </c>
      <c r="X4036">
        <v>0.98353250000000003</v>
      </c>
      <c r="Y4036">
        <v>9.2298119999999997E-2</v>
      </c>
      <c r="Z4036">
        <v>-2.8880099999999999E-3</v>
      </c>
      <c r="AA4036">
        <v>0.99572720000000003</v>
      </c>
      <c r="AB4036">
        <v>34</v>
      </c>
      <c r="AC4036">
        <v>17.441299999999998</v>
      </c>
      <c r="AD4036">
        <v>-1.1105732728139901</v>
      </c>
      <c r="AE4036">
        <v>-1.8623700000000001</v>
      </c>
      <c r="AF4036">
        <v>1.7805795814994501</v>
      </c>
      <c r="AG4036">
        <v>-1.1105732728139901</v>
      </c>
      <c r="AH4036">
        <v>17.3794393515461</v>
      </c>
      <c r="AI4036">
        <v>93.637329744170202</v>
      </c>
      <c r="AJ4036">
        <v>84.150273263468407</v>
      </c>
      <c r="AK4036">
        <v>17.505677616545199</v>
      </c>
      <c r="AL4036">
        <v>87.166628944408302</v>
      </c>
      <c r="AM4036">
        <v>79.976465348047</v>
      </c>
      <c r="AN4036">
        <v>0.99999998129025403</v>
      </c>
    </row>
    <row r="4037" spans="1:40" x14ac:dyDescent="0.25">
      <c r="A4037" t="str">
        <f>"20190305135710993"</f>
        <v>20190305135710993</v>
      </c>
      <c r="B4037" t="str">
        <f>"1551765430986057"</f>
        <v>1551765430986057</v>
      </c>
      <c r="C4037" t="s">
        <v>40</v>
      </c>
      <c r="D4037">
        <v>4.034726</v>
      </c>
      <c r="E4037">
        <v>0.46082050000000002</v>
      </c>
      <c r="F4037" t="s">
        <v>43</v>
      </c>
      <c r="G4037">
        <v>-313.91309999999999</v>
      </c>
      <c r="H4037">
        <v>-0.05</v>
      </c>
      <c r="I4037">
        <v>15.51463</v>
      </c>
      <c r="J4037">
        <v>-339.5301</v>
      </c>
      <c r="K4037">
        <v>1.1106049999999901</v>
      </c>
      <c r="L4037">
        <v>17.44492</v>
      </c>
      <c r="M4037">
        <v>0.99995520000000004</v>
      </c>
      <c r="N4037">
        <v>-9.2348629999999994E-3</v>
      </c>
      <c r="O4037">
        <v>-2.1266660000000001E-3</v>
      </c>
      <c r="P4037">
        <v>0.98413349999999999</v>
      </c>
      <c r="Q4037">
        <v>4.1320500000000003E-2</v>
      </c>
      <c r="R4037">
        <v>-0.17255110000000001</v>
      </c>
      <c r="S4037">
        <v>3.016022</v>
      </c>
      <c r="T4037">
        <v>-0.13482569999999999</v>
      </c>
      <c r="U4037">
        <v>-0.2241821</v>
      </c>
      <c r="V4037">
        <v>0.1702514</v>
      </c>
      <c r="W4037">
        <v>5.1103089999999997E-2</v>
      </c>
      <c r="X4037">
        <v>0.98407469999999997</v>
      </c>
      <c r="Y4037">
        <v>7.1919910000000004E-2</v>
      </c>
      <c r="Z4037">
        <v>-1.8619769999999999E-3</v>
      </c>
      <c r="AA4037">
        <v>0.99740870000000004</v>
      </c>
      <c r="AB4037">
        <v>34</v>
      </c>
      <c r="AC4037">
        <v>25.617000000000001</v>
      </c>
      <c r="AD4037">
        <v>-1.1606050000000001</v>
      </c>
      <c r="AE4037">
        <v>-1.9302900000000001</v>
      </c>
      <c r="AF4037">
        <v>1.8719837036576601</v>
      </c>
      <c r="AG4037">
        <v>-1.1606050000000001</v>
      </c>
      <c r="AH4037">
        <v>25.5688600269897</v>
      </c>
      <c r="AI4037">
        <v>92.592020561449402</v>
      </c>
      <c r="AJ4037">
        <v>85.812651013993701</v>
      </c>
      <c r="AK4037">
        <v>25.663552560637001</v>
      </c>
      <c r="AL4037">
        <v>87.070732819618101</v>
      </c>
      <c r="AM4037">
        <v>80.184612452901405</v>
      </c>
      <c r="AN4037">
        <v>1.0000000400947899</v>
      </c>
    </row>
    <row r="4038" spans="1:40" x14ac:dyDescent="0.25">
      <c r="A4038" t="str">
        <f>"20190305135711015"</f>
        <v>20190305135711015</v>
      </c>
      <c r="B4038" t="str">
        <f>"1551765431006553"</f>
        <v>1551765431006553</v>
      </c>
      <c r="C4038" t="s">
        <v>40</v>
      </c>
      <c r="D4038">
        <v>3.9974280000000002</v>
      </c>
      <c r="E4038">
        <v>0.46235520000000002</v>
      </c>
      <c r="F4038" t="s">
        <v>43</v>
      </c>
      <c r="G4038">
        <v>-312.0401</v>
      </c>
      <c r="H4038">
        <v>-0.05</v>
      </c>
      <c r="I4038">
        <v>15.430680000000001</v>
      </c>
      <c r="J4038">
        <v>-339.18279999999999</v>
      </c>
      <c r="K4038">
        <v>1.110616</v>
      </c>
      <c r="L4038">
        <v>17.446200000000001</v>
      </c>
      <c r="M4038">
        <v>0.99996010000000002</v>
      </c>
      <c r="N4038">
        <v>-8.9309039999999999E-3</v>
      </c>
      <c r="O4038" s="1">
        <v>6.3221149999999994E-5</v>
      </c>
      <c r="P4038">
        <v>0.98501419999999995</v>
      </c>
      <c r="Q4038">
        <v>4.2580340000000001E-2</v>
      </c>
      <c r="R4038">
        <v>-0.16713520000000001</v>
      </c>
      <c r="S4038">
        <v>3.015015</v>
      </c>
      <c r="T4038">
        <v>-0.1272914</v>
      </c>
      <c r="U4038">
        <v>-0.22091669999999999</v>
      </c>
      <c r="V4038">
        <v>0.16698070000000001</v>
      </c>
      <c r="W4038">
        <v>5.2075959999999998E-2</v>
      </c>
      <c r="X4038">
        <v>0.98458389999999996</v>
      </c>
      <c r="Y4038">
        <v>7.3060799999999995E-2</v>
      </c>
      <c r="Z4038">
        <v>-1.8685049999999999E-3</v>
      </c>
      <c r="AA4038">
        <v>0.99732569999999998</v>
      </c>
      <c r="AB4038">
        <v>34</v>
      </c>
      <c r="AC4038">
        <v>27.142699999999898</v>
      </c>
      <c r="AD4038">
        <v>-1.1606160000000001</v>
      </c>
      <c r="AE4038">
        <v>-2.01552</v>
      </c>
      <c r="AF4038">
        <v>2.0135746281678801</v>
      </c>
      <c r="AG4038">
        <v>-1.1606160000000001</v>
      </c>
      <c r="AH4038">
        <v>27.093306789827</v>
      </c>
      <c r="AI4038">
        <v>92.446183771935395</v>
      </c>
      <c r="AJ4038">
        <v>85.749591687734096</v>
      </c>
      <c r="AK4038">
        <v>27.192807598523999</v>
      </c>
      <c r="AL4038">
        <v>87.014916903616395</v>
      </c>
      <c r="AM4038">
        <v>80.374498256403598</v>
      </c>
      <c r="AN4038">
        <v>0.99999995796080898</v>
      </c>
    </row>
    <row r="4039" spans="1:40" x14ac:dyDescent="0.25">
      <c r="A4039" t="str">
        <f>"20190305135711028"</f>
        <v>20190305135711028</v>
      </c>
      <c r="B4039" t="str">
        <f>"1551765431016313"</f>
        <v>1551765431016313</v>
      </c>
      <c r="C4039" t="s">
        <v>40</v>
      </c>
      <c r="D4039">
        <v>4.0417269999999998</v>
      </c>
      <c r="E4039">
        <v>0.46298070000000002</v>
      </c>
      <c r="F4039" t="s">
        <v>43</v>
      </c>
      <c r="G4039">
        <v>-311.12349999999998</v>
      </c>
      <c r="H4039">
        <v>-0.05</v>
      </c>
      <c r="I4039">
        <v>15.4306</v>
      </c>
      <c r="J4039">
        <v>-338.9837</v>
      </c>
      <c r="K4039">
        <v>1.110625</v>
      </c>
      <c r="L4039">
        <v>17.447199999999999</v>
      </c>
      <c r="M4039">
        <v>0.99996079999999998</v>
      </c>
      <c r="N4039">
        <v>-8.7640770000000003E-3</v>
      </c>
      <c r="O4039">
        <v>1.3214500000000001E-3</v>
      </c>
      <c r="P4039">
        <v>0.98545360000000004</v>
      </c>
      <c r="Q4039">
        <v>4.2470689999999998E-2</v>
      </c>
      <c r="R4039">
        <v>-0.1645527</v>
      </c>
      <c r="S4039">
        <v>3.014221</v>
      </c>
      <c r="T4039">
        <v>-0.12467739999999999</v>
      </c>
      <c r="U4039">
        <v>-0.2165222</v>
      </c>
      <c r="V4039">
        <v>0.16563610000000001</v>
      </c>
      <c r="W4039">
        <v>5.1808340000000001E-2</v>
      </c>
      <c r="X4039">
        <v>0.98482510000000001</v>
      </c>
      <c r="Y4039">
        <v>7.2891059999999994E-2</v>
      </c>
      <c r="Z4039">
        <v>-1.8679149999999999E-3</v>
      </c>
      <c r="AA4039">
        <v>0.99733819999999995</v>
      </c>
      <c r="AB4039">
        <v>34</v>
      </c>
      <c r="AC4039">
        <v>27.860199999999999</v>
      </c>
      <c r="AD4039">
        <v>-1.160625</v>
      </c>
      <c r="AE4039">
        <v>-2.0165999999999902</v>
      </c>
      <c r="AF4039">
        <v>2.0498765678820399</v>
      </c>
      <c r="AG4039">
        <v>-1.160625</v>
      </c>
      <c r="AH4039">
        <v>27.8094999157831</v>
      </c>
      <c r="AI4039">
        <v>92.383384589828694</v>
      </c>
      <c r="AJ4039">
        <v>85.784273288804599</v>
      </c>
      <c r="AK4039">
        <v>27.9090904527561</v>
      </c>
      <c r="AL4039">
        <v>87.030271102866905</v>
      </c>
      <c r="AM4039">
        <v>80.4528696147772</v>
      </c>
      <c r="AN4039">
        <v>0.99999994965338601</v>
      </c>
    </row>
    <row r="4040" spans="1:40" x14ac:dyDescent="0.25">
      <c r="A4040" t="str">
        <f>"20190305135711048"</f>
        <v>20190305135711048</v>
      </c>
      <c r="B4040" t="str">
        <f>"1551765431036809"</f>
        <v>1551765431036809</v>
      </c>
      <c r="C4040" t="s">
        <v>40</v>
      </c>
      <c r="D4040">
        <v>4.040279</v>
      </c>
      <c r="E4040">
        <v>0.46425889999999997</v>
      </c>
      <c r="F4040" t="s">
        <v>43</v>
      </c>
      <c r="G4040">
        <v>-311.15570000000002</v>
      </c>
      <c r="H4040">
        <v>-0.05</v>
      </c>
      <c r="I4040">
        <v>15.476000000000001</v>
      </c>
      <c r="J4040">
        <v>-338.68270000000001</v>
      </c>
      <c r="K4040">
        <v>1.1106279999999999</v>
      </c>
      <c r="L4040">
        <v>17.449279999999899</v>
      </c>
      <c r="M4040">
        <v>0.99995860000000003</v>
      </c>
      <c r="N4040">
        <v>-8.5247139999999992E-3</v>
      </c>
      <c r="O4040">
        <v>3.2224409999999999E-3</v>
      </c>
      <c r="P4040">
        <v>0.98615589999999997</v>
      </c>
      <c r="Q4040">
        <v>4.2656689999999997E-2</v>
      </c>
      <c r="R4040">
        <v>-0.16024140000000001</v>
      </c>
      <c r="S4040">
        <v>3.0140380000000002</v>
      </c>
      <c r="T4040">
        <v>-0.12570700000000001</v>
      </c>
      <c r="U4040">
        <v>-0.213501</v>
      </c>
      <c r="V4040">
        <v>0.1631957</v>
      </c>
      <c r="W4040">
        <v>5.1765489999999997E-2</v>
      </c>
      <c r="X4040">
        <v>0.98523470000000002</v>
      </c>
      <c r="Y4040">
        <v>7.3793899999999996E-2</v>
      </c>
      <c r="Z4040">
        <v>-1.9581260000000001E-3</v>
      </c>
      <c r="AA4040">
        <v>0.99727160000000004</v>
      </c>
      <c r="AB4040">
        <v>34</v>
      </c>
      <c r="AC4040">
        <v>27.526999999999902</v>
      </c>
      <c r="AD4040">
        <v>-1.160628</v>
      </c>
      <c r="AE4040">
        <v>-1.9732799999999899</v>
      </c>
      <c r="AF4040">
        <v>2.05833661875735</v>
      </c>
      <c r="AG4040">
        <v>-1.160628</v>
      </c>
      <c r="AH4040">
        <v>27.471909821144699</v>
      </c>
      <c r="AI4040">
        <v>92.412428603286102</v>
      </c>
      <c r="AJ4040">
        <v>85.715112012001796</v>
      </c>
      <c r="AK4040">
        <v>27.573350108603201</v>
      </c>
      <c r="AL4040">
        <v>87.032729551546893</v>
      </c>
      <c r="AM4040">
        <v>80.594840524268506</v>
      </c>
      <c r="AN4040">
        <v>0.99999995826875898</v>
      </c>
    </row>
    <row r="4041" spans="1:40" x14ac:dyDescent="0.25">
      <c r="A4041" t="str">
        <f>"20190305135711069"</f>
        <v>20190305135711069</v>
      </c>
      <c r="B4041" t="str">
        <f>"1551765431056328"</f>
        <v>1551765431056328</v>
      </c>
      <c r="C4041" t="s">
        <v>40</v>
      </c>
      <c r="D4041">
        <v>4.0910650000000004</v>
      </c>
      <c r="E4041">
        <v>0.464974</v>
      </c>
      <c r="F4041" t="s">
        <v>43</v>
      </c>
      <c r="G4041">
        <v>-310.57159999999999</v>
      </c>
      <c r="H4041">
        <v>-0.05</v>
      </c>
      <c r="I4041">
        <v>15.487780000000001</v>
      </c>
      <c r="J4041">
        <v>-338.375</v>
      </c>
      <c r="K4041">
        <v>1.110633</v>
      </c>
      <c r="L4041">
        <v>17.451969999999999</v>
      </c>
      <c r="M4041">
        <v>0.99995239999999996</v>
      </c>
      <c r="N4041">
        <v>-8.2929939999999997E-3</v>
      </c>
      <c r="O4041">
        <v>5.1614410000000001E-3</v>
      </c>
      <c r="P4041">
        <v>0.98662479999999997</v>
      </c>
      <c r="Q4041">
        <v>4.1802560000000002E-2</v>
      </c>
      <c r="R4041">
        <v>-0.15755729999999901</v>
      </c>
      <c r="S4041">
        <v>3.0133969999999999</v>
      </c>
      <c r="T4041">
        <v>-0.1244147</v>
      </c>
      <c r="U4041">
        <v>-0.21026610000000001</v>
      </c>
      <c r="V4041">
        <v>0.16242579999999901</v>
      </c>
      <c r="W4041">
        <v>5.069307E-2</v>
      </c>
      <c r="X4041">
        <v>0.98541769999999995</v>
      </c>
      <c r="Y4041">
        <v>7.4677129999999994E-2</v>
      </c>
      <c r="Z4041">
        <v>-2.0192909999999999E-3</v>
      </c>
      <c r="AA4041">
        <v>0.99720569999999997</v>
      </c>
      <c r="AB4041">
        <v>34</v>
      </c>
      <c r="AC4041">
        <v>27.8034</v>
      </c>
      <c r="AD4041">
        <v>-1.160633</v>
      </c>
      <c r="AE4041">
        <v>-1.9641900000000001</v>
      </c>
      <c r="AF4041">
        <v>2.1040261256259498</v>
      </c>
      <c r="AG4041">
        <v>-1.160633</v>
      </c>
      <c r="AH4041">
        <v>27.744783673119102</v>
      </c>
      <c r="AI4041">
        <v>92.388577211619804</v>
      </c>
      <c r="AJ4041">
        <v>85.663274338706401</v>
      </c>
      <c r="AK4041">
        <v>27.848644777909499</v>
      </c>
      <c r="AL4041">
        <v>87.094255565201493</v>
      </c>
      <c r="AM4041">
        <v>80.640131228474303</v>
      </c>
      <c r="AN4041">
        <v>0.99999998566247705</v>
      </c>
    </row>
    <row r="4042" spans="1:40" x14ac:dyDescent="0.25">
      <c r="A4042" t="str">
        <f>"20190305135711081"</f>
        <v>20190305135711081</v>
      </c>
      <c r="B4042" t="str">
        <f>"1551765431076825"</f>
        <v>1551765431076825</v>
      </c>
      <c r="C4042" t="s">
        <v>40</v>
      </c>
      <c r="D4042">
        <v>4.5178570000000002</v>
      </c>
      <c r="E4042">
        <v>0.48636839999999998</v>
      </c>
      <c r="F4042" t="s">
        <v>43</v>
      </c>
      <c r="G4042">
        <v>-310.61700000000002</v>
      </c>
      <c r="H4042">
        <v>-0.05</v>
      </c>
      <c r="I4042">
        <v>15.540100000000001</v>
      </c>
      <c r="J4042">
        <v>-338.17169999999999</v>
      </c>
      <c r="K4042">
        <v>1.110635</v>
      </c>
      <c r="L4042">
        <v>17.454129999999999</v>
      </c>
      <c r="M4042">
        <v>0.99994609999999995</v>
      </c>
      <c r="N4042">
        <v>-8.1485159999999997E-3</v>
      </c>
      <c r="O4042">
        <v>6.4392939999999999E-3</v>
      </c>
      <c r="P4042">
        <v>0.98694409999999999</v>
      </c>
      <c r="Q4042">
        <v>4.1875589999999997E-2</v>
      </c>
      <c r="R4042">
        <v>-0.15552560000000001</v>
      </c>
      <c r="S4042">
        <v>3.0129090000000001</v>
      </c>
      <c r="T4042">
        <v>-0.12597739999999999</v>
      </c>
      <c r="U4042">
        <v>-0.2075195</v>
      </c>
      <c r="V4042">
        <v>0.16165379999999999</v>
      </c>
      <c r="W4042">
        <v>5.0627819999999997E-2</v>
      </c>
      <c r="X4042">
        <v>0.98554799999999998</v>
      </c>
      <c r="Y4042">
        <v>7.5055170000000004E-2</v>
      </c>
      <c r="Z4042">
        <v>-2.089338E-3</v>
      </c>
      <c r="AA4042">
        <v>0.99717719999999999</v>
      </c>
      <c r="AB4042">
        <v>34</v>
      </c>
      <c r="AC4042">
        <v>27.554699999999901</v>
      </c>
      <c r="AD4042">
        <v>-1.1606350000000001</v>
      </c>
      <c r="AE4042">
        <v>-1.9140299999999899</v>
      </c>
      <c r="AF4042">
        <v>2.0877427500336898</v>
      </c>
      <c r="AG4042">
        <v>-1.1606350000000001</v>
      </c>
      <c r="AH4042">
        <v>27.493259258116201</v>
      </c>
      <c r="AI4042">
        <v>92.410389363625995</v>
      </c>
      <c r="AJ4042">
        <v>85.657491251393793</v>
      </c>
      <c r="AK4042">
        <v>27.596830398209399</v>
      </c>
      <c r="AL4042">
        <v>87.097998945095</v>
      </c>
      <c r="AM4042">
        <v>80.685046453159401</v>
      </c>
      <c r="AN4042">
        <v>0.99999999375819604</v>
      </c>
    </row>
    <row r="4043" spans="1:40" x14ac:dyDescent="0.25">
      <c r="A4043" t="str">
        <f>"20190305135711095"</f>
        <v>20190305135711095</v>
      </c>
      <c r="B4043" t="str">
        <f>"1551765431086584"</f>
        <v>1551765431086584</v>
      </c>
      <c r="C4043" t="s">
        <v>40</v>
      </c>
      <c r="D4043">
        <v>4.1116840000000003</v>
      </c>
      <c r="E4043">
        <v>0.48441849999999997</v>
      </c>
      <c r="F4043" t="s">
        <v>43</v>
      </c>
      <c r="G4043">
        <v>-313.90570000000002</v>
      </c>
      <c r="H4043">
        <v>-0.05</v>
      </c>
      <c r="I4043">
        <v>14.44453</v>
      </c>
      <c r="J4043">
        <v>-337.9699</v>
      </c>
      <c r="K4043">
        <v>1.1106400000000001</v>
      </c>
      <c r="L4043">
        <v>17.45645</v>
      </c>
      <c r="M4043">
        <v>0.99993829999999995</v>
      </c>
      <c r="N4043">
        <v>-8.0093319999999992E-3</v>
      </c>
      <c r="O4043">
        <v>7.7062679999999996E-3</v>
      </c>
      <c r="P4043">
        <v>0.98714650000000004</v>
      </c>
      <c r="Q4043">
        <v>4.1800400000000001E-2</v>
      </c>
      <c r="R4043">
        <v>-0.1542558</v>
      </c>
      <c r="S4043">
        <v>2.9873959999999999</v>
      </c>
      <c r="T4043">
        <v>-0.14288580000000001</v>
      </c>
      <c r="U4043">
        <v>-0.37051390000000001</v>
      </c>
      <c r="V4043">
        <v>0.16163369999999999</v>
      </c>
      <c r="W4043">
        <v>5.0422559999999998E-2</v>
      </c>
      <c r="X4043">
        <v>0.98556180000000004</v>
      </c>
      <c r="Y4043">
        <v>0.130549</v>
      </c>
      <c r="Z4043">
        <v>-3.9390919999999999E-3</v>
      </c>
      <c r="AA4043">
        <v>0.99143400000000004</v>
      </c>
      <c r="AB4043">
        <v>34</v>
      </c>
      <c r="AC4043">
        <v>24.0641999999999</v>
      </c>
      <c r="AD4043">
        <v>-1.1606399999999999</v>
      </c>
      <c r="AE4043">
        <v>-3.0119199999999999</v>
      </c>
      <c r="AF4043">
        <v>3.1899755142806701</v>
      </c>
      <c r="AG4043">
        <v>-1.1606399999999999</v>
      </c>
      <c r="AH4043">
        <v>23.985339214261302</v>
      </c>
      <c r="AI4043">
        <v>92.7462127998688</v>
      </c>
      <c r="AJ4043">
        <v>82.424297552214497</v>
      </c>
      <c r="AK4043">
        <v>24.224358117698198</v>
      </c>
      <c r="AL4043">
        <v>87.109774461318096</v>
      </c>
      <c r="AM4043">
        <v>80.686312503482597</v>
      </c>
      <c r="AN4043">
        <v>0.99999997457594103</v>
      </c>
    </row>
    <row r="4044" spans="1:40" x14ac:dyDescent="0.25">
      <c r="A4044" t="str">
        <f>"20190305135711107"</f>
        <v>20190305135711107</v>
      </c>
      <c r="B4044" t="str">
        <f>"1551765431096345"</f>
        <v>1551765431096345</v>
      </c>
      <c r="C4044" t="s">
        <v>40</v>
      </c>
      <c r="D4044">
        <v>4.0954280000000001</v>
      </c>
      <c r="E4044">
        <v>0.48384939999999999</v>
      </c>
      <c r="F4044" t="s">
        <v>43</v>
      </c>
      <c r="G4044">
        <v>-314.58839999999998</v>
      </c>
      <c r="H4044">
        <v>-0.05</v>
      </c>
      <c r="I4044">
        <v>14.70837</v>
      </c>
      <c r="J4044">
        <v>-337.78750000000002</v>
      </c>
      <c r="K4044">
        <v>1.110644</v>
      </c>
      <c r="L4044">
        <v>17.458770000000001</v>
      </c>
      <c r="M4044">
        <v>0.99992990000000004</v>
      </c>
      <c r="N4044">
        <v>-7.8880259999999994E-3</v>
      </c>
      <c r="O4044">
        <v>8.8500450000000008E-3</v>
      </c>
      <c r="P4044">
        <v>0.98736579999999996</v>
      </c>
      <c r="Q4044">
        <v>4.2209150000000001E-2</v>
      </c>
      <c r="R4044">
        <v>-0.15273390000000001</v>
      </c>
      <c r="S4044">
        <v>2.9904169999999999</v>
      </c>
      <c r="T4044">
        <v>-0.14844199999999999</v>
      </c>
      <c r="U4044">
        <v>-0.35147089999999998</v>
      </c>
      <c r="V4044">
        <v>0.161238299999999</v>
      </c>
      <c r="W4044">
        <v>5.071639E-2</v>
      </c>
      <c r="X4044">
        <v>0.98561149999999997</v>
      </c>
      <c r="Y4044">
        <v>0.12532979999999999</v>
      </c>
      <c r="Z4044">
        <v>-3.9624980000000001E-3</v>
      </c>
      <c r="AA4044">
        <v>0.99210719999999997</v>
      </c>
      <c r="AB4044">
        <v>34</v>
      </c>
      <c r="AC4044">
        <v>23.199100000000001</v>
      </c>
      <c r="AD4044">
        <v>-1.160644</v>
      </c>
      <c r="AE4044">
        <v>-2.7504</v>
      </c>
      <c r="AF4044">
        <v>2.9483344037762</v>
      </c>
      <c r="AG4044">
        <v>-1.160644</v>
      </c>
      <c r="AH4044">
        <v>23.1167908349491</v>
      </c>
      <c r="AI4044">
        <v>92.851225588393405</v>
      </c>
      <c r="AJ4044">
        <v>82.731690297567397</v>
      </c>
      <c r="AK4044">
        <v>23.3329335651995</v>
      </c>
      <c r="AL4044">
        <v>87.092917705549397</v>
      </c>
      <c r="AM4044">
        <v>80.7091588553847</v>
      </c>
      <c r="AN4044">
        <v>0.99999998526688505</v>
      </c>
    </row>
    <row r="4045" spans="1:40" x14ac:dyDescent="0.25">
      <c r="A4045" t="str">
        <f>"20190305135711125"</f>
        <v>20190305135711125</v>
      </c>
      <c r="B4045" t="str">
        <f>"1551765431116840"</f>
        <v>1551765431116840</v>
      </c>
      <c r="C4045" t="s">
        <v>40</v>
      </c>
      <c r="D4045">
        <v>4.0967630000000002</v>
      </c>
      <c r="E4045">
        <v>0.48321649999999999</v>
      </c>
      <c r="F4045" t="s">
        <v>43</v>
      </c>
      <c r="G4045">
        <v>-314.8587</v>
      </c>
      <c r="H4045">
        <v>-0.05</v>
      </c>
      <c r="I4045">
        <v>14.833279999999901</v>
      </c>
      <c r="J4045">
        <v>-337.49740000000003</v>
      </c>
      <c r="K4045">
        <v>1.1106510000000001</v>
      </c>
      <c r="L4045">
        <v>17.462949999999999</v>
      </c>
      <c r="M4045">
        <v>0.99991350000000001</v>
      </c>
      <c r="N4045">
        <v>-7.7053240000000004E-3</v>
      </c>
      <c r="O4045">
        <v>1.0665610000000001E-2</v>
      </c>
      <c r="P4045">
        <v>0.98773129999999998</v>
      </c>
      <c r="Q4045">
        <v>4.34118E-2</v>
      </c>
      <c r="R4045">
        <v>-0.15000740000000001</v>
      </c>
      <c r="S4045">
        <v>2.9918819999999999</v>
      </c>
      <c r="T4045">
        <v>-0.15144749999999901</v>
      </c>
      <c r="U4045">
        <v>-0.34259030000000001</v>
      </c>
      <c r="V4045">
        <v>0.16029869999999999</v>
      </c>
      <c r="W4045">
        <v>5.1743589999999999E-2</v>
      </c>
      <c r="X4045">
        <v>0.98571140000000002</v>
      </c>
      <c r="Y4045">
        <v>0.1241626</v>
      </c>
      <c r="Z4045">
        <v>-4.0665780000000004E-3</v>
      </c>
      <c r="AA4045">
        <v>0.99225350000000001</v>
      </c>
      <c r="AB4045">
        <v>34</v>
      </c>
      <c r="AC4045">
        <v>22.6387</v>
      </c>
      <c r="AD4045">
        <v>-1.1606510000000001</v>
      </c>
      <c r="AE4045">
        <v>-2.62967</v>
      </c>
      <c r="AF4045">
        <v>2.8635565925997999</v>
      </c>
      <c r="AG4045">
        <v>-1.1606510000000001</v>
      </c>
      <c r="AH4045">
        <v>22.550879562967602</v>
      </c>
      <c r="AI4045">
        <v>92.922875941494496</v>
      </c>
      <c r="AJ4045">
        <v>82.763195897184801</v>
      </c>
      <c r="AK4045">
        <v>22.7615736750843</v>
      </c>
      <c r="AL4045">
        <v>87.0339861909776</v>
      </c>
      <c r="AM4045">
        <v>80.763284342028399</v>
      </c>
      <c r="AN4045">
        <v>1.00000001820886</v>
      </c>
    </row>
    <row r="4046" spans="1:40" x14ac:dyDescent="0.25">
      <c r="A4046" t="str">
        <f>"20190305135711147"</f>
        <v>20190305135711147</v>
      </c>
      <c r="B4046" t="str">
        <f>"1551765431136361"</f>
        <v>1551765431136361</v>
      </c>
      <c r="C4046" t="s">
        <v>40</v>
      </c>
      <c r="D4046">
        <v>4.185333</v>
      </c>
      <c r="E4046">
        <v>0.48276390000000002</v>
      </c>
      <c r="F4046" t="s">
        <v>43</v>
      </c>
      <c r="G4046">
        <v>-314.27820000000003</v>
      </c>
      <c r="H4046">
        <v>-0.05</v>
      </c>
      <c r="I4046">
        <v>14.906479999999901</v>
      </c>
      <c r="J4046">
        <v>-337.17529999999999</v>
      </c>
      <c r="K4046">
        <v>1.110646</v>
      </c>
      <c r="L4046">
        <v>17.468170000000001</v>
      </c>
      <c r="M4046">
        <v>0.99989150000000004</v>
      </c>
      <c r="N4046">
        <v>-7.5145009999999998E-3</v>
      </c>
      <c r="O4046">
        <v>1.2679650000000001E-2</v>
      </c>
      <c r="P4046">
        <v>0.98798129999999995</v>
      </c>
      <c r="Q4046">
        <v>4.5499489999999997E-2</v>
      </c>
      <c r="R4046">
        <v>-0.147726</v>
      </c>
      <c r="S4046">
        <v>2.9937740000000002</v>
      </c>
      <c r="T4046">
        <v>-0.14964849999999999</v>
      </c>
      <c r="U4046">
        <v>-0.32962039999999998</v>
      </c>
      <c r="V4046">
        <v>0.159995</v>
      </c>
      <c r="W4046">
        <v>5.3648750000000002E-2</v>
      </c>
      <c r="X4046">
        <v>0.9856589</v>
      </c>
      <c r="Y4046">
        <v>0.12185120000000001</v>
      </c>
      <c r="Z4046">
        <v>-4.030624E-3</v>
      </c>
      <c r="AA4046">
        <v>0.99254019999999998</v>
      </c>
      <c r="AB4046">
        <v>34</v>
      </c>
      <c r="AC4046">
        <v>22.897099999999899</v>
      </c>
      <c r="AD4046">
        <v>-1.1606459999999901</v>
      </c>
      <c r="AE4046">
        <v>-2.56169</v>
      </c>
      <c r="AF4046">
        <v>2.8446007504906698</v>
      </c>
      <c r="AG4046">
        <v>-1.1606459999999901</v>
      </c>
      <c r="AH4046">
        <v>22.804905465260301</v>
      </c>
      <c r="AI4046">
        <v>92.891163789581896</v>
      </c>
      <c r="AJ4046">
        <v>82.889857565644107</v>
      </c>
      <c r="AK4046">
        <v>23.010922750869099</v>
      </c>
      <c r="AL4046">
        <v>86.924676702868197</v>
      </c>
      <c r="AM4046">
        <v>80.780000689291995</v>
      </c>
      <c r="AN4046">
        <v>1.00000002777538</v>
      </c>
    </row>
    <row r="4047" spans="1:40" x14ac:dyDescent="0.25">
      <c r="A4047" t="str">
        <f>"20190305135711170"</f>
        <v>20190305135711170</v>
      </c>
      <c r="B4047" t="str">
        <f>"1551765431166617"</f>
        <v>1551765431166617</v>
      </c>
      <c r="C4047" t="s">
        <v>40</v>
      </c>
      <c r="D4047">
        <v>4.1578160000000004</v>
      </c>
      <c r="E4047">
        <v>0.4826124</v>
      </c>
      <c r="F4047" t="s">
        <v>43</v>
      </c>
      <c r="G4047">
        <v>-314.45159999999998</v>
      </c>
      <c r="H4047">
        <v>-0.05</v>
      </c>
      <c r="I4047">
        <v>15.043380000000001</v>
      </c>
      <c r="J4047">
        <v>-336.82240000000002</v>
      </c>
      <c r="K4047">
        <v>1.1106480000000001</v>
      </c>
      <c r="L4047">
        <v>17.474550000000001</v>
      </c>
      <c r="M4047">
        <v>0.99986260000000005</v>
      </c>
      <c r="N4047">
        <v>-7.3184579999999999E-3</v>
      </c>
      <c r="O4047">
        <v>1.4883560000000001E-2</v>
      </c>
      <c r="P4047">
        <v>0.98826919999999996</v>
      </c>
      <c r="Q4047">
        <v>4.7015950000000001E-2</v>
      </c>
      <c r="R4047">
        <v>-0.1453055</v>
      </c>
      <c r="S4047">
        <v>2.9957579999999999</v>
      </c>
      <c r="T4047">
        <v>-0.15301319999999999</v>
      </c>
      <c r="U4047">
        <v>-0.3196716</v>
      </c>
      <c r="V4047">
        <v>0.15974340000000001</v>
      </c>
      <c r="W4047">
        <v>5.4978119999999998E-2</v>
      </c>
      <c r="X4047">
        <v>0.98562649999999996</v>
      </c>
      <c r="Y4047">
        <v>0.12070160000000001</v>
      </c>
      <c r="Z4047">
        <v>-4.1642129999999999E-3</v>
      </c>
      <c r="AA4047">
        <v>0.99268009999999995</v>
      </c>
      <c r="AB4047">
        <v>34</v>
      </c>
      <c r="AC4047">
        <v>22.370799999999999</v>
      </c>
      <c r="AD4047">
        <v>-1.1606479999999999</v>
      </c>
      <c r="AE4047">
        <v>-2.4311699999999998</v>
      </c>
      <c r="AF4047">
        <v>2.7565333603317099</v>
      </c>
      <c r="AG4047">
        <v>-1.1606479999999999</v>
      </c>
      <c r="AH4047">
        <v>22.272882834895999</v>
      </c>
      <c r="AI4047">
        <v>92.960459811336406</v>
      </c>
      <c r="AJ4047">
        <v>82.944843189693003</v>
      </c>
      <c r="AK4047">
        <v>22.472803334776302</v>
      </c>
      <c r="AL4047">
        <v>86.848396956042905</v>
      </c>
      <c r="AM4047">
        <v>80.793953725244094</v>
      </c>
      <c r="AN4047">
        <v>1.00000007251226</v>
      </c>
    </row>
    <row r="4048" spans="1:40" x14ac:dyDescent="0.25">
      <c r="A4048" t="str">
        <f>"20190305135711192"</f>
        <v>20190305135711192</v>
      </c>
      <c r="B4048" t="str">
        <f>"1551765431186137"</f>
        <v>1551765431186137</v>
      </c>
      <c r="C4048" t="s">
        <v>40</v>
      </c>
      <c r="D4048">
        <v>4.1668760000000002</v>
      </c>
      <c r="E4048">
        <v>0.48315029999999998</v>
      </c>
      <c r="F4048" t="s">
        <v>43</v>
      </c>
      <c r="G4048">
        <v>-314.71789999999999</v>
      </c>
      <c r="H4048">
        <v>-0.05</v>
      </c>
      <c r="I4048">
        <v>15.177079999999901</v>
      </c>
      <c r="J4048">
        <v>-336.46910000000003</v>
      </c>
      <c r="K4048">
        <v>1.110644</v>
      </c>
      <c r="L4048">
        <v>17.481809999999999</v>
      </c>
      <c r="M4048">
        <v>0.99982859999999996</v>
      </c>
      <c r="N4048">
        <v>-7.1413500000000003E-3</v>
      </c>
      <c r="O4048">
        <v>1.7086819999999999E-2</v>
      </c>
      <c r="P4048">
        <v>0.9885893</v>
      </c>
      <c r="Q4048">
        <v>4.7062130000000001E-2</v>
      </c>
      <c r="R4048">
        <v>-0.14309530000000001</v>
      </c>
      <c r="S4048">
        <v>2.9972530000000002</v>
      </c>
      <c r="T4048">
        <v>-0.15737779999999901</v>
      </c>
      <c r="U4048">
        <v>-0.31152340000000001</v>
      </c>
      <c r="V4048">
        <v>0.15970980000000001</v>
      </c>
      <c r="W4048">
        <v>5.4856710000000003E-2</v>
      </c>
      <c r="X4048">
        <v>0.98563860000000003</v>
      </c>
      <c r="Y4048">
        <v>0.12015629999999999</v>
      </c>
      <c r="Z4048">
        <v>-4.3471769999999998E-3</v>
      </c>
      <c r="AA4048">
        <v>0.99274549999999995</v>
      </c>
      <c r="AB4048">
        <v>35</v>
      </c>
      <c r="AC4048">
        <v>21.751200000000001</v>
      </c>
      <c r="AD4048">
        <v>-1.160644</v>
      </c>
      <c r="AE4048">
        <v>-2.3047300000000002</v>
      </c>
      <c r="AF4048">
        <v>2.6685480266853201</v>
      </c>
      <c r="AG4048">
        <v>-1.160644</v>
      </c>
      <c r="AH4048">
        <v>21.647689960656201</v>
      </c>
      <c r="AI4048">
        <v>93.045971004671898</v>
      </c>
      <c r="AJ4048">
        <v>82.972503883874793</v>
      </c>
      <c r="AK4048">
        <v>21.842406545483001</v>
      </c>
      <c r="AL4048">
        <v>86.855363409180697</v>
      </c>
      <c r="AM4048">
        <v>80.795968014068293</v>
      </c>
      <c r="AN4048">
        <v>0.99999996432901095</v>
      </c>
    </row>
    <row r="4049" spans="1:40" x14ac:dyDescent="0.25">
      <c r="A4049" t="str">
        <f>"20190305135711215"</f>
        <v>20190305135711215</v>
      </c>
      <c r="B4049" t="str">
        <f>"1551765431206636"</f>
        <v>1551765431206636</v>
      </c>
      <c r="C4049" t="s">
        <v>40</v>
      </c>
      <c r="D4049">
        <v>4.1332599999999999</v>
      </c>
      <c r="E4049">
        <v>0.48362260000000001</v>
      </c>
      <c r="F4049" t="s">
        <v>43</v>
      </c>
      <c r="G4049">
        <v>-314.27589999999998</v>
      </c>
      <c r="H4049">
        <v>-0.05</v>
      </c>
      <c r="I4049">
        <v>15.19258</v>
      </c>
      <c r="J4049">
        <v>-336.11970000000002</v>
      </c>
      <c r="K4049">
        <v>1.110636</v>
      </c>
      <c r="L4049">
        <v>17.489750000000001</v>
      </c>
      <c r="M4049">
        <v>0.99979030000000002</v>
      </c>
      <c r="N4049">
        <v>-6.9841779999999997E-3</v>
      </c>
      <c r="O4049">
        <v>1.9264340000000001E-2</v>
      </c>
      <c r="P4049">
        <v>0.98876790000000003</v>
      </c>
      <c r="Q4049">
        <v>4.7753730000000001E-2</v>
      </c>
      <c r="R4049">
        <v>-0.141626</v>
      </c>
      <c r="S4049">
        <v>2.9973139999999998</v>
      </c>
      <c r="T4049">
        <v>-0.15675120000000001</v>
      </c>
      <c r="U4049">
        <v>-0.30917359999999999</v>
      </c>
      <c r="V4049">
        <v>0.16038659999999999</v>
      </c>
      <c r="W4049">
        <v>5.5401859999999997E-2</v>
      </c>
      <c r="X4049">
        <v>0.98549819999999999</v>
      </c>
      <c r="Y4049">
        <v>0.1215437</v>
      </c>
      <c r="Z4049">
        <v>-4.4637779999999998E-3</v>
      </c>
      <c r="AA4049">
        <v>0.99257609999999996</v>
      </c>
      <c r="AB4049">
        <v>35</v>
      </c>
      <c r="AC4049">
        <v>21.843800000000002</v>
      </c>
      <c r="AD4049">
        <v>-1.160636</v>
      </c>
      <c r="AE4049">
        <v>-2.2971699999999999</v>
      </c>
      <c r="AF4049">
        <v>2.7099931625828502</v>
      </c>
      <c r="AG4049">
        <v>-1.160636</v>
      </c>
      <c r="AH4049">
        <v>21.7348019552628</v>
      </c>
      <c r="AI4049">
        <v>93.033242572782299</v>
      </c>
      <c r="AJ4049">
        <v>82.892782410976906</v>
      </c>
      <c r="AK4049">
        <v>21.933826727231999</v>
      </c>
      <c r="AL4049">
        <v>86.824081041754795</v>
      </c>
      <c r="AM4049">
        <v>80.756341933819499</v>
      </c>
      <c r="AN4049">
        <v>0.99999996487712906</v>
      </c>
    </row>
    <row r="4050" spans="1:40" x14ac:dyDescent="0.25">
      <c r="A4050" t="str">
        <f>"20190305135711235"</f>
        <v>20190305135711235</v>
      </c>
      <c r="B4050" t="str">
        <f>"1551765431226156"</f>
        <v>1551765431226156</v>
      </c>
      <c r="C4050" t="s">
        <v>40</v>
      </c>
      <c r="D4050">
        <v>4.1163169999999996</v>
      </c>
      <c r="E4050">
        <v>0.48449049999999999</v>
      </c>
      <c r="F4050" t="s">
        <v>43</v>
      </c>
      <c r="G4050">
        <v>-313.9529</v>
      </c>
      <c r="H4050">
        <v>-0.05</v>
      </c>
      <c r="I4050">
        <v>15.205310000000001</v>
      </c>
      <c r="J4050">
        <v>-335.7921</v>
      </c>
      <c r="K4050">
        <v>1.11063</v>
      </c>
      <c r="L4050">
        <v>17.49783</v>
      </c>
      <c r="M4050">
        <v>0.99974969999999996</v>
      </c>
      <c r="N4050">
        <v>-6.8504300000000002E-3</v>
      </c>
      <c r="O4050">
        <v>2.1304190000000001E-2</v>
      </c>
      <c r="P4050">
        <v>0.98887639999999999</v>
      </c>
      <c r="Q4050">
        <v>4.8929449999999999E-2</v>
      </c>
      <c r="R4050">
        <v>-0.14046229999999901</v>
      </c>
      <c r="S4050">
        <v>2.9973749999999999</v>
      </c>
      <c r="T4050">
        <v>-0.15694050000000001</v>
      </c>
      <c r="U4050">
        <v>-0.30889889999999998</v>
      </c>
      <c r="V4050">
        <v>0.1612295</v>
      </c>
      <c r="W4050">
        <v>5.6453549999999998E-2</v>
      </c>
      <c r="X4050">
        <v>0.98530099999999998</v>
      </c>
      <c r="Y4050">
        <v>0.12347130000000001</v>
      </c>
      <c r="Z4050">
        <v>-4.6126409999999998E-3</v>
      </c>
      <c r="AA4050">
        <v>0.99233740000000004</v>
      </c>
      <c r="AB4050">
        <v>35</v>
      </c>
      <c r="AC4050">
        <v>21.839200000000002</v>
      </c>
      <c r="AD4050">
        <v>-1.1606299999999901</v>
      </c>
      <c r="AE4050">
        <v>-2.2925200000000001</v>
      </c>
      <c r="AF4050">
        <v>2.74959588604787</v>
      </c>
      <c r="AG4050">
        <v>-1.1606299999999901</v>
      </c>
      <c r="AH4050">
        <v>21.724712894924501</v>
      </c>
      <c r="AI4050">
        <v>93.033928452044705</v>
      </c>
      <c r="AJ4050">
        <v>82.786692610508595</v>
      </c>
      <c r="AK4050">
        <v>21.9287594245632</v>
      </c>
      <c r="AL4050">
        <v>86.763729316016907</v>
      </c>
      <c r="AM4050">
        <v>80.706780470543904</v>
      </c>
      <c r="AN4050">
        <v>1.00000000778942</v>
      </c>
    </row>
    <row r="4051" spans="1:40" x14ac:dyDescent="0.25">
      <c r="A4051" t="str">
        <f>"20190305135711259"</f>
        <v>20190305135711259</v>
      </c>
      <c r="B4051" t="str">
        <f>"1551765431246649"</f>
        <v>1551765431246649</v>
      </c>
      <c r="C4051" t="s">
        <v>40</v>
      </c>
      <c r="D4051">
        <v>4.1861620000000004</v>
      </c>
      <c r="E4051">
        <v>0.48550520000000003</v>
      </c>
      <c r="F4051" t="s">
        <v>43</v>
      </c>
      <c r="G4051">
        <v>-313.39980000000003</v>
      </c>
      <c r="H4051">
        <v>-0.05</v>
      </c>
      <c r="I4051">
        <v>15.161879999999901</v>
      </c>
      <c r="J4051">
        <v>-335.4434</v>
      </c>
      <c r="K4051">
        <v>1.1106290000000001</v>
      </c>
      <c r="L4051">
        <v>17.507169999999999</v>
      </c>
      <c r="M4051">
        <v>0.99970199999999998</v>
      </c>
      <c r="N4051">
        <v>-6.7226930000000001E-3</v>
      </c>
      <c r="O4051">
        <v>2.347378E-2</v>
      </c>
      <c r="P4051">
        <v>0.98889070000000001</v>
      </c>
      <c r="Q4051">
        <v>4.9306139999999998E-2</v>
      </c>
      <c r="R4051">
        <v>-0.14023039999999901</v>
      </c>
      <c r="S4051">
        <v>2.9970699999999999</v>
      </c>
      <c r="T4051">
        <v>-0.15534319999999999</v>
      </c>
      <c r="U4051">
        <v>-0.3126526</v>
      </c>
      <c r="V4051">
        <v>0.16313339999999901</v>
      </c>
      <c r="W4051">
        <v>5.6716809999999999E-2</v>
      </c>
      <c r="X4051">
        <v>0.98497239999999997</v>
      </c>
      <c r="Y4051">
        <v>0.12686120000000001</v>
      </c>
      <c r="Z4051">
        <v>-4.7601570000000001E-3</v>
      </c>
      <c r="AA4051">
        <v>0.99190909999999999</v>
      </c>
      <c r="AB4051">
        <v>35</v>
      </c>
      <c r="AC4051">
        <v>22.043599999999898</v>
      </c>
      <c r="AD4051">
        <v>-1.1606289999999999</v>
      </c>
      <c r="AE4051">
        <v>-2.3452899999999999</v>
      </c>
      <c r="AF4051">
        <v>2.8542779502468498</v>
      </c>
      <c r="AG4051">
        <v>-1.1606289999999999</v>
      </c>
      <c r="AH4051">
        <v>21.922379006855198</v>
      </c>
      <c r="AI4051">
        <v>93.005243366360602</v>
      </c>
      <c r="AJ4051">
        <v>82.581860042130501</v>
      </c>
      <c r="AK4051">
        <v>22.137855894668501</v>
      </c>
      <c r="AL4051">
        <v>86.748621286091193</v>
      </c>
      <c r="AM4051">
        <v>80.595907876678993</v>
      </c>
      <c r="AN4051">
        <v>0.99999996574694705</v>
      </c>
    </row>
    <row r="4052" spans="1:40" x14ac:dyDescent="0.25">
      <c r="A4052" t="str">
        <f>"20190305135711282"</f>
        <v>20190305135711282</v>
      </c>
      <c r="B4052" t="str">
        <f>"1551765431276905"</f>
        <v>1551765431276905</v>
      </c>
      <c r="C4052" t="s">
        <v>40</v>
      </c>
      <c r="D4052">
        <v>4.1724579999999998</v>
      </c>
      <c r="E4052">
        <v>0.4867494</v>
      </c>
      <c r="F4052" t="s">
        <v>43</v>
      </c>
      <c r="G4052">
        <v>-312.42989999999998</v>
      </c>
      <c r="H4052">
        <v>-0.05</v>
      </c>
      <c r="I4052">
        <v>15.04875</v>
      </c>
      <c r="J4052">
        <v>-335.07040000000001</v>
      </c>
      <c r="K4052">
        <v>1.1106259999999999</v>
      </c>
      <c r="L4052">
        <v>17.517969999999998</v>
      </c>
      <c r="M4052">
        <v>0.99964549999999996</v>
      </c>
      <c r="N4052">
        <v>-6.6030769999999997E-3</v>
      </c>
      <c r="O4052">
        <v>2.579159E-2</v>
      </c>
      <c r="P4052">
        <v>0.98886300000000005</v>
      </c>
      <c r="Q4052">
        <v>4.8477649999999997E-2</v>
      </c>
      <c r="R4052">
        <v>-0.1407129</v>
      </c>
      <c r="S4052">
        <v>2.9958800000000001</v>
      </c>
      <c r="T4052">
        <v>-0.15109040000000001</v>
      </c>
      <c r="U4052">
        <v>-0.32003779999999998</v>
      </c>
      <c r="V4052">
        <v>0.16590179999999999</v>
      </c>
      <c r="W4052">
        <v>5.5786549999999997E-2</v>
      </c>
      <c r="X4052">
        <v>0.98456310000000002</v>
      </c>
      <c r="Y4052">
        <v>0.13162070000000001</v>
      </c>
      <c r="Z4052">
        <v>-4.8704780000000001E-3</v>
      </c>
      <c r="AA4052">
        <v>0.99128819999999995</v>
      </c>
      <c r="AB4052">
        <v>35</v>
      </c>
      <c r="AC4052">
        <v>22.640499999999999</v>
      </c>
      <c r="AD4052">
        <v>-1.1606259999999999</v>
      </c>
      <c r="AE4052">
        <v>-2.46922</v>
      </c>
      <c r="AF4052">
        <v>3.0444392944111098</v>
      </c>
      <c r="AG4052">
        <v>-1.1606259999999999</v>
      </c>
      <c r="AH4052">
        <v>22.510820296270101</v>
      </c>
      <c r="AI4052">
        <v>92.924894565856306</v>
      </c>
      <c r="AJ4052">
        <v>82.297857940320895</v>
      </c>
      <c r="AK4052">
        <v>22.745388406008701</v>
      </c>
      <c r="AL4052">
        <v>86.802005970177902</v>
      </c>
      <c r="AM4052">
        <v>80.435339891277906</v>
      </c>
      <c r="AN4052">
        <v>1.00000002214287</v>
      </c>
    </row>
    <row r="4053" spans="1:40" x14ac:dyDescent="0.25">
      <c r="A4053" t="str">
        <f>"20190305135711303"</f>
        <v>20190305135711303</v>
      </c>
      <c r="B4053" t="str">
        <f>"1551765431296425"</f>
        <v>1551765431296425</v>
      </c>
      <c r="C4053" t="s">
        <v>40</v>
      </c>
      <c r="D4053">
        <v>4.191821</v>
      </c>
      <c r="E4053">
        <v>0.48750729999999998</v>
      </c>
      <c r="F4053" t="s">
        <v>43</v>
      </c>
      <c r="G4053">
        <v>-312.358</v>
      </c>
      <c r="H4053">
        <v>-0.05</v>
      </c>
      <c r="I4053">
        <v>15.00371</v>
      </c>
      <c r="J4053">
        <v>-334.73610000000002</v>
      </c>
      <c r="K4053">
        <v>1.1106119999999999</v>
      </c>
      <c r="L4053">
        <v>17.52835</v>
      </c>
      <c r="M4053">
        <v>0.99959089999999995</v>
      </c>
      <c r="N4053">
        <v>-6.5104100000000003E-3</v>
      </c>
      <c r="O4053">
        <v>2.7857460000000001E-2</v>
      </c>
      <c r="P4053">
        <v>0.98871569999999998</v>
      </c>
      <c r="Q4053">
        <v>4.7457739999999998E-2</v>
      </c>
      <c r="R4053">
        <v>-0.14208950000000001</v>
      </c>
      <c r="S4053">
        <v>2.99411</v>
      </c>
      <c r="T4053">
        <v>-0.153002</v>
      </c>
      <c r="U4053">
        <v>-0.33145140000000001</v>
      </c>
      <c r="V4053">
        <v>0.16931289999999999</v>
      </c>
      <c r="W4053">
        <v>5.4692919999999999E-2</v>
      </c>
      <c r="X4053">
        <v>0.98404360000000002</v>
      </c>
      <c r="Y4053">
        <v>0.13744770000000001</v>
      </c>
      <c r="Z4053">
        <v>-5.1860550000000002E-3</v>
      </c>
      <c r="AA4053">
        <v>0.99049540000000003</v>
      </c>
      <c r="AB4053">
        <v>35</v>
      </c>
      <c r="AC4053">
        <v>22.3781</v>
      </c>
      <c r="AD4053">
        <v>-1.160612</v>
      </c>
      <c r="AE4053">
        <v>-2.5246400000000002</v>
      </c>
      <c r="AF4053">
        <v>3.1387336669256198</v>
      </c>
      <c r="AG4053">
        <v>-1.160612</v>
      </c>
      <c r="AH4053">
        <v>22.2400128736809</v>
      </c>
      <c r="AI4053">
        <v>92.958053287685502</v>
      </c>
      <c r="AJ4053">
        <v>81.966898202705295</v>
      </c>
      <c r="AK4053">
        <v>22.4903722038548</v>
      </c>
      <c r="AL4053">
        <v>86.864762076085597</v>
      </c>
      <c r="AM4053">
        <v>80.237372644854005</v>
      </c>
      <c r="AN4053">
        <v>0.99999999015274799</v>
      </c>
    </row>
    <row r="4054" spans="1:40" x14ac:dyDescent="0.25">
      <c r="A4054" t="str">
        <f>"20190305135711325"</f>
        <v>20190305135711325</v>
      </c>
      <c r="B4054" t="str">
        <f>"1551765431316924"</f>
        <v>1551765431316924</v>
      </c>
      <c r="C4054" t="s">
        <v>40</v>
      </c>
      <c r="D4054">
        <v>4.505369</v>
      </c>
      <c r="E4054">
        <v>0.51359809999999995</v>
      </c>
      <c r="F4054" t="s">
        <v>43</v>
      </c>
      <c r="G4054">
        <v>-312.601</v>
      </c>
      <c r="H4054">
        <v>-0.05</v>
      </c>
      <c r="I4054">
        <v>15.0007</v>
      </c>
      <c r="J4054">
        <v>-334.38290000000001</v>
      </c>
      <c r="K4054">
        <v>1.1105910000000001</v>
      </c>
      <c r="L4054">
        <v>17.540009999999999</v>
      </c>
      <c r="M4054">
        <v>0.99952909999999995</v>
      </c>
      <c r="N4054">
        <v>-6.425638E-3</v>
      </c>
      <c r="O4054">
        <v>3.0004530000000001E-2</v>
      </c>
      <c r="P4054">
        <v>0.98861580000000004</v>
      </c>
      <c r="Q4054">
        <v>4.7030740000000001E-2</v>
      </c>
      <c r="R4054">
        <v>-0.14292349999999901</v>
      </c>
      <c r="S4054">
        <v>2.992645</v>
      </c>
      <c r="T4054">
        <v>-0.15691350000000001</v>
      </c>
      <c r="U4054">
        <v>-0.34173579999999998</v>
      </c>
      <c r="V4054">
        <v>0.17226069999999999</v>
      </c>
      <c r="W4054">
        <v>5.419156E-2</v>
      </c>
      <c r="X4054">
        <v>0.98355959999999998</v>
      </c>
      <c r="Y4054">
        <v>0.1429655</v>
      </c>
      <c r="Z4054">
        <v>-5.5701049999999997E-3</v>
      </c>
      <c r="AA4054">
        <v>0.98971200000000004</v>
      </c>
      <c r="AB4054">
        <v>35</v>
      </c>
      <c r="AC4054">
        <v>21.7819</v>
      </c>
      <c r="AD4054">
        <v>-1.1605909999999999</v>
      </c>
      <c r="AE4054">
        <v>-2.53931</v>
      </c>
      <c r="AF4054">
        <v>3.18282093091352</v>
      </c>
      <c r="AG4054">
        <v>-1.1605909999999999</v>
      </c>
      <c r="AH4054">
        <v>21.635300948186298</v>
      </c>
      <c r="AI4054">
        <v>93.037961410914605</v>
      </c>
      <c r="AJ4054">
        <v>81.631109476022999</v>
      </c>
      <c r="AK4054">
        <v>21.898939875394301</v>
      </c>
      <c r="AL4054">
        <v>86.893530524108201</v>
      </c>
      <c r="AM4054">
        <v>80.065967575297805</v>
      </c>
      <c r="AN4054">
        <v>0.99999998034594095</v>
      </c>
    </row>
    <row r="4055" spans="1:40" x14ac:dyDescent="0.25">
      <c r="A4055" t="str">
        <f>"20190305135711347"</f>
        <v>20190305135711347</v>
      </c>
      <c r="B4055" t="str">
        <f>"1551765431336441"</f>
        <v>1551765431336441</v>
      </c>
      <c r="C4055" t="s">
        <v>40</v>
      </c>
      <c r="D4055">
        <v>4.3631320000000002</v>
      </c>
      <c r="E4055">
        <v>0.56275140000000001</v>
      </c>
      <c r="F4055" t="s">
        <v>43</v>
      </c>
      <c r="G4055">
        <v>-306.14359999999999</v>
      </c>
      <c r="H4055">
        <v>-0.05</v>
      </c>
      <c r="I4055">
        <v>12.30719</v>
      </c>
      <c r="J4055">
        <v>-334.04140000000001</v>
      </c>
      <c r="K4055">
        <v>1.110554</v>
      </c>
      <c r="L4055">
        <v>17.552</v>
      </c>
      <c r="M4055">
        <v>0.99946710000000005</v>
      </c>
      <c r="N4055">
        <v>-6.3583479999999998E-3</v>
      </c>
      <c r="O4055">
        <v>3.2017740000000003E-2</v>
      </c>
      <c r="P4055">
        <v>0.98831519999999995</v>
      </c>
      <c r="Q4055">
        <v>4.7270180000000002E-2</v>
      </c>
      <c r="R4055">
        <v>-0.1449088</v>
      </c>
      <c r="S4055">
        <v>2.9609679999999998</v>
      </c>
      <c r="T4055">
        <v>-0.12169099999999999</v>
      </c>
      <c r="U4055">
        <v>-0.54867549999999998</v>
      </c>
      <c r="V4055">
        <v>0.1762195</v>
      </c>
      <c r="W4055">
        <v>5.4368689999999997E-2</v>
      </c>
      <c r="X4055">
        <v>0.98284830000000001</v>
      </c>
      <c r="Y4055">
        <v>0.21336930000000001</v>
      </c>
      <c r="Z4055">
        <v>-6.1335219999999998E-3</v>
      </c>
      <c r="AA4055">
        <v>0.97695240000000005</v>
      </c>
      <c r="AB4055">
        <v>35</v>
      </c>
      <c r="AC4055">
        <v>27.8978</v>
      </c>
      <c r="AD4055">
        <v>-1.1605540000000001</v>
      </c>
      <c r="AE4055">
        <v>-5.2448099999999904</v>
      </c>
      <c r="AF4055">
        <v>6.1251252853585001</v>
      </c>
      <c r="AG4055">
        <v>-1.1605540000000001</v>
      </c>
      <c r="AH4055">
        <v>27.669316666149999</v>
      </c>
      <c r="AI4055">
        <v>92.345083632337605</v>
      </c>
      <c r="AJ4055">
        <v>77.517793468280104</v>
      </c>
      <c r="AK4055">
        <v>28.3629182229182</v>
      </c>
      <c r="AL4055">
        <v>86.883366873804306</v>
      </c>
      <c r="AM4055">
        <v>79.835173079509303</v>
      </c>
      <c r="AN4055">
        <v>1.00000002372272</v>
      </c>
    </row>
    <row r="4056" spans="1:40" x14ac:dyDescent="0.25">
      <c r="A4056" t="str">
        <f>"20190305135711372"</f>
        <v>20190305135711372</v>
      </c>
      <c r="B4056" t="str">
        <f>"1551765431366697"</f>
        <v>1551765431366697</v>
      </c>
      <c r="C4056" t="s">
        <v>40</v>
      </c>
      <c r="D4056">
        <v>4.1464919999999896</v>
      </c>
      <c r="E4056">
        <v>0.56538639999999996</v>
      </c>
      <c r="F4056" t="s">
        <v>43</v>
      </c>
      <c r="G4056">
        <v>-308.1155</v>
      </c>
      <c r="H4056">
        <v>-0.05</v>
      </c>
      <c r="I4056">
        <v>9.1310420000000008</v>
      </c>
      <c r="J4056">
        <v>-333.65710000000001</v>
      </c>
      <c r="K4056">
        <v>1.110493</v>
      </c>
      <c r="L4056">
        <v>17.566220000000001</v>
      </c>
      <c r="M4056">
        <v>0.99939610000000001</v>
      </c>
      <c r="N4056">
        <v>-6.303159E-3</v>
      </c>
      <c r="O4056">
        <v>3.4174509999999998E-2</v>
      </c>
      <c r="P4056">
        <v>0.98805169999999998</v>
      </c>
      <c r="Q4056">
        <v>4.8606509999999999E-2</v>
      </c>
      <c r="R4056">
        <v>-0.14625920000000001</v>
      </c>
      <c r="S4056">
        <v>2.9034119999999999</v>
      </c>
      <c r="T4056">
        <v>-0.1299691</v>
      </c>
      <c r="U4056">
        <v>-0.94305419999999995</v>
      </c>
      <c r="V4056">
        <v>0.17968239999999999</v>
      </c>
      <c r="W4056">
        <v>5.5638479999999997E-2</v>
      </c>
      <c r="X4056">
        <v>0.98214999999999997</v>
      </c>
      <c r="Y4056">
        <v>0.34086519999999998</v>
      </c>
      <c r="Z4056">
        <v>-9.8192420000000006E-3</v>
      </c>
      <c r="AA4056">
        <v>0.94006089999999998</v>
      </c>
      <c r="AB4056">
        <v>35</v>
      </c>
      <c r="AC4056">
        <v>25.541599999999999</v>
      </c>
      <c r="AD4056">
        <v>-1.160493</v>
      </c>
      <c r="AE4056">
        <v>-8.4351780000000005</v>
      </c>
      <c r="AF4056">
        <v>9.28585522582366</v>
      </c>
      <c r="AG4056">
        <v>-1.160493</v>
      </c>
      <c r="AH4056">
        <v>25.191515732283499</v>
      </c>
      <c r="AI4056">
        <v>92.475002273282499</v>
      </c>
      <c r="AJ4056">
        <v>69.7655878435083</v>
      </c>
      <c r="AK4056">
        <v>26.873524446337299</v>
      </c>
      <c r="AL4056">
        <v>86.810502926868907</v>
      </c>
      <c r="AM4056">
        <v>79.632502452037301</v>
      </c>
      <c r="AN4056">
        <v>1.0000000139132299</v>
      </c>
    </row>
    <row r="4057" spans="1:40" x14ac:dyDescent="0.25">
      <c r="A4057" t="str">
        <f>"20190305135711395"</f>
        <v>20190305135711395</v>
      </c>
      <c r="B4057" t="str">
        <f>"1551765431386217"</f>
        <v>1551765431386217</v>
      </c>
      <c r="C4057" t="s">
        <v>40</v>
      </c>
      <c r="D4057">
        <v>4.16845</v>
      </c>
      <c r="E4057">
        <v>0.56482480000000002</v>
      </c>
      <c r="F4057" t="s">
        <v>43</v>
      </c>
      <c r="G4057">
        <v>-311.26209999999998</v>
      </c>
      <c r="H4057">
        <v>-0.05</v>
      </c>
      <c r="I4057">
        <v>10.082140000000001</v>
      </c>
      <c r="J4057">
        <v>-333.29969999999997</v>
      </c>
      <c r="K4057">
        <v>1.110411</v>
      </c>
      <c r="L4057">
        <v>17.580079999999999</v>
      </c>
      <c r="M4057">
        <v>0.99933050000000001</v>
      </c>
      <c r="N4057">
        <v>-6.2718399999999999E-3</v>
      </c>
      <c r="O4057">
        <v>3.6046170000000002E-2</v>
      </c>
      <c r="P4057">
        <v>0.98769229999999997</v>
      </c>
      <c r="Q4057">
        <v>5.0683310000000002E-2</v>
      </c>
      <c r="R4057">
        <v>-0.1479712</v>
      </c>
      <c r="S4057">
        <v>2.9002080000000001</v>
      </c>
      <c r="T4057">
        <v>-0.1502868</v>
      </c>
      <c r="U4057">
        <v>-0.96920779999999995</v>
      </c>
      <c r="V4057">
        <v>0.18322169999999999</v>
      </c>
      <c r="W4057">
        <v>5.7660830000000003E-2</v>
      </c>
      <c r="X4057">
        <v>0.98137920000000001</v>
      </c>
      <c r="Y4057">
        <v>0.35042390000000001</v>
      </c>
      <c r="Z4057">
        <v>-1.156242E-2</v>
      </c>
      <c r="AA4057">
        <v>0.93651980000000001</v>
      </c>
      <c r="AB4057">
        <v>36</v>
      </c>
      <c r="AC4057">
        <v>22.037600000000001</v>
      </c>
      <c r="AD4057">
        <v>-1.1604110000000001</v>
      </c>
      <c r="AE4057">
        <v>-7.4979399999999998</v>
      </c>
      <c r="AF4057">
        <v>8.2669105569968604</v>
      </c>
      <c r="AG4057">
        <v>-1.1604110000000001</v>
      </c>
      <c r="AH4057">
        <v>21.699078455718801</v>
      </c>
      <c r="AI4057">
        <v>92.860893460087496</v>
      </c>
      <c r="AJ4057">
        <v>69.1441701042598</v>
      </c>
      <c r="AK4057">
        <v>23.2494810624613</v>
      </c>
      <c r="AL4057">
        <v>86.6944445268322</v>
      </c>
      <c r="AM4057">
        <v>79.424732400478106</v>
      </c>
      <c r="AN4057">
        <v>1.0000000484299001</v>
      </c>
    </row>
    <row r="4058" spans="1:40" x14ac:dyDescent="0.25">
      <c r="A4058" t="str">
        <f>"20190305135711415"</f>
        <v>20190305135711415</v>
      </c>
      <c r="B4058" t="str">
        <f>"1551765431406713"</f>
        <v>1551765431406713</v>
      </c>
      <c r="C4058" t="s">
        <v>40</v>
      </c>
      <c r="D4058">
        <v>4.1521429999999997</v>
      </c>
      <c r="E4058">
        <v>0.56478399999999995</v>
      </c>
      <c r="F4058" t="s">
        <v>43</v>
      </c>
      <c r="G4058">
        <v>-309.5224</v>
      </c>
      <c r="H4058">
        <v>-0.05</v>
      </c>
      <c r="I4058">
        <v>9.6290440000000004</v>
      </c>
      <c r="J4058">
        <v>-332.95460000000003</v>
      </c>
      <c r="K4058">
        <v>1.1103339999999999</v>
      </c>
      <c r="L4058">
        <v>17.593959999999999</v>
      </c>
      <c r="M4058">
        <v>0.99926809999999999</v>
      </c>
      <c r="N4058">
        <v>-6.2562130000000001E-3</v>
      </c>
      <c r="O4058">
        <v>3.7737670000000001E-2</v>
      </c>
      <c r="P4058">
        <v>0.98727149999999997</v>
      </c>
      <c r="Q4058">
        <v>5.2435339999999997E-2</v>
      </c>
      <c r="R4058">
        <v>-0.15015229999999999</v>
      </c>
      <c r="S4058">
        <v>2.899384</v>
      </c>
      <c r="T4058">
        <v>-0.1414996</v>
      </c>
      <c r="U4058">
        <v>-0.9695435</v>
      </c>
      <c r="V4058">
        <v>0.18705140000000001</v>
      </c>
      <c r="W4058">
        <v>5.9370699999999998E-2</v>
      </c>
      <c r="X4058">
        <v>0.98055440000000005</v>
      </c>
      <c r="Y4058">
        <v>0.35223779999999999</v>
      </c>
      <c r="Z4058">
        <v>-1.1059579999999999E-2</v>
      </c>
      <c r="AA4058">
        <v>0.93584520000000004</v>
      </c>
      <c r="AB4058">
        <v>36</v>
      </c>
      <c r="AC4058">
        <v>23.432200000000002</v>
      </c>
      <c r="AD4058">
        <v>-1.160334</v>
      </c>
      <c r="AE4058">
        <v>-7.9649159999999899</v>
      </c>
      <c r="AF4058">
        <v>8.8241394963577005</v>
      </c>
      <c r="AG4058">
        <v>-1.160334</v>
      </c>
      <c r="AH4058">
        <v>23.064226596273201</v>
      </c>
      <c r="AI4058">
        <v>92.690197045968802</v>
      </c>
      <c r="AJ4058">
        <v>69.063655535831899</v>
      </c>
      <c r="AK4058">
        <v>24.7218599892276</v>
      </c>
      <c r="AL4058">
        <v>86.596307925633198</v>
      </c>
      <c r="AM4058">
        <v>79.199963670199807</v>
      </c>
      <c r="AN4058">
        <v>1.0000000188099001</v>
      </c>
    </row>
    <row r="4059" spans="1:40" x14ac:dyDescent="0.25">
      <c r="A4059" t="str">
        <f>"20190305135711436"</f>
        <v>20190305135711436</v>
      </c>
      <c r="B4059" t="str">
        <f>"1551765431426233"</f>
        <v>1551765431426233</v>
      </c>
      <c r="C4059" t="s">
        <v>40</v>
      </c>
      <c r="D4059">
        <v>4.1384809999999996</v>
      </c>
      <c r="E4059">
        <v>0.56487549999999997</v>
      </c>
      <c r="F4059" t="s">
        <v>43</v>
      </c>
      <c r="G4059">
        <v>-309.15730000000002</v>
      </c>
      <c r="H4059">
        <v>-0.05</v>
      </c>
      <c r="I4059">
        <v>9.5846859999999996</v>
      </c>
      <c r="J4059">
        <v>-332.6164</v>
      </c>
      <c r="K4059">
        <v>1.1102339999999999</v>
      </c>
      <c r="L4059">
        <v>17.608029999999999</v>
      </c>
      <c r="M4059">
        <v>0.99920989999999998</v>
      </c>
      <c r="N4059">
        <v>-6.2632429999999999E-3</v>
      </c>
      <c r="O4059">
        <v>3.9248470000000001E-2</v>
      </c>
      <c r="P4059">
        <v>0.98708019999999996</v>
      </c>
      <c r="Q4059">
        <v>5.2030199999999999E-2</v>
      </c>
      <c r="R4059">
        <v>-0.1515437</v>
      </c>
      <c r="S4059">
        <v>2.8978579999999998</v>
      </c>
      <c r="T4059">
        <v>-0.14129700000000001</v>
      </c>
      <c r="U4059">
        <v>-0.97531129999999999</v>
      </c>
      <c r="V4059">
        <v>0.1899333</v>
      </c>
      <c r="W4059">
        <v>5.893516E-2</v>
      </c>
      <c r="X4059">
        <v>0.98002650000000002</v>
      </c>
      <c r="Y4059">
        <v>0.35546879999999997</v>
      </c>
      <c r="Z4059">
        <v>-1.1198120000000001E-2</v>
      </c>
      <c r="AA4059">
        <v>0.93462109999999998</v>
      </c>
      <c r="AB4059">
        <v>36</v>
      </c>
      <c r="AC4059">
        <v>23.4590999999999</v>
      </c>
      <c r="AD4059">
        <v>-1.160234</v>
      </c>
      <c r="AE4059">
        <v>-8.0233439999999998</v>
      </c>
      <c r="AF4059">
        <v>8.9183830017321899</v>
      </c>
      <c r="AG4059">
        <v>-1.160234</v>
      </c>
      <c r="AH4059">
        <v>23.075580134547799</v>
      </c>
      <c r="AI4059">
        <v>92.685142392627696</v>
      </c>
      <c r="AJ4059">
        <v>68.869193048615401</v>
      </c>
      <c r="AK4059">
        <v>24.7662289589327</v>
      </c>
      <c r="AL4059">
        <v>86.621306158610693</v>
      </c>
      <c r="AM4059">
        <v>79.031807555809294</v>
      </c>
      <c r="AN4059">
        <v>0.99999997611768199</v>
      </c>
    </row>
    <row r="4060" spans="1:40" x14ac:dyDescent="0.25">
      <c r="A4060" t="str">
        <f>"20190305135711459"</f>
        <v>20190305135711459</v>
      </c>
      <c r="B4060" t="str">
        <f>"1551765431446729"</f>
        <v>1551765431446729</v>
      </c>
      <c r="C4060" t="s">
        <v>40</v>
      </c>
      <c r="D4060">
        <v>4.0776680000000001</v>
      </c>
      <c r="E4060">
        <v>0.56498890000000002</v>
      </c>
      <c r="F4060" t="s">
        <v>43</v>
      </c>
      <c r="G4060">
        <v>-309.77550000000002</v>
      </c>
      <c r="H4060">
        <v>-0.05</v>
      </c>
      <c r="I4060">
        <v>9.8800810000000006</v>
      </c>
      <c r="J4060">
        <v>-332.25510000000003</v>
      </c>
      <c r="K4060">
        <v>1.110098</v>
      </c>
      <c r="L4060">
        <v>17.623470000000001</v>
      </c>
      <c r="M4060">
        <v>0.99915359999999998</v>
      </c>
      <c r="N4060">
        <v>-6.3263719999999898E-3</v>
      </c>
      <c r="O4060">
        <v>4.0647099999999999E-2</v>
      </c>
      <c r="P4060">
        <v>0.98714440000000003</v>
      </c>
      <c r="Q4060">
        <v>5.0928380000000002E-2</v>
      </c>
      <c r="R4060">
        <v>-0.1515003</v>
      </c>
      <c r="S4060">
        <v>2.8965450000000001</v>
      </c>
      <c r="T4060">
        <v>-0.1471336</v>
      </c>
      <c r="U4060">
        <v>-0.98001099999999997</v>
      </c>
      <c r="V4060">
        <v>0.19128829999999999</v>
      </c>
      <c r="W4060">
        <v>5.7834579999999997E-2</v>
      </c>
      <c r="X4060">
        <v>0.97982849999999999</v>
      </c>
      <c r="Y4060">
        <v>0.35822169999999998</v>
      </c>
      <c r="Z4060">
        <v>-1.17719E-2</v>
      </c>
      <c r="AA4060">
        <v>0.93356229999999996</v>
      </c>
      <c r="AB4060">
        <v>36</v>
      </c>
      <c r="AC4060">
        <v>22.479600000000001</v>
      </c>
      <c r="AD4060">
        <v>-1.1600979999999901</v>
      </c>
      <c r="AE4060">
        <v>-7.7433889999999996</v>
      </c>
      <c r="AF4060">
        <v>8.6301916752078593</v>
      </c>
      <c r="AG4060">
        <v>-1.1600979999999901</v>
      </c>
      <c r="AH4060">
        <v>22.093668960599398</v>
      </c>
      <c r="AI4060">
        <v>92.800060988273898</v>
      </c>
      <c r="AJ4060">
        <v>68.663473173268898</v>
      </c>
      <c r="AK4060">
        <v>23.7477629232942</v>
      </c>
      <c r="AL4060">
        <v>86.684472487406495</v>
      </c>
      <c r="AM4060">
        <v>78.953300053897195</v>
      </c>
      <c r="AN4060">
        <v>0.99999997088645698</v>
      </c>
    </row>
    <row r="4061" spans="1:40" x14ac:dyDescent="0.25">
      <c r="A4061" t="str">
        <f>"20190305135711482"</f>
        <v>20190305135711482</v>
      </c>
      <c r="B4061" t="str">
        <f>"1551765431476986"</f>
        <v>1551765431476986</v>
      </c>
      <c r="C4061" t="s">
        <v>40</v>
      </c>
      <c r="D4061">
        <v>4.0902539999999998</v>
      </c>
      <c r="E4061">
        <v>0.56517649999999997</v>
      </c>
      <c r="F4061" t="s">
        <v>43</v>
      </c>
      <c r="G4061">
        <v>-310.26139999999998</v>
      </c>
      <c r="H4061">
        <v>-0.05</v>
      </c>
      <c r="I4061">
        <v>10.174530000000001</v>
      </c>
      <c r="J4061">
        <v>-331.87540000000001</v>
      </c>
      <c r="K4061">
        <v>1.109945</v>
      </c>
      <c r="L4061">
        <v>17.64001</v>
      </c>
      <c r="M4061">
        <v>0.9991042</v>
      </c>
      <c r="N4061">
        <v>-6.5085899999999999E-3</v>
      </c>
      <c r="O4061">
        <v>4.1817220000000002E-2</v>
      </c>
      <c r="P4061">
        <v>0.98708669999999998</v>
      </c>
      <c r="Q4061">
        <v>5.0461649999999997E-2</v>
      </c>
      <c r="R4061">
        <v>-0.15203320000000001</v>
      </c>
      <c r="S4061">
        <v>2.8963619999999999</v>
      </c>
      <c r="T4061">
        <v>-0.15277399999999999</v>
      </c>
      <c r="U4061">
        <v>-0.98095699999999997</v>
      </c>
      <c r="V4061">
        <v>0.19299479999999999</v>
      </c>
      <c r="W4061">
        <v>5.7457559999999998E-2</v>
      </c>
      <c r="X4061">
        <v>0.97951600000000005</v>
      </c>
      <c r="Y4061">
        <v>0.35956379999999999</v>
      </c>
      <c r="Z4061">
        <v>-1.230587E-2</v>
      </c>
      <c r="AA4061">
        <v>0.93303939999999996</v>
      </c>
      <c r="AB4061">
        <v>36</v>
      </c>
      <c r="AC4061">
        <v>21.614000000000001</v>
      </c>
      <c r="AD4061">
        <v>-1.159945</v>
      </c>
      <c r="AE4061">
        <v>-7.4654799999999897</v>
      </c>
      <c r="AF4061">
        <v>8.3413427788623</v>
      </c>
      <c r="AG4061">
        <v>-1.159945</v>
      </c>
      <c r="AH4061">
        <v>21.228278170314201</v>
      </c>
      <c r="AI4061">
        <v>92.911343387981901</v>
      </c>
      <c r="AJ4061">
        <v>68.548377582955794</v>
      </c>
      <c r="AK4061">
        <v>22.837759650056299</v>
      </c>
      <c r="AL4061">
        <v>86.706110151784301</v>
      </c>
      <c r="AM4061">
        <v>78.853741176207095</v>
      </c>
      <c r="AN4061">
        <v>0.99999997914209604</v>
      </c>
    </row>
    <row r="4062" spans="1:40" x14ac:dyDescent="0.25">
      <c r="A4062" t="str">
        <f>"20190305135711505"</f>
        <v>20190305135711505</v>
      </c>
      <c r="B4062" t="str">
        <f>"1551765431496505"</f>
        <v>1551765431496505</v>
      </c>
      <c r="C4062" t="s">
        <v>40</v>
      </c>
      <c r="D4062">
        <v>4.1049769999999999</v>
      </c>
      <c r="E4062">
        <v>0.56568929999999995</v>
      </c>
      <c r="F4062" t="s">
        <v>43</v>
      </c>
      <c r="G4062">
        <v>-310.6028</v>
      </c>
      <c r="H4062">
        <v>-0.05</v>
      </c>
      <c r="I4062">
        <v>10.41089</v>
      </c>
      <c r="J4062">
        <v>-331.5136</v>
      </c>
      <c r="K4062">
        <v>1.109788</v>
      </c>
      <c r="L4062">
        <v>17.65588</v>
      </c>
      <c r="M4062">
        <v>0.99906890000000004</v>
      </c>
      <c r="N4062">
        <v>-6.8655000000000001E-3</v>
      </c>
      <c r="O4062">
        <v>4.2594779999999999E-2</v>
      </c>
      <c r="P4062">
        <v>0.98700900000000003</v>
      </c>
      <c r="Q4062">
        <v>5.0087270000000003E-2</v>
      </c>
      <c r="R4062">
        <v>-0.1526593</v>
      </c>
      <c r="S4062">
        <v>2.8957519999999999</v>
      </c>
      <c r="T4062">
        <v>-0.15789810000000001</v>
      </c>
      <c r="U4062">
        <v>-0.98406979999999999</v>
      </c>
      <c r="V4062">
        <v>0.194414</v>
      </c>
      <c r="W4062">
        <v>5.731998E-2</v>
      </c>
      <c r="X4062">
        <v>0.97924339999999999</v>
      </c>
      <c r="Y4062">
        <v>0.36120659999999999</v>
      </c>
      <c r="Z4062">
        <v>-1.28243E-2</v>
      </c>
      <c r="AA4062">
        <v>0.9323977</v>
      </c>
      <c r="AB4062">
        <v>36</v>
      </c>
      <c r="AC4062">
        <v>20.910799999999899</v>
      </c>
      <c r="AD4062">
        <v>-1.15978799999999</v>
      </c>
      <c r="AE4062">
        <v>-7.2449899999999996</v>
      </c>
      <c r="AF4062">
        <v>8.1068606342442706</v>
      </c>
      <c r="AG4062">
        <v>-1.15978799999999</v>
      </c>
      <c r="AH4062">
        <v>20.526837886220999</v>
      </c>
      <c r="AI4062">
        <v>93.008189812968297</v>
      </c>
      <c r="AJ4062">
        <v>68.448974962468398</v>
      </c>
      <c r="AK4062">
        <v>22.100166767588</v>
      </c>
      <c r="AL4062">
        <v>86.714006019685598</v>
      </c>
      <c r="AM4062">
        <v>78.7708051148404</v>
      </c>
      <c r="AN4062">
        <v>1.0000000099733799</v>
      </c>
    </row>
    <row r="4063" spans="1:40" x14ac:dyDescent="0.25">
      <c r="A4063" t="str">
        <f>"20190305135711526"</f>
        <v>20190305135711526</v>
      </c>
      <c r="B4063" t="str">
        <f>"1551765431517005"</f>
        <v>1551765431517005</v>
      </c>
      <c r="C4063" t="s">
        <v>40</v>
      </c>
      <c r="D4063">
        <v>4.1053879999999996</v>
      </c>
      <c r="E4063">
        <v>0.56622519999999998</v>
      </c>
      <c r="F4063" t="s">
        <v>43</v>
      </c>
      <c r="G4063">
        <v>-310.45269999999999</v>
      </c>
      <c r="H4063">
        <v>-0.05</v>
      </c>
      <c r="I4063">
        <v>10.45135</v>
      </c>
      <c r="J4063">
        <v>-331.16840000000002</v>
      </c>
      <c r="K4063">
        <v>1.1096250000000001</v>
      </c>
      <c r="L4063">
        <v>17.671050000000001</v>
      </c>
      <c r="M4063">
        <v>0.99904820000000005</v>
      </c>
      <c r="N4063">
        <v>-7.4084369999999899E-3</v>
      </c>
      <c r="O4063">
        <v>4.2987039999999997E-2</v>
      </c>
      <c r="P4063">
        <v>0.98708689999999999</v>
      </c>
      <c r="Q4063">
        <v>4.8834389999999998E-2</v>
      </c>
      <c r="R4063">
        <v>-0.15256059999999999</v>
      </c>
      <c r="S4063">
        <v>2.8944700000000001</v>
      </c>
      <c r="T4063">
        <v>-0.1593937</v>
      </c>
      <c r="U4063">
        <v>-0.99014279999999999</v>
      </c>
      <c r="V4063">
        <v>0.1947441</v>
      </c>
      <c r="W4063">
        <v>5.6466870000000002E-2</v>
      </c>
      <c r="X4063">
        <v>0.97922739999999997</v>
      </c>
      <c r="Y4063">
        <v>0.363431</v>
      </c>
      <c r="Z4063">
        <v>-1.3102519999999999E-2</v>
      </c>
      <c r="AA4063">
        <v>0.93152900000000005</v>
      </c>
      <c r="AB4063">
        <v>36</v>
      </c>
      <c r="AC4063">
        <v>20.715699999999998</v>
      </c>
      <c r="AD4063">
        <v>-1.1596249999999999</v>
      </c>
      <c r="AE4063">
        <v>-7.2196999999999996</v>
      </c>
      <c r="AF4063">
        <v>8.0809774332395303</v>
      </c>
      <c r="AG4063">
        <v>-1.1596249999999999</v>
      </c>
      <c r="AH4063">
        <v>20.329384357444901</v>
      </c>
      <c r="AI4063">
        <v>93.034267826528406</v>
      </c>
      <c r="AJ4063">
        <v>68.322064390414397</v>
      </c>
      <c r="AK4063">
        <v>21.907322857206399</v>
      </c>
      <c r="AL4063">
        <v>86.762965009625802</v>
      </c>
      <c r="AM4063">
        <v>78.752045403470305</v>
      </c>
      <c r="AN4063">
        <v>1.00000003640158</v>
      </c>
    </row>
    <row r="4064" spans="1:40" x14ac:dyDescent="0.25">
      <c r="A4064" t="str">
        <f>"20190305135711549"</f>
        <v>20190305135711549</v>
      </c>
      <c r="B4064" t="str">
        <f>"1551765431536521"</f>
        <v>1551765431536521</v>
      </c>
      <c r="C4064" t="s">
        <v>40</v>
      </c>
      <c r="D4064">
        <v>4.1169669999999998</v>
      </c>
      <c r="E4064">
        <v>0.56680209999999998</v>
      </c>
      <c r="F4064" t="s">
        <v>43</v>
      </c>
      <c r="G4064">
        <v>-310.29000000000002</v>
      </c>
      <c r="H4064">
        <v>-0.05</v>
      </c>
      <c r="I4064">
        <v>10.49644</v>
      </c>
      <c r="J4064">
        <v>-330.81470000000002</v>
      </c>
      <c r="K4064">
        <v>1.1094250000000001</v>
      </c>
      <c r="L4064">
        <v>17.686309999999999</v>
      </c>
      <c r="M4064">
        <v>0.99904329999999997</v>
      </c>
      <c r="N4064">
        <v>-8.0866649999999998E-3</v>
      </c>
      <c r="O4064">
        <v>4.2981239999999997E-2</v>
      </c>
      <c r="P4064">
        <v>0.98703680000000005</v>
      </c>
      <c r="Q4064">
        <v>4.7199890000000001E-2</v>
      </c>
      <c r="R4064">
        <v>-0.153397799999999</v>
      </c>
      <c r="S4064">
        <v>2.8935240000000002</v>
      </c>
      <c r="T4064">
        <v>-0.160711299999999</v>
      </c>
      <c r="U4064">
        <v>-0.99432370000000003</v>
      </c>
      <c r="V4064">
        <v>0.19561980000000001</v>
      </c>
      <c r="W4064">
        <v>5.5337579999999997E-2</v>
      </c>
      <c r="X4064">
        <v>0.97911729999999997</v>
      </c>
      <c r="Y4064">
        <v>0.36470580000000002</v>
      </c>
      <c r="Z4064">
        <v>-1.3341169999999999E-2</v>
      </c>
      <c r="AA4064">
        <v>0.93102720000000005</v>
      </c>
      <c r="AB4064">
        <v>36</v>
      </c>
      <c r="AC4064">
        <v>20.524699999999999</v>
      </c>
      <c r="AD4064">
        <v>-1.1594249999999999</v>
      </c>
      <c r="AE4064">
        <v>-7.1898699999999902</v>
      </c>
      <c r="AF4064">
        <v>8.0425719857409401</v>
      </c>
      <c r="AG4064">
        <v>-1.1594249999999999</v>
      </c>
      <c r="AH4064">
        <v>20.139450411118901</v>
      </c>
      <c r="AI4064">
        <v>93.060367292164699</v>
      </c>
      <c r="AJ4064">
        <v>68.230991493591205</v>
      </c>
      <c r="AK4064">
        <v>21.716921820054701</v>
      </c>
      <c r="AL4064">
        <v>86.827769849989593</v>
      </c>
      <c r="AM4064">
        <v>78.701527342781901</v>
      </c>
      <c r="AN4064">
        <v>1.00000002053579</v>
      </c>
    </row>
    <row r="4065" spans="1:40" x14ac:dyDescent="0.25">
      <c r="A4065" t="str">
        <f>"20190305135711573"</f>
        <v>20190305135711573</v>
      </c>
      <c r="B4065" t="str">
        <f>"1551765431566777"</f>
        <v>1551765431566777</v>
      </c>
      <c r="C4065" t="s">
        <v>40</v>
      </c>
      <c r="D4065">
        <v>4.1961139999999997</v>
      </c>
      <c r="E4065">
        <v>0.56741580000000003</v>
      </c>
      <c r="F4065" t="s">
        <v>43</v>
      </c>
      <c r="G4065">
        <v>-310.23169999999999</v>
      </c>
      <c r="H4065">
        <v>-0.05</v>
      </c>
      <c r="I4065">
        <v>10.55559</v>
      </c>
      <c r="J4065">
        <v>-330.42880000000002</v>
      </c>
      <c r="K4065">
        <v>1.109146</v>
      </c>
      <c r="L4065">
        <v>17.70251</v>
      </c>
      <c r="M4065">
        <v>0.9990618</v>
      </c>
      <c r="N4065">
        <v>-8.8445599999999996E-3</v>
      </c>
      <c r="O4065">
        <v>4.2397770000000001E-2</v>
      </c>
      <c r="P4065">
        <v>0.98678880000000002</v>
      </c>
      <c r="Q4065">
        <v>4.7139790000000001E-2</v>
      </c>
      <c r="R4065">
        <v>-0.155002799999999</v>
      </c>
      <c r="S4065">
        <v>2.8915410000000001</v>
      </c>
      <c r="T4065">
        <v>-0.16287879999999999</v>
      </c>
      <c r="U4065">
        <v>-1.0017400000000001</v>
      </c>
      <c r="V4065">
        <v>0.1966977</v>
      </c>
      <c r="W4065">
        <v>5.5817499999999902E-2</v>
      </c>
      <c r="X4065">
        <v>0.97887400000000002</v>
      </c>
      <c r="Y4065">
        <v>0.36646669999999998</v>
      </c>
      <c r="Z4065">
        <v>-1.364862E-2</v>
      </c>
      <c r="AA4065">
        <v>0.93033109999999997</v>
      </c>
      <c r="AB4065">
        <v>36</v>
      </c>
      <c r="AC4065">
        <v>20.197099999999999</v>
      </c>
      <c r="AD4065">
        <v>-1.159146</v>
      </c>
      <c r="AE4065">
        <v>-7.1469199999999997</v>
      </c>
      <c r="AF4065">
        <v>7.9734978804041603</v>
      </c>
      <c r="AG4065">
        <v>-1.159146</v>
      </c>
      <c r="AH4065">
        <v>19.817899991235699</v>
      </c>
      <c r="AI4065">
        <v>93.105972032121301</v>
      </c>
      <c r="AJ4065">
        <v>68.083194022595706</v>
      </c>
      <c r="AK4065">
        <v>21.393210323856199</v>
      </c>
      <c r="AL4065">
        <v>86.800229645546693</v>
      </c>
      <c r="AM4065">
        <v>78.638135138170398</v>
      </c>
      <c r="AN4065">
        <v>0.99999994318376795</v>
      </c>
    </row>
    <row r="4066" spans="1:40" x14ac:dyDescent="0.25">
      <c r="A4066" t="str">
        <f>"20190305135711597"</f>
        <v>20190305135711597</v>
      </c>
      <c r="B4066" t="str">
        <f>"1551765431586297"</f>
        <v>1551765431586297</v>
      </c>
      <c r="C4066" t="s">
        <v>40</v>
      </c>
      <c r="D4066">
        <v>4.2029540000000001</v>
      </c>
      <c r="E4066">
        <v>0.56794219999999995</v>
      </c>
      <c r="F4066" t="s">
        <v>43</v>
      </c>
      <c r="G4066">
        <v>-310.94880000000001</v>
      </c>
      <c r="H4066">
        <v>-0.05</v>
      </c>
      <c r="I4066">
        <v>10.879379999999999</v>
      </c>
      <c r="J4066">
        <v>-330.05380000000002</v>
      </c>
      <c r="K4066">
        <v>1.108819</v>
      </c>
      <c r="L4066">
        <v>17.71753</v>
      </c>
      <c r="M4066">
        <v>0.9991025</v>
      </c>
      <c r="N4066">
        <v>-9.5409299999999996E-3</v>
      </c>
      <c r="O4066">
        <v>4.1271219999999997E-2</v>
      </c>
      <c r="P4066">
        <v>0.98627220000000004</v>
      </c>
      <c r="Q4066">
        <v>4.8695380000000003E-2</v>
      </c>
      <c r="R4066">
        <v>-0.15778629999999999</v>
      </c>
      <c r="S4066">
        <v>2.8894039999999999</v>
      </c>
      <c r="T4066">
        <v>-0.17193229999999901</v>
      </c>
      <c r="U4066">
        <v>-1.012054</v>
      </c>
      <c r="V4066">
        <v>0.1984157</v>
      </c>
      <c r="W4066">
        <v>5.7836020000000002E-2</v>
      </c>
      <c r="X4066">
        <v>0.97841009999999995</v>
      </c>
      <c r="Y4066">
        <v>0.36851260000000002</v>
      </c>
      <c r="Z4066">
        <v>-1.4453870000000001E-2</v>
      </c>
      <c r="AA4066">
        <v>0.92951039999999996</v>
      </c>
      <c r="AB4066">
        <v>36</v>
      </c>
      <c r="AC4066">
        <v>19.105</v>
      </c>
      <c r="AD4066">
        <v>-1.158819</v>
      </c>
      <c r="AE4066">
        <v>-6.83814999999999</v>
      </c>
      <c r="AF4066">
        <v>7.59607293829374</v>
      </c>
      <c r="AG4066">
        <v>-1.158819</v>
      </c>
      <c r="AH4066">
        <v>18.745355551706499</v>
      </c>
      <c r="AI4066">
        <v>93.279102432727001</v>
      </c>
      <c r="AJ4066">
        <v>67.941014565547206</v>
      </c>
      <c r="AK4066">
        <v>20.259110057416901</v>
      </c>
      <c r="AL4066">
        <v>86.684390137279394</v>
      </c>
      <c r="AM4066">
        <v>78.536223119622704</v>
      </c>
      <c r="AN4066">
        <v>1.00000005949896</v>
      </c>
    </row>
    <row r="4067" spans="1:40" x14ac:dyDescent="0.25">
      <c r="A4067" t="str">
        <f>"20190305135711616"</f>
        <v>20190305135711616</v>
      </c>
      <c r="B4067" t="str">
        <f>"1551765431606793"</f>
        <v>1551765431606793</v>
      </c>
      <c r="C4067" t="s">
        <v>40</v>
      </c>
      <c r="D4067">
        <v>4.2064139999999997</v>
      </c>
      <c r="E4067">
        <v>0.5683222</v>
      </c>
      <c r="F4067" t="s">
        <v>43</v>
      </c>
      <c r="G4067">
        <v>-310.44760000000002</v>
      </c>
      <c r="H4067">
        <v>-0.05</v>
      </c>
      <c r="I4067">
        <v>10.757999999999999</v>
      </c>
      <c r="J4067">
        <v>-329.72559999999999</v>
      </c>
      <c r="K4067">
        <v>1.1085240000000001</v>
      </c>
      <c r="L4067">
        <v>17.729949999999999</v>
      </c>
      <c r="M4067">
        <v>0.99915240000000005</v>
      </c>
      <c r="N4067">
        <v>-1.010926E-2</v>
      </c>
      <c r="O4067">
        <v>3.990635E-2</v>
      </c>
      <c r="P4067">
        <v>0.98581019999999997</v>
      </c>
      <c r="Q4067">
        <v>5.0242799999999997E-2</v>
      </c>
      <c r="R4067">
        <v>-0.16016900000000001</v>
      </c>
      <c r="S4067">
        <v>2.8862920000000001</v>
      </c>
      <c r="T4067">
        <v>-0.17059340000000001</v>
      </c>
      <c r="U4067">
        <v>-1.0245359999999999</v>
      </c>
      <c r="V4067">
        <v>0.1994988</v>
      </c>
      <c r="W4067">
        <v>5.9750060000000001E-2</v>
      </c>
      <c r="X4067">
        <v>0.97807469999999996</v>
      </c>
      <c r="Y4067">
        <v>0.37113109999999999</v>
      </c>
      <c r="Z4067">
        <v>-1.446714E-2</v>
      </c>
      <c r="AA4067">
        <v>0.92846779999999995</v>
      </c>
      <c r="AB4067">
        <v>36</v>
      </c>
      <c r="AC4067">
        <v>19.277999999999899</v>
      </c>
      <c r="AD4067">
        <v>-1.1585239999999899</v>
      </c>
      <c r="AE4067">
        <v>-6.9719499999999996</v>
      </c>
      <c r="AF4067">
        <v>7.7111220735124402</v>
      </c>
      <c r="AG4067">
        <v>-1.1585239999999899</v>
      </c>
      <c r="AH4067">
        <v>18.923964085575399</v>
      </c>
      <c r="AI4067">
        <v>93.244847567998605</v>
      </c>
      <c r="AJ4067">
        <v>67.830125560920706</v>
      </c>
      <c r="AK4067">
        <v>20.467535225408401</v>
      </c>
      <c r="AL4067">
        <v>86.574533409338599</v>
      </c>
      <c r="AM4067">
        <v>78.471469009774097</v>
      </c>
      <c r="AN4067">
        <v>0.99999997982576605</v>
      </c>
    </row>
    <row r="4068" spans="1:40" x14ac:dyDescent="0.25">
      <c r="A4068" t="str">
        <f>"20190305135711639"</f>
        <v>20190305135711639</v>
      </c>
      <c r="B4068" t="str">
        <f>"1551765431626313"</f>
        <v>1551765431626313</v>
      </c>
      <c r="C4068" t="s">
        <v>40</v>
      </c>
      <c r="D4068">
        <v>4.168418</v>
      </c>
      <c r="E4068">
        <v>0.56865849999999996</v>
      </c>
      <c r="F4068" t="s">
        <v>43</v>
      </c>
      <c r="G4068">
        <v>-310.41640000000001</v>
      </c>
      <c r="H4068">
        <v>-0.05</v>
      </c>
      <c r="I4068">
        <v>10.79866</v>
      </c>
      <c r="J4068">
        <v>-329.37880000000001</v>
      </c>
      <c r="K4068">
        <v>1.1081859999999999</v>
      </c>
      <c r="L4068">
        <v>17.742190000000001</v>
      </c>
      <c r="M4068">
        <v>0.99921859999999996</v>
      </c>
      <c r="N4068">
        <v>-1.066251E-2</v>
      </c>
      <c r="O4068">
        <v>3.8062449999999998E-2</v>
      </c>
      <c r="P4068">
        <v>0.98541520000000005</v>
      </c>
      <c r="Q4068">
        <v>5.0568950000000001E-2</v>
      </c>
      <c r="R4068">
        <v>-0.16248070000000001</v>
      </c>
      <c r="S4068">
        <v>2.8838200000000001</v>
      </c>
      <c r="T4068">
        <v>-0.1730254</v>
      </c>
      <c r="U4068">
        <v>-1.0351870000000001</v>
      </c>
      <c r="V4068">
        <v>0.20004830000000001</v>
      </c>
      <c r="W4068">
        <v>6.0419760000000003E-2</v>
      </c>
      <c r="X4068">
        <v>0.97792129999999999</v>
      </c>
      <c r="Y4068">
        <v>0.37268420000000002</v>
      </c>
      <c r="Z4068">
        <v>-1.4705040000000001E-2</v>
      </c>
      <c r="AA4068">
        <v>0.92784169999999999</v>
      </c>
      <c r="AB4068">
        <v>36</v>
      </c>
      <c r="AC4068">
        <v>18.962399999999999</v>
      </c>
      <c r="AD4068">
        <v>-1.1581859999999999</v>
      </c>
      <c r="AE4068">
        <v>-6.94353</v>
      </c>
      <c r="AF4068">
        <v>7.6351785840166704</v>
      </c>
      <c r="AG4068">
        <v>-1.1581859999999999</v>
      </c>
      <c r="AH4068">
        <v>18.623094817426299</v>
      </c>
      <c r="AI4068">
        <v>93.293311439453305</v>
      </c>
      <c r="AJ4068">
        <v>67.707135427277194</v>
      </c>
      <c r="AK4068">
        <v>20.160778938306802</v>
      </c>
      <c r="AL4068">
        <v>86.536092936503294</v>
      </c>
      <c r="AM4068">
        <v>78.438803911839599</v>
      </c>
      <c r="AN4068">
        <v>0.999999969362518</v>
      </c>
    </row>
    <row r="4069" spans="1:40" x14ac:dyDescent="0.25">
      <c r="A4069" t="str">
        <f>"20190305135711660"</f>
        <v>20190305135711660</v>
      </c>
      <c r="B4069" t="str">
        <f>"1551765431656570"</f>
        <v>1551765431656570</v>
      </c>
      <c r="C4069" t="s">
        <v>40</v>
      </c>
      <c r="D4069">
        <v>4.2022219999999999</v>
      </c>
      <c r="E4069">
        <v>0.56945199999999996</v>
      </c>
      <c r="F4069" t="s">
        <v>43</v>
      </c>
      <c r="G4069">
        <v>-310.72370000000001</v>
      </c>
      <c r="H4069">
        <v>-0.05</v>
      </c>
      <c r="I4069">
        <v>10.97723</v>
      </c>
      <c r="J4069">
        <v>-329.01659999999998</v>
      </c>
      <c r="K4069">
        <v>1.1078220000000001</v>
      </c>
      <c r="L4069">
        <v>17.753879999999999</v>
      </c>
      <c r="M4069">
        <v>0.99929990000000002</v>
      </c>
      <c r="N4069">
        <v>-1.1187920000000001E-2</v>
      </c>
      <c r="O4069">
        <v>3.5697810000000003E-2</v>
      </c>
      <c r="P4069">
        <v>0.9845836</v>
      </c>
      <c r="Q4069">
        <v>5.1625940000000002E-2</v>
      </c>
      <c r="R4069">
        <v>-0.16712270000000001</v>
      </c>
      <c r="S4069">
        <v>2.8813170000000001</v>
      </c>
      <c r="T4069">
        <v>-0.1788843</v>
      </c>
      <c r="U4069">
        <v>-1.044861</v>
      </c>
      <c r="V4069">
        <v>0.20240929999999999</v>
      </c>
      <c r="W4069">
        <v>6.1771930000000003E-2</v>
      </c>
      <c r="X4069">
        <v>0.97735090000000002</v>
      </c>
      <c r="Y4069">
        <v>0.37344899999999998</v>
      </c>
      <c r="Z4069">
        <v>-1.51434E-2</v>
      </c>
      <c r="AA4069">
        <v>0.92752710000000005</v>
      </c>
      <c r="AB4069">
        <v>36</v>
      </c>
      <c r="AC4069">
        <v>18.2928999999999</v>
      </c>
      <c r="AD4069">
        <v>-1.1578219999999999</v>
      </c>
      <c r="AE4069">
        <v>-6.7766499999999903</v>
      </c>
      <c r="AF4069">
        <v>7.3993224857032001</v>
      </c>
      <c r="AG4069">
        <v>-1.1578219999999999</v>
      </c>
      <c r="AH4069">
        <v>17.975989525288998</v>
      </c>
      <c r="AI4069">
        <v>93.408561730965602</v>
      </c>
      <c r="AJ4069">
        <v>67.626829894578805</v>
      </c>
      <c r="AK4069">
        <v>19.4737444895535</v>
      </c>
      <c r="AL4069">
        <v>86.458474541440495</v>
      </c>
      <c r="AM4069">
        <v>78.299457058719895</v>
      </c>
      <c r="AN4069">
        <v>1.0000000388966099</v>
      </c>
    </row>
    <row r="4070" spans="1:40" x14ac:dyDescent="0.25">
      <c r="A4070" t="str">
        <f>"20190305135711672"</f>
        <v>20190305135711672</v>
      </c>
      <c r="B4070" t="str">
        <f>"1551765431666329"</f>
        <v>1551765431666329</v>
      </c>
      <c r="C4070" t="s">
        <v>40</v>
      </c>
      <c r="D4070">
        <v>4.2084010000000003</v>
      </c>
      <c r="E4070">
        <v>0.5697082</v>
      </c>
      <c r="F4070" t="s">
        <v>43</v>
      </c>
      <c r="G4070">
        <v>-311.01799999999997</v>
      </c>
      <c r="H4070">
        <v>-0.05</v>
      </c>
      <c r="I4070">
        <v>11.08995</v>
      </c>
      <c r="J4070">
        <v>-328.83819999999997</v>
      </c>
      <c r="K4070">
        <v>1.1076440000000001</v>
      </c>
      <c r="L4070">
        <v>17.759250000000002</v>
      </c>
      <c r="M4070">
        <v>0.99934290000000003</v>
      </c>
      <c r="N4070">
        <v>-1.143008E-2</v>
      </c>
      <c r="O4070">
        <v>3.4399289999999999E-2</v>
      </c>
      <c r="P4070">
        <v>0.98407219999999995</v>
      </c>
      <c r="Q4070">
        <v>5.2056789999999999E-2</v>
      </c>
      <c r="R4070">
        <v>-0.16997689999999999</v>
      </c>
      <c r="S4070">
        <v>2.8759769999999998</v>
      </c>
      <c r="T4070">
        <v>-0.1850069</v>
      </c>
      <c r="U4070">
        <v>-1.064819</v>
      </c>
      <c r="V4070">
        <v>0.20400679999999999</v>
      </c>
      <c r="W4070">
        <v>6.2328269999999998E-2</v>
      </c>
      <c r="X4070">
        <v>0.9769833</v>
      </c>
      <c r="Y4070">
        <v>0.3783996</v>
      </c>
      <c r="Z4070">
        <v>-1.5766619999999999E-2</v>
      </c>
      <c r="AA4070">
        <v>0.92550809999999994</v>
      </c>
      <c r="AB4070">
        <v>36</v>
      </c>
      <c r="AC4070">
        <v>17.8202</v>
      </c>
      <c r="AD4070">
        <v>-1.1576439999999999</v>
      </c>
      <c r="AE4070">
        <v>-6.6692999999999998</v>
      </c>
      <c r="AF4070">
        <v>7.2515519453061703</v>
      </c>
      <c r="AG4070">
        <v>-1.1576439999999999</v>
      </c>
      <c r="AH4070">
        <v>17.515382230983299</v>
      </c>
      <c r="AI4070">
        <v>93.494504373164801</v>
      </c>
      <c r="AJ4070">
        <v>67.509932065632697</v>
      </c>
      <c r="AK4070">
        <v>18.992465873173401</v>
      </c>
      <c r="AL4070">
        <v>86.426536848329405</v>
      </c>
      <c r="AM4070">
        <v>78.205374707907197</v>
      </c>
      <c r="AN4070">
        <v>0.99999997808316099</v>
      </c>
    </row>
    <row r="4071" spans="1:40" x14ac:dyDescent="0.25">
      <c r="A4071" t="str">
        <f>"20190305135711683"</f>
        <v>20190305135711683</v>
      </c>
      <c r="B4071" t="str">
        <f>"1551765431676089"</f>
        <v>1551765431676089</v>
      </c>
      <c r="C4071" t="s">
        <v>40</v>
      </c>
      <c r="D4071">
        <v>4.0808359999999997</v>
      </c>
      <c r="E4071">
        <v>0.56971640000000001</v>
      </c>
      <c r="F4071" t="s">
        <v>43</v>
      </c>
      <c r="G4071">
        <v>-311.03530000000001</v>
      </c>
      <c r="H4071">
        <v>-0.05</v>
      </c>
      <c r="I4071">
        <v>11.09703</v>
      </c>
      <c r="J4071">
        <v>-328.63139999999999</v>
      </c>
      <c r="K4071">
        <v>1.1074389999999901</v>
      </c>
      <c r="L4071">
        <v>17.764890000000001</v>
      </c>
      <c r="M4071">
        <v>0.99939610000000001</v>
      </c>
      <c r="N4071">
        <v>-1.1689450000000001E-2</v>
      </c>
      <c r="O4071">
        <v>3.2726579999999998E-2</v>
      </c>
      <c r="P4071">
        <v>0.98341140000000005</v>
      </c>
      <c r="Q4071">
        <v>5.3152409999999997E-2</v>
      </c>
      <c r="R4071">
        <v>-0.1734272</v>
      </c>
      <c r="S4071">
        <v>2.8727420000000001</v>
      </c>
      <c r="T4071">
        <v>-0.1868023</v>
      </c>
      <c r="U4071">
        <v>-1.075043</v>
      </c>
      <c r="V4071">
        <v>0.20583879999999999</v>
      </c>
      <c r="W4071">
        <v>6.3547980000000004E-2</v>
      </c>
      <c r="X4071">
        <v>0.97652039999999996</v>
      </c>
      <c r="Y4071">
        <v>0.3800616</v>
      </c>
      <c r="Z4071">
        <v>-1.5927360000000002E-2</v>
      </c>
      <c r="AA4071">
        <v>0.92482410000000004</v>
      </c>
      <c r="AB4071">
        <v>36</v>
      </c>
      <c r="AC4071">
        <v>17.5960999999999</v>
      </c>
      <c r="AD4071">
        <v>-1.1574390000000001</v>
      </c>
      <c r="AE4071">
        <v>-6.6678600000000001</v>
      </c>
      <c r="AF4071">
        <v>7.2128974463957096</v>
      </c>
      <c r="AG4071">
        <v>-1.1574390000000001</v>
      </c>
      <c r="AH4071">
        <v>17.302976679370602</v>
      </c>
      <c r="AI4071">
        <v>93.533110617075295</v>
      </c>
      <c r="AJ4071">
        <v>67.370757558325295</v>
      </c>
      <c r="AK4071">
        <v>18.781867760629801</v>
      </c>
      <c r="AL4071">
        <v>86.356513950874898</v>
      </c>
      <c r="AM4071">
        <v>78.096984634923103</v>
      </c>
      <c r="AN4071">
        <v>1.0000000244818299</v>
      </c>
    </row>
    <row r="4072" spans="1:40" x14ac:dyDescent="0.25">
      <c r="A4072" t="str">
        <f>"20190305135711695"</f>
        <v>20190305135711695</v>
      </c>
      <c r="B4072" t="str">
        <f>"1551765431686826"</f>
        <v>1551765431686826</v>
      </c>
      <c r="C4072" t="s">
        <v>40</v>
      </c>
      <c r="D4072">
        <v>4.1901919999999997</v>
      </c>
      <c r="E4072">
        <v>0.57004060000000001</v>
      </c>
      <c r="F4072" t="s">
        <v>43</v>
      </c>
      <c r="G4072">
        <v>-309.89530000000002</v>
      </c>
      <c r="H4072">
        <v>-0.05</v>
      </c>
      <c r="I4072">
        <v>10.678509999999999</v>
      </c>
      <c r="J4072">
        <v>-328.4556</v>
      </c>
      <c r="K4072">
        <v>1.107267</v>
      </c>
      <c r="L4072">
        <v>17.769349999999999</v>
      </c>
      <c r="M4072">
        <v>0.99944200000000005</v>
      </c>
      <c r="N4072">
        <v>-1.189783E-2</v>
      </c>
      <c r="O4072">
        <v>3.1211329999999999E-2</v>
      </c>
      <c r="P4072">
        <v>0.98266089999999995</v>
      </c>
      <c r="Q4072">
        <v>5.4138190000000003E-2</v>
      </c>
      <c r="R4072">
        <v>-0.17733299999999999</v>
      </c>
      <c r="S4072">
        <v>2.8688349999999998</v>
      </c>
      <c r="T4072">
        <v>-0.17722460000000001</v>
      </c>
      <c r="U4072">
        <v>-1.0850519999999999</v>
      </c>
      <c r="V4072">
        <v>0.2082736</v>
      </c>
      <c r="W4072">
        <v>6.4621999999999999E-2</v>
      </c>
      <c r="X4072">
        <v>0.97593339999999995</v>
      </c>
      <c r="Y4072">
        <v>0.38197599999999998</v>
      </c>
      <c r="Z4072">
        <v>-1.525137E-2</v>
      </c>
      <c r="AA4072">
        <v>0.92404640000000005</v>
      </c>
      <c r="AB4072">
        <v>36</v>
      </c>
      <c r="AC4072">
        <v>18.560299999999899</v>
      </c>
      <c r="AD4072">
        <v>-1.157267</v>
      </c>
      <c r="AE4072">
        <v>-7.0908399999999903</v>
      </c>
      <c r="AF4072">
        <v>7.6407956266236496</v>
      </c>
      <c r="AG4072">
        <v>-1.157267</v>
      </c>
      <c r="AH4072">
        <v>18.2679507783754</v>
      </c>
      <c r="AI4072">
        <v>93.344753893408694</v>
      </c>
      <c r="AJ4072">
        <v>67.302278887263896</v>
      </c>
      <c r="AK4072">
        <v>19.835298090985901</v>
      </c>
      <c r="AL4072">
        <v>86.294850100672505</v>
      </c>
      <c r="AM4072">
        <v>77.953242938243505</v>
      </c>
      <c r="AN4072">
        <v>0.999999948288258</v>
      </c>
    </row>
    <row r="4073" spans="1:40" x14ac:dyDescent="0.25">
      <c r="A4073" t="str">
        <f>"20190305135711707"</f>
        <v>20190305135711707</v>
      </c>
      <c r="B4073" t="str">
        <f>"1551765431696586"</f>
        <v>1551765431696586</v>
      </c>
      <c r="C4073" t="s">
        <v>40</v>
      </c>
      <c r="D4073">
        <v>4.1928799999999997</v>
      </c>
      <c r="E4073">
        <v>0.5703937</v>
      </c>
      <c r="F4073" t="s">
        <v>43</v>
      </c>
      <c r="G4073">
        <v>-309.69439999999997</v>
      </c>
      <c r="H4073">
        <v>-0.05</v>
      </c>
      <c r="I4073">
        <v>10.56865</v>
      </c>
      <c r="J4073">
        <v>-328.26940000000002</v>
      </c>
      <c r="K4073">
        <v>1.107081</v>
      </c>
      <c r="L4073">
        <v>17.773800000000001</v>
      </c>
      <c r="M4073">
        <v>0.99949060000000001</v>
      </c>
      <c r="N4073">
        <v>-1.210804E-2</v>
      </c>
      <c r="O4073">
        <v>2.9527310000000001E-2</v>
      </c>
      <c r="P4073">
        <v>0.98186240000000002</v>
      </c>
      <c r="Q4073">
        <v>5.4707529999999997E-2</v>
      </c>
      <c r="R4073">
        <v>-0.1815302</v>
      </c>
      <c r="S4073">
        <v>2.8642880000000002</v>
      </c>
      <c r="T4073">
        <v>-0.17668039999999999</v>
      </c>
      <c r="U4073">
        <v>-1.099335</v>
      </c>
      <c r="V4073">
        <v>0.21083550000000001</v>
      </c>
      <c r="W4073">
        <v>6.5272930000000007E-2</v>
      </c>
      <c r="X4073">
        <v>0.97533979999999998</v>
      </c>
      <c r="Y4073">
        <v>0.38492300000000002</v>
      </c>
      <c r="Z4073">
        <v>-1.528205E-2</v>
      </c>
      <c r="AA4073">
        <v>0.92282220000000004</v>
      </c>
      <c r="AB4073">
        <v>36</v>
      </c>
      <c r="AC4073">
        <v>18.574999999999999</v>
      </c>
      <c r="AD4073">
        <v>-1.157081</v>
      </c>
      <c r="AE4073">
        <v>-7.2051499999999997</v>
      </c>
      <c r="AF4073">
        <v>7.7244644358418899</v>
      </c>
      <c r="AG4073">
        <v>-1.157081</v>
      </c>
      <c r="AH4073">
        <v>18.292437624559501</v>
      </c>
      <c r="AI4073">
        <v>93.334976888148105</v>
      </c>
      <c r="AJ4073">
        <v>67.106814615308394</v>
      </c>
      <c r="AK4073">
        <v>19.8901850546833</v>
      </c>
      <c r="AL4073">
        <v>86.257475632690003</v>
      </c>
      <c r="AM4073">
        <v>77.802268934764598</v>
      </c>
      <c r="AN4073">
        <v>0.99999994445753504</v>
      </c>
    </row>
    <row r="4074" spans="1:40" x14ac:dyDescent="0.25">
      <c r="A4074" t="str">
        <f>"20190305135711727"</f>
        <v>20190305135711727</v>
      </c>
      <c r="B4074" t="str">
        <f>"1551765431716105"</f>
        <v>1551765431716105</v>
      </c>
      <c r="C4074" t="s">
        <v>40</v>
      </c>
      <c r="D4074">
        <v>4.191846</v>
      </c>
      <c r="E4074">
        <v>0.57088809999999901</v>
      </c>
      <c r="F4074" t="s">
        <v>43</v>
      </c>
      <c r="G4074">
        <v>-309.6148</v>
      </c>
      <c r="H4074">
        <v>-0.05</v>
      </c>
      <c r="I4074">
        <v>10.50409</v>
      </c>
      <c r="J4074">
        <v>-327.95209999999997</v>
      </c>
      <c r="K4074">
        <v>1.106776</v>
      </c>
      <c r="L4074">
        <v>17.780270000000002</v>
      </c>
      <c r="M4074">
        <v>0.99957430000000003</v>
      </c>
      <c r="N4074">
        <v>-1.243327E-2</v>
      </c>
      <c r="O4074">
        <v>2.6399349999999999E-2</v>
      </c>
      <c r="P4074">
        <v>0.98032050000000004</v>
      </c>
      <c r="Q4074">
        <v>5.3661750000000001E-2</v>
      </c>
      <c r="R4074">
        <v>-0.18998010000000001</v>
      </c>
      <c r="S4074">
        <v>2.8592529999999998</v>
      </c>
      <c r="T4074">
        <v>-0.17735029999999999</v>
      </c>
      <c r="U4074">
        <v>-1.114258</v>
      </c>
      <c r="V4074">
        <v>0.2162328</v>
      </c>
      <c r="W4074">
        <v>6.4327910000000002E-2</v>
      </c>
      <c r="X4074">
        <v>0.97422030000000004</v>
      </c>
      <c r="Y4074">
        <v>0.38675720000000002</v>
      </c>
      <c r="Z4074">
        <v>-1.5316750000000001E-2</v>
      </c>
      <c r="AA4074">
        <v>0.92205440000000005</v>
      </c>
      <c r="AB4074">
        <v>36</v>
      </c>
      <c r="AC4074">
        <v>18.3372999999999</v>
      </c>
      <c r="AD4074">
        <v>-1.156776</v>
      </c>
      <c r="AE4074">
        <v>-7.2761800000000001</v>
      </c>
      <c r="AF4074">
        <v>7.7311927416095401</v>
      </c>
      <c r="AG4074">
        <v>-1.156776</v>
      </c>
      <c r="AH4074">
        <v>18.0766563052455</v>
      </c>
      <c r="AI4074">
        <v>93.367255340429296</v>
      </c>
      <c r="AJ4074">
        <v>66.844121905879305</v>
      </c>
      <c r="AK4074">
        <v>19.6945417590779</v>
      </c>
      <c r="AL4074">
        <v>86.311735350403197</v>
      </c>
      <c r="AM4074">
        <v>77.485798265902801</v>
      </c>
      <c r="AN4074">
        <v>0.99999994836644701</v>
      </c>
    </row>
    <row r="4075" spans="1:40" x14ac:dyDescent="0.25">
      <c r="A4075" t="str">
        <f>"20190305135711750"</f>
        <v>20190305135711750</v>
      </c>
      <c r="B4075" t="str">
        <f>"1551765431746362"</f>
        <v>1551765431746362</v>
      </c>
      <c r="C4075" t="s">
        <v>40</v>
      </c>
      <c r="D4075">
        <v>4.18187</v>
      </c>
      <c r="E4075">
        <v>0.57195319999999905</v>
      </c>
      <c r="F4075" t="s">
        <v>43</v>
      </c>
      <c r="G4075">
        <v>-309.49149999999997</v>
      </c>
      <c r="H4075">
        <v>-0.05</v>
      </c>
      <c r="I4075">
        <v>10.38171</v>
      </c>
      <c r="J4075">
        <v>-327.59339999999997</v>
      </c>
      <c r="K4075">
        <v>1.106422</v>
      </c>
      <c r="L4075">
        <v>17.78613</v>
      </c>
      <c r="M4075">
        <v>0.99966460000000001</v>
      </c>
      <c r="N4075">
        <v>-1.2761659999999999E-2</v>
      </c>
      <c r="O4075">
        <v>2.2534330000000002E-2</v>
      </c>
      <c r="P4075">
        <v>0.97863100000000003</v>
      </c>
      <c r="Q4075">
        <v>5.0280039999999998E-2</v>
      </c>
      <c r="R4075">
        <v>-0.19938320000000001</v>
      </c>
      <c r="S4075">
        <v>2.8487239999999998</v>
      </c>
      <c r="T4075">
        <v>-0.17850539999999901</v>
      </c>
      <c r="U4075">
        <v>-1.1416930000000001</v>
      </c>
      <c r="V4075">
        <v>0.22185559999999999</v>
      </c>
      <c r="W4075">
        <v>6.1025179999999998E-2</v>
      </c>
      <c r="X4075">
        <v>0.97316800000000003</v>
      </c>
      <c r="Y4075">
        <v>0.39199329999999999</v>
      </c>
      <c r="Z4075">
        <v>-1.5494310000000001E-2</v>
      </c>
      <c r="AA4075">
        <v>0.91983760000000003</v>
      </c>
      <c r="AB4075">
        <v>36</v>
      </c>
      <c r="AC4075">
        <v>18.101900000000001</v>
      </c>
      <c r="AD4075">
        <v>-1.1564219999999901</v>
      </c>
      <c r="AE4075">
        <v>-7.40442</v>
      </c>
      <c r="AF4075">
        <v>7.7832750044465797</v>
      </c>
      <c r="AG4075">
        <v>-1.1564219999999901</v>
      </c>
      <c r="AH4075">
        <v>17.8679653878389</v>
      </c>
      <c r="AI4075">
        <v>93.395687369143403</v>
      </c>
      <c r="AJ4075">
        <v>66.4620875552109</v>
      </c>
      <c r="AK4075">
        <v>19.523853839289401</v>
      </c>
      <c r="AL4075">
        <v>86.501340790880107</v>
      </c>
      <c r="AM4075">
        <v>77.157611682921598</v>
      </c>
      <c r="AN4075">
        <v>0.99999996803469504</v>
      </c>
    </row>
    <row r="4076" spans="1:40" x14ac:dyDescent="0.25">
      <c r="A4076" t="str">
        <f>"20190305135711761"</f>
        <v>20190305135711761</v>
      </c>
      <c r="B4076" t="str">
        <f>"1551765431756122"</f>
        <v>1551765431756122</v>
      </c>
      <c r="C4076" t="s">
        <v>40</v>
      </c>
      <c r="D4076">
        <v>4.1731780000000001</v>
      </c>
      <c r="E4076">
        <v>0.57229079999999999</v>
      </c>
      <c r="F4076" t="s">
        <v>43</v>
      </c>
      <c r="G4076">
        <v>-310.84370000000001</v>
      </c>
      <c r="H4076">
        <v>-0.05</v>
      </c>
      <c r="I4076">
        <v>10.833500000000001</v>
      </c>
      <c r="J4076">
        <v>-327.39330000000001</v>
      </c>
      <c r="K4076">
        <v>1.106233</v>
      </c>
      <c r="L4076">
        <v>17.78848</v>
      </c>
      <c r="M4076">
        <v>0.99971270000000001</v>
      </c>
      <c r="N4076">
        <v>-1.292393E-2</v>
      </c>
      <c r="O4076">
        <v>2.0190110000000001E-2</v>
      </c>
      <c r="P4076">
        <v>0.97763520000000004</v>
      </c>
      <c r="Q4076">
        <v>4.8959830000000003E-2</v>
      </c>
      <c r="R4076">
        <v>-0.20452960000000001</v>
      </c>
      <c r="S4076">
        <v>2.8357540000000001</v>
      </c>
      <c r="T4076">
        <v>-0.19578400000000001</v>
      </c>
      <c r="U4076">
        <v>-1.1770940000000001</v>
      </c>
      <c r="V4076">
        <v>0.2247151</v>
      </c>
      <c r="W4076">
        <v>5.9731970000000002E-2</v>
      </c>
      <c r="X4076">
        <v>0.97259200000000001</v>
      </c>
      <c r="Y4076">
        <v>0.40092879999999997</v>
      </c>
      <c r="Z4076">
        <v>-1.706189E-2</v>
      </c>
      <c r="AA4076">
        <v>0.91595040000000005</v>
      </c>
      <c r="AB4076">
        <v>36</v>
      </c>
      <c r="AC4076">
        <v>16.549599999999899</v>
      </c>
      <c r="AD4076">
        <v>-1.1562330000000001</v>
      </c>
      <c r="AE4076">
        <v>-6.9549799999999902</v>
      </c>
      <c r="AF4076">
        <v>7.2576205060668899</v>
      </c>
      <c r="AG4076">
        <v>-1.1562330000000001</v>
      </c>
      <c r="AH4076">
        <v>16.3380154321265</v>
      </c>
      <c r="AI4076">
        <v>93.700475893215696</v>
      </c>
      <c r="AJ4076">
        <v>66.048404830158006</v>
      </c>
      <c r="AK4076">
        <v>17.9148172868376</v>
      </c>
      <c r="AL4076">
        <v>86.575571784376706</v>
      </c>
      <c r="AM4076">
        <v>76.990238236508901</v>
      </c>
      <c r="AN4076">
        <v>0.99999999143604501</v>
      </c>
    </row>
    <row r="4077" spans="1:40" x14ac:dyDescent="0.25">
      <c r="A4077" t="str">
        <f>"20190305135711775"</f>
        <v>20190305135711775</v>
      </c>
      <c r="B4077" t="str">
        <f>"1551765431766858"</f>
        <v>1551765431766858</v>
      </c>
      <c r="C4077" t="s">
        <v>40</v>
      </c>
      <c r="D4077">
        <v>4.0768690000000003</v>
      </c>
      <c r="E4077">
        <v>0.5723954</v>
      </c>
      <c r="F4077" t="s">
        <v>43</v>
      </c>
      <c r="G4077">
        <v>-311.22269999999997</v>
      </c>
      <c r="H4077">
        <v>-0.05</v>
      </c>
      <c r="I4077">
        <v>10.96101</v>
      </c>
      <c r="J4077">
        <v>-327.18439999999998</v>
      </c>
      <c r="K4077">
        <v>1.1060399999999999</v>
      </c>
      <c r="L4077">
        <v>17.79053</v>
      </c>
      <c r="M4077">
        <v>0.99975809999999998</v>
      </c>
      <c r="N4077">
        <v>-1.3085009999999999E-2</v>
      </c>
      <c r="O4077">
        <v>1.7680749999999999E-2</v>
      </c>
      <c r="P4077">
        <v>0.9766108</v>
      </c>
      <c r="Q4077">
        <v>4.7936069999999997E-2</v>
      </c>
      <c r="R4077">
        <v>-0.20960429999999999</v>
      </c>
      <c r="S4077">
        <v>2.8288880000000001</v>
      </c>
      <c r="T4077">
        <v>-0.2022709</v>
      </c>
      <c r="U4077">
        <v>-1.1943969999999999</v>
      </c>
      <c r="V4077">
        <v>0.22734650000000001</v>
      </c>
      <c r="W4077">
        <v>5.873428E-2</v>
      </c>
      <c r="X4077">
        <v>0.97204109999999999</v>
      </c>
      <c r="Y4077">
        <v>0.40410889999999999</v>
      </c>
      <c r="Z4077">
        <v>-1.7585940000000001E-2</v>
      </c>
      <c r="AA4077">
        <v>0.91454179999999996</v>
      </c>
      <c r="AB4077">
        <v>36</v>
      </c>
      <c r="AC4077">
        <v>15.9617</v>
      </c>
      <c r="AD4077">
        <v>-1.15604</v>
      </c>
      <c r="AE4077">
        <v>-6.8295199999999996</v>
      </c>
      <c r="AF4077">
        <v>7.0793030042893896</v>
      </c>
      <c r="AG4077">
        <v>-1.15604</v>
      </c>
      <c r="AH4077">
        <v>15.768528599592999</v>
      </c>
      <c r="AI4077">
        <v>93.8263593886807</v>
      </c>
      <c r="AJ4077">
        <v>65.822237114535994</v>
      </c>
      <c r="AK4077">
        <v>17.323378818934899</v>
      </c>
      <c r="AL4077">
        <v>86.632835866688097</v>
      </c>
      <c r="AM4077">
        <v>76.835967923067599</v>
      </c>
      <c r="AN4077">
        <v>1.0000000233992801</v>
      </c>
    </row>
    <row r="4078" spans="1:40" x14ac:dyDescent="0.25">
      <c r="A4078" t="str">
        <f>"20190305135711797"</f>
        <v>20190305135711797</v>
      </c>
      <c r="B4078" t="str">
        <f>"1551765431786378"</f>
        <v>1551765431786378</v>
      </c>
      <c r="C4078" t="s">
        <v>40</v>
      </c>
      <c r="D4078">
        <v>4.0777020000000004</v>
      </c>
      <c r="E4078">
        <v>0.57257669999999905</v>
      </c>
      <c r="F4078" t="s">
        <v>43</v>
      </c>
      <c r="G4078">
        <v>-310.90690000000001</v>
      </c>
      <c r="H4078">
        <v>-0.05</v>
      </c>
      <c r="I4078">
        <v>10.81293</v>
      </c>
      <c r="J4078">
        <v>-326.84629999999999</v>
      </c>
      <c r="K4078">
        <v>1.105761</v>
      </c>
      <c r="L4078">
        <v>17.792479999999902</v>
      </c>
      <c r="M4078">
        <v>0.99982139999999997</v>
      </c>
      <c r="N4078">
        <v>-1.331942E-2</v>
      </c>
      <c r="O4078">
        <v>1.3415160000000001E-2</v>
      </c>
      <c r="P4078">
        <v>0.97464510000000004</v>
      </c>
      <c r="Q4078">
        <v>4.556669E-2</v>
      </c>
      <c r="R4078">
        <v>-0.2190674</v>
      </c>
      <c r="S4078">
        <v>2.8220519999999998</v>
      </c>
      <c r="T4078">
        <v>-0.2004242</v>
      </c>
      <c r="U4078">
        <v>-1.2097169999999999</v>
      </c>
      <c r="V4078">
        <v>0.23264950000000001</v>
      </c>
      <c r="W4078">
        <v>5.6377379999999998E-2</v>
      </c>
      <c r="X4078">
        <v>0.97092520000000004</v>
      </c>
      <c r="Y4078">
        <v>0.40522039999999998</v>
      </c>
      <c r="Z4078">
        <v>-1.7325099999999899E-2</v>
      </c>
      <c r="AA4078">
        <v>0.9140549</v>
      </c>
      <c r="AB4078">
        <v>36</v>
      </c>
      <c r="AC4078">
        <v>15.9393999999999</v>
      </c>
      <c r="AD4078">
        <v>-1.155761</v>
      </c>
      <c r="AE4078">
        <v>-6.9795499999999899</v>
      </c>
      <c r="AF4078">
        <v>7.1611770432416701</v>
      </c>
      <c r="AG4078">
        <v>-1.155761</v>
      </c>
      <c r="AH4078">
        <v>15.7747311527891</v>
      </c>
      <c r="AI4078">
        <v>93.816777087675604</v>
      </c>
      <c r="AJ4078">
        <v>65.583610387278199</v>
      </c>
      <c r="AK4078">
        <v>17.362614523065002</v>
      </c>
      <c r="AL4078">
        <v>86.768100379444405</v>
      </c>
      <c r="AM4078">
        <v>76.525055807868597</v>
      </c>
      <c r="AN4078">
        <v>0.99999997141047603</v>
      </c>
    </row>
    <row r="4079" spans="1:40" x14ac:dyDescent="0.25">
      <c r="A4079" t="str">
        <f>"20190305135711810"</f>
        <v>20190305135711810</v>
      </c>
      <c r="B4079" t="str">
        <f>"1551765431796137"</f>
        <v>1551765431796137</v>
      </c>
      <c r="C4079" t="s">
        <v>40</v>
      </c>
      <c r="D4079">
        <v>4.2037490000000002</v>
      </c>
      <c r="E4079">
        <v>0.57292010000000004</v>
      </c>
      <c r="F4079" t="s">
        <v>43</v>
      </c>
      <c r="G4079">
        <v>-310.38369999999998</v>
      </c>
      <c r="H4079">
        <v>-0.05</v>
      </c>
      <c r="I4079">
        <v>10.536899999999999</v>
      </c>
      <c r="J4079">
        <v>-326.62720000000002</v>
      </c>
      <c r="K4079">
        <v>1.1055969999999999</v>
      </c>
      <c r="L4079">
        <v>17.793029999999899</v>
      </c>
      <c r="M4079">
        <v>0.99985380000000001</v>
      </c>
      <c r="N4079">
        <v>-1.345791E-2</v>
      </c>
      <c r="O4079">
        <v>1.054196E-2</v>
      </c>
      <c r="P4079">
        <v>0.97359969999999996</v>
      </c>
      <c r="Q4079">
        <v>4.5207629999999999E-2</v>
      </c>
      <c r="R4079">
        <v>-0.2237401</v>
      </c>
      <c r="S4079">
        <v>2.8089900000000001</v>
      </c>
      <c r="T4079">
        <v>-0.1972053</v>
      </c>
      <c r="U4079">
        <v>-1.2380070000000001</v>
      </c>
      <c r="V4079">
        <v>0.23453869999999999</v>
      </c>
      <c r="W4079">
        <v>5.6034109999999998E-2</v>
      </c>
      <c r="X4079">
        <v>0.97049050000000003</v>
      </c>
      <c r="Y4079">
        <v>0.4118713</v>
      </c>
      <c r="Z4079">
        <v>-1.7271189999999999E-2</v>
      </c>
      <c r="AA4079">
        <v>0.91107839999999995</v>
      </c>
      <c r="AB4079">
        <v>35</v>
      </c>
      <c r="AC4079">
        <v>16.243500000000001</v>
      </c>
      <c r="AD4079">
        <v>-1.155597</v>
      </c>
      <c r="AE4079">
        <v>-7.25612999999999</v>
      </c>
      <c r="AF4079">
        <v>7.3957759300195898</v>
      </c>
      <c r="AG4079">
        <v>-1.155597</v>
      </c>
      <c r="AH4079">
        <v>16.098174213055401</v>
      </c>
      <c r="AI4079">
        <v>93.732106509759504</v>
      </c>
      <c r="AJ4079">
        <v>65.325142546432005</v>
      </c>
      <c r="AK4079">
        <v>17.753425557546599</v>
      </c>
      <c r="AL4079">
        <v>86.787799588857197</v>
      </c>
      <c r="AM4079">
        <v>76.413813793851602</v>
      </c>
      <c r="AN4079">
        <v>1.0000000169357099</v>
      </c>
    </row>
    <row r="4080" spans="1:40" x14ac:dyDescent="0.25">
      <c r="A4080" t="str">
        <f>"20190305135711827"</f>
        <v>20190305135711827</v>
      </c>
      <c r="B4080" t="str">
        <f>"1551765431816635"</f>
        <v>1551765431816635</v>
      </c>
      <c r="C4080" t="s">
        <v>40</v>
      </c>
      <c r="D4080">
        <v>4.2734290000000001</v>
      </c>
      <c r="E4080">
        <v>0.57368909999999995</v>
      </c>
      <c r="F4080" t="s">
        <v>43</v>
      </c>
      <c r="G4080">
        <v>-310.41410000000002</v>
      </c>
      <c r="H4080">
        <v>-0.05</v>
      </c>
      <c r="I4080">
        <v>10.534420000000001</v>
      </c>
      <c r="J4080">
        <v>-326.3501</v>
      </c>
      <c r="K4080">
        <v>1.10541</v>
      </c>
      <c r="L4080">
        <v>17.792449999999999</v>
      </c>
      <c r="M4080">
        <v>0.99988469999999996</v>
      </c>
      <c r="N4080">
        <v>-1.361414E-2</v>
      </c>
      <c r="O4080">
        <v>6.7336560000000002E-3</v>
      </c>
      <c r="P4080">
        <v>0.97183390000000003</v>
      </c>
      <c r="Q4080">
        <v>4.6925170000000002E-2</v>
      </c>
      <c r="R4080">
        <v>-0.23094809999999999</v>
      </c>
      <c r="S4080">
        <v>2.8023380000000002</v>
      </c>
      <c r="T4080">
        <v>-0.1997379</v>
      </c>
      <c r="U4080">
        <v>-1.2546079999999999</v>
      </c>
      <c r="V4080">
        <v>0.2380796</v>
      </c>
      <c r="W4080">
        <v>5.7740329999999999E-2</v>
      </c>
      <c r="X4080">
        <v>0.96952780000000005</v>
      </c>
      <c r="Y4080">
        <v>0.41367789999999999</v>
      </c>
      <c r="Z4080">
        <v>-1.7372729999999999E-2</v>
      </c>
      <c r="AA4080">
        <v>0.9102576</v>
      </c>
      <c r="AB4080">
        <v>35</v>
      </c>
      <c r="AC4080">
        <v>15.9359999999999</v>
      </c>
      <c r="AD4080">
        <v>-1.15541</v>
      </c>
      <c r="AE4080">
        <v>-7.2580299999999998</v>
      </c>
      <c r="AF4080">
        <v>7.3332566997917201</v>
      </c>
      <c r="AG4080">
        <v>-1.15541</v>
      </c>
      <c r="AH4080">
        <v>15.8178959516056</v>
      </c>
      <c r="AI4080">
        <v>93.791402823584207</v>
      </c>
      <c r="AJ4080">
        <v>65.127322047526405</v>
      </c>
      <c r="AK4080">
        <v>17.473335641169399</v>
      </c>
      <c r="AL4080">
        <v>86.689881744868501</v>
      </c>
      <c r="AM4080">
        <v>76.203303309832293</v>
      </c>
      <c r="AN4080">
        <v>0.99999999830875397</v>
      </c>
    </row>
    <row r="4081" spans="1:40" x14ac:dyDescent="0.25">
      <c r="A4081" t="str">
        <f>"20190305135711839"</f>
        <v>20190305135711839</v>
      </c>
      <c r="B4081" t="str">
        <f>"1551765431836154"</f>
        <v>1551765431836154</v>
      </c>
      <c r="C4081" t="s">
        <v>40</v>
      </c>
      <c r="D4081">
        <v>4.2671330000000003</v>
      </c>
      <c r="E4081">
        <v>0.57450290000000004</v>
      </c>
      <c r="F4081" t="s">
        <v>43</v>
      </c>
      <c r="G4081">
        <v>-309.98860000000002</v>
      </c>
      <c r="H4081">
        <v>-0.05</v>
      </c>
      <c r="I4081">
        <v>10.277559999999999</v>
      </c>
      <c r="J4081">
        <v>-326.17009999999999</v>
      </c>
      <c r="K4081">
        <v>1.105289</v>
      </c>
      <c r="L4081">
        <v>17.791319999999999</v>
      </c>
      <c r="M4081">
        <v>0.99989740000000005</v>
      </c>
      <c r="N4081">
        <v>-1.3706640000000001E-2</v>
      </c>
      <c r="O4081">
        <v>4.1600760000000004E-3</v>
      </c>
      <c r="P4081">
        <v>0.9708637</v>
      </c>
      <c r="Q4081">
        <v>4.7622640000000001E-2</v>
      </c>
      <c r="R4081">
        <v>-0.23485220000000001</v>
      </c>
      <c r="S4081">
        <v>2.7917480000000001</v>
      </c>
      <c r="T4081">
        <v>-0.1971464</v>
      </c>
      <c r="U4081">
        <v>-1.282257</v>
      </c>
      <c r="V4081">
        <v>0.2395079</v>
      </c>
      <c r="W4081">
        <v>5.8432959999999999E-2</v>
      </c>
      <c r="X4081">
        <v>0.96913439999999995</v>
      </c>
      <c r="Y4081">
        <v>0.42009380000000002</v>
      </c>
      <c r="Z4081">
        <v>-1.735428E-2</v>
      </c>
      <c r="AA4081">
        <v>0.90731470000000003</v>
      </c>
      <c r="AB4081">
        <v>35</v>
      </c>
      <c r="AC4081">
        <v>16.1814999999999</v>
      </c>
      <c r="AD4081">
        <v>-1.155289</v>
      </c>
      <c r="AE4081">
        <v>-7.5137600000000004</v>
      </c>
      <c r="AF4081">
        <v>7.5493614052703304</v>
      </c>
      <c r="AG4081">
        <v>-1.155289</v>
      </c>
      <c r="AH4081">
        <v>16.082661011919999</v>
      </c>
      <c r="AI4081">
        <v>93.720513696055093</v>
      </c>
      <c r="AJ4081">
        <v>64.854171413099493</v>
      </c>
      <c r="AK4081">
        <v>17.803919105782199</v>
      </c>
      <c r="AL4081">
        <v>86.650129737656698</v>
      </c>
      <c r="AM4081">
        <v>76.118308282748202</v>
      </c>
      <c r="AN4081">
        <v>0.99999996512006495</v>
      </c>
    </row>
    <row r="4082" spans="1:40" x14ac:dyDescent="0.25">
      <c r="A4082" t="str">
        <f>"20190305135711852"</f>
        <v>20190305135711852</v>
      </c>
      <c r="B4082" t="str">
        <f>"1551765431846889"</f>
        <v>1551765431846889</v>
      </c>
      <c r="C4082" t="s">
        <v>40</v>
      </c>
      <c r="D4082">
        <v>4.2656269999999896</v>
      </c>
      <c r="E4082">
        <v>0.62554549999999998</v>
      </c>
      <c r="F4082" t="s">
        <v>43</v>
      </c>
      <c r="G4082">
        <v>-309.87520000000001</v>
      </c>
      <c r="H4082">
        <v>-0.05</v>
      </c>
      <c r="I4082">
        <v>10.185650000000001</v>
      </c>
      <c r="J4082">
        <v>-325.94409999999999</v>
      </c>
      <c r="K4082">
        <v>1.1051299999999999</v>
      </c>
      <c r="L4082">
        <v>17.789429999999999</v>
      </c>
      <c r="M4082">
        <v>0.99990420000000002</v>
      </c>
      <c r="N4082">
        <v>-1.381719E-2</v>
      </c>
      <c r="O4082">
        <v>8.5477809999999997E-4</v>
      </c>
      <c r="P4082">
        <v>0.96975619999999996</v>
      </c>
      <c r="Q4082">
        <v>4.8488749999999997E-2</v>
      </c>
      <c r="R4082">
        <v>-0.23921010000000001</v>
      </c>
      <c r="S4082">
        <v>2.7852480000000002</v>
      </c>
      <c r="T4082">
        <v>-0.1974707</v>
      </c>
      <c r="U4082">
        <v>-1.3000179999999999</v>
      </c>
      <c r="V4082">
        <v>0.2406913</v>
      </c>
      <c r="W4082">
        <v>5.9292640000000001E-2</v>
      </c>
      <c r="X4082">
        <v>0.96878900000000001</v>
      </c>
      <c r="Y4082">
        <v>0.42265140000000001</v>
      </c>
      <c r="Z4082">
        <v>-1.7343580000000001E-2</v>
      </c>
      <c r="AA4082">
        <v>0.9061264</v>
      </c>
      <c r="AB4082">
        <v>35</v>
      </c>
      <c r="AC4082">
        <v>16.0688999999999</v>
      </c>
      <c r="AD4082">
        <v>-1.15513</v>
      </c>
      <c r="AE4082">
        <v>-7.6037799999999898</v>
      </c>
      <c r="AF4082">
        <v>7.5854865301349497</v>
      </c>
      <c r="AG4082">
        <v>-1.15513</v>
      </c>
      <c r="AH4082">
        <v>15.9948606631303</v>
      </c>
      <c r="AI4082">
        <v>93.733412176541904</v>
      </c>
      <c r="AJ4082">
        <v>64.627575903532801</v>
      </c>
      <c r="AK4082">
        <v>17.740053518766899</v>
      </c>
      <c r="AL4082">
        <v>86.600788340647597</v>
      </c>
      <c r="AM4082">
        <v>76.047612429788799</v>
      </c>
      <c r="AN4082">
        <v>1.00000002278742</v>
      </c>
    </row>
    <row r="4083" spans="1:40" x14ac:dyDescent="0.25">
      <c r="A4083" t="str">
        <f>"20190305135711864"</f>
        <v>20190305135711864</v>
      </c>
      <c r="B4083" t="str">
        <f>"1551765431856650"</f>
        <v>1551765431856650</v>
      </c>
      <c r="C4083" t="s">
        <v>40</v>
      </c>
      <c r="D4083">
        <v>4.2316140000000004</v>
      </c>
      <c r="E4083">
        <v>0.6258184</v>
      </c>
      <c r="F4083" t="s">
        <v>43</v>
      </c>
      <c r="G4083">
        <v>-316.02539999999999</v>
      </c>
      <c r="H4083">
        <v>-0.05</v>
      </c>
      <c r="I4083">
        <v>11.4617</v>
      </c>
      <c r="J4083">
        <v>-325.7595</v>
      </c>
      <c r="K4083">
        <v>1.104994</v>
      </c>
      <c r="L4083">
        <v>17.78717</v>
      </c>
      <c r="M4083">
        <v>0.9999015</v>
      </c>
      <c r="N4083">
        <v>-1.3900640000000001E-2</v>
      </c>
      <c r="O4083">
        <v>-1.957098E-3</v>
      </c>
      <c r="P4083">
        <v>0.96892370000000005</v>
      </c>
      <c r="Q4083">
        <v>4.9007170000000003E-2</v>
      </c>
      <c r="R4083">
        <v>-0.24245700000000001</v>
      </c>
      <c r="S4083">
        <v>2.686493</v>
      </c>
      <c r="T4083">
        <v>-0.31286760000000002</v>
      </c>
      <c r="U4083">
        <v>-1.71386699999999</v>
      </c>
      <c r="V4083">
        <v>0.2412397</v>
      </c>
      <c r="W4083">
        <v>5.9799079999999998E-2</v>
      </c>
      <c r="X4083">
        <v>0.96862139999999997</v>
      </c>
      <c r="Y4083">
        <v>0.53322419999999904</v>
      </c>
      <c r="Z4083">
        <v>-3.2180640000000003E-2</v>
      </c>
      <c r="AA4083">
        <v>0.84536160000000005</v>
      </c>
      <c r="AB4083">
        <v>35</v>
      </c>
      <c r="AC4083">
        <v>9.7341000000000104</v>
      </c>
      <c r="AD4083">
        <v>-1.1549940000000001</v>
      </c>
      <c r="AE4083">
        <v>-6.3254699999999904</v>
      </c>
      <c r="AF4083">
        <v>6.2445911930492404</v>
      </c>
      <c r="AG4083">
        <v>-1.1549940000000001</v>
      </c>
      <c r="AH4083">
        <v>9.65092902963546</v>
      </c>
      <c r="AI4083">
        <v>95.737698046823397</v>
      </c>
      <c r="AJ4083">
        <v>57.095291013482701</v>
      </c>
      <c r="AK4083">
        <v>11.552894072197001</v>
      </c>
      <c r="AL4083">
        <v>86.571719704231697</v>
      </c>
      <c r="AM4083">
        <v>76.0147442563146</v>
      </c>
      <c r="AN4083">
        <v>0.999999969681447</v>
      </c>
    </row>
    <row r="4084" spans="1:40" x14ac:dyDescent="0.25">
      <c r="A4084" t="str">
        <f>"20190305135711878"</f>
        <v>20190305135711878</v>
      </c>
      <c r="B4084" t="str">
        <f>"1551765431866409"</f>
        <v>1551765431866409</v>
      </c>
      <c r="C4084" t="s">
        <v>40</v>
      </c>
      <c r="D4084">
        <v>4.324465</v>
      </c>
      <c r="E4084">
        <v>0.62443199999999999</v>
      </c>
      <c r="F4084" t="s">
        <v>43</v>
      </c>
      <c r="G4084">
        <v>-315.92079999999999</v>
      </c>
      <c r="H4084">
        <v>-0.05</v>
      </c>
      <c r="I4084">
        <v>11.454700000000001</v>
      </c>
      <c r="J4084">
        <v>-325.55399999999997</v>
      </c>
      <c r="K4084">
        <v>1.104841</v>
      </c>
      <c r="L4084">
        <v>17.783909999999999</v>
      </c>
      <c r="M4084">
        <v>0.99988880000000002</v>
      </c>
      <c r="N4084">
        <v>-1.398862E-2</v>
      </c>
      <c r="O4084">
        <v>-5.1891799999999998E-3</v>
      </c>
      <c r="P4084">
        <v>0.96811150000000001</v>
      </c>
      <c r="Q4084">
        <v>4.9132019999999998E-2</v>
      </c>
      <c r="R4084">
        <v>-0.24565439999999999</v>
      </c>
      <c r="S4084">
        <v>2.68045</v>
      </c>
      <c r="T4084">
        <v>-0.3146659</v>
      </c>
      <c r="U4084">
        <v>-1.72522</v>
      </c>
      <c r="V4084">
        <v>0.2413333</v>
      </c>
      <c r="W4084">
        <v>5.9910949999999998E-2</v>
      </c>
      <c r="X4084">
        <v>0.96859119999999999</v>
      </c>
      <c r="Y4084">
        <v>0.53386750000000005</v>
      </c>
      <c r="Z4084">
        <v>-3.2131060000000003E-2</v>
      </c>
      <c r="AA4084">
        <v>0.84495750000000003</v>
      </c>
      <c r="AB4084">
        <v>35</v>
      </c>
      <c r="AC4084">
        <v>9.6332000000000395</v>
      </c>
      <c r="AD4084">
        <v>-1.154841</v>
      </c>
      <c r="AE4084">
        <v>-6.3292099999999998</v>
      </c>
      <c r="AF4084">
        <v>6.2167263481700399</v>
      </c>
      <c r="AG4084">
        <v>-1.154841</v>
      </c>
      <c r="AH4084">
        <v>9.5698522158058399</v>
      </c>
      <c r="AI4084">
        <v>95.778481660013398</v>
      </c>
      <c r="AJ4084">
        <v>56.991613655628299</v>
      </c>
      <c r="AK4084">
        <v>11.470109661885299</v>
      </c>
      <c r="AL4084">
        <v>86.565298610465106</v>
      </c>
      <c r="AM4084">
        <v>76.009112047985198</v>
      </c>
      <c r="AN4084">
        <v>0.99999999816811602</v>
      </c>
    </row>
    <row r="4085" spans="1:40" x14ac:dyDescent="0.25">
      <c r="A4085" t="str">
        <f>"20190305135711890"</f>
        <v>20190305135711890</v>
      </c>
      <c r="B4085" t="str">
        <f>"1551765431886905"</f>
        <v>1551765431886905</v>
      </c>
      <c r="C4085" t="s">
        <v>40</v>
      </c>
      <c r="D4085">
        <v>4.3303979999999997</v>
      </c>
      <c r="E4085">
        <v>0.62335819999999997</v>
      </c>
      <c r="F4085" t="s">
        <v>43</v>
      </c>
      <c r="G4085">
        <v>-316.20499999999998</v>
      </c>
      <c r="H4085">
        <v>-0.05</v>
      </c>
      <c r="I4085">
        <v>11.76183</v>
      </c>
      <c r="J4085">
        <v>-325.34780000000001</v>
      </c>
      <c r="K4085">
        <v>1.1046830000000001</v>
      </c>
      <c r="L4085">
        <v>17.78012</v>
      </c>
      <c r="M4085">
        <v>0.99986489999999995</v>
      </c>
      <c r="N4085">
        <v>-1.407286E-2</v>
      </c>
      <c r="O4085">
        <v>-8.5067249999999997E-3</v>
      </c>
      <c r="P4085">
        <v>0.96731699999999998</v>
      </c>
      <c r="Q4085">
        <v>4.9329539999999998E-2</v>
      </c>
      <c r="R4085">
        <v>-0.24872559999999999</v>
      </c>
      <c r="S4085">
        <v>2.6778870000000001</v>
      </c>
      <c r="T4085">
        <v>-0.33078859999999999</v>
      </c>
      <c r="U4085">
        <v>-1.724945</v>
      </c>
      <c r="V4085">
        <v>0.24122160000000001</v>
      </c>
      <c r="W4085">
        <v>6.009229E-2</v>
      </c>
      <c r="X4085">
        <v>0.96860780000000002</v>
      </c>
      <c r="Y4085">
        <v>0.53110749999999995</v>
      </c>
      <c r="Z4085">
        <v>-3.3101419999999999E-2</v>
      </c>
      <c r="AA4085">
        <v>0.84665759999999901</v>
      </c>
      <c r="AB4085">
        <v>35</v>
      </c>
      <c r="AC4085">
        <v>9.1428000000000207</v>
      </c>
      <c r="AD4085">
        <v>-1.1546829999999999</v>
      </c>
      <c r="AE4085">
        <v>-6.0182900000000004</v>
      </c>
      <c r="AF4085">
        <v>5.8749112256952101</v>
      </c>
      <c r="AG4085">
        <v>-1.1546829999999999</v>
      </c>
      <c r="AH4085">
        <v>9.09248587553666</v>
      </c>
      <c r="AI4085">
        <v>96.088426541163898</v>
      </c>
      <c r="AJ4085">
        <v>57.132359056197501</v>
      </c>
      <c r="AK4085">
        <v>10.886743045425501</v>
      </c>
      <c r="AL4085">
        <v>86.554889870277705</v>
      </c>
      <c r="AM4085">
        <v>76.015563734024795</v>
      </c>
      <c r="AN4085">
        <v>1.00000000692242</v>
      </c>
    </row>
    <row r="4086" spans="1:40" x14ac:dyDescent="0.25">
      <c r="A4086" t="str">
        <f>"20190305135711907"</f>
        <v>20190305135711907</v>
      </c>
      <c r="B4086" t="str">
        <f>"1551765431896666"</f>
        <v>1551765431896666</v>
      </c>
      <c r="C4086" t="s">
        <v>40</v>
      </c>
      <c r="D4086">
        <v>4.3983439999999998</v>
      </c>
      <c r="E4086">
        <v>0.6234326</v>
      </c>
      <c r="F4086" t="s">
        <v>43</v>
      </c>
      <c r="G4086">
        <v>-316.52730000000003</v>
      </c>
      <c r="H4086">
        <v>-0.05</v>
      </c>
      <c r="I4086">
        <v>12.086779999999999</v>
      </c>
      <c r="J4086">
        <v>-325.07819999999998</v>
      </c>
      <c r="K4086">
        <v>1.1044700000000001</v>
      </c>
      <c r="L4086">
        <v>17.773710000000001</v>
      </c>
      <c r="M4086">
        <v>0.99981430000000004</v>
      </c>
      <c r="N4086">
        <v>-1.4174809999999999E-2</v>
      </c>
      <c r="O4086">
        <v>-1.3053749999999999E-2</v>
      </c>
      <c r="P4086">
        <v>0.96653900000000004</v>
      </c>
      <c r="Q4086">
        <v>5.0562780000000002E-2</v>
      </c>
      <c r="R4086">
        <v>-0.2514866</v>
      </c>
      <c r="S4086">
        <v>2.6752319999999998</v>
      </c>
      <c r="T4086">
        <v>-0.35021160000000001</v>
      </c>
      <c r="U4086">
        <v>-1.7267760000000001</v>
      </c>
      <c r="V4086">
        <v>0.23963280000000001</v>
      </c>
      <c r="W4086">
        <v>6.131122E-2</v>
      </c>
      <c r="X4086">
        <v>0.9689257</v>
      </c>
      <c r="Y4086">
        <v>0.52772759999999996</v>
      </c>
      <c r="Z4086">
        <v>-3.413211E-2</v>
      </c>
      <c r="AA4086">
        <v>0.84872760000000003</v>
      </c>
      <c r="AB4086">
        <v>35</v>
      </c>
      <c r="AC4086">
        <v>8.5508999999999507</v>
      </c>
      <c r="AD4086">
        <v>-1.1544700000000001</v>
      </c>
      <c r="AE4086">
        <v>-5.6869300000000003</v>
      </c>
      <c r="AF4086">
        <v>5.5052371514382497</v>
      </c>
      <c r="AG4086">
        <v>-1.1544700000000001</v>
      </c>
      <c r="AH4086">
        <v>8.5167787040547296</v>
      </c>
      <c r="AI4086">
        <v>96.494593195380403</v>
      </c>
      <c r="AJ4086">
        <v>57.121413493068196</v>
      </c>
      <c r="AK4086">
        <v>10.206662361826</v>
      </c>
      <c r="AL4086">
        <v>86.484921195537595</v>
      </c>
      <c r="AM4086">
        <v>76.108473700137196</v>
      </c>
      <c r="AN4086">
        <v>0.99999997832710896</v>
      </c>
    </row>
    <row r="4087" spans="1:40" x14ac:dyDescent="0.25">
      <c r="A4087" t="str">
        <f>"20190305135711928"</f>
        <v>20190305135711928</v>
      </c>
      <c r="B4087" t="str">
        <f>"1551765431916186"</f>
        <v>1551765431916186</v>
      </c>
      <c r="C4087" t="s">
        <v>40</v>
      </c>
      <c r="D4087">
        <v>4.3840260000000004</v>
      </c>
      <c r="E4087">
        <v>0.62430019999999997</v>
      </c>
      <c r="F4087" t="s">
        <v>43</v>
      </c>
      <c r="G4087">
        <v>-316.34780000000001</v>
      </c>
      <c r="H4087">
        <v>-0.05</v>
      </c>
      <c r="I4087">
        <v>12.101290000000001</v>
      </c>
      <c r="J4087">
        <v>-324.75</v>
      </c>
      <c r="K4087">
        <v>1.1041939999999999</v>
      </c>
      <c r="L4087">
        <v>17.764039999999898</v>
      </c>
      <c r="M4087">
        <v>0.99972019999999995</v>
      </c>
      <c r="N4087">
        <v>-1.428928E-2</v>
      </c>
      <c r="O4087">
        <v>-1.8848839999999999E-2</v>
      </c>
      <c r="P4087">
        <v>0.9652115</v>
      </c>
      <c r="Q4087">
        <v>5.0756669999999997E-2</v>
      </c>
      <c r="R4087">
        <v>-0.2564959</v>
      </c>
      <c r="S4087">
        <v>2.6708370000000001</v>
      </c>
      <c r="T4087">
        <v>-0.3531784</v>
      </c>
      <c r="U4087">
        <v>-1.7353209999999999</v>
      </c>
      <c r="V4087">
        <v>0.23908879999999999</v>
      </c>
      <c r="W4087">
        <v>6.1455429999999998E-2</v>
      </c>
      <c r="X4087">
        <v>0.969051</v>
      </c>
      <c r="Y4087">
        <v>0.52534749999999997</v>
      </c>
      <c r="Z4087">
        <v>-3.3658170000000001E-2</v>
      </c>
      <c r="AA4087">
        <v>0.85022180000000003</v>
      </c>
      <c r="AB4087">
        <v>35</v>
      </c>
      <c r="AC4087">
        <v>8.4021999999999899</v>
      </c>
      <c r="AD4087">
        <v>-1.1541939999999999</v>
      </c>
      <c r="AE4087">
        <v>-5.6627499999999902</v>
      </c>
      <c r="AF4087">
        <v>5.4328591204952401</v>
      </c>
      <c r="AG4087">
        <v>-1.1541939999999999</v>
      </c>
      <c r="AH4087">
        <v>8.3984755858156603</v>
      </c>
      <c r="AI4087">
        <v>96.582269128333294</v>
      </c>
      <c r="AJ4087">
        <v>57.101723699046502</v>
      </c>
      <c r="AK4087">
        <v>10.068888428139701</v>
      </c>
      <c r="AL4087">
        <v>86.476643151128499</v>
      </c>
      <c r="AM4087">
        <v>76.140515145665006</v>
      </c>
      <c r="AN4087">
        <v>1.00000003238146</v>
      </c>
    </row>
    <row r="4088" spans="1:40" x14ac:dyDescent="0.25">
      <c r="A4088" t="str">
        <f>"20190305135711952"</f>
        <v>20190305135711952</v>
      </c>
      <c r="B4088" t="str">
        <f>"1551765431946442"</f>
        <v>1551765431946442</v>
      </c>
      <c r="C4088" t="s">
        <v>40</v>
      </c>
      <c r="D4088">
        <v>4.4431640000000003</v>
      </c>
      <c r="E4088">
        <v>0.62598849999999995</v>
      </c>
      <c r="F4088" t="s">
        <v>43</v>
      </c>
      <c r="G4088">
        <v>-316.3596</v>
      </c>
      <c r="H4088">
        <v>-0.05</v>
      </c>
      <c r="I4088">
        <v>12.230119999999999</v>
      </c>
      <c r="J4088">
        <v>-324.38850000000002</v>
      </c>
      <c r="K4088">
        <v>1.1038779999999999</v>
      </c>
      <c r="L4088">
        <v>17.750789999999999</v>
      </c>
      <c r="M4088">
        <v>0.99956800000000001</v>
      </c>
      <c r="N4088">
        <v>-1.4403880000000001E-2</v>
      </c>
      <c r="O4088">
        <v>-2.562159E-2</v>
      </c>
      <c r="P4088">
        <v>0.96368549999999997</v>
      </c>
      <c r="Q4088">
        <v>5.1022959999999999E-2</v>
      </c>
      <c r="R4088">
        <v>-0.26212039999999998</v>
      </c>
      <c r="S4088">
        <v>2.6610109999999998</v>
      </c>
      <c r="T4088">
        <v>-0.36604930000000002</v>
      </c>
      <c r="U4088">
        <v>-1.755066</v>
      </c>
      <c r="V4088">
        <v>0.23822950000000001</v>
      </c>
      <c r="W4088">
        <v>6.1652940000000003E-2</v>
      </c>
      <c r="X4088">
        <v>0.96924999999999994</v>
      </c>
      <c r="Y4088">
        <v>0.52522569999999902</v>
      </c>
      <c r="Z4088">
        <v>-3.4038690000000003E-2</v>
      </c>
      <c r="AA4088">
        <v>0.85028199999999998</v>
      </c>
      <c r="AB4088">
        <v>35</v>
      </c>
      <c r="AC4088">
        <v>8.0289000000000197</v>
      </c>
      <c r="AD4088">
        <v>-1.153878</v>
      </c>
      <c r="AE4088">
        <v>-5.5206699999999902</v>
      </c>
      <c r="AF4088">
        <v>5.2396430193480601</v>
      </c>
      <c r="AG4088">
        <v>-1.153878</v>
      </c>
      <c r="AH4088">
        <v>8.0547681901723607</v>
      </c>
      <c r="AI4088">
        <v>96.847454207207406</v>
      </c>
      <c r="AJ4088">
        <v>56.955916401375397</v>
      </c>
      <c r="AK4088">
        <v>9.6780464974342504</v>
      </c>
      <c r="AL4088">
        <v>86.465304945407993</v>
      </c>
      <c r="AM4088">
        <v>76.191143548575994</v>
      </c>
      <c r="AN4088">
        <v>0.99999997109044603</v>
      </c>
    </row>
    <row r="4089" spans="1:40" x14ac:dyDescent="0.25">
      <c r="A4089" t="str">
        <f>"20190305135711963"</f>
        <v>20190305135711963</v>
      </c>
      <c r="B4089" t="str">
        <f>"1551765431956202"</f>
        <v>1551765431956202</v>
      </c>
      <c r="C4089" t="s">
        <v>40</v>
      </c>
      <c r="D4089">
        <v>4.4364650000000001</v>
      </c>
      <c r="E4089">
        <v>0.62666199999999905</v>
      </c>
      <c r="F4089" t="s">
        <v>43</v>
      </c>
      <c r="G4089">
        <v>-316.36509999999998</v>
      </c>
      <c r="H4089">
        <v>-0.05</v>
      </c>
      <c r="I4089">
        <v>12.35088</v>
      </c>
      <c r="J4089">
        <v>-324.17469999999997</v>
      </c>
      <c r="K4089">
        <v>1.1036840000000001</v>
      </c>
      <c r="L4089">
        <v>17.741489999999999</v>
      </c>
      <c r="M4089">
        <v>0.99945010000000001</v>
      </c>
      <c r="N4089">
        <v>-1.4467590000000001E-2</v>
      </c>
      <c r="O4089">
        <v>-2.983912E-2</v>
      </c>
      <c r="P4089">
        <v>0.96283580000000002</v>
      </c>
      <c r="Q4089">
        <v>5.1466900000000003E-2</v>
      </c>
      <c r="R4089">
        <v>-0.26513910000000002</v>
      </c>
      <c r="S4089">
        <v>2.6483759999999998</v>
      </c>
      <c r="T4089">
        <v>-0.38087280000000001</v>
      </c>
      <c r="U4089">
        <v>-1.7824099999999901</v>
      </c>
      <c r="V4089">
        <v>0.2372148</v>
      </c>
      <c r="W4089">
        <v>6.2058910000000002E-2</v>
      </c>
      <c r="X4089">
        <v>0.96947289999999997</v>
      </c>
      <c r="Y4089">
        <v>0.52926689999999998</v>
      </c>
      <c r="Z4089">
        <v>-3.5105009999999999E-2</v>
      </c>
      <c r="AA4089">
        <v>0.84772879999999995</v>
      </c>
      <c r="AB4089">
        <v>35</v>
      </c>
      <c r="AC4089">
        <v>7.8095999999999801</v>
      </c>
      <c r="AD4089">
        <v>-1.1536839999999999</v>
      </c>
      <c r="AE4089">
        <v>-5.3906099999999899</v>
      </c>
      <c r="AF4089">
        <v>5.0800658788606903</v>
      </c>
      <c r="AG4089">
        <v>-1.1536839999999999</v>
      </c>
      <c r="AH4089">
        <v>7.8509465975196804</v>
      </c>
      <c r="AI4089">
        <v>97.033222615827299</v>
      </c>
      <c r="AJ4089">
        <v>57.094543029600104</v>
      </c>
      <c r="AK4089">
        <v>9.4220708224108893</v>
      </c>
      <c r="AL4089">
        <v>86.441999827596305</v>
      </c>
      <c r="AM4089">
        <v>76.2507644527998</v>
      </c>
      <c r="AN4089">
        <v>0.99999993674191701</v>
      </c>
    </row>
    <row r="4090" spans="1:40" x14ac:dyDescent="0.25">
      <c r="A4090" t="str">
        <f>"20190305135711975"</f>
        <v>20190305135711975</v>
      </c>
      <c r="B4090" t="str">
        <f>"1551765431966864"</f>
        <v>1551765431966864</v>
      </c>
      <c r="C4090" t="s">
        <v>40</v>
      </c>
      <c r="D4090">
        <v>4.4282769999999996</v>
      </c>
      <c r="E4090">
        <v>0.62738079999999996</v>
      </c>
      <c r="F4090" t="s">
        <v>43</v>
      </c>
      <c r="G4090">
        <v>-316.24919999999997</v>
      </c>
      <c r="H4090">
        <v>-0.05</v>
      </c>
      <c r="I4090">
        <v>12.35497</v>
      </c>
      <c r="J4090">
        <v>-324.00099999999998</v>
      </c>
      <c r="K4090">
        <v>1.1035349999999999</v>
      </c>
      <c r="L4090">
        <v>17.733280000000001</v>
      </c>
      <c r="M4090">
        <v>0.99933839999999996</v>
      </c>
      <c r="N4090">
        <v>-1.4517459999999999E-2</v>
      </c>
      <c r="O4090">
        <v>-3.3348500000000003E-2</v>
      </c>
      <c r="P4090">
        <v>0.96214029999999995</v>
      </c>
      <c r="Q4090">
        <v>5.2018479999999999E-2</v>
      </c>
      <c r="R4090">
        <v>-0.26754509999999998</v>
      </c>
      <c r="S4090">
        <v>2.641937</v>
      </c>
      <c r="T4090">
        <v>-0.3845807</v>
      </c>
      <c r="U4090">
        <v>-1.795593</v>
      </c>
      <c r="V4090">
        <v>0.23626749999999999</v>
      </c>
      <c r="W4090">
        <v>6.2582879999999994E-2</v>
      </c>
      <c r="X4090">
        <v>0.96967060000000005</v>
      </c>
      <c r="Y4090">
        <v>0.53008909999999998</v>
      </c>
      <c r="Z4090">
        <v>-3.5092730000000003E-2</v>
      </c>
      <c r="AA4090">
        <v>0.84721550000000001</v>
      </c>
      <c r="AB4090">
        <v>35</v>
      </c>
      <c r="AC4090">
        <v>7.7518000000000002</v>
      </c>
      <c r="AD4090">
        <v>-1.153535</v>
      </c>
      <c r="AE4090">
        <v>-5.3783099999999999</v>
      </c>
      <c r="AF4090">
        <v>5.0414193226979398</v>
      </c>
      <c r="AG4090">
        <v>-1.153535</v>
      </c>
      <c r="AH4090">
        <v>7.8101172707286297</v>
      </c>
      <c r="AI4090">
        <v>97.073711288709305</v>
      </c>
      <c r="AJ4090">
        <v>57.157816235166301</v>
      </c>
      <c r="AK4090">
        <v>9.36720254750748</v>
      </c>
      <c r="AL4090">
        <v>86.411920350527595</v>
      </c>
      <c r="AM4090">
        <v>76.306286525350203</v>
      </c>
      <c r="AN4090">
        <v>1.0000000104648501</v>
      </c>
    </row>
    <row r="4091" spans="1:40" x14ac:dyDescent="0.25">
      <c r="A4091" t="str">
        <f>"20190305135711989"</f>
        <v>20190305135711989</v>
      </c>
      <c r="B4091" t="str">
        <f>"1551765431986384"</f>
        <v>1551765431986384</v>
      </c>
      <c r="C4091" t="s">
        <v>40</v>
      </c>
      <c r="D4091">
        <v>4.4823320000000004</v>
      </c>
      <c r="E4091">
        <v>0.62818499999999999</v>
      </c>
      <c r="F4091" t="s">
        <v>43</v>
      </c>
      <c r="G4091">
        <v>-316.1266</v>
      </c>
      <c r="H4091">
        <v>-0.05</v>
      </c>
      <c r="I4091">
        <v>12.3324</v>
      </c>
      <c r="J4091">
        <v>-323.78680000000003</v>
      </c>
      <c r="K4091">
        <v>1.103351</v>
      </c>
      <c r="L4091">
        <v>17.722439999999999</v>
      </c>
      <c r="M4091">
        <v>0.99918059999999997</v>
      </c>
      <c r="N4091">
        <v>-1.4576820000000001E-2</v>
      </c>
      <c r="O4091">
        <v>-3.7759399999999999E-2</v>
      </c>
      <c r="P4091">
        <v>0.96118559999999997</v>
      </c>
      <c r="Q4091">
        <v>5.2601710000000003E-2</v>
      </c>
      <c r="R4091">
        <v>-0.27084209999999997</v>
      </c>
      <c r="S4091">
        <v>2.636139</v>
      </c>
      <c r="T4091">
        <v>-0.38617249999999997</v>
      </c>
      <c r="U4091">
        <v>-1.8080750000000001</v>
      </c>
      <c r="V4091">
        <v>0.23535130000000001</v>
      </c>
      <c r="W4091">
        <v>6.3129199999999996E-2</v>
      </c>
      <c r="X4091">
        <v>0.96985790000000005</v>
      </c>
      <c r="Y4091">
        <v>0.52995000000000003</v>
      </c>
      <c r="Z4091">
        <v>-3.4730150000000001E-2</v>
      </c>
      <c r="AA4091">
        <v>0.8473174</v>
      </c>
      <c r="AB4091">
        <v>35</v>
      </c>
      <c r="AC4091">
        <v>7.6602000000000299</v>
      </c>
      <c r="AD4091">
        <v>-1.153351</v>
      </c>
      <c r="AE4091">
        <v>-5.3900399999999902</v>
      </c>
      <c r="AF4091">
        <v>5.0207926148594098</v>
      </c>
      <c r="AG4091">
        <v>-1.153351</v>
      </c>
      <c r="AH4091">
        <v>7.7409112681372099</v>
      </c>
      <c r="AI4091">
        <v>97.125178709708393</v>
      </c>
      <c r="AJ4091">
        <v>57.032362323465797</v>
      </c>
      <c r="AK4091">
        <v>9.2984022429555804</v>
      </c>
      <c r="AL4091">
        <v>86.380556239718203</v>
      </c>
      <c r="AM4091">
        <v>76.359936278075196</v>
      </c>
      <c r="AN4091">
        <v>0.99999993824836797</v>
      </c>
    </row>
    <row r="4092" spans="1:40" x14ac:dyDescent="0.25">
      <c r="A4092" t="str">
        <f>"20190305135712005"</f>
        <v>20190305135712005</v>
      </c>
      <c r="B4092" t="str">
        <f>"1551765431996144"</f>
        <v>1551765431996144</v>
      </c>
      <c r="C4092" t="s">
        <v>40</v>
      </c>
      <c r="D4092">
        <v>4.4499129999999996</v>
      </c>
      <c r="E4092">
        <v>0.64464089999999996</v>
      </c>
      <c r="F4092" t="s">
        <v>43</v>
      </c>
      <c r="G4092">
        <v>-315.96069999999997</v>
      </c>
      <c r="H4092">
        <v>-0.05</v>
      </c>
      <c r="I4092">
        <v>12.29425</v>
      </c>
      <c r="J4092">
        <v>-323.54059999999998</v>
      </c>
      <c r="K4092">
        <v>1.1031409999999999</v>
      </c>
      <c r="L4092">
        <v>17.70825</v>
      </c>
      <c r="M4092">
        <v>0.99896529999999994</v>
      </c>
      <c r="N4092">
        <v>-1.4639879999999999E-2</v>
      </c>
      <c r="O4092">
        <v>-4.3059970000000003E-2</v>
      </c>
      <c r="P4092">
        <v>0.95994219999999997</v>
      </c>
      <c r="Q4092">
        <v>5.3481750000000002E-2</v>
      </c>
      <c r="R4092">
        <v>-0.27504669999999998</v>
      </c>
      <c r="S4092">
        <v>2.628571</v>
      </c>
      <c r="T4092">
        <v>-0.38738</v>
      </c>
      <c r="U4092">
        <v>-1.8231809999999999</v>
      </c>
      <c r="V4092">
        <v>0.2345013</v>
      </c>
      <c r="W4092">
        <v>6.3961039999999997E-2</v>
      </c>
      <c r="X4092">
        <v>0.97000929999999996</v>
      </c>
      <c r="Y4092">
        <v>0.52990179999999998</v>
      </c>
      <c r="Z4092">
        <v>-3.4246480000000003E-2</v>
      </c>
      <c r="AA4092">
        <v>0.84736730000000005</v>
      </c>
      <c r="AB4092">
        <v>35</v>
      </c>
      <c r="AC4092">
        <v>7.5799000000000003</v>
      </c>
      <c r="AD4092">
        <v>-1.153141</v>
      </c>
      <c r="AE4092">
        <v>-5.4139999999999997</v>
      </c>
      <c r="AF4092">
        <v>5.0058353695978903</v>
      </c>
      <c r="AG4092">
        <v>-1.153141</v>
      </c>
      <c r="AH4092">
        <v>7.6881944942196601</v>
      </c>
      <c r="AI4092">
        <v>97.164126313951996</v>
      </c>
      <c r="AJ4092">
        <v>56.931576852153697</v>
      </c>
      <c r="AK4092">
        <v>9.2464293916272204</v>
      </c>
      <c r="AL4092">
        <v>86.332798868058404</v>
      </c>
      <c r="AM4092">
        <v>76.409411100060893</v>
      </c>
      <c r="AN4092">
        <v>0.99999995821303</v>
      </c>
    </row>
    <row r="4093" spans="1:40" x14ac:dyDescent="0.25">
      <c r="A4093" t="str">
        <f>"20190305135712019"</f>
        <v>20190305135712019</v>
      </c>
      <c r="B4093" t="str">
        <f>"1551765432006879"</f>
        <v>1551765432006879</v>
      </c>
      <c r="C4093" t="s">
        <v>40</v>
      </c>
      <c r="D4093">
        <v>4.3775570000000004</v>
      </c>
      <c r="E4093">
        <v>0.64520219999999995</v>
      </c>
      <c r="F4093" t="s">
        <v>43</v>
      </c>
      <c r="G4093">
        <v>-316.78070000000002</v>
      </c>
      <c r="H4093">
        <v>-0.05</v>
      </c>
      <c r="I4093">
        <v>12.57954</v>
      </c>
      <c r="J4093">
        <v>-323.32069999999999</v>
      </c>
      <c r="K4093">
        <v>1.1029549999999999</v>
      </c>
      <c r="L4093">
        <v>17.694400000000002</v>
      </c>
      <c r="M4093">
        <v>0.99874209999999997</v>
      </c>
      <c r="N4093">
        <v>-1.469324E-2</v>
      </c>
      <c r="O4093">
        <v>-4.79418E-2</v>
      </c>
      <c r="P4093">
        <v>0.9583874</v>
      </c>
      <c r="Q4093">
        <v>5.457033E-2</v>
      </c>
      <c r="R4093">
        <v>-0.28020719999999999</v>
      </c>
      <c r="S4093">
        <v>2.5873719999999998</v>
      </c>
      <c r="T4093">
        <v>-0.44137140000000002</v>
      </c>
      <c r="U4093">
        <v>-1.9630430000000001</v>
      </c>
      <c r="V4093">
        <v>0.2350314</v>
      </c>
      <c r="W4093">
        <v>6.4977439999999997E-2</v>
      </c>
      <c r="X4093">
        <v>0.9698135</v>
      </c>
      <c r="Y4093">
        <v>0.56016489999999997</v>
      </c>
      <c r="Z4093">
        <v>-4.0198070000000002E-2</v>
      </c>
      <c r="AA4093">
        <v>0.82740519999999995</v>
      </c>
      <c r="AB4093">
        <v>35</v>
      </c>
      <c r="AC4093">
        <v>6.5399999999999601</v>
      </c>
      <c r="AD4093">
        <v>-1.152955</v>
      </c>
      <c r="AE4093">
        <v>-5.1148600000000002</v>
      </c>
      <c r="AF4093">
        <v>4.7046794928873901</v>
      </c>
      <c r="AG4093">
        <v>-1.152955</v>
      </c>
      <c r="AH4093">
        <v>6.6494920933543096</v>
      </c>
      <c r="AI4093">
        <v>98.0563786223954</v>
      </c>
      <c r="AJ4093">
        <v>54.719652468250899</v>
      </c>
      <c r="AK4093">
        <v>8.2267283571539895</v>
      </c>
      <c r="AL4093">
        <v>86.274442284661305</v>
      </c>
      <c r="AM4093">
        <v>76.377184791370894</v>
      </c>
      <c r="AN4093">
        <v>1.0000000257385799</v>
      </c>
    </row>
    <row r="4094" spans="1:40" x14ac:dyDescent="0.25">
      <c r="A4094" t="str">
        <f>"20190305135712034"</f>
        <v>20190305135712034</v>
      </c>
      <c r="B4094" t="str">
        <f>"1551765432026400"</f>
        <v>1551765432026400</v>
      </c>
      <c r="C4094" t="s">
        <v>40</v>
      </c>
      <c r="D4094">
        <v>4.3532599999999997</v>
      </c>
      <c r="E4094">
        <v>0.64738130000000005</v>
      </c>
      <c r="F4094" t="s">
        <v>43</v>
      </c>
      <c r="G4094">
        <v>-316.31689999999998</v>
      </c>
      <c r="H4094">
        <v>-0.05</v>
      </c>
      <c r="I4094">
        <v>12.31143</v>
      </c>
      <c r="J4094">
        <v>-323.08010000000002</v>
      </c>
      <c r="K4094">
        <v>1.1027439999999999</v>
      </c>
      <c r="L4094">
        <v>17.678070000000002</v>
      </c>
      <c r="M4094">
        <v>0.99846270000000004</v>
      </c>
      <c r="N4094">
        <v>-1.474906E-2</v>
      </c>
      <c r="O4094">
        <v>-5.3428749999999997E-2</v>
      </c>
      <c r="P4094">
        <v>0.95663929999999997</v>
      </c>
      <c r="Q4094">
        <v>5.4737809999999998E-2</v>
      </c>
      <c r="R4094">
        <v>-0.28608539999999999</v>
      </c>
      <c r="S4094">
        <v>2.5755919999999999</v>
      </c>
      <c r="T4094">
        <v>-0.42399219999999999</v>
      </c>
      <c r="U4094">
        <v>-1.9795529999999999</v>
      </c>
      <c r="V4094">
        <v>0.2356954</v>
      </c>
      <c r="W4094">
        <v>6.5062599999999998E-2</v>
      </c>
      <c r="X4094">
        <v>0.96964660000000003</v>
      </c>
      <c r="Y4094">
        <v>0.56119809999999903</v>
      </c>
      <c r="Z4094">
        <v>-3.8293000000000001E-2</v>
      </c>
      <c r="AA4094">
        <v>0.82679519999999995</v>
      </c>
      <c r="AB4094">
        <v>35</v>
      </c>
      <c r="AC4094">
        <v>6.7632000000000403</v>
      </c>
      <c r="AD4094">
        <v>-1.152744</v>
      </c>
      <c r="AE4094">
        <v>-5.3666400000000003</v>
      </c>
      <c r="AF4094">
        <v>4.9100551499710399</v>
      </c>
      <c r="AG4094">
        <v>-1.152744</v>
      </c>
      <c r="AH4094">
        <v>6.9169959125115099</v>
      </c>
      <c r="AI4094">
        <v>97.738865426138801</v>
      </c>
      <c r="AJ4094">
        <v>54.630821509145299</v>
      </c>
      <c r="AK4094">
        <v>8.5605077395557601</v>
      </c>
      <c r="AL4094">
        <v>86.269552519131196</v>
      </c>
      <c r="AM4094">
        <v>76.337875106275206</v>
      </c>
      <c r="AN4094">
        <v>0.99999999619573998</v>
      </c>
    </row>
    <row r="4095" spans="1:40" x14ac:dyDescent="0.25">
      <c r="A4095" t="str">
        <f>"20190305135712051"</f>
        <v>20190305135712051</v>
      </c>
      <c r="B4095" t="str">
        <f>"1551765432046896"</f>
        <v>1551765432046896</v>
      </c>
      <c r="C4095" t="s">
        <v>40</v>
      </c>
      <c r="D4095">
        <v>4.3869449999999999</v>
      </c>
      <c r="E4095">
        <v>0.64914209999999894</v>
      </c>
      <c r="F4095" t="s">
        <v>43</v>
      </c>
      <c r="G4095">
        <v>-315.89269999999999</v>
      </c>
      <c r="H4095">
        <v>-0.05</v>
      </c>
      <c r="I4095">
        <v>12.02849</v>
      </c>
      <c r="J4095">
        <v>-322.80759999999998</v>
      </c>
      <c r="K4095">
        <v>1.1024989999999999</v>
      </c>
      <c r="L4095">
        <v>17.657810000000001</v>
      </c>
      <c r="M4095">
        <v>0.99809780000000003</v>
      </c>
      <c r="N4095">
        <v>-1.481006E-2</v>
      </c>
      <c r="O4095">
        <v>-5.9843880000000002E-2</v>
      </c>
      <c r="P4095">
        <v>0.95441279999999995</v>
      </c>
      <c r="Q4095">
        <v>5.3762669999999999E-2</v>
      </c>
      <c r="R4095">
        <v>-0.29360849999999999</v>
      </c>
      <c r="S4095">
        <v>2.5581360000000002</v>
      </c>
      <c r="T4095">
        <v>-0.41028619999999999</v>
      </c>
      <c r="U4095">
        <v>-2.0108030000000001</v>
      </c>
      <c r="V4095">
        <v>0.2371183</v>
      </c>
      <c r="W4095">
        <v>6.397912E-2</v>
      </c>
      <c r="X4095">
        <v>0.96937169999999895</v>
      </c>
      <c r="Y4095">
        <v>0.5651813</v>
      </c>
      <c r="Z4095">
        <v>-3.6844630000000003E-2</v>
      </c>
      <c r="AA4095">
        <v>0.82414359999999998</v>
      </c>
      <c r="AB4095">
        <v>35</v>
      </c>
      <c r="AC4095">
        <v>6.9148999999999798</v>
      </c>
      <c r="AD4095">
        <v>-1.1524989999999999</v>
      </c>
      <c r="AE4095">
        <v>-5.6293199999999999</v>
      </c>
      <c r="AF4095">
        <v>5.1198341083410597</v>
      </c>
      <c r="AG4095">
        <v>-1.1524989999999999</v>
      </c>
      <c r="AH4095">
        <v>7.1204631502486802</v>
      </c>
      <c r="AI4095">
        <v>97.486517721144693</v>
      </c>
      <c r="AJ4095">
        <v>54.282692140524603</v>
      </c>
      <c r="AK4095">
        <v>8.8454480223436391</v>
      </c>
      <c r="AL4095">
        <v>86.331760820143103</v>
      </c>
      <c r="AM4095">
        <v>76.254765152024603</v>
      </c>
      <c r="AN4095">
        <v>0.99999995437587597</v>
      </c>
    </row>
    <row r="4096" spans="1:40" x14ac:dyDescent="0.25">
      <c r="A4096" t="str">
        <f>"20190305135712064"</f>
        <v>20190305135712064</v>
      </c>
      <c r="B4096" t="str">
        <f>"1551765432056656"</f>
        <v>1551765432056656</v>
      </c>
      <c r="C4096" t="s">
        <v>40</v>
      </c>
      <c r="D4096">
        <v>4.4422309999999996</v>
      </c>
      <c r="E4096">
        <v>0.64987490000000003</v>
      </c>
      <c r="F4096" t="s">
        <v>43</v>
      </c>
      <c r="G4096">
        <v>-315.61450000000002</v>
      </c>
      <c r="H4096">
        <v>-0.05</v>
      </c>
      <c r="I4096">
        <v>11.86586</v>
      </c>
      <c r="J4096">
        <v>-322.60890000000001</v>
      </c>
      <c r="K4096">
        <v>1.102325</v>
      </c>
      <c r="L4096">
        <v>17.6416</v>
      </c>
      <c r="M4096">
        <v>0.99779620000000002</v>
      </c>
      <c r="N4096">
        <v>-1.4853130000000001E-2</v>
      </c>
      <c r="O4096">
        <v>-6.4669199999999996E-2</v>
      </c>
      <c r="P4096">
        <v>0.95279029999999998</v>
      </c>
      <c r="Q4096">
        <v>5.3240860000000001E-2</v>
      </c>
      <c r="R4096">
        <v>-0.29892489999999999</v>
      </c>
      <c r="S4096">
        <v>2.5376280000000002</v>
      </c>
      <c r="T4096">
        <v>-0.40658870000000003</v>
      </c>
      <c r="U4096">
        <v>-2.0433349999999999</v>
      </c>
      <c r="V4096">
        <v>0.2378519</v>
      </c>
      <c r="W4096">
        <v>6.338618E-2</v>
      </c>
      <c r="X4096">
        <v>0.96923090000000001</v>
      </c>
      <c r="Y4096">
        <v>0.57091099999999995</v>
      </c>
      <c r="Z4096">
        <v>-3.6529449999999998E-2</v>
      </c>
      <c r="AA4096">
        <v>0.82019889999999995</v>
      </c>
      <c r="AB4096">
        <v>35</v>
      </c>
      <c r="AC4096">
        <v>6.9943999999999802</v>
      </c>
      <c r="AD4096">
        <v>-1.152325</v>
      </c>
      <c r="AE4096">
        <v>-5.7757399999999901</v>
      </c>
      <c r="AF4096">
        <v>5.2269227230684203</v>
      </c>
      <c r="AG4096">
        <v>-1.152325</v>
      </c>
      <c r="AH4096">
        <v>7.2365259590197999</v>
      </c>
      <c r="AI4096">
        <v>97.355396335497204</v>
      </c>
      <c r="AJ4096">
        <v>54.159522386900797</v>
      </c>
      <c r="AK4096">
        <v>9.0008822908713508</v>
      </c>
      <c r="AL4096">
        <v>86.3658028127997</v>
      </c>
      <c r="AM4096">
        <v>76.211933736495098</v>
      </c>
      <c r="AN4096">
        <v>0.99999993583170399</v>
      </c>
    </row>
    <row r="4097" spans="1:40" x14ac:dyDescent="0.25">
      <c r="A4097" t="str">
        <f>"20190305135712075"</f>
        <v>20190305135712075</v>
      </c>
      <c r="B4097" t="str">
        <f>"1551765432066325"</f>
        <v>1551765432066325</v>
      </c>
      <c r="C4097" t="s">
        <v>40</v>
      </c>
      <c r="D4097">
        <v>4.4299540000000004</v>
      </c>
      <c r="E4097">
        <v>0.65080389999999999</v>
      </c>
      <c r="F4097" t="s">
        <v>43</v>
      </c>
      <c r="G4097">
        <v>-315.48630000000003</v>
      </c>
      <c r="H4097">
        <v>-0.05</v>
      </c>
      <c r="I4097">
        <v>11.81894</v>
      </c>
      <c r="J4097">
        <v>-322.43430000000001</v>
      </c>
      <c r="K4097">
        <v>1.1021749999999999</v>
      </c>
      <c r="L4097">
        <v>17.626560000000001</v>
      </c>
      <c r="M4097">
        <v>0.99750689999999997</v>
      </c>
      <c r="N4097">
        <v>-1.488926E-2</v>
      </c>
      <c r="O4097">
        <v>-6.8981609999999999E-2</v>
      </c>
      <c r="P4097">
        <v>0.95142210000000005</v>
      </c>
      <c r="Q4097">
        <v>5.2637290000000003E-2</v>
      </c>
      <c r="R4097">
        <v>-0.30335709999999999</v>
      </c>
      <c r="S4097">
        <v>2.5241090000000002</v>
      </c>
      <c r="T4097">
        <v>-0.40836230000000001</v>
      </c>
      <c r="U4097">
        <v>-2.0634459999999999</v>
      </c>
      <c r="V4097">
        <v>0.23818420000000001</v>
      </c>
      <c r="W4097">
        <v>6.2727089999999999E-2</v>
      </c>
      <c r="X4097">
        <v>0.96919230000000001</v>
      </c>
      <c r="Y4097">
        <v>0.5734051</v>
      </c>
      <c r="Z4097">
        <v>-3.6402940000000002E-2</v>
      </c>
      <c r="AA4097">
        <v>0.81846280000000005</v>
      </c>
      <c r="AB4097">
        <v>35</v>
      </c>
      <c r="AC4097">
        <v>6.9479999999999702</v>
      </c>
      <c r="AD4097">
        <v>-1.1521749999999999</v>
      </c>
      <c r="AE4097">
        <v>-5.80762</v>
      </c>
      <c r="AF4097">
        <v>5.2297831700376003</v>
      </c>
      <c r="AG4097">
        <v>-1.1521749999999999</v>
      </c>
      <c r="AH4097">
        <v>7.2153041964928999</v>
      </c>
      <c r="AI4097">
        <v>97.367114364410099</v>
      </c>
      <c r="AJ4097">
        <v>54.0647196089595</v>
      </c>
      <c r="AK4097">
        <v>8.98547460539295</v>
      </c>
      <c r="AL4097">
        <v>86.403641630233096</v>
      </c>
      <c r="AM4097">
        <v>76.192878367093698</v>
      </c>
      <c r="AN4097">
        <v>1.0000000576643899</v>
      </c>
    </row>
    <row r="4098" spans="1:40" x14ac:dyDescent="0.25">
      <c r="A4098" t="str">
        <f>"20190305135712086"</f>
        <v>20190305135712086</v>
      </c>
      <c r="B4098" t="str">
        <f>"1551765432076085"</f>
        <v>1551765432076085</v>
      </c>
      <c r="C4098" t="s">
        <v>40</v>
      </c>
      <c r="D4098">
        <v>4.1492990000000001</v>
      </c>
      <c r="E4098">
        <v>0.65080389999999999</v>
      </c>
      <c r="F4098" t="s">
        <v>43</v>
      </c>
      <c r="G4098">
        <v>-315.411</v>
      </c>
      <c r="H4098">
        <v>-0.05</v>
      </c>
      <c r="I4098">
        <v>11.8056</v>
      </c>
      <c r="J4098">
        <v>-322.24650000000003</v>
      </c>
      <c r="K4098">
        <v>1.102025</v>
      </c>
      <c r="L4098">
        <v>17.609679999999901</v>
      </c>
      <c r="M4098">
        <v>0.99716959999999999</v>
      </c>
      <c r="N4098">
        <v>-1.492637E-2</v>
      </c>
      <c r="O4098">
        <v>-7.369009E-2</v>
      </c>
      <c r="P4098">
        <v>0.94994659999999997</v>
      </c>
      <c r="Q4098">
        <v>5.2349729999999997E-2</v>
      </c>
      <c r="R4098">
        <v>-0.30799599999999999</v>
      </c>
      <c r="S4098">
        <v>2.5121150000000001</v>
      </c>
      <c r="T4098">
        <v>-0.4121146</v>
      </c>
      <c r="U4098">
        <v>-2.0820620000000001</v>
      </c>
      <c r="V4098">
        <v>0.23835500000000001</v>
      </c>
      <c r="W4098">
        <v>6.2384429999999998E-2</v>
      </c>
      <c r="X4098">
        <v>0.96917240000000004</v>
      </c>
      <c r="Y4098">
        <v>0.57500119999999999</v>
      </c>
      <c r="Z4098">
        <v>-3.6286409999999998E-2</v>
      </c>
      <c r="AA4098">
        <v>0.8173475</v>
      </c>
      <c r="AB4098">
        <v>35</v>
      </c>
      <c r="AC4098">
        <v>6.8355000000000201</v>
      </c>
      <c r="AD4098">
        <v>-1.1520250000000001</v>
      </c>
      <c r="AE4098">
        <v>-5.8040799999999901</v>
      </c>
      <c r="AF4098">
        <v>5.1987284540847698</v>
      </c>
      <c r="AG4098">
        <v>-1.1520250000000001</v>
      </c>
      <c r="AH4098">
        <v>7.1270330647655298</v>
      </c>
      <c r="AI4098">
        <v>97.440195081394606</v>
      </c>
      <c r="AJ4098">
        <v>53.891569089486403</v>
      </c>
      <c r="AK4098">
        <v>8.8965464898575597</v>
      </c>
      <c r="AL4098">
        <v>86.423313036392898</v>
      </c>
      <c r="AM4098">
        <v>76.183083833829599</v>
      </c>
      <c r="AN4098">
        <v>1.00000003202659</v>
      </c>
    </row>
    <row r="4099" spans="1:40" x14ac:dyDescent="0.25">
      <c r="A4099" t="str">
        <f>"20190305135712099"</f>
        <v>20190305135712099</v>
      </c>
      <c r="B4099" t="str">
        <f>"1551765432096581"</f>
        <v>1551765432096581</v>
      </c>
      <c r="C4099" t="s">
        <v>40</v>
      </c>
      <c r="D4099">
        <v>4.3183439999999997</v>
      </c>
      <c r="E4099">
        <v>0.64698959999999905</v>
      </c>
      <c r="F4099" t="s">
        <v>43</v>
      </c>
      <c r="G4099">
        <v>-315.27480000000003</v>
      </c>
      <c r="H4099">
        <v>-0.05</v>
      </c>
      <c r="I4099">
        <v>11.77528</v>
      </c>
      <c r="J4099">
        <v>-322.06400000000002</v>
      </c>
      <c r="K4099">
        <v>1.101874</v>
      </c>
      <c r="L4099">
        <v>17.592009999999998</v>
      </c>
      <c r="M4099">
        <v>0.99681059999999999</v>
      </c>
      <c r="N4099">
        <v>-1.496071E-2</v>
      </c>
      <c r="O4099">
        <v>-7.8388239999999998E-2</v>
      </c>
      <c r="P4099">
        <v>0.94837050000000001</v>
      </c>
      <c r="Q4099">
        <v>5.2290820000000002E-2</v>
      </c>
      <c r="R4099">
        <v>-0.31282450000000001</v>
      </c>
      <c r="S4099">
        <v>2.502014</v>
      </c>
      <c r="T4099">
        <v>-0.41344209999999898</v>
      </c>
      <c r="U4099">
        <v>-2.0938720000000002</v>
      </c>
      <c r="V4099">
        <v>0.23874020000000001</v>
      </c>
      <c r="W4099">
        <v>6.2265929999999997E-2</v>
      </c>
      <c r="X4099">
        <v>0.96908519999999998</v>
      </c>
      <c r="Y4099">
        <v>0.57504619999999995</v>
      </c>
      <c r="Z4099">
        <v>-3.5863560000000003E-2</v>
      </c>
      <c r="AA4099">
        <v>0.81733449999999996</v>
      </c>
      <c r="AB4099">
        <v>35</v>
      </c>
      <c r="AC4099">
        <v>6.7891999999999904</v>
      </c>
      <c r="AD4099">
        <v>-1.1518740000000001</v>
      </c>
      <c r="AE4099">
        <v>-5.8167299999999997</v>
      </c>
      <c r="AF4099">
        <v>5.18057575656161</v>
      </c>
      <c r="AG4099">
        <v>-1.1518740000000001</v>
      </c>
      <c r="AH4099">
        <v>7.1063517575511996</v>
      </c>
      <c r="AI4099">
        <v>97.462153071205194</v>
      </c>
      <c r="AJ4099">
        <v>53.907712411203804</v>
      </c>
      <c r="AK4099">
        <v>8.8693525233469597</v>
      </c>
      <c r="AL4099">
        <v>86.430115793372906</v>
      </c>
      <c r="AM4099">
        <v>76.160414952690601</v>
      </c>
      <c r="AN4099">
        <v>1.00000002699692</v>
      </c>
    </row>
    <row r="4100" spans="1:40" x14ac:dyDescent="0.25">
      <c r="A4100" t="str">
        <f>"20190305135712111"</f>
        <v>20190305135712111</v>
      </c>
      <c r="B4100" t="str">
        <f>"1551765432106341"</f>
        <v>1551765432106341</v>
      </c>
      <c r="C4100" t="s">
        <v>40</v>
      </c>
      <c r="D4100">
        <v>4.4326160000000003</v>
      </c>
      <c r="E4100">
        <v>0.64847860000000002</v>
      </c>
      <c r="F4100" t="s">
        <v>43</v>
      </c>
      <c r="G4100">
        <v>-313.60419999999999</v>
      </c>
      <c r="H4100">
        <v>-0.05</v>
      </c>
      <c r="I4100">
        <v>10.565569999999999</v>
      </c>
      <c r="J4100">
        <v>-321.8777</v>
      </c>
      <c r="K4100">
        <v>1.101718</v>
      </c>
      <c r="L4100">
        <v>17.573429999999998</v>
      </c>
      <c r="M4100">
        <v>0.99641749999999996</v>
      </c>
      <c r="N4100">
        <v>-1.4995329999999999E-2</v>
      </c>
      <c r="O4100">
        <v>-8.3230970000000001E-2</v>
      </c>
      <c r="P4100">
        <v>0.94670699999999997</v>
      </c>
      <c r="Q4100">
        <v>5.2731100000000003E-2</v>
      </c>
      <c r="R4100">
        <v>-0.3177507</v>
      </c>
      <c r="S4100">
        <v>2.4977719999999999</v>
      </c>
      <c r="T4100">
        <v>-0.3400899</v>
      </c>
      <c r="U4100">
        <v>-2.074554</v>
      </c>
      <c r="V4100">
        <v>0.23910319999999999</v>
      </c>
      <c r="W4100">
        <v>6.2645699999999999E-2</v>
      </c>
      <c r="X4100">
        <v>0.96897120000000003</v>
      </c>
      <c r="Y4100">
        <v>0.56945040000000002</v>
      </c>
      <c r="Z4100">
        <v>-2.9799010000000001E-2</v>
      </c>
      <c r="AA4100">
        <v>0.82148539999999903</v>
      </c>
      <c r="AB4100">
        <v>35</v>
      </c>
      <c r="AC4100">
        <v>8.2735000000000092</v>
      </c>
      <c r="AD4100">
        <v>-1.151718</v>
      </c>
      <c r="AE4100">
        <v>-7.0078599999999902</v>
      </c>
      <c r="AF4100">
        <v>6.2246172684911896</v>
      </c>
      <c r="AG4100">
        <v>-1.151718</v>
      </c>
      <c r="AH4100">
        <v>8.7296259232036704</v>
      </c>
      <c r="AI4100">
        <v>96.131234340644994</v>
      </c>
      <c r="AJ4100">
        <v>54.5094164034847</v>
      </c>
      <c r="AK4100">
        <v>10.7832593982428</v>
      </c>
      <c r="AL4100">
        <v>86.408313934304005</v>
      </c>
      <c r="AM4100">
        <v>76.138615142483005</v>
      </c>
      <c r="AN4100">
        <v>1.0000000052040801</v>
      </c>
    </row>
    <row r="4101" spans="1:40" x14ac:dyDescent="0.25">
      <c r="A4101" t="str">
        <f>"20190305135712122"</f>
        <v>20190305135712122</v>
      </c>
      <c r="B4101" t="str">
        <f>"1551765432116100"</f>
        <v>1551765432116100</v>
      </c>
      <c r="C4101" t="s">
        <v>40</v>
      </c>
      <c r="D4101">
        <v>4.392658</v>
      </c>
      <c r="E4101">
        <v>0.64973029999999998</v>
      </c>
      <c r="F4101" t="s">
        <v>43</v>
      </c>
      <c r="G4101">
        <v>-313.59589999999997</v>
      </c>
      <c r="H4101">
        <v>-0.05</v>
      </c>
      <c r="I4101">
        <v>10.5732</v>
      </c>
      <c r="J4101">
        <v>-321.68220000000002</v>
      </c>
      <c r="K4101">
        <v>1.101553</v>
      </c>
      <c r="L4101">
        <v>17.55246</v>
      </c>
      <c r="M4101">
        <v>0.99596739999999995</v>
      </c>
      <c r="N4101">
        <v>-1.5039729999999999E-2</v>
      </c>
      <c r="O4101">
        <v>-8.8446170000000005E-2</v>
      </c>
      <c r="P4101">
        <v>0.94485969999999997</v>
      </c>
      <c r="Q4101">
        <v>5.2896699999999998E-2</v>
      </c>
      <c r="R4101">
        <v>-0.32317489999999999</v>
      </c>
      <c r="S4101">
        <v>2.4834900000000002</v>
      </c>
      <c r="T4101">
        <v>-0.34536869999999997</v>
      </c>
      <c r="U4101">
        <v>-2.0991819999999999</v>
      </c>
      <c r="V4101">
        <v>0.2396162</v>
      </c>
      <c r="W4101">
        <v>6.2752779999999994E-2</v>
      </c>
      <c r="X4101">
        <v>0.96883750000000002</v>
      </c>
      <c r="Y4101">
        <v>0.572156</v>
      </c>
      <c r="Z4101">
        <v>-2.9876750000000001E-2</v>
      </c>
      <c r="AA4101">
        <v>0.81960040000000001</v>
      </c>
      <c r="AB4101">
        <v>35</v>
      </c>
      <c r="AC4101">
        <v>8.0863000000000493</v>
      </c>
      <c r="AD4101">
        <v>-1.151553</v>
      </c>
      <c r="AE4101">
        <v>-6.97926</v>
      </c>
      <c r="AF4101">
        <v>6.1649680766319896</v>
      </c>
      <c r="AG4101">
        <v>-1.151553</v>
      </c>
      <c r="AH4101">
        <v>8.5723314998906304</v>
      </c>
      <c r="AI4101">
        <v>96.224038706941002</v>
      </c>
      <c r="AJ4101">
        <v>54.277425029004299</v>
      </c>
      <c r="AK4101">
        <v>10.6215711192703</v>
      </c>
      <c r="AL4101">
        <v>86.402166473355607</v>
      </c>
      <c r="AM4101">
        <v>76.108183155406707</v>
      </c>
      <c r="AN4101">
        <v>0.99999996805320801</v>
      </c>
    </row>
    <row r="4102" spans="1:40" x14ac:dyDescent="0.25">
      <c r="A4102" t="str">
        <f>"20190305135712135"</f>
        <v>20190305135712135</v>
      </c>
      <c r="B4102" t="str">
        <f>"1551765432126837"</f>
        <v>1551765432126837</v>
      </c>
      <c r="C4102" t="s">
        <v>40</v>
      </c>
      <c r="D4102">
        <v>4.4179469999999998</v>
      </c>
      <c r="E4102">
        <v>0.65102819999999995</v>
      </c>
      <c r="F4102" t="s">
        <v>43</v>
      </c>
      <c r="G4102">
        <v>-313.5299</v>
      </c>
      <c r="H4102">
        <v>-0.05</v>
      </c>
      <c r="I4102">
        <v>10.541790000000001</v>
      </c>
      <c r="J4102">
        <v>-321.49950000000001</v>
      </c>
      <c r="K4102">
        <v>1.101404</v>
      </c>
      <c r="L4102">
        <v>17.53201</v>
      </c>
      <c r="M4102">
        <v>0.99551639999999997</v>
      </c>
      <c r="N4102">
        <v>-1.509189E-2</v>
      </c>
      <c r="O4102">
        <v>-9.3378089999999997E-2</v>
      </c>
      <c r="P4102">
        <v>0.94319240000000004</v>
      </c>
      <c r="Q4102">
        <v>5.2649899999999999E-2</v>
      </c>
      <c r="R4102">
        <v>-0.32804870000000003</v>
      </c>
      <c r="S4102">
        <v>2.4685060000000001</v>
      </c>
      <c r="T4102">
        <v>-0.3486862</v>
      </c>
      <c r="U4102">
        <v>-2.1228030000000002</v>
      </c>
      <c r="V4102">
        <v>0.23983570000000001</v>
      </c>
      <c r="W4102">
        <v>6.2470579999999998E-2</v>
      </c>
      <c r="X4102">
        <v>0.96880140000000003</v>
      </c>
      <c r="Y4102">
        <v>0.57501659999999999</v>
      </c>
      <c r="Z4102">
        <v>-2.9860390000000001E-2</v>
      </c>
      <c r="AA4102">
        <v>0.81759669999999995</v>
      </c>
      <c r="AB4102">
        <v>35</v>
      </c>
      <c r="AC4102">
        <v>7.9696000000000096</v>
      </c>
      <c r="AD4102">
        <v>-1.1514040000000001</v>
      </c>
      <c r="AE4102">
        <v>-6.9902199999999999</v>
      </c>
      <c r="AF4102">
        <v>6.1429312823964297</v>
      </c>
      <c r="AG4102">
        <v>-1.1514040000000001</v>
      </c>
      <c r="AH4102">
        <v>8.4874510188413996</v>
      </c>
      <c r="AI4102">
        <v>96.271399590611395</v>
      </c>
      <c r="AJ4102">
        <v>54.1042464945915</v>
      </c>
      <c r="AK4102">
        <v>10.5403112244702</v>
      </c>
      <c r="AL4102">
        <v>86.418367044712298</v>
      </c>
      <c r="AM4102">
        <v>76.095453121776899</v>
      </c>
      <c r="AN4102">
        <v>0.99999994450099094</v>
      </c>
    </row>
    <row r="4103" spans="1:40" x14ac:dyDescent="0.25">
      <c r="A4103" t="str">
        <f>"20190305135712148"</f>
        <v>20190305135712148</v>
      </c>
      <c r="B4103" t="str">
        <f>"1551765432136597"</f>
        <v>1551765432136597</v>
      </c>
      <c r="C4103" t="s">
        <v>40</v>
      </c>
      <c r="D4103">
        <v>4.5014659999999997</v>
      </c>
      <c r="E4103">
        <v>0.65197130000000003</v>
      </c>
      <c r="F4103" t="s">
        <v>43</v>
      </c>
      <c r="G4103">
        <v>-313.5369</v>
      </c>
      <c r="H4103">
        <v>-0.05</v>
      </c>
      <c r="I4103">
        <v>10.56972</v>
      </c>
      <c r="J4103">
        <v>-321.29390000000001</v>
      </c>
      <c r="K4103">
        <v>1.1012420000000001</v>
      </c>
      <c r="L4103">
        <v>17.508089999999999</v>
      </c>
      <c r="M4103">
        <v>0.99497190000000002</v>
      </c>
      <c r="N4103">
        <v>-1.5163569999999999E-2</v>
      </c>
      <c r="O4103">
        <v>-9.8999599999999993E-2</v>
      </c>
      <c r="P4103">
        <v>0.9412623</v>
      </c>
      <c r="Q4103">
        <v>5.1949629999999997E-2</v>
      </c>
      <c r="R4103">
        <v>-0.33365660000000003</v>
      </c>
      <c r="S4103">
        <v>2.4541629999999999</v>
      </c>
      <c r="T4103">
        <v>-0.35487340000000001</v>
      </c>
      <c r="U4103">
        <v>-2.1458439999999999</v>
      </c>
      <c r="V4103">
        <v>0.24013590000000001</v>
      </c>
      <c r="W4103">
        <v>6.1744319999999998E-2</v>
      </c>
      <c r="X4103">
        <v>0.96877369999999996</v>
      </c>
      <c r="Y4103">
        <v>0.57703119999999997</v>
      </c>
      <c r="Z4103">
        <v>-2.9897699999999999E-2</v>
      </c>
      <c r="AA4103">
        <v>0.81617469999999903</v>
      </c>
      <c r="AB4103">
        <v>35</v>
      </c>
      <c r="AC4103">
        <v>7.7569999999999997</v>
      </c>
      <c r="AD4103">
        <v>-1.1512420000000001</v>
      </c>
      <c r="AE4103">
        <v>-6.9383699999999902</v>
      </c>
      <c r="AF4103">
        <v>6.0620705700991797</v>
      </c>
      <c r="AG4103">
        <v>-1.1512420000000001</v>
      </c>
      <c r="AH4103">
        <v>8.3042448609954196</v>
      </c>
      <c r="AI4103">
        <v>96.388923057105004</v>
      </c>
      <c r="AJ4103">
        <v>53.870682687963601</v>
      </c>
      <c r="AK4103">
        <v>10.3457498737788</v>
      </c>
      <c r="AL4103">
        <v>86.460059530852803</v>
      </c>
      <c r="AM4103">
        <v>76.078342906609905</v>
      </c>
      <c r="AN4103">
        <v>1.0000000466663801</v>
      </c>
    </row>
    <row r="4104" spans="1:40" x14ac:dyDescent="0.25">
      <c r="A4104" t="str">
        <f>"20190305135712164"</f>
        <v>20190305135712164</v>
      </c>
      <c r="B4104" t="str">
        <f>"1551765432156120"</f>
        <v>1551765432156120</v>
      </c>
      <c r="C4104" t="s">
        <v>40</v>
      </c>
      <c r="D4104">
        <v>4.5075729999999998</v>
      </c>
      <c r="E4104">
        <v>0.65390990000000004</v>
      </c>
      <c r="F4104" t="s">
        <v>43</v>
      </c>
      <c r="G4104">
        <v>-313.61869999999999</v>
      </c>
      <c r="H4104">
        <v>-0.05</v>
      </c>
      <c r="I4104">
        <v>10.685549999999999</v>
      </c>
      <c r="J4104">
        <v>-321.04829999999998</v>
      </c>
      <c r="K4104">
        <v>1.101024</v>
      </c>
      <c r="L4104">
        <v>17.47757</v>
      </c>
      <c r="M4104">
        <v>0.99417219999999995</v>
      </c>
      <c r="N4104">
        <v>-1.4859310000000001E-2</v>
      </c>
      <c r="O4104">
        <v>-0.1067748</v>
      </c>
      <c r="P4104">
        <v>0.93834819999999997</v>
      </c>
      <c r="Q4104">
        <v>4.8504720000000001E-2</v>
      </c>
      <c r="R4104">
        <v>-0.34227210000000002</v>
      </c>
      <c r="S4104">
        <v>2.438904</v>
      </c>
      <c r="T4104">
        <v>-0.36582510000000001</v>
      </c>
      <c r="U4104">
        <v>-2.1679689999999998</v>
      </c>
      <c r="V4104">
        <v>0.2413621</v>
      </c>
      <c r="W4104">
        <v>5.7924080000000003E-2</v>
      </c>
      <c r="X4104">
        <v>0.96870489999999998</v>
      </c>
      <c r="Y4104">
        <v>0.57719750000000003</v>
      </c>
      <c r="Z4104">
        <v>-2.9699659999999999E-2</v>
      </c>
      <c r="AA4104">
        <v>0.81606440000000002</v>
      </c>
      <c r="AB4104">
        <v>35</v>
      </c>
      <c r="AC4104">
        <v>7.42959999999999</v>
      </c>
      <c r="AD4104">
        <v>-1.151024</v>
      </c>
      <c r="AE4104">
        <v>-6.7920199999999999</v>
      </c>
      <c r="AF4104">
        <v>5.8828849447410798</v>
      </c>
      <c r="AG4104">
        <v>-1.151024</v>
      </c>
      <c r="AH4104">
        <v>8.0077161947143995</v>
      </c>
      <c r="AI4104">
        <v>96.607649664597503</v>
      </c>
      <c r="AJ4104">
        <v>53.697060138356598</v>
      </c>
      <c r="AK4104">
        <v>10.002835106944801</v>
      </c>
      <c r="AL4104">
        <v>86.6793360766044</v>
      </c>
      <c r="AM4104">
        <v>76.009085839828799</v>
      </c>
      <c r="AN4104">
        <v>1.00000002282213</v>
      </c>
    </row>
    <row r="4105" spans="1:40" x14ac:dyDescent="0.25">
      <c r="A4105" t="str">
        <f>"20190305135712177"</f>
        <v>20190305135712177</v>
      </c>
      <c r="B4105" t="str">
        <f>"1551765432166853"</f>
        <v>1551765432166853</v>
      </c>
      <c r="C4105" t="s">
        <v>40</v>
      </c>
      <c r="D4105">
        <v>4.4134180000000001</v>
      </c>
      <c r="E4105">
        <v>0.6546727</v>
      </c>
      <c r="F4105" t="s">
        <v>43</v>
      </c>
      <c r="G4105">
        <v>-313.84320000000002</v>
      </c>
      <c r="H4105">
        <v>-0.05</v>
      </c>
      <c r="I4105">
        <v>10.8972</v>
      </c>
      <c r="J4105">
        <v>-320.84809999999999</v>
      </c>
      <c r="K4105">
        <v>1.1007499999999999</v>
      </c>
      <c r="L4105">
        <v>17.45157</v>
      </c>
      <c r="M4105">
        <v>0.99346820000000002</v>
      </c>
      <c r="N4105">
        <v>-1.4568340000000001E-2</v>
      </c>
      <c r="O4105">
        <v>-0.1131757</v>
      </c>
      <c r="P4105">
        <v>0.93583369999999999</v>
      </c>
      <c r="Q4105">
        <v>4.7317499999999998E-2</v>
      </c>
      <c r="R4105">
        <v>-0.34925129999999999</v>
      </c>
      <c r="S4105">
        <v>2.413116</v>
      </c>
      <c r="T4105">
        <v>-0.38549919999999999</v>
      </c>
      <c r="U4105">
        <v>-2.2038880000000001</v>
      </c>
      <c r="V4105">
        <v>0.24232200000000001</v>
      </c>
      <c r="W4105">
        <v>5.6345480000000003E-2</v>
      </c>
      <c r="X4105">
        <v>0.96855829999999998</v>
      </c>
      <c r="Y4105">
        <v>0.58256509999999995</v>
      </c>
      <c r="Z4105">
        <v>-3.0581710000000002E-2</v>
      </c>
      <c r="AA4105">
        <v>0.8122085</v>
      </c>
      <c r="AB4105">
        <v>35</v>
      </c>
      <c r="AC4105">
        <v>7.0048999999999602</v>
      </c>
      <c r="AD4105">
        <v>-1.1507499999999999</v>
      </c>
      <c r="AE4105">
        <v>-6.5543699999999996</v>
      </c>
      <c r="AF4105">
        <v>5.6382499942179702</v>
      </c>
      <c r="AG4105">
        <v>-1.1507499999999999</v>
      </c>
      <c r="AH4105">
        <v>7.5925070127755303</v>
      </c>
      <c r="AI4105">
        <v>96.937732537750193</v>
      </c>
      <c r="AJ4105">
        <v>53.402156344697502</v>
      </c>
      <c r="AK4105">
        <v>9.5268174800845493</v>
      </c>
      <c r="AL4105">
        <v>86.769931028806894</v>
      </c>
      <c r="AM4105">
        <v>75.953600290303001</v>
      </c>
      <c r="AN4105">
        <v>0.99999997264965901</v>
      </c>
    </row>
    <row r="4106" spans="1:40" x14ac:dyDescent="0.25">
      <c r="A4106" t="str">
        <f>"20190305135712192"</f>
        <v>20190305135712192</v>
      </c>
      <c r="B4106" t="str">
        <f>"1551765432186372"</f>
        <v>1551765432186372</v>
      </c>
      <c r="C4106" t="s">
        <v>40</v>
      </c>
      <c r="D4106">
        <v>4.4170669999999896</v>
      </c>
      <c r="E4106">
        <v>0.65659040000000002</v>
      </c>
      <c r="F4106" t="s">
        <v>43</v>
      </c>
      <c r="G4106">
        <v>-313.79360000000003</v>
      </c>
      <c r="H4106">
        <v>-0.05</v>
      </c>
      <c r="I4106">
        <v>10.88988</v>
      </c>
      <c r="J4106">
        <v>-320.62540000000001</v>
      </c>
      <c r="K4106">
        <v>1.100363</v>
      </c>
      <c r="L4106">
        <v>17.421569999999999</v>
      </c>
      <c r="M4106">
        <v>0.99264030000000003</v>
      </c>
      <c r="N4106">
        <v>-1.427194E-2</v>
      </c>
      <c r="O4106">
        <v>-0.12025710000000001</v>
      </c>
      <c r="P4106">
        <v>0.9330195</v>
      </c>
      <c r="Q4106">
        <v>4.6315139999999998E-2</v>
      </c>
      <c r="R4106">
        <v>-0.35683340000000002</v>
      </c>
      <c r="S4106">
        <v>2.3942869999999998</v>
      </c>
      <c r="T4106">
        <v>-0.39056170000000001</v>
      </c>
      <c r="U4106">
        <v>-2.22702</v>
      </c>
      <c r="V4106">
        <v>0.2432734</v>
      </c>
      <c r="W4106">
        <v>5.4894320000000003E-2</v>
      </c>
      <c r="X4106">
        <v>0.96840320000000002</v>
      </c>
      <c r="Y4106">
        <v>0.58412419999999998</v>
      </c>
      <c r="Z4106">
        <v>-3.011809E-2</v>
      </c>
      <c r="AA4106">
        <v>0.81110530000000003</v>
      </c>
      <c r="AB4106">
        <v>35</v>
      </c>
      <c r="AC4106">
        <v>6.8317999999999799</v>
      </c>
      <c r="AD4106">
        <v>-1.150363</v>
      </c>
      <c r="AE4106">
        <v>-6.5316900000000002</v>
      </c>
      <c r="AF4106">
        <v>5.57996669661601</v>
      </c>
      <c r="AG4106">
        <v>-1.150363</v>
      </c>
      <c r="AH4106">
        <v>7.4573074339621996</v>
      </c>
      <c r="AI4106">
        <v>97.041014183358598</v>
      </c>
      <c r="AJ4106">
        <v>53.194148216791</v>
      </c>
      <c r="AK4106">
        <v>9.3846042821069897</v>
      </c>
      <c r="AL4106">
        <v>86.853205519085407</v>
      </c>
      <c r="AM4106">
        <v>75.898479039595998</v>
      </c>
      <c r="AN4106">
        <v>1.00000004564303</v>
      </c>
    </row>
    <row r="4107" spans="1:40" x14ac:dyDescent="0.25">
      <c r="A4107" t="str">
        <f>"20190305135712207"</f>
        <v>20190305135712207</v>
      </c>
      <c r="B4107" t="str">
        <f>"1551765432196134"</f>
        <v>1551765432196134</v>
      </c>
      <c r="C4107" t="s">
        <v>40</v>
      </c>
      <c r="D4107">
        <v>4.4164750000000002</v>
      </c>
      <c r="E4107">
        <v>0.65739329999999996</v>
      </c>
      <c r="F4107" t="s">
        <v>43</v>
      </c>
      <c r="G4107">
        <v>-313.78539999999998</v>
      </c>
      <c r="H4107">
        <v>-0.05</v>
      </c>
      <c r="I4107">
        <v>10.8996</v>
      </c>
      <c r="J4107">
        <v>-320.36869999999999</v>
      </c>
      <c r="K4107">
        <v>1.0998520000000001</v>
      </c>
      <c r="L4107">
        <v>17.38486</v>
      </c>
      <c r="M4107">
        <v>0.99165539999999996</v>
      </c>
      <c r="N4107">
        <v>-1.4332579999999999E-2</v>
      </c>
      <c r="O4107">
        <v>-0.1281185</v>
      </c>
      <c r="P4107">
        <v>0.92963609999999997</v>
      </c>
      <c r="Q4107">
        <v>4.4655149999999998E-2</v>
      </c>
      <c r="R4107">
        <v>-0.36576419999999998</v>
      </c>
      <c r="S4107">
        <v>2.3706360000000002</v>
      </c>
      <c r="T4107">
        <v>-0.39869670000000001</v>
      </c>
      <c r="U4107">
        <v>-2.2604060000000001</v>
      </c>
      <c r="V4107">
        <v>0.24488670000000001</v>
      </c>
      <c r="W4107">
        <v>5.3049279999999997E-2</v>
      </c>
      <c r="X4107">
        <v>0.9680993</v>
      </c>
      <c r="Y4107">
        <v>0.58760849999999998</v>
      </c>
      <c r="Z4107">
        <v>-3.0031970000000002E-2</v>
      </c>
      <c r="AA4107">
        <v>0.80858790000000003</v>
      </c>
      <c r="AB4107">
        <v>35</v>
      </c>
      <c r="AC4107">
        <v>6.5833000000000004</v>
      </c>
      <c r="AD4107">
        <v>-1.1498520000000001</v>
      </c>
      <c r="AE4107">
        <v>-6.4852600000000002</v>
      </c>
      <c r="AF4107">
        <v>5.5030740658165902</v>
      </c>
      <c r="AG4107">
        <v>-1.1498520000000001</v>
      </c>
      <c r="AH4107">
        <v>7.2477899487952602</v>
      </c>
      <c r="AI4107">
        <v>97.201393897112297</v>
      </c>
      <c r="AJ4107">
        <v>52.791464114311196</v>
      </c>
      <c r="AK4107">
        <v>9.1725919421734297</v>
      </c>
      <c r="AL4107">
        <v>86.959072665753197</v>
      </c>
      <c r="AM4107">
        <v>75.8044544868862</v>
      </c>
      <c r="AN4107">
        <v>0.99999998830294901</v>
      </c>
    </row>
    <row r="4108" spans="1:40" x14ac:dyDescent="0.25">
      <c r="A4108" t="str">
        <f>"20190305135712230"</f>
        <v>20190305135712230</v>
      </c>
      <c r="B4108" t="str">
        <f>"1551765432226389"</f>
        <v>1551765432226389</v>
      </c>
      <c r="C4108" t="s">
        <v>40</v>
      </c>
      <c r="D4108">
        <v>4.4029749999999996</v>
      </c>
      <c r="E4108">
        <v>0.65948090000000004</v>
      </c>
      <c r="F4108" t="s">
        <v>43</v>
      </c>
      <c r="G4108">
        <v>-313.7242</v>
      </c>
      <c r="H4108">
        <v>-0.05</v>
      </c>
      <c r="I4108">
        <v>10.90488</v>
      </c>
      <c r="J4108">
        <v>-320.0258</v>
      </c>
      <c r="K4108">
        <v>1.0991010000000001</v>
      </c>
      <c r="L4108">
        <v>17.332979999999999</v>
      </c>
      <c r="M4108">
        <v>0.99026420000000004</v>
      </c>
      <c r="N4108">
        <v>-1.4938119999999999E-2</v>
      </c>
      <c r="O4108">
        <v>-0.13839779999999999</v>
      </c>
      <c r="P4108">
        <v>0.92503860000000004</v>
      </c>
      <c r="Q4108">
        <v>4.6012079999999997E-2</v>
      </c>
      <c r="R4108">
        <v>-0.37707679999999999</v>
      </c>
      <c r="S4108">
        <v>2.3463440000000002</v>
      </c>
      <c r="T4108">
        <v>-0.40603980000000001</v>
      </c>
      <c r="U4108">
        <v>-2.2882389999999999</v>
      </c>
      <c r="V4108">
        <v>0.2467675</v>
      </c>
      <c r="W4108">
        <v>5.466816E-2</v>
      </c>
      <c r="X4108">
        <v>0.96753149999999999</v>
      </c>
      <c r="Y4108">
        <v>0.58822540000000001</v>
      </c>
      <c r="Z4108">
        <v>-2.9602590000000002E-2</v>
      </c>
      <c r="AA4108">
        <v>0.80815509999999902</v>
      </c>
      <c r="AB4108">
        <v>35</v>
      </c>
      <c r="AC4108">
        <v>6.3015999999999996</v>
      </c>
      <c r="AD4108">
        <v>-1.1491009999999999</v>
      </c>
      <c r="AE4108">
        <v>-6.4280999999999899</v>
      </c>
      <c r="AF4108">
        <v>5.4059100634785198</v>
      </c>
      <c r="AG4108">
        <v>-1.1491009999999999</v>
      </c>
      <c r="AH4108">
        <v>7.0163437138584097</v>
      </c>
      <c r="AI4108">
        <v>97.391920438209496</v>
      </c>
      <c r="AJ4108">
        <v>52.386684985134998</v>
      </c>
      <c r="AK4108">
        <v>8.9315942492714999</v>
      </c>
      <c r="AL4108">
        <v>86.8661828922056</v>
      </c>
      <c r="AM4108">
        <v>75.691836652881193</v>
      </c>
      <c r="AN4108">
        <v>1.0000000051331399</v>
      </c>
    </row>
    <row r="4109" spans="1:40" x14ac:dyDescent="0.25">
      <c r="A4109" t="str">
        <f>"20190305135712242"</f>
        <v>20190305135712242</v>
      </c>
      <c r="B4109" t="str">
        <f>"1551765432236149"</f>
        <v>1551765432236149</v>
      </c>
      <c r="C4109" t="s">
        <v>40</v>
      </c>
      <c r="D4109">
        <v>4.5422279999999997</v>
      </c>
      <c r="E4109">
        <v>0.65992050000000002</v>
      </c>
      <c r="F4109" t="s">
        <v>43</v>
      </c>
      <c r="G4109">
        <v>-313.50720000000001</v>
      </c>
      <c r="H4109">
        <v>-0.05</v>
      </c>
      <c r="I4109">
        <v>10.75629</v>
      </c>
      <c r="J4109">
        <v>-319.81670000000003</v>
      </c>
      <c r="K4109">
        <v>1.0985640000000001</v>
      </c>
      <c r="L4109">
        <v>17.299320000000002</v>
      </c>
      <c r="M4109">
        <v>0.98939880000000002</v>
      </c>
      <c r="N4109">
        <v>-1.5668660000000001E-2</v>
      </c>
      <c r="O4109">
        <v>-0.14437659999999999</v>
      </c>
      <c r="P4109">
        <v>0.92233149999999997</v>
      </c>
      <c r="Q4109">
        <v>4.6459920000000002E-2</v>
      </c>
      <c r="R4109">
        <v>-0.38359670000000001</v>
      </c>
      <c r="S4109">
        <v>2.3123779999999998</v>
      </c>
      <c r="T4109">
        <v>-0.40763060000000001</v>
      </c>
      <c r="U4109">
        <v>-2.333008</v>
      </c>
      <c r="V4109">
        <v>0.24781739999999999</v>
      </c>
      <c r="W4109">
        <v>5.5636100000000001E-2</v>
      </c>
      <c r="X4109">
        <v>0.96720790000000001</v>
      </c>
      <c r="Y4109">
        <v>0.596916</v>
      </c>
      <c r="Z4109">
        <v>-3.0119119999999999E-2</v>
      </c>
      <c r="AA4109">
        <v>0.80173819999999996</v>
      </c>
      <c r="AB4109">
        <v>35</v>
      </c>
      <c r="AC4109">
        <v>6.3095000000000097</v>
      </c>
      <c r="AD4109">
        <v>-1.1485639999999999</v>
      </c>
      <c r="AE4109">
        <v>-6.5430299999999999</v>
      </c>
      <c r="AF4109">
        <v>5.4759704696920402</v>
      </c>
      <c r="AG4109">
        <v>-1.1485639999999999</v>
      </c>
      <c r="AH4109">
        <v>7.0751856684939698</v>
      </c>
      <c r="AI4109">
        <v>97.315484534423206</v>
      </c>
      <c r="AJ4109">
        <v>52.261259459397102</v>
      </c>
      <c r="AK4109">
        <v>9.0201831517269007</v>
      </c>
      <c r="AL4109">
        <v>86.810639395994997</v>
      </c>
      <c r="AM4109">
        <v>75.628868092839099</v>
      </c>
      <c r="AN4109">
        <v>0.99999998059418904</v>
      </c>
    </row>
    <row r="4110" spans="1:40" x14ac:dyDescent="0.25">
      <c r="A4110" t="str">
        <f>"20190305135712254"</f>
        <v>20190305135712254</v>
      </c>
      <c r="B4110" t="str">
        <f>"1551765432246885"</f>
        <v>1551765432246885</v>
      </c>
      <c r="C4110" t="s">
        <v>40</v>
      </c>
      <c r="D4110">
        <v>4.5023160000000004</v>
      </c>
      <c r="E4110">
        <v>0.66045830000000005</v>
      </c>
      <c r="F4110" t="s">
        <v>43</v>
      </c>
      <c r="G4110">
        <v>-313.3974</v>
      </c>
      <c r="H4110">
        <v>-0.05</v>
      </c>
      <c r="I4110">
        <v>10.71744</v>
      </c>
      <c r="J4110">
        <v>-319.63240000000002</v>
      </c>
      <c r="K4110">
        <v>1.0980430000000001</v>
      </c>
      <c r="L4110">
        <v>17.268799999999999</v>
      </c>
      <c r="M4110">
        <v>0.98862280000000002</v>
      </c>
      <c r="N4110">
        <v>-1.6418619999999998E-2</v>
      </c>
      <c r="O4110">
        <v>-0.14951700000000001</v>
      </c>
      <c r="P4110">
        <v>0.91988780000000003</v>
      </c>
      <c r="Q4110">
        <v>4.7334479999999998E-2</v>
      </c>
      <c r="R4110">
        <v>-0.38931480000000002</v>
      </c>
      <c r="S4110">
        <v>2.2947389999999999</v>
      </c>
      <c r="T4110">
        <v>-0.41058060000000002</v>
      </c>
      <c r="U4110">
        <v>-2.3528440000000002</v>
      </c>
      <c r="V4110">
        <v>0.2488708</v>
      </c>
      <c r="W4110">
        <v>5.7066730000000003E-2</v>
      </c>
      <c r="X4110">
        <v>0.96685399999999999</v>
      </c>
      <c r="Y4110">
        <v>0.59912430000000005</v>
      </c>
      <c r="Z4110">
        <v>-3.0247719999999999E-2</v>
      </c>
      <c r="AA4110">
        <v>0.80008449999999998</v>
      </c>
      <c r="AB4110">
        <v>35</v>
      </c>
      <c r="AC4110">
        <v>6.2350000000000101</v>
      </c>
      <c r="AD4110">
        <v>-1.1480429999999999</v>
      </c>
      <c r="AE4110">
        <v>-6.5513599999999901</v>
      </c>
      <c r="AF4110">
        <v>5.4573959070338303</v>
      </c>
      <c r="AG4110">
        <v>-1.1480429999999999</v>
      </c>
      <c r="AH4110">
        <v>7.0312685882693504</v>
      </c>
      <c r="AI4110">
        <v>97.349654031324903</v>
      </c>
      <c r="AJ4110">
        <v>52.182782839707997</v>
      </c>
      <c r="AK4110">
        <v>8.9744030874672607</v>
      </c>
      <c r="AL4110">
        <v>86.728539841831804</v>
      </c>
      <c r="AM4110">
        <v>75.565264890994001</v>
      </c>
      <c r="AN4110">
        <v>0.99999997204076596</v>
      </c>
    </row>
    <row r="4111" spans="1:40" x14ac:dyDescent="0.25">
      <c r="A4111" t="str">
        <f>"20190305135712266"</f>
        <v>20190305135712266</v>
      </c>
      <c r="B4111" t="str">
        <f>"1551765432256644"</f>
        <v>1551765432256644</v>
      </c>
      <c r="C4111" t="s">
        <v>40</v>
      </c>
      <c r="D4111">
        <v>4.5489189999999997</v>
      </c>
      <c r="E4111">
        <v>0.66089560000000003</v>
      </c>
      <c r="F4111" t="s">
        <v>43</v>
      </c>
      <c r="G4111">
        <v>-313.25110000000001</v>
      </c>
      <c r="H4111">
        <v>-0.05</v>
      </c>
      <c r="I4111">
        <v>10.62701</v>
      </c>
      <c r="J4111">
        <v>-319.4547</v>
      </c>
      <c r="K4111">
        <v>1.0974919999999999</v>
      </c>
      <c r="L4111">
        <v>17.238489999999999</v>
      </c>
      <c r="M4111">
        <v>0.98786779999999996</v>
      </c>
      <c r="N4111">
        <v>-1.7256009999999999E-2</v>
      </c>
      <c r="O4111">
        <v>-0.15433640000000001</v>
      </c>
      <c r="P4111">
        <v>0.91734190000000004</v>
      </c>
      <c r="Q4111">
        <v>4.9223549999999998E-2</v>
      </c>
      <c r="R4111">
        <v>-0.39504620000000001</v>
      </c>
      <c r="S4111">
        <v>2.2786249999999999</v>
      </c>
      <c r="T4111">
        <v>-0.40994239999999998</v>
      </c>
      <c r="U4111">
        <v>-2.3716430000000002</v>
      </c>
      <c r="V4111">
        <v>0.25030069999999999</v>
      </c>
      <c r="W4111">
        <v>5.9588229999999999E-2</v>
      </c>
      <c r="X4111">
        <v>0.96633270000000004</v>
      </c>
      <c r="Y4111">
        <v>0.60119609999999901</v>
      </c>
      <c r="Z4111">
        <v>-3.02505E-2</v>
      </c>
      <c r="AA4111">
        <v>0.79852869999999998</v>
      </c>
      <c r="AB4111">
        <v>34</v>
      </c>
      <c r="AC4111">
        <v>6.20359999999999</v>
      </c>
      <c r="AD4111">
        <v>-1.147492</v>
      </c>
      <c r="AE4111">
        <v>-6.6114799999999896</v>
      </c>
      <c r="AF4111">
        <v>5.4867613933305099</v>
      </c>
      <c r="AG4111">
        <v>-1.147492</v>
      </c>
      <c r="AH4111">
        <v>7.0370625603145402</v>
      </c>
      <c r="AI4111">
        <v>97.3277587064443</v>
      </c>
      <c r="AJ4111">
        <v>52.056641267102798</v>
      </c>
      <c r="AK4111">
        <v>8.9967515223655496</v>
      </c>
      <c r="AL4111">
        <v>86.583822349889701</v>
      </c>
      <c r="AM4111">
        <v>75.478323918234395</v>
      </c>
      <c r="AN4111">
        <v>1.00000004233215</v>
      </c>
    </row>
    <row r="4112" spans="1:40" x14ac:dyDescent="0.25">
      <c r="A4112" t="str">
        <f>"20190305135712278"</f>
        <v>20190305135712278</v>
      </c>
      <c r="B4112" t="str">
        <f>"1551765432276165"</f>
        <v>1551765432276165</v>
      </c>
      <c r="C4112" t="s">
        <v>40</v>
      </c>
      <c r="D4112">
        <v>4.5747949999999999</v>
      </c>
      <c r="E4112">
        <v>0.66162460000000001</v>
      </c>
      <c r="F4112" t="s">
        <v>43</v>
      </c>
      <c r="G4112">
        <v>-313.09339999999997</v>
      </c>
      <c r="H4112">
        <v>-0.05</v>
      </c>
      <c r="I4112">
        <v>10.522449999999999</v>
      </c>
      <c r="J4112">
        <v>-319.27980000000002</v>
      </c>
      <c r="K4112">
        <v>1.0968659999999999</v>
      </c>
      <c r="L4112">
        <v>17.2074</v>
      </c>
      <c r="M4112">
        <v>0.98712330000000004</v>
      </c>
      <c r="N4112">
        <v>-1.81826E-2</v>
      </c>
      <c r="O4112">
        <v>-0.15892500000000001</v>
      </c>
      <c r="P4112">
        <v>0.91491259999999996</v>
      </c>
      <c r="Q4112">
        <v>5.0748929999999998E-2</v>
      </c>
      <c r="R4112">
        <v>-0.4004491</v>
      </c>
      <c r="S4112">
        <v>2.263245</v>
      </c>
      <c r="T4112">
        <v>-0.40825460000000002</v>
      </c>
      <c r="U4112">
        <v>-2.3894350000000002</v>
      </c>
      <c r="V4112">
        <v>0.25161309999999998</v>
      </c>
      <c r="W4112">
        <v>6.1842359999999999E-2</v>
      </c>
      <c r="X4112">
        <v>0.96585010000000004</v>
      </c>
      <c r="Y4112">
        <v>0.60315459999999999</v>
      </c>
      <c r="Z4112">
        <v>-3.0269250000000001E-2</v>
      </c>
      <c r="AA4112">
        <v>0.79704980000000003</v>
      </c>
      <c r="AB4112">
        <v>34</v>
      </c>
      <c r="AC4112">
        <v>6.1864000000000399</v>
      </c>
      <c r="AD4112">
        <v>-1.1468659999999999</v>
      </c>
      <c r="AE4112">
        <v>-6.6849499999999997</v>
      </c>
      <c r="AF4112">
        <v>5.5289646429574004</v>
      </c>
      <c r="AG4112">
        <v>-1.1468659999999999</v>
      </c>
      <c r="AH4112">
        <v>7.0584213721948004</v>
      </c>
      <c r="AI4112">
        <v>97.289207523702103</v>
      </c>
      <c r="AJ4112">
        <v>51.9278826617143</v>
      </c>
      <c r="AK4112">
        <v>9.0391406622800901</v>
      </c>
      <c r="AL4112">
        <v>86.454431412178806</v>
      </c>
      <c r="AM4112">
        <v>75.398444914207403</v>
      </c>
      <c r="AN4112">
        <v>1.00000002262599</v>
      </c>
    </row>
    <row r="4113" spans="1:40" x14ac:dyDescent="0.25">
      <c r="A4113" t="str">
        <f>"20190305135712296"</f>
        <v>20190305135712296</v>
      </c>
      <c r="B4113" t="str">
        <f>"1551765432286904"</f>
        <v>1551765432286904</v>
      </c>
      <c r="C4113" t="s">
        <v>40</v>
      </c>
      <c r="D4113">
        <v>4.5339369999999999</v>
      </c>
      <c r="E4113">
        <v>0.66205669999999905</v>
      </c>
      <c r="F4113" t="s">
        <v>43</v>
      </c>
      <c r="G4113">
        <v>-312.99529999999999</v>
      </c>
      <c r="H4113">
        <v>-0.05</v>
      </c>
      <c r="I4113">
        <v>10.47231</v>
      </c>
      <c r="J4113">
        <v>-319.00200000000001</v>
      </c>
      <c r="K4113">
        <v>1.0957749999999999</v>
      </c>
      <c r="L4113">
        <v>17.156279999999999</v>
      </c>
      <c r="M4113">
        <v>0.98591810000000002</v>
      </c>
      <c r="N4113">
        <v>-1.9733520000000001E-2</v>
      </c>
      <c r="O4113">
        <v>-0.1660606</v>
      </c>
      <c r="P4113">
        <v>0.91094370000000002</v>
      </c>
      <c r="Q4113">
        <v>5.3780269999999998E-2</v>
      </c>
      <c r="R4113">
        <v>-0.40901029999999999</v>
      </c>
      <c r="S4113">
        <v>2.2474669999999999</v>
      </c>
      <c r="T4113">
        <v>-0.41014709999999899</v>
      </c>
      <c r="U4113">
        <v>-2.40863</v>
      </c>
      <c r="V4113">
        <v>0.2538744</v>
      </c>
      <c r="W4113">
        <v>6.6113669999999999E-2</v>
      </c>
      <c r="X4113">
        <v>0.96497500000000003</v>
      </c>
      <c r="Y4113">
        <v>0.60327889999999995</v>
      </c>
      <c r="Z4113">
        <v>-3.0320489999999999E-2</v>
      </c>
      <c r="AA4113">
        <v>0.79695369999999999</v>
      </c>
      <c r="AB4113">
        <v>34</v>
      </c>
      <c r="AC4113">
        <v>6.0067000000000199</v>
      </c>
      <c r="AD4113">
        <v>-1.145775</v>
      </c>
      <c r="AE4113">
        <v>-6.6839699999999898</v>
      </c>
      <c r="AF4113">
        <v>5.5039848961667097</v>
      </c>
      <c r="AG4113">
        <v>-1.145775</v>
      </c>
      <c r="AH4113">
        <v>6.9209185491276699</v>
      </c>
      <c r="AI4113">
        <v>97.382868787012697</v>
      </c>
      <c r="AJ4113">
        <v>51.505893851865501</v>
      </c>
      <c r="AK4113">
        <v>8.9166004537332402</v>
      </c>
      <c r="AL4113">
        <v>86.209200664856198</v>
      </c>
      <c r="AM4113">
        <v>75.260123823185594</v>
      </c>
      <c r="AN4113">
        <v>0.99999998948061397</v>
      </c>
    </row>
    <row r="4114" spans="1:40" x14ac:dyDescent="0.25">
      <c r="A4114" t="str">
        <f>"20190305135712310"</f>
        <v>20190305135712310</v>
      </c>
      <c r="B4114" t="str">
        <f>"1551765432306421"</f>
        <v>1551765432306421</v>
      </c>
      <c r="C4114" t="s">
        <v>40</v>
      </c>
      <c r="D4114">
        <v>4.5363100000000003</v>
      </c>
      <c r="E4114">
        <v>0.66295190000000004</v>
      </c>
      <c r="F4114" t="s">
        <v>43</v>
      </c>
      <c r="G4114">
        <v>-312.71570000000003</v>
      </c>
      <c r="H4114">
        <v>-0.05</v>
      </c>
      <c r="I4114">
        <v>10.28091</v>
      </c>
      <c r="J4114">
        <v>-318.8048</v>
      </c>
      <c r="K4114">
        <v>1.09494</v>
      </c>
      <c r="L4114">
        <v>17.118739999999999</v>
      </c>
      <c r="M4114">
        <v>0.98504040000000004</v>
      </c>
      <c r="N4114">
        <v>-2.0869269999999999E-2</v>
      </c>
      <c r="O4114">
        <v>-0.17105600000000001</v>
      </c>
      <c r="P4114">
        <v>0.90858019999999995</v>
      </c>
      <c r="Q4114">
        <v>5.4877219999999997E-2</v>
      </c>
      <c r="R4114">
        <v>-0.41409079999999898</v>
      </c>
      <c r="S4114">
        <v>2.2247309999999998</v>
      </c>
      <c r="T4114">
        <v>-0.40549059999999998</v>
      </c>
      <c r="U4114">
        <v>-2.4331969999999998</v>
      </c>
      <c r="V4114">
        <v>0.25446879999999999</v>
      </c>
      <c r="W4114">
        <v>6.8171339999999997E-2</v>
      </c>
      <c r="X4114">
        <v>0.96467519999999995</v>
      </c>
      <c r="Y4114">
        <v>0.60730729999999999</v>
      </c>
      <c r="Z4114">
        <v>-3.0489180000000001E-2</v>
      </c>
      <c r="AA4114">
        <v>0.79388179999999997</v>
      </c>
      <c r="AB4114">
        <v>34</v>
      </c>
      <c r="AC4114">
        <v>6.08909999999997</v>
      </c>
      <c r="AD4114">
        <v>-1.1449400000000001</v>
      </c>
      <c r="AE4114">
        <v>-6.8378299999999896</v>
      </c>
      <c r="AF4114">
        <v>5.6075171940865696</v>
      </c>
      <c r="AG4114">
        <v>-1.1449400000000001</v>
      </c>
      <c r="AH4114">
        <v>7.0588434392410102</v>
      </c>
      <c r="AI4114">
        <v>97.237978918593498</v>
      </c>
      <c r="AJ4114">
        <v>51.536510520026802</v>
      </c>
      <c r="AK4114">
        <v>9.0874863072960093</v>
      </c>
      <c r="AL4114">
        <v>86.091038120000704</v>
      </c>
      <c r="AM4114">
        <v>75.222730557131499</v>
      </c>
      <c r="AN4114">
        <v>0.99999997163293697</v>
      </c>
    </row>
    <row r="4115" spans="1:40" x14ac:dyDescent="0.25">
      <c r="A4115" t="str">
        <f>"20190305135712323"</f>
        <v>20190305135712323</v>
      </c>
      <c r="B4115" t="str">
        <f>"1551765432316181"</f>
        <v>1551765432316181</v>
      </c>
      <c r="C4115" t="s">
        <v>40</v>
      </c>
      <c r="D4115">
        <v>4.5795979999999998</v>
      </c>
      <c r="E4115">
        <v>0.66328759999999998</v>
      </c>
      <c r="F4115" t="s">
        <v>43</v>
      </c>
      <c r="G4115">
        <v>-312.62889999999999</v>
      </c>
      <c r="H4115">
        <v>-0.05</v>
      </c>
      <c r="I4115">
        <v>10.260300000000001</v>
      </c>
      <c r="J4115">
        <v>-318.60860000000002</v>
      </c>
      <c r="K4115">
        <v>1.094174</v>
      </c>
      <c r="L4115">
        <v>17.079650000000001</v>
      </c>
      <c r="M4115">
        <v>0.98402319999999999</v>
      </c>
      <c r="N4115">
        <v>-2.1888990000000001E-2</v>
      </c>
      <c r="O4115">
        <v>-0.17669079999999901</v>
      </c>
      <c r="P4115">
        <v>0.90594450000000004</v>
      </c>
      <c r="Q4115">
        <v>5.5620410000000002E-2</v>
      </c>
      <c r="R4115">
        <v>-0.41972789999999999</v>
      </c>
      <c r="S4115">
        <v>2.20871</v>
      </c>
      <c r="T4115">
        <v>-0.40947020000000001</v>
      </c>
      <c r="U4115">
        <v>-2.45282</v>
      </c>
      <c r="V4115">
        <v>0.25498969999999999</v>
      </c>
      <c r="W4115">
        <v>6.9892419999999997E-2</v>
      </c>
      <c r="X4115">
        <v>0.96441449999999995</v>
      </c>
      <c r="Y4115">
        <v>0.6086819</v>
      </c>
      <c r="Z4115">
        <v>-3.0693379999999999E-2</v>
      </c>
      <c r="AA4115">
        <v>0.79282050000000004</v>
      </c>
      <c r="AB4115">
        <v>34</v>
      </c>
      <c r="AC4115">
        <v>5.9797000000000304</v>
      </c>
      <c r="AD4115">
        <v>-1.144174</v>
      </c>
      <c r="AE4115">
        <v>-6.81935</v>
      </c>
      <c r="AF4115">
        <v>5.5666045202576004</v>
      </c>
      <c r="AG4115">
        <v>-1.144174</v>
      </c>
      <c r="AH4115">
        <v>6.9796987541264501</v>
      </c>
      <c r="AI4115">
        <v>97.303240250032403</v>
      </c>
      <c r="AJ4115">
        <v>51.426160455446698</v>
      </c>
      <c r="AK4115">
        <v>9.0006896805513001</v>
      </c>
      <c r="AL4115">
        <v>85.992191846528002</v>
      </c>
      <c r="AM4115">
        <v>75.189982379471999</v>
      </c>
      <c r="AN4115">
        <v>1.00000001264489</v>
      </c>
    </row>
    <row r="4116" spans="1:40" x14ac:dyDescent="0.25">
      <c r="A4116" t="str">
        <f>"20190305135712334"</f>
        <v>20190305135712334</v>
      </c>
      <c r="B4116" t="str">
        <f>"1551765432326917"</f>
        <v>1551765432326917</v>
      </c>
      <c r="C4116" t="s">
        <v>40</v>
      </c>
      <c r="D4116">
        <v>4.5572739999999996</v>
      </c>
      <c r="E4116">
        <v>0.66375509999999904</v>
      </c>
      <c r="F4116" t="s">
        <v>43</v>
      </c>
      <c r="G4116">
        <v>-312.48919999999998</v>
      </c>
      <c r="H4116">
        <v>-0.05</v>
      </c>
      <c r="I4116">
        <v>10.18962</v>
      </c>
      <c r="J4116">
        <v>-318.42529999999999</v>
      </c>
      <c r="K4116">
        <v>1.0934170000000001</v>
      </c>
      <c r="L4116">
        <v>17.042390000000001</v>
      </c>
      <c r="M4116">
        <v>0.98301099999999997</v>
      </c>
      <c r="N4116">
        <v>-2.2798189999999999E-2</v>
      </c>
      <c r="O4116">
        <v>-0.18212590000000001</v>
      </c>
      <c r="P4116">
        <v>0.90340450000000005</v>
      </c>
      <c r="Q4116">
        <v>5.6378249999999998E-2</v>
      </c>
      <c r="R4116">
        <v>-0.42506749999999999</v>
      </c>
      <c r="S4116">
        <v>2.1927490000000001</v>
      </c>
      <c r="T4116">
        <v>-0.40999140000000001</v>
      </c>
      <c r="U4116">
        <v>-2.4689030000000001</v>
      </c>
      <c r="V4116">
        <v>0.25539580000000001</v>
      </c>
      <c r="W4116">
        <v>7.1534349999999997E-2</v>
      </c>
      <c r="X4116">
        <v>0.9641866</v>
      </c>
      <c r="Y4116">
        <v>0.60968999999999995</v>
      </c>
      <c r="Z4116">
        <v>-3.0680010000000001E-2</v>
      </c>
      <c r="AA4116">
        <v>0.79204600000000003</v>
      </c>
      <c r="AB4116">
        <v>34</v>
      </c>
      <c r="AC4116">
        <v>5.9360999999999997</v>
      </c>
      <c r="AD4116">
        <v>-1.1434169999999999</v>
      </c>
      <c r="AE4116">
        <v>-6.8527699999999996</v>
      </c>
      <c r="AF4116">
        <v>5.5681359286476599</v>
      </c>
      <c r="AG4116">
        <v>-1.1434169999999999</v>
      </c>
      <c r="AH4116">
        <v>6.97423006830702</v>
      </c>
      <c r="AI4116">
        <v>97.3011458085344</v>
      </c>
      <c r="AJ4116">
        <v>51.396582039683501</v>
      </c>
      <c r="AK4116">
        <v>8.9973009953798808</v>
      </c>
      <c r="AL4116">
        <v>85.897879986548602</v>
      </c>
      <c r="AM4116">
        <v>75.164083456192799</v>
      </c>
      <c r="AN4116">
        <v>0.999999988753561</v>
      </c>
    </row>
    <row r="4117" spans="1:40" x14ac:dyDescent="0.25">
      <c r="A4117" t="str">
        <f>"20190305135712353"</f>
        <v>20190305135712353</v>
      </c>
      <c r="B4117" t="str">
        <f>"1551765432346436"</f>
        <v>1551765432346436</v>
      </c>
      <c r="C4117" t="s">
        <v>40</v>
      </c>
      <c r="D4117">
        <v>4.4230280000000004</v>
      </c>
      <c r="E4117">
        <v>0.69785949999999997</v>
      </c>
      <c r="F4117" t="s">
        <v>43</v>
      </c>
      <c r="G4117">
        <v>-312.37619999999998</v>
      </c>
      <c r="H4117">
        <v>-0.05</v>
      </c>
      <c r="I4117">
        <v>10.1366</v>
      </c>
      <c r="J4117">
        <v>-318.15339999999998</v>
      </c>
      <c r="K4117">
        <v>1.0921540000000001</v>
      </c>
      <c r="L4117">
        <v>16.985229999999898</v>
      </c>
      <c r="M4117">
        <v>0.98138400000000003</v>
      </c>
      <c r="N4117">
        <v>-2.4041839999999998E-2</v>
      </c>
      <c r="O4117">
        <v>-0.19054570000000001</v>
      </c>
      <c r="P4117">
        <v>0.89961029999999997</v>
      </c>
      <c r="Q4117">
        <v>5.638547E-2</v>
      </c>
      <c r="R4117">
        <v>-0.43303799999999998</v>
      </c>
      <c r="S4117">
        <v>2.177063</v>
      </c>
      <c r="T4117">
        <v>-0.41151379999999999</v>
      </c>
      <c r="U4117">
        <v>-2.485382</v>
      </c>
      <c r="V4117">
        <v>0.25567309999999999</v>
      </c>
      <c r="W4117">
        <v>7.2765189999999993E-2</v>
      </c>
      <c r="X4117">
        <v>0.96402100000000002</v>
      </c>
      <c r="Y4117">
        <v>0.6083018</v>
      </c>
      <c r="Z4117">
        <v>-3.0316019999999999E-2</v>
      </c>
      <c r="AA4117">
        <v>0.79312660000000001</v>
      </c>
      <c r="AB4117">
        <v>34</v>
      </c>
      <c r="AC4117">
        <v>5.7771999999999899</v>
      </c>
      <c r="AD4117">
        <v>-1.1421539999999999</v>
      </c>
      <c r="AE4117">
        <v>-6.8486299999999902</v>
      </c>
      <c r="AF4117">
        <v>5.5320460022524198</v>
      </c>
      <c r="AG4117">
        <v>-1.1421539999999999</v>
      </c>
      <c r="AH4117">
        <v>6.8650893294479403</v>
      </c>
      <c r="AI4117">
        <v>97.381296812851403</v>
      </c>
      <c r="AJ4117">
        <v>51.137338292669902</v>
      </c>
      <c r="AK4117">
        <v>8.8903037198991708</v>
      </c>
      <c r="AL4117">
        <v>85.827173807418404</v>
      </c>
      <c r="AM4117">
        <v>75.146248252418999</v>
      </c>
      <c r="AN4117">
        <v>0.999999997690173</v>
      </c>
    </row>
    <row r="4118" spans="1:40" x14ac:dyDescent="0.25">
      <c r="A4118" t="str">
        <f>"20190305135712365"</f>
        <v>20190305135712365</v>
      </c>
      <c r="B4118" t="str">
        <f>"1551765432356196"</f>
        <v>1551765432356196</v>
      </c>
      <c r="C4118" t="s">
        <v>40</v>
      </c>
      <c r="D4118">
        <v>4.5614509999999999</v>
      </c>
      <c r="E4118">
        <v>0.69785949999999997</v>
      </c>
      <c r="F4118" t="s">
        <v>43</v>
      </c>
      <c r="G4118">
        <v>-311.416</v>
      </c>
      <c r="H4118">
        <v>-0.05</v>
      </c>
      <c r="I4118">
        <v>7.8884889999999999</v>
      </c>
      <c r="J4118">
        <v>-317.94319999999999</v>
      </c>
      <c r="K4118">
        <v>1.0909530000000001</v>
      </c>
      <c r="L4118">
        <v>16.93948</v>
      </c>
      <c r="M4118">
        <v>0.98006170000000004</v>
      </c>
      <c r="N4118">
        <v>-2.493068E-2</v>
      </c>
      <c r="O4118">
        <v>-0.19712360000000001</v>
      </c>
      <c r="P4118">
        <v>0.89652219999999905</v>
      </c>
      <c r="Q4118">
        <v>5.5431269999999998E-2</v>
      </c>
      <c r="R4118">
        <v>-0.43951709999999999</v>
      </c>
      <c r="S4118">
        <v>2.0342410000000002</v>
      </c>
      <c r="T4118">
        <v>-0.34485460000000001</v>
      </c>
      <c r="U4118">
        <v>-2.746613</v>
      </c>
      <c r="V4118">
        <v>0.25615529999999997</v>
      </c>
      <c r="W4118">
        <v>7.2616340000000001E-2</v>
      </c>
      <c r="X4118">
        <v>0.96390419999999999</v>
      </c>
      <c r="Y4118">
        <v>0.6668596</v>
      </c>
      <c r="Z4118">
        <v>-3.2184530000000003E-2</v>
      </c>
      <c r="AA4118">
        <v>0.74448809999999999</v>
      </c>
      <c r="AB4118">
        <v>34</v>
      </c>
      <c r="AC4118">
        <v>6.5271999999999899</v>
      </c>
      <c r="AD4118">
        <v>-1.1409530000000001</v>
      </c>
      <c r="AE4118">
        <v>-9.0509909999999998</v>
      </c>
      <c r="AF4118">
        <v>7.5077363057068398</v>
      </c>
      <c r="AG4118">
        <v>-1.1409530000000001</v>
      </c>
      <c r="AH4118">
        <v>8.0990981131375097</v>
      </c>
      <c r="AI4118">
        <v>95.898491391015497</v>
      </c>
      <c r="AJ4118">
        <v>47.169968183914101</v>
      </c>
      <c r="AK4118">
        <v>11.102399219559</v>
      </c>
      <c r="AL4118">
        <v>85.835724868278206</v>
      </c>
      <c r="AM4118">
        <v>75.117752683461802</v>
      </c>
      <c r="AN4118">
        <v>0.99999998866536199</v>
      </c>
    </row>
    <row r="4119" spans="1:40" x14ac:dyDescent="0.25">
      <c r="A4119" t="str">
        <f>"20190305135712385"</f>
        <v>20190305135712385</v>
      </c>
      <c r="B4119" t="str">
        <f>"1551765432376696"</f>
        <v>1551765432376696</v>
      </c>
      <c r="C4119" t="s">
        <v>40</v>
      </c>
      <c r="D4119">
        <v>4.5857359999999998</v>
      </c>
      <c r="E4119">
        <v>0.75444889999999998</v>
      </c>
      <c r="F4119" t="s">
        <v>43</v>
      </c>
      <c r="G4119">
        <v>-311.31990000000002</v>
      </c>
      <c r="H4119">
        <v>-0.05</v>
      </c>
      <c r="I4119">
        <v>7.8581849999999998</v>
      </c>
      <c r="J4119">
        <v>-317.65980000000002</v>
      </c>
      <c r="K4119">
        <v>1.088992</v>
      </c>
      <c r="L4119">
        <v>16.875309999999999</v>
      </c>
      <c r="M4119">
        <v>0.9782322</v>
      </c>
      <c r="N4119">
        <v>-2.598317E-2</v>
      </c>
      <c r="O4119">
        <v>-0.2058797</v>
      </c>
      <c r="P4119">
        <v>0.8919646</v>
      </c>
      <c r="Q4119">
        <v>5.338263E-2</v>
      </c>
      <c r="R4119">
        <v>-0.44894269999999997</v>
      </c>
      <c r="S4119">
        <v>2.0139469999999999</v>
      </c>
      <c r="T4119">
        <v>-0.34693359999999901</v>
      </c>
      <c r="U4119">
        <v>-2.7613829999999999</v>
      </c>
      <c r="V4119">
        <v>0.25768190000000002</v>
      </c>
      <c r="W4119">
        <v>7.1379769999999995E-2</v>
      </c>
      <c r="X4119">
        <v>0.96358960000000005</v>
      </c>
      <c r="Y4119">
        <v>0.66561859999999995</v>
      </c>
      <c r="Z4119">
        <v>-3.2029450000000001E-2</v>
      </c>
      <c r="AA4119">
        <v>0.7456045</v>
      </c>
      <c r="AB4119">
        <v>34</v>
      </c>
      <c r="AC4119">
        <v>6.3399000000000001</v>
      </c>
      <c r="AD4119">
        <v>-1.138992</v>
      </c>
      <c r="AE4119">
        <v>-9.0171249999999894</v>
      </c>
      <c r="AF4119">
        <v>7.4387002673089402</v>
      </c>
      <c r="AG4119">
        <v>-1.138992</v>
      </c>
      <c r="AH4119">
        <v>7.9758998684682503</v>
      </c>
      <c r="AI4119">
        <v>95.961987006605199</v>
      </c>
      <c r="AJ4119">
        <v>46.995953055041397</v>
      </c>
      <c r="AK4119">
        <v>10.965698480022001</v>
      </c>
      <c r="AL4119">
        <v>85.906759411464606</v>
      </c>
      <c r="AM4119">
        <v>75.028361447537904</v>
      </c>
      <c r="AN4119">
        <v>0.99999997519051098</v>
      </c>
    </row>
    <row r="4120" spans="1:40" x14ac:dyDescent="0.25">
      <c r="A4120" t="str">
        <f>"20190305135712401"</f>
        <v>20190305135712401</v>
      </c>
      <c r="B4120" t="str">
        <f>"1551765432396214"</f>
        <v>1551765432396214</v>
      </c>
      <c r="C4120" t="s">
        <v>40</v>
      </c>
      <c r="D4120">
        <v>4.5744179999999997</v>
      </c>
      <c r="E4120">
        <v>0.75435629999999998</v>
      </c>
      <c r="F4120" t="s">
        <v>43</v>
      </c>
      <c r="G4120">
        <v>-314.31479999999999</v>
      </c>
      <c r="H4120">
        <v>-0.05</v>
      </c>
      <c r="I4120">
        <v>10.896509999999999</v>
      </c>
      <c r="J4120">
        <v>-317.44229999999999</v>
      </c>
      <c r="K4120">
        <v>1.087256</v>
      </c>
      <c r="L4120">
        <v>16.82394</v>
      </c>
      <c r="M4120">
        <v>0.97680109999999998</v>
      </c>
      <c r="N4120">
        <v>-2.6631640000000002E-2</v>
      </c>
      <c r="O4120">
        <v>-0.21248629999999999</v>
      </c>
      <c r="P4120">
        <v>0.88842140000000003</v>
      </c>
      <c r="Q4120">
        <v>5.2398239999999999E-2</v>
      </c>
      <c r="R4120">
        <v>-0.4560285</v>
      </c>
      <c r="S4120">
        <v>1.7897339999999999</v>
      </c>
      <c r="T4120">
        <v>-0.60940530000000004</v>
      </c>
      <c r="U4120">
        <v>-3.1988829999999999</v>
      </c>
      <c r="V4120">
        <v>0.25886520000000002</v>
      </c>
      <c r="W4120">
        <v>7.0799979999999998E-2</v>
      </c>
      <c r="X4120">
        <v>0.96331520000000004</v>
      </c>
      <c r="Y4120">
        <v>0.73962439999999996</v>
      </c>
      <c r="Z4120">
        <v>-5.3734480000000001E-2</v>
      </c>
      <c r="AA4120">
        <v>0.67087140000000001</v>
      </c>
      <c r="AB4120">
        <v>34</v>
      </c>
      <c r="AC4120">
        <v>3.1274999999999902</v>
      </c>
      <c r="AD4120">
        <v>-1.137256</v>
      </c>
      <c r="AE4120">
        <v>-5.9274299999999904</v>
      </c>
      <c r="AF4120">
        <v>4.9836820391329804</v>
      </c>
      <c r="AG4120">
        <v>-1.137256</v>
      </c>
      <c r="AH4120">
        <v>4.1951733861031499</v>
      </c>
      <c r="AI4120">
        <v>99.902752285755696</v>
      </c>
      <c r="AJ4120">
        <v>40.090066008899797</v>
      </c>
      <c r="AK4120">
        <v>6.6128600178879404</v>
      </c>
      <c r="AL4120">
        <v>85.940063302190893</v>
      </c>
      <c r="AM4120">
        <v>74.958628201952905</v>
      </c>
      <c r="AN4120">
        <v>1.0000000017450399</v>
      </c>
    </row>
    <row r="4121" spans="1:40" x14ac:dyDescent="0.25">
      <c r="A4121" t="str">
        <f>"20190305135712420"</f>
        <v>20190305135712420</v>
      </c>
      <c r="B4121" t="str">
        <f>"1551765432416709"</f>
        <v>1551765432416709</v>
      </c>
      <c r="C4121" t="s">
        <v>40</v>
      </c>
      <c r="D4121">
        <v>4.5567529999999996</v>
      </c>
      <c r="E4121">
        <v>0.75379750000000001</v>
      </c>
      <c r="F4121" t="s">
        <v>43</v>
      </c>
      <c r="G4121">
        <v>-314.16489999999999</v>
      </c>
      <c r="H4121">
        <v>-0.05</v>
      </c>
      <c r="I4121">
        <v>10.852779999999999</v>
      </c>
      <c r="J4121">
        <v>-317.15769999999998</v>
      </c>
      <c r="K4121">
        <v>1.084762</v>
      </c>
      <c r="L4121">
        <v>16.754300000000001</v>
      </c>
      <c r="M4121">
        <v>0.97489930000000002</v>
      </c>
      <c r="N4121">
        <v>-2.7288659999999999E-2</v>
      </c>
      <c r="O4121">
        <v>-0.2209682</v>
      </c>
      <c r="P4121">
        <v>0.88256800000000002</v>
      </c>
      <c r="Q4121">
        <v>5.1329909999999999E-2</v>
      </c>
      <c r="R4121">
        <v>-0.46737469999999998</v>
      </c>
      <c r="S4121">
        <v>1.7635799999999999</v>
      </c>
      <c r="T4121">
        <v>-0.61196229999999996</v>
      </c>
      <c r="U4121">
        <v>-3.213104</v>
      </c>
      <c r="V4121">
        <v>0.26288509999999998</v>
      </c>
      <c r="W4121">
        <v>6.9939520000000005E-2</v>
      </c>
      <c r="X4121">
        <v>0.9622889</v>
      </c>
      <c r="Y4121">
        <v>0.73923030000000001</v>
      </c>
      <c r="Z4121">
        <v>-5.29028E-2</v>
      </c>
      <c r="AA4121">
        <v>0.67137159999999996</v>
      </c>
      <c r="AB4121">
        <v>34</v>
      </c>
      <c r="AC4121">
        <v>2.9927999999999799</v>
      </c>
      <c r="AD4121">
        <v>-1.134762</v>
      </c>
      <c r="AE4121">
        <v>-5.9015199999999997</v>
      </c>
      <c r="AF4121">
        <v>4.9484397527692696</v>
      </c>
      <c r="AG4121">
        <v>-1.134762</v>
      </c>
      <c r="AH4121">
        <v>4.1026428015544099</v>
      </c>
      <c r="AI4121">
        <v>100.011569199004</v>
      </c>
      <c r="AJ4121">
        <v>39.661382048519499</v>
      </c>
      <c r="AK4121">
        <v>6.5273592470904704</v>
      </c>
      <c r="AL4121">
        <v>85.989486623470697</v>
      </c>
      <c r="AM4121">
        <v>74.720351655368503</v>
      </c>
      <c r="AN4121">
        <v>1.00000001966152</v>
      </c>
    </row>
    <row r="4122" spans="1:40" x14ac:dyDescent="0.25">
      <c r="A4122" t="str">
        <f>"20190305135712442"</f>
        <v>20190305135712442</v>
      </c>
      <c r="B4122" t="str">
        <f>"1551765432436229"</f>
        <v>1551765432436229</v>
      </c>
      <c r="C4122" t="s">
        <v>40</v>
      </c>
      <c r="D4122">
        <v>4.5584009999999999</v>
      </c>
      <c r="E4122">
        <v>0.7530405</v>
      </c>
      <c r="F4122" t="s">
        <v>43</v>
      </c>
      <c r="G4122">
        <v>-313.99180000000001</v>
      </c>
      <c r="H4122">
        <v>-0.05</v>
      </c>
      <c r="I4122">
        <v>10.82048</v>
      </c>
      <c r="J4122">
        <v>-316.8365</v>
      </c>
      <c r="K4122">
        <v>1.081766</v>
      </c>
      <c r="L4122">
        <v>16.672000000000001</v>
      </c>
      <c r="M4122">
        <v>0.97272499999999995</v>
      </c>
      <c r="N4122">
        <v>-2.7798079999999999E-2</v>
      </c>
      <c r="O4122">
        <v>-0.23029079999999999</v>
      </c>
      <c r="P4122">
        <v>0.87575789999999998</v>
      </c>
      <c r="Q4122">
        <v>4.9756689999999999E-2</v>
      </c>
      <c r="R4122">
        <v>-0.4801801</v>
      </c>
      <c r="S4122">
        <v>1.7239690000000001</v>
      </c>
      <c r="T4122">
        <v>-0.61792290000000005</v>
      </c>
      <c r="U4122">
        <v>-3.231201</v>
      </c>
      <c r="V4122">
        <v>0.26772299999999999</v>
      </c>
      <c r="W4122">
        <v>6.8342600000000003E-2</v>
      </c>
      <c r="X4122">
        <v>0.96106899999999995</v>
      </c>
      <c r="Y4122">
        <v>0.74062950000000005</v>
      </c>
      <c r="Z4122">
        <v>-5.2344300000000003E-2</v>
      </c>
      <c r="AA4122">
        <v>0.66987159999999901</v>
      </c>
      <c r="AB4122">
        <v>34</v>
      </c>
      <c r="AC4122">
        <v>2.84469999999998</v>
      </c>
      <c r="AD4122">
        <v>-1.131766</v>
      </c>
      <c r="AE4122">
        <v>-5.8515199999999998</v>
      </c>
      <c r="AF4122">
        <v>4.8907730905158804</v>
      </c>
      <c r="AG4122">
        <v>-1.131766</v>
      </c>
      <c r="AH4122">
        <v>3.99536058036146</v>
      </c>
      <c r="AI4122">
        <v>100.16018978603999</v>
      </c>
      <c r="AJ4122">
        <v>39.246004875362303</v>
      </c>
      <c r="AK4122">
        <v>6.4158757678727296</v>
      </c>
      <c r="AL4122">
        <v>86.081202696673301</v>
      </c>
      <c r="AM4122">
        <v>74.433868299376797</v>
      </c>
      <c r="AN4122">
        <v>0.99999996923237899</v>
      </c>
    </row>
    <row r="4123" spans="1:40" x14ac:dyDescent="0.25">
      <c r="A4123" t="str">
        <f>"20190305135712453"</f>
        <v>20190305135712453</v>
      </c>
      <c r="B4123" t="str">
        <f>"1551765432445989"</f>
        <v>1551765432445989</v>
      </c>
      <c r="C4123" t="s">
        <v>40</v>
      </c>
      <c r="D4123">
        <v>4.5543469999999999</v>
      </c>
      <c r="E4123">
        <v>0.75211300000000003</v>
      </c>
      <c r="F4123" t="s">
        <v>43</v>
      </c>
      <c r="G4123">
        <v>-313.77550000000002</v>
      </c>
      <c r="H4123">
        <v>-0.05</v>
      </c>
      <c r="I4123">
        <v>10.74391</v>
      </c>
      <c r="J4123">
        <v>-316.65809999999999</v>
      </c>
      <c r="K4123">
        <v>1.0800879999999999</v>
      </c>
      <c r="L4123">
        <v>16.624659999999999</v>
      </c>
      <c r="M4123">
        <v>0.97149560000000001</v>
      </c>
      <c r="N4123">
        <v>-2.7995820000000001E-2</v>
      </c>
      <c r="O4123">
        <v>-0.23539950000000001</v>
      </c>
      <c r="P4123">
        <v>0.87222840000000001</v>
      </c>
      <c r="Q4123">
        <v>4.7998409999999998E-2</v>
      </c>
      <c r="R4123">
        <v>-0.48673840000000002</v>
      </c>
      <c r="S4123">
        <v>1.6784969999999999</v>
      </c>
      <c r="T4123">
        <v>-0.62061789999999994</v>
      </c>
      <c r="U4123">
        <v>-3.2507320000000002</v>
      </c>
      <c r="V4123">
        <v>0.26985599999999998</v>
      </c>
      <c r="W4123">
        <v>6.6524769999999997E-2</v>
      </c>
      <c r="X4123">
        <v>0.96059989999999995</v>
      </c>
      <c r="Y4123">
        <v>0.74592550000000002</v>
      </c>
      <c r="Z4123">
        <v>-5.2747639999999998E-2</v>
      </c>
      <c r="AA4123">
        <v>0.66393729999999995</v>
      </c>
      <c r="AB4123">
        <v>34</v>
      </c>
      <c r="AC4123">
        <v>2.8825999999999601</v>
      </c>
      <c r="AD4123">
        <v>-1.130088</v>
      </c>
      <c r="AE4123">
        <v>-5.8807499999999999</v>
      </c>
      <c r="AF4123">
        <v>4.8909096833994203</v>
      </c>
      <c r="AG4123">
        <v>-1.130088</v>
      </c>
      <c r="AH4123">
        <v>4.0653556322321203</v>
      </c>
      <c r="AI4123">
        <v>100.075725836845</v>
      </c>
      <c r="AJ4123">
        <v>39.733577300571497</v>
      </c>
      <c r="AK4123">
        <v>6.4595056185002004</v>
      </c>
      <c r="AL4123">
        <v>86.185594389110605</v>
      </c>
      <c r="AM4123">
        <v>74.308648901948104</v>
      </c>
      <c r="AN4123">
        <v>0.99999998681978097</v>
      </c>
    </row>
    <row r="4124" spans="1:40" x14ac:dyDescent="0.25">
      <c r="A4124" t="str">
        <f>"20190305135712467"</f>
        <v>20190305135712467</v>
      </c>
      <c r="B4124" t="str">
        <f>"1551765432456725"</f>
        <v>1551765432456725</v>
      </c>
      <c r="C4124" t="s">
        <v>40</v>
      </c>
      <c r="D4124">
        <v>4.5797650000000001</v>
      </c>
      <c r="E4124">
        <v>0.75197309999999995</v>
      </c>
      <c r="F4124" t="s">
        <v>43</v>
      </c>
      <c r="G4124">
        <v>-313.65940000000001</v>
      </c>
      <c r="H4124">
        <v>-0.05</v>
      </c>
      <c r="I4124">
        <v>10.7263</v>
      </c>
      <c r="J4124">
        <v>-316.45519999999999</v>
      </c>
      <c r="K4124">
        <v>1.078184</v>
      </c>
      <c r="L4124">
        <v>16.56934</v>
      </c>
      <c r="M4124">
        <v>0.97006769999999998</v>
      </c>
      <c r="N4124">
        <v>-2.8140910000000002E-2</v>
      </c>
      <c r="O4124">
        <v>-0.241199</v>
      </c>
      <c r="P4124">
        <v>0.86834169999999999</v>
      </c>
      <c r="Q4124">
        <v>4.5683769999999999E-2</v>
      </c>
      <c r="R4124">
        <v>-0.49385810000000002</v>
      </c>
      <c r="S4124">
        <v>1.65606699999999</v>
      </c>
      <c r="T4124">
        <v>-0.62409899999999996</v>
      </c>
      <c r="U4124">
        <v>-3.2574160000000001</v>
      </c>
      <c r="V4124">
        <v>0.27191900000000002</v>
      </c>
      <c r="W4124">
        <v>6.4105209999999996E-2</v>
      </c>
      <c r="X4124">
        <v>0.96018250000000005</v>
      </c>
      <c r="Y4124">
        <v>0.74608920000000001</v>
      </c>
      <c r="Z4124">
        <v>-5.2148449999999999E-2</v>
      </c>
      <c r="AA4124">
        <v>0.66380079999999997</v>
      </c>
      <c r="AB4124">
        <v>33</v>
      </c>
      <c r="AC4124">
        <v>2.7957999999999799</v>
      </c>
      <c r="AD4124">
        <v>-1.1281840000000001</v>
      </c>
      <c r="AE4124">
        <v>-5.8430400000000002</v>
      </c>
      <c r="AF4124">
        <v>4.8486914022534204</v>
      </c>
      <c r="AG4124">
        <v>-1.1281840000000001</v>
      </c>
      <c r="AH4124">
        <v>4.0016904243556501</v>
      </c>
      <c r="AI4124">
        <v>100.173669205889</v>
      </c>
      <c r="AJ4124">
        <v>39.533317119922302</v>
      </c>
      <c r="AK4124">
        <v>6.3871851158802304</v>
      </c>
      <c r="AL4124">
        <v>86.324521433019797</v>
      </c>
      <c r="AM4124">
        <v>74.188136784448702</v>
      </c>
      <c r="AN4124">
        <v>0.99999992690819395</v>
      </c>
    </row>
    <row r="4125" spans="1:40" x14ac:dyDescent="0.25">
      <c r="A4125" t="str">
        <f>"20190305135712486"</f>
        <v>20190305135712486</v>
      </c>
      <c r="B4125" t="str">
        <f>"1551765432476245"</f>
        <v>1551765432476245</v>
      </c>
      <c r="C4125" t="s">
        <v>40</v>
      </c>
      <c r="D4125">
        <v>4.5275109999999996</v>
      </c>
      <c r="E4125">
        <v>0.75141159999999996</v>
      </c>
      <c r="F4125" t="s">
        <v>43</v>
      </c>
      <c r="G4125">
        <v>-313.51670000000001</v>
      </c>
      <c r="H4125">
        <v>-0.05</v>
      </c>
      <c r="I4125">
        <v>10.66315</v>
      </c>
      <c r="J4125">
        <v>-316.19170000000003</v>
      </c>
      <c r="K4125">
        <v>1.0757760000000001</v>
      </c>
      <c r="L4125">
        <v>16.49484</v>
      </c>
      <c r="M4125">
        <v>0.96812149999999997</v>
      </c>
      <c r="N4125">
        <v>-2.8174640000000001E-2</v>
      </c>
      <c r="O4125">
        <v>-0.24889120000000001</v>
      </c>
      <c r="P4125">
        <v>0.86225099999999999</v>
      </c>
      <c r="Q4125">
        <v>4.17569E-2</v>
      </c>
      <c r="R4125">
        <v>-0.50475709999999996</v>
      </c>
      <c r="S4125">
        <v>1.6274109999999999</v>
      </c>
      <c r="T4125">
        <v>-0.62481580000000003</v>
      </c>
      <c r="U4125">
        <v>-3.2709959999999998</v>
      </c>
      <c r="V4125">
        <v>0.27625280000000002</v>
      </c>
      <c r="W4125">
        <v>5.9896190000000002E-2</v>
      </c>
      <c r="X4125">
        <v>0.95921679999999998</v>
      </c>
      <c r="Y4125">
        <v>0.7466486</v>
      </c>
      <c r="Z4125">
        <v>-5.1038849999999997E-2</v>
      </c>
      <c r="AA4125">
        <v>0.66325780000000001</v>
      </c>
      <c r="AB4125">
        <v>33</v>
      </c>
      <c r="AC4125">
        <v>2.67500000000001</v>
      </c>
      <c r="AD4125">
        <v>-1.1257760000000001</v>
      </c>
      <c r="AE4125">
        <v>-5.83169</v>
      </c>
      <c r="AF4125">
        <v>4.8331739742787398</v>
      </c>
      <c r="AG4125">
        <v>-1.1257760000000001</v>
      </c>
      <c r="AH4125">
        <v>3.9220342269706401</v>
      </c>
      <c r="AI4125">
        <v>100.252130575815</v>
      </c>
      <c r="AJ4125">
        <v>39.0587117635271</v>
      </c>
      <c r="AK4125">
        <v>6.3252900917942503</v>
      </c>
      <c r="AL4125">
        <v>86.566145879755396</v>
      </c>
      <c r="AM4125">
        <v>73.933689833910805</v>
      </c>
      <c r="AN4125">
        <v>1.00000001624329</v>
      </c>
    </row>
    <row r="4126" spans="1:40" x14ac:dyDescent="0.25">
      <c r="A4126" t="str">
        <f>"20190305135712499"</f>
        <v>20190305135712499</v>
      </c>
      <c r="B4126" t="str">
        <f>"1551765432496741"</f>
        <v>1551765432496741</v>
      </c>
      <c r="C4126" t="s">
        <v>40</v>
      </c>
      <c r="D4126">
        <v>4.5585079999999998</v>
      </c>
      <c r="E4126">
        <v>0.75050850000000002</v>
      </c>
      <c r="F4126" t="s">
        <v>43</v>
      </c>
      <c r="G4126">
        <v>-313.34769999999997</v>
      </c>
      <c r="H4126">
        <v>-0.05</v>
      </c>
      <c r="I4126">
        <v>10.5946</v>
      </c>
      <c r="J4126">
        <v>-315.99439999999998</v>
      </c>
      <c r="K4126">
        <v>1.0740639999999999</v>
      </c>
      <c r="L4126">
        <v>16.437159999999999</v>
      </c>
      <c r="M4126">
        <v>0.96657150000000003</v>
      </c>
      <c r="N4126">
        <v>-2.8106530000000001E-2</v>
      </c>
      <c r="O4126">
        <v>-0.25485269999999999</v>
      </c>
      <c r="P4126">
        <v>0.85775290000000004</v>
      </c>
      <c r="Q4126">
        <v>3.9999590000000002E-2</v>
      </c>
      <c r="R4126">
        <v>-0.51250419999999997</v>
      </c>
      <c r="S4126">
        <v>1.5848390000000001</v>
      </c>
      <c r="T4126">
        <v>-0.62736740000000002</v>
      </c>
      <c r="U4126">
        <v>-3.2880549999999999</v>
      </c>
      <c r="V4126">
        <v>0.27891589999999999</v>
      </c>
      <c r="W4126">
        <v>5.7908849999999998E-2</v>
      </c>
      <c r="X4126">
        <v>0.95856790000000003</v>
      </c>
      <c r="Y4126">
        <v>0.75074719999999995</v>
      </c>
      <c r="Z4126">
        <v>-5.0877810000000002E-2</v>
      </c>
      <c r="AA4126">
        <v>0.65862749999999903</v>
      </c>
      <c r="AB4126">
        <v>33</v>
      </c>
      <c r="AC4126">
        <v>2.6467000000000098</v>
      </c>
      <c r="AD4126">
        <v>-1.124064</v>
      </c>
      <c r="AE4126">
        <v>-5.8425599999999998</v>
      </c>
      <c r="AF4126">
        <v>4.8264660033134303</v>
      </c>
      <c r="AG4126">
        <v>-1.124064</v>
      </c>
      <c r="AH4126">
        <v>3.9281726605029501</v>
      </c>
      <c r="AI4126">
        <v>100.23901832953401</v>
      </c>
      <c r="AJ4126">
        <v>39.1415144462283</v>
      </c>
      <c r="AK4126">
        <v>6.3236725411709296</v>
      </c>
      <c r="AL4126">
        <v>86.6802099714767</v>
      </c>
      <c r="AM4126">
        <v>73.776511770638905</v>
      </c>
      <c r="AN4126">
        <v>0.99999996654576995</v>
      </c>
    </row>
    <row r="4127" spans="1:40" x14ac:dyDescent="0.25">
      <c r="A4127" t="str">
        <f>"20190305135712514"</f>
        <v>20190305135712514</v>
      </c>
      <c r="B4127" t="str">
        <f>"1551765432506501"</f>
        <v>1551765432506501</v>
      </c>
      <c r="C4127" t="s">
        <v>40</v>
      </c>
      <c r="D4127">
        <v>4.5650750000000002</v>
      </c>
      <c r="E4127">
        <v>0.75005509999999997</v>
      </c>
      <c r="F4127" t="s">
        <v>43</v>
      </c>
      <c r="G4127">
        <v>-313.21719999999999</v>
      </c>
      <c r="H4127">
        <v>-0.05</v>
      </c>
      <c r="I4127">
        <v>10.56082</v>
      </c>
      <c r="J4127">
        <v>-315.79629999999997</v>
      </c>
      <c r="K4127">
        <v>1.072411</v>
      </c>
      <c r="L4127">
        <v>16.37799</v>
      </c>
      <c r="M4127">
        <v>0.9649354</v>
      </c>
      <c r="N4127">
        <v>-2.7990149999999998E-2</v>
      </c>
      <c r="O4127">
        <v>-0.26099139999999998</v>
      </c>
      <c r="P4127">
        <v>0.85335649999999996</v>
      </c>
      <c r="Q4127">
        <v>3.8635849999999999E-2</v>
      </c>
      <c r="R4127">
        <v>-0.51989479999999999</v>
      </c>
      <c r="S4127">
        <v>1.5576479999999999</v>
      </c>
      <c r="T4127">
        <v>-0.63045589999999996</v>
      </c>
      <c r="U4127">
        <v>-3.295868</v>
      </c>
      <c r="V4127">
        <v>0.28104639999999997</v>
      </c>
      <c r="W4127">
        <v>5.6321669999999997E-2</v>
      </c>
      <c r="X4127">
        <v>0.95804009999999995</v>
      </c>
      <c r="Y4127">
        <v>0.75157790000000002</v>
      </c>
      <c r="Z4127">
        <v>-5.0097580000000003E-2</v>
      </c>
      <c r="AA4127">
        <v>0.65773930000000003</v>
      </c>
      <c r="AB4127">
        <v>33</v>
      </c>
      <c r="AC4127">
        <v>2.57909999999998</v>
      </c>
      <c r="AD4127">
        <v>-1.122411</v>
      </c>
      <c r="AE4127">
        <v>-5.81717</v>
      </c>
      <c r="AF4127">
        <v>4.7928845446747603</v>
      </c>
      <c r="AG4127">
        <v>-1.122411</v>
      </c>
      <c r="AH4127">
        <v>3.8875136787158602</v>
      </c>
      <c r="AI4127">
        <v>100.308108055738</v>
      </c>
      <c r="AJ4127">
        <v>39.045544805259802</v>
      </c>
      <c r="AK4127">
        <v>6.2725043892934904</v>
      </c>
      <c r="AL4127">
        <v>86.771297568526506</v>
      </c>
      <c r="AM4127">
        <v>73.650655312517301</v>
      </c>
      <c r="AN4127">
        <v>1.0000000213362701</v>
      </c>
    </row>
    <row r="4128" spans="1:40" x14ac:dyDescent="0.25">
      <c r="A4128" t="str">
        <f>"20190305135712526"</f>
        <v>20190305135712526</v>
      </c>
      <c r="B4128" t="str">
        <f>"1551765432516261"</f>
        <v>1551765432516261</v>
      </c>
      <c r="C4128" t="s">
        <v>40</v>
      </c>
      <c r="D4128">
        <v>4.5707750000000003</v>
      </c>
      <c r="E4128">
        <v>0.74931599999999998</v>
      </c>
      <c r="F4128" t="s">
        <v>43</v>
      </c>
      <c r="G4128">
        <v>-313.09559999999999</v>
      </c>
      <c r="H4128">
        <v>-0.05</v>
      </c>
      <c r="I4128">
        <v>10.544219999999999</v>
      </c>
      <c r="J4128">
        <v>-315.61739999999998</v>
      </c>
      <c r="K4128">
        <v>1.0709850000000001</v>
      </c>
      <c r="L4128">
        <v>16.323149999999998</v>
      </c>
      <c r="M4128">
        <v>0.96336849999999996</v>
      </c>
      <c r="N4128">
        <v>-2.784182E-2</v>
      </c>
      <c r="O4128">
        <v>-0.26673170000000002</v>
      </c>
      <c r="P4128">
        <v>0.84867359999999903</v>
      </c>
      <c r="Q4128">
        <v>3.6956589999999997E-2</v>
      </c>
      <c r="R4128">
        <v>-0.52762419999999899</v>
      </c>
      <c r="S4128">
        <v>1.5303340000000001</v>
      </c>
      <c r="T4128">
        <v>-0.63602329999999996</v>
      </c>
      <c r="U4128">
        <v>-3.3057560000000001</v>
      </c>
      <c r="V4128">
        <v>0.28396480000000002</v>
      </c>
      <c r="W4128">
        <v>5.439343E-2</v>
      </c>
      <c r="X4128">
        <v>0.95729059999999999</v>
      </c>
      <c r="Y4128">
        <v>0.75279469999999904</v>
      </c>
      <c r="Z4128">
        <v>-4.9513849999999998E-2</v>
      </c>
      <c r="AA4128">
        <v>0.65639060000000005</v>
      </c>
      <c r="AB4128">
        <v>33</v>
      </c>
      <c r="AC4128">
        <v>2.5217999999999798</v>
      </c>
      <c r="AD4128">
        <v>-1.1209849999999999</v>
      </c>
      <c r="AE4128">
        <v>-5.7789299999999901</v>
      </c>
      <c r="AF4128">
        <v>4.7464655894003496</v>
      </c>
      <c r="AG4128">
        <v>-1.1209849999999999</v>
      </c>
      <c r="AH4128">
        <v>3.8506732065392</v>
      </c>
      <c r="AI4128">
        <v>100.392943835517</v>
      </c>
      <c r="AJ4128">
        <v>39.051441951662397</v>
      </c>
      <c r="AK4128">
        <v>6.2139542245775798</v>
      </c>
      <c r="AL4128">
        <v>86.881947116852004</v>
      </c>
      <c r="AM4128">
        <v>73.477860534329096</v>
      </c>
      <c r="AN4128">
        <v>0.99999997285728204</v>
      </c>
    </row>
    <row r="4129" spans="1:40" x14ac:dyDescent="0.25">
      <c r="A4129" t="str">
        <f>"20190305135712538"</f>
        <v>20190305135712538</v>
      </c>
      <c r="B4129" t="str">
        <f>"1551765432526997"</f>
        <v>1551765432526997</v>
      </c>
      <c r="C4129" t="s">
        <v>40</v>
      </c>
      <c r="D4129">
        <v>4.6819730000000002</v>
      </c>
      <c r="E4129">
        <v>0.74921159999999998</v>
      </c>
      <c r="F4129" t="s">
        <v>43</v>
      </c>
      <c r="G4129">
        <v>-312.98540000000003</v>
      </c>
      <c r="H4129">
        <v>-0.05</v>
      </c>
      <c r="I4129">
        <v>10.5162</v>
      </c>
      <c r="J4129">
        <v>-315.44330000000002</v>
      </c>
      <c r="K4129">
        <v>1.069672</v>
      </c>
      <c r="L4129">
        <v>16.26831</v>
      </c>
      <c r="M4129">
        <v>0.96175069999999996</v>
      </c>
      <c r="N4129">
        <v>-2.7667259999999999E-2</v>
      </c>
      <c r="O4129">
        <v>-0.27252559999999998</v>
      </c>
      <c r="P4129">
        <v>0.84427350000000001</v>
      </c>
      <c r="Q4129">
        <v>3.6149489999999999E-2</v>
      </c>
      <c r="R4129">
        <v>-0.5346919</v>
      </c>
      <c r="S4129">
        <v>1.5022580000000001</v>
      </c>
      <c r="T4129">
        <v>-0.63981180000000004</v>
      </c>
      <c r="U4129">
        <v>-3.314362</v>
      </c>
      <c r="V4129">
        <v>0.28615010000000002</v>
      </c>
      <c r="W4129">
        <v>5.3363540000000001E-2</v>
      </c>
      <c r="X4129">
        <v>0.95669769999999998</v>
      </c>
      <c r="Y4129">
        <v>0.75404749999999998</v>
      </c>
      <c r="Z4129">
        <v>-4.8814870000000003E-2</v>
      </c>
      <c r="AA4129">
        <v>0.65500349999999996</v>
      </c>
      <c r="AB4129">
        <v>33</v>
      </c>
      <c r="AC4129">
        <v>2.4578999999999902</v>
      </c>
      <c r="AD4129">
        <v>-1.119672</v>
      </c>
      <c r="AE4129">
        <v>-5.7521100000000001</v>
      </c>
      <c r="AF4129">
        <v>4.71310861973729</v>
      </c>
      <c r="AG4129">
        <v>-1.119672</v>
      </c>
      <c r="AH4129">
        <v>3.8108885411246298</v>
      </c>
      <c r="AI4129">
        <v>100.466398351218</v>
      </c>
      <c r="AJ4129">
        <v>38.958040243575098</v>
      </c>
      <c r="AK4129">
        <v>6.1635971414346198</v>
      </c>
      <c r="AL4129">
        <v>86.941041444501295</v>
      </c>
      <c r="AM4129">
        <v>73.347975984567199</v>
      </c>
      <c r="AN4129">
        <v>1.00000001815831</v>
      </c>
    </row>
    <row r="4130" spans="1:40" x14ac:dyDescent="0.25">
      <c r="A4130" t="str">
        <f>"20190305135712554"</f>
        <v>20190305135712554</v>
      </c>
      <c r="B4130" t="str">
        <f>"1551765432546517"</f>
        <v>1551765432546517</v>
      </c>
      <c r="C4130" t="s">
        <v>40</v>
      </c>
      <c r="D4130">
        <v>4.3676199999999996</v>
      </c>
      <c r="E4130">
        <v>0.74618359999999995</v>
      </c>
      <c r="F4130" t="s">
        <v>43</v>
      </c>
      <c r="G4130">
        <v>-312.85239999999999</v>
      </c>
      <c r="H4130">
        <v>-0.05</v>
      </c>
      <c r="I4130">
        <v>10.42145</v>
      </c>
      <c r="J4130">
        <v>-315.22390000000001</v>
      </c>
      <c r="K4130">
        <v>1.068084</v>
      </c>
      <c r="L4130">
        <v>16.19772</v>
      </c>
      <c r="M4130">
        <v>0.95959879999999997</v>
      </c>
      <c r="N4130">
        <v>-2.7422180000000001E-2</v>
      </c>
      <c r="O4130">
        <v>-0.28003289999999997</v>
      </c>
      <c r="P4130">
        <v>0.83774760000000004</v>
      </c>
      <c r="Q4130">
        <v>3.5675169999999999E-2</v>
      </c>
      <c r="R4130">
        <v>-0.54489119999999902</v>
      </c>
      <c r="S4130">
        <v>1.4739990000000001</v>
      </c>
      <c r="T4130">
        <v>-0.63700129999999999</v>
      </c>
      <c r="U4130">
        <v>-3.3263850000000001</v>
      </c>
      <c r="V4130">
        <v>0.29023900000000002</v>
      </c>
      <c r="W4130">
        <v>5.2545010000000003E-2</v>
      </c>
      <c r="X4130">
        <v>0.95551059999999999</v>
      </c>
      <c r="Y4130">
        <v>0.75465130000000002</v>
      </c>
      <c r="Z4130">
        <v>-4.7313540000000001E-2</v>
      </c>
      <c r="AA4130">
        <v>0.6544179</v>
      </c>
      <c r="AB4130">
        <v>33</v>
      </c>
      <c r="AC4130">
        <v>2.3715000000000201</v>
      </c>
      <c r="AD4130">
        <v>-1.1180840000000001</v>
      </c>
      <c r="AE4130">
        <v>-5.7762699999999896</v>
      </c>
      <c r="AF4130">
        <v>4.7290124706740899</v>
      </c>
      <c r="AG4130">
        <v>-1.1180840000000001</v>
      </c>
      <c r="AH4130">
        <v>3.7737023337011601</v>
      </c>
      <c r="AI4130">
        <v>100.47027664405699</v>
      </c>
      <c r="AJ4130">
        <v>38.589499872753898</v>
      </c>
      <c r="AK4130">
        <v>6.1526010826502198</v>
      </c>
      <c r="AL4130">
        <v>86.988005842384894</v>
      </c>
      <c r="AM4130">
        <v>73.103695503247806</v>
      </c>
      <c r="AN4130">
        <v>1.0000000809546199</v>
      </c>
    </row>
    <row r="4131" spans="1:40" x14ac:dyDescent="0.25">
      <c r="A4131" t="str">
        <f>"20190305135712575"</f>
        <v>20190305135712575</v>
      </c>
      <c r="B4131" t="str">
        <f>"1551765432567016"</f>
        <v>1551765432567016</v>
      </c>
      <c r="C4131" t="s">
        <v>40</v>
      </c>
      <c r="D4131">
        <v>4.411969</v>
      </c>
      <c r="E4131">
        <v>0.74350260000000001</v>
      </c>
      <c r="F4131" t="s">
        <v>43</v>
      </c>
      <c r="G4131">
        <v>-312.6105</v>
      </c>
      <c r="H4131">
        <v>-0.05</v>
      </c>
      <c r="I4131">
        <v>10.184710000000001</v>
      </c>
      <c r="J4131">
        <v>-314.92020000000002</v>
      </c>
      <c r="K4131">
        <v>1.0659799999999999</v>
      </c>
      <c r="L4131">
        <v>16.096339999999898</v>
      </c>
      <c r="M4131">
        <v>0.95635550000000003</v>
      </c>
      <c r="N4131">
        <v>-2.7043089999999999E-2</v>
      </c>
      <c r="O4131">
        <v>-0.29095219999999999</v>
      </c>
      <c r="P4131">
        <v>0.82873839999999999</v>
      </c>
      <c r="Q4131">
        <v>3.6886599999999999E-2</v>
      </c>
      <c r="R4131">
        <v>-0.55841980000000002</v>
      </c>
      <c r="S4131">
        <v>1.4449160000000001</v>
      </c>
      <c r="T4131">
        <v>-0.61818609999999996</v>
      </c>
      <c r="U4131">
        <v>-3.3245849999999999</v>
      </c>
      <c r="V4131">
        <v>0.29489009999999999</v>
      </c>
      <c r="W4131">
        <v>5.328973E-2</v>
      </c>
      <c r="X4131">
        <v>0.954044</v>
      </c>
      <c r="Y4131">
        <v>0.752529</v>
      </c>
      <c r="Z4131">
        <v>-4.4087660000000001E-2</v>
      </c>
      <c r="AA4131">
        <v>0.65708169999999899</v>
      </c>
      <c r="AB4131">
        <v>33</v>
      </c>
      <c r="AC4131">
        <v>2.3097000000000198</v>
      </c>
      <c r="AD4131">
        <v>-1.11598</v>
      </c>
      <c r="AE4131">
        <v>-5.9116299999999899</v>
      </c>
      <c r="AF4131">
        <v>4.8339760225708197</v>
      </c>
      <c r="AG4131">
        <v>-1.11598</v>
      </c>
      <c r="AH4131">
        <v>3.8124619518749499</v>
      </c>
      <c r="AI4131">
        <v>100.27440126984899</v>
      </c>
      <c r="AJ4131">
        <v>38.262150797102102</v>
      </c>
      <c r="AK4131">
        <v>6.2568044305127302</v>
      </c>
      <c r="AL4131">
        <v>86.9452762945252</v>
      </c>
      <c r="AM4131">
        <v>72.8238895692554</v>
      </c>
      <c r="AN4131">
        <v>0.99999996016874004</v>
      </c>
    </row>
    <row r="4132" spans="1:40" x14ac:dyDescent="0.25">
      <c r="A4132" t="str">
        <f>"20190305135712588"</f>
        <v>20190305135712588</v>
      </c>
      <c r="B4132" t="str">
        <f>"1551765432576773"</f>
        <v>1551765432576773</v>
      </c>
      <c r="C4132" t="s">
        <v>40</v>
      </c>
      <c r="D4132">
        <v>4.3074219999999999</v>
      </c>
      <c r="E4132">
        <v>0.74350260000000001</v>
      </c>
      <c r="F4132" t="s">
        <v>43</v>
      </c>
      <c r="G4132">
        <v>-312.26850000000002</v>
      </c>
      <c r="H4132">
        <v>-0.05</v>
      </c>
      <c r="I4132">
        <v>9.8020779999999998</v>
      </c>
      <c r="J4132">
        <v>-314.74200000000002</v>
      </c>
      <c r="K4132">
        <v>1.0647879999999901</v>
      </c>
      <c r="L4132">
        <v>16.035160000000001</v>
      </c>
      <c r="M4132">
        <v>0.95431540000000004</v>
      </c>
      <c r="N4132">
        <v>-2.6818359999999999E-2</v>
      </c>
      <c r="O4132">
        <v>-0.29759580000000002</v>
      </c>
      <c r="P4132">
        <v>0.82336399999999998</v>
      </c>
      <c r="Q4132">
        <v>3.830327E-2</v>
      </c>
      <c r="R4132">
        <v>-0.56621969999999899</v>
      </c>
      <c r="S4132">
        <v>1.4027400000000001</v>
      </c>
      <c r="T4132">
        <v>-0.59034419999999899</v>
      </c>
      <c r="U4132">
        <v>-3.3296199999999998</v>
      </c>
      <c r="V4132">
        <v>0.29731489999999999</v>
      </c>
      <c r="W4132">
        <v>5.4443430000000001E-2</v>
      </c>
      <c r="X4132">
        <v>0.95322600000000002</v>
      </c>
      <c r="Y4132">
        <v>0.75598390000000004</v>
      </c>
      <c r="Z4132">
        <v>-4.2395820000000001E-2</v>
      </c>
      <c r="AA4132">
        <v>0.65321580000000001</v>
      </c>
      <c r="AB4132">
        <v>33</v>
      </c>
      <c r="AC4132">
        <v>2.4735</v>
      </c>
      <c r="AD4132">
        <v>-1.1147879999999999</v>
      </c>
      <c r="AE4132">
        <v>-6.2330819999999996</v>
      </c>
      <c r="AF4132">
        <v>5.0738784991444099</v>
      </c>
      <c r="AG4132">
        <v>-1.1147879999999999</v>
      </c>
      <c r="AH4132">
        <v>4.1035507037684296</v>
      </c>
      <c r="AI4132">
        <v>99.694436598253603</v>
      </c>
      <c r="AJ4132">
        <v>38.964551455310399</v>
      </c>
      <c r="AK4132">
        <v>6.6201301865916804</v>
      </c>
      <c r="AL4132">
        <v>86.879078229888805</v>
      </c>
      <c r="AM4132">
        <v>72.677096425348793</v>
      </c>
      <c r="AN4132">
        <v>1.0000000219540801</v>
      </c>
    </row>
    <row r="4133" spans="1:40" x14ac:dyDescent="0.25">
      <c r="A4133" t="str">
        <f>"20190305135712603"</f>
        <v>20190305135712603</v>
      </c>
      <c r="B4133" t="str">
        <f>"1551765432596293"</f>
        <v>1551765432596293</v>
      </c>
      <c r="C4133" t="s">
        <v>40</v>
      </c>
      <c r="D4133">
        <v>4.3677400000000004</v>
      </c>
      <c r="E4133">
        <v>0.70950389999999997</v>
      </c>
      <c r="F4133" t="s">
        <v>43</v>
      </c>
      <c r="G4133">
        <v>-312.13619999999997</v>
      </c>
      <c r="H4133">
        <v>-0.05</v>
      </c>
      <c r="I4133">
        <v>9.6859280000000005</v>
      </c>
      <c r="J4133">
        <v>-314.53879999999998</v>
      </c>
      <c r="K4133">
        <v>1.0634779999999999</v>
      </c>
      <c r="L4133">
        <v>15.962949999999999</v>
      </c>
      <c r="M4133">
        <v>0.95181210000000005</v>
      </c>
      <c r="N4133">
        <v>-2.6569450000000001E-2</v>
      </c>
      <c r="O4133">
        <v>-0.30552869999999999</v>
      </c>
      <c r="P4133">
        <v>0.81716069999999996</v>
      </c>
      <c r="Q4133">
        <v>3.989819E-2</v>
      </c>
      <c r="R4133">
        <v>-0.57502749999999903</v>
      </c>
      <c r="S4133">
        <v>1.372009</v>
      </c>
      <c r="T4133">
        <v>-0.58695129999999995</v>
      </c>
      <c r="U4133">
        <v>-3.3429570000000002</v>
      </c>
      <c r="V4133">
        <v>0.29967569999999999</v>
      </c>
      <c r="W4133">
        <v>5.5752749999999997E-2</v>
      </c>
      <c r="X4133">
        <v>0.95241070000000005</v>
      </c>
      <c r="Y4133">
        <v>0.75679249999999998</v>
      </c>
      <c r="Z4133">
        <v>-4.0916170000000002E-2</v>
      </c>
      <c r="AA4133">
        <v>0.65237339999999999</v>
      </c>
      <c r="AB4133">
        <v>33</v>
      </c>
      <c r="AC4133">
        <v>2.4026000000000001</v>
      </c>
      <c r="AD4133">
        <v>-1.113478</v>
      </c>
      <c r="AE4133">
        <v>-6.2770219999999899</v>
      </c>
      <c r="AF4133">
        <v>5.1022951755767796</v>
      </c>
      <c r="AG4133">
        <v>-1.113478</v>
      </c>
      <c r="AH4133">
        <v>4.0937614957561799</v>
      </c>
      <c r="AI4133">
        <v>99.660039313145703</v>
      </c>
      <c r="AJ4133">
        <v>38.741370536620401</v>
      </c>
      <c r="AK4133">
        <v>6.6356712169406098</v>
      </c>
      <c r="AL4133">
        <v>86.8039455725702</v>
      </c>
      <c r="AM4133">
        <v>72.533835720993693</v>
      </c>
      <c r="AN4133">
        <v>1.00000001788877</v>
      </c>
    </row>
    <row r="4134" spans="1:40" x14ac:dyDescent="0.25">
      <c r="A4134" t="str">
        <f>"20190305135712621"</f>
        <v>20190305135712621</v>
      </c>
      <c r="B4134" t="str">
        <f>"1551765432616788"</f>
        <v>1551765432616788</v>
      </c>
      <c r="C4134" t="s">
        <v>40</v>
      </c>
      <c r="D4134">
        <v>4.3016220000000001</v>
      </c>
      <c r="E4134">
        <v>0.70843089999999997</v>
      </c>
      <c r="F4134" t="s">
        <v>43</v>
      </c>
      <c r="G4134">
        <v>-310.05029999999999</v>
      </c>
      <c r="H4134">
        <v>-0.05</v>
      </c>
      <c r="I4134">
        <v>6.5693210000000004</v>
      </c>
      <c r="J4134">
        <v>-314.29689999999999</v>
      </c>
      <c r="K4134">
        <v>1.061949</v>
      </c>
      <c r="L4134">
        <v>15.874599999999999</v>
      </c>
      <c r="M4134">
        <v>0.94862469999999999</v>
      </c>
      <c r="N4134">
        <v>-2.627546E-2</v>
      </c>
      <c r="O4134">
        <v>-0.315310799999999</v>
      </c>
      <c r="P4134">
        <v>0.80788919999999997</v>
      </c>
      <c r="Q4134">
        <v>4.2668240000000003E-2</v>
      </c>
      <c r="R4134">
        <v>-0.58778799999999998</v>
      </c>
      <c r="S4134">
        <v>1.4920040000000001</v>
      </c>
      <c r="T4134">
        <v>-0.37012659999999997</v>
      </c>
      <c r="U4134">
        <v>-3.1224980000000002</v>
      </c>
      <c r="V4134">
        <v>0.30494660000000001</v>
      </c>
      <c r="W4134">
        <v>5.8056429999999999E-2</v>
      </c>
      <c r="X4134">
        <v>0.95059819999999995</v>
      </c>
      <c r="Y4134">
        <v>0.7164353</v>
      </c>
      <c r="Z4134">
        <v>-2.795255E-2</v>
      </c>
      <c r="AA4134">
        <v>0.69709339999999997</v>
      </c>
      <c r="AB4134">
        <v>33</v>
      </c>
      <c r="AC4134">
        <v>4.2465999999999999</v>
      </c>
      <c r="AD4134">
        <v>-1.1119490000000001</v>
      </c>
      <c r="AE4134">
        <v>-9.3052790000000005</v>
      </c>
      <c r="AF4134">
        <v>7.4033114429146298</v>
      </c>
      <c r="AG4134">
        <v>-1.1119490000000001</v>
      </c>
      <c r="AH4134">
        <v>6.8835385822177102</v>
      </c>
      <c r="AI4134">
        <v>96.277061492561998</v>
      </c>
      <c r="AJ4134">
        <v>42.916429276767801</v>
      </c>
      <c r="AK4134">
        <v>10.1699830045222</v>
      </c>
      <c r="AL4134">
        <v>86.6717399812335</v>
      </c>
      <c r="AM4134">
        <v>72.214048876955701</v>
      </c>
      <c r="AN4134">
        <v>0.99999995787957097</v>
      </c>
    </row>
    <row r="4135" spans="1:40" x14ac:dyDescent="0.25">
      <c r="A4135" t="str">
        <f>"20190305135712644"</f>
        <v>20190305135712644</v>
      </c>
      <c r="B4135" t="str">
        <f>"1551765432636309"</f>
        <v>1551765432636309</v>
      </c>
      <c r="C4135" t="s">
        <v>40</v>
      </c>
      <c r="D4135">
        <v>4.5302619999999996</v>
      </c>
      <c r="E4135">
        <v>0.70719609999999899</v>
      </c>
      <c r="F4135" t="s">
        <v>43</v>
      </c>
      <c r="G4135">
        <v>-309.87490000000003</v>
      </c>
      <c r="H4135">
        <v>-0.05</v>
      </c>
      <c r="I4135">
        <v>6.2948149999999998</v>
      </c>
      <c r="J4135">
        <v>-313.97430000000003</v>
      </c>
      <c r="K4135">
        <v>1.0599339999999999</v>
      </c>
      <c r="L4135">
        <v>15.752079999999999</v>
      </c>
      <c r="M4135">
        <v>0.94399840000000002</v>
      </c>
      <c r="N4135">
        <v>-2.5898520000000001E-2</v>
      </c>
      <c r="O4135">
        <v>-0.32893270000000002</v>
      </c>
      <c r="P4135">
        <v>0.79587559999999902</v>
      </c>
      <c r="Q4135">
        <v>4.409296E-2</v>
      </c>
      <c r="R4135">
        <v>-0.60385269999999902</v>
      </c>
      <c r="S4135">
        <v>1.4488829999999999</v>
      </c>
      <c r="T4135">
        <v>-0.3643382</v>
      </c>
      <c r="U4135">
        <v>-3.1388850000000001</v>
      </c>
      <c r="V4135">
        <v>0.31037360000000003</v>
      </c>
      <c r="W4135">
        <v>5.8872319999999999E-2</v>
      </c>
      <c r="X4135">
        <v>0.94878989999999996</v>
      </c>
      <c r="Y4135">
        <v>0.71585589999999999</v>
      </c>
      <c r="Z4135">
        <v>-2.6146470000000002E-2</v>
      </c>
      <c r="AA4135">
        <v>0.69775830000000005</v>
      </c>
      <c r="AB4135">
        <v>32</v>
      </c>
      <c r="AC4135">
        <v>4.0994000000000002</v>
      </c>
      <c r="AD4135">
        <v>-1.109934</v>
      </c>
      <c r="AE4135">
        <v>-9.4572649999999996</v>
      </c>
      <c r="AF4135">
        <v>7.4948519004360801</v>
      </c>
      <c r="AG4135">
        <v>-1.109934</v>
      </c>
      <c r="AH4135">
        <v>6.9029292030939597</v>
      </c>
      <c r="AI4135">
        <v>96.216751578951602</v>
      </c>
      <c r="AJ4135">
        <v>42.645777227316103</v>
      </c>
      <c r="AK4135">
        <v>10.2496434121755</v>
      </c>
      <c r="AL4135">
        <v>86.624912961872795</v>
      </c>
      <c r="AM4135">
        <v>71.885746966873398</v>
      </c>
      <c r="AN4135">
        <v>0.99999999799057604</v>
      </c>
    </row>
    <row r="4136" spans="1:40" x14ac:dyDescent="0.25">
      <c r="A4136" t="str">
        <f>"20190305135712657"</f>
        <v>20190305135712657</v>
      </c>
      <c r="B4136" t="str">
        <f>"1551765432647046"</f>
        <v>1551765432647046</v>
      </c>
      <c r="C4136" t="s">
        <v>40</v>
      </c>
      <c r="D4136">
        <v>4.5657540000000001</v>
      </c>
      <c r="E4136">
        <v>0.70585750000000003</v>
      </c>
      <c r="F4136" t="s">
        <v>43</v>
      </c>
      <c r="G4136">
        <v>-310.07080000000002</v>
      </c>
      <c r="H4136">
        <v>-0.05</v>
      </c>
      <c r="I4136">
        <v>6.8872530000000003</v>
      </c>
      <c r="J4136">
        <v>-313.79050000000001</v>
      </c>
      <c r="K4136">
        <v>1.058816</v>
      </c>
      <c r="L4136">
        <v>15.6795299999999</v>
      </c>
      <c r="M4136">
        <v>0.94116239999999995</v>
      </c>
      <c r="N4136">
        <v>-2.5698700000000001E-2</v>
      </c>
      <c r="O4136">
        <v>-0.3369762</v>
      </c>
      <c r="P4136">
        <v>0.78881499999999904</v>
      </c>
      <c r="Q4136">
        <v>4.4100430000000003E-2</v>
      </c>
      <c r="R4136">
        <v>-0.6130466</v>
      </c>
      <c r="S4136">
        <v>1.3923030000000001</v>
      </c>
      <c r="T4136">
        <v>-0.39589750000000001</v>
      </c>
      <c r="U4136">
        <v>-3.1619570000000001</v>
      </c>
      <c r="V4136">
        <v>0.31329279999999998</v>
      </c>
      <c r="W4136">
        <v>5.8520549999999998E-2</v>
      </c>
      <c r="X4136">
        <v>0.94785180000000002</v>
      </c>
      <c r="Y4136">
        <v>0.72170109999999998</v>
      </c>
      <c r="Z4136">
        <v>-2.6411110000000002E-2</v>
      </c>
      <c r="AA4136">
        <v>0.69170069999999995</v>
      </c>
      <c r="AB4136">
        <v>32</v>
      </c>
      <c r="AC4136">
        <v>3.71969999999998</v>
      </c>
      <c r="AD4136">
        <v>-1.108816</v>
      </c>
      <c r="AE4136">
        <v>-8.7922769999999897</v>
      </c>
      <c r="AF4136">
        <v>6.93034017759003</v>
      </c>
      <c r="AG4136">
        <v>-1.108816</v>
      </c>
      <c r="AH4136">
        <v>6.3797036290127602</v>
      </c>
      <c r="AI4136">
        <v>96.713551772512801</v>
      </c>
      <c r="AJ4136">
        <v>42.631024311602403</v>
      </c>
      <c r="AK4136">
        <v>9.4847090779324006</v>
      </c>
      <c r="AL4136">
        <v>86.645102829023699</v>
      </c>
      <c r="AM4136">
        <v>71.709765514914693</v>
      </c>
      <c r="AN4136">
        <v>1.0000000340336901</v>
      </c>
    </row>
    <row r="4137" spans="1:40" x14ac:dyDescent="0.25">
      <c r="A4137" t="str">
        <f>"20190305135712672"</f>
        <v>20190305135712672</v>
      </c>
      <c r="B4137" t="str">
        <f>"1551765432666565"</f>
        <v>1551765432666565</v>
      </c>
      <c r="C4137" t="s">
        <v>40</v>
      </c>
      <c r="D4137">
        <v>4.459435</v>
      </c>
      <c r="E4137">
        <v>0.70296099999999995</v>
      </c>
      <c r="F4137" t="s">
        <v>43</v>
      </c>
      <c r="G4137">
        <v>-310.1474</v>
      </c>
      <c r="H4137">
        <v>-0.05</v>
      </c>
      <c r="I4137">
        <v>7.2007450000000004</v>
      </c>
      <c r="J4137">
        <v>-313.59359999999998</v>
      </c>
      <c r="K4137">
        <v>1.0576460000000001</v>
      </c>
      <c r="L4137">
        <v>15.600009999999999</v>
      </c>
      <c r="M4137">
        <v>0.9379767</v>
      </c>
      <c r="N4137">
        <v>-2.549423E-2</v>
      </c>
      <c r="O4137">
        <v>-0.34576000000000001</v>
      </c>
      <c r="P4137">
        <v>0.78103829999999996</v>
      </c>
      <c r="Q4137">
        <v>4.360845E-2</v>
      </c>
      <c r="R4137">
        <v>-0.62295880000000003</v>
      </c>
      <c r="S4137">
        <v>1.3623050000000001</v>
      </c>
      <c r="T4137">
        <v>-0.41463109999999997</v>
      </c>
      <c r="U4137">
        <v>-3.170563</v>
      </c>
      <c r="V4137">
        <v>0.3163861</v>
      </c>
      <c r="W4137">
        <v>5.7636069999999998E-2</v>
      </c>
      <c r="X4137">
        <v>0.946878</v>
      </c>
      <c r="Y4137">
        <v>0.72120340000000005</v>
      </c>
      <c r="Z4137">
        <v>-2.5530870000000001E-2</v>
      </c>
      <c r="AA4137">
        <v>0.6922528</v>
      </c>
      <c r="AB4137">
        <v>32</v>
      </c>
      <c r="AC4137">
        <v>3.44619999999997</v>
      </c>
      <c r="AD4137">
        <v>-1.1076459999999999</v>
      </c>
      <c r="AE4137">
        <v>-8.3992649999999998</v>
      </c>
      <c r="AF4137">
        <v>6.5908257383909099</v>
      </c>
      <c r="AG4137">
        <v>-1.1076459999999999</v>
      </c>
      <c r="AH4137">
        <v>6.0485471455001703</v>
      </c>
      <c r="AI4137">
        <v>97.058442810691403</v>
      </c>
      <c r="AJ4137">
        <v>42.543293338640801</v>
      </c>
      <c r="AK4137">
        <v>9.0139217961157403</v>
      </c>
      <c r="AL4137">
        <v>86.695865419129206</v>
      </c>
      <c r="AM4137">
        <v>71.523666726182995</v>
      </c>
      <c r="AN4137">
        <v>1.00000001386112</v>
      </c>
    </row>
    <row r="4138" spans="1:40" x14ac:dyDescent="0.25">
      <c r="A4138" t="str">
        <f>"20190305135712686"</f>
        <v>20190305135712686</v>
      </c>
      <c r="B4138" t="str">
        <f>"1551765432676325"</f>
        <v>1551765432676325</v>
      </c>
      <c r="C4138" t="s">
        <v>40</v>
      </c>
      <c r="D4138">
        <v>4.4578189999999998</v>
      </c>
      <c r="E4138">
        <v>0.70165180000000005</v>
      </c>
      <c r="F4138" t="s">
        <v>43</v>
      </c>
      <c r="G4138">
        <v>-310.12099999999998</v>
      </c>
      <c r="H4138">
        <v>-0.05</v>
      </c>
      <c r="I4138">
        <v>7.3652800000000003</v>
      </c>
      <c r="J4138">
        <v>-313.39670000000001</v>
      </c>
      <c r="K4138">
        <v>1.05651299999999</v>
      </c>
      <c r="L4138">
        <v>15.5177</v>
      </c>
      <c r="M4138">
        <v>0.93460030000000005</v>
      </c>
      <c r="N4138">
        <v>-2.5302809999999998E-2</v>
      </c>
      <c r="O4138">
        <v>-0.35479840000000001</v>
      </c>
      <c r="P4138">
        <v>0.77115840000000002</v>
      </c>
      <c r="Q4138">
        <v>4.2124410000000001E-2</v>
      </c>
      <c r="R4138">
        <v>-0.63524829999999999</v>
      </c>
      <c r="S4138">
        <v>1.33667</v>
      </c>
      <c r="T4138">
        <v>-0.42635489999999998</v>
      </c>
      <c r="U4138">
        <v>-3.169708</v>
      </c>
      <c r="V4138">
        <v>0.3221734</v>
      </c>
      <c r="W4138">
        <v>5.564086E-2</v>
      </c>
      <c r="X4138">
        <v>0.94504410000000005</v>
      </c>
      <c r="Y4138">
        <v>0.71908439999999996</v>
      </c>
      <c r="Z4138">
        <v>-2.423355E-2</v>
      </c>
      <c r="AA4138">
        <v>0.69450000000000001</v>
      </c>
      <c r="AB4138">
        <v>32</v>
      </c>
      <c r="AC4138">
        <v>3.27570000000002</v>
      </c>
      <c r="AD4138">
        <v>-1.1065130000000001</v>
      </c>
      <c r="AE4138">
        <v>-8.1524199999999993</v>
      </c>
      <c r="AF4138">
        <v>6.3582590161296597</v>
      </c>
      <c r="AG4138">
        <v>-1.1065130000000001</v>
      </c>
      <c r="AH4138">
        <v>5.8628504103993704</v>
      </c>
      <c r="AI4138">
        <v>97.290780791713502</v>
      </c>
      <c r="AJ4138">
        <v>42.678664947710097</v>
      </c>
      <c r="AK4138">
        <v>8.7192226528563506</v>
      </c>
      <c r="AL4138">
        <v>86.810366236542293</v>
      </c>
      <c r="AM4138">
        <v>71.175329360267398</v>
      </c>
      <c r="AN4138">
        <v>0.99999997795695394</v>
      </c>
    </row>
    <row r="4139" spans="1:40" x14ac:dyDescent="0.25">
      <c r="A4139" t="str">
        <f>"20190305135712709"</f>
        <v>20190305135712709</v>
      </c>
      <c r="B4139" t="str">
        <f>"1551765432706581"</f>
        <v>1551765432706581</v>
      </c>
      <c r="C4139" t="s">
        <v>40</v>
      </c>
      <c r="D4139">
        <v>4.5732879999999998</v>
      </c>
      <c r="E4139">
        <v>0.69718849999999999</v>
      </c>
      <c r="F4139" t="s">
        <v>43</v>
      </c>
      <c r="G4139">
        <v>-310.0752</v>
      </c>
      <c r="H4139">
        <v>-0.05</v>
      </c>
      <c r="I4139">
        <v>7.3432009999999996</v>
      </c>
      <c r="J4139">
        <v>-313.09570000000002</v>
      </c>
      <c r="K4139">
        <v>1.054897</v>
      </c>
      <c r="L4139">
        <v>15.387449999999999</v>
      </c>
      <c r="M4139">
        <v>0.92909739999999996</v>
      </c>
      <c r="N4139">
        <v>-2.5038419999999999E-2</v>
      </c>
      <c r="O4139">
        <v>-0.3689866</v>
      </c>
      <c r="P4139">
        <v>0.75839369999999995</v>
      </c>
      <c r="Q4139">
        <v>3.9785309999999997E-2</v>
      </c>
      <c r="R4139">
        <v>-0.65058139999999998</v>
      </c>
      <c r="S4139">
        <v>1.292816</v>
      </c>
      <c r="T4139">
        <v>-0.4306798</v>
      </c>
      <c r="U4139">
        <v>-3.181702</v>
      </c>
      <c r="V4139">
        <v>0.32663019999999998</v>
      </c>
      <c r="W4139">
        <v>5.2711189999999998E-2</v>
      </c>
      <c r="X4139">
        <v>0.9436812</v>
      </c>
      <c r="Y4139">
        <v>0.71768330000000002</v>
      </c>
      <c r="Z4139">
        <v>-2.2153450000000002E-2</v>
      </c>
      <c r="AA4139">
        <v>0.69601729999999995</v>
      </c>
      <c r="AB4139">
        <v>32</v>
      </c>
      <c r="AC4139">
        <v>3.0205000000000202</v>
      </c>
      <c r="AD4139">
        <v>-1.104897</v>
      </c>
      <c r="AE4139">
        <v>-8.0442490000000006</v>
      </c>
      <c r="AF4139">
        <v>6.2578900658014804</v>
      </c>
      <c r="AG4139">
        <v>-1.104897</v>
      </c>
      <c r="AH4139">
        <v>5.6824138563615501</v>
      </c>
      <c r="AI4139">
        <v>97.447061249628803</v>
      </c>
      <c r="AJ4139">
        <v>42.240701439789198</v>
      </c>
      <c r="AK4139">
        <v>8.5247764012457008</v>
      </c>
      <c r="AL4139">
        <v>86.978470918482898</v>
      </c>
      <c r="AM4139">
        <v>70.908062836190993</v>
      </c>
      <c r="AN4139">
        <v>0.99999998216834796</v>
      </c>
    </row>
    <row r="4140" spans="1:40" x14ac:dyDescent="0.25">
      <c r="A4140" t="str">
        <f>"20190305135712733"</f>
        <v>20190305135712733</v>
      </c>
      <c r="B4140" t="str">
        <f>"1551765432727076"</f>
        <v>1551765432727076</v>
      </c>
      <c r="C4140" t="s">
        <v>40</v>
      </c>
      <c r="D4140">
        <v>4.591189</v>
      </c>
      <c r="E4140">
        <v>0.67250480000000001</v>
      </c>
      <c r="F4140" t="s">
        <v>43</v>
      </c>
      <c r="G4140">
        <v>-309.99360000000001</v>
      </c>
      <c r="H4140">
        <v>-0.05</v>
      </c>
      <c r="I4140">
        <v>7.4967189999999997</v>
      </c>
      <c r="J4140">
        <v>-312.79520000000002</v>
      </c>
      <c r="K4140">
        <v>1.0534380000000001</v>
      </c>
      <c r="L4140">
        <v>15.25079</v>
      </c>
      <c r="M4140">
        <v>0.92311129999999997</v>
      </c>
      <c r="N4140">
        <v>-2.4810970000000002E-2</v>
      </c>
      <c r="O4140">
        <v>-0.38373210000000002</v>
      </c>
      <c r="P4140">
        <v>0.74566580000000005</v>
      </c>
      <c r="Q4140">
        <v>3.7020539999999998E-2</v>
      </c>
      <c r="R4140">
        <v>-0.66529110000000002</v>
      </c>
      <c r="S4140">
        <v>1.2504580000000001</v>
      </c>
      <c r="T4140">
        <v>-0.44538749999999999</v>
      </c>
      <c r="U4140">
        <v>-3.1807859999999999</v>
      </c>
      <c r="V4140">
        <v>0.32993939999999999</v>
      </c>
      <c r="W4140">
        <v>4.9427220000000001E-2</v>
      </c>
      <c r="X4140">
        <v>0.94270719999999997</v>
      </c>
      <c r="Y4140">
        <v>0.71442469999999902</v>
      </c>
      <c r="Z4140">
        <v>-1.9756659999999999E-2</v>
      </c>
      <c r="AA4140">
        <v>0.69943339999999998</v>
      </c>
      <c r="AB4140">
        <v>32</v>
      </c>
      <c r="AC4140">
        <v>2.8016000000000001</v>
      </c>
      <c r="AD4140">
        <v>-1.1034379999999999</v>
      </c>
      <c r="AE4140">
        <v>-7.7540709999999997</v>
      </c>
      <c r="AF4140">
        <v>5.9776064705594196</v>
      </c>
      <c r="AG4140">
        <v>-1.1034379999999999</v>
      </c>
      <c r="AH4140">
        <v>5.46548714467046</v>
      </c>
      <c r="AI4140">
        <v>97.757864859967</v>
      </c>
      <c r="AJ4140">
        <v>42.437519016623199</v>
      </c>
      <c r="AK4140">
        <v>8.1744054380288702</v>
      </c>
      <c r="AL4140">
        <v>87.166874413908701</v>
      </c>
      <c r="AM4140">
        <v>70.710393440506195</v>
      </c>
      <c r="AN4140">
        <v>0.99999996134056301</v>
      </c>
    </row>
    <row r="4141" spans="1:40" x14ac:dyDescent="0.25">
      <c r="A4141" t="str">
        <f>"20190305135712754"</f>
        <v>20190305135712754</v>
      </c>
      <c r="B4141" t="str">
        <f>"1551765432746606"</f>
        <v>1551765432746606</v>
      </c>
      <c r="C4141" t="s">
        <v>40</v>
      </c>
      <c r="D4141">
        <v>4.5598549999999998</v>
      </c>
      <c r="E4141">
        <v>0.67023500000000003</v>
      </c>
      <c r="F4141" t="s">
        <v>43</v>
      </c>
      <c r="G4141">
        <v>-309.87360000000001</v>
      </c>
      <c r="H4141">
        <v>-0.05</v>
      </c>
      <c r="I4141">
        <v>8.4597929999999995</v>
      </c>
      <c r="J4141">
        <v>-312.50619999999998</v>
      </c>
      <c r="K4141">
        <v>1.052171</v>
      </c>
      <c r="L4141">
        <v>15.113429999999999</v>
      </c>
      <c r="M4141">
        <v>0.9168752</v>
      </c>
      <c r="N4141">
        <v>-2.4622080000000001E-2</v>
      </c>
      <c r="O4141">
        <v>-0.39841389999999999</v>
      </c>
      <c r="P4141">
        <v>0.73358769999999995</v>
      </c>
      <c r="Q4141">
        <v>3.2746150000000002E-2</v>
      </c>
      <c r="R4141">
        <v>-0.6788052</v>
      </c>
      <c r="S4141">
        <v>1.3168949999999999</v>
      </c>
      <c r="T4141">
        <v>-0.4973688</v>
      </c>
      <c r="U4141">
        <v>-3.0610050000000002</v>
      </c>
      <c r="V4141">
        <v>0.33191730000000003</v>
      </c>
      <c r="W4141">
        <v>4.4726059999999998E-2</v>
      </c>
      <c r="X4141">
        <v>0.94224759999999996</v>
      </c>
      <c r="Y4141">
        <v>0.67994270000000001</v>
      </c>
      <c r="Z4141">
        <v>-1.294846E-2</v>
      </c>
      <c r="AA4141">
        <v>0.733151</v>
      </c>
      <c r="AB4141">
        <v>32</v>
      </c>
      <c r="AC4141">
        <v>2.6325999999999601</v>
      </c>
      <c r="AD4141">
        <v>-1.102171</v>
      </c>
      <c r="AE4141">
        <v>-6.6536369999999998</v>
      </c>
      <c r="AF4141">
        <v>4.9361105296234502</v>
      </c>
      <c r="AG4141">
        <v>-1.102171</v>
      </c>
      <c r="AH4141">
        <v>4.9487904238487204</v>
      </c>
      <c r="AI4141">
        <v>98.960920096897397</v>
      </c>
      <c r="AJ4141">
        <v>45.073496338377304</v>
      </c>
      <c r="AK4141">
        <v>7.0760507864964701</v>
      </c>
      <c r="AL4141">
        <v>87.436530442831298</v>
      </c>
      <c r="AM4141">
        <v>70.594615191315498</v>
      </c>
      <c r="AN4141">
        <v>1.0000000270940801</v>
      </c>
    </row>
    <row r="4142" spans="1:40" x14ac:dyDescent="0.25">
      <c r="A4142" t="str">
        <f>"20190305135712776"</f>
        <v>20190305135712776</v>
      </c>
      <c r="B4142" t="str">
        <f>"1551765432767097"</f>
        <v>1551765432767097</v>
      </c>
      <c r="C4142" t="s">
        <v>40</v>
      </c>
      <c r="D4142">
        <v>4.514106</v>
      </c>
      <c r="E4142">
        <v>0.66864820000000003</v>
      </c>
      <c r="F4142" t="s">
        <v>43</v>
      </c>
      <c r="G4142">
        <v>-309.71609999999998</v>
      </c>
      <c r="H4142">
        <v>-0.05</v>
      </c>
      <c r="I4142">
        <v>8.3628229999999899</v>
      </c>
      <c r="J4142">
        <v>-312.22399999999999</v>
      </c>
      <c r="K4142">
        <v>1.0510839999999999</v>
      </c>
      <c r="L4142">
        <v>14.973330000000001</v>
      </c>
      <c r="M4142">
        <v>0.9103118</v>
      </c>
      <c r="N4142">
        <v>-2.4469419999999999E-2</v>
      </c>
      <c r="O4142">
        <v>-0.41319980000000001</v>
      </c>
      <c r="P4142">
        <v>0.71997959999999905</v>
      </c>
      <c r="Q4142">
        <v>2.9823849999999999E-2</v>
      </c>
      <c r="R4142">
        <v>-0.69335419999999903</v>
      </c>
      <c r="S4142">
        <v>1.2695620000000001</v>
      </c>
      <c r="T4142">
        <v>-0.50151409999999996</v>
      </c>
      <c r="U4142">
        <v>-3.0716860000000001</v>
      </c>
      <c r="V4142">
        <v>0.3353932</v>
      </c>
      <c r="W4142">
        <v>4.136509E-2</v>
      </c>
      <c r="X4142">
        <v>0.9411697</v>
      </c>
      <c r="Y4142">
        <v>0.67868890000000004</v>
      </c>
      <c r="Z4142">
        <v>-1.029861E-2</v>
      </c>
      <c r="AA4142">
        <v>0.734353699999999</v>
      </c>
      <c r="AB4142">
        <v>31</v>
      </c>
      <c r="AC4142">
        <v>2.5078999999999998</v>
      </c>
      <c r="AD4142">
        <v>-1.101084</v>
      </c>
      <c r="AE4142">
        <v>-6.6105070000000001</v>
      </c>
      <c r="AF4142">
        <v>4.8648604917068301</v>
      </c>
      <c r="AG4142">
        <v>-1.101084</v>
      </c>
      <c r="AH4142">
        <v>4.8971594188605696</v>
      </c>
      <c r="AI4142">
        <v>99.063012899966196</v>
      </c>
      <c r="AJ4142">
        <v>45.189569932541602</v>
      </c>
      <c r="AK4142">
        <v>6.9900947026890003</v>
      </c>
      <c r="AL4142">
        <v>87.629278604245201</v>
      </c>
      <c r="AM4142">
        <v>70.386076071272896</v>
      </c>
      <c r="AN4142">
        <v>1.0000000367375099</v>
      </c>
    </row>
    <row r="4143" spans="1:40" x14ac:dyDescent="0.25">
      <c r="A4143" t="str">
        <f>"20190305135712811"</f>
        <v>20190305135712811</v>
      </c>
      <c r="B4143" t="str">
        <f>"1551765432807110"</f>
        <v>1551765432807110</v>
      </c>
      <c r="C4143" t="s">
        <v>40</v>
      </c>
      <c r="D4143">
        <v>4.5472659999999996</v>
      </c>
      <c r="E4143">
        <v>0.6660005</v>
      </c>
      <c r="F4143" t="s">
        <v>43</v>
      </c>
      <c r="G4143">
        <v>-309.39249999999998</v>
      </c>
      <c r="H4143">
        <v>-0.05</v>
      </c>
      <c r="I4143">
        <v>7.7772670000000002</v>
      </c>
      <c r="J4143">
        <v>-311.7971</v>
      </c>
      <c r="K4143">
        <v>1.0496760000000001</v>
      </c>
      <c r="L4143">
        <v>14.75006</v>
      </c>
      <c r="M4143">
        <v>0.89944089999999999</v>
      </c>
      <c r="N4143">
        <v>-2.4279720000000001E-2</v>
      </c>
      <c r="O4143">
        <v>-0.43636750000000002</v>
      </c>
      <c r="P4143">
        <v>0.6992083</v>
      </c>
      <c r="Q4143">
        <v>3.1396739999999999E-2</v>
      </c>
      <c r="R4143">
        <v>-0.71422819999999998</v>
      </c>
      <c r="S4143">
        <v>1.2143250000000001</v>
      </c>
      <c r="T4143">
        <v>-0.4722172</v>
      </c>
      <c r="U4143">
        <v>-3.0861510000000001</v>
      </c>
      <c r="V4143">
        <v>0.33908450000000001</v>
      </c>
      <c r="W4143">
        <v>4.2394149999999999E-2</v>
      </c>
      <c r="X4143">
        <v>0.93980019999999997</v>
      </c>
      <c r="Y4143">
        <v>0.67310859999999995</v>
      </c>
      <c r="Z4143">
        <v>-6.5416429999999998E-3</v>
      </c>
      <c r="AA4143">
        <v>0.73951469999999997</v>
      </c>
      <c r="AB4143">
        <v>31</v>
      </c>
      <c r="AC4143">
        <v>2.4046000000000101</v>
      </c>
      <c r="AD4143">
        <v>-1.0996760000000001</v>
      </c>
      <c r="AE4143">
        <v>-6.9727930000000002</v>
      </c>
      <c r="AF4143">
        <v>5.1102708666391496</v>
      </c>
      <c r="AG4143">
        <v>-1.0996760000000001</v>
      </c>
      <c r="AH4143">
        <v>5.0938019051052601</v>
      </c>
      <c r="AI4143">
        <v>98.6656080759644</v>
      </c>
      <c r="AJ4143">
        <v>44.907527005084603</v>
      </c>
      <c r="AK4143">
        <v>7.2986966976201204</v>
      </c>
      <c r="AL4143">
        <v>87.570265919028103</v>
      </c>
      <c r="AM4143">
        <v>70.160308762985295</v>
      </c>
      <c r="AN4143">
        <v>0.99999998900725595</v>
      </c>
    </row>
    <row r="4144" spans="1:40" x14ac:dyDescent="0.25">
      <c r="A4144" t="str">
        <f>"20190305135712833"</f>
        <v>20190305135712833</v>
      </c>
      <c r="B4144" t="str">
        <f>"1551765432826629"</f>
        <v>1551765432826629</v>
      </c>
      <c r="C4144" t="s">
        <v>40</v>
      </c>
      <c r="D4144">
        <v>4.538653</v>
      </c>
      <c r="E4144">
        <v>0.66463260000000002</v>
      </c>
      <c r="F4144" t="s">
        <v>43</v>
      </c>
      <c r="G4144">
        <v>-308.99639999999999</v>
      </c>
      <c r="H4144">
        <v>-0.05</v>
      </c>
      <c r="I4144">
        <v>7.1185910000000003</v>
      </c>
      <c r="J4144">
        <v>-311.5172</v>
      </c>
      <c r="K4144">
        <v>1.0488930000000001</v>
      </c>
      <c r="L4144">
        <v>14.59482</v>
      </c>
      <c r="M4144">
        <v>0.89160839999999997</v>
      </c>
      <c r="N4144">
        <v>-2.4181729999999999E-2</v>
      </c>
      <c r="O4144">
        <v>-0.45216129999999999</v>
      </c>
      <c r="P4144">
        <v>0.68526540000000002</v>
      </c>
      <c r="Q4144">
        <v>3.041545E-2</v>
      </c>
      <c r="R4144">
        <v>-0.72765800000000003</v>
      </c>
      <c r="S4144">
        <v>1.139343</v>
      </c>
      <c r="T4144">
        <v>-0.44736239999999999</v>
      </c>
      <c r="U4144">
        <v>-3.104584</v>
      </c>
      <c r="V4144">
        <v>0.34070270000000002</v>
      </c>
      <c r="W4144">
        <v>4.1116390000000003E-2</v>
      </c>
      <c r="X4144">
        <v>0.93927159999999998</v>
      </c>
      <c r="Y4144">
        <v>0.67754950000000003</v>
      </c>
      <c r="Z4144">
        <v>-5.3450279999999999E-3</v>
      </c>
      <c r="AA4144">
        <v>0.73545769999999899</v>
      </c>
      <c r="AB4144">
        <v>31</v>
      </c>
      <c r="AC4144">
        <v>2.5207999999999999</v>
      </c>
      <c r="AD4144">
        <v>-1.0988929999999999</v>
      </c>
      <c r="AE4144">
        <v>-7.4762289999999902</v>
      </c>
      <c r="AF4144">
        <v>5.4224848797000504</v>
      </c>
      <c r="AG4144">
        <v>-1.0988929999999999</v>
      </c>
      <c r="AH4144">
        <v>5.5225411994855804</v>
      </c>
      <c r="AI4144">
        <v>98.0809970019275</v>
      </c>
      <c r="AJ4144">
        <v>45.523767152783897</v>
      </c>
      <c r="AK4144">
        <v>7.8172481984417201</v>
      </c>
      <c r="AL4144">
        <v>87.643540141223994</v>
      </c>
      <c r="AM4144">
        <v>70.062734311558103</v>
      </c>
      <c r="AN4144">
        <v>1.00000001294024</v>
      </c>
    </row>
    <row r="4145" spans="1:40" x14ac:dyDescent="0.25">
      <c r="A4145" t="str">
        <f>"20190305135712854"</f>
        <v>20190305135712854</v>
      </c>
      <c r="B4145" t="str">
        <f>"1551765432847128"</f>
        <v>1551765432847128</v>
      </c>
      <c r="C4145" t="s">
        <v>40</v>
      </c>
      <c r="D4145">
        <v>4.5336540000000003</v>
      </c>
      <c r="E4145">
        <v>0.66291</v>
      </c>
      <c r="F4145" t="s">
        <v>43</v>
      </c>
      <c r="G4145">
        <v>-308.84949999999998</v>
      </c>
      <c r="H4145">
        <v>-0.05</v>
      </c>
      <c r="I4145">
        <v>6.9580229999999998</v>
      </c>
      <c r="J4145">
        <v>-311.25529999999998</v>
      </c>
      <c r="K4145">
        <v>1.048254</v>
      </c>
      <c r="L4145">
        <v>14.443390000000001</v>
      </c>
      <c r="M4145">
        <v>0.88377150000000004</v>
      </c>
      <c r="N4145">
        <v>-2.4105290000000001E-2</v>
      </c>
      <c r="O4145">
        <v>-0.46729730000000003</v>
      </c>
      <c r="P4145">
        <v>0.67288300000000001</v>
      </c>
      <c r="Q4145">
        <v>3.0052769999999999E-2</v>
      </c>
      <c r="R4145">
        <v>-0.73913819999999997</v>
      </c>
      <c r="S4145">
        <v>1.0885929999999999</v>
      </c>
      <c r="T4145">
        <v>-0.44842729999999997</v>
      </c>
      <c r="U4145">
        <v>-3.1163639999999999</v>
      </c>
      <c r="V4145">
        <v>0.34055770000000002</v>
      </c>
      <c r="W4145">
        <v>4.0574199999999998E-2</v>
      </c>
      <c r="X4145">
        <v>0.93934770000000001</v>
      </c>
      <c r="Y4145">
        <v>0.67663200000000001</v>
      </c>
      <c r="Z4145">
        <v>-2.9492860000000002E-3</v>
      </c>
      <c r="AA4145">
        <v>0.73631550000000001</v>
      </c>
      <c r="AB4145">
        <v>31</v>
      </c>
      <c r="AC4145">
        <v>2.4058000000000002</v>
      </c>
      <c r="AD4145">
        <v>-1.0982540000000001</v>
      </c>
      <c r="AE4145">
        <v>-7.4853669999999903</v>
      </c>
      <c r="AF4145">
        <v>5.3876072256945102</v>
      </c>
      <c r="AG4145">
        <v>-1.0982540000000001</v>
      </c>
      <c r="AH4145">
        <v>5.5180400432077201</v>
      </c>
      <c r="AI4145">
        <v>98.104897996953397</v>
      </c>
      <c r="AJ4145">
        <v>45.685231556120399</v>
      </c>
      <c r="AK4145">
        <v>7.7898163897049297</v>
      </c>
      <c r="AL4145">
        <v>87.674631156110493</v>
      </c>
      <c r="AM4145">
        <v>70.072038733685702</v>
      </c>
      <c r="AN4145">
        <v>0.99999995711510903</v>
      </c>
    </row>
    <row r="4146" spans="1:40" x14ac:dyDescent="0.25">
      <c r="A4146" t="str">
        <f>"20190305135712877"</f>
        <v>20190305135712877</v>
      </c>
      <c r="B4146" t="str">
        <f>"1551765432866649"</f>
        <v>1551765432866649</v>
      </c>
      <c r="C4146" t="s">
        <v>40</v>
      </c>
      <c r="D4146">
        <v>4.5553900000000001</v>
      </c>
      <c r="E4146">
        <v>0.64690329999999996</v>
      </c>
      <c r="F4146" t="s">
        <v>43</v>
      </c>
      <c r="G4146">
        <v>-308.66219999999998</v>
      </c>
      <c r="H4146">
        <v>-0.05</v>
      </c>
      <c r="I4146">
        <v>6.6921390000000001</v>
      </c>
      <c r="J4146">
        <v>-310.99360000000001</v>
      </c>
      <c r="K4146">
        <v>1.0476909999999999</v>
      </c>
      <c r="L4146">
        <v>14.285769999999999</v>
      </c>
      <c r="M4146">
        <v>0.87541000000000002</v>
      </c>
      <c r="N4146">
        <v>-2.4038529999999999E-2</v>
      </c>
      <c r="O4146">
        <v>-0.48278349999999998</v>
      </c>
      <c r="P4146">
        <v>0.66067529999999997</v>
      </c>
      <c r="Q4146">
        <v>3.2081749999999999E-2</v>
      </c>
      <c r="R4146">
        <v>-0.74998629999999999</v>
      </c>
      <c r="S4146">
        <v>1.0454410000000001</v>
      </c>
      <c r="T4146">
        <v>-0.44278190000000001</v>
      </c>
      <c r="U4146">
        <v>-3.1250610000000001</v>
      </c>
      <c r="V4146">
        <v>0.33943129999999999</v>
      </c>
      <c r="W4146">
        <v>4.2480860000000002E-2</v>
      </c>
      <c r="X4146">
        <v>0.93967109999999998</v>
      </c>
      <c r="Y4146">
        <v>0.67361689999999996</v>
      </c>
      <c r="Z4146">
        <v>-5.3121889999999995E-4</v>
      </c>
      <c r="AA4146">
        <v>0.73908050000000003</v>
      </c>
      <c r="AB4146">
        <v>31</v>
      </c>
      <c r="AC4146">
        <v>2.3314000000000301</v>
      </c>
      <c r="AD4146">
        <v>-1.097691</v>
      </c>
      <c r="AE4146">
        <v>-7.5936310000000002</v>
      </c>
      <c r="AF4146">
        <v>5.4200728558837401</v>
      </c>
      <c r="AG4146">
        <v>-1.097691</v>
      </c>
      <c r="AH4146">
        <v>5.60168972670452</v>
      </c>
      <c r="AI4146">
        <v>98.016062709308798</v>
      </c>
      <c r="AJ4146">
        <v>45.944035805706399</v>
      </c>
      <c r="AK4146">
        <v>7.87153371896708</v>
      </c>
      <c r="AL4146">
        <v>87.565293357615104</v>
      </c>
      <c r="AM4146">
        <v>70.139088380837407</v>
      </c>
      <c r="AN4146">
        <v>1.00000000353061</v>
      </c>
    </row>
    <row r="4147" spans="1:40" x14ac:dyDescent="0.25">
      <c r="A4147" t="str">
        <f>"20190305135712899"</f>
        <v>20190305135712899</v>
      </c>
      <c r="B4147" t="str">
        <f>"1551765432896902"</f>
        <v>1551765432896902</v>
      </c>
      <c r="C4147" t="s">
        <v>40</v>
      </c>
      <c r="D4147">
        <v>4.5222030000000002</v>
      </c>
      <c r="E4147">
        <v>0.67997220000000003</v>
      </c>
      <c r="F4147" t="s">
        <v>43</v>
      </c>
      <c r="G4147">
        <v>-307.94459999999998</v>
      </c>
      <c r="H4147">
        <v>-0.05</v>
      </c>
      <c r="I4147">
        <v>5.7463839999999999</v>
      </c>
      <c r="J4147">
        <v>-310.72579999999999</v>
      </c>
      <c r="K4147">
        <v>1.0471729999999999</v>
      </c>
      <c r="L4147">
        <v>14.117459999999999</v>
      </c>
      <c r="M4147">
        <v>0.86626440000000005</v>
      </c>
      <c r="N4147">
        <v>-2.397767E-2</v>
      </c>
      <c r="O4147">
        <v>-0.49901060000000003</v>
      </c>
      <c r="P4147">
        <v>0.644823699999999</v>
      </c>
      <c r="Q4147">
        <v>3.4082479999999998E-2</v>
      </c>
      <c r="R4147">
        <v>-0.76357129999999995</v>
      </c>
      <c r="S4147">
        <v>1.091064</v>
      </c>
      <c r="T4147">
        <v>-0.3927966</v>
      </c>
      <c r="U4147">
        <v>-3.0557249999999998</v>
      </c>
      <c r="V4147">
        <v>0.34161259999999999</v>
      </c>
      <c r="W4147">
        <v>4.4213959999999997E-2</v>
      </c>
      <c r="X4147">
        <v>0.93880030000000003</v>
      </c>
      <c r="Y4147">
        <v>0.64537609999999901</v>
      </c>
      <c r="Z4147">
        <v>2.397742E-3</v>
      </c>
      <c r="AA4147">
        <v>0.76386119999999902</v>
      </c>
      <c r="AB4147">
        <v>30</v>
      </c>
      <c r="AC4147">
        <v>2.7812000000000099</v>
      </c>
      <c r="AD4147">
        <v>-1.097173</v>
      </c>
      <c r="AE4147">
        <v>-8.3710760000000004</v>
      </c>
      <c r="AF4147">
        <v>5.7760412504951404</v>
      </c>
      <c r="AG4147">
        <v>-1.097173</v>
      </c>
      <c r="AH4147">
        <v>6.48802724249264</v>
      </c>
      <c r="AI4147">
        <v>97.198696820239604</v>
      </c>
      <c r="AJ4147">
        <v>48.322556069897203</v>
      </c>
      <c r="AK4147">
        <v>8.7556232570090202</v>
      </c>
      <c r="AL4147">
        <v>87.465900656069095</v>
      </c>
      <c r="AM4147">
        <v>70.004460470796403</v>
      </c>
      <c r="AN4147">
        <v>1.0000000230088599</v>
      </c>
    </row>
    <row r="4148" spans="1:40" x14ac:dyDescent="0.25">
      <c r="A4148" t="str">
        <f>"20190305135712922"</f>
        <v>20190305135712922</v>
      </c>
      <c r="B4148" t="str">
        <f>"1551765432916421"</f>
        <v>1551765432916421</v>
      </c>
      <c r="C4148" t="s">
        <v>40</v>
      </c>
      <c r="D4148">
        <v>4.5199920000000002</v>
      </c>
      <c r="E4148">
        <v>0.72770669999999904</v>
      </c>
      <c r="F4148" t="s">
        <v>43</v>
      </c>
      <c r="G4148">
        <v>-308.0804</v>
      </c>
      <c r="H4148">
        <v>-0.05</v>
      </c>
      <c r="I4148">
        <v>3.7583920000000002</v>
      </c>
      <c r="J4148">
        <v>-310.46460000000002</v>
      </c>
      <c r="K4148">
        <v>1.0467340000000001</v>
      </c>
      <c r="L4148">
        <v>13.94617</v>
      </c>
      <c r="M4148">
        <v>0.856734199999999</v>
      </c>
      <c r="N4148">
        <v>-2.3922849999999999E-2</v>
      </c>
      <c r="O4148">
        <v>-0.51520310000000002</v>
      </c>
      <c r="P4148">
        <v>0.6276408</v>
      </c>
      <c r="Q4148">
        <v>3.444494E-2</v>
      </c>
      <c r="R4148">
        <v>-0.77774069999999995</v>
      </c>
      <c r="S4148">
        <v>0.82858279999999995</v>
      </c>
      <c r="T4148">
        <v>-0.3436399</v>
      </c>
      <c r="U4148">
        <v>-3.244507</v>
      </c>
      <c r="V4148">
        <v>0.34490929999999997</v>
      </c>
      <c r="W4148">
        <v>4.4264940000000003E-2</v>
      </c>
      <c r="X4148">
        <v>0.93759170000000003</v>
      </c>
      <c r="Y4148">
        <v>0.70034989999999997</v>
      </c>
      <c r="Z4148">
        <v>-3.8065709999999999E-3</v>
      </c>
      <c r="AA4148">
        <v>0.71378949999999997</v>
      </c>
      <c r="AB4148">
        <v>30</v>
      </c>
      <c r="AC4148">
        <v>2.3842000000000199</v>
      </c>
      <c r="AD4148">
        <v>-1.0967340000000001</v>
      </c>
      <c r="AE4148">
        <v>-10.187778</v>
      </c>
      <c r="AF4148">
        <v>7.4204872002932696</v>
      </c>
      <c r="AG4148">
        <v>-1.0967340000000001</v>
      </c>
      <c r="AH4148">
        <v>7.2142236644355702</v>
      </c>
      <c r="AI4148">
        <v>96.049142490467702</v>
      </c>
      <c r="AJ4148">
        <v>44.192519227366901</v>
      </c>
      <c r="AK4148">
        <v>10.407280088331101</v>
      </c>
      <c r="AL4148">
        <v>87.462976804032706</v>
      </c>
      <c r="AM4148">
        <v>69.803082891704804</v>
      </c>
      <c r="AN4148">
        <v>1.0000000030242899</v>
      </c>
    </row>
    <row r="4149" spans="1:40" x14ac:dyDescent="0.25">
      <c r="A4149" t="str">
        <f>"20190305135712944"</f>
        <v>20190305135712944</v>
      </c>
      <c r="B4149" t="str">
        <f>"1551765432936917"</f>
        <v>1551765432936917</v>
      </c>
      <c r="C4149" t="s">
        <v>40</v>
      </c>
      <c r="D4149">
        <v>4.4558400000000002</v>
      </c>
      <c r="E4149">
        <v>0.72230269999999996</v>
      </c>
      <c r="F4149" t="s">
        <v>43</v>
      </c>
      <c r="G4149">
        <v>-309.4683</v>
      </c>
      <c r="H4149">
        <v>-0.05</v>
      </c>
      <c r="I4149">
        <v>6.3073880000000004</v>
      </c>
      <c r="J4149">
        <v>-310.20620000000002</v>
      </c>
      <c r="K4149">
        <v>1.046351</v>
      </c>
      <c r="L4149">
        <v>13.76947</v>
      </c>
      <c r="M4149">
        <v>0.84667890000000001</v>
      </c>
      <c r="N4149">
        <v>-2.387388E-2</v>
      </c>
      <c r="O4149">
        <v>-0.53156859999999995</v>
      </c>
      <c r="P4149">
        <v>0.61032010000000003</v>
      </c>
      <c r="Q4149">
        <v>3.5803599999999998E-2</v>
      </c>
      <c r="R4149">
        <v>-0.79134550000000004</v>
      </c>
      <c r="S4149">
        <v>0.45782469999999997</v>
      </c>
      <c r="T4149">
        <v>-0.50397460000000005</v>
      </c>
      <c r="U4149">
        <v>-3.5101930000000001</v>
      </c>
      <c r="V4149">
        <v>0.34760340000000001</v>
      </c>
      <c r="W4149">
        <v>4.5345789999999997E-2</v>
      </c>
      <c r="X4149">
        <v>0.9365445</v>
      </c>
      <c r="Y4149">
        <v>0.76678880000000005</v>
      </c>
      <c r="Z4149">
        <v>-2.8327589999999998E-3</v>
      </c>
      <c r="AA4149">
        <v>0.64189319999999905</v>
      </c>
      <c r="AB4149">
        <v>30</v>
      </c>
      <c r="AC4149">
        <v>0.73790000000002398</v>
      </c>
      <c r="AD4149">
        <v>-1.0963510000000001</v>
      </c>
      <c r="AE4149">
        <v>-7.4620819999999997</v>
      </c>
      <c r="AF4149">
        <v>5.80337101084592</v>
      </c>
      <c r="AG4149">
        <v>-1.0963510000000001</v>
      </c>
      <c r="AH4149">
        <v>4.4965568805189902</v>
      </c>
      <c r="AI4149">
        <v>98.493520414914798</v>
      </c>
      <c r="AJ4149">
        <v>37.769172340462298</v>
      </c>
      <c r="AK4149">
        <v>7.4229458023395596</v>
      </c>
      <c r="AL4149">
        <v>87.400986349542904</v>
      </c>
      <c r="AM4149">
        <v>69.637328067830296</v>
      </c>
      <c r="AN4149">
        <v>0.99999998242126698</v>
      </c>
    </row>
    <row r="4150" spans="1:40" x14ac:dyDescent="0.25">
      <c r="A4150" t="str">
        <f>"20190305135712966"</f>
        <v>20190305135712966</v>
      </c>
      <c r="B4150" t="str">
        <f>"1551765432956437"</f>
        <v>1551765432956437</v>
      </c>
      <c r="C4150" t="s">
        <v>40</v>
      </c>
      <c r="D4150">
        <v>4.4480719999999998</v>
      </c>
      <c r="E4150">
        <v>0.71768580000000004</v>
      </c>
      <c r="F4150" t="s">
        <v>43</v>
      </c>
      <c r="G4150">
        <v>-309.17720000000003</v>
      </c>
      <c r="H4150">
        <v>-0.05</v>
      </c>
      <c r="I4150">
        <v>5.0817569999999996</v>
      </c>
      <c r="J4150">
        <v>-309.97190000000001</v>
      </c>
      <c r="K4150">
        <v>1.046041</v>
      </c>
      <c r="L4150">
        <v>13.602329999999901</v>
      </c>
      <c r="M4150">
        <v>0.83696759999999903</v>
      </c>
      <c r="N4150">
        <v>-2.383186E-2</v>
      </c>
      <c r="O4150">
        <v>-0.54673329999999998</v>
      </c>
      <c r="P4150">
        <v>0.59359119999999999</v>
      </c>
      <c r="Q4150">
        <v>3.8181470000000002E-2</v>
      </c>
      <c r="R4150">
        <v>-0.80386040000000003</v>
      </c>
      <c r="S4150">
        <v>0.41360469999999999</v>
      </c>
      <c r="T4150">
        <v>-0.44066759999999999</v>
      </c>
      <c r="U4150">
        <v>-3.491943</v>
      </c>
      <c r="V4150">
        <v>0.35038160000000002</v>
      </c>
      <c r="W4150">
        <v>4.7458279999999999E-2</v>
      </c>
      <c r="X4150">
        <v>0.93540389999999995</v>
      </c>
      <c r="Y4150">
        <v>0.76364719999999997</v>
      </c>
      <c r="Z4150">
        <v>-2.5122539999999998E-3</v>
      </c>
      <c r="AA4150">
        <v>0.64562900000000001</v>
      </c>
      <c r="AB4150">
        <v>30</v>
      </c>
      <c r="AC4150">
        <v>0.79469999999997698</v>
      </c>
      <c r="AD4150">
        <v>-1.096041</v>
      </c>
      <c r="AE4150">
        <v>-8.52057299999999</v>
      </c>
      <c r="AF4150">
        <v>6.5907414293483599</v>
      </c>
      <c r="AG4150">
        <v>-1.096041</v>
      </c>
      <c r="AH4150">
        <v>5.2391869819304997</v>
      </c>
      <c r="AI4150">
        <v>97.417043251825206</v>
      </c>
      <c r="AJ4150">
        <v>38.482289260856597</v>
      </c>
      <c r="AK4150">
        <v>8.4904804748518199</v>
      </c>
      <c r="AL4150">
        <v>87.279819109127999</v>
      </c>
      <c r="AM4150">
        <v>69.465162145739797</v>
      </c>
      <c r="AN4150">
        <v>1.00000000504716</v>
      </c>
    </row>
    <row r="4151" spans="1:40" x14ac:dyDescent="0.25">
      <c r="A4151" t="str">
        <f>"20190305135712988"</f>
        <v>20190305135712988</v>
      </c>
      <c r="B4151" t="str">
        <f>"1551765432976933"</f>
        <v>1551765432976933</v>
      </c>
      <c r="C4151" t="s">
        <v>40</v>
      </c>
      <c r="D4151">
        <v>4.5235599999999998</v>
      </c>
      <c r="E4151">
        <v>0.71494930000000001</v>
      </c>
      <c r="F4151" t="s">
        <v>43</v>
      </c>
      <c r="G4151">
        <v>-308.98860000000002</v>
      </c>
      <c r="H4151">
        <v>-0.05</v>
      </c>
      <c r="I4151">
        <v>4.3301089999999904</v>
      </c>
      <c r="J4151">
        <v>-309.72919999999999</v>
      </c>
      <c r="K4151">
        <v>1.0457430000000001</v>
      </c>
      <c r="L4151">
        <v>13.422269999999999</v>
      </c>
      <c r="M4151">
        <v>0.82629580000000002</v>
      </c>
      <c r="N4151">
        <v>-2.3784469999999999E-2</v>
      </c>
      <c r="O4151">
        <v>-0.56273390000000001</v>
      </c>
      <c r="P4151">
        <v>0.57484590000000002</v>
      </c>
      <c r="Q4151">
        <v>4.0063849999999998E-2</v>
      </c>
      <c r="R4151">
        <v>-0.81728040000000002</v>
      </c>
      <c r="S4151">
        <v>0.368927</v>
      </c>
      <c r="T4151">
        <v>-0.41125679999999998</v>
      </c>
      <c r="U4151">
        <v>-3.4791259999999999</v>
      </c>
      <c r="V4151">
        <v>0.3540219</v>
      </c>
      <c r="W4151">
        <v>4.9025729999999997E-2</v>
      </c>
      <c r="X4151">
        <v>0.93395130000000004</v>
      </c>
      <c r="Y4151">
        <v>0.75954739999999998</v>
      </c>
      <c r="Z4151">
        <v>-1.0451670000000001E-3</v>
      </c>
      <c r="AA4151">
        <v>0.65045109999999995</v>
      </c>
      <c r="AB4151">
        <v>30</v>
      </c>
      <c r="AC4151">
        <v>0.74059999999997195</v>
      </c>
      <c r="AD4151">
        <v>-1.0957429999999999</v>
      </c>
      <c r="AE4151">
        <v>-9.0921610000000008</v>
      </c>
      <c r="AF4151">
        <v>6.9971066453297901</v>
      </c>
      <c r="AG4151">
        <v>-1.0957429999999999</v>
      </c>
      <c r="AH4151">
        <v>5.6485450138121296</v>
      </c>
      <c r="AI4151">
        <v>96.947264576942302</v>
      </c>
      <c r="AJ4151">
        <v>38.912851114560297</v>
      </c>
      <c r="AK4151">
        <v>9.0590405066557196</v>
      </c>
      <c r="AL4151">
        <v>87.189906211221498</v>
      </c>
      <c r="AM4151">
        <v>69.240376019268396</v>
      </c>
      <c r="AN4151">
        <v>1.00000002932666</v>
      </c>
    </row>
    <row r="4152" spans="1:40" x14ac:dyDescent="0.25">
      <c r="A4152" t="str">
        <f>"20190305135713012"</f>
        <v>20190305135713012</v>
      </c>
      <c r="B4152" t="str">
        <f>"1551765433006214"</f>
        <v>1551765433006214</v>
      </c>
      <c r="C4152" t="s">
        <v>40</v>
      </c>
      <c r="D4152">
        <v>4.5555079999999997</v>
      </c>
      <c r="E4152">
        <v>0.71175659999999996</v>
      </c>
      <c r="F4152" t="s">
        <v>43</v>
      </c>
      <c r="G4152">
        <v>-308.88869999999997</v>
      </c>
      <c r="H4152">
        <v>-0.05</v>
      </c>
      <c r="I4152">
        <v>3.8993069999999999</v>
      </c>
      <c r="J4152">
        <v>-309.47680000000003</v>
      </c>
      <c r="K4152">
        <v>1.045472</v>
      </c>
      <c r="L4152">
        <v>13.226229999999999</v>
      </c>
      <c r="M4152">
        <v>0.81444619999999901</v>
      </c>
      <c r="N4152">
        <v>-2.3731680000000002E-2</v>
      </c>
      <c r="O4152">
        <v>-0.57975390000000004</v>
      </c>
      <c r="P4152">
        <v>0.55522780000000005</v>
      </c>
      <c r="Q4152">
        <v>4.229753E-2</v>
      </c>
      <c r="R4152">
        <v>-0.83062230000000004</v>
      </c>
      <c r="S4152">
        <v>0.30670170000000002</v>
      </c>
      <c r="T4152">
        <v>-0.3997965</v>
      </c>
      <c r="U4152">
        <v>-3.4745789999999999</v>
      </c>
      <c r="V4152">
        <v>0.35688809999999999</v>
      </c>
      <c r="W4152">
        <v>5.097165E-2</v>
      </c>
      <c r="X4152">
        <v>0.93275549999999996</v>
      </c>
      <c r="Y4152">
        <v>0.75770979999999999</v>
      </c>
      <c r="Z4152">
        <v>9.6287209999999996E-4</v>
      </c>
      <c r="AA4152">
        <v>0.65259089999999997</v>
      </c>
      <c r="AB4152">
        <v>30</v>
      </c>
      <c r="AC4152">
        <v>0.58810000000005302</v>
      </c>
      <c r="AD4152">
        <v>-1.095472</v>
      </c>
      <c r="AE4152">
        <v>-9.3269230000000007</v>
      </c>
      <c r="AF4152">
        <v>7.1589980352771097</v>
      </c>
      <c r="AG4152">
        <v>-1.095472</v>
      </c>
      <c r="AH4152">
        <v>5.8081460754160998</v>
      </c>
      <c r="AI4152">
        <v>96.776710239776193</v>
      </c>
      <c r="AJ4152">
        <v>39.0526658214146</v>
      </c>
      <c r="AK4152">
        <v>9.2836346656499291</v>
      </c>
      <c r="AL4152">
        <v>87.078273556801605</v>
      </c>
      <c r="AM4152">
        <v>69.062300278194101</v>
      </c>
      <c r="AN4152">
        <v>1.00000002390279</v>
      </c>
    </row>
    <row r="4153" spans="1:40" x14ac:dyDescent="0.25">
      <c r="A4153" t="str">
        <f>"20190305135713034"</f>
        <v>20190305135713034</v>
      </c>
      <c r="B4153" t="str">
        <f>"1551765433026709"</f>
        <v>1551765433026709</v>
      </c>
      <c r="C4153" t="s">
        <v>40</v>
      </c>
      <c r="D4153">
        <v>4.5260800000000003</v>
      </c>
      <c r="E4153">
        <v>0.70936119999999903</v>
      </c>
      <c r="F4153" t="s">
        <v>43</v>
      </c>
      <c r="G4153">
        <v>-308.78199999999998</v>
      </c>
      <c r="H4153">
        <v>-0.05</v>
      </c>
      <c r="I4153">
        <v>3.4344939999999999</v>
      </c>
      <c r="J4153">
        <v>-309.24189999999999</v>
      </c>
      <c r="K4153">
        <v>1.045258</v>
      </c>
      <c r="L4153">
        <v>13.03558</v>
      </c>
      <c r="M4153">
        <v>0.80269959999999996</v>
      </c>
      <c r="N4153">
        <v>-2.3678569999999999E-2</v>
      </c>
      <c r="O4153">
        <v>-0.59591329999999998</v>
      </c>
      <c r="P4153">
        <v>0.53669209999999901</v>
      </c>
      <c r="Q4153">
        <v>4.6036529999999999E-2</v>
      </c>
      <c r="R4153">
        <v>-0.84252150000000003</v>
      </c>
      <c r="S4153">
        <v>0.2460022</v>
      </c>
      <c r="T4153">
        <v>-0.38788630000000002</v>
      </c>
      <c r="U4153">
        <v>-3.4670719999999999</v>
      </c>
      <c r="V4153">
        <v>0.35890830000000001</v>
      </c>
      <c r="W4153">
        <v>5.4470579999999998E-2</v>
      </c>
      <c r="X4153">
        <v>0.93178209999999995</v>
      </c>
      <c r="Y4153">
        <v>0.75608750000000002</v>
      </c>
      <c r="Z4153">
        <v>2.7021879999999999E-3</v>
      </c>
      <c r="AA4153">
        <v>0.65446499999999996</v>
      </c>
      <c r="AB4153">
        <v>29</v>
      </c>
      <c r="AC4153">
        <v>0.45990000000000397</v>
      </c>
      <c r="AD4153">
        <v>-1.0952580000000001</v>
      </c>
      <c r="AE4153">
        <v>-9.6010860000000005</v>
      </c>
      <c r="AF4153">
        <v>7.3395182363145501</v>
      </c>
      <c r="AG4153">
        <v>-1.0952580000000001</v>
      </c>
      <c r="AH4153">
        <v>6.0141983248924102</v>
      </c>
      <c r="AI4153">
        <v>96.584242469297607</v>
      </c>
      <c r="AJ4153">
        <v>39.332111283903302</v>
      </c>
      <c r="AK4153">
        <v>9.5518950747428395</v>
      </c>
      <c r="AL4153">
        <v>86.877520415709597</v>
      </c>
      <c r="AM4153">
        <v>68.9340736631206</v>
      </c>
      <c r="AN4153">
        <v>1.00000004688741</v>
      </c>
    </row>
    <row r="4154" spans="1:40" x14ac:dyDescent="0.25">
      <c r="A4154" t="str">
        <f>"20190305135713055"</f>
        <v>20190305135713055</v>
      </c>
      <c r="B4154" t="str">
        <f>"1551765433046230"</f>
        <v>1551765433046230</v>
      </c>
      <c r="C4154" t="s">
        <v>40</v>
      </c>
      <c r="D4154">
        <v>4.5651479999999998</v>
      </c>
      <c r="E4154">
        <v>0.70722589999999996</v>
      </c>
      <c r="F4154" t="s">
        <v>43</v>
      </c>
      <c r="G4154">
        <v>-308.6979</v>
      </c>
      <c r="H4154">
        <v>-0.05</v>
      </c>
      <c r="I4154">
        <v>2.9230040000000002</v>
      </c>
      <c r="J4154">
        <v>-309.02370000000002</v>
      </c>
      <c r="K4154">
        <v>1.045069</v>
      </c>
      <c r="L4154">
        <v>12.8512</v>
      </c>
      <c r="M4154">
        <v>0.7911456</v>
      </c>
      <c r="N4154">
        <v>-2.3628690000000001E-2</v>
      </c>
      <c r="O4154">
        <v>-0.61117119999999903</v>
      </c>
      <c r="P4154">
        <v>0.51935790000000004</v>
      </c>
      <c r="Q4154">
        <v>5.0472799999999998E-2</v>
      </c>
      <c r="R4154">
        <v>-0.85306499999999996</v>
      </c>
      <c r="S4154">
        <v>0.18624879999999999</v>
      </c>
      <c r="T4154">
        <v>-0.37502039999999998</v>
      </c>
      <c r="U4154">
        <v>-3.4625849999999998</v>
      </c>
      <c r="V4154">
        <v>0.36009960000000002</v>
      </c>
      <c r="W4154">
        <v>5.87219E-2</v>
      </c>
      <c r="X4154">
        <v>0.93106390000000006</v>
      </c>
      <c r="Y4154">
        <v>0.75493159999999904</v>
      </c>
      <c r="Z4154">
        <v>4.0582750000000001E-3</v>
      </c>
      <c r="AA4154">
        <v>0.65579109999999996</v>
      </c>
      <c r="AB4154">
        <v>29</v>
      </c>
      <c r="AC4154">
        <v>0.32580000000001502</v>
      </c>
      <c r="AD4154">
        <v>-1.0950690000000001</v>
      </c>
      <c r="AE4154">
        <v>-9.9281959999999998</v>
      </c>
      <c r="AF4154">
        <v>7.5657229364766998</v>
      </c>
      <c r="AG4154">
        <v>-1.0950690000000001</v>
      </c>
      <c r="AH4154">
        <v>6.2513780680400099</v>
      </c>
      <c r="AI4154">
        <v>96.366686462996896</v>
      </c>
      <c r="AJ4154">
        <v>39.566117881674003</v>
      </c>
      <c r="AK4154">
        <v>9.8751742979991093</v>
      </c>
      <c r="AL4154">
        <v>86.633546284290802</v>
      </c>
      <c r="AM4154">
        <v>68.855452283893001</v>
      </c>
      <c r="AN4154">
        <v>0.99999998467148898</v>
      </c>
    </row>
    <row r="4155" spans="1:40" x14ac:dyDescent="0.25">
      <c r="A4155" t="str">
        <f>"20190305135713077"</f>
        <v>20190305135713077</v>
      </c>
      <c r="B4155" t="str">
        <f>"1551765433066725"</f>
        <v>1551765433066725</v>
      </c>
      <c r="C4155" t="s">
        <v>40</v>
      </c>
      <c r="D4155">
        <v>4.6859120000000001</v>
      </c>
      <c r="E4155">
        <v>0.70536849999999995</v>
      </c>
      <c r="F4155" t="s">
        <v>43</v>
      </c>
      <c r="G4155">
        <v>-308.62869999999998</v>
      </c>
      <c r="H4155">
        <v>-0.05</v>
      </c>
      <c r="I4155">
        <v>2.410812</v>
      </c>
      <c r="J4155">
        <v>-308.8005</v>
      </c>
      <c r="K4155">
        <v>1.0448980000000001</v>
      </c>
      <c r="L4155">
        <v>12.654540000000001</v>
      </c>
      <c r="M4155">
        <v>0.77862229999999999</v>
      </c>
      <c r="N4155">
        <v>-2.357704E-2</v>
      </c>
      <c r="O4155">
        <v>-0.62704969999999904</v>
      </c>
      <c r="P4155">
        <v>0.50216689999999997</v>
      </c>
      <c r="Q4155">
        <v>5.0997500000000001E-2</v>
      </c>
      <c r="R4155">
        <v>-0.86326559999999897</v>
      </c>
      <c r="S4155">
        <v>0.13085939999999999</v>
      </c>
      <c r="T4155">
        <v>-0.36276039999999998</v>
      </c>
      <c r="U4155">
        <v>-3.4585569999999999</v>
      </c>
      <c r="V4155">
        <v>0.35992229999999997</v>
      </c>
      <c r="W4155">
        <v>5.9130799999999997E-2</v>
      </c>
      <c r="X4155">
        <v>0.93110660000000001</v>
      </c>
      <c r="Y4155">
        <v>0.75228169999999905</v>
      </c>
      <c r="Z4155">
        <v>5.5393319999999897E-3</v>
      </c>
      <c r="AA4155">
        <v>0.65881840000000003</v>
      </c>
      <c r="AB4155">
        <v>29</v>
      </c>
      <c r="AC4155">
        <v>0.17180000000001799</v>
      </c>
      <c r="AD4155">
        <v>-1.0948979999999999</v>
      </c>
      <c r="AE4155">
        <v>-10.243728000000001</v>
      </c>
      <c r="AF4155">
        <v>7.7815816966734896</v>
      </c>
      <c r="AG4155">
        <v>-1.0948979999999999</v>
      </c>
      <c r="AH4155">
        <v>6.4848531161400498</v>
      </c>
      <c r="AI4155">
        <v>96.169164513793504</v>
      </c>
      <c r="AJ4155">
        <v>39.8064475533007</v>
      </c>
      <c r="AK4155">
        <v>10.1884805182283</v>
      </c>
      <c r="AL4155">
        <v>86.610077334133507</v>
      </c>
      <c r="AM4155">
        <v>68.865827556541703</v>
      </c>
      <c r="AN4155">
        <v>1.0000000070547399</v>
      </c>
    </row>
    <row r="4156" spans="1:40" x14ac:dyDescent="0.25">
      <c r="A4156" t="str">
        <f>"20190305135713102"</f>
        <v>20190305135713102</v>
      </c>
      <c r="B4156" t="str">
        <f>"1551765433096981"</f>
        <v>1551765433096981</v>
      </c>
      <c r="C4156" t="s">
        <v>40</v>
      </c>
      <c r="D4156">
        <v>4.5487140000000004</v>
      </c>
      <c r="E4156">
        <v>0.70346919999999902</v>
      </c>
      <c r="F4156" t="s">
        <v>43</v>
      </c>
      <c r="G4156">
        <v>-308.58139999999997</v>
      </c>
      <c r="H4156">
        <v>-0.05</v>
      </c>
      <c r="I4156">
        <v>2.4021759999999999</v>
      </c>
      <c r="J4156">
        <v>-308.56560000000002</v>
      </c>
      <c r="K4156">
        <v>1.044745</v>
      </c>
      <c r="L4156">
        <v>12.43848</v>
      </c>
      <c r="M4156">
        <v>0.76462350000000001</v>
      </c>
      <c r="N4156">
        <v>-2.351982E-2</v>
      </c>
      <c r="O4156">
        <v>-0.64404810000000001</v>
      </c>
      <c r="P4156">
        <v>0.48453859999999899</v>
      </c>
      <c r="Q4156">
        <v>5.087771E-2</v>
      </c>
      <c r="R4156">
        <v>-0.87328930000000005</v>
      </c>
      <c r="S4156">
        <v>7.3822020000000002E-2</v>
      </c>
      <c r="T4156">
        <v>-0.36887300000000001</v>
      </c>
      <c r="U4156">
        <v>-3.4540410000000001</v>
      </c>
      <c r="V4156">
        <v>0.35832619999999998</v>
      </c>
      <c r="W4156">
        <v>5.8958000000000003E-2</v>
      </c>
      <c r="X4156">
        <v>0.93173300000000003</v>
      </c>
      <c r="Y4156">
        <v>0.74863250000000003</v>
      </c>
      <c r="Z4156">
        <v>8.695174E-3</v>
      </c>
      <c r="AA4156">
        <v>0.66292819999999997</v>
      </c>
      <c r="AB4156">
        <v>29</v>
      </c>
      <c r="AC4156">
        <v>-1.5799999999955999E-2</v>
      </c>
      <c r="AD4156">
        <v>-1.0947450000000001</v>
      </c>
      <c r="AE4156">
        <v>-10.036303999999999</v>
      </c>
      <c r="AF4156">
        <v>7.5959182873874704</v>
      </c>
      <c r="AG4156">
        <v>-1.0947450000000001</v>
      </c>
      <c r="AH4156">
        <v>6.3776837066515304</v>
      </c>
      <c r="AI4156">
        <v>96.298594056479203</v>
      </c>
      <c r="AJ4156">
        <v>40.017486306343102</v>
      </c>
      <c r="AK4156">
        <v>9.9785415119535799</v>
      </c>
      <c r="AL4156">
        <v>86.619995484452105</v>
      </c>
      <c r="AM4156">
        <v>68.964237827354395</v>
      </c>
      <c r="AN4156">
        <v>1.0000000473297099</v>
      </c>
    </row>
    <row r="4157" spans="1:40" x14ac:dyDescent="0.25">
      <c r="A4157" t="str">
        <f>"20190305135713123"</f>
        <v>20190305135713123</v>
      </c>
      <c r="B4157" t="str">
        <f>"1551765433116501"</f>
        <v>1551765433116501</v>
      </c>
      <c r="C4157" t="s">
        <v>40</v>
      </c>
      <c r="D4157">
        <v>4.5758089999999996</v>
      </c>
      <c r="E4157">
        <v>0.67937209999999904</v>
      </c>
      <c r="F4157" t="s">
        <v>43</v>
      </c>
      <c r="G4157">
        <v>-308.52229999999997</v>
      </c>
      <c r="H4157">
        <v>-0.05</v>
      </c>
      <c r="I4157">
        <v>2.4381870000000001</v>
      </c>
      <c r="J4157">
        <v>-308.36619999999999</v>
      </c>
      <c r="K4157">
        <v>1.0446470000000001</v>
      </c>
      <c r="L4157">
        <v>12.24695</v>
      </c>
      <c r="M4157">
        <v>0.75201680000000004</v>
      </c>
      <c r="N4157">
        <v>-2.347229E-2</v>
      </c>
      <c r="O4157">
        <v>-0.65872600000000003</v>
      </c>
      <c r="P4157">
        <v>0.47026309999999899</v>
      </c>
      <c r="Q4157">
        <v>5.1701839999999999E-2</v>
      </c>
      <c r="R4157">
        <v>-0.88101070000000004</v>
      </c>
      <c r="S4157">
        <v>1.4953610000000001E-2</v>
      </c>
      <c r="T4157">
        <v>-0.37756420000000002</v>
      </c>
      <c r="U4157">
        <v>-3.4489749999999999</v>
      </c>
      <c r="V4157">
        <v>0.355458</v>
      </c>
      <c r="W4157">
        <v>5.9811940000000001E-2</v>
      </c>
      <c r="X4157">
        <v>0.93277659999999996</v>
      </c>
      <c r="Y4157">
        <v>0.74708459999999999</v>
      </c>
      <c r="Z4157">
        <v>1.169633E-2</v>
      </c>
      <c r="AA4157">
        <v>0.6646261</v>
      </c>
      <c r="AB4157">
        <v>29</v>
      </c>
      <c r="AC4157">
        <v>-0.15609999999998</v>
      </c>
      <c r="AD4157">
        <v>-1.0946469999999999</v>
      </c>
      <c r="AE4157">
        <v>-9.8087630000000008</v>
      </c>
      <c r="AF4157">
        <v>7.3892377087673902</v>
      </c>
      <c r="AG4157">
        <v>-1.0946469999999999</v>
      </c>
      <c r="AH4157">
        <v>6.2676062398069901</v>
      </c>
      <c r="AI4157">
        <v>96.445610509933999</v>
      </c>
      <c r="AJ4157">
        <v>40.304856883670098</v>
      </c>
      <c r="AK4157">
        <v>9.7509986128881501</v>
      </c>
      <c r="AL4157">
        <v>86.570981737892296</v>
      </c>
      <c r="AM4157">
        <v>69.139398594841893</v>
      </c>
      <c r="AN4157">
        <v>1.0000000217190601</v>
      </c>
    </row>
    <row r="4158" spans="1:40" x14ac:dyDescent="0.25">
      <c r="A4158" t="str">
        <f>"20190305135713144"</f>
        <v>20190305135713144</v>
      </c>
      <c r="B4158" t="str">
        <f>"1551765433136997"</f>
        <v>1551765433136997</v>
      </c>
      <c r="C4158" t="s">
        <v>40</v>
      </c>
      <c r="D4158">
        <v>4.6039969999999997</v>
      </c>
      <c r="E4158">
        <v>0.67810680000000001</v>
      </c>
      <c r="F4158" t="s">
        <v>43</v>
      </c>
      <c r="G4158">
        <v>-308.01459999999997</v>
      </c>
      <c r="H4158">
        <v>-0.05</v>
      </c>
      <c r="I4158">
        <v>2.8863370000000002</v>
      </c>
      <c r="J4158">
        <v>-308.16149999999999</v>
      </c>
      <c r="K4158">
        <v>1.044554</v>
      </c>
      <c r="L4158">
        <v>12.04205</v>
      </c>
      <c r="M4158">
        <v>0.73832629999999999</v>
      </c>
      <c r="N4158">
        <v>-2.3428230000000001E-2</v>
      </c>
      <c r="O4158">
        <v>-0.67403659999999999</v>
      </c>
      <c r="P4158">
        <v>0.45325520000000002</v>
      </c>
      <c r="Q4158">
        <v>5.100942E-2</v>
      </c>
      <c r="R4158">
        <v>-0.88992009999999899</v>
      </c>
      <c r="S4158">
        <v>0.12625120000000001</v>
      </c>
      <c r="T4158">
        <v>-0.39302290000000001</v>
      </c>
      <c r="U4158">
        <v>-3.36084</v>
      </c>
      <c r="V4158">
        <v>0.35422110000000001</v>
      </c>
      <c r="W4158">
        <v>5.9075099999999998E-2</v>
      </c>
      <c r="X4158">
        <v>0.93329390000000001</v>
      </c>
      <c r="Y4158">
        <v>0.71043219999999996</v>
      </c>
      <c r="Z4158">
        <v>1.9655260000000001E-2</v>
      </c>
      <c r="AA4158">
        <v>0.70349119999999998</v>
      </c>
      <c r="AB4158">
        <v>29</v>
      </c>
      <c r="AC4158">
        <v>0.14690000000001599</v>
      </c>
      <c r="AD4158">
        <v>-1.094554</v>
      </c>
      <c r="AE4158">
        <v>-9.1557130000000004</v>
      </c>
      <c r="AF4158">
        <v>6.5688593467393197</v>
      </c>
      <c r="AG4158">
        <v>-1.094554</v>
      </c>
      <c r="AH4158">
        <v>6.1929833606072604</v>
      </c>
      <c r="AI4158">
        <v>96.912873589357602</v>
      </c>
      <c r="AJ4158">
        <v>43.312948691185198</v>
      </c>
      <c r="AK4158">
        <v>9.0940092632963001</v>
      </c>
      <c r="AL4158">
        <v>86.613274204070905</v>
      </c>
      <c r="AM4158">
        <v>69.216310942617596</v>
      </c>
      <c r="AN4158">
        <v>0.99999997945121399</v>
      </c>
    </row>
    <row r="4159" spans="1:40" x14ac:dyDescent="0.25">
      <c r="A4159" t="str">
        <f>"20190305135713166"</f>
        <v>20190305135713166</v>
      </c>
      <c r="B4159" t="str">
        <f>"1551765433156517"</f>
        <v>1551765433156517</v>
      </c>
      <c r="C4159" t="s">
        <v>40</v>
      </c>
      <c r="D4159">
        <v>4.5805319999999998</v>
      </c>
      <c r="E4159">
        <v>0.67552780000000001</v>
      </c>
      <c r="F4159" t="s">
        <v>43</v>
      </c>
      <c r="G4159">
        <v>-307.9624</v>
      </c>
      <c r="H4159">
        <v>-0.05</v>
      </c>
      <c r="I4159">
        <v>2.4683229999999998</v>
      </c>
      <c r="J4159">
        <v>-307.9665</v>
      </c>
      <c r="K4159">
        <v>1.0444739999999999</v>
      </c>
      <c r="L4159">
        <v>11.83853</v>
      </c>
      <c r="M4159">
        <v>0.72452459999999996</v>
      </c>
      <c r="N4159">
        <v>-2.339364E-2</v>
      </c>
      <c r="O4159">
        <v>-0.68885180000000001</v>
      </c>
      <c r="P4159">
        <v>0.43555749999999999</v>
      </c>
      <c r="Q4159">
        <v>4.7059459999999997E-2</v>
      </c>
      <c r="R4159">
        <v>-0.89892989999999995</v>
      </c>
      <c r="S4159">
        <v>6.9824220000000006E-2</v>
      </c>
      <c r="T4159">
        <v>-0.38386399999999998</v>
      </c>
      <c r="U4159">
        <v>-3.3575439999999999</v>
      </c>
      <c r="V4159">
        <v>0.3537959</v>
      </c>
      <c r="W4159">
        <v>5.5057149999999999E-2</v>
      </c>
      <c r="X4159">
        <v>0.9337008</v>
      </c>
      <c r="Y4159">
        <v>0.70809509999999998</v>
      </c>
      <c r="Z4159">
        <v>2.108575E-2</v>
      </c>
      <c r="AA4159">
        <v>0.70580220000000005</v>
      </c>
      <c r="AB4159">
        <v>29</v>
      </c>
      <c r="AC4159">
        <v>4.0999999999939904E-3</v>
      </c>
      <c r="AD4159">
        <v>-1.0944739999999999</v>
      </c>
      <c r="AE4159">
        <v>-9.3702070000000006</v>
      </c>
      <c r="AF4159">
        <v>6.69661649782359</v>
      </c>
      <c r="AG4159">
        <v>-1.0944739999999999</v>
      </c>
      <c r="AH4159">
        <v>6.3724820905496804</v>
      </c>
      <c r="AI4159">
        <v>96.752223976883599</v>
      </c>
      <c r="AJ4159">
        <v>43.579264904065198</v>
      </c>
      <c r="AK4159">
        <v>9.30865585624346</v>
      </c>
      <c r="AL4159">
        <v>86.843861792921501</v>
      </c>
      <c r="AM4159">
        <v>69.247407586558396</v>
      </c>
      <c r="AN4159">
        <v>1.00000000627178</v>
      </c>
    </row>
    <row r="4160" spans="1:40" x14ac:dyDescent="0.25">
      <c r="A4160" t="str">
        <f>"20190305135713189"</f>
        <v>20190305135713189</v>
      </c>
      <c r="B4160" t="str">
        <f>"1551765433186774"</f>
        <v>1551765433186774</v>
      </c>
      <c r="C4160" t="s">
        <v>40</v>
      </c>
      <c r="D4160">
        <v>4.626277</v>
      </c>
      <c r="E4160">
        <v>0.67245359999999998</v>
      </c>
      <c r="F4160" t="s">
        <v>43</v>
      </c>
      <c r="G4160">
        <v>-307.90949999999998</v>
      </c>
      <c r="H4160">
        <v>-0.05</v>
      </c>
      <c r="I4160">
        <v>2.4968569999999999</v>
      </c>
      <c r="J4160">
        <v>-307.76459999999997</v>
      </c>
      <c r="K4160">
        <v>1.0443880000000001</v>
      </c>
      <c r="L4160">
        <v>11.618499999999999</v>
      </c>
      <c r="M4160">
        <v>0.70938179999999995</v>
      </c>
      <c r="N4160">
        <v>-2.3367010000000001E-2</v>
      </c>
      <c r="O4160">
        <v>-0.70443699999999998</v>
      </c>
      <c r="P4160">
        <v>0.41581279999999998</v>
      </c>
      <c r="Q4160">
        <v>4.2795390000000003E-2</v>
      </c>
      <c r="R4160">
        <v>-0.908443</v>
      </c>
      <c r="S4160">
        <v>2.0416259999999999E-2</v>
      </c>
      <c r="T4160">
        <v>-0.39224429999999999</v>
      </c>
      <c r="U4160">
        <v>-3.3479309999999902</v>
      </c>
      <c r="V4160">
        <v>0.35389219999999999</v>
      </c>
      <c r="W4160">
        <v>5.0705439999999997E-2</v>
      </c>
      <c r="X4160">
        <v>0.93391069999999998</v>
      </c>
      <c r="Y4160">
        <v>0.70312050000000004</v>
      </c>
      <c r="Z4160">
        <v>2.4949679999999998E-2</v>
      </c>
      <c r="AA4160">
        <v>0.71063290000000001</v>
      </c>
      <c r="AB4160">
        <v>28</v>
      </c>
      <c r="AC4160">
        <v>-0.144900000000006</v>
      </c>
      <c r="AD4160">
        <v>-1.0943879999999999</v>
      </c>
      <c r="AE4160">
        <v>-9.1216430000000006</v>
      </c>
      <c r="AF4160">
        <v>6.4813236196426303</v>
      </c>
      <c r="AG4160">
        <v>-1.0943879999999999</v>
      </c>
      <c r="AH4160">
        <v>6.2348354870568601</v>
      </c>
      <c r="AI4160">
        <v>96.938113079378397</v>
      </c>
      <c r="AJ4160">
        <v>43.889526217599503</v>
      </c>
      <c r="AK4160">
        <v>9.0597138204109395</v>
      </c>
      <c r="AL4160">
        <v>87.093545838467193</v>
      </c>
      <c r="AM4160">
        <v>69.246508180323801</v>
      </c>
      <c r="AN4160">
        <v>0.99999996322046103</v>
      </c>
    </row>
    <row r="4161" spans="1:40" x14ac:dyDescent="0.25">
      <c r="A4161" t="str">
        <f>"20190305135713213"</f>
        <v>20190305135713213</v>
      </c>
      <c r="B4161" t="str">
        <f>"1551765433206293"</f>
        <v>1551765433206293</v>
      </c>
      <c r="C4161" t="s">
        <v>40</v>
      </c>
      <c r="D4161">
        <v>4.5931730000000002</v>
      </c>
      <c r="E4161">
        <v>0.67161269999999995</v>
      </c>
      <c r="F4161" t="s">
        <v>43</v>
      </c>
      <c r="G4161">
        <v>-307.84809999999999</v>
      </c>
      <c r="H4161">
        <v>-0.05</v>
      </c>
      <c r="I4161">
        <v>2.6989290000000001</v>
      </c>
      <c r="J4161">
        <v>-307.56439999999998</v>
      </c>
      <c r="K4161">
        <v>1.044303</v>
      </c>
      <c r="L4161">
        <v>11.38922</v>
      </c>
      <c r="M4161">
        <v>0.69336209999999998</v>
      </c>
      <c r="N4161">
        <v>-2.3345910000000001E-2</v>
      </c>
      <c r="O4161">
        <v>-0.72021119999999905</v>
      </c>
      <c r="P4161">
        <v>0.39519369999999998</v>
      </c>
      <c r="Q4161">
        <v>4.1436399999999998E-2</v>
      </c>
      <c r="R4161">
        <v>-0.91766289999999995</v>
      </c>
      <c r="S4161">
        <v>-3.125E-2</v>
      </c>
      <c r="T4161">
        <v>-0.40930369999999999</v>
      </c>
      <c r="U4161">
        <v>-3.3359380000000001</v>
      </c>
      <c r="V4161">
        <v>0.35397659999999997</v>
      </c>
      <c r="W4161">
        <v>4.9265759999999999E-2</v>
      </c>
      <c r="X4161">
        <v>0.9339558</v>
      </c>
      <c r="Y4161">
        <v>0.69806009999999996</v>
      </c>
      <c r="Z4161">
        <v>3.0159310000000002E-2</v>
      </c>
      <c r="AA4161">
        <v>0.71540369999999998</v>
      </c>
      <c r="AB4161">
        <v>28</v>
      </c>
      <c r="AC4161">
        <v>-0.28370000000001</v>
      </c>
      <c r="AD4161">
        <v>-1.094303</v>
      </c>
      <c r="AE4161">
        <v>-8.6902910000000002</v>
      </c>
      <c r="AF4161">
        <v>6.1343741445068201</v>
      </c>
      <c r="AG4161">
        <v>-1.094303</v>
      </c>
      <c r="AH4161">
        <v>5.9692398475236699</v>
      </c>
      <c r="AI4161">
        <v>97.285680147803703</v>
      </c>
      <c r="AJ4161">
        <v>44.218339970114201</v>
      </c>
      <c r="AK4161">
        <v>8.6290132435793101</v>
      </c>
      <c r="AL4161">
        <v>87.176136762658402</v>
      </c>
      <c r="AM4161">
        <v>69.242897456601995</v>
      </c>
      <c r="AN4161">
        <v>0.99999999240478799</v>
      </c>
    </row>
    <row r="4162" spans="1:40" x14ac:dyDescent="0.25">
      <c r="A4162" t="str">
        <f>"20190305135713235"</f>
        <v>20190305135713235</v>
      </c>
      <c r="B4162" t="str">
        <f>"1551765433226789"</f>
        <v>1551765433226789</v>
      </c>
      <c r="C4162" t="s">
        <v>40</v>
      </c>
      <c r="D4162">
        <v>4.5847129999999998</v>
      </c>
      <c r="E4162">
        <v>0.65851559999999998</v>
      </c>
      <c r="F4162" t="s">
        <v>43</v>
      </c>
      <c r="G4162">
        <v>-307.82740000000001</v>
      </c>
      <c r="H4162">
        <v>-0.05</v>
      </c>
      <c r="I4162">
        <v>2.6118009999999998</v>
      </c>
      <c r="J4162">
        <v>-307.37920000000003</v>
      </c>
      <c r="K4162">
        <v>1.04423</v>
      </c>
      <c r="L4162">
        <v>11.16705</v>
      </c>
      <c r="M4162">
        <v>0.67760819999999999</v>
      </c>
      <c r="N4162">
        <v>-2.332969E-2</v>
      </c>
      <c r="O4162">
        <v>-0.73505319999999996</v>
      </c>
      <c r="P4162">
        <v>0.37486269999999999</v>
      </c>
      <c r="Q4162">
        <v>4.1655209999999998E-2</v>
      </c>
      <c r="R4162">
        <v>-0.92614450000000004</v>
      </c>
      <c r="S4162">
        <v>-9.9822999999999995E-2</v>
      </c>
      <c r="T4162">
        <v>-0.41527259999999999</v>
      </c>
      <c r="U4162">
        <v>-3.330902</v>
      </c>
      <c r="V4162">
        <v>0.35436079999999998</v>
      </c>
      <c r="W4162">
        <v>4.9398169999999998E-2</v>
      </c>
      <c r="X4162">
        <v>0.9338031</v>
      </c>
      <c r="Y4162">
        <v>0.69729949999999996</v>
      </c>
      <c r="Z4162">
        <v>3.3506679999999997E-2</v>
      </c>
      <c r="AA4162">
        <v>0.71599639999999998</v>
      </c>
      <c r="AB4162">
        <v>28</v>
      </c>
      <c r="AC4162">
        <v>-0.448199999999985</v>
      </c>
      <c r="AD4162">
        <v>-1.09423</v>
      </c>
      <c r="AE4162">
        <v>-8.5552489999999999</v>
      </c>
      <c r="AF4162">
        <v>6.0298532952052897</v>
      </c>
      <c r="AG4162">
        <v>-1.09423</v>
      </c>
      <c r="AH4162">
        <v>5.8903913702376904</v>
      </c>
      <c r="AI4162">
        <v>97.396216269456403</v>
      </c>
      <c r="AJ4162">
        <v>44.329693695618403</v>
      </c>
      <c r="AK4162">
        <v>8.5001870890686195</v>
      </c>
      <c r="AL4162">
        <v>87.168540980848306</v>
      </c>
      <c r="AM4162">
        <v>69.219183574909195</v>
      </c>
      <c r="AN4162">
        <v>0.99999999267279904</v>
      </c>
    </row>
    <row r="4163" spans="1:40" x14ac:dyDescent="0.25">
      <c r="A4163" t="str">
        <f>"20190305135713258"</f>
        <v>20190305135713258</v>
      </c>
      <c r="B4163" t="str">
        <f>"1551765433246310"</f>
        <v>1551765433246310</v>
      </c>
      <c r="C4163" t="s">
        <v>40</v>
      </c>
      <c r="D4163">
        <v>4.6091689999999996</v>
      </c>
      <c r="E4163">
        <v>0.65607349999999998</v>
      </c>
      <c r="F4163" t="s">
        <v>43</v>
      </c>
      <c r="G4163">
        <v>-307.57760000000002</v>
      </c>
      <c r="H4163">
        <v>-0.05</v>
      </c>
      <c r="I4163">
        <v>2.427505</v>
      </c>
      <c r="J4163">
        <v>-307.1977</v>
      </c>
      <c r="K4163">
        <v>1.0441549999999999</v>
      </c>
      <c r="L4163">
        <v>10.93906</v>
      </c>
      <c r="M4163">
        <v>0.661217099999999</v>
      </c>
      <c r="N4163">
        <v>-2.3318999999999999E-2</v>
      </c>
      <c r="O4163">
        <v>-0.74983250000000001</v>
      </c>
      <c r="P4163">
        <v>0.35467789999999999</v>
      </c>
      <c r="Q4163">
        <v>4.0246959999999998E-2</v>
      </c>
      <c r="R4163">
        <v>-0.93412229999999996</v>
      </c>
      <c r="S4163">
        <v>-7.4646000000000004E-2</v>
      </c>
      <c r="T4163">
        <v>-0.41166720000000001</v>
      </c>
      <c r="U4163">
        <v>-3.2879640000000001</v>
      </c>
      <c r="V4163">
        <v>0.35400019999999999</v>
      </c>
      <c r="W4163">
        <v>4.7951729999999998E-2</v>
      </c>
      <c r="X4163">
        <v>0.93401529999999999</v>
      </c>
      <c r="Y4163">
        <v>0.67615570000000003</v>
      </c>
      <c r="Z4163">
        <v>3.7889440000000003E-2</v>
      </c>
      <c r="AA4163">
        <v>0.73578379999999999</v>
      </c>
      <c r="AB4163">
        <v>28</v>
      </c>
      <c r="AC4163">
        <v>-0.37990000000002</v>
      </c>
      <c r="AD4163">
        <v>-1.094155</v>
      </c>
      <c r="AE4163">
        <v>-8.5115549999999995</v>
      </c>
      <c r="AF4163">
        <v>5.8184944664358298</v>
      </c>
      <c r="AG4163">
        <v>-1.094155</v>
      </c>
      <c r="AH4163">
        <v>6.0332097546377197</v>
      </c>
      <c r="AI4163">
        <v>97.437304636603798</v>
      </c>
      <c r="AJ4163">
        <v>46.037904245434397</v>
      </c>
      <c r="AK4163">
        <v>8.4529091420306397</v>
      </c>
      <c r="AL4163">
        <v>87.251514391411206</v>
      </c>
      <c r="AM4163">
        <v>69.242841188135102</v>
      </c>
      <c r="AN4163">
        <v>1.0000000453220601</v>
      </c>
    </row>
    <row r="4164" spans="1:40" x14ac:dyDescent="0.25">
      <c r="A4164" t="str">
        <f>"20190305135713280"</f>
        <v>20190305135713280</v>
      </c>
      <c r="B4164" t="str">
        <f>"1551765433276565"</f>
        <v>1551765433276565</v>
      </c>
      <c r="C4164" t="s">
        <v>40</v>
      </c>
      <c r="D4164">
        <v>4.6294550000000001</v>
      </c>
      <c r="E4164">
        <v>0.64113290000000001</v>
      </c>
      <c r="F4164" t="s">
        <v>43</v>
      </c>
      <c r="G4164">
        <v>-307.53660000000002</v>
      </c>
      <c r="H4164">
        <v>-0.05</v>
      </c>
      <c r="I4164">
        <v>2.2201689999999998</v>
      </c>
      <c r="J4164">
        <v>-307.0378</v>
      </c>
      <c r="K4164">
        <v>1.044081</v>
      </c>
      <c r="L4164">
        <v>10.729100000000001</v>
      </c>
      <c r="M4164">
        <v>0.64592869999999902</v>
      </c>
      <c r="N4164">
        <v>-2.3314080000000001E-2</v>
      </c>
      <c r="O4164">
        <v>-0.76304189999999905</v>
      </c>
      <c r="P4164">
        <v>0.33792080000000002</v>
      </c>
      <c r="Q4164">
        <v>3.8016149999999999E-2</v>
      </c>
      <c r="R4164">
        <v>-0.94040659999999998</v>
      </c>
      <c r="S4164">
        <v>-0.12741089999999999</v>
      </c>
      <c r="T4164">
        <v>-0.41132350000000001</v>
      </c>
      <c r="U4164">
        <v>-3.277679</v>
      </c>
      <c r="V4164">
        <v>0.35179709999999997</v>
      </c>
      <c r="W4164">
        <v>4.5787830000000002E-2</v>
      </c>
      <c r="X4164">
        <v>0.9349558</v>
      </c>
      <c r="Y4164">
        <v>0.673199199999999</v>
      </c>
      <c r="Z4164">
        <v>4.0441530000000003E-2</v>
      </c>
      <c r="AA4164">
        <v>0.73835439999999997</v>
      </c>
      <c r="AB4164">
        <v>28</v>
      </c>
      <c r="AC4164">
        <v>-0.49880000000001701</v>
      </c>
      <c r="AD4164">
        <v>-1.0940809999999901</v>
      </c>
      <c r="AE4164">
        <v>-8.5089310000000005</v>
      </c>
      <c r="AF4164">
        <v>5.7830810920304003</v>
      </c>
      <c r="AG4164">
        <v>-1.0940809999999901</v>
      </c>
      <c r="AH4164">
        <v>6.07211233693317</v>
      </c>
      <c r="AI4164">
        <v>97.433665101041299</v>
      </c>
      <c r="AJ4164">
        <v>46.396602312458199</v>
      </c>
      <c r="AK4164">
        <v>8.4564524703859405</v>
      </c>
      <c r="AL4164">
        <v>87.375633129698301</v>
      </c>
      <c r="AM4164">
        <v>69.380118125043296</v>
      </c>
      <c r="AN4164">
        <v>1.00000003644907</v>
      </c>
    </row>
    <row r="4165" spans="1:40" x14ac:dyDescent="0.25">
      <c r="A4165" t="str">
        <f>"20190305135713301"</f>
        <v>20190305135713301</v>
      </c>
      <c r="B4165" t="str">
        <f>"1551765433297061"</f>
        <v>1551765433297061</v>
      </c>
      <c r="C4165" t="s">
        <v>40</v>
      </c>
      <c r="D4165">
        <v>4.6762980000000001</v>
      </c>
      <c r="E4165">
        <v>0.63674989999999998</v>
      </c>
      <c r="F4165" t="s">
        <v>43</v>
      </c>
      <c r="G4165">
        <v>-307.2242</v>
      </c>
      <c r="H4165">
        <v>-0.05</v>
      </c>
      <c r="I4165">
        <v>2.789444</v>
      </c>
      <c r="J4165">
        <v>-306.86959999999999</v>
      </c>
      <c r="K4165">
        <v>1.04403</v>
      </c>
      <c r="L4165">
        <v>10.497590000000001</v>
      </c>
      <c r="M4165">
        <v>0.62886229999999999</v>
      </c>
      <c r="N4165">
        <v>-2.3313440000000001E-2</v>
      </c>
      <c r="O4165">
        <v>-0.77716739999999995</v>
      </c>
      <c r="P4165">
        <v>0.32081340000000003</v>
      </c>
      <c r="Q4165">
        <v>3.5489020000000003E-2</v>
      </c>
      <c r="R4165">
        <v>-0.94647760000000003</v>
      </c>
      <c r="S4165">
        <v>-7.5958250000000005E-2</v>
      </c>
      <c r="T4165">
        <v>-0.44584370000000001</v>
      </c>
      <c r="U4165">
        <v>-3.2354430000000001</v>
      </c>
      <c r="V4165">
        <v>0.34799380000000002</v>
      </c>
      <c r="W4165">
        <v>4.3413170000000001E-2</v>
      </c>
      <c r="X4165">
        <v>0.93649110000000002</v>
      </c>
      <c r="Y4165">
        <v>0.64495230000000003</v>
      </c>
      <c r="Z4165">
        <v>5.14936E-2</v>
      </c>
      <c r="AA4165">
        <v>0.762486</v>
      </c>
      <c r="AB4165">
        <v>28</v>
      </c>
      <c r="AC4165">
        <v>-0.35460000000000402</v>
      </c>
      <c r="AD4165">
        <v>-1.0940299999999901</v>
      </c>
      <c r="AE4165">
        <v>-7.7081459999999904</v>
      </c>
      <c r="AF4165">
        <v>5.0233577150256501</v>
      </c>
      <c r="AG4165">
        <v>-1.0940299999999901</v>
      </c>
      <c r="AH4165">
        <v>5.6554065532905202</v>
      </c>
      <c r="AI4165">
        <v>98.2297255152356</v>
      </c>
      <c r="AJ4165">
        <v>48.387239497176601</v>
      </c>
      <c r="AK4165">
        <v>7.6429475764922801</v>
      </c>
      <c r="AL4165">
        <v>87.511826548675302</v>
      </c>
      <c r="AM4165">
        <v>69.615272198084796</v>
      </c>
      <c r="AN4165">
        <v>0.99999998427354897</v>
      </c>
    </row>
    <row r="4166" spans="1:40" x14ac:dyDescent="0.25">
      <c r="A4166" t="str">
        <f>"20190305135713324"</f>
        <v>20190305135713324</v>
      </c>
      <c r="B4166" t="str">
        <f>"1551765433316581"</f>
        <v>1551765433316581</v>
      </c>
      <c r="C4166" t="s">
        <v>40</v>
      </c>
      <c r="D4166">
        <v>4.6890850000000004</v>
      </c>
      <c r="E4166">
        <v>0.635324</v>
      </c>
      <c r="F4166" t="s">
        <v>43</v>
      </c>
      <c r="G4166">
        <v>-307.12189999999998</v>
      </c>
      <c r="H4166">
        <v>-0.05</v>
      </c>
      <c r="I4166">
        <v>2.6880649999999999</v>
      </c>
      <c r="J4166">
        <v>-306.70589999999999</v>
      </c>
      <c r="K4166">
        <v>1.0439889999999901</v>
      </c>
      <c r="L4166">
        <v>10.261049999999999</v>
      </c>
      <c r="M4166">
        <v>0.61119840000000003</v>
      </c>
      <c r="N4166">
        <v>-2.3317919999999999E-2</v>
      </c>
      <c r="O4166">
        <v>-0.79113389999999995</v>
      </c>
      <c r="P4166">
        <v>0.30351729999999999</v>
      </c>
      <c r="Q4166">
        <v>3.264707E-2</v>
      </c>
      <c r="R4166">
        <v>-0.95226650000000002</v>
      </c>
      <c r="S4166">
        <v>-0.10409549999999999</v>
      </c>
      <c r="T4166">
        <v>-0.45134350000000001</v>
      </c>
      <c r="U4166">
        <v>-3.221832</v>
      </c>
      <c r="V4166">
        <v>0.34390969999999998</v>
      </c>
      <c r="W4166">
        <v>4.0746669999999999E-2</v>
      </c>
      <c r="X4166">
        <v>0.93811829999999996</v>
      </c>
      <c r="Y4166">
        <v>0.6344708</v>
      </c>
      <c r="Z4166">
        <v>5.6120570000000002E-2</v>
      </c>
      <c r="AA4166">
        <v>0.7709068</v>
      </c>
      <c r="AB4166">
        <v>27</v>
      </c>
      <c r="AC4166">
        <v>-0.41599999999999598</v>
      </c>
      <c r="AD4166">
        <v>-1.0939890000000001</v>
      </c>
      <c r="AE4166">
        <v>-7.5729849999999903</v>
      </c>
      <c r="AF4166">
        <v>4.85798231857662</v>
      </c>
      <c r="AG4166">
        <v>-1.0939890000000001</v>
      </c>
      <c r="AH4166">
        <v>5.6215855146745</v>
      </c>
      <c r="AI4166">
        <v>98.376215804418507</v>
      </c>
      <c r="AJ4166">
        <v>49.167543477240002</v>
      </c>
      <c r="AK4166">
        <v>7.5099286174052402</v>
      </c>
      <c r="AL4166">
        <v>87.664741411457101</v>
      </c>
      <c r="AM4166">
        <v>69.867304280221404</v>
      </c>
      <c r="AN4166">
        <v>1.00000005883253</v>
      </c>
    </row>
    <row r="4167" spans="1:40" x14ac:dyDescent="0.25">
      <c r="A4167" t="str">
        <f>"20190305135713345"</f>
        <v>20190305135713345</v>
      </c>
      <c r="B4167" t="str">
        <f>"1551765433337078"</f>
        <v>1551765433337078</v>
      </c>
      <c r="C4167" t="s">
        <v>40</v>
      </c>
      <c r="D4167">
        <v>4.6567339999999904</v>
      </c>
      <c r="E4167">
        <v>0.61938380000000004</v>
      </c>
      <c r="F4167" t="s">
        <v>43</v>
      </c>
      <c r="G4167">
        <v>-307.0822</v>
      </c>
      <c r="H4167">
        <v>-0.05</v>
      </c>
      <c r="I4167">
        <v>2.4134370000000001</v>
      </c>
      <c r="J4167">
        <v>-306.55689999999998</v>
      </c>
      <c r="K4167">
        <v>1.043968</v>
      </c>
      <c r="L4167">
        <v>10.035</v>
      </c>
      <c r="M4167">
        <v>0.59411550000000002</v>
      </c>
      <c r="N4167">
        <v>-2.3326980000000001E-2</v>
      </c>
      <c r="O4167">
        <v>-0.80404140000000002</v>
      </c>
      <c r="P4167">
        <v>0.28837600000000002</v>
      </c>
      <c r="Q4167">
        <v>3.1860319999999998E-2</v>
      </c>
      <c r="R4167">
        <v>-0.95698700000000003</v>
      </c>
      <c r="S4167">
        <v>-0.154174799999999</v>
      </c>
      <c r="T4167">
        <v>-0.44816709999999899</v>
      </c>
      <c r="U4167">
        <v>-3.214874</v>
      </c>
      <c r="V4167">
        <v>0.3386789</v>
      </c>
      <c r="W4167">
        <v>4.0203999999999997E-2</v>
      </c>
      <c r="X4167">
        <v>0.94004270000000001</v>
      </c>
      <c r="Y4167">
        <v>0.63002840000000004</v>
      </c>
      <c r="Z4167">
        <v>5.8452690000000002E-2</v>
      </c>
      <c r="AA4167">
        <v>0.77436910000000003</v>
      </c>
      <c r="AB4167">
        <v>27</v>
      </c>
      <c r="AC4167">
        <v>-0.52530000000001498</v>
      </c>
      <c r="AD4167">
        <v>-1.0939680000000001</v>
      </c>
      <c r="AE4167">
        <v>-7.6215630000000001</v>
      </c>
      <c r="AF4167">
        <v>4.8523020398242904</v>
      </c>
      <c r="AG4167">
        <v>-1.0939680000000001</v>
      </c>
      <c r="AH4167">
        <v>5.7006537147712004</v>
      </c>
      <c r="AI4167">
        <v>98.313925948234697</v>
      </c>
      <c r="AJ4167">
        <v>49.596121459984801</v>
      </c>
      <c r="AK4167">
        <v>7.5656495984443897</v>
      </c>
      <c r="AL4167">
        <v>87.695859517586698</v>
      </c>
      <c r="AM4167">
        <v>70.186905651512006</v>
      </c>
      <c r="AN4167">
        <v>1.0000000183722499</v>
      </c>
    </row>
    <row r="4168" spans="1:40" x14ac:dyDescent="0.25">
      <c r="A4168" t="str">
        <f>"20190305135713369"</f>
        <v>20190305135713369</v>
      </c>
      <c r="B4168" t="str">
        <f>"1551765433356598"</f>
        <v>1551765433356598</v>
      </c>
      <c r="C4168" t="s">
        <v>40</v>
      </c>
      <c r="D4168">
        <v>4.5152510000000001</v>
      </c>
      <c r="E4168">
        <v>0.61791030000000002</v>
      </c>
      <c r="F4168" t="s">
        <v>43</v>
      </c>
      <c r="G4168">
        <v>-306.7645</v>
      </c>
      <c r="H4168">
        <v>-0.05</v>
      </c>
      <c r="I4168">
        <v>2.2650600000000001</v>
      </c>
      <c r="J4168">
        <v>-306.40530000000001</v>
      </c>
      <c r="K4168">
        <v>1.043973</v>
      </c>
      <c r="L4168">
        <v>9.7931519999999992</v>
      </c>
      <c r="M4168">
        <v>0.575619199999999</v>
      </c>
      <c r="N4168">
        <v>-2.334087E-2</v>
      </c>
      <c r="O4168">
        <v>-0.81738500000000003</v>
      </c>
      <c r="P4168">
        <v>0.2738237</v>
      </c>
      <c r="Q4168">
        <v>3.437482E-2</v>
      </c>
      <c r="R4168">
        <v>-0.96116550000000001</v>
      </c>
      <c r="S4168">
        <v>-8.4808350000000005E-2</v>
      </c>
      <c r="T4168">
        <v>-0.44706489999999999</v>
      </c>
      <c r="U4168">
        <v>-3.1752929999999999</v>
      </c>
      <c r="V4168">
        <v>0.33154</v>
      </c>
      <c r="W4168">
        <v>4.3063980000000002E-2</v>
      </c>
      <c r="X4168">
        <v>0.94245780000000001</v>
      </c>
      <c r="Y4168">
        <v>0.59549370000000001</v>
      </c>
      <c r="Z4168">
        <v>6.4211480000000001E-2</v>
      </c>
      <c r="AA4168">
        <v>0.80078970000000005</v>
      </c>
      <c r="AB4168">
        <v>27</v>
      </c>
      <c r="AC4168">
        <v>-0.35919999999998697</v>
      </c>
      <c r="AD4168">
        <v>-1.0939729999999901</v>
      </c>
      <c r="AE4168">
        <v>-7.528092</v>
      </c>
      <c r="AF4168">
        <v>4.5326771391619296</v>
      </c>
      <c r="AG4168">
        <v>-1.0939729999999901</v>
      </c>
      <c r="AH4168">
        <v>5.8254659988117599</v>
      </c>
      <c r="AI4168">
        <v>98.430545777603101</v>
      </c>
      <c r="AJ4168">
        <v>52.114237546843</v>
      </c>
      <c r="AK4168">
        <v>7.4617687632304799</v>
      </c>
      <c r="AL4168">
        <v>87.531852408543102</v>
      </c>
      <c r="AM4168">
        <v>70.619028942153093</v>
      </c>
      <c r="AN4168">
        <v>0.99999999137714002</v>
      </c>
    </row>
    <row r="4169" spans="1:40" x14ac:dyDescent="0.25">
      <c r="A4169" t="str">
        <f>"20190305135713395"</f>
        <v>20190305135713395</v>
      </c>
      <c r="B4169" t="str">
        <f>"1551765433386855"</f>
        <v>1551765433386855</v>
      </c>
      <c r="C4169" t="s">
        <v>40</v>
      </c>
      <c r="D4169">
        <v>4.4965349999999997</v>
      </c>
      <c r="E4169">
        <v>0.56556169999999995</v>
      </c>
      <c r="F4169" t="s">
        <v>43</v>
      </c>
      <c r="G4169">
        <v>-306.71480000000003</v>
      </c>
      <c r="H4169">
        <v>-0.05</v>
      </c>
      <c r="I4169">
        <v>1.770187</v>
      </c>
      <c r="J4169">
        <v>-306.2396</v>
      </c>
      <c r="K4169">
        <v>1.0440049999999901</v>
      </c>
      <c r="L4169">
        <v>9.5118709999999993</v>
      </c>
      <c r="M4169">
        <v>0.55384730000000004</v>
      </c>
      <c r="N4169">
        <v>-2.3359950000000001E-2</v>
      </c>
      <c r="O4169">
        <v>-0.83229069999999905</v>
      </c>
      <c r="P4169">
        <v>0.25804579999999999</v>
      </c>
      <c r="Q4169">
        <v>3.9950640000000003E-2</v>
      </c>
      <c r="R4169">
        <v>-0.96530649999999996</v>
      </c>
      <c r="S4169">
        <v>-0.122345</v>
      </c>
      <c r="T4169">
        <v>-0.43245529999999999</v>
      </c>
      <c r="U4169">
        <v>-3.1715390000000001</v>
      </c>
      <c r="V4169">
        <v>0.32219209999999998</v>
      </c>
      <c r="W4169">
        <v>4.9102409999999999E-2</v>
      </c>
      <c r="X4169">
        <v>0.94540000000000002</v>
      </c>
      <c r="Y4169">
        <v>0.58389609999999903</v>
      </c>
      <c r="Z4169">
        <v>6.4929769999999998E-2</v>
      </c>
      <c r="AA4169">
        <v>0.809227699999999</v>
      </c>
      <c r="AB4169">
        <v>27</v>
      </c>
      <c r="AC4169">
        <v>-0.47520000000002899</v>
      </c>
      <c r="AD4169">
        <v>-1.0940049999999999</v>
      </c>
      <c r="AE4169">
        <v>-7.7416840000000002</v>
      </c>
      <c r="AF4169">
        <v>4.5931148292462396</v>
      </c>
      <c r="AG4169">
        <v>-1.0940049999999999</v>
      </c>
      <c r="AH4169">
        <v>6.0612434318106603</v>
      </c>
      <c r="AI4169">
        <v>98.186078771389006</v>
      </c>
      <c r="AJ4169">
        <v>52.845724142545201</v>
      </c>
      <c r="AK4169">
        <v>7.6832429816018797</v>
      </c>
      <c r="AL4169">
        <v>87.185507328666105</v>
      </c>
      <c r="AM4169">
        <v>71.180901775514002</v>
      </c>
      <c r="AN4169">
        <v>0.99999997798510798</v>
      </c>
    </row>
    <row r="4170" spans="1:40" x14ac:dyDescent="0.25">
      <c r="A4170" t="str">
        <f>"20190305135713420"</f>
        <v>20190305135713420</v>
      </c>
      <c r="B4170" t="str">
        <f>"1551765433417110"</f>
        <v>1551765433417110</v>
      </c>
      <c r="C4170" t="s">
        <v>40</v>
      </c>
      <c r="D4170">
        <v>4.4229289999999999</v>
      </c>
      <c r="E4170">
        <v>0.56073519999999999</v>
      </c>
      <c r="F4170" t="s">
        <v>42</v>
      </c>
      <c r="G4170">
        <v>-305.0471</v>
      </c>
      <c r="H4170" s="1">
        <v>-3.264899E-6</v>
      </c>
      <c r="I4170">
        <v>-5.3791419999999999</v>
      </c>
      <c r="J4170">
        <v>-306.08859999999999</v>
      </c>
      <c r="K4170">
        <v>1.0440449999999999</v>
      </c>
      <c r="L4170">
        <v>9.2391660000000009</v>
      </c>
      <c r="M4170">
        <v>0.53246839999999995</v>
      </c>
      <c r="N4170">
        <v>-2.3372400000000002E-2</v>
      </c>
      <c r="O4170">
        <v>-0.84612739999999997</v>
      </c>
      <c r="P4170">
        <v>0.24334169999999999</v>
      </c>
      <c r="Q4170">
        <v>4.5556920000000001E-2</v>
      </c>
      <c r="R4170">
        <v>-0.96887040000000002</v>
      </c>
      <c r="S4170">
        <v>0.24435419999999999</v>
      </c>
      <c r="T4170">
        <v>-0.2139308</v>
      </c>
      <c r="U4170">
        <v>-3.051361</v>
      </c>
      <c r="V4170">
        <v>0.31255840000000001</v>
      </c>
      <c r="W4170">
        <v>5.5182380000000003E-2</v>
      </c>
      <c r="X4170">
        <v>0.94829430000000003</v>
      </c>
      <c r="Y4170">
        <v>0.46276869999999998</v>
      </c>
      <c r="Z4170">
        <v>2.7105540000000001E-2</v>
      </c>
      <c r="AA4170">
        <v>0.88606459999999998</v>
      </c>
      <c r="AB4170">
        <v>27</v>
      </c>
      <c r="AC4170">
        <v>1.0414999999999801</v>
      </c>
      <c r="AD4170">
        <v>-1.0440482648989999</v>
      </c>
      <c r="AE4170">
        <v>-14.618307999999899</v>
      </c>
      <c r="AF4170">
        <v>6.8695659418573998</v>
      </c>
      <c r="AG4170">
        <v>-1.0440482648989999</v>
      </c>
      <c r="AH4170">
        <v>12.8617699371271</v>
      </c>
      <c r="AI4170">
        <v>94.095478390602693</v>
      </c>
      <c r="AJ4170">
        <v>61.892996966129303</v>
      </c>
      <c r="AK4170">
        <v>14.6186900550136</v>
      </c>
      <c r="AL4170">
        <v>86.8366755838275</v>
      </c>
      <c r="AM4170">
        <v>71.757747496797407</v>
      </c>
      <c r="AN4170">
        <v>0.99999996394275603</v>
      </c>
    </row>
    <row r="4171" spans="1:40" x14ac:dyDescent="0.25">
      <c r="A4171" t="str">
        <f>"20190305135713444"</f>
        <v>20190305135713444</v>
      </c>
      <c r="B4171" t="str">
        <f>"1551765433436629"</f>
        <v>1551765433436629</v>
      </c>
      <c r="C4171" t="s">
        <v>40</v>
      </c>
      <c r="D4171">
        <v>4.4034639999999996</v>
      </c>
      <c r="E4171">
        <v>0.55931809999999904</v>
      </c>
      <c r="F4171" t="s">
        <v>42</v>
      </c>
      <c r="G4171">
        <v>-304.9409</v>
      </c>
      <c r="H4171" s="1">
        <v>-3.111195E-6</v>
      </c>
      <c r="I4171">
        <v>-5.6621269999999999</v>
      </c>
      <c r="J4171">
        <v>-305.95690000000002</v>
      </c>
      <c r="K4171">
        <v>1.044095</v>
      </c>
      <c r="L4171">
        <v>8.9867860000000004</v>
      </c>
      <c r="M4171">
        <v>0.51245949999999996</v>
      </c>
      <c r="N4171">
        <v>-2.337711E-2</v>
      </c>
      <c r="O4171">
        <v>-0.85839330000000003</v>
      </c>
      <c r="P4171">
        <v>0.23207349999999999</v>
      </c>
      <c r="Q4171">
        <v>4.9921699999999999E-2</v>
      </c>
      <c r="R4171">
        <v>-0.97141670000000002</v>
      </c>
      <c r="S4171">
        <v>0.23471069999999999</v>
      </c>
      <c r="T4171">
        <v>-0.21351990000000001</v>
      </c>
      <c r="U4171">
        <v>-3.047485</v>
      </c>
      <c r="V4171">
        <v>0.30134929999999999</v>
      </c>
      <c r="W4171">
        <v>6.009229E-2</v>
      </c>
      <c r="X4171">
        <v>0.95161839999999998</v>
      </c>
      <c r="Y4171">
        <v>0.44460270000000002</v>
      </c>
      <c r="Z4171">
        <v>2.8619660000000002E-2</v>
      </c>
      <c r="AA4171">
        <v>0.89527049999999997</v>
      </c>
      <c r="AB4171">
        <v>27</v>
      </c>
      <c r="AC4171">
        <v>1.01600000000001</v>
      </c>
      <c r="AD4171">
        <v>-1.0440981111950001</v>
      </c>
      <c r="AE4171">
        <v>-14.648913</v>
      </c>
      <c r="AF4171">
        <v>6.6032750974090204</v>
      </c>
      <c r="AG4171">
        <v>-1.0440981111950001</v>
      </c>
      <c r="AH4171">
        <v>13.0328741303854</v>
      </c>
      <c r="AI4171">
        <v>94.087605450840002</v>
      </c>
      <c r="AJ4171">
        <v>63.1303541112364</v>
      </c>
      <c r="AK4171">
        <v>14.6474977718493</v>
      </c>
      <c r="AL4171">
        <v>86.554889955305001</v>
      </c>
      <c r="AM4171">
        <v>72.428551156100696</v>
      </c>
      <c r="AN4171">
        <v>1.00000003157324</v>
      </c>
    </row>
    <row r="4172" spans="1:40" x14ac:dyDescent="0.25">
      <c r="A4172" t="str">
        <f>"20190305135713480"</f>
        <v>20190305135713480</v>
      </c>
      <c r="B4172" t="str">
        <f>"1551765433476645"</f>
        <v>1551765433476645</v>
      </c>
      <c r="C4172" t="s">
        <v>40</v>
      </c>
      <c r="D4172">
        <v>4.3910549999999997</v>
      </c>
      <c r="E4172">
        <v>0.55823179999999994</v>
      </c>
      <c r="F4172" t="s">
        <v>42</v>
      </c>
      <c r="G4172">
        <v>-304.91300000000001</v>
      </c>
      <c r="H4172" s="1">
        <v>-2.8543459999999999E-6</v>
      </c>
      <c r="I4172">
        <v>-6.1897719999999996</v>
      </c>
      <c r="J4172">
        <v>-305.76319999999998</v>
      </c>
      <c r="K4172">
        <v>1.044208</v>
      </c>
      <c r="L4172">
        <v>8.5844419999999992</v>
      </c>
      <c r="M4172">
        <v>0.4801532</v>
      </c>
      <c r="N4172">
        <v>-2.3374880000000001E-2</v>
      </c>
      <c r="O4172">
        <v>-0.87687329999999997</v>
      </c>
      <c r="P4172">
        <v>0.22302900000000001</v>
      </c>
      <c r="Q4172">
        <v>6.1826109999999997E-2</v>
      </c>
      <c r="R4172">
        <v>-0.97284939999999998</v>
      </c>
      <c r="S4172">
        <v>0.20971679999999901</v>
      </c>
      <c r="T4172">
        <v>-0.2097579</v>
      </c>
      <c r="U4172">
        <v>-3.04895</v>
      </c>
      <c r="V4172">
        <v>0.27479179999999997</v>
      </c>
      <c r="W4172">
        <v>7.3265949999999996E-2</v>
      </c>
      <c r="X4172">
        <v>0.95870829999999996</v>
      </c>
      <c r="Y4172">
        <v>0.41846939999999999</v>
      </c>
      <c r="Z4172">
        <v>2.9924739999999998E-2</v>
      </c>
      <c r="AA4172">
        <v>0.90773780000000004</v>
      </c>
      <c r="AB4172">
        <v>27</v>
      </c>
      <c r="AC4172">
        <v>0.85019999999997198</v>
      </c>
      <c r="AD4172">
        <v>-1.044210854346</v>
      </c>
      <c r="AE4172">
        <v>-14.774214000000001</v>
      </c>
      <c r="AF4172">
        <v>6.3186428705766602</v>
      </c>
      <c r="AG4172">
        <v>-1.044210854346</v>
      </c>
      <c r="AH4172">
        <v>13.3007675767201</v>
      </c>
      <c r="AI4172">
        <v>94.056197528259204</v>
      </c>
      <c r="AJ4172">
        <v>64.589546561419397</v>
      </c>
      <c r="AK4172">
        <v>14.762318319429101</v>
      </c>
      <c r="AL4172">
        <v>85.798405672533605</v>
      </c>
      <c r="AM4172">
        <v>74.006261444147299</v>
      </c>
      <c r="AN4172">
        <v>1.00000001863276</v>
      </c>
    </row>
    <row r="4173" spans="1:40" x14ac:dyDescent="0.25">
      <c r="A4173" t="str">
        <f>"20190305135713503"</f>
        <v>20190305135713503</v>
      </c>
      <c r="B4173" t="str">
        <f>"1551765433496166"</f>
        <v>1551765433496166</v>
      </c>
      <c r="C4173" t="s">
        <v>40</v>
      </c>
      <c r="D4173">
        <v>4.3236879999999998</v>
      </c>
      <c r="E4173">
        <v>0.55762849999999997</v>
      </c>
      <c r="F4173" t="s">
        <v>42</v>
      </c>
      <c r="G4173">
        <v>-304.6266</v>
      </c>
      <c r="H4173" s="1">
        <v>-1.0525449999999899E-6</v>
      </c>
      <c r="I4173">
        <v>-9.8402639999999995</v>
      </c>
      <c r="J4173">
        <v>-305.64760000000001</v>
      </c>
      <c r="K4173">
        <v>1.0442769999999999</v>
      </c>
      <c r="L4173">
        <v>8.3235169999999901</v>
      </c>
      <c r="M4173">
        <v>0.45895089999999999</v>
      </c>
      <c r="N4173">
        <v>-2.336587E-2</v>
      </c>
      <c r="O4173">
        <v>-0.88815449999999996</v>
      </c>
      <c r="P4173">
        <v>0.2131094</v>
      </c>
      <c r="Q4173">
        <v>6.7267950000000007E-2</v>
      </c>
      <c r="R4173">
        <v>-0.97470999999999997</v>
      </c>
      <c r="S4173">
        <v>0.18823239999999999</v>
      </c>
      <c r="T4173">
        <v>-0.17294619999999999</v>
      </c>
      <c r="U4173">
        <v>-3.0515750000000001</v>
      </c>
      <c r="V4173">
        <v>0.26153530000000003</v>
      </c>
      <c r="W4173">
        <v>7.9335020000000006E-2</v>
      </c>
      <c r="X4173">
        <v>0.96192789999999995</v>
      </c>
      <c r="Y4173">
        <v>0.40309929999999999</v>
      </c>
      <c r="Z4173">
        <v>2.1725189999999998E-2</v>
      </c>
      <c r="AA4173">
        <v>0.91489830000000005</v>
      </c>
      <c r="AB4173">
        <v>26</v>
      </c>
      <c r="AC4173">
        <v>1.0210000000000099</v>
      </c>
      <c r="AD4173">
        <v>-1.0442780525449999</v>
      </c>
      <c r="AE4173">
        <v>-18.163781</v>
      </c>
      <c r="AF4173">
        <v>7.4070996169119496</v>
      </c>
      <c r="AG4173">
        <v>-1.0442780525449999</v>
      </c>
      <c r="AH4173">
        <v>16.550829454484902</v>
      </c>
      <c r="AI4173">
        <v>93.296071878469505</v>
      </c>
      <c r="AJ4173">
        <v>65.889743679378796</v>
      </c>
      <c r="AK4173">
        <v>18.162753013167599</v>
      </c>
      <c r="AL4173">
        <v>85.449656400248202</v>
      </c>
      <c r="AM4173">
        <v>74.789723560490401</v>
      </c>
      <c r="AN4173">
        <v>1.00000002167145</v>
      </c>
    </row>
    <row r="4174" spans="1:40" x14ac:dyDescent="0.25">
      <c r="A4174" t="str">
        <f>"20190305135713531"</f>
        <v>20190305135713531</v>
      </c>
      <c r="B4174" t="str">
        <f>"1551765433516661"</f>
        <v>1551765433516661</v>
      </c>
      <c r="C4174" t="s">
        <v>40</v>
      </c>
      <c r="D4174">
        <v>4.2558619999999996</v>
      </c>
      <c r="E4174">
        <v>0.55741569999999996</v>
      </c>
      <c r="F4174" t="s">
        <v>42</v>
      </c>
      <c r="G4174">
        <v>-304.61900000000003</v>
      </c>
      <c r="H4174" s="1">
        <v>-4.8303150000000004E-6</v>
      </c>
      <c r="I4174">
        <v>-11.226739999999999</v>
      </c>
      <c r="J4174">
        <v>-305.524</v>
      </c>
      <c r="K4174">
        <v>1.0443480000000001</v>
      </c>
      <c r="L4174">
        <v>8.023987</v>
      </c>
      <c r="M4174">
        <v>0.434388</v>
      </c>
      <c r="N4174">
        <v>-2.334309E-2</v>
      </c>
      <c r="O4174">
        <v>-0.90042330000000004</v>
      </c>
      <c r="P4174">
        <v>0.1994756</v>
      </c>
      <c r="Q4174">
        <v>6.8678539999999996E-2</v>
      </c>
      <c r="R4174">
        <v>-0.9774931</v>
      </c>
      <c r="S4174">
        <v>0.16067500000000001</v>
      </c>
      <c r="T4174">
        <v>-0.16312939999999901</v>
      </c>
      <c r="U4174">
        <v>-3.0539860000000001</v>
      </c>
      <c r="V4174">
        <v>0.2485193</v>
      </c>
      <c r="W4174">
        <v>8.1356929999999994E-2</v>
      </c>
      <c r="X4174">
        <v>0.96520419999999996</v>
      </c>
      <c r="Y4174">
        <v>0.38621359999999999</v>
      </c>
      <c r="Z4174">
        <v>2.0283700000000002E-2</v>
      </c>
      <c r="AA4174">
        <v>0.92218630000000001</v>
      </c>
      <c r="AB4174">
        <v>26</v>
      </c>
      <c r="AC4174">
        <v>0.90499999999997205</v>
      </c>
      <c r="AD4174">
        <v>-1.044352830315</v>
      </c>
      <c r="AE4174">
        <v>-19.250727000000001</v>
      </c>
      <c r="AF4174">
        <v>7.5273543590434304</v>
      </c>
      <c r="AG4174">
        <v>-1.044352830315</v>
      </c>
      <c r="AH4174">
        <v>17.679838143080801</v>
      </c>
      <c r="AI4174">
        <v>93.110926647275306</v>
      </c>
      <c r="AJ4174">
        <v>66.937672368545606</v>
      </c>
      <c r="AK4174">
        <v>19.243918864055001</v>
      </c>
      <c r="AL4174">
        <v>85.333433488147406</v>
      </c>
      <c r="AM4174">
        <v>75.561191791792098</v>
      </c>
      <c r="AN4174">
        <v>0.99999997011457598</v>
      </c>
    </row>
    <row r="4175" spans="1:40" x14ac:dyDescent="0.25">
      <c r="A4175" t="str">
        <f>"20190305135713552"</f>
        <v>20190305135713552</v>
      </c>
      <c r="B4175" t="str">
        <f>"1551765433546918"</f>
        <v>1551765433546918</v>
      </c>
      <c r="C4175" t="s">
        <v>40</v>
      </c>
      <c r="D4175">
        <v>4.2945549999999999</v>
      </c>
      <c r="E4175">
        <v>0.55725069999999999</v>
      </c>
      <c r="F4175" t="s">
        <v>42</v>
      </c>
      <c r="G4175">
        <v>-304.67660000000001</v>
      </c>
      <c r="H4175" s="1">
        <v>-4.0454250000000003E-6</v>
      </c>
      <c r="I4175">
        <v>-13.563190000000001</v>
      </c>
      <c r="J4175">
        <v>-305.42989999999998</v>
      </c>
      <c r="K4175">
        <v>1.044416</v>
      </c>
      <c r="L4175">
        <v>7.7760929999999897</v>
      </c>
      <c r="M4175">
        <v>0.4139158</v>
      </c>
      <c r="N4175">
        <v>-2.3313739999999999E-2</v>
      </c>
      <c r="O4175">
        <v>-0.91001679999999996</v>
      </c>
      <c r="P4175">
        <v>0.1896224</v>
      </c>
      <c r="Q4175">
        <v>6.753017E-2</v>
      </c>
      <c r="R4175">
        <v>-0.97953219999999996</v>
      </c>
      <c r="S4175">
        <v>0.1199341</v>
      </c>
      <c r="T4175">
        <v>-0.14779539999999999</v>
      </c>
      <c r="U4175">
        <v>-3.0549930000000001</v>
      </c>
      <c r="V4175">
        <v>0.23635439999999999</v>
      </c>
      <c r="W4175">
        <v>8.0774260000000001E-2</v>
      </c>
      <c r="X4175">
        <v>0.96830369999999999</v>
      </c>
      <c r="Y4175">
        <v>0.37766280000000002</v>
      </c>
      <c r="Z4175">
        <v>1.693269E-2</v>
      </c>
      <c r="AA4175">
        <v>0.92578830000000001</v>
      </c>
      <c r="AB4175">
        <v>26</v>
      </c>
      <c r="AC4175">
        <v>0.753299999999967</v>
      </c>
      <c r="AD4175">
        <v>-1.0444200454250001</v>
      </c>
      <c r="AE4175">
        <v>-21.339283000000002</v>
      </c>
      <c r="AF4175">
        <v>8.1299134133216597</v>
      </c>
      <c r="AG4175">
        <v>-1.0444200454250001</v>
      </c>
      <c r="AH4175">
        <v>19.689163152541902</v>
      </c>
      <c r="AI4175">
        <v>92.806969753085198</v>
      </c>
      <c r="AJ4175">
        <v>67.563628301644101</v>
      </c>
      <c r="AK4175">
        <v>21.327199792443601</v>
      </c>
      <c r="AL4175">
        <v>85.366928257474797</v>
      </c>
      <c r="AM4175">
        <v>76.282832162676698</v>
      </c>
      <c r="AN4175">
        <v>0.99999996945579805</v>
      </c>
    </row>
    <row r="4176" spans="1:40" x14ac:dyDescent="0.25">
      <c r="A4176" t="str">
        <f>"20190305135713575"</f>
        <v>20190305135713575</v>
      </c>
      <c r="B4176" t="str">
        <f>"1551765433566439"</f>
        <v>1551765433566439</v>
      </c>
      <c r="C4176" t="s">
        <v>40</v>
      </c>
      <c r="D4176">
        <v>4.3251790000000003</v>
      </c>
      <c r="E4176">
        <v>0.55678870000000003</v>
      </c>
      <c r="F4176" t="s">
        <v>42</v>
      </c>
      <c r="G4176">
        <v>-304.81689999999998</v>
      </c>
      <c r="H4176" s="1">
        <v>-4.2751010000000002E-6</v>
      </c>
      <c r="I4176">
        <v>-12.961410000000001</v>
      </c>
      <c r="J4176">
        <v>-305.34089999999998</v>
      </c>
      <c r="K4176">
        <v>1.04451</v>
      </c>
      <c r="L4176">
        <v>7.5241699999999998</v>
      </c>
      <c r="M4176">
        <v>0.39299430000000002</v>
      </c>
      <c r="N4176">
        <v>-2.3276120000000001E-2</v>
      </c>
      <c r="O4176">
        <v>-0.91924629999999996</v>
      </c>
      <c r="P4176">
        <v>0.17828840000000001</v>
      </c>
      <c r="Q4176">
        <v>6.7347690000000002E-2</v>
      </c>
      <c r="R4176">
        <v>-0.98167099999999996</v>
      </c>
      <c r="S4176">
        <v>9.0332029999999994E-2</v>
      </c>
      <c r="T4176">
        <v>-0.15390279999999901</v>
      </c>
      <c r="U4176">
        <v>-3.0558169999999998</v>
      </c>
      <c r="V4176">
        <v>0.22535340000000001</v>
      </c>
      <c r="W4176">
        <v>8.1098390000000006E-2</v>
      </c>
      <c r="X4176">
        <v>0.97089590000000003</v>
      </c>
      <c r="Y4176">
        <v>0.36542560000000002</v>
      </c>
      <c r="Z4176">
        <v>1.937351E-2</v>
      </c>
      <c r="AA4176">
        <v>0.93063890000000005</v>
      </c>
      <c r="AB4176">
        <v>26</v>
      </c>
      <c r="AC4176">
        <v>0.52400000000000002</v>
      </c>
      <c r="AD4176">
        <v>-1.0445142751009999</v>
      </c>
      <c r="AE4176">
        <v>-20.485579999999999</v>
      </c>
      <c r="AF4176">
        <v>7.5514629839566103</v>
      </c>
      <c r="AG4176">
        <v>-1.0445142751009999</v>
      </c>
      <c r="AH4176">
        <v>18.993036217107299</v>
      </c>
      <c r="AI4176">
        <v>92.925471954842905</v>
      </c>
      <c r="AJ4176">
        <v>68.317669705507996</v>
      </c>
      <c r="AK4176">
        <v>20.465850288060501</v>
      </c>
      <c r="AL4176">
        <v>85.348295879393106</v>
      </c>
      <c r="AM4176">
        <v>76.932538274615098</v>
      </c>
      <c r="AN4176">
        <v>0.99999997619448</v>
      </c>
    </row>
    <row r="4177" spans="1:40" x14ac:dyDescent="0.25">
      <c r="A4177" t="str">
        <f>"20190305135713598"</f>
        <v>20190305135713598</v>
      </c>
      <c r="B4177" t="str">
        <f>"1551765433586296"</f>
        <v>1551765433586296</v>
      </c>
      <c r="C4177" t="s">
        <v>40</v>
      </c>
      <c r="D4177">
        <v>4.3266470000000004</v>
      </c>
      <c r="E4177">
        <v>0.55683090000000002</v>
      </c>
      <c r="F4177" t="s">
        <v>42</v>
      </c>
      <c r="G4177">
        <v>-304.97430000000003</v>
      </c>
      <c r="H4177" s="1">
        <v>-4.6996200000000004E-6</v>
      </c>
      <c r="I4177">
        <v>-11.79599</v>
      </c>
      <c r="J4177">
        <v>-305.25779999999997</v>
      </c>
      <c r="K4177">
        <v>1.044629</v>
      </c>
      <c r="L4177">
        <v>7.2697449999999897</v>
      </c>
      <c r="M4177">
        <v>0.3717799</v>
      </c>
      <c r="N4177">
        <v>-2.323014E-2</v>
      </c>
      <c r="O4177">
        <v>-0.92803009999999997</v>
      </c>
      <c r="P4177">
        <v>0.16644999999999999</v>
      </c>
      <c r="Q4177">
        <v>6.7517140000000003E-2</v>
      </c>
      <c r="R4177">
        <v>-0.98373569999999999</v>
      </c>
      <c r="S4177">
        <v>5.8013919999999997E-2</v>
      </c>
      <c r="T4177">
        <v>-0.16526250000000001</v>
      </c>
      <c r="U4177">
        <v>-3.0568240000000002</v>
      </c>
      <c r="V4177">
        <v>0.21470719999999999</v>
      </c>
      <c r="W4177">
        <v>8.1754720000000003E-2</v>
      </c>
      <c r="X4177">
        <v>0.97325070000000002</v>
      </c>
      <c r="Y4177">
        <v>0.35386030000000002</v>
      </c>
      <c r="Z4177">
        <v>2.3311479999999999E-2</v>
      </c>
      <c r="AA4177">
        <v>0.93500779999999994</v>
      </c>
      <c r="AB4177">
        <v>26</v>
      </c>
      <c r="AC4177">
        <v>0.28349999999994602</v>
      </c>
      <c r="AD4177">
        <v>-1.0446336996200001</v>
      </c>
      <c r="AE4177">
        <v>-19.065735</v>
      </c>
      <c r="AF4177">
        <v>6.80657420803721</v>
      </c>
      <c r="AG4177">
        <v>-1.0446336996200001</v>
      </c>
      <c r="AH4177">
        <v>17.7505053034062</v>
      </c>
      <c r="AI4177">
        <v>93.145213331791993</v>
      </c>
      <c r="AJ4177">
        <v>69.020276435968498</v>
      </c>
      <c r="AK4177">
        <v>19.039462979353001</v>
      </c>
      <c r="AL4177">
        <v>85.310565623037903</v>
      </c>
      <c r="AM4177">
        <v>77.559340718849199</v>
      </c>
      <c r="AN4177">
        <v>0.99999997051230305</v>
      </c>
    </row>
    <row r="4178" spans="1:40" x14ac:dyDescent="0.25">
      <c r="A4178" t="str">
        <f>"20190305135713619"</f>
        <v>20190305135713619</v>
      </c>
      <c r="B4178" t="str">
        <f>"1551765433606792"</f>
        <v>1551765433606792</v>
      </c>
      <c r="C4178" t="s">
        <v>40</v>
      </c>
      <c r="D4178">
        <v>4.1543539999999997</v>
      </c>
      <c r="E4178">
        <v>0.55677169999999998</v>
      </c>
      <c r="F4178" t="s">
        <v>42</v>
      </c>
      <c r="G4178">
        <v>-305.1293</v>
      </c>
      <c r="H4178" s="1">
        <v>-4.7606580000000001E-6</v>
      </c>
      <c r="I4178">
        <v>-11.697419999999999</v>
      </c>
      <c r="J4178">
        <v>-305.1832</v>
      </c>
      <c r="K4178">
        <v>1.0447709999999999</v>
      </c>
      <c r="L4178">
        <v>7.0224299999999999</v>
      </c>
      <c r="M4178">
        <v>0.35112199999999999</v>
      </c>
      <c r="N4178">
        <v>-2.3176390000000002E-2</v>
      </c>
      <c r="O4178">
        <v>-0.93604310000000002</v>
      </c>
      <c r="P4178">
        <v>0.1568061</v>
      </c>
      <c r="Q4178">
        <v>6.7639320000000003E-2</v>
      </c>
      <c r="R4178">
        <v>-0.98531089999999999</v>
      </c>
      <c r="S4178">
        <v>2.0721440000000001E-2</v>
      </c>
      <c r="T4178">
        <v>-0.16840279999999999</v>
      </c>
      <c r="U4178">
        <v>-3.0576479999999999</v>
      </c>
      <c r="V4178">
        <v>0.20261599999999999</v>
      </c>
      <c r="W4178">
        <v>8.2424330000000004E-2</v>
      </c>
      <c r="X4178">
        <v>0.97578330000000002</v>
      </c>
      <c r="Y4178">
        <v>0.34452870000000002</v>
      </c>
      <c r="Z4178">
        <v>2.4931950000000001E-2</v>
      </c>
      <c r="AA4178">
        <v>0.93844459999999996</v>
      </c>
      <c r="AB4178">
        <v>25</v>
      </c>
      <c r="AC4178">
        <v>5.3899999999998699E-2</v>
      </c>
      <c r="AD4178">
        <v>-1.0447757606579999</v>
      </c>
      <c r="AE4178">
        <v>-18.719850000000001</v>
      </c>
      <c r="AF4178">
        <v>6.5039903351127597</v>
      </c>
      <c r="AG4178">
        <v>-1.0447757606579999</v>
      </c>
      <c r="AH4178">
        <v>17.491736451675401</v>
      </c>
      <c r="AI4178">
        <v>93.204343739387099</v>
      </c>
      <c r="AJ4178">
        <v>69.603246402582499</v>
      </c>
      <c r="AK4178">
        <v>18.691021661861299</v>
      </c>
      <c r="AL4178">
        <v>85.272070156599995</v>
      </c>
      <c r="AM4178">
        <v>78.269543770944694</v>
      </c>
      <c r="AN4178">
        <v>1.00000003109541</v>
      </c>
    </row>
    <row r="4179" spans="1:40" x14ac:dyDescent="0.25">
      <c r="A4179" t="str">
        <f>"20190305135713660"</f>
        <v>20190305135713660</v>
      </c>
      <c r="B4179" t="str">
        <f>"1551765433646808"</f>
        <v>1551765433646808</v>
      </c>
      <c r="C4179" t="s">
        <v>40</v>
      </c>
      <c r="D4179">
        <v>4.2053520000000004</v>
      </c>
      <c r="E4179">
        <v>0.5564713</v>
      </c>
      <c r="F4179" t="s">
        <v>42</v>
      </c>
      <c r="G4179">
        <v>-305.2373</v>
      </c>
      <c r="H4179" s="1">
        <v>-4.8373009999999996E-6</v>
      </c>
      <c r="I4179">
        <v>-11.528499999999999</v>
      </c>
      <c r="J4179">
        <v>-305.0641</v>
      </c>
      <c r="K4179">
        <v>1.0451509999999999</v>
      </c>
      <c r="L4179">
        <v>6.5775449999999998</v>
      </c>
      <c r="M4179">
        <v>0.3140695</v>
      </c>
      <c r="N4179">
        <v>-2.3044220000000001E-2</v>
      </c>
      <c r="O4179">
        <v>-0.94912030000000003</v>
      </c>
      <c r="P4179">
        <v>0.141313299999999</v>
      </c>
      <c r="Q4179">
        <v>6.9385740000000001E-2</v>
      </c>
      <c r="R4179">
        <v>-0.98753049999999998</v>
      </c>
      <c r="S4179">
        <v>-8.9111329999999999E-3</v>
      </c>
      <c r="T4179">
        <v>-0.1722236</v>
      </c>
      <c r="U4179">
        <v>-3.0579830000000001</v>
      </c>
      <c r="V4179">
        <v>0.1794656</v>
      </c>
      <c r="W4179">
        <v>8.519496E-2</v>
      </c>
      <c r="X4179">
        <v>0.9800683</v>
      </c>
      <c r="Y4179">
        <v>0.31660899999999997</v>
      </c>
      <c r="Z4179">
        <v>2.7482670000000001E-2</v>
      </c>
      <c r="AA4179">
        <v>0.9481579</v>
      </c>
      <c r="AB4179">
        <v>25</v>
      </c>
      <c r="AC4179">
        <v>-0.17320000000000799</v>
      </c>
      <c r="AD4179">
        <v>-1.0451558373009999</v>
      </c>
      <c r="AE4179">
        <v>-18.106045000000002</v>
      </c>
      <c r="AF4179">
        <v>5.8330637622656498</v>
      </c>
      <c r="AG4179">
        <v>-1.0451558373009999</v>
      </c>
      <c r="AH4179">
        <v>17.078067793656899</v>
      </c>
      <c r="AI4179">
        <v>93.314514661944102</v>
      </c>
      <c r="AJ4179">
        <v>71.142249069118094</v>
      </c>
      <c r="AK4179">
        <v>18.076984901903302</v>
      </c>
      <c r="AL4179">
        <v>85.112763969458697</v>
      </c>
      <c r="AM4179">
        <v>79.623223199689093</v>
      </c>
      <c r="AN4179">
        <v>0.99999997772882498</v>
      </c>
    </row>
    <row r="4180" spans="1:40" x14ac:dyDescent="0.25">
      <c r="A4180" t="str">
        <f>"20190305135713691"</f>
        <v>20190305135713691</v>
      </c>
      <c r="B4180" t="str">
        <f>"1551765433686825"</f>
        <v>1551765433686825</v>
      </c>
      <c r="C4180" t="s">
        <v>40</v>
      </c>
      <c r="D4180">
        <v>4.2807320000000004</v>
      </c>
      <c r="E4180">
        <v>0.55628659999999996</v>
      </c>
      <c r="F4180" t="s">
        <v>42</v>
      </c>
      <c r="G4180">
        <v>-305.39909999999998</v>
      </c>
      <c r="H4180" s="1">
        <v>-4.7016769999999998E-6</v>
      </c>
      <c r="I4180">
        <v>-12.0114</v>
      </c>
      <c r="J4180">
        <v>-304.9794</v>
      </c>
      <c r="K4180">
        <v>1.0455620000000001</v>
      </c>
      <c r="L4180">
        <v>6.2105709999999998</v>
      </c>
      <c r="M4180">
        <v>0.28379710000000002</v>
      </c>
      <c r="N4180">
        <v>-2.289072E-2</v>
      </c>
      <c r="O4180">
        <v>-0.9586112</v>
      </c>
      <c r="P4180">
        <v>0.1206594</v>
      </c>
      <c r="Q4180">
        <v>7.1133550000000004E-2</v>
      </c>
      <c r="R4180">
        <v>-0.99014230000000003</v>
      </c>
      <c r="S4180">
        <v>-5.5114749999999997E-2</v>
      </c>
      <c r="T4180">
        <v>-0.171927</v>
      </c>
      <c r="U4180">
        <v>-3.0578609999999999</v>
      </c>
      <c r="V4180">
        <v>0.16875309999999999</v>
      </c>
      <c r="W4180">
        <v>8.7401129999999994E-2</v>
      </c>
      <c r="X4180">
        <v>0.98177559999999997</v>
      </c>
      <c r="Y4180">
        <v>0.30081059999999998</v>
      </c>
      <c r="Z4180">
        <v>2.8438370000000001E-2</v>
      </c>
      <c r="AA4180">
        <v>0.95325979999999999</v>
      </c>
      <c r="AB4180">
        <v>25</v>
      </c>
      <c r="AC4180">
        <v>-0.41969999999997698</v>
      </c>
      <c r="AD4180">
        <v>-1.0455667016769901</v>
      </c>
      <c r="AE4180">
        <v>-18.221971</v>
      </c>
      <c r="AF4180">
        <v>5.5568462224655502</v>
      </c>
      <c r="AG4180">
        <v>-1.0455667016769901</v>
      </c>
      <c r="AH4180">
        <v>17.296304830602899</v>
      </c>
      <c r="AI4180">
        <v>93.293910550247404</v>
      </c>
      <c r="AJ4180">
        <v>72.189158885300998</v>
      </c>
      <c r="AK4180">
        <v>18.1970852188179</v>
      </c>
      <c r="AL4180">
        <v>84.985886224465006</v>
      </c>
      <c r="AM4180">
        <v>80.246984474460703</v>
      </c>
      <c r="AN4180">
        <v>0.999999947520122</v>
      </c>
    </row>
    <row r="4181" spans="1:40" x14ac:dyDescent="0.25">
      <c r="A4181" t="str">
        <f>"20190305135713713"</f>
        <v>20190305135713713</v>
      </c>
      <c r="B4181" t="str">
        <f>"1551765433706345"</f>
        <v>1551765433706345</v>
      </c>
      <c r="C4181" t="s">
        <v>40</v>
      </c>
      <c r="D4181">
        <v>4.283512</v>
      </c>
      <c r="E4181">
        <v>0.55596290000000004</v>
      </c>
      <c r="F4181" t="s">
        <v>42</v>
      </c>
      <c r="G4181">
        <v>-305.7054</v>
      </c>
      <c r="H4181" s="1">
        <v>-4.5763079999999999E-6</v>
      </c>
      <c r="I4181">
        <v>-12.53946</v>
      </c>
      <c r="J4181">
        <v>-304.92950000000002</v>
      </c>
      <c r="K4181">
        <v>1.0459039999999999</v>
      </c>
      <c r="L4181">
        <v>5.9632569999999996</v>
      </c>
      <c r="M4181">
        <v>0.26370979999999999</v>
      </c>
      <c r="N4181">
        <v>-2.2759499999999998E-2</v>
      </c>
      <c r="O4181">
        <v>-0.96433349999999995</v>
      </c>
      <c r="P4181">
        <v>0.111709199999999</v>
      </c>
      <c r="Q4181">
        <v>7.0749519999999996E-2</v>
      </c>
      <c r="R4181">
        <v>-0.99121950000000003</v>
      </c>
      <c r="S4181">
        <v>-0.1183472</v>
      </c>
      <c r="T4181">
        <v>-0.17044210000000001</v>
      </c>
      <c r="U4181">
        <v>-3.0565190000000002</v>
      </c>
      <c r="V4181">
        <v>0.15700339999999999</v>
      </c>
      <c r="W4181">
        <v>8.749709E-2</v>
      </c>
      <c r="X4181">
        <v>0.98371450000000005</v>
      </c>
      <c r="Y4181">
        <v>0.30060350000000002</v>
      </c>
      <c r="Z4181">
        <v>2.8552500000000001E-2</v>
      </c>
      <c r="AA4181">
        <v>0.9533218</v>
      </c>
      <c r="AB4181">
        <v>25</v>
      </c>
      <c r="AC4181">
        <v>-0.77589999999997805</v>
      </c>
      <c r="AD4181">
        <v>-1.045908576308</v>
      </c>
      <c r="AE4181">
        <v>-18.502717000000001</v>
      </c>
      <c r="AF4181">
        <v>5.6111344067964604</v>
      </c>
      <c r="AG4181">
        <v>-1.045908576308</v>
      </c>
      <c r="AH4181">
        <v>17.5866512440296</v>
      </c>
      <c r="AI4181">
        <v>93.242786409324495</v>
      </c>
      <c r="AJ4181">
        <v>72.304381874279997</v>
      </c>
      <c r="AK4181">
        <v>18.4897013512998</v>
      </c>
      <c r="AL4181">
        <v>84.980367306094806</v>
      </c>
      <c r="AM4181">
        <v>80.931924989330795</v>
      </c>
      <c r="AN4181">
        <v>1.0000000129401301</v>
      </c>
    </row>
    <row r="4182" spans="1:40" x14ac:dyDescent="0.25">
      <c r="A4182" t="str">
        <f>"20190305135713748"</f>
        <v>20190305135713748</v>
      </c>
      <c r="B4182" t="str">
        <f>"1551765433736600"</f>
        <v>1551765433736600</v>
      </c>
      <c r="C4182" t="s">
        <v>40</v>
      </c>
      <c r="D4182">
        <v>4.2654709999999998</v>
      </c>
      <c r="E4182">
        <v>0.55541499999999999</v>
      </c>
      <c r="F4182" t="s">
        <v>42</v>
      </c>
      <c r="G4182">
        <v>-305.79320000000001</v>
      </c>
      <c r="H4182" s="1">
        <v>-4.6659660000000002E-6</v>
      </c>
      <c r="I4182">
        <v>-12.32174</v>
      </c>
      <c r="J4182">
        <v>-304.86090000000002</v>
      </c>
      <c r="K4182">
        <v>1.0465249999999999</v>
      </c>
      <c r="L4182">
        <v>5.575043</v>
      </c>
      <c r="M4182">
        <v>0.2328132</v>
      </c>
      <c r="N4182">
        <v>-2.2517530000000001E-2</v>
      </c>
      <c r="O4182">
        <v>-0.97226089999999998</v>
      </c>
      <c r="P4182">
        <v>0.10316359999999999</v>
      </c>
      <c r="Q4182">
        <v>6.4595940000000004E-2</v>
      </c>
      <c r="R4182">
        <v>-0.99256460000000002</v>
      </c>
      <c r="S4182">
        <v>-0.14431759999999999</v>
      </c>
      <c r="T4182">
        <v>-0.174765899999999</v>
      </c>
      <c r="U4182">
        <v>-3.0553279999999998</v>
      </c>
      <c r="V4182">
        <v>0.133765299999999</v>
      </c>
      <c r="W4182">
        <v>8.2237069999999995E-2</v>
      </c>
      <c r="X4182">
        <v>0.987595</v>
      </c>
      <c r="Y4182">
        <v>0.2782154</v>
      </c>
      <c r="Z4182">
        <v>3.0971470000000001E-2</v>
      </c>
      <c r="AA4182">
        <v>0.96001919999999996</v>
      </c>
      <c r="AB4182">
        <v>25</v>
      </c>
      <c r="AC4182">
        <v>-0.93229999999999802</v>
      </c>
      <c r="AD4182">
        <v>-1.0465296659659999</v>
      </c>
      <c r="AE4182">
        <v>-17.896782999999999</v>
      </c>
      <c r="AF4182">
        <v>5.0570865133355101</v>
      </c>
      <c r="AG4182">
        <v>-1.0465296659659999</v>
      </c>
      <c r="AH4182">
        <v>17.129232508485298</v>
      </c>
      <c r="AI4182">
        <v>93.353458386720604</v>
      </c>
      <c r="AJ4182">
        <v>73.551747129075295</v>
      </c>
      <c r="AK4182">
        <v>17.8907784815211</v>
      </c>
      <c r="AL4182">
        <v>85.282835707333206</v>
      </c>
      <c r="AM4182">
        <v>82.286485232758807</v>
      </c>
      <c r="AN4182">
        <v>0.99999998759563702</v>
      </c>
    </row>
    <row r="4183" spans="1:40" x14ac:dyDescent="0.25">
      <c r="A4183" t="str">
        <f>"20190305135713776"</f>
        <v>20190305135713776</v>
      </c>
      <c r="B4183" t="str">
        <f>"1551765433766857"</f>
        <v>1551765433766857</v>
      </c>
      <c r="C4183" t="s">
        <v>40</v>
      </c>
      <c r="D4183">
        <v>4.2743979999999997</v>
      </c>
      <c r="E4183">
        <v>0.55474690000000004</v>
      </c>
      <c r="F4183" t="s">
        <v>42</v>
      </c>
      <c r="G4183">
        <v>-305.74650000000003</v>
      </c>
      <c r="H4183" s="1">
        <v>-5.2518399999999997E-6</v>
      </c>
      <c r="I4183">
        <v>-10.575799999999999</v>
      </c>
      <c r="J4183">
        <v>-304.81380000000001</v>
      </c>
      <c r="K4183">
        <v>1.0472159999999999</v>
      </c>
      <c r="L4183">
        <v>5.2571409999999998</v>
      </c>
      <c r="M4183">
        <v>0.20854320000000001</v>
      </c>
      <c r="N4183">
        <v>-2.2269290000000001E-2</v>
      </c>
      <c r="O4183">
        <v>-0.9777595</v>
      </c>
      <c r="P4183">
        <v>9.0015929999999994E-2</v>
      </c>
      <c r="Q4183">
        <v>6.2091300000000002E-2</v>
      </c>
      <c r="R4183">
        <v>-0.99400310000000003</v>
      </c>
      <c r="S4183">
        <v>-0.16738889999999901</v>
      </c>
      <c r="T4183">
        <v>-0.1978087</v>
      </c>
      <c r="U4183">
        <v>-3.0527340000000001</v>
      </c>
      <c r="V4183">
        <v>0.1220377</v>
      </c>
      <c r="W4183">
        <v>8.0133090000000004E-2</v>
      </c>
      <c r="X4183">
        <v>0.98928530000000003</v>
      </c>
      <c r="Y4183">
        <v>0.2615228</v>
      </c>
      <c r="Z4183">
        <v>3.8987250000000001E-2</v>
      </c>
      <c r="AA4183">
        <v>0.96440959999999998</v>
      </c>
      <c r="AB4183">
        <v>25</v>
      </c>
      <c r="AC4183">
        <v>-0.93270000000001096</v>
      </c>
      <c r="AD4183">
        <v>-1.0472212518399999</v>
      </c>
      <c r="AE4183">
        <v>-15.832941</v>
      </c>
      <c r="AF4183">
        <v>4.1965586535551598</v>
      </c>
      <c r="AG4183">
        <v>-1.0472212518399999</v>
      </c>
      <c r="AH4183">
        <v>15.223723627489401</v>
      </c>
      <c r="AI4183">
        <v>93.794032581175799</v>
      </c>
      <c r="AJ4183">
        <v>74.588643659900598</v>
      </c>
      <c r="AK4183">
        <v>15.8262294299436</v>
      </c>
      <c r="AL4183">
        <v>85.403784017713804</v>
      </c>
      <c r="AM4183">
        <v>82.967552209336603</v>
      </c>
      <c r="AN4183">
        <v>0.99999995856516299</v>
      </c>
    </row>
    <row r="4184" spans="1:40" x14ac:dyDescent="0.25">
      <c r="A4184" t="str">
        <f>"20190305135713801"</f>
        <v>20190305135713801</v>
      </c>
      <c r="B4184" t="str">
        <f>"1551765433796137"</f>
        <v>1551765433796137</v>
      </c>
      <c r="C4184" t="s">
        <v>40</v>
      </c>
      <c r="D4184">
        <v>4.3048719999999996</v>
      </c>
      <c r="E4184">
        <v>0.55417669999999997</v>
      </c>
      <c r="F4184" t="s">
        <v>42</v>
      </c>
      <c r="G4184">
        <v>-305.85599999999999</v>
      </c>
      <c r="H4184" s="1">
        <v>-5.3284130000000002E-6</v>
      </c>
      <c r="I4184">
        <v>-10.407830000000001</v>
      </c>
      <c r="J4184">
        <v>-304.77760000000001</v>
      </c>
      <c r="K4184">
        <v>1.047984</v>
      </c>
      <c r="L4184">
        <v>4.9746699999999997</v>
      </c>
      <c r="M4184">
        <v>0.18796009999999999</v>
      </c>
      <c r="N4184">
        <v>-2.2001719999999999E-2</v>
      </c>
      <c r="O4184">
        <v>-0.98193010000000003</v>
      </c>
      <c r="P4184">
        <v>8.0896549999999998E-2</v>
      </c>
      <c r="Q4184">
        <v>6.0748379999999998E-2</v>
      </c>
      <c r="R4184">
        <v>-0.99486969999999997</v>
      </c>
      <c r="S4184">
        <v>-0.20285030000000001</v>
      </c>
      <c r="T4184">
        <v>-0.2038422</v>
      </c>
      <c r="U4184">
        <v>-3.049194</v>
      </c>
      <c r="V4184">
        <v>0.1101244</v>
      </c>
      <c r="W4184">
        <v>7.9151070000000004E-2</v>
      </c>
      <c r="X4184">
        <v>0.99076120000000001</v>
      </c>
      <c r="Y4184">
        <v>0.25247350000000002</v>
      </c>
      <c r="Z4184">
        <v>4.1657739999999999E-2</v>
      </c>
      <c r="AA4184">
        <v>0.96670659999999997</v>
      </c>
      <c r="AB4184">
        <v>25</v>
      </c>
      <c r="AC4184">
        <v>-1.07839999999998</v>
      </c>
      <c r="AD4184">
        <v>-1.047989328413</v>
      </c>
      <c r="AE4184">
        <v>-15.3825</v>
      </c>
      <c r="AF4184">
        <v>3.9330007031938399</v>
      </c>
      <c r="AG4184">
        <v>-1.047989328413</v>
      </c>
      <c r="AH4184">
        <v>14.836924213343901</v>
      </c>
      <c r="AI4184">
        <v>93.905851988566596</v>
      </c>
      <c r="AJ4184">
        <v>75.153386097765605</v>
      </c>
      <c r="AK4184">
        <v>15.3850933138639</v>
      </c>
      <c r="AL4184">
        <v>85.460229178141304</v>
      </c>
      <c r="AM4184">
        <v>83.657533427039795</v>
      </c>
      <c r="AN4184">
        <v>1.0000000153914701</v>
      </c>
    </row>
    <row r="4185" spans="1:40" x14ac:dyDescent="0.25">
      <c r="A4185" t="str">
        <f>"20190305135713838"</f>
        <v>20190305135713838</v>
      </c>
      <c r="B4185" t="str">
        <f>"1551765433826393"</f>
        <v>1551765433826393</v>
      </c>
      <c r="C4185" t="s">
        <v>40</v>
      </c>
      <c r="D4185">
        <v>4.2659079999999996</v>
      </c>
      <c r="E4185">
        <v>0.55361919999999898</v>
      </c>
      <c r="F4185" t="s">
        <v>42</v>
      </c>
      <c r="G4185">
        <v>-305.93279999999999</v>
      </c>
      <c r="H4185" s="1">
        <v>-5.2915229999999997E-6</v>
      </c>
      <c r="I4185">
        <v>-10.556279999999999</v>
      </c>
      <c r="J4185">
        <v>-304.73450000000003</v>
      </c>
      <c r="K4185">
        <v>1.049234</v>
      </c>
      <c r="L4185">
        <v>4.5736999999999997</v>
      </c>
      <c r="M4185">
        <v>0.1605789</v>
      </c>
      <c r="N4185">
        <v>-2.1558290000000001E-2</v>
      </c>
      <c r="O4185">
        <v>-0.98678770000000005</v>
      </c>
      <c r="P4185">
        <v>7.8677070000000002E-2</v>
      </c>
      <c r="Q4185">
        <v>6.2631220000000001E-2</v>
      </c>
      <c r="R4185">
        <v>-0.99493089999999995</v>
      </c>
      <c r="S4185">
        <v>-0.22659299999999999</v>
      </c>
      <c r="T4185">
        <v>-0.20556650000000001</v>
      </c>
      <c r="U4185">
        <v>-3.0464479999999998</v>
      </c>
      <c r="V4185">
        <v>8.449885E-2</v>
      </c>
      <c r="W4185">
        <v>8.1694359999999994E-2</v>
      </c>
      <c r="X4185">
        <v>0.99306899999999998</v>
      </c>
      <c r="Y4185">
        <v>0.23308580000000001</v>
      </c>
      <c r="Z4185">
        <v>4.3340700000000003E-2</v>
      </c>
      <c r="AA4185">
        <v>0.97148979999999996</v>
      </c>
      <c r="AB4185">
        <v>24</v>
      </c>
      <c r="AC4185">
        <v>-1.19829999999996</v>
      </c>
      <c r="AD4185">
        <v>-1.049239291523</v>
      </c>
      <c r="AE4185">
        <v>-15.1299799999999</v>
      </c>
      <c r="AF4185">
        <v>3.5956778220232</v>
      </c>
      <c r="AG4185">
        <v>-1.049239291523</v>
      </c>
      <c r="AH4185">
        <v>14.6709644156763</v>
      </c>
      <c r="AI4185">
        <v>93.973512531734997</v>
      </c>
      <c r="AJ4185">
        <v>76.228941067935295</v>
      </c>
      <c r="AK4185">
        <v>15.141565274987499</v>
      </c>
      <c r="AL4185">
        <v>85.314035889748794</v>
      </c>
      <c r="AM4185">
        <v>85.136497178860907</v>
      </c>
      <c r="AN4185">
        <v>1.00000003143406</v>
      </c>
    </row>
    <row r="4186" spans="1:40" x14ac:dyDescent="0.25">
      <c r="A4186" t="str">
        <f>"20190305135713883"</f>
        <v>20190305135713883</v>
      </c>
      <c r="B4186" t="str">
        <f>"1551765433876169"</f>
        <v>1551765433876169</v>
      </c>
      <c r="C4186" t="s">
        <v>40</v>
      </c>
      <c r="D4186">
        <v>4.281072</v>
      </c>
      <c r="E4186">
        <v>0.55299089999999995</v>
      </c>
      <c r="F4186" t="s">
        <v>42</v>
      </c>
      <c r="G4186">
        <v>-305.95609999999999</v>
      </c>
      <c r="H4186" s="1">
        <v>-4.9375039999999998E-6</v>
      </c>
      <c r="I4186">
        <v>-11.60876</v>
      </c>
      <c r="J4186">
        <v>-304.69200000000001</v>
      </c>
      <c r="K4186">
        <v>1.050948</v>
      </c>
      <c r="L4186">
        <v>4.0698239999999997</v>
      </c>
      <c r="M4186">
        <v>0.12986239999999999</v>
      </c>
      <c r="N4186">
        <v>-2.0944359999999999E-2</v>
      </c>
      <c r="O4186">
        <v>-0.99131089999999999</v>
      </c>
      <c r="P4186">
        <v>7.1735960000000001E-2</v>
      </c>
      <c r="Q4186">
        <v>6.7488019999999996E-2</v>
      </c>
      <c r="R4186">
        <v>-0.99513799999999997</v>
      </c>
      <c r="S4186">
        <v>-0.22994999999999999</v>
      </c>
      <c r="T4186">
        <v>-0.1974901</v>
      </c>
      <c r="U4186">
        <v>-3.0458980000000002</v>
      </c>
      <c r="V4186">
        <v>6.0258109999999997E-2</v>
      </c>
      <c r="W4186">
        <v>8.6897619999999995E-2</v>
      </c>
      <c r="X4186">
        <v>0.99439319999999998</v>
      </c>
      <c r="Y4186">
        <v>0.20391210000000001</v>
      </c>
      <c r="Z4186">
        <v>4.2092459999999998E-2</v>
      </c>
      <c r="AA4186">
        <v>0.97808390000000001</v>
      </c>
      <c r="AB4186">
        <v>24</v>
      </c>
      <c r="AC4186">
        <v>-1.26409999999998</v>
      </c>
      <c r="AD4186">
        <v>-1.0509529375040001</v>
      </c>
      <c r="AE4186">
        <v>-15.678583999999899</v>
      </c>
      <c r="AF4186">
        <v>3.27527465311897</v>
      </c>
      <c r="AG4186">
        <v>-1.0509529375040001</v>
      </c>
      <c r="AH4186">
        <v>15.3132041481561</v>
      </c>
      <c r="AI4186">
        <v>93.839509390492793</v>
      </c>
      <c r="AJ4186">
        <v>77.927160273543805</v>
      </c>
      <c r="AK4186">
        <v>15.6947808972701</v>
      </c>
      <c r="AL4186">
        <v>85.014845849718895</v>
      </c>
      <c r="AM4186">
        <v>86.532238303150606</v>
      </c>
      <c r="AN4186">
        <v>1.00000003619433</v>
      </c>
    </row>
    <row r="4187" spans="1:40" x14ac:dyDescent="0.25">
      <c r="A4187" t="str">
        <f>"20190305135713927"</f>
        <v>20190305135713927</v>
      </c>
      <c r="B4187" t="str">
        <f>"1551765433916185"</f>
        <v>1551765433916185</v>
      </c>
      <c r="C4187" t="s">
        <v>40</v>
      </c>
      <c r="D4187">
        <v>4.3073940000000004</v>
      </c>
      <c r="E4187">
        <v>0.552594699999999</v>
      </c>
      <c r="F4187" t="s">
        <v>42</v>
      </c>
      <c r="G4187">
        <v>-306.05329999999998</v>
      </c>
      <c r="H4187" s="1">
        <v>-4.5313740000000001E-6</v>
      </c>
      <c r="I4187">
        <v>-12.85286</v>
      </c>
      <c r="J4187">
        <v>-304.66140000000001</v>
      </c>
      <c r="K4187">
        <v>1.052549</v>
      </c>
      <c r="L4187">
        <v>3.5883180000000001</v>
      </c>
      <c r="M4187">
        <v>0.10468710000000001</v>
      </c>
      <c r="N4187">
        <v>-2.029779E-2</v>
      </c>
      <c r="O4187">
        <v>-0.99429820000000002</v>
      </c>
      <c r="P4187">
        <v>6.6517549999999995E-2</v>
      </c>
      <c r="Q4187">
        <v>7.6725100000000004E-2</v>
      </c>
      <c r="R4187">
        <v>-0.99483109999999997</v>
      </c>
      <c r="S4187">
        <v>-0.2449646</v>
      </c>
      <c r="T4187">
        <v>-0.18911249999999999</v>
      </c>
      <c r="U4187">
        <v>-3.0451350000000001</v>
      </c>
      <c r="V4187">
        <v>3.9986760000000003E-2</v>
      </c>
      <c r="W4187">
        <v>9.6136470000000002E-2</v>
      </c>
      <c r="X4187">
        <v>0.99456469999999997</v>
      </c>
      <c r="Y4187">
        <v>0.183895</v>
      </c>
      <c r="Z4187">
        <v>4.0488730000000001E-2</v>
      </c>
      <c r="AA4187">
        <v>0.98211159999999997</v>
      </c>
      <c r="AB4187">
        <v>24</v>
      </c>
      <c r="AC4187">
        <v>-1.3918999999999599</v>
      </c>
      <c r="AD4187">
        <v>-1.052553531374</v>
      </c>
      <c r="AE4187">
        <v>-16.441178000000001</v>
      </c>
      <c r="AF4187">
        <v>3.0931951272263301</v>
      </c>
      <c r="AG4187">
        <v>-1.052553531374</v>
      </c>
      <c r="AH4187">
        <v>16.139379710843102</v>
      </c>
      <c r="AI4187">
        <v>93.664831011666706</v>
      </c>
      <c r="AJ4187">
        <v>79.150532230418406</v>
      </c>
      <c r="AK4187">
        <v>16.466793934530099</v>
      </c>
      <c r="AL4187">
        <v>84.483266128827196</v>
      </c>
      <c r="AM4187">
        <v>87.697646718567498</v>
      </c>
      <c r="AN4187">
        <v>1.0000000521627199</v>
      </c>
    </row>
    <row r="4188" spans="1:40" x14ac:dyDescent="0.25">
      <c r="A4188" t="str">
        <f>"20190305135713971"</f>
        <v>20190305135713971</v>
      </c>
      <c r="B4188" t="str">
        <f>"1551765433966937"</f>
        <v>1551765433966937</v>
      </c>
      <c r="C4188" t="s">
        <v>40</v>
      </c>
      <c r="D4188">
        <v>4.330241</v>
      </c>
      <c r="E4188">
        <v>0.55222539999999998</v>
      </c>
      <c r="F4188" t="s">
        <v>42</v>
      </c>
      <c r="G4188">
        <v>-306.24459999999999</v>
      </c>
      <c r="H4188" s="1">
        <v>-3.742218E-6</v>
      </c>
      <c r="I4188">
        <v>-15.27149</v>
      </c>
      <c r="J4188">
        <v>-304.63799999999998</v>
      </c>
      <c r="K4188">
        <v>1.0542389999999999</v>
      </c>
      <c r="L4188">
        <v>3.1084900000000002</v>
      </c>
      <c r="M4188">
        <v>8.4479440000000003E-2</v>
      </c>
      <c r="N4188">
        <v>-1.9549489999999999E-2</v>
      </c>
      <c r="O4188">
        <v>-0.99623349999999999</v>
      </c>
      <c r="P4188">
        <v>7.0708759999999996E-2</v>
      </c>
      <c r="Q4188">
        <v>7.521593E-2</v>
      </c>
      <c r="R4188">
        <v>-0.99465749999999997</v>
      </c>
      <c r="S4188">
        <v>-0.25567630000000002</v>
      </c>
      <c r="T4188">
        <v>-0.16998260000000001</v>
      </c>
      <c r="U4188">
        <v>-3.045776</v>
      </c>
      <c r="V4188">
        <v>1.5110459999999999E-2</v>
      </c>
      <c r="W4188">
        <v>9.4462790000000005E-2</v>
      </c>
      <c r="X4188">
        <v>0.99541369999999896</v>
      </c>
      <c r="Y4188">
        <v>0.16737439999999901</v>
      </c>
      <c r="Z4188">
        <v>3.5335020000000002E-2</v>
      </c>
      <c r="AA4188">
        <v>0.98526000000000002</v>
      </c>
      <c r="AB4188">
        <v>24</v>
      </c>
      <c r="AC4188">
        <v>-1.60660000000001</v>
      </c>
      <c r="AD4188">
        <v>-1.0542427422180001</v>
      </c>
      <c r="AE4188">
        <v>-18.37998</v>
      </c>
      <c r="AF4188">
        <v>3.14361769995012</v>
      </c>
      <c r="AG4188">
        <v>-1.0542427422180001</v>
      </c>
      <c r="AH4188">
        <v>18.1193399408318</v>
      </c>
      <c r="AI4188">
        <v>93.280998189233799</v>
      </c>
      <c r="AJ4188">
        <v>80.157434994474698</v>
      </c>
      <c r="AK4188">
        <v>18.420212808064399</v>
      </c>
      <c r="AL4188">
        <v>84.579599042558797</v>
      </c>
      <c r="AM4188">
        <v>89.130312258267494</v>
      </c>
      <c r="AN4188">
        <v>0.99999998942184198</v>
      </c>
    </row>
    <row r="4189" spans="1:40" x14ac:dyDescent="0.25">
      <c r="A4189" t="str">
        <f>"20190305135714001"</f>
        <v>20190305135714001</v>
      </c>
      <c r="B4189" t="str">
        <f>"1551765433996216"</f>
        <v>1551765433996216</v>
      </c>
      <c r="C4189" t="s">
        <v>40</v>
      </c>
      <c r="D4189">
        <v>4.3083980000000004</v>
      </c>
      <c r="E4189">
        <v>0.55205930000000003</v>
      </c>
      <c r="F4189" t="s">
        <v>42</v>
      </c>
      <c r="G4189">
        <v>-306.04579999999999</v>
      </c>
      <c r="H4189" s="1">
        <v>-3.8949340000000003E-6</v>
      </c>
      <c r="I4189">
        <v>-14.719110000000001</v>
      </c>
      <c r="J4189">
        <v>-304.62450000000001</v>
      </c>
      <c r="K4189">
        <v>1.055531</v>
      </c>
      <c r="L4189">
        <v>2.7859500000000001</v>
      </c>
      <c r="M4189">
        <v>7.3894630000000003E-2</v>
      </c>
      <c r="N4189">
        <v>-1.9021710000000001E-2</v>
      </c>
      <c r="O4189">
        <v>-0.99708470000000005</v>
      </c>
      <c r="P4189">
        <v>7.0354310000000003E-2</v>
      </c>
      <c r="Q4189">
        <v>7.1507979999999999E-2</v>
      </c>
      <c r="R4189">
        <v>-0.99495630000000002</v>
      </c>
      <c r="S4189">
        <v>-0.2406006</v>
      </c>
      <c r="T4189">
        <v>-0.18017639999999999</v>
      </c>
      <c r="U4189">
        <v>-3.0468440000000001</v>
      </c>
      <c r="V4189">
        <v>4.5329619999999998E-3</v>
      </c>
      <c r="W4189">
        <v>9.0417540000000005E-2</v>
      </c>
      <c r="X4189">
        <v>0.99589369999999999</v>
      </c>
      <c r="Y4189">
        <v>0.15201099999999901</v>
      </c>
      <c r="Z4189">
        <v>3.930177E-2</v>
      </c>
      <c r="AA4189">
        <v>0.98759710000000001</v>
      </c>
      <c r="AB4189">
        <v>24</v>
      </c>
      <c r="AC4189">
        <v>-1.42129999999997</v>
      </c>
      <c r="AD4189">
        <v>-1.055534894934</v>
      </c>
      <c r="AE4189">
        <v>-17.50506</v>
      </c>
      <c r="AF4189">
        <v>2.7014188581848102</v>
      </c>
      <c r="AG4189">
        <v>-1.055534894934</v>
      </c>
      <c r="AH4189">
        <v>17.289686612658201</v>
      </c>
      <c r="AI4189">
        <v>93.4517937388039</v>
      </c>
      <c r="AJ4189">
        <v>81.119647113411204</v>
      </c>
      <c r="AK4189">
        <v>17.531260106612699</v>
      </c>
      <c r="AL4189">
        <v>84.812372058437205</v>
      </c>
      <c r="AM4189">
        <v>89.739211325734999</v>
      </c>
      <c r="AN4189">
        <v>1.0000000704919101</v>
      </c>
    </row>
    <row r="4190" spans="1:40" x14ac:dyDescent="0.25">
      <c r="A4190" t="str">
        <f>"20190305135714024"</f>
        <v>20190305135714024</v>
      </c>
      <c r="B4190" t="str">
        <f>"1551765434016712"</f>
        <v>1551765434016712</v>
      </c>
      <c r="C4190" t="s">
        <v>40</v>
      </c>
      <c r="D4190">
        <v>4.3066329999999997</v>
      </c>
      <c r="E4190">
        <v>0.55193800000000004</v>
      </c>
      <c r="F4190" t="s">
        <v>42</v>
      </c>
      <c r="G4190">
        <v>-305.9117</v>
      </c>
      <c r="H4190" s="1">
        <v>-4.2392839999999998E-6</v>
      </c>
      <c r="I4190">
        <v>-13.63733</v>
      </c>
      <c r="J4190">
        <v>-304.61509999999998</v>
      </c>
      <c r="K4190">
        <v>1.0564309999999999</v>
      </c>
      <c r="L4190">
        <v>2.5451969999999999</v>
      </c>
      <c r="M4190">
        <v>6.7252080000000006E-2</v>
      </c>
      <c r="N4190">
        <v>-1.8651000000000001E-2</v>
      </c>
      <c r="O4190">
        <v>-0.9975617</v>
      </c>
      <c r="P4190">
        <v>7.5399469999999996E-2</v>
      </c>
      <c r="Q4190">
        <v>6.7118280000000002E-2</v>
      </c>
      <c r="R4190">
        <v>-0.99489209999999995</v>
      </c>
      <c r="S4190">
        <v>-0.23873900000000001</v>
      </c>
      <c r="T4190">
        <v>-0.19577939999999999</v>
      </c>
      <c r="U4190">
        <v>-3.046173</v>
      </c>
      <c r="V4190">
        <v>-7.40433699999999E-3</v>
      </c>
      <c r="W4190">
        <v>8.5797849999999995E-2</v>
      </c>
      <c r="X4190">
        <v>0.99628510000000003</v>
      </c>
      <c r="Y4190">
        <v>0.14482400000000001</v>
      </c>
      <c r="Z4190">
        <v>4.4812419999999999E-2</v>
      </c>
      <c r="AA4190">
        <v>0.98844209999999999</v>
      </c>
      <c r="AB4190">
        <v>24</v>
      </c>
      <c r="AC4190">
        <v>-1.29660000000001</v>
      </c>
      <c r="AD4190">
        <v>-1.056435239284</v>
      </c>
      <c r="AE4190">
        <v>-16.182527</v>
      </c>
      <c r="AF4190">
        <v>2.3721164098727501</v>
      </c>
      <c r="AG4190">
        <v>-1.056435239284</v>
      </c>
      <c r="AH4190">
        <v>15.990947537218901</v>
      </c>
      <c r="AI4190">
        <v>93.738933097101906</v>
      </c>
      <c r="AJ4190">
        <v>81.562207556999795</v>
      </c>
      <c r="AK4190">
        <v>16.200413414937099</v>
      </c>
      <c r="AL4190">
        <v>85.078094316818095</v>
      </c>
      <c r="AM4190">
        <v>90.425811296087005</v>
      </c>
      <c r="AN4190">
        <v>1.0000000478765101</v>
      </c>
    </row>
    <row r="4191" spans="1:40" x14ac:dyDescent="0.25">
      <c r="A4191" t="str">
        <f>"20190305135714062"</f>
        <v>20190305135714062</v>
      </c>
      <c r="B4191" t="str">
        <f>"1551765434056730"</f>
        <v>1551765434056730</v>
      </c>
      <c r="C4191" t="s">
        <v>40</v>
      </c>
      <c r="D4191">
        <v>4.2175960000000003</v>
      </c>
      <c r="E4191">
        <v>0.55204319999999996</v>
      </c>
      <c r="F4191" t="s">
        <v>42</v>
      </c>
      <c r="G4191">
        <v>-305.71319999999997</v>
      </c>
      <c r="H4191" s="1">
        <v>-4.5620300000000001E-6</v>
      </c>
      <c r="I4191">
        <v>-12.58545</v>
      </c>
      <c r="J4191">
        <v>-304.59960000000001</v>
      </c>
      <c r="K4191">
        <v>1.0578829999999999</v>
      </c>
      <c r="L4191">
        <v>2.1493530000000001</v>
      </c>
      <c r="M4191">
        <v>5.9315800000000002E-2</v>
      </c>
      <c r="N4191">
        <v>-1.8065609999999999E-2</v>
      </c>
      <c r="O4191">
        <v>-0.99807570000000001</v>
      </c>
      <c r="P4191">
        <v>8.7862540000000003E-2</v>
      </c>
      <c r="Q4191">
        <v>5.6747199999999998E-2</v>
      </c>
      <c r="R4191">
        <v>-0.99451480000000003</v>
      </c>
      <c r="S4191">
        <v>-0.22109989999999999</v>
      </c>
      <c r="T4191">
        <v>-0.21271010000000001</v>
      </c>
      <c r="U4191">
        <v>-3.0465089999999999</v>
      </c>
      <c r="V4191">
        <v>-2.8191049999999999E-2</v>
      </c>
      <c r="W4191">
        <v>7.4963580000000002E-2</v>
      </c>
      <c r="X4191">
        <v>0.99678770000000005</v>
      </c>
      <c r="Y4191">
        <v>0.13122790000000001</v>
      </c>
      <c r="Z4191">
        <v>5.1003819999999998E-2</v>
      </c>
      <c r="AA4191">
        <v>0.99003929999999996</v>
      </c>
      <c r="AB4191">
        <v>24</v>
      </c>
      <c r="AC4191">
        <v>-1.11359999999996</v>
      </c>
      <c r="AD4191">
        <v>-1.0578875620299999</v>
      </c>
      <c r="AE4191">
        <v>-14.734802999999999</v>
      </c>
      <c r="AF4191">
        <v>1.9756621625428501</v>
      </c>
      <c r="AG4191">
        <v>-1.0578875620299999</v>
      </c>
      <c r="AH4191">
        <v>14.5681200527697</v>
      </c>
      <c r="AI4191">
        <v>94.115791165958498</v>
      </c>
      <c r="AJ4191">
        <v>82.2769235091517</v>
      </c>
      <c r="AK4191">
        <v>14.739487404462601</v>
      </c>
      <c r="AL4191">
        <v>85.700870282343303</v>
      </c>
      <c r="AM4191">
        <v>91.620001667664894</v>
      </c>
      <c r="AN4191">
        <v>0.99999999624890401</v>
      </c>
    </row>
    <row r="4192" spans="1:40" x14ac:dyDescent="0.25">
      <c r="A4192" t="str">
        <f>"20190305135714105"</f>
        <v>20190305135714105</v>
      </c>
      <c r="B4192" t="str">
        <f>"1551765434096748"</f>
        <v>1551765434096748</v>
      </c>
      <c r="C4192" t="s">
        <v>40</v>
      </c>
      <c r="D4192">
        <v>4.2753899999999998</v>
      </c>
      <c r="E4192">
        <v>0.55225249999999904</v>
      </c>
      <c r="F4192" t="s">
        <v>41</v>
      </c>
      <c r="G4192">
        <v>-304.65019999999998</v>
      </c>
      <c r="H4192">
        <v>0.99140050000000002</v>
      </c>
      <c r="I4192">
        <v>1.3189200000000001</v>
      </c>
      <c r="J4192">
        <v>-304.58</v>
      </c>
      <c r="K4192">
        <v>1.0596179999999999</v>
      </c>
      <c r="L4192">
        <v>1.6797789999999999</v>
      </c>
      <c r="M4192">
        <v>5.4469169999999997E-2</v>
      </c>
      <c r="N4192">
        <v>-1.740885E-2</v>
      </c>
      <c r="O4192">
        <v>-0.99836389999999997</v>
      </c>
      <c r="P4192">
        <v>0.1021044</v>
      </c>
      <c r="Q4192">
        <v>5.5072749999999997E-2</v>
      </c>
      <c r="R4192">
        <v>-0.99324829999999997</v>
      </c>
      <c r="S4192">
        <v>-0.18508910000000001</v>
      </c>
      <c r="T4192">
        <v>-0.24384980000000001</v>
      </c>
      <c r="U4192">
        <v>-3.0468139999999999</v>
      </c>
      <c r="V4192">
        <v>-4.7647200000000001E-2</v>
      </c>
      <c r="W4192">
        <v>7.2555930000000005E-2</v>
      </c>
      <c r="X4192">
        <v>0.99622560000000004</v>
      </c>
      <c r="Y4192">
        <v>0.1147097</v>
      </c>
      <c r="Z4192">
        <v>6.187144E-2</v>
      </c>
      <c r="AA4192">
        <v>0.99147039999999997</v>
      </c>
      <c r="AB4192">
        <v>24</v>
      </c>
      <c r="AC4192">
        <v>-7.0199999999999804E-2</v>
      </c>
      <c r="AD4192">
        <v>-6.82175E-2</v>
      </c>
      <c r="AE4192">
        <v>-0.36085899999999999</v>
      </c>
      <c r="AF4192">
        <v>8.6766714706453293E-2</v>
      </c>
      <c r="AG4192">
        <v>-6.82175E-2</v>
      </c>
      <c r="AH4192">
        <v>0.34463184324513901</v>
      </c>
      <c r="AI4192">
        <v>100.86592716330701</v>
      </c>
      <c r="AJ4192">
        <v>75.868542889592703</v>
      </c>
      <c r="AK4192">
        <v>0.36187456040145</v>
      </c>
      <c r="AL4192">
        <v>85.8391954429121</v>
      </c>
      <c r="AM4192">
        <v>92.738239926621603</v>
      </c>
      <c r="AN4192">
        <v>1.0000000323706799</v>
      </c>
    </row>
    <row r="4193" spans="1:40" x14ac:dyDescent="0.25">
      <c r="A4193" t="str">
        <f>"20190305135714133"</f>
        <v>20190305135714133</v>
      </c>
      <c r="B4193" t="str">
        <f>"1551765434127001"</f>
        <v>1551765434127001</v>
      </c>
      <c r="C4193" t="s">
        <v>40</v>
      </c>
      <c r="D4193">
        <v>4.2236830000000003</v>
      </c>
      <c r="E4193">
        <v>0.55232579999999998</v>
      </c>
      <c r="F4193" t="s">
        <v>41</v>
      </c>
      <c r="G4193">
        <v>-304.6173</v>
      </c>
      <c r="H4193">
        <v>0.99678540000000004</v>
      </c>
      <c r="I4193">
        <v>0.89625319999999997</v>
      </c>
      <c r="J4193">
        <v>-304.56659999999999</v>
      </c>
      <c r="K4193">
        <v>1.0605309999999999</v>
      </c>
      <c r="L4193">
        <v>1.3956599999999999</v>
      </c>
      <c r="M4193">
        <v>5.3503700000000001E-2</v>
      </c>
      <c r="N4193">
        <v>-1.7072130000000001E-2</v>
      </c>
      <c r="O4193">
        <v>-0.99842160000000002</v>
      </c>
      <c r="P4193">
        <v>0.1106391</v>
      </c>
      <c r="Q4193">
        <v>5.8396910000000003E-2</v>
      </c>
      <c r="R4193">
        <v>-0.99214329999999995</v>
      </c>
      <c r="S4193">
        <v>-0.1443787</v>
      </c>
      <c r="T4193">
        <v>-0.2444576</v>
      </c>
      <c r="U4193">
        <v>-3.0487980000000001</v>
      </c>
      <c r="V4193">
        <v>-5.7347479999999999E-2</v>
      </c>
      <c r="W4193">
        <v>7.5435260000000004E-2</v>
      </c>
      <c r="X4193">
        <v>0.9955003</v>
      </c>
      <c r="Y4193">
        <v>0.1005105</v>
      </c>
      <c r="Z4193">
        <v>6.2456030000000003E-2</v>
      </c>
      <c r="AA4193">
        <v>0.99297369999999996</v>
      </c>
      <c r="AB4193">
        <v>24</v>
      </c>
      <c r="AC4193">
        <v>-5.0700000000006101E-2</v>
      </c>
      <c r="AD4193">
        <v>-6.3745599999999902E-2</v>
      </c>
      <c r="AE4193">
        <v>-0.49940679999999998</v>
      </c>
      <c r="AF4193">
        <v>7.6123762753946694E-2</v>
      </c>
      <c r="AG4193">
        <v>-6.3745599999999902E-2</v>
      </c>
      <c r="AH4193">
        <v>0.48810680955601699</v>
      </c>
      <c r="AI4193">
        <v>97.352691859914501</v>
      </c>
      <c r="AJ4193">
        <v>81.135718952019801</v>
      </c>
      <c r="AK4193">
        <v>0.49810298765429301</v>
      </c>
      <c r="AL4193">
        <v>85.673768414350306</v>
      </c>
      <c r="AM4193">
        <v>93.296976553316</v>
      </c>
      <c r="AN4193">
        <v>1.0000000296068501</v>
      </c>
    </row>
    <row r="4194" spans="1:40" x14ac:dyDescent="0.25">
      <c r="A4194" t="str">
        <f>"20190305135714156"</f>
        <v>20190305135714156</v>
      </c>
      <c r="B4194" t="str">
        <f>"1551765434147497"</f>
        <v>1551765434147497</v>
      </c>
      <c r="C4194" t="s">
        <v>40</v>
      </c>
      <c r="D4194">
        <v>4.2885410000000004</v>
      </c>
      <c r="E4194">
        <v>0.55239899999999997</v>
      </c>
      <c r="F4194" t="s">
        <v>41</v>
      </c>
      <c r="G4194">
        <v>-304.60169999999999</v>
      </c>
      <c r="H4194">
        <v>0.99018569999999995</v>
      </c>
      <c r="I4194">
        <v>0.48471989999999998</v>
      </c>
      <c r="J4194">
        <v>-304.55380000000002</v>
      </c>
      <c r="K4194">
        <v>1.061199</v>
      </c>
      <c r="L4194">
        <v>1.1497189999999999</v>
      </c>
      <c r="M4194">
        <v>5.3834449999999999E-2</v>
      </c>
      <c r="N4194">
        <v>-1.6809770000000002E-2</v>
      </c>
      <c r="O4194">
        <v>-0.99840859999999998</v>
      </c>
      <c r="P4194">
        <v>0.11876399999999999</v>
      </c>
      <c r="Q4194">
        <v>6.402244E-2</v>
      </c>
      <c r="R4194">
        <v>-0.99085659999999998</v>
      </c>
      <c r="S4194">
        <v>-0.1169434</v>
      </c>
      <c r="T4194">
        <v>-0.23565040000000001</v>
      </c>
      <c r="U4194">
        <v>-3.050659</v>
      </c>
      <c r="V4194">
        <v>-6.5323320000000004E-2</v>
      </c>
      <c r="W4194">
        <v>8.0686809999999998E-2</v>
      </c>
      <c r="X4194">
        <v>0.9945967</v>
      </c>
      <c r="Y4194">
        <v>9.1910870000000006E-2</v>
      </c>
      <c r="Z4194">
        <v>5.9869810000000002E-2</v>
      </c>
      <c r="AA4194">
        <v>0.99396580000000001</v>
      </c>
      <c r="AB4194">
        <v>23</v>
      </c>
      <c r="AC4194">
        <v>-4.7899999999970001E-2</v>
      </c>
      <c r="AD4194">
        <v>-7.1013300000000001E-2</v>
      </c>
      <c r="AE4194">
        <v>-0.66499909999999995</v>
      </c>
      <c r="AF4194">
        <v>8.2697262411074293E-2</v>
      </c>
      <c r="AG4194">
        <v>-7.1013300000000001E-2</v>
      </c>
      <c r="AH4194">
        <v>0.65403567746162306</v>
      </c>
      <c r="AI4194">
        <v>96.148162330620593</v>
      </c>
      <c r="AJ4194">
        <v>82.793676020621803</v>
      </c>
      <c r="AK4194">
        <v>0.66305685531473202</v>
      </c>
      <c r="AL4194">
        <v>85.371955539174394</v>
      </c>
      <c r="AM4194">
        <v>93.757686725780104</v>
      </c>
      <c r="AN4194">
        <v>1.00000004654734</v>
      </c>
    </row>
    <row r="4195" spans="1:40" x14ac:dyDescent="0.25">
      <c r="A4195" t="str">
        <f>"20190305135714195"</f>
        <v>20190305135714195</v>
      </c>
      <c r="B4195" t="str">
        <f>"1551765434186537"</f>
        <v>1551765434186537</v>
      </c>
      <c r="C4195" t="s">
        <v>40</v>
      </c>
      <c r="D4195">
        <v>4.2827500000000001</v>
      </c>
      <c r="E4195">
        <v>0.55270730000000001</v>
      </c>
      <c r="F4195" t="s">
        <v>41</v>
      </c>
      <c r="G4195">
        <v>-304.58</v>
      </c>
      <c r="H4195">
        <v>0.99787709999999996</v>
      </c>
      <c r="I4195">
        <v>0.272155599999999</v>
      </c>
      <c r="J4195">
        <v>-304.53070000000002</v>
      </c>
      <c r="K4195">
        <v>1.062092</v>
      </c>
      <c r="L4195">
        <v>0.7514343</v>
      </c>
      <c r="M4195">
        <v>5.4475129999999997E-2</v>
      </c>
      <c r="N4195">
        <v>-1.7086549999999999E-2</v>
      </c>
      <c r="O4195">
        <v>-0.99836899999999995</v>
      </c>
      <c r="P4195">
        <v>0.1341164</v>
      </c>
      <c r="Q4195">
        <v>7.1526709999999993E-2</v>
      </c>
      <c r="R4195">
        <v>-0.98838099999999995</v>
      </c>
      <c r="S4195">
        <v>-9.0789789999999995E-2</v>
      </c>
      <c r="T4195">
        <v>-0.2203494</v>
      </c>
      <c r="U4195">
        <v>-3.0527950000000001</v>
      </c>
      <c r="V4195">
        <v>-8.0296870000000006E-2</v>
      </c>
      <c r="W4195">
        <v>8.8296020000000003E-2</v>
      </c>
      <c r="X4195">
        <v>0.99285259999999997</v>
      </c>
      <c r="Y4195">
        <v>8.4032819999999994E-2</v>
      </c>
      <c r="Z4195">
        <v>5.4622329999999997E-2</v>
      </c>
      <c r="AA4195">
        <v>0.99496479999999998</v>
      </c>
      <c r="AB4195">
        <v>23</v>
      </c>
      <c r="AC4195">
        <v>-4.9299999999959702E-2</v>
      </c>
      <c r="AD4195">
        <v>-6.4214899999999894E-2</v>
      </c>
      <c r="AE4195">
        <v>-0.4792787</v>
      </c>
      <c r="AF4195">
        <v>7.4024433721229604E-2</v>
      </c>
      <c r="AG4195">
        <v>-6.4214899999999894E-2</v>
      </c>
      <c r="AH4195">
        <v>0.46757511850713901</v>
      </c>
      <c r="AI4195">
        <v>97.724829889998404</v>
      </c>
      <c r="AJ4195">
        <v>81.003847982515595</v>
      </c>
      <c r="AK4195">
        <v>0.47773388158756702</v>
      </c>
      <c r="AL4195">
        <v>84.9344142176557</v>
      </c>
      <c r="AM4195">
        <v>94.623727956423394</v>
      </c>
      <c r="AN4195">
        <v>1.0000000299031899</v>
      </c>
    </row>
    <row r="4196" spans="1:40" x14ac:dyDescent="0.25">
      <c r="A4196" t="str">
        <f>"20190305135714223"</f>
        <v>20190305135714223</v>
      </c>
      <c r="B4196" t="str">
        <f>"1551765434216793"</f>
        <v>1551765434216793</v>
      </c>
      <c r="C4196" t="s">
        <v>40</v>
      </c>
      <c r="D4196">
        <v>4.2900479999999996</v>
      </c>
      <c r="E4196">
        <v>0.55292810000000003</v>
      </c>
      <c r="F4196" t="s">
        <v>42</v>
      </c>
      <c r="G4196">
        <v>-304.76249999999999</v>
      </c>
      <c r="H4196" s="1">
        <v>-3.3860720000000001E-6</v>
      </c>
      <c r="I4196">
        <v>-15.47171</v>
      </c>
      <c r="J4196">
        <v>-304.5127</v>
      </c>
      <c r="K4196">
        <v>1.062497</v>
      </c>
      <c r="L4196">
        <v>0.46893309999999999</v>
      </c>
      <c r="M4196">
        <v>5.6322869999999997E-2</v>
      </c>
      <c r="N4196">
        <v>-1.7867419999999998E-2</v>
      </c>
      <c r="O4196">
        <v>-0.9982529</v>
      </c>
      <c r="P4196">
        <v>0.14216379999999901</v>
      </c>
      <c r="Q4196">
        <v>6.9072510000000004E-2</v>
      </c>
      <c r="R4196">
        <v>-0.98743060000000005</v>
      </c>
      <c r="S4196">
        <v>-4.3670649999999998E-2</v>
      </c>
      <c r="T4196">
        <v>-0.200048</v>
      </c>
      <c r="U4196">
        <v>-3.0556640000000002</v>
      </c>
      <c r="V4196">
        <v>-8.6476070000000002E-2</v>
      </c>
      <c r="W4196">
        <v>8.6658680000000002E-2</v>
      </c>
      <c r="X4196">
        <v>0.99247779999999997</v>
      </c>
      <c r="Y4196">
        <v>7.0525009999999999E-2</v>
      </c>
      <c r="Z4196">
        <v>4.7241070000000003E-2</v>
      </c>
      <c r="AA4196">
        <v>0.99639080000000002</v>
      </c>
      <c r="AB4196">
        <v>23</v>
      </c>
      <c r="AC4196">
        <v>-0.249799999999993</v>
      </c>
      <c r="AD4196">
        <v>-1.0625003860719999</v>
      </c>
      <c r="AE4196">
        <v>-15.940643100000001</v>
      </c>
      <c r="AF4196">
        <v>1.1422956701862099</v>
      </c>
      <c r="AG4196">
        <v>-1.0625003860719999</v>
      </c>
      <c r="AH4196">
        <v>15.8309444704668</v>
      </c>
      <c r="AI4196">
        <v>93.829744572125307</v>
      </c>
      <c r="AJ4196">
        <v>85.872925403631896</v>
      </c>
      <c r="AK4196">
        <v>15.907625507772501</v>
      </c>
      <c r="AL4196">
        <v>85.028587814570599</v>
      </c>
      <c r="AM4196">
        <v>94.979690314879207</v>
      </c>
      <c r="AN4196">
        <v>1.0000000104974101</v>
      </c>
    </row>
    <row r="4197" spans="1:40" x14ac:dyDescent="0.25">
      <c r="A4197" t="str">
        <f>"20190305135714264"</f>
        <v>20190305135714264</v>
      </c>
      <c r="B4197" t="str">
        <f>"1551765434256809"</f>
        <v>1551765434256809</v>
      </c>
      <c r="C4197" t="s">
        <v>40</v>
      </c>
      <c r="D4197">
        <v>4.3581379999999896</v>
      </c>
      <c r="E4197">
        <v>0.55335519999999905</v>
      </c>
      <c r="F4197" t="s">
        <v>42</v>
      </c>
      <c r="G4197">
        <v>-304.6148</v>
      </c>
      <c r="H4197" s="1">
        <v>-3.539786E-6</v>
      </c>
      <c r="I4197">
        <v>-15.016819999999999</v>
      </c>
      <c r="J4197">
        <v>-304.4846</v>
      </c>
      <c r="K4197">
        <v>1.064009</v>
      </c>
      <c r="L4197">
        <v>6.6619869999999998E-2</v>
      </c>
      <c r="M4197">
        <v>6.2951699999999999E-2</v>
      </c>
      <c r="N4197">
        <v>-1.525026E-2</v>
      </c>
      <c r="O4197">
        <v>-0.99790009999999996</v>
      </c>
      <c r="P4197">
        <v>0.158514299999999</v>
      </c>
      <c r="Q4197">
        <v>7.0957419999999993E-2</v>
      </c>
      <c r="R4197">
        <v>-0.98480369999999995</v>
      </c>
      <c r="S4197">
        <v>-2.0141599999999999E-2</v>
      </c>
      <c r="T4197">
        <v>-0.20965990000000001</v>
      </c>
      <c r="U4197">
        <v>-3.0557560000000001</v>
      </c>
      <c r="V4197">
        <v>-9.6433829999999998E-2</v>
      </c>
      <c r="W4197">
        <v>8.5824929999999994E-2</v>
      </c>
      <c r="X4197">
        <v>0.99163230000000002</v>
      </c>
      <c r="Y4197">
        <v>6.9481920000000003E-2</v>
      </c>
      <c r="Z4197">
        <v>5.2937980000000003E-2</v>
      </c>
      <c r="AA4197">
        <v>0.9961776</v>
      </c>
      <c r="AB4197">
        <v>23</v>
      </c>
      <c r="AC4197">
        <v>-0.13020000000000201</v>
      </c>
      <c r="AD4197">
        <v>-1.0640125397859901</v>
      </c>
      <c r="AE4197">
        <v>-15.083439869999999</v>
      </c>
      <c r="AF4197">
        <v>1.0742351216550601</v>
      </c>
      <c r="AG4197">
        <v>-1.0640125397859901</v>
      </c>
      <c r="AH4197">
        <v>14.9708273655519</v>
      </c>
      <c r="AI4197">
        <v>94.054921687438494</v>
      </c>
      <c r="AJ4197">
        <v>85.895762650787006</v>
      </c>
      <c r="AK4197">
        <v>15.046985604784</v>
      </c>
      <c r="AL4197">
        <v>85.076536817365493</v>
      </c>
      <c r="AM4197">
        <v>95.554409664838701</v>
      </c>
      <c r="AN4197">
        <v>1.0000000102906299</v>
      </c>
    </row>
    <row r="4198" spans="1:40" x14ac:dyDescent="0.25">
      <c r="A4198" t="str">
        <f>"20190305135714306"</f>
        <v>20190305135714306</v>
      </c>
      <c r="B4198" t="str">
        <f>"1551765434296825"</f>
        <v>1551765434296825</v>
      </c>
      <c r="C4198" t="s">
        <v>40</v>
      </c>
      <c r="D4198">
        <v>4.2645</v>
      </c>
      <c r="E4198">
        <v>0.55393029999999999</v>
      </c>
      <c r="F4198" t="s">
        <v>42</v>
      </c>
      <c r="G4198">
        <v>-304.34449999999998</v>
      </c>
      <c r="H4198" s="1">
        <v>-3.1717649999999999E-6</v>
      </c>
      <c r="I4198">
        <v>-15.712</v>
      </c>
      <c r="J4198">
        <v>-304.44779999999997</v>
      </c>
      <c r="K4198">
        <v>1.067256</v>
      </c>
      <c r="L4198">
        <v>-0.37323000000000001</v>
      </c>
      <c r="M4198">
        <v>6.8171120000000002E-2</v>
      </c>
      <c r="N4198">
        <v>-1.108689E-2</v>
      </c>
      <c r="O4198">
        <v>-0.99761230000000001</v>
      </c>
      <c r="P4198">
        <v>0.16842699999999999</v>
      </c>
      <c r="Q4198">
        <v>7.0315740000000002E-2</v>
      </c>
      <c r="R4198">
        <v>-0.98320350000000001</v>
      </c>
      <c r="S4198">
        <v>2.7130129999999999E-2</v>
      </c>
      <c r="T4198">
        <v>-0.20613110000000001</v>
      </c>
      <c r="U4198">
        <v>-3.0567929999999999</v>
      </c>
      <c r="V4198">
        <v>-0.1014166</v>
      </c>
      <c r="W4198">
        <v>8.0800399999999994E-2</v>
      </c>
      <c r="X4198">
        <v>0.99155740000000003</v>
      </c>
      <c r="Y4198">
        <v>5.930622E-2</v>
      </c>
      <c r="Z4198">
        <v>5.5923319999999999E-2</v>
      </c>
      <c r="AA4198">
        <v>0.99667220000000001</v>
      </c>
      <c r="AB4198">
        <v>23</v>
      </c>
      <c r="AC4198">
        <v>0.10329999999999</v>
      </c>
      <c r="AD4198">
        <v>-1.067259171765</v>
      </c>
      <c r="AE4198">
        <v>-15.33877</v>
      </c>
      <c r="AF4198">
        <v>0.93812397198279596</v>
      </c>
      <c r="AG4198">
        <v>-1.067259171765</v>
      </c>
      <c r="AH4198">
        <v>15.2363647718593</v>
      </c>
      <c r="AI4198">
        <v>93.999294538979697</v>
      </c>
      <c r="AJ4198">
        <v>86.476667777985298</v>
      </c>
      <c r="AK4198">
        <v>15.302481177498001</v>
      </c>
      <c r="AL4198">
        <v>85.365426028971399</v>
      </c>
      <c r="AM4198">
        <v>95.839910934911302</v>
      </c>
      <c r="AN4198">
        <v>1.0000000544452301</v>
      </c>
    </row>
    <row r="4199" spans="1:40" x14ac:dyDescent="0.25">
      <c r="A4199" t="str">
        <f>"20190305135714335"</f>
        <v>20190305135714335</v>
      </c>
      <c r="B4199" t="str">
        <f>"1551765434327081"</f>
        <v>1551765434327081</v>
      </c>
      <c r="C4199" t="s">
        <v>40</v>
      </c>
      <c r="D4199">
        <v>4.2739120000000002</v>
      </c>
      <c r="E4199">
        <v>0.56942150000000002</v>
      </c>
      <c r="F4199" t="s">
        <v>42</v>
      </c>
      <c r="G4199">
        <v>-304.1823</v>
      </c>
      <c r="H4199" s="1">
        <v>-2.9607610000000001E-6</v>
      </c>
      <c r="I4199">
        <v>-16.103269999999998</v>
      </c>
      <c r="J4199">
        <v>-304.42129999999997</v>
      </c>
      <c r="K4199">
        <v>1.0692079999999999</v>
      </c>
      <c r="L4199">
        <v>-0.66625979999999996</v>
      </c>
      <c r="M4199">
        <v>7.2145609999999999E-2</v>
      </c>
      <c r="N4199">
        <v>-8.8037050000000002E-3</v>
      </c>
      <c r="O4199">
        <v>-0.99735529999999994</v>
      </c>
      <c r="P4199">
        <v>0.17297609999999999</v>
      </c>
      <c r="Q4199">
        <v>6.5706070000000005E-2</v>
      </c>
      <c r="R4199">
        <v>-0.98273180000000004</v>
      </c>
      <c r="S4199">
        <v>5.160522E-2</v>
      </c>
      <c r="T4199">
        <v>-0.2074299</v>
      </c>
      <c r="U4199">
        <v>-3.0572509999999999</v>
      </c>
      <c r="V4199">
        <v>-0.10198160000000001</v>
      </c>
      <c r="W4199">
        <v>7.3950749999999996E-2</v>
      </c>
      <c r="X4199">
        <v>0.99203379999999997</v>
      </c>
      <c r="Y4199">
        <v>5.531519E-2</v>
      </c>
      <c r="Z4199">
        <v>5.8591160000000003E-2</v>
      </c>
      <c r="AA4199">
        <v>0.99674839999999998</v>
      </c>
      <c r="AB4199">
        <v>23</v>
      </c>
      <c r="AC4199">
        <v>0.23899999999997501</v>
      </c>
      <c r="AD4199">
        <v>-1.0692109607610001</v>
      </c>
      <c r="AE4199">
        <v>-15.4370101999999</v>
      </c>
      <c r="AF4199">
        <v>0.87120004528038497</v>
      </c>
      <c r="AG4199">
        <v>-1.0692109607610001</v>
      </c>
      <c r="AH4199">
        <v>15.340447707283699</v>
      </c>
      <c r="AI4199">
        <v>93.980606516504196</v>
      </c>
      <c r="AJ4199">
        <v>86.7496042640186</v>
      </c>
      <c r="AK4199">
        <v>15.402322469595701</v>
      </c>
      <c r="AL4199">
        <v>85.759062758729101</v>
      </c>
      <c r="AM4199">
        <v>95.869418518440497</v>
      </c>
      <c r="AN4199">
        <v>1.00000001025328</v>
      </c>
    </row>
    <row r="4200" spans="1:40" x14ac:dyDescent="0.25">
      <c r="A4200" t="str">
        <f>"20190305135714373"</f>
        <v>20190305135714373</v>
      </c>
      <c r="B4200" t="str">
        <f>"1551765434366124"</f>
        <v>1551765434366124</v>
      </c>
      <c r="C4200" t="s">
        <v>40</v>
      </c>
      <c r="D4200">
        <v>4.4193579999999999</v>
      </c>
      <c r="E4200">
        <v>0.56896080000000004</v>
      </c>
      <c r="F4200" t="s">
        <v>41</v>
      </c>
      <c r="G4200">
        <v>-304.4384</v>
      </c>
      <c r="H4200">
        <v>0.98910189999999998</v>
      </c>
      <c r="I4200">
        <v>-1.5385260000000001</v>
      </c>
      <c r="J4200">
        <v>-304.38490000000002</v>
      </c>
      <c r="K4200">
        <v>1.0717669999999999</v>
      </c>
      <c r="L4200">
        <v>-1.055237</v>
      </c>
      <c r="M4200">
        <v>7.935383E-2</v>
      </c>
      <c r="N4200">
        <v>-5.74356E-3</v>
      </c>
      <c r="O4200">
        <v>-0.99682999999999999</v>
      </c>
      <c r="P4200">
        <v>0.18449979999999999</v>
      </c>
      <c r="Q4200">
        <v>8.1549899999999995E-2</v>
      </c>
      <c r="R4200">
        <v>-0.97944339999999996</v>
      </c>
      <c r="S4200">
        <v>-6.0028079999999998E-2</v>
      </c>
      <c r="T4200">
        <v>-0.28317439999999999</v>
      </c>
      <c r="U4200">
        <v>-3.082214</v>
      </c>
      <c r="V4200">
        <v>-0.1065474</v>
      </c>
      <c r="W4200">
        <v>8.6808789999999997E-2</v>
      </c>
      <c r="X4200">
        <v>0.99051089999999997</v>
      </c>
      <c r="Y4200">
        <v>9.8651279999999994E-2</v>
      </c>
      <c r="Z4200">
        <v>8.5098889999999996E-2</v>
      </c>
      <c r="AA4200">
        <v>0.99147669999999999</v>
      </c>
      <c r="AB4200">
        <v>23</v>
      </c>
      <c r="AC4200">
        <v>-5.34999999999854E-2</v>
      </c>
      <c r="AD4200">
        <v>-8.2665099999999894E-2</v>
      </c>
      <c r="AE4200">
        <v>-0.48328900000000002</v>
      </c>
      <c r="AF4200">
        <v>8.9107291385469398E-2</v>
      </c>
      <c r="AG4200">
        <v>-8.2665099999999894E-2</v>
      </c>
      <c r="AH4200">
        <v>0.464105428199588</v>
      </c>
      <c r="AI4200">
        <v>99.9219176845763</v>
      </c>
      <c r="AJ4200">
        <v>79.131587870330193</v>
      </c>
      <c r="AK4200">
        <v>0.47975772700435798</v>
      </c>
      <c r="AL4200">
        <v>85.019954452677595</v>
      </c>
      <c r="AM4200">
        <v>96.139591977873806</v>
      </c>
      <c r="AN4200">
        <v>0.99999997874341595</v>
      </c>
    </row>
    <row r="4201" spans="1:40" x14ac:dyDescent="0.25">
      <c r="A4201" t="str">
        <f>"20190305135714403"</f>
        <v>20190305135714403</v>
      </c>
      <c r="B4201" t="str">
        <f>"1551765434396377"</f>
        <v>1551765434396377</v>
      </c>
      <c r="C4201" t="s">
        <v>40</v>
      </c>
      <c r="D4201">
        <v>4.4170800000000003</v>
      </c>
      <c r="E4201">
        <v>0.56899509999999998</v>
      </c>
      <c r="F4201" t="s">
        <v>41</v>
      </c>
      <c r="G4201">
        <v>-304.39069999999998</v>
      </c>
      <c r="H4201">
        <v>1.000542</v>
      </c>
      <c r="I4201">
        <v>-1.944693</v>
      </c>
      <c r="J4201">
        <v>-304.35570000000001</v>
      </c>
      <c r="K4201">
        <v>1.0739609999999999</v>
      </c>
      <c r="L4201">
        <v>-1.3504940000000001</v>
      </c>
      <c r="M4201">
        <v>8.5169389999999998E-2</v>
      </c>
      <c r="N4201">
        <v>-3.7028460000000001E-3</v>
      </c>
      <c r="O4201">
        <v>-0.99635969999999996</v>
      </c>
      <c r="P4201">
        <v>0.1934322</v>
      </c>
      <c r="Q4201">
        <v>9.0712100000000004E-2</v>
      </c>
      <c r="R4201">
        <v>-0.97691119999999998</v>
      </c>
      <c r="S4201">
        <v>-1.971436E-2</v>
      </c>
      <c r="T4201">
        <v>-0.24755540000000001</v>
      </c>
      <c r="U4201">
        <v>-3.0872799999999998</v>
      </c>
      <c r="V4201">
        <v>-0.1099388</v>
      </c>
      <c r="W4201">
        <v>9.3895510000000001E-2</v>
      </c>
      <c r="X4201">
        <v>0.98949339999999997</v>
      </c>
      <c r="Y4201">
        <v>9.1497419999999996E-2</v>
      </c>
      <c r="Z4201">
        <v>7.5632809999999995E-2</v>
      </c>
      <c r="AA4201">
        <v>0.9929289</v>
      </c>
      <c r="AB4201">
        <v>23</v>
      </c>
      <c r="AC4201">
        <v>-3.4999999999968098E-2</v>
      </c>
      <c r="AD4201">
        <v>-7.3419000000000095E-2</v>
      </c>
      <c r="AE4201">
        <v>-0.59419899999999903</v>
      </c>
      <c r="AF4201">
        <v>8.4199703379007507E-2</v>
      </c>
      <c r="AG4201">
        <v>-7.3419000000000095E-2</v>
      </c>
      <c r="AH4201">
        <v>0.58023124203546295</v>
      </c>
      <c r="AI4201">
        <v>97.137564301562406</v>
      </c>
      <c r="AJ4201">
        <v>81.743213053667304</v>
      </c>
      <c r="AK4201">
        <v>0.59088766601117104</v>
      </c>
      <c r="AL4201">
        <v>84.612247218561393</v>
      </c>
      <c r="AM4201">
        <v>96.339910839988804</v>
      </c>
      <c r="AN4201">
        <v>1.00000004759357</v>
      </c>
    </row>
    <row r="4202" spans="1:40" x14ac:dyDescent="0.25">
      <c r="A4202" t="str">
        <f>"20190305135714425"</f>
        <v>20190305135714425</v>
      </c>
      <c r="B4202" t="str">
        <f>"1551765434416874"</f>
        <v>1551765434416874</v>
      </c>
      <c r="C4202" t="s">
        <v>40</v>
      </c>
      <c r="D4202">
        <v>4.409065</v>
      </c>
      <c r="E4202">
        <v>0.56944949999999905</v>
      </c>
      <c r="F4202" t="s">
        <v>41</v>
      </c>
      <c r="G4202">
        <v>-304.35340000000002</v>
      </c>
      <c r="H4202">
        <v>1.017147</v>
      </c>
      <c r="I4202">
        <v>-2.1522230000000002</v>
      </c>
      <c r="J4202">
        <v>-304.33179999999999</v>
      </c>
      <c r="K4202">
        <v>1.075796</v>
      </c>
      <c r="L4202">
        <v>-1.5772710000000001</v>
      </c>
      <c r="M4202">
        <v>8.9099220000000007E-2</v>
      </c>
      <c r="N4202">
        <v>-2.6292220000000001E-3</v>
      </c>
      <c r="O4202">
        <v>-0.9960194</v>
      </c>
      <c r="P4202">
        <v>0.19942860000000001</v>
      </c>
      <c r="Q4202">
        <v>9.2005890000000007E-2</v>
      </c>
      <c r="R4202">
        <v>-0.97558400000000001</v>
      </c>
      <c r="S4202">
        <v>9.1857910000000004E-3</v>
      </c>
      <c r="T4202">
        <v>-0.21907699999999999</v>
      </c>
      <c r="U4202">
        <v>-3.0894170000000001</v>
      </c>
      <c r="V4202">
        <v>-0.11219179999999999</v>
      </c>
      <c r="W4202">
        <v>9.4036969999999998E-2</v>
      </c>
      <c r="X4202">
        <v>0.98922699999999997</v>
      </c>
      <c r="Y4202">
        <v>8.6135729999999994E-2</v>
      </c>
      <c r="Z4202">
        <v>6.7558729999999997E-2</v>
      </c>
      <c r="AA4202">
        <v>0.99399020000000005</v>
      </c>
      <c r="AB4202">
        <v>23</v>
      </c>
      <c r="AC4202">
        <v>-2.16000000000349E-2</v>
      </c>
      <c r="AD4202">
        <v>-5.8648999999999903E-2</v>
      </c>
      <c r="AE4202">
        <v>-0.57495199999999902</v>
      </c>
      <c r="AF4202">
        <v>7.19939679193492E-2</v>
      </c>
      <c r="AG4202">
        <v>-5.8648999999999903E-2</v>
      </c>
      <c r="AH4202">
        <v>0.56487129246795498</v>
      </c>
      <c r="AI4202">
        <v>95.880389884729297</v>
      </c>
      <c r="AJ4202">
        <v>82.7366985772764</v>
      </c>
      <c r="AK4202">
        <v>0.57245297944214601</v>
      </c>
      <c r="AL4202">
        <v>84.604105904254496</v>
      </c>
      <c r="AM4202">
        <v>96.470472947147101</v>
      </c>
      <c r="AN4202">
        <v>1.0000000046215101</v>
      </c>
    </row>
    <row r="4203" spans="1:40" x14ac:dyDescent="0.25">
      <c r="A4203" t="str">
        <f>"20190305135714464"</f>
        <v>20190305135714464</v>
      </c>
      <c r="B4203" t="str">
        <f>"1551765434456889"</f>
        <v>1551765434456889</v>
      </c>
      <c r="C4203" t="s">
        <v>40</v>
      </c>
      <c r="D4203">
        <v>4.4762190000000004</v>
      </c>
      <c r="E4203">
        <v>0.57050959999999995</v>
      </c>
      <c r="F4203" t="s">
        <v>41</v>
      </c>
      <c r="G4203">
        <v>-304.32569999999998</v>
      </c>
      <c r="H4203">
        <v>1.0206710000000001</v>
      </c>
      <c r="I4203">
        <v>-2.3528950000000002</v>
      </c>
      <c r="J4203">
        <v>-304.28859999999997</v>
      </c>
      <c r="K4203">
        <v>1.0791170000000001</v>
      </c>
      <c r="L4203">
        <v>-1.949066</v>
      </c>
      <c r="M4203">
        <v>9.7012849999999998E-2</v>
      </c>
      <c r="N4203">
        <v>-2.728538E-3</v>
      </c>
      <c r="O4203">
        <v>-0.99527960000000004</v>
      </c>
      <c r="P4203">
        <v>0.20667959999999999</v>
      </c>
      <c r="Q4203">
        <v>8.8729379999999997E-2</v>
      </c>
      <c r="R4203">
        <v>-0.97437750000000001</v>
      </c>
      <c r="S4203">
        <v>2.548218E-2</v>
      </c>
      <c r="T4203">
        <v>-0.22032879999999999</v>
      </c>
      <c r="U4203">
        <v>-3.090668</v>
      </c>
      <c r="V4203">
        <v>-0.11167340000000001</v>
      </c>
      <c r="W4203">
        <v>9.0823089999999995E-2</v>
      </c>
      <c r="X4203">
        <v>0.98958590000000002</v>
      </c>
      <c r="Y4203">
        <v>8.8813749999999997E-2</v>
      </c>
      <c r="Z4203">
        <v>6.7742880000000005E-2</v>
      </c>
      <c r="AA4203">
        <v>0.99374189999999996</v>
      </c>
      <c r="AB4203">
        <v>23</v>
      </c>
      <c r="AC4203">
        <v>-3.7100000000009403E-2</v>
      </c>
      <c r="AD4203">
        <v>-5.8446000000000199E-2</v>
      </c>
      <c r="AE4203">
        <v>-0.40382899999999999</v>
      </c>
      <c r="AF4203">
        <v>7.4553173645551293E-2</v>
      </c>
      <c r="AG4203">
        <v>-5.8446000000000199E-2</v>
      </c>
      <c r="AH4203">
        <v>0.39021960540698902</v>
      </c>
      <c r="AI4203">
        <v>98.369107405928702</v>
      </c>
      <c r="AJ4203">
        <v>79.183736292855599</v>
      </c>
      <c r="AK4203">
        <v>0.401553795973354</v>
      </c>
      <c r="AL4203">
        <v>84.789039480333102</v>
      </c>
      <c r="AM4203">
        <v>96.438510595879194</v>
      </c>
      <c r="AN4203">
        <v>1.0000000177117501</v>
      </c>
    </row>
    <row r="4204" spans="1:40" x14ac:dyDescent="0.25">
      <c r="A4204" t="str">
        <f>"20190305135714507"</f>
        <v>20190305135714507</v>
      </c>
      <c r="B4204" t="str">
        <f>"1551765434496905"</f>
        <v>1551765434496905</v>
      </c>
      <c r="C4204" t="s">
        <v>40</v>
      </c>
      <c r="D4204">
        <v>4.4906680000000003</v>
      </c>
      <c r="E4204">
        <v>0.57155330000000004</v>
      </c>
      <c r="F4204" t="s">
        <v>41</v>
      </c>
      <c r="G4204">
        <v>-304.27730000000003</v>
      </c>
      <c r="H4204">
        <v>1.019153</v>
      </c>
      <c r="I4204">
        <v>-2.7421329999999999</v>
      </c>
      <c r="J4204">
        <v>-304.2337</v>
      </c>
      <c r="K4204">
        <v>1.0838540000000001</v>
      </c>
      <c r="L4204">
        <v>-2.3762819999999998</v>
      </c>
      <c r="M4204">
        <v>0.1104831</v>
      </c>
      <c r="N4204">
        <v>-3.1289989999999999E-3</v>
      </c>
      <c r="O4204">
        <v>-0.99387320000000001</v>
      </c>
      <c r="P4204">
        <v>0.21253069999999999</v>
      </c>
      <c r="Q4204">
        <v>8.258211E-2</v>
      </c>
      <c r="R4204">
        <v>-0.97365889999999999</v>
      </c>
      <c r="S4204">
        <v>4.4281010000000003E-2</v>
      </c>
      <c r="T4204">
        <v>-0.23401649999999999</v>
      </c>
      <c r="U4204">
        <v>-3.0908199999999999</v>
      </c>
      <c r="V4204">
        <v>-0.104174</v>
      </c>
      <c r="W4204">
        <v>8.5053379999999998E-2</v>
      </c>
      <c r="X4204">
        <v>0.99091560000000001</v>
      </c>
      <c r="Y4204">
        <v>9.62591E-2</v>
      </c>
      <c r="Z4204">
        <v>7.1507879999999996E-2</v>
      </c>
      <c r="AA4204">
        <v>0.99278440000000001</v>
      </c>
      <c r="AB4204">
        <v>22</v>
      </c>
      <c r="AC4204">
        <v>-4.3600000000026201E-2</v>
      </c>
      <c r="AD4204">
        <v>-6.4701000000000106E-2</v>
      </c>
      <c r="AE4204">
        <v>-0.36585099999999998</v>
      </c>
      <c r="AF4204">
        <v>8.1248080530494704E-2</v>
      </c>
      <c r="AG4204">
        <v>-6.4701000000000106E-2</v>
      </c>
      <c r="AH4204">
        <v>0.34806059628936697</v>
      </c>
      <c r="AI4204">
        <v>100.260764282542</v>
      </c>
      <c r="AJ4204">
        <v>76.860679053751795</v>
      </c>
      <c r="AK4204">
        <v>0.36322671801534601</v>
      </c>
      <c r="AL4204">
        <v>85.120905629483403</v>
      </c>
      <c r="AM4204">
        <v>96.001405345795902</v>
      </c>
      <c r="AN4204">
        <v>1.00000001302439</v>
      </c>
    </row>
    <row r="4205" spans="1:40" x14ac:dyDescent="0.25">
      <c r="A4205" t="str">
        <f>"20190305135714537"</f>
        <v>20190305135714537</v>
      </c>
      <c r="B4205" t="str">
        <f>"1551765434526185"</f>
        <v>1551765434526185</v>
      </c>
      <c r="C4205" t="s">
        <v>40</v>
      </c>
      <c r="D4205">
        <v>4.6743139999999999</v>
      </c>
      <c r="E4205">
        <v>0.57214860000000001</v>
      </c>
      <c r="F4205" t="s">
        <v>41</v>
      </c>
      <c r="G4205">
        <v>-304.21960000000001</v>
      </c>
      <c r="H4205">
        <v>1.022138</v>
      </c>
      <c r="I4205">
        <v>-3.1341290000000002</v>
      </c>
      <c r="J4205">
        <v>-304.19150000000002</v>
      </c>
      <c r="K4205">
        <v>1.0877570000000001</v>
      </c>
      <c r="L4205">
        <v>-2.6744690000000002</v>
      </c>
      <c r="M4205">
        <v>0.119521</v>
      </c>
      <c r="N4205">
        <v>-3.4618489999999999E-3</v>
      </c>
      <c r="O4205">
        <v>-0.99282579999999998</v>
      </c>
      <c r="P4205">
        <v>0.21871099999999999</v>
      </c>
      <c r="Q4205">
        <v>8.1393069999999998E-2</v>
      </c>
      <c r="R4205">
        <v>-0.97238959999999997</v>
      </c>
      <c r="S4205">
        <v>5.755615E-2</v>
      </c>
      <c r="T4205">
        <v>-0.25176989999999999</v>
      </c>
      <c r="U4205">
        <v>-3.089966</v>
      </c>
      <c r="V4205">
        <v>-0.10152070000000001</v>
      </c>
      <c r="W4205">
        <v>8.4106940000000005E-2</v>
      </c>
      <c r="X4205">
        <v>0.99127169999999998</v>
      </c>
      <c r="Y4205">
        <v>0.10105020000000001</v>
      </c>
      <c r="Z4205">
        <v>7.6677110000000007E-2</v>
      </c>
      <c r="AA4205">
        <v>0.99192210000000003</v>
      </c>
      <c r="AB4205">
        <v>22</v>
      </c>
      <c r="AC4205">
        <v>-2.80999999999949E-2</v>
      </c>
      <c r="AD4205">
        <v>-6.5618999999999802E-2</v>
      </c>
      <c r="AE4205">
        <v>-0.45966000000000001</v>
      </c>
      <c r="AF4205">
        <v>8.1189499255534495E-2</v>
      </c>
      <c r="AG4205">
        <v>-6.5618999999999802E-2</v>
      </c>
      <c r="AH4205">
        <v>0.44399192458068698</v>
      </c>
      <c r="AI4205">
        <v>98.271851163994697</v>
      </c>
      <c r="AJ4205">
        <v>79.637240651214199</v>
      </c>
      <c r="AK4205">
        <v>0.45609913071965702</v>
      </c>
      <c r="AL4205">
        <v>85.175327628769693</v>
      </c>
      <c r="AM4205">
        <v>95.847537066834903</v>
      </c>
      <c r="AN4205">
        <v>1.0000000065527701</v>
      </c>
    </row>
    <row r="4206" spans="1:40" x14ac:dyDescent="0.25">
      <c r="A4206" t="str">
        <f>"20190305135714574"</f>
        <v>20190305135714574</v>
      </c>
      <c r="B4206" t="str">
        <f>"1551765434566204"</f>
        <v>1551765434566204</v>
      </c>
      <c r="C4206" t="s">
        <v>40</v>
      </c>
      <c r="D4206">
        <v>4.4468809999999896</v>
      </c>
      <c r="E4206">
        <v>0.50475839999999905</v>
      </c>
      <c r="F4206" t="s">
        <v>41</v>
      </c>
      <c r="G4206">
        <v>-304.1712</v>
      </c>
      <c r="H4206">
        <v>1.018664</v>
      </c>
      <c r="I4206">
        <v>-3.5272260000000002</v>
      </c>
      <c r="J4206">
        <v>-304.1345</v>
      </c>
      <c r="K4206">
        <v>1.0926640000000001</v>
      </c>
      <c r="L4206">
        <v>-3.0445859999999998</v>
      </c>
      <c r="M4206">
        <v>0.12965260000000001</v>
      </c>
      <c r="N4206">
        <v>-4.4575109999999999E-3</v>
      </c>
      <c r="O4206">
        <v>-0.99154960000000003</v>
      </c>
      <c r="P4206">
        <v>0.22851189999999999</v>
      </c>
      <c r="Q4206">
        <v>7.0545419999999998E-2</v>
      </c>
      <c r="R4206">
        <v>-0.97098189999999995</v>
      </c>
      <c r="S4206">
        <v>7.403564E-2</v>
      </c>
      <c r="T4206">
        <v>-0.25076290000000001</v>
      </c>
      <c r="U4206">
        <v>-3.0895389999999998</v>
      </c>
      <c r="V4206">
        <v>-0.1013085</v>
      </c>
      <c r="W4206">
        <v>7.4132400000000001E-2</v>
      </c>
      <c r="X4206">
        <v>0.9920892</v>
      </c>
      <c r="Y4206">
        <v>0.1059094</v>
      </c>
      <c r="Z4206">
        <v>7.5201069999999995E-2</v>
      </c>
      <c r="AA4206">
        <v>0.99152810000000002</v>
      </c>
      <c r="AB4206">
        <v>23</v>
      </c>
      <c r="AC4206">
        <v>-3.6699999999996097E-2</v>
      </c>
      <c r="AD4206">
        <v>-7.3999999999999802E-2</v>
      </c>
      <c r="AE4206">
        <v>-0.48264000000000001</v>
      </c>
      <c r="AF4206">
        <v>9.6706067885683797E-2</v>
      </c>
      <c r="AG4206">
        <v>-7.3999999999999802E-2</v>
      </c>
      <c r="AH4206">
        <v>0.46298654446953302</v>
      </c>
      <c r="AI4206">
        <v>98.892143219946206</v>
      </c>
      <c r="AJ4206">
        <v>78.201999296079904</v>
      </c>
      <c r="AK4206">
        <v>0.47873228836767401</v>
      </c>
      <c r="AL4206">
        <v>85.748626302490393</v>
      </c>
      <c r="AM4206">
        <v>95.8306235607254</v>
      </c>
      <c r="AN4206">
        <v>1.0000000028293199</v>
      </c>
    </row>
    <row r="4207" spans="1:40" x14ac:dyDescent="0.25">
      <c r="A4207" t="str">
        <f>"20190305135714619"</f>
        <v>20190305135714619</v>
      </c>
      <c r="B4207" t="str">
        <f>"1551765434606218"</f>
        <v>1551765434606218</v>
      </c>
      <c r="C4207" t="s">
        <v>40</v>
      </c>
      <c r="D4207">
        <v>4.3523449999999997</v>
      </c>
      <c r="E4207">
        <v>0.50644400000000001</v>
      </c>
      <c r="F4207" t="s">
        <v>42</v>
      </c>
      <c r="G4207">
        <v>-299.44560000000001</v>
      </c>
      <c r="H4207" s="1">
        <v>-2.4270339999999999E-6</v>
      </c>
      <c r="I4207">
        <v>-24.938960000000002</v>
      </c>
      <c r="J4207">
        <v>-304.06139999999999</v>
      </c>
      <c r="K4207">
        <v>1.0977159999999999</v>
      </c>
      <c r="L4207">
        <v>-3.480194</v>
      </c>
      <c r="M4207">
        <v>0.14211270000000001</v>
      </c>
      <c r="N4207">
        <v>-5.9881639999999998E-3</v>
      </c>
      <c r="O4207">
        <v>-0.9898325</v>
      </c>
      <c r="P4207">
        <v>0.23987330000000001</v>
      </c>
      <c r="Q4207">
        <v>7.2043579999999996E-2</v>
      </c>
      <c r="R4207">
        <v>-0.96812750000000003</v>
      </c>
      <c r="S4207">
        <v>0.63211059999999997</v>
      </c>
      <c r="T4207">
        <v>-0.1473033</v>
      </c>
      <c r="U4207">
        <v>-2.9515989999999999</v>
      </c>
      <c r="V4207">
        <v>-0.1005321</v>
      </c>
      <c r="W4207">
        <v>7.7106949999999994E-2</v>
      </c>
      <c r="X4207">
        <v>0.99194150000000003</v>
      </c>
      <c r="Y4207">
        <v>-6.8117730000000001E-2</v>
      </c>
      <c r="Z4207">
        <v>4.2591650000000002E-2</v>
      </c>
      <c r="AA4207">
        <v>0.99676779999999998</v>
      </c>
      <c r="AB4207">
        <v>23</v>
      </c>
      <c r="AC4207">
        <v>4.6157999999999699</v>
      </c>
      <c r="AD4207">
        <v>-1.0977184270339999</v>
      </c>
      <c r="AE4207">
        <v>-21.458766000000001</v>
      </c>
      <c r="AF4207">
        <v>-1.5155422173673301</v>
      </c>
      <c r="AG4207">
        <v>-1.0977184270339999</v>
      </c>
      <c r="AH4207">
        <v>21.842308015783001</v>
      </c>
      <c r="AI4207">
        <v>92.870176833680205</v>
      </c>
      <c r="AJ4207">
        <v>93.969142058944499</v>
      </c>
      <c r="AK4207">
        <v>21.922323631723302</v>
      </c>
      <c r="AL4207">
        <v>85.577707954999696</v>
      </c>
      <c r="AM4207">
        <v>95.787099372386706</v>
      </c>
      <c r="AN4207">
        <v>1.0000000621454701</v>
      </c>
    </row>
    <row r="4208" spans="1:40" x14ac:dyDescent="0.25">
      <c r="A4208" t="str">
        <f>"20190305135714664"</f>
        <v>20190305135714664</v>
      </c>
      <c r="B4208" t="str">
        <f>"1551765434656971"</f>
        <v>1551765434656971</v>
      </c>
      <c r="C4208" t="s">
        <v>40</v>
      </c>
      <c r="D4208">
        <v>4.3724970000000001</v>
      </c>
      <c r="E4208">
        <v>0.50998940000000004</v>
      </c>
      <c r="F4208" t="s">
        <v>42</v>
      </c>
      <c r="G4208">
        <v>-299.0385</v>
      </c>
      <c r="H4208" s="1">
        <v>-1.9843120000000001E-6</v>
      </c>
      <c r="I4208">
        <v>-26.139299999999999</v>
      </c>
      <c r="J4208">
        <v>-303.98140000000001</v>
      </c>
      <c r="K4208">
        <v>1.101812</v>
      </c>
      <c r="L4208">
        <v>-3.9230649999999998</v>
      </c>
      <c r="M4208">
        <v>0.15504009999999999</v>
      </c>
      <c r="N4208">
        <v>-7.5445369999999996E-3</v>
      </c>
      <c r="O4208">
        <v>-0.98787950000000002</v>
      </c>
      <c r="P4208">
        <v>0.25362620000000002</v>
      </c>
      <c r="Q4208">
        <v>7.2889780000000001E-2</v>
      </c>
      <c r="R4208">
        <v>-0.96455250000000003</v>
      </c>
      <c r="S4208">
        <v>0.65338130000000005</v>
      </c>
      <c r="T4208">
        <v>-0.1427919</v>
      </c>
      <c r="U4208">
        <v>-2.9475099999999999</v>
      </c>
      <c r="V4208">
        <v>-0.1016929</v>
      </c>
      <c r="W4208">
        <v>7.9508529999999994E-2</v>
      </c>
      <c r="X4208">
        <v>0.99163349999999995</v>
      </c>
      <c r="Y4208">
        <v>-6.2248169999999999E-2</v>
      </c>
      <c r="Z4208">
        <v>3.949163E-2</v>
      </c>
      <c r="AA4208">
        <v>0.99727909999999997</v>
      </c>
      <c r="AB4208">
        <v>23</v>
      </c>
      <c r="AC4208">
        <v>4.9428999999999998</v>
      </c>
      <c r="AD4208">
        <v>-1.1018139843120001</v>
      </c>
      <c r="AE4208">
        <v>-22.216235000000001</v>
      </c>
      <c r="AF4208">
        <v>-1.4352592994498401</v>
      </c>
      <c r="AG4208">
        <v>-1.1018139843120001</v>
      </c>
      <c r="AH4208">
        <v>22.660845296369999</v>
      </c>
      <c r="AI4208">
        <v>92.778081209218499</v>
      </c>
      <c r="AJ4208">
        <v>93.624074998040896</v>
      </c>
      <c r="AK4208">
        <v>22.7329688527191</v>
      </c>
      <c r="AL4208">
        <v>85.4396835229158</v>
      </c>
      <c r="AM4208">
        <v>95.855264556369505</v>
      </c>
      <c r="AN4208">
        <v>1.0000000252877099</v>
      </c>
    </row>
    <row r="4209" spans="1:40" x14ac:dyDescent="0.25">
      <c r="A4209" t="str">
        <f>"20190305135714708"</f>
        <v>20190305135714708</v>
      </c>
      <c r="B4209" t="str">
        <f>"1551765434696979"</f>
        <v>1551765434696979</v>
      </c>
      <c r="C4209" t="s">
        <v>40</v>
      </c>
      <c r="D4209">
        <v>4.467263</v>
      </c>
      <c r="E4209">
        <v>0.51150139999999999</v>
      </c>
      <c r="F4209" t="s">
        <v>42</v>
      </c>
      <c r="G4209">
        <v>-298.15690000000001</v>
      </c>
      <c r="H4209" s="1">
        <v>-7.5584959999999996E-7</v>
      </c>
      <c r="I4209">
        <v>-29.571870000000001</v>
      </c>
      <c r="J4209">
        <v>-303.89940000000001</v>
      </c>
      <c r="K4209">
        <v>1.1048260000000001</v>
      </c>
      <c r="L4209">
        <v>-4.3500370000000004</v>
      </c>
      <c r="M4209">
        <v>0.16657189999999999</v>
      </c>
      <c r="N4209">
        <v>-8.819459E-3</v>
      </c>
      <c r="O4209">
        <v>-0.98599000000000003</v>
      </c>
      <c r="P4209">
        <v>0.26488600000000001</v>
      </c>
      <c r="Q4209">
        <v>7.3217110000000002E-2</v>
      </c>
      <c r="R4209">
        <v>-0.96149620000000002</v>
      </c>
      <c r="S4209">
        <v>0.66854859999999905</v>
      </c>
      <c r="T4209">
        <v>-0.12646869999999999</v>
      </c>
      <c r="U4209">
        <v>-2.9440309999999998</v>
      </c>
      <c r="V4209">
        <v>-0.10167180000000001</v>
      </c>
      <c r="W4209">
        <v>8.1155900000000003E-2</v>
      </c>
      <c r="X4209">
        <v>0.9915022</v>
      </c>
      <c r="Y4209">
        <v>-5.5778250000000001E-2</v>
      </c>
      <c r="Z4209">
        <v>3.281543E-2</v>
      </c>
      <c r="AA4209">
        <v>0.99790380000000001</v>
      </c>
      <c r="AB4209">
        <v>22</v>
      </c>
      <c r="AC4209">
        <v>5.7424999999999997</v>
      </c>
      <c r="AD4209">
        <v>-1.1048267558496001</v>
      </c>
      <c r="AE4209">
        <v>-25.221833</v>
      </c>
      <c r="AF4209">
        <v>-1.4581954317655901</v>
      </c>
      <c r="AG4209">
        <v>-1.1048267558496001</v>
      </c>
      <c r="AH4209">
        <v>25.7789877997111</v>
      </c>
      <c r="AI4209">
        <v>92.450148630180095</v>
      </c>
      <c r="AJ4209">
        <v>93.237501302950804</v>
      </c>
      <c r="AK4209">
        <v>25.843823015477302</v>
      </c>
      <c r="AL4209">
        <v>85.344990123891094</v>
      </c>
      <c r="AM4209">
        <v>95.854827941318206</v>
      </c>
      <c r="AN4209">
        <v>1.00000002381244</v>
      </c>
    </row>
    <row r="4210" spans="1:40" x14ac:dyDescent="0.25">
      <c r="A4210" t="str">
        <f>"20190305135714738"</f>
        <v>20190305135714738</v>
      </c>
      <c r="B4210" t="str">
        <f>"1551765434727234"</f>
        <v>1551765434727234</v>
      </c>
      <c r="C4210" t="s">
        <v>40</v>
      </c>
      <c r="D4210">
        <v>4.3584019999999999</v>
      </c>
      <c r="E4210">
        <v>0.51299129999999904</v>
      </c>
      <c r="F4210" t="s">
        <v>42</v>
      </c>
      <c r="G4210">
        <v>-298.07479999999998</v>
      </c>
      <c r="H4210" s="1">
        <v>-9.3768310000000004E-7</v>
      </c>
      <c r="I4210">
        <v>-29.101759999999999</v>
      </c>
      <c r="J4210">
        <v>-303.83999999999997</v>
      </c>
      <c r="K4210">
        <v>1.106322</v>
      </c>
      <c r="L4210">
        <v>-4.6463320000000001</v>
      </c>
      <c r="M4210">
        <v>0.17378060000000001</v>
      </c>
      <c r="N4210">
        <v>-9.5543090000000004E-3</v>
      </c>
      <c r="O4210">
        <v>-0.98473809999999995</v>
      </c>
      <c r="P4210">
        <v>0.27047969999999999</v>
      </c>
      <c r="Q4210">
        <v>7.2319090000000003E-2</v>
      </c>
      <c r="R4210">
        <v>-0.96000549999999996</v>
      </c>
      <c r="S4210">
        <v>0.69174190000000002</v>
      </c>
      <c r="T4210">
        <v>-0.131212</v>
      </c>
      <c r="U4210">
        <v>-2.939575</v>
      </c>
      <c r="V4210">
        <v>-0.10011979999999999</v>
      </c>
      <c r="W4210">
        <v>8.10694E-2</v>
      </c>
      <c r="X4210">
        <v>0.99166719999999997</v>
      </c>
      <c r="Y4210">
        <v>-5.6264700000000001E-2</v>
      </c>
      <c r="Z4210">
        <v>3.3605709999999997E-2</v>
      </c>
      <c r="AA4210">
        <v>0.99785020000000002</v>
      </c>
      <c r="AB4210">
        <v>22</v>
      </c>
      <c r="AC4210">
        <v>5.7651999999999903</v>
      </c>
      <c r="AD4210">
        <v>-1.1063229376831001</v>
      </c>
      <c r="AE4210">
        <v>-24.455428000000001</v>
      </c>
      <c r="AF4210">
        <v>-1.4246361887504699</v>
      </c>
      <c r="AG4210">
        <v>-1.1063229376831001</v>
      </c>
      <c r="AH4210">
        <v>25.036675119356701</v>
      </c>
      <c r="AI4210">
        <v>92.526064455757407</v>
      </c>
      <c r="AJ4210">
        <v>93.256730957644294</v>
      </c>
      <c r="AK4210">
        <v>25.101566479902299</v>
      </c>
      <c r="AL4210">
        <v>85.349962616352201</v>
      </c>
      <c r="AM4210">
        <v>95.7651090405448</v>
      </c>
      <c r="AN4210">
        <v>1.00000002876211</v>
      </c>
    </row>
    <row r="4211" spans="1:40" x14ac:dyDescent="0.25">
      <c r="A4211" t="str">
        <f>"20190305135714776"</f>
        <v>20190305135714776</v>
      </c>
      <c r="B4211" t="str">
        <f>"1551765434766274"</f>
        <v>1551765434766274</v>
      </c>
      <c r="C4211" t="s">
        <v>40</v>
      </c>
      <c r="D4211">
        <v>4.3938079999999999</v>
      </c>
      <c r="E4211">
        <v>0.51490930000000001</v>
      </c>
      <c r="F4211" t="s">
        <v>42</v>
      </c>
      <c r="G4211">
        <v>-297.8229</v>
      </c>
      <c r="H4211" s="1">
        <v>-7.1048900000000003E-7</v>
      </c>
      <c r="I4211">
        <v>-29.966349999999998</v>
      </c>
      <c r="J4211">
        <v>-303.76650000000001</v>
      </c>
      <c r="K4211">
        <v>1.1076060000000001</v>
      </c>
      <c r="L4211">
        <v>-5.004791</v>
      </c>
      <c r="M4211">
        <v>0.1814569</v>
      </c>
      <c r="N4211">
        <v>-1.0313009999999999E-2</v>
      </c>
      <c r="O4211">
        <v>-0.98334489999999997</v>
      </c>
      <c r="P4211">
        <v>0.2775088</v>
      </c>
      <c r="Q4211">
        <v>7.3468249999999999E-2</v>
      </c>
      <c r="R4211">
        <v>-0.95790980000000003</v>
      </c>
      <c r="S4211">
        <v>0.69818119999999995</v>
      </c>
      <c r="T4211">
        <v>-0.1283686</v>
      </c>
      <c r="U4211">
        <v>-2.9379270000000002</v>
      </c>
      <c r="V4211">
        <v>-9.9582970000000007E-2</v>
      </c>
      <c r="W4211">
        <v>8.3090549999999999E-2</v>
      </c>
      <c r="X4211">
        <v>0.99155389999999999</v>
      </c>
      <c r="Y4211">
        <v>-5.0683640000000002E-2</v>
      </c>
      <c r="Z4211">
        <v>3.1874760000000002E-2</v>
      </c>
      <c r="AA4211">
        <v>0.99820600000000004</v>
      </c>
      <c r="AB4211">
        <v>22</v>
      </c>
      <c r="AC4211">
        <v>5.9436</v>
      </c>
      <c r="AD4211">
        <v>-1.1076067104889999</v>
      </c>
      <c r="AE4211">
        <v>-24.961559000000001</v>
      </c>
      <c r="AF4211">
        <v>-1.3127853904200799</v>
      </c>
      <c r="AG4211">
        <v>-1.1076067104889999</v>
      </c>
      <c r="AH4211">
        <v>25.578030778512002</v>
      </c>
      <c r="AI4211">
        <v>92.476277536389006</v>
      </c>
      <c r="AJ4211">
        <v>92.938112039949203</v>
      </c>
      <c r="AK4211">
        <v>25.6356364581207</v>
      </c>
      <c r="AL4211">
        <v>85.233766890600293</v>
      </c>
      <c r="AM4211">
        <v>95.735054674752107</v>
      </c>
      <c r="AN4211">
        <v>0.99999997200926605</v>
      </c>
    </row>
    <row r="4212" spans="1:40" x14ac:dyDescent="0.25">
      <c r="A4212" t="str">
        <f>"20190305135714834"</f>
        <v>20190305135714834</v>
      </c>
      <c r="B4212" t="str">
        <f>"1551765434826787"</f>
        <v>1551765434826787</v>
      </c>
      <c r="C4212" t="s">
        <v>40</v>
      </c>
      <c r="D4212">
        <v>4.431451</v>
      </c>
      <c r="E4212">
        <v>0.5173316</v>
      </c>
      <c r="F4212" t="s">
        <v>42</v>
      </c>
      <c r="G4212">
        <v>-297.26240000000001</v>
      </c>
      <c r="H4212" s="1">
        <v>-4.0335899999999999E-6</v>
      </c>
      <c r="I4212">
        <v>-32.096779999999903</v>
      </c>
      <c r="J4212">
        <v>-303.64960000000002</v>
      </c>
      <c r="K4212">
        <v>1.1088260000000001</v>
      </c>
      <c r="L4212">
        <v>-5.5633239999999997</v>
      </c>
      <c r="M4212">
        <v>0.1908755</v>
      </c>
      <c r="N4212">
        <v>-1.123236E-2</v>
      </c>
      <c r="O4212">
        <v>-0.98155000000000003</v>
      </c>
      <c r="P4212">
        <v>0.2886687</v>
      </c>
      <c r="Q4212">
        <v>7.4524380000000001E-2</v>
      </c>
      <c r="R4212">
        <v>-0.95452440000000005</v>
      </c>
      <c r="S4212">
        <v>0.7050476</v>
      </c>
      <c r="T4212">
        <v>-0.1200647</v>
      </c>
      <c r="U4212">
        <v>-2.9367679999999998</v>
      </c>
      <c r="V4212">
        <v>-0.1015156</v>
      </c>
      <c r="W4212">
        <v>8.5233929999999999E-2</v>
      </c>
      <c r="X4212">
        <v>0.9911759</v>
      </c>
      <c r="Y4212">
        <v>-4.3430059999999999E-2</v>
      </c>
      <c r="Z4212">
        <v>2.8184049999999999E-2</v>
      </c>
      <c r="AA4212">
        <v>0.99865879999999996</v>
      </c>
      <c r="AB4212">
        <v>22</v>
      </c>
      <c r="AC4212">
        <v>6.3872</v>
      </c>
      <c r="AD4212">
        <v>-1.1088300335899901</v>
      </c>
      <c r="AE4212">
        <v>-26.533455999999902</v>
      </c>
      <c r="AF4212">
        <v>-1.2028598648100199</v>
      </c>
      <c r="AG4212">
        <v>-1.1088300335899901</v>
      </c>
      <c r="AH4212">
        <v>27.219860517607302</v>
      </c>
      <c r="AI4212">
        <v>92.3304430745292</v>
      </c>
      <c r="AJ4212">
        <v>92.530284255210105</v>
      </c>
      <c r="AK4212">
        <v>27.268978391127099</v>
      </c>
      <c r="AL4212">
        <v>85.110522877042598</v>
      </c>
      <c r="AM4212">
        <v>95.847806581707104</v>
      </c>
      <c r="AN4212">
        <v>0.99999995230370597</v>
      </c>
    </row>
    <row r="4213" spans="1:40" x14ac:dyDescent="0.25">
      <c r="A4213" t="str">
        <f>"20190305135714866"</f>
        <v>20190305135714866</v>
      </c>
      <c r="B4213" t="str">
        <f>"1551765434857043"</f>
        <v>1551765434857043</v>
      </c>
      <c r="C4213" t="s">
        <v>40</v>
      </c>
      <c r="D4213">
        <v>4.4614140000000004</v>
      </c>
      <c r="E4213">
        <v>0.51836879999999996</v>
      </c>
      <c r="F4213" t="s">
        <v>42</v>
      </c>
      <c r="G4213">
        <v>-296.5419</v>
      </c>
      <c r="H4213" s="1">
        <v>-3.1025899999999999E-6</v>
      </c>
      <c r="I4213">
        <v>-34.564869999999999</v>
      </c>
      <c r="J4213">
        <v>-303.5831</v>
      </c>
      <c r="K4213">
        <v>1.1092919999999999</v>
      </c>
      <c r="L4213">
        <v>-5.8766780000000001</v>
      </c>
      <c r="M4213">
        <v>0.19492619999999999</v>
      </c>
      <c r="N4213">
        <v>-1.1633599999999999E-2</v>
      </c>
      <c r="O4213">
        <v>-0.98074899999999998</v>
      </c>
      <c r="P4213">
        <v>0.2936877</v>
      </c>
      <c r="Q4213">
        <v>7.6720570000000002E-2</v>
      </c>
      <c r="R4213">
        <v>-0.9528179</v>
      </c>
      <c r="S4213">
        <v>0.71911619999999998</v>
      </c>
      <c r="T4213">
        <v>-0.1121848</v>
      </c>
      <c r="U4213">
        <v>-2.9342039999999998</v>
      </c>
      <c r="V4213">
        <v>-0.1026156</v>
      </c>
      <c r="W4213">
        <v>8.7899889999999994E-2</v>
      </c>
      <c r="X4213">
        <v>0.99082979999999998</v>
      </c>
      <c r="Y4213">
        <v>-4.4043789999999999E-2</v>
      </c>
      <c r="Z4213">
        <v>2.5201640000000001E-2</v>
      </c>
      <c r="AA4213">
        <v>0.99871169999999998</v>
      </c>
      <c r="AB4213">
        <v>22</v>
      </c>
      <c r="AC4213">
        <v>7.0411999999999999</v>
      </c>
      <c r="AD4213">
        <v>-1.10929510259</v>
      </c>
      <c r="AE4213">
        <v>-28.688191999999901</v>
      </c>
      <c r="AF4213">
        <v>-1.3118084732886199</v>
      </c>
      <c r="AG4213">
        <v>-1.10929510259</v>
      </c>
      <c r="AH4213">
        <v>29.4688673198592</v>
      </c>
      <c r="AI4213">
        <v>92.1536335784035</v>
      </c>
      <c r="AJ4213">
        <v>92.548842512443898</v>
      </c>
      <c r="AK4213">
        <v>29.518901033248</v>
      </c>
      <c r="AL4213">
        <v>84.957199348733496</v>
      </c>
      <c r="AM4213">
        <v>95.912775859866898</v>
      </c>
      <c r="AN4213">
        <v>1.0000000222967</v>
      </c>
    </row>
    <row r="4214" spans="1:40" x14ac:dyDescent="0.25">
      <c r="A4214" t="str">
        <f>"20190305135714900"</f>
        <v>20190305135714900</v>
      </c>
      <c r="B4214" t="str">
        <f>"1551765434897059"</f>
        <v>1551765434897059</v>
      </c>
      <c r="C4214" t="s">
        <v>40</v>
      </c>
      <c r="D4214">
        <v>4.4721219999999997</v>
      </c>
      <c r="E4214">
        <v>0.51973610000000003</v>
      </c>
      <c r="F4214" t="s">
        <v>42</v>
      </c>
      <c r="G4214">
        <v>-295.80329999999998</v>
      </c>
      <c r="H4214" s="1">
        <v>-2.1478509999999999E-6</v>
      </c>
      <c r="I4214">
        <v>-37.321680000000001</v>
      </c>
      <c r="J4214">
        <v>-303.51330000000002</v>
      </c>
      <c r="K4214">
        <v>1.1096200000000001</v>
      </c>
      <c r="L4214">
        <v>-6.2033389999999997</v>
      </c>
      <c r="M4214">
        <v>0.19830800000000001</v>
      </c>
      <c r="N4214">
        <v>-1.1969520000000001E-2</v>
      </c>
      <c r="O4214">
        <v>-0.98006680000000002</v>
      </c>
      <c r="P4214">
        <v>0.29768139999999998</v>
      </c>
      <c r="Q4214">
        <v>8.2819859999999995E-2</v>
      </c>
      <c r="R4214">
        <v>-0.95106630000000003</v>
      </c>
      <c r="S4214">
        <v>0.72570800000000002</v>
      </c>
      <c r="T4214">
        <v>-0.1034752</v>
      </c>
      <c r="U4214">
        <v>-2.9331969999999998</v>
      </c>
      <c r="V4214">
        <v>-0.1034075</v>
      </c>
      <c r="W4214">
        <v>9.4398239999999994E-2</v>
      </c>
      <c r="X4214">
        <v>0.99014939999999996</v>
      </c>
      <c r="Y4214">
        <v>-4.2811299999999997E-2</v>
      </c>
      <c r="Z4214">
        <v>2.2014019999999999E-2</v>
      </c>
      <c r="AA4214">
        <v>0.99884059999999997</v>
      </c>
      <c r="AB4214">
        <v>22</v>
      </c>
      <c r="AC4214">
        <v>7.7100000000000302</v>
      </c>
      <c r="AD4214">
        <v>-1.109622147851</v>
      </c>
      <c r="AE4214">
        <v>-31.118340999999901</v>
      </c>
      <c r="AF4214">
        <v>-1.3837404529992501</v>
      </c>
      <c r="AG4214">
        <v>-1.109622147851</v>
      </c>
      <c r="AH4214">
        <v>31.990973794030101</v>
      </c>
      <c r="AI4214">
        <v>91.984680743035597</v>
      </c>
      <c r="AJ4214">
        <v>92.476732974896095</v>
      </c>
      <c r="AK4214">
        <v>32.040106167779598</v>
      </c>
      <c r="AL4214">
        <v>84.583314070380496</v>
      </c>
      <c r="AM4214">
        <v>95.962143372358597</v>
      </c>
      <c r="AN4214">
        <v>0.99999998654585298</v>
      </c>
    </row>
    <row r="4215" spans="1:40" x14ac:dyDescent="0.25">
      <c r="A4215" t="str">
        <f>"20190305135714933"</f>
        <v>20190305135714933</v>
      </c>
      <c r="B4215" t="str">
        <f>"1551765434926340"</f>
        <v>1551765434926340</v>
      </c>
      <c r="C4215" t="s">
        <v>40</v>
      </c>
      <c r="D4215">
        <v>4.563104</v>
      </c>
      <c r="E4215">
        <v>0.52027290000000004</v>
      </c>
      <c r="F4215" t="s">
        <v>78</v>
      </c>
      <c r="G4215">
        <v>-294.01679999999999</v>
      </c>
      <c r="H4215" s="1">
        <v>-3.9762640000000002E-6</v>
      </c>
      <c r="I4215">
        <v>-44.437339999999999</v>
      </c>
      <c r="J4215">
        <v>-303.44619999999998</v>
      </c>
      <c r="K4215">
        <v>1.1097330000000001</v>
      </c>
      <c r="L4215">
        <v>-6.5169069999999998</v>
      </c>
      <c r="M4215">
        <v>0.2007919</v>
      </c>
      <c r="N4215">
        <v>-1.218431E-2</v>
      </c>
      <c r="O4215">
        <v>-0.9795585</v>
      </c>
      <c r="P4215">
        <v>0.30060999999999999</v>
      </c>
      <c r="Q4215">
        <v>8.3276450000000002E-2</v>
      </c>
      <c r="R4215">
        <v>-0.95010510000000004</v>
      </c>
      <c r="S4215">
        <v>0.72866819999999999</v>
      </c>
      <c r="T4215">
        <v>-8.5141179999999997E-2</v>
      </c>
      <c r="U4215">
        <v>-2.9336850000000001</v>
      </c>
      <c r="V4215">
        <v>-0.10388120000000001</v>
      </c>
      <c r="W4215">
        <v>9.5148239999999995E-2</v>
      </c>
      <c r="X4215">
        <v>0.99002800000000002</v>
      </c>
      <c r="Y4215">
        <v>-4.1219329999999998E-2</v>
      </c>
      <c r="Z4215">
        <v>1.581515E-2</v>
      </c>
      <c r="AA4215">
        <v>0.99902489999999999</v>
      </c>
      <c r="AB4215">
        <v>22</v>
      </c>
      <c r="AC4215">
        <v>9.4293999999999798</v>
      </c>
      <c r="AD4215">
        <v>-1.1097369762639999</v>
      </c>
      <c r="AE4215">
        <v>-37.920433000000003</v>
      </c>
      <c r="AF4215">
        <v>-1.6213452994186901</v>
      </c>
      <c r="AG4215">
        <v>-1.1097369762639999</v>
      </c>
      <c r="AH4215">
        <v>39.010050077538999</v>
      </c>
      <c r="AI4215">
        <v>91.628075314350397</v>
      </c>
      <c r="AJ4215">
        <v>92.379971512270799</v>
      </c>
      <c r="AK4215">
        <v>39.059496717041</v>
      </c>
      <c r="AL4215">
        <v>84.540147826138806</v>
      </c>
      <c r="AM4215">
        <v>95.989986391684397</v>
      </c>
      <c r="AN4215">
        <v>0.99999996603626795</v>
      </c>
    </row>
    <row r="4216" spans="1:40" x14ac:dyDescent="0.25">
      <c r="A4216" t="str">
        <f>"20190305135714966"</f>
        <v>20190305135714966</v>
      </c>
      <c r="B4216" t="str">
        <f>"1551765434956595"</f>
        <v>1551765434956595</v>
      </c>
      <c r="C4216" t="s">
        <v>40</v>
      </c>
      <c r="D4216">
        <v>4.6230640000000003</v>
      </c>
      <c r="E4216">
        <v>0.52089909999999995</v>
      </c>
      <c r="F4216" t="s">
        <v>78</v>
      </c>
      <c r="G4216">
        <v>-293.82440000000003</v>
      </c>
      <c r="H4216" s="1">
        <v>-4.3380709999999999E-6</v>
      </c>
      <c r="I4216">
        <v>-45.020850000000003</v>
      </c>
      <c r="J4216">
        <v>-303.3768</v>
      </c>
      <c r="K4216">
        <v>1.1097109999999999</v>
      </c>
      <c r="L4216">
        <v>-6.8413389999999996</v>
      </c>
      <c r="M4216">
        <v>0.20274490000000001</v>
      </c>
      <c r="N4216">
        <v>-1.22387E-2</v>
      </c>
      <c r="O4216">
        <v>-0.97915509999999994</v>
      </c>
      <c r="P4216">
        <v>0.30283290000000002</v>
      </c>
      <c r="Q4216">
        <v>7.5663250000000001E-2</v>
      </c>
      <c r="R4216">
        <v>-0.95003530000000003</v>
      </c>
      <c r="S4216">
        <v>0.732940699999999</v>
      </c>
      <c r="T4216">
        <v>-8.4534410000000004E-2</v>
      </c>
      <c r="U4216">
        <v>-2.9330440000000002</v>
      </c>
      <c r="V4216">
        <v>-0.1040161</v>
      </c>
      <c r="W4216">
        <v>8.7673329999999994E-2</v>
      </c>
      <c r="X4216">
        <v>0.99070380000000002</v>
      </c>
      <c r="Y4216">
        <v>-4.0648959999999998E-2</v>
      </c>
      <c r="Z4216">
        <v>1.555402E-2</v>
      </c>
      <c r="AA4216">
        <v>0.99905239999999995</v>
      </c>
      <c r="AB4216">
        <v>22</v>
      </c>
      <c r="AC4216">
        <v>9.5523999999999702</v>
      </c>
      <c r="AD4216">
        <v>-1.1097153380710001</v>
      </c>
      <c r="AE4216">
        <v>-38.179510999999998</v>
      </c>
      <c r="AF4216">
        <v>-1.6114196741673099</v>
      </c>
      <c r="AG4216">
        <v>-1.1097153380710001</v>
      </c>
      <c r="AH4216">
        <v>39.292069561773097</v>
      </c>
      <c r="AI4216">
        <v>91.6164011818029</v>
      </c>
      <c r="AJ4216">
        <v>92.348459543667602</v>
      </c>
      <c r="AK4216">
        <v>39.340753322033102</v>
      </c>
      <c r="AL4216">
        <v>84.970230430079098</v>
      </c>
      <c r="AM4216">
        <v>95.993646824495301</v>
      </c>
      <c r="AN4216">
        <v>0.999999990593469</v>
      </c>
    </row>
    <row r="4217" spans="1:40" x14ac:dyDescent="0.25">
      <c r="A4217" t="str">
        <f>"20190305135714999"</f>
        <v>20190305135714999</v>
      </c>
      <c r="B4217" t="str">
        <f>"1551765434986588"</f>
        <v>1551765434986588</v>
      </c>
      <c r="C4217" t="s">
        <v>40</v>
      </c>
      <c r="D4217">
        <v>4.7129390000000004</v>
      </c>
      <c r="E4217">
        <v>0.52143819999999996</v>
      </c>
      <c r="F4217" t="s">
        <v>42</v>
      </c>
      <c r="G4217">
        <v>-296.14819999999997</v>
      </c>
      <c r="H4217" s="1">
        <v>-2.6563599999999998E-6</v>
      </c>
      <c r="I4217">
        <v>-35.767859999999999</v>
      </c>
      <c r="J4217">
        <v>-303.3098</v>
      </c>
      <c r="K4217">
        <v>1.1097159999999999</v>
      </c>
      <c r="L4217">
        <v>-7.1553339999999999</v>
      </c>
      <c r="M4217">
        <v>0.2041346</v>
      </c>
      <c r="N4217">
        <v>-1.2214050000000001E-2</v>
      </c>
      <c r="O4217">
        <v>-0.97886660000000003</v>
      </c>
      <c r="P4217">
        <v>0.30355559999999998</v>
      </c>
      <c r="Q4217">
        <v>7.2383420000000004E-2</v>
      </c>
      <c r="R4217">
        <v>-0.95006020000000002</v>
      </c>
      <c r="S4217">
        <v>0.73297119999999905</v>
      </c>
      <c r="T4217">
        <v>-0.11252330000000001</v>
      </c>
      <c r="U4217">
        <v>-2.9331049999999999</v>
      </c>
      <c r="V4217">
        <v>-0.103268</v>
      </c>
      <c r="W4217">
        <v>8.4421469999999998E-2</v>
      </c>
      <c r="X4217">
        <v>0.99106439999999996</v>
      </c>
      <c r="Y4217">
        <v>-3.9188420000000002E-2</v>
      </c>
      <c r="Z4217">
        <v>2.4656440000000002E-2</v>
      </c>
      <c r="AA4217">
        <v>0.99892760000000003</v>
      </c>
      <c r="AB4217">
        <v>22</v>
      </c>
      <c r="AC4217">
        <v>7.1616000000000204</v>
      </c>
      <c r="AD4217">
        <v>-1.1097186563600001</v>
      </c>
      <c r="AE4217">
        <v>-28.612525999999999</v>
      </c>
      <c r="AF4217">
        <v>-1.1678785833185501</v>
      </c>
      <c r="AG4217">
        <v>-1.1097186563600001</v>
      </c>
      <c r="AH4217">
        <v>29.430315782532599</v>
      </c>
      <c r="AI4217">
        <v>92.157712330293805</v>
      </c>
      <c r="AJ4217">
        <v>92.272467050603296</v>
      </c>
      <c r="AK4217">
        <v>29.4743770577299</v>
      </c>
      <c r="AL4217">
        <v>85.157241813235203</v>
      </c>
      <c r="AM4217">
        <v>95.948700334314196</v>
      </c>
      <c r="AN4217">
        <v>0.99999995468415903</v>
      </c>
    </row>
    <row r="4218" spans="1:40" x14ac:dyDescent="0.25">
      <c r="A4218" t="str">
        <f>"20190305135715033"</f>
        <v>20190305135715033</v>
      </c>
      <c r="B4218" t="str">
        <f>"1551765435026604"</f>
        <v>1551765435026604</v>
      </c>
      <c r="C4218" t="s">
        <v>40</v>
      </c>
      <c r="D4218">
        <v>4.6873659999999999</v>
      </c>
      <c r="E4218">
        <v>0.53995749999999998</v>
      </c>
      <c r="F4218" t="s">
        <v>42</v>
      </c>
      <c r="G4218">
        <v>-296.89080000000001</v>
      </c>
      <c r="H4218" s="1">
        <v>-3.7311300000000001E-6</v>
      </c>
      <c r="I4218">
        <v>-32.955440000000003</v>
      </c>
      <c r="J4218">
        <v>-303.23880000000003</v>
      </c>
      <c r="K4218">
        <v>1.1097520000000001</v>
      </c>
      <c r="L4218">
        <v>-7.4882809999999997</v>
      </c>
      <c r="M4218">
        <v>0.2051413</v>
      </c>
      <c r="N4218">
        <v>-1.2166679999999999E-2</v>
      </c>
      <c r="O4218">
        <v>-0.97865690000000005</v>
      </c>
      <c r="P4218">
        <v>0.30270010000000003</v>
      </c>
      <c r="Q4218">
        <v>6.8513190000000002E-2</v>
      </c>
      <c r="R4218">
        <v>-0.95062040000000003</v>
      </c>
      <c r="S4218">
        <v>0.72998050000000003</v>
      </c>
      <c r="T4218">
        <v>-0.12620139999999999</v>
      </c>
      <c r="U4218">
        <v>-2.9340820000000001</v>
      </c>
      <c r="V4218">
        <v>-0.10126839999999999</v>
      </c>
      <c r="W4218">
        <v>8.0542799999999998E-2</v>
      </c>
      <c r="X4218">
        <v>0.99159350000000002</v>
      </c>
      <c r="Y4218">
        <v>-3.7093960000000002E-2</v>
      </c>
      <c r="Z4218">
        <v>2.912145E-2</v>
      </c>
      <c r="AA4218">
        <v>0.99888739999999998</v>
      </c>
      <c r="AB4218">
        <v>22</v>
      </c>
      <c r="AC4218">
        <v>6.3480000000000096</v>
      </c>
      <c r="AD4218">
        <v>-1.1097557311299999</v>
      </c>
      <c r="AE4218">
        <v>-25.467158999999999</v>
      </c>
      <c r="AF4218">
        <v>-0.98645731465948705</v>
      </c>
      <c r="AG4218">
        <v>-1.1097557311299999</v>
      </c>
      <c r="AH4218">
        <v>26.180979116642401</v>
      </c>
      <c r="AI4218">
        <v>92.4254736156348</v>
      </c>
      <c r="AJ4218">
        <v>92.157792378918799</v>
      </c>
      <c r="AK4218">
        <v>26.223049466499599</v>
      </c>
      <c r="AL4218">
        <v>85.380233664143802</v>
      </c>
      <c r="AM4218">
        <v>95.831225094746998</v>
      </c>
      <c r="AN4218">
        <v>1.00000005035632</v>
      </c>
    </row>
    <row r="4219" spans="1:40" x14ac:dyDescent="0.25">
      <c r="A4219" t="str">
        <f>"20190305135715066"</f>
        <v>20190305135715066</v>
      </c>
      <c r="B4219" t="str">
        <f>"1551765435056860"</f>
        <v>1551765435056860</v>
      </c>
      <c r="C4219" t="s">
        <v>40</v>
      </c>
      <c r="D4219">
        <v>4.6866659999999998</v>
      </c>
      <c r="E4219">
        <v>0.5474135</v>
      </c>
      <c r="F4219" t="s">
        <v>41</v>
      </c>
      <c r="G4219">
        <v>-303.0675</v>
      </c>
      <c r="H4219">
        <v>1.043941</v>
      </c>
      <c r="I4219">
        <v>-8.36937</v>
      </c>
      <c r="J4219">
        <v>-303.1703</v>
      </c>
      <c r="K4219">
        <v>1.1097919999999999</v>
      </c>
      <c r="L4219">
        <v>-7.8098749999999999</v>
      </c>
      <c r="M4219">
        <v>0.20579040000000001</v>
      </c>
      <c r="N4219">
        <v>-1.208418E-2</v>
      </c>
      <c r="O4219">
        <v>-0.97852139999999999</v>
      </c>
      <c r="P4219">
        <v>0.30165730000000002</v>
      </c>
      <c r="Q4219">
        <v>6.2710500000000002E-2</v>
      </c>
      <c r="R4219">
        <v>-0.95135179999999997</v>
      </c>
      <c r="S4219">
        <v>0.58081050000000001</v>
      </c>
      <c r="T4219">
        <v>-0.22311310000000001</v>
      </c>
      <c r="U4219">
        <v>-2.9869690000000002</v>
      </c>
      <c r="V4219">
        <v>-9.9420880000000003E-2</v>
      </c>
      <c r="W4219">
        <v>7.4686829999999996E-2</v>
      </c>
      <c r="X4219">
        <v>0.99223859999999997</v>
      </c>
      <c r="Y4219">
        <v>1.5573760000000001E-2</v>
      </c>
      <c r="Z4219">
        <v>5.9628059999999997E-2</v>
      </c>
      <c r="AA4219">
        <v>0.99809910000000002</v>
      </c>
      <c r="AB4219">
        <v>22</v>
      </c>
      <c r="AC4219">
        <v>0.102800000000001</v>
      </c>
      <c r="AD4219">
        <v>-6.5851000000000104E-2</v>
      </c>
      <c r="AE4219">
        <v>-0.55949499999999996</v>
      </c>
      <c r="AF4219">
        <v>1.43553973626126E-2</v>
      </c>
      <c r="AG4219">
        <v>-6.5851000000000104E-2</v>
      </c>
      <c r="AH4219">
        <v>0.56115503255499</v>
      </c>
      <c r="AI4219">
        <v>96.690824542843004</v>
      </c>
      <c r="AJ4219">
        <v>88.534586200774797</v>
      </c>
      <c r="AK4219">
        <v>0.56518793528898903</v>
      </c>
      <c r="AL4219">
        <v>85.716771639117894</v>
      </c>
      <c r="AM4219">
        <v>95.721856988888305</v>
      </c>
      <c r="AN4219">
        <v>1.00000003664269</v>
      </c>
    </row>
    <row r="4220" spans="1:40" x14ac:dyDescent="0.25">
      <c r="A4220" t="str">
        <f>"20190305135715100"</f>
        <v>20190305135715100</v>
      </c>
      <c r="B4220" t="str">
        <f>"1551765435096402"</f>
        <v>1551765435096402</v>
      </c>
      <c r="C4220" t="s">
        <v>40</v>
      </c>
      <c r="D4220">
        <v>4.7206919999999997</v>
      </c>
      <c r="E4220">
        <v>0.5479385</v>
      </c>
      <c r="F4220" t="s">
        <v>42</v>
      </c>
      <c r="G4220">
        <v>-300.55399999999997</v>
      </c>
      <c r="H4220" s="1">
        <v>-3.3607829999999998E-6</v>
      </c>
      <c r="I4220">
        <v>-22.92043</v>
      </c>
      <c r="J4220">
        <v>-303.10210000000001</v>
      </c>
      <c r="K4220">
        <v>1.1097840000000001</v>
      </c>
      <c r="L4220">
        <v>-8.1308289999999896</v>
      </c>
      <c r="M4220">
        <v>0.20613799999999999</v>
      </c>
      <c r="N4220">
        <v>-1.1933259999999999E-2</v>
      </c>
      <c r="O4220">
        <v>-0.9784505</v>
      </c>
      <c r="P4220">
        <v>0.30095929999999999</v>
      </c>
      <c r="Q4220">
        <v>6.3382480000000005E-2</v>
      </c>
      <c r="R4220">
        <v>-0.95152870000000001</v>
      </c>
      <c r="S4220">
        <v>0.51995849999999999</v>
      </c>
      <c r="T4220">
        <v>-0.22056149999999999</v>
      </c>
      <c r="U4220">
        <v>-3.003082</v>
      </c>
      <c r="V4220">
        <v>-9.8328059999999995E-2</v>
      </c>
      <c r="W4220">
        <v>7.5237940000000003E-2</v>
      </c>
      <c r="X4220">
        <v>0.99230580000000002</v>
      </c>
      <c r="Y4220">
        <v>3.6473539999999999E-2</v>
      </c>
      <c r="Z4220">
        <v>5.8664309999999997E-2</v>
      </c>
      <c r="AA4220">
        <v>0.99761120000000003</v>
      </c>
      <c r="AB4220">
        <v>22</v>
      </c>
      <c r="AC4220">
        <v>2.5480999999999701</v>
      </c>
      <c r="AD4220">
        <v>-1.109787360783</v>
      </c>
      <c r="AE4220">
        <v>-14.789600999999999</v>
      </c>
      <c r="AF4220">
        <v>0.55252697048630905</v>
      </c>
      <c r="AG4220">
        <v>-1.109787360783</v>
      </c>
      <c r="AH4220">
        <v>14.915650445796</v>
      </c>
      <c r="AI4220">
        <v>94.252301344647705</v>
      </c>
      <c r="AJ4220">
        <v>87.878537365452999</v>
      </c>
      <c r="AK4220">
        <v>14.967081955426201</v>
      </c>
      <c r="AL4220">
        <v>85.685106013800095</v>
      </c>
      <c r="AM4220">
        <v>95.658992917094693</v>
      </c>
      <c r="AN4220">
        <v>0.99999997785622297</v>
      </c>
    </row>
    <row r="4221" spans="1:40" x14ac:dyDescent="0.25">
      <c r="A4221" t="str">
        <f>"20190305135715134"</f>
        <v>20190305135715134</v>
      </c>
      <c r="B4221" t="str">
        <f>"1551765435126658"</f>
        <v>1551765435126658</v>
      </c>
      <c r="C4221" t="s">
        <v>40</v>
      </c>
      <c r="D4221">
        <v>4.787401</v>
      </c>
      <c r="E4221">
        <v>0.54787540000000001</v>
      </c>
      <c r="F4221" t="s">
        <v>41</v>
      </c>
      <c r="G4221">
        <v>-302.96190000000001</v>
      </c>
      <c r="H4221">
        <v>1.046376</v>
      </c>
      <c r="I4221">
        <v>-8.9534000000000002</v>
      </c>
      <c r="J4221">
        <v>-303.03230000000002</v>
      </c>
      <c r="K4221">
        <v>1.109694</v>
      </c>
      <c r="L4221">
        <v>-8.4613040000000002</v>
      </c>
      <c r="M4221">
        <v>0.2060884</v>
      </c>
      <c r="N4221">
        <v>-1.1684379999999999E-2</v>
      </c>
      <c r="O4221">
        <v>-0.97846379999999999</v>
      </c>
      <c r="P4221">
        <v>0.30337560000000002</v>
      </c>
      <c r="Q4221">
        <v>7.0897619999999995E-2</v>
      </c>
      <c r="R4221">
        <v>-0.95023040000000003</v>
      </c>
      <c r="S4221">
        <v>0.51287839999999996</v>
      </c>
      <c r="T4221">
        <v>-0.23169429999999999</v>
      </c>
      <c r="U4221">
        <v>-3.0060419999999999</v>
      </c>
      <c r="V4221">
        <v>-0.1009742</v>
      </c>
      <c r="W4221">
        <v>8.2541219999999998E-2</v>
      </c>
      <c r="X4221">
        <v>0.99145910000000004</v>
      </c>
      <c r="Y4221">
        <v>3.8906719999999999E-2</v>
      </c>
      <c r="Z4221">
        <v>6.2380430000000001E-2</v>
      </c>
      <c r="AA4221">
        <v>0.99729380000000001</v>
      </c>
      <c r="AB4221">
        <v>22</v>
      </c>
      <c r="AC4221">
        <v>7.0400000000006402E-2</v>
      </c>
      <c r="AD4221">
        <v>-6.3317999999999902E-2</v>
      </c>
      <c r="AE4221">
        <v>-0.49209599999999998</v>
      </c>
      <c r="AF4221">
        <v>3.20142441128244E-2</v>
      </c>
      <c r="AG4221">
        <v>-6.3317999999999902E-2</v>
      </c>
      <c r="AH4221">
        <v>0.488121275273521</v>
      </c>
      <c r="AI4221">
        <v>97.375338451960403</v>
      </c>
      <c r="AJ4221">
        <v>86.247535578483493</v>
      </c>
      <c r="AK4221">
        <v>0.49325091011042699</v>
      </c>
      <c r="AL4221">
        <v>85.265349780410403</v>
      </c>
      <c r="AM4221">
        <v>95.815183524840904</v>
      </c>
      <c r="AN4221">
        <v>0.99999999451876898</v>
      </c>
    </row>
    <row r="4222" spans="1:40" x14ac:dyDescent="0.25">
      <c r="A4222" t="str">
        <f>"20190305135715166"</f>
        <v>20190305135715166</v>
      </c>
      <c r="B4222" t="str">
        <f>"1551765435156917"</f>
        <v>1551765435156917</v>
      </c>
      <c r="C4222" t="s">
        <v>40</v>
      </c>
      <c r="D4222">
        <v>4.8085310000000003</v>
      </c>
      <c r="E4222">
        <v>0.54807139999999999</v>
      </c>
      <c r="F4222" t="s">
        <v>41</v>
      </c>
      <c r="G4222">
        <v>-302.87909999999999</v>
      </c>
      <c r="H4222">
        <v>1.0477719999999999</v>
      </c>
      <c r="I4222">
        <v>-9.3435810000000004</v>
      </c>
      <c r="J4222">
        <v>-302.96559999999999</v>
      </c>
      <c r="K4222">
        <v>1.109524</v>
      </c>
      <c r="L4222">
        <v>-8.7806090000000001</v>
      </c>
      <c r="M4222">
        <v>0.205542</v>
      </c>
      <c r="N4222">
        <v>-1.134486E-2</v>
      </c>
      <c r="O4222">
        <v>-0.97858250000000002</v>
      </c>
      <c r="P4222">
        <v>0.305033099999999</v>
      </c>
      <c r="Q4222">
        <v>7.7256080000000005E-2</v>
      </c>
      <c r="R4222">
        <v>-0.94920309999999997</v>
      </c>
      <c r="S4222">
        <v>0.52215579999999995</v>
      </c>
      <c r="T4222">
        <v>-0.2109674</v>
      </c>
      <c r="U4222">
        <v>-3.006195</v>
      </c>
      <c r="V4222">
        <v>-0.1033116</v>
      </c>
      <c r="W4222">
        <v>8.8610919999999996E-2</v>
      </c>
      <c r="X4222">
        <v>0.99069410000000002</v>
      </c>
      <c r="Y4222">
        <v>3.5305910000000003E-2</v>
      </c>
      <c r="Z4222">
        <v>5.6135209999999998E-2</v>
      </c>
      <c r="AA4222">
        <v>0.99779870000000004</v>
      </c>
      <c r="AB4222">
        <v>22</v>
      </c>
      <c r="AC4222">
        <v>8.6500000000000896E-2</v>
      </c>
      <c r="AD4222">
        <v>-6.1752000000000001E-2</v>
      </c>
      <c r="AE4222">
        <v>-0.56297200000000003</v>
      </c>
      <c r="AF4222">
        <v>3.0708055064498901E-2</v>
      </c>
      <c r="AG4222">
        <v>-6.1752000000000001E-2</v>
      </c>
      <c r="AH4222">
        <v>0.56212321601602</v>
      </c>
      <c r="AI4222">
        <v>96.259825813696906</v>
      </c>
      <c r="AJ4222">
        <v>86.873114650210596</v>
      </c>
      <c r="AK4222">
        <v>0.56633806523492503</v>
      </c>
      <c r="AL4222">
        <v>84.916300578802904</v>
      </c>
      <c r="AM4222">
        <v>95.953402322800102</v>
      </c>
      <c r="AN4222">
        <v>0.99999999080630797</v>
      </c>
    </row>
    <row r="4223" spans="1:40" x14ac:dyDescent="0.25">
      <c r="A4223" t="str">
        <f>"20190305135715200"</f>
        <v>20190305135715200</v>
      </c>
      <c r="B4223" t="str">
        <f>"1551765435196442"</f>
        <v>1551765435196442</v>
      </c>
      <c r="C4223" t="s">
        <v>40</v>
      </c>
      <c r="D4223">
        <v>4.8741709999999996</v>
      </c>
      <c r="E4223">
        <v>0.54823259999999996</v>
      </c>
      <c r="F4223" t="s">
        <v>42</v>
      </c>
      <c r="G4223">
        <v>-300.09129999999999</v>
      </c>
      <c r="H4223" s="1">
        <v>-2.2559880000000002E-6</v>
      </c>
      <c r="I4223">
        <v>-25.208739999999999</v>
      </c>
      <c r="J4223">
        <v>-302.89800000000002</v>
      </c>
      <c r="K4223">
        <v>1.1092379999999999</v>
      </c>
      <c r="L4223">
        <v>-9.1085510000000003</v>
      </c>
      <c r="M4223">
        <v>0.2043267</v>
      </c>
      <c r="N4223">
        <v>-1.0829139999999999E-2</v>
      </c>
      <c r="O4223">
        <v>-0.97884309999999997</v>
      </c>
      <c r="P4223">
        <v>0.30619619999999997</v>
      </c>
      <c r="Q4223">
        <v>7.9320589999999996E-2</v>
      </c>
      <c r="R4223">
        <v>-0.94865860000000002</v>
      </c>
      <c r="S4223">
        <v>0.52627559999999995</v>
      </c>
      <c r="T4223">
        <v>-0.20315240000000001</v>
      </c>
      <c r="U4223">
        <v>-3.007965</v>
      </c>
      <c r="V4223">
        <v>-0.1057353</v>
      </c>
      <c r="W4223">
        <v>9.0229000000000004E-2</v>
      </c>
      <c r="X4223">
        <v>0.99029230000000001</v>
      </c>
      <c r="Y4223">
        <v>3.281916E-2</v>
      </c>
      <c r="Z4223">
        <v>5.4142500000000003E-2</v>
      </c>
      <c r="AA4223">
        <v>0.99799369999999998</v>
      </c>
      <c r="AB4223">
        <v>22</v>
      </c>
      <c r="AC4223">
        <v>2.80669999999997</v>
      </c>
      <c r="AD4223">
        <v>-1.1092402559879999</v>
      </c>
      <c r="AE4223">
        <v>-16.100189</v>
      </c>
      <c r="AF4223">
        <v>0.53992397781559198</v>
      </c>
      <c r="AG4223">
        <v>-1.1092402559879999</v>
      </c>
      <c r="AH4223">
        <v>16.2590960831754</v>
      </c>
      <c r="AI4223">
        <v>93.900684653374796</v>
      </c>
      <c r="AJ4223">
        <v>88.098049157041899</v>
      </c>
      <c r="AK4223">
        <v>16.305831389084499</v>
      </c>
      <c r="AL4223">
        <v>84.823218744795696</v>
      </c>
      <c r="AM4223">
        <v>96.094484511290204</v>
      </c>
      <c r="AN4223">
        <v>1.0000000327731799</v>
      </c>
    </row>
    <row r="4224" spans="1:40" x14ac:dyDescent="0.25">
      <c r="A4224" t="str">
        <f>"20190305135715234"</f>
        <v>20190305135715234</v>
      </c>
      <c r="B4224" t="str">
        <f>"1551765435226698"</f>
        <v>1551765435226698</v>
      </c>
      <c r="C4224" t="s">
        <v>40</v>
      </c>
      <c r="D4224">
        <v>4.8840389999999996</v>
      </c>
      <c r="E4224">
        <v>0.54839839999999995</v>
      </c>
      <c r="F4224" t="s">
        <v>42</v>
      </c>
      <c r="G4224">
        <v>-300.06599999999997</v>
      </c>
      <c r="H4224" s="1">
        <v>-2.24449E-6</v>
      </c>
      <c r="I4224">
        <v>-25.21988</v>
      </c>
      <c r="J4224">
        <v>-302.82900000000001</v>
      </c>
      <c r="K4224">
        <v>1.1088530000000001</v>
      </c>
      <c r="L4224">
        <v>-9.4493709999999993</v>
      </c>
      <c r="M4224">
        <v>0.2023093</v>
      </c>
      <c r="N4224">
        <v>-1.010959E-2</v>
      </c>
      <c r="O4224">
        <v>-0.97926959999999996</v>
      </c>
      <c r="P4224">
        <v>0.30707109999999999</v>
      </c>
      <c r="Q4224">
        <v>8.1658110000000006E-2</v>
      </c>
      <c r="R4224">
        <v>-0.94817680000000004</v>
      </c>
      <c r="S4224">
        <v>0.52890009999999998</v>
      </c>
      <c r="T4224">
        <v>-0.20716309999999999</v>
      </c>
      <c r="U4224">
        <v>-3.008972</v>
      </c>
      <c r="V4224">
        <v>-0.108663</v>
      </c>
      <c r="W4224">
        <v>9.1933260000000003E-2</v>
      </c>
      <c r="X4224">
        <v>0.98981850000000005</v>
      </c>
      <c r="Y4224">
        <v>2.999158E-2</v>
      </c>
      <c r="Z4224">
        <v>5.6139670000000003E-2</v>
      </c>
      <c r="AA4224">
        <v>0.99797239999999998</v>
      </c>
      <c r="AB4224">
        <v>22</v>
      </c>
      <c r="AC4224">
        <v>2.7630000000000301</v>
      </c>
      <c r="AD4224">
        <v>-1.1088552444899999</v>
      </c>
      <c r="AE4224">
        <v>-15.770509000000001</v>
      </c>
      <c r="AF4224">
        <v>0.48250908374058199</v>
      </c>
      <c r="AG4224">
        <v>-1.1088552444899999</v>
      </c>
      <c r="AH4224">
        <v>15.926982407773799</v>
      </c>
      <c r="AI4224">
        <v>93.980752732461596</v>
      </c>
      <c r="AJ4224">
        <v>88.264750952222897</v>
      </c>
      <c r="AK4224">
        <v>15.9728251598351</v>
      </c>
      <c r="AL4224">
        <v>84.725164183462496</v>
      </c>
      <c r="AM4224">
        <v>96.264885289400695</v>
      </c>
      <c r="AN4224">
        <v>1.0000000174027299</v>
      </c>
    </row>
    <row r="4225" spans="1:40" x14ac:dyDescent="0.25">
      <c r="A4225" t="str">
        <f>"20190305135715268"</f>
        <v>20190305135715268</v>
      </c>
      <c r="B4225" t="str">
        <f>"1551765435256954"</f>
        <v>1551765435256954</v>
      </c>
      <c r="C4225" t="s">
        <v>40</v>
      </c>
      <c r="D4225">
        <v>4.8812769999999999</v>
      </c>
      <c r="E4225">
        <v>0.54853180000000001</v>
      </c>
      <c r="F4225" t="s">
        <v>41</v>
      </c>
      <c r="G4225">
        <v>-302.6739</v>
      </c>
      <c r="H4225">
        <v>1.048316</v>
      </c>
      <c r="I4225">
        <v>-10.32995</v>
      </c>
      <c r="J4225">
        <v>-302.76139999999998</v>
      </c>
      <c r="K4225">
        <v>1.108466</v>
      </c>
      <c r="L4225">
        <v>-9.7908629999999999</v>
      </c>
      <c r="M4225">
        <v>0.199604</v>
      </c>
      <c r="N4225">
        <v>-9.3241490000000003E-3</v>
      </c>
      <c r="O4225">
        <v>-0.97983240000000005</v>
      </c>
      <c r="P4225">
        <v>0.30637350000000002</v>
      </c>
      <c r="Q4225">
        <v>8.5010660000000002E-2</v>
      </c>
      <c r="R4225">
        <v>-0.94810819999999996</v>
      </c>
      <c r="S4225">
        <v>0.53042599999999995</v>
      </c>
      <c r="T4225">
        <v>-0.20691670000000001</v>
      </c>
      <c r="U4225">
        <v>-3.0100099999999999</v>
      </c>
      <c r="V4225">
        <v>-0.1106586</v>
      </c>
      <c r="W4225">
        <v>9.4585279999999994E-2</v>
      </c>
      <c r="X4225">
        <v>0.98934739999999999</v>
      </c>
      <c r="Y4225">
        <v>2.680658E-2</v>
      </c>
      <c r="Z4225">
        <v>5.6863990000000003E-2</v>
      </c>
      <c r="AA4225">
        <v>0.99802199999999996</v>
      </c>
      <c r="AB4225">
        <v>23</v>
      </c>
      <c r="AC4225">
        <v>8.7499999999977193E-2</v>
      </c>
      <c r="AD4225">
        <v>-6.0149999999999898E-2</v>
      </c>
      <c r="AE4225">
        <v>-0.53908699999999998</v>
      </c>
      <c r="AF4225">
        <v>2.16074369054945E-2</v>
      </c>
      <c r="AG4225">
        <v>-6.0149999999999898E-2</v>
      </c>
      <c r="AH4225">
        <v>0.53916387057895299</v>
      </c>
      <c r="AI4225">
        <v>96.360624633989701</v>
      </c>
      <c r="AJ4225">
        <v>87.7050524599684</v>
      </c>
      <c r="AK4225">
        <v>0.542938839251073</v>
      </c>
      <c r="AL4225">
        <v>84.572549317838707</v>
      </c>
      <c r="AM4225">
        <v>96.382012616166804</v>
      </c>
      <c r="AN4225">
        <v>0.99999998941669899</v>
      </c>
    </row>
    <row r="4226" spans="1:40" x14ac:dyDescent="0.25">
      <c r="A4226" t="str">
        <f>"20190305135715303"</f>
        <v>20190305135715303</v>
      </c>
      <c r="B4226" t="str">
        <f>"1551765435296970"</f>
        <v>1551765435296970</v>
      </c>
      <c r="C4226" t="s">
        <v>40</v>
      </c>
      <c r="D4226">
        <v>4.7350130000000004</v>
      </c>
      <c r="E4226">
        <v>0.54902069999999903</v>
      </c>
      <c r="F4226" t="s">
        <v>42</v>
      </c>
      <c r="G4226">
        <v>-299.90440000000001</v>
      </c>
      <c r="H4226" s="1">
        <v>-1.8461819999999999E-6</v>
      </c>
      <c r="I4226">
        <v>-26.103259999999999</v>
      </c>
      <c r="J4226">
        <v>-302.69290000000001</v>
      </c>
      <c r="K4226">
        <v>1.1080920000000001</v>
      </c>
      <c r="L4226">
        <v>-10.146420000000001</v>
      </c>
      <c r="M4226">
        <v>0.19615199999999999</v>
      </c>
      <c r="N4226">
        <v>-8.5063080000000006E-3</v>
      </c>
      <c r="O4226">
        <v>-0.98053679999999999</v>
      </c>
      <c r="P4226">
        <v>0.30427739999999998</v>
      </c>
      <c r="Q4226">
        <v>8.1872630000000002E-2</v>
      </c>
      <c r="R4226">
        <v>-0.94905890000000004</v>
      </c>
      <c r="S4226">
        <v>0.52755739999999995</v>
      </c>
      <c r="T4226">
        <v>-0.20467869999999999</v>
      </c>
      <c r="U4226">
        <v>-3.0120849999999999</v>
      </c>
      <c r="V4226">
        <v>-0.1118628</v>
      </c>
      <c r="W4226">
        <v>9.0711009999999995E-2</v>
      </c>
      <c r="X4226">
        <v>0.98957479999999998</v>
      </c>
      <c r="Y4226">
        <v>2.4326919999999998E-2</v>
      </c>
      <c r="Z4226">
        <v>5.698454E-2</v>
      </c>
      <c r="AA4226">
        <v>0.99807860000000004</v>
      </c>
      <c r="AB4226">
        <v>23</v>
      </c>
      <c r="AC4226">
        <v>2.7884999999999902</v>
      </c>
      <c r="AD4226">
        <v>-1.108093846182</v>
      </c>
      <c r="AE4226">
        <v>-15.95684</v>
      </c>
      <c r="AF4226">
        <v>0.39391017152508201</v>
      </c>
      <c r="AG4226">
        <v>-1.108093846182</v>
      </c>
      <c r="AH4226">
        <v>16.118396205992699</v>
      </c>
      <c r="AI4226">
        <v>93.931563714345003</v>
      </c>
      <c r="AJ4226">
        <v>88.6000530993702</v>
      </c>
      <c r="AK4226">
        <v>16.1612417050342</v>
      </c>
      <c r="AL4226">
        <v>84.795487868225507</v>
      </c>
      <c r="AM4226">
        <v>96.449410224873404</v>
      </c>
      <c r="AN4226">
        <v>1.0000000290770401</v>
      </c>
    </row>
    <row r="4227" spans="1:40" x14ac:dyDescent="0.25">
      <c r="A4227" t="str">
        <f>"20190305135715335"</f>
        <v>20190305135715335</v>
      </c>
      <c r="B4227" t="str">
        <f>"1551765435326250"</f>
        <v>1551765435326250</v>
      </c>
      <c r="C4227" t="s">
        <v>40</v>
      </c>
      <c r="D4227">
        <v>4.7838820000000002</v>
      </c>
      <c r="E4227">
        <v>0.54995989999999995</v>
      </c>
      <c r="F4227" t="s">
        <v>41</v>
      </c>
      <c r="G4227">
        <v>-302.5564</v>
      </c>
      <c r="H4227">
        <v>1.050154</v>
      </c>
      <c r="I4227">
        <v>-10.94318</v>
      </c>
      <c r="J4227">
        <v>-302.63240000000002</v>
      </c>
      <c r="K4227">
        <v>1.107809</v>
      </c>
      <c r="L4227">
        <v>-10.46869</v>
      </c>
      <c r="M4227">
        <v>0.1926186</v>
      </c>
      <c r="N4227">
        <v>-7.8049790000000001E-3</v>
      </c>
      <c r="O4227">
        <v>-0.98124279999999997</v>
      </c>
      <c r="P4227">
        <v>0.30169649999999998</v>
      </c>
      <c r="Q4227">
        <v>7.6775010000000005E-2</v>
      </c>
      <c r="R4227">
        <v>-0.95030809999999999</v>
      </c>
      <c r="S4227">
        <v>0.51724239999999999</v>
      </c>
      <c r="T4227">
        <v>-0.21901689999999999</v>
      </c>
      <c r="U4227">
        <v>-3.0140690000000001</v>
      </c>
      <c r="V4227">
        <v>-0.1126419</v>
      </c>
      <c r="W4227">
        <v>8.4973099999999996E-2</v>
      </c>
      <c r="X4227">
        <v>0.98999570000000003</v>
      </c>
      <c r="Y4227">
        <v>2.4206829999999999E-2</v>
      </c>
      <c r="Z4227">
        <v>6.2273830000000002E-2</v>
      </c>
      <c r="AA4227">
        <v>0.99776549999999997</v>
      </c>
      <c r="AB4227">
        <v>23</v>
      </c>
      <c r="AC4227">
        <v>7.60000000000218E-2</v>
      </c>
      <c r="AD4227">
        <v>-5.7654999999999998E-2</v>
      </c>
      <c r="AE4227">
        <v>-0.47449000000000102</v>
      </c>
      <c r="AF4227">
        <v>1.6582941577163099E-2</v>
      </c>
      <c r="AG4227">
        <v>-5.7654999999999998E-2</v>
      </c>
      <c r="AH4227">
        <v>0.47342836310891601</v>
      </c>
      <c r="AI4227">
        <v>96.939183419517605</v>
      </c>
      <c r="AJ4227">
        <v>87.993900774254399</v>
      </c>
      <c r="AK4227">
        <v>0.47721432079553</v>
      </c>
      <c r="AL4227">
        <v>85.125522255327894</v>
      </c>
      <c r="AM4227">
        <v>96.4912092145223</v>
      </c>
      <c r="AN4227">
        <v>1.00000005568885</v>
      </c>
    </row>
    <row r="4228" spans="1:40" x14ac:dyDescent="0.25">
      <c r="A4228" t="str">
        <f>"20190305135715368"</f>
        <v>20190305135715368</v>
      </c>
      <c r="B4228" t="str">
        <f>"1551765435356507"</f>
        <v>1551765435356507</v>
      </c>
      <c r="C4228" t="s">
        <v>40</v>
      </c>
      <c r="D4228">
        <v>4.858053</v>
      </c>
      <c r="E4228">
        <v>0.55050350000000003</v>
      </c>
      <c r="F4228" t="s">
        <v>41</v>
      </c>
      <c r="G4228">
        <v>-302.48750000000001</v>
      </c>
      <c r="H4228">
        <v>1.0398000000000001</v>
      </c>
      <c r="I4228">
        <v>-11.341559999999999</v>
      </c>
      <c r="J4228">
        <v>-302.57</v>
      </c>
      <c r="K4228">
        <v>1.1075999999999999</v>
      </c>
      <c r="L4228">
        <v>-10.80963</v>
      </c>
      <c r="M4228">
        <v>0.18862899999999999</v>
      </c>
      <c r="N4228">
        <v>-7.1286630000000004E-3</v>
      </c>
      <c r="O4228">
        <v>-0.98202259999999997</v>
      </c>
      <c r="P4228">
        <v>0.29916279999999901</v>
      </c>
      <c r="Q4228">
        <v>7.5379829999999995E-2</v>
      </c>
      <c r="R4228">
        <v>-0.95122019999999996</v>
      </c>
      <c r="S4228">
        <v>0.5017395</v>
      </c>
      <c r="T4228">
        <v>-0.2348258</v>
      </c>
      <c r="U4228">
        <v>-3.0165709999999999</v>
      </c>
      <c r="V4228">
        <v>-0.1139911</v>
      </c>
      <c r="W4228">
        <v>8.2948469999999996E-2</v>
      </c>
      <c r="X4228">
        <v>0.99001289999999997</v>
      </c>
      <c r="Y4228">
        <v>2.532862E-2</v>
      </c>
      <c r="Z4228">
        <v>6.8011719999999998E-2</v>
      </c>
      <c r="AA4228">
        <v>0.997363</v>
      </c>
      <c r="AB4228">
        <v>23</v>
      </c>
      <c r="AC4228">
        <v>8.2499999999981796E-2</v>
      </c>
      <c r="AD4228">
        <v>-6.7799999999999805E-2</v>
      </c>
      <c r="AE4228">
        <v>-0.53193000000000001</v>
      </c>
      <c r="AF4228">
        <v>1.9019316818906201E-2</v>
      </c>
      <c r="AG4228">
        <v>-6.7799999999999805E-2</v>
      </c>
      <c r="AH4228">
        <v>0.52954188022140203</v>
      </c>
      <c r="AI4228">
        <v>97.291529673423994</v>
      </c>
      <c r="AJ4228">
        <v>87.943017532515597</v>
      </c>
      <c r="AK4228">
        <v>0.53420331084772898</v>
      </c>
      <c r="AL4228">
        <v>85.241935716680302</v>
      </c>
      <c r="AM4228">
        <v>96.568170941189095</v>
      </c>
      <c r="AN4228">
        <v>0.99999998086048003</v>
      </c>
    </row>
    <row r="4229" spans="1:40" x14ac:dyDescent="0.25">
      <c r="A4229" t="str">
        <f>"20190305135715401"</f>
        <v>20190305135715401</v>
      </c>
      <c r="B4229" t="str">
        <f>"1551765435396522"</f>
        <v>1551765435396522</v>
      </c>
      <c r="C4229" t="s">
        <v>40</v>
      </c>
      <c r="D4229">
        <v>4.8390610000000001</v>
      </c>
      <c r="E4229">
        <v>0.55032700000000001</v>
      </c>
      <c r="F4229" t="s">
        <v>41</v>
      </c>
      <c r="G4229">
        <v>-302.44909999999999</v>
      </c>
      <c r="H4229">
        <v>1.0492619999999999</v>
      </c>
      <c r="I4229">
        <v>-11.55691</v>
      </c>
      <c r="J4229">
        <v>-302.50749999999999</v>
      </c>
      <c r="K4229">
        <v>1.1074809999999999</v>
      </c>
      <c r="L4229">
        <v>-11.160740000000001</v>
      </c>
      <c r="M4229">
        <v>0.18440970000000001</v>
      </c>
      <c r="N4229">
        <v>-6.5090319999999997E-3</v>
      </c>
      <c r="O4229">
        <v>-0.98282809999999998</v>
      </c>
      <c r="P4229">
        <v>0.29543199999999997</v>
      </c>
      <c r="Q4229">
        <v>7.7372830000000004E-2</v>
      </c>
      <c r="R4229">
        <v>-0.95222560000000001</v>
      </c>
      <c r="S4229">
        <v>0.4888306</v>
      </c>
      <c r="T4229">
        <v>-0.23556450000000001</v>
      </c>
      <c r="U4229">
        <v>-3.0187680000000001</v>
      </c>
      <c r="V4229">
        <v>-0.1143752</v>
      </c>
      <c r="W4229">
        <v>8.4344500000000003E-2</v>
      </c>
      <c r="X4229">
        <v>0.98985060000000002</v>
      </c>
      <c r="Y4229">
        <v>2.531541E-2</v>
      </c>
      <c r="Z4229">
        <v>6.8913810000000006E-2</v>
      </c>
      <c r="AA4229">
        <v>0.99730129999999995</v>
      </c>
      <c r="AB4229">
        <v>23</v>
      </c>
      <c r="AC4229">
        <v>5.8400000000005899E-2</v>
      </c>
      <c r="AD4229">
        <v>-5.8218999999999799E-2</v>
      </c>
      <c r="AE4229">
        <v>-0.39617000000000102</v>
      </c>
      <c r="AF4229">
        <v>1.5336598791522099E-2</v>
      </c>
      <c r="AG4229">
        <v>-5.8218999999999799E-2</v>
      </c>
      <c r="AH4229">
        <v>0.39186239278101898</v>
      </c>
      <c r="AI4229">
        <v>98.444247930287602</v>
      </c>
      <c r="AJ4229">
        <v>87.758717991927</v>
      </c>
      <c r="AK4229">
        <v>0.39646033609878001</v>
      </c>
      <c r="AL4229">
        <v>85.161667611181798</v>
      </c>
      <c r="AM4229">
        <v>96.591179474384305</v>
      </c>
      <c r="AN4229">
        <v>0.99999994568782302</v>
      </c>
    </row>
    <row r="4230" spans="1:40" x14ac:dyDescent="0.25">
      <c r="A4230" t="str">
        <f>"20190305135715435"</f>
        <v>20190305135715435</v>
      </c>
      <c r="B4230" t="str">
        <f>"1551765435426781"</f>
        <v>1551765435426781</v>
      </c>
      <c r="C4230" t="s">
        <v>40</v>
      </c>
      <c r="D4230">
        <v>4.7276559999999996</v>
      </c>
      <c r="E4230">
        <v>0.55014719999999995</v>
      </c>
      <c r="F4230" t="s">
        <v>41</v>
      </c>
      <c r="G4230">
        <v>-302.37869999999998</v>
      </c>
      <c r="H4230">
        <v>1.04596</v>
      </c>
      <c r="I4230">
        <v>-11.973789999999999</v>
      </c>
      <c r="J4230">
        <v>-302.44499999999999</v>
      </c>
      <c r="K4230">
        <v>1.1074280000000001</v>
      </c>
      <c r="L4230">
        <v>-11.52054</v>
      </c>
      <c r="M4230">
        <v>0.1800909</v>
      </c>
      <c r="N4230">
        <v>-5.9509919999999996E-3</v>
      </c>
      <c r="O4230">
        <v>-0.98363199999999995</v>
      </c>
      <c r="P4230">
        <v>0.2907652</v>
      </c>
      <c r="Q4230">
        <v>7.9907370000000005E-2</v>
      </c>
      <c r="R4230">
        <v>-0.95345219999999997</v>
      </c>
      <c r="S4230">
        <v>0.47924800000000001</v>
      </c>
      <c r="T4230">
        <v>-0.22835279999999999</v>
      </c>
      <c r="U4230">
        <v>-3.0203859999999998</v>
      </c>
      <c r="V4230">
        <v>-0.11390260000000001</v>
      </c>
      <c r="W4230">
        <v>8.6325650000000004E-2</v>
      </c>
      <c r="X4230">
        <v>0.98973440000000001</v>
      </c>
      <c r="Y4230">
        <v>2.4075289999999999E-2</v>
      </c>
      <c r="Z4230">
        <v>6.723469E-2</v>
      </c>
      <c r="AA4230">
        <v>0.99744670000000002</v>
      </c>
      <c r="AB4230">
        <v>24</v>
      </c>
      <c r="AC4230">
        <v>6.6300000000012405E-2</v>
      </c>
      <c r="AD4230">
        <v>-6.1468000000000002E-2</v>
      </c>
      <c r="AE4230">
        <v>-0.45324999999999999</v>
      </c>
      <c r="AF4230">
        <v>1.6121399847329E-2</v>
      </c>
      <c r="AG4230">
        <v>-6.1468000000000002E-2</v>
      </c>
      <c r="AH4230">
        <v>0.449682146350525</v>
      </c>
      <c r="AI4230">
        <v>97.778705585383094</v>
      </c>
      <c r="AJ4230">
        <v>87.946788072282402</v>
      </c>
      <c r="AK4230">
        <v>0.45415002730755499</v>
      </c>
      <c r="AL4230">
        <v>85.047741005906502</v>
      </c>
      <c r="AM4230">
        <v>96.564946742189093</v>
      </c>
      <c r="AN4230">
        <v>1.0000000513390199</v>
      </c>
    </row>
    <row r="4231" spans="1:40" x14ac:dyDescent="0.25">
      <c r="A4231" t="str">
        <f>"20190305135715468"</f>
        <v>20190305135715468</v>
      </c>
      <c r="B4231" t="str">
        <f>"1551765435457034"</f>
        <v>1551765435457034</v>
      </c>
      <c r="C4231" t="s">
        <v>40</v>
      </c>
      <c r="D4231">
        <v>4.8468460000000002</v>
      </c>
      <c r="E4231">
        <v>0.55017950000000004</v>
      </c>
      <c r="F4231" t="s">
        <v>41</v>
      </c>
      <c r="G4231">
        <v>-302.31009999999998</v>
      </c>
      <c r="H4231">
        <v>1.043104</v>
      </c>
      <c r="I4231">
        <v>-12.39663</v>
      </c>
      <c r="J4231">
        <v>-302.38490000000002</v>
      </c>
      <c r="K4231">
        <v>1.1074079999999999</v>
      </c>
      <c r="L4231">
        <v>-11.875209999999999</v>
      </c>
      <c r="M4231">
        <v>0.1759078</v>
      </c>
      <c r="N4231">
        <v>-5.4803200000000003E-3</v>
      </c>
      <c r="O4231">
        <v>-0.98439140000000003</v>
      </c>
      <c r="P4231">
        <v>0.28535779999999999</v>
      </c>
      <c r="Q4231">
        <v>8.2053029999999999E-2</v>
      </c>
      <c r="R4231">
        <v>-0.95490229999999998</v>
      </c>
      <c r="S4231">
        <v>0.46643069999999998</v>
      </c>
      <c r="T4231">
        <v>-0.2217674</v>
      </c>
      <c r="U4231">
        <v>-3.0227970000000002</v>
      </c>
      <c r="V4231">
        <v>-0.1125292</v>
      </c>
      <c r="W4231">
        <v>8.7994429999999998E-2</v>
      </c>
      <c r="X4231">
        <v>0.98974450000000003</v>
      </c>
      <c r="Y4231">
        <v>2.4060430000000001E-2</v>
      </c>
      <c r="Z4231">
        <v>6.564536E-2</v>
      </c>
      <c r="AA4231">
        <v>0.99755289999999996</v>
      </c>
      <c r="AB4231">
        <v>24</v>
      </c>
      <c r="AC4231">
        <v>7.4800000000038794E-2</v>
      </c>
      <c r="AD4231">
        <v>-6.4303999999999903E-2</v>
      </c>
      <c r="AE4231">
        <v>-0.521419999999999</v>
      </c>
      <c r="AF4231">
        <v>1.7824020588537399E-2</v>
      </c>
      <c r="AG4231">
        <v>-6.4303999999999903E-2</v>
      </c>
      <c r="AH4231">
        <v>0.51871708027849095</v>
      </c>
      <c r="AI4231">
        <v>97.062628543098697</v>
      </c>
      <c r="AJ4231">
        <v>88.031991733786001</v>
      </c>
      <c r="AK4231">
        <v>0.52299150040759101</v>
      </c>
      <c r="AL4231">
        <v>84.951761462342702</v>
      </c>
      <c r="AM4231">
        <v>96.486401833975705</v>
      </c>
      <c r="AN4231">
        <v>1.00000000792195</v>
      </c>
    </row>
    <row r="4232" spans="1:40" x14ac:dyDescent="0.25">
      <c r="A4232" t="str">
        <f>"20190305135715504"</f>
        <v>20190305135715504</v>
      </c>
      <c r="B4232" t="str">
        <f>"1551765435497051"</f>
        <v>1551765435497051</v>
      </c>
      <c r="C4232" t="s">
        <v>40</v>
      </c>
      <c r="D4232">
        <v>4.9078759999999999</v>
      </c>
      <c r="E4232">
        <v>0.55123809999999995</v>
      </c>
      <c r="F4232" t="s">
        <v>42</v>
      </c>
      <c r="G4232">
        <v>-300.06569999999999</v>
      </c>
      <c r="H4232" s="1">
        <v>-1.2571439999999999E-6</v>
      </c>
      <c r="I4232">
        <v>-27.52122</v>
      </c>
      <c r="J4232">
        <v>-302.32150000000001</v>
      </c>
      <c r="K4232">
        <v>1.1074109999999999</v>
      </c>
      <c r="L4232">
        <v>-12.25925</v>
      </c>
      <c r="M4232">
        <v>0.1715014</v>
      </c>
      <c r="N4232">
        <v>-5.061856E-3</v>
      </c>
      <c r="O4232">
        <v>-0.98517109999999997</v>
      </c>
      <c r="P4232">
        <v>0.27899889999999999</v>
      </c>
      <c r="Q4232">
        <v>8.3120089999999994E-2</v>
      </c>
      <c r="R4232">
        <v>-0.95668750000000002</v>
      </c>
      <c r="S4232">
        <v>0.44854739999999999</v>
      </c>
      <c r="T4232">
        <v>-0.21417949999999999</v>
      </c>
      <c r="U4232">
        <v>-3.0260310000000001</v>
      </c>
      <c r="V4232">
        <v>-0.11039</v>
      </c>
      <c r="W4232">
        <v>8.8632310000000006E-2</v>
      </c>
      <c r="X4232">
        <v>0.98992849999999999</v>
      </c>
      <c r="Y4232">
        <v>2.5492049999999999E-2</v>
      </c>
      <c r="Z4232">
        <v>6.3671039999999998E-2</v>
      </c>
      <c r="AA4232">
        <v>0.99764529999999996</v>
      </c>
      <c r="AB4232">
        <v>24</v>
      </c>
      <c r="AC4232">
        <v>2.2558000000000198</v>
      </c>
      <c r="AD4232">
        <v>-1.1074122571439999</v>
      </c>
      <c r="AE4232">
        <v>-15.26197</v>
      </c>
      <c r="AF4232">
        <v>0.393079911989693</v>
      </c>
      <c r="AG4232">
        <v>-1.1074122571439999</v>
      </c>
      <c r="AH4232">
        <v>15.343661659317201</v>
      </c>
      <c r="AI4232">
        <v>94.126753953217502</v>
      </c>
      <c r="AJ4232">
        <v>88.532495347608602</v>
      </c>
      <c r="AK4232">
        <v>15.388594050142499</v>
      </c>
      <c r="AL4232">
        <v>84.915070415360404</v>
      </c>
      <c r="AM4232">
        <v>96.362942365735094</v>
      </c>
      <c r="AN4232">
        <v>1.00000003679409</v>
      </c>
    </row>
    <row r="4233" spans="1:40" x14ac:dyDescent="0.25">
      <c r="A4233" t="str">
        <f>"20190305135715536"</f>
        <v>20190305135715536</v>
      </c>
      <c r="B4233" t="str">
        <f>"1551765435526330"</f>
        <v>1551765435526330</v>
      </c>
      <c r="C4233" t="s">
        <v>40</v>
      </c>
      <c r="D4233">
        <v>4.800306</v>
      </c>
      <c r="E4233">
        <v>0.55432749999999997</v>
      </c>
      <c r="F4233" t="s">
        <v>41</v>
      </c>
      <c r="G4233">
        <v>-302.21190000000001</v>
      </c>
      <c r="H4233">
        <v>1.052397</v>
      </c>
      <c r="I4233">
        <v>-13.05311</v>
      </c>
      <c r="J4233">
        <v>-302.2654</v>
      </c>
      <c r="K4233">
        <v>1.1074040000000001</v>
      </c>
      <c r="L4233">
        <v>-12.60812</v>
      </c>
      <c r="M4233">
        <v>0.1675808</v>
      </c>
      <c r="N4233">
        <v>-4.7517610000000002E-3</v>
      </c>
      <c r="O4233">
        <v>-0.98584689999999997</v>
      </c>
      <c r="P4233">
        <v>0.2745282</v>
      </c>
      <c r="Q4233">
        <v>8.3562269999999994E-2</v>
      </c>
      <c r="R4233">
        <v>-0.95794179999999995</v>
      </c>
      <c r="S4233">
        <v>0.4196472</v>
      </c>
      <c r="T4233">
        <v>-0.20981440000000001</v>
      </c>
      <c r="U4233">
        <v>-3.0316770000000002</v>
      </c>
      <c r="V4233">
        <v>-0.1097132</v>
      </c>
      <c r="W4233">
        <v>8.8761980000000004E-2</v>
      </c>
      <c r="X4233">
        <v>0.98999210000000004</v>
      </c>
      <c r="Y4233">
        <v>3.1092479999999999E-2</v>
      </c>
      <c r="Z4233">
        <v>6.2562930000000003E-2</v>
      </c>
      <c r="AA4233">
        <v>0.99755660000000002</v>
      </c>
      <c r="AB4233">
        <v>24</v>
      </c>
      <c r="AC4233">
        <v>5.34999999999854E-2</v>
      </c>
      <c r="AD4233">
        <v>-5.5007E-2</v>
      </c>
      <c r="AE4233">
        <v>-0.44499</v>
      </c>
      <c r="AF4233">
        <v>2.1505289637304002E-2</v>
      </c>
      <c r="AG4233">
        <v>-5.5007E-2</v>
      </c>
      <c r="AH4233">
        <v>0.44101968899942201</v>
      </c>
      <c r="AI4233">
        <v>97.101255337511802</v>
      </c>
      <c r="AJ4233">
        <v>87.208317123335902</v>
      </c>
      <c r="AK4233">
        <v>0.44495686714167199</v>
      </c>
      <c r="AL4233">
        <v>84.907611370962897</v>
      </c>
      <c r="AM4233">
        <v>96.323845285176006</v>
      </c>
      <c r="AN4233">
        <v>1.00000001670508</v>
      </c>
    </row>
    <row r="4234" spans="1:40" x14ac:dyDescent="0.25">
      <c r="A4234" t="str">
        <f>"20190305135715569"</f>
        <v>20190305135715569</v>
      </c>
      <c r="B4234" t="str">
        <f>"1551765435556587"</f>
        <v>1551765435556587</v>
      </c>
      <c r="C4234" t="s">
        <v>40</v>
      </c>
      <c r="D4234">
        <v>4.6859310000000001</v>
      </c>
      <c r="E4234">
        <v>0.55698610000000004</v>
      </c>
      <c r="F4234" t="s">
        <v>41</v>
      </c>
      <c r="G4234">
        <v>-302.1549</v>
      </c>
      <c r="H4234">
        <v>1.047301</v>
      </c>
      <c r="I4234">
        <v>-13.488110000000001</v>
      </c>
      <c r="J4234">
        <v>-302.20839999999998</v>
      </c>
      <c r="K4234">
        <v>1.107391</v>
      </c>
      <c r="L4234">
        <v>-12.970370000000001</v>
      </c>
      <c r="M4234">
        <v>0.16355919999999999</v>
      </c>
      <c r="N4234">
        <v>-4.4897909999999999E-3</v>
      </c>
      <c r="O4234">
        <v>-0.98652340000000005</v>
      </c>
      <c r="P4234">
        <v>0.27065879999999998</v>
      </c>
      <c r="Q4234">
        <v>8.5506899999999997E-2</v>
      </c>
      <c r="R4234">
        <v>-0.95887060000000002</v>
      </c>
      <c r="S4234">
        <v>0.38177489999999997</v>
      </c>
      <c r="T4234">
        <v>-0.20754359999999999</v>
      </c>
      <c r="U4234">
        <v>-3.0404049999999998</v>
      </c>
      <c r="V4234">
        <v>-0.10977389999999999</v>
      </c>
      <c r="W4234">
        <v>9.0448420000000002E-2</v>
      </c>
      <c r="X4234">
        <v>0.98983270000000001</v>
      </c>
      <c r="Y4234">
        <v>3.9612010000000003E-2</v>
      </c>
      <c r="Z4234">
        <v>6.2013409999999998E-2</v>
      </c>
      <c r="AA4234">
        <v>0.99728890000000003</v>
      </c>
      <c r="AB4234">
        <v>25</v>
      </c>
      <c r="AC4234">
        <v>5.34999999999854E-2</v>
      </c>
      <c r="AD4234">
        <v>-6.00899999999999E-2</v>
      </c>
      <c r="AE4234">
        <v>-0.51774000000000098</v>
      </c>
      <c r="AF4234">
        <v>3.1482850291801402E-2</v>
      </c>
      <c r="AG4234">
        <v>-6.00899999999999E-2</v>
      </c>
      <c r="AH4234">
        <v>0.51268511151065699</v>
      </c>
      <c r="AI4234">
        <v>96.672479756347997</v>
      </c>
      <c r="AJ4234">
        <v>86.486006407990303</v>
      </c>
      <c r="AK4234">
        <v>0.51715375037525502</v>
      </c>
      <c r="AL4234">
        <v>84.810595118102597</v>
      </c>
      <c r="AM4234">
        <v>96.3283263196533</v>
      </c>
      <c r="AN4234">
        <v>0.99999999989549804</v>
      </c>
    </row>
    <row r="4235" spans="1:40" x14ac:dyDescent="0.25">
      <c r="A4235" t="str">
        <f>"20190305135715603"</f>
        <v>20190305135715603</v>
      </c>
      <c r="B4235" t="str">
        <f>"1551765435596602"</f>
        <v>1551765435596602</v>
      </c>
      <c r="C4235" t="s">
        <v>40</v>
      </c>
      <c r="D4235">
        <v>4.603669</v>
      </c>
      <c r="E4235">
        <v>0.55980099999999999</v>
      </c>
      <c r="F4235" t="s">
        <v>42</v>
      </c>
      <c r="G4235">
        <v>-300.27449999999999</v>
      </c>
      <c r="H4235" s="1">
        <v>-3.2227079999999998E-7</v>
      </c>
      <c r="I4235">
        <v>-29.829910000000002</v>
      </c>
      <c r="J4235">
        <v>-302.14980000000003</v>
      </c>
      <c r="K4235">
        <v>1.107343</v>
      </c>
      <c r="L4235">
        <v>-13.35342</v>
      </c>
      <c r="M4235">
        <v>0.15932360000000001</v>
      </c>
      <c r="N4235">
        <v>-4.2751719999999998E-3</v>
      </c>
      <c r="O4235">
        <v>-0.98721720000000002</v>
      </c>
      <c r="P4235">
        <v>0.26662599999999997</v>
      </c>
      <c r="Q4235">
        <v>8.4770719999999994E-2</v>
      </c>
      <c r="R4235">
        <v>-0.9600649</v>
      </c>
      <c r="S4235">
        <v>0.34960940000000001</v>
      </c>
      <c r="T4235">
        <v>-0.20019319999999999</v>
      </c>
      <c r="U4235">
        <v>-3.0478519999999998</v>
      </c>
      <c r="V4235">
        <v>-0.1098498</v>
      </c>
      <c r="W4235">
        <v>8.9506660000000002E-2</v>
      </c>
      <c r="X4235">
        <v>0.98990990000000001</v>
      </c>
      <c r="Y4235">
        <v>4.5983019999999999E-2</v>
      </c>
      <c r="Z4235">
        <v>5.9820079999999998E-2</v>
      </c>
      <c r="AA4235">
        <v>0.99714950000000002</v>
      </c>
      <c r="AB4235">
        <v>25</v>
      </c>
      <c r="AC4235">
        <v>1.8753000000000299</v>
      </c>
      <c r="AD4235">
        <v>-1.1073433222708</v>
      </c>
      <c r="AE4235">
        <v>-16.476489999999998</v>
      </c>
      <c r="AF4235">
        <v>0.77033732819868805</v>
      </c>
      <c r="AG4235">
        <v>-1.1073433222708</v>
      </c>
      <c r="AH4235">
        <v>16.491268630963901</v>
      </c>
      <c r="AI4235">
        <v>93.837315764184297</v>
      </c>
      <c r="AJ4235">
        <v>87.325553396619497</v>
      </c>
      <c r="AK4235">
        <v>16.546346119044198</v>
      </c>
      <c r="AL4235">
        <v>84.864773833139793</v>
      </c>
      <c r="AM4235">
        <v>96.332176470076007</v>
      </c>
      <c r="AN4235">
        <v>1.0000000154312001</v>
      </c>
    </row>
    <row r="4236" spans="1:40" x14ac:dyDescent="0.25">
      <c r="A4236" t="str">
        <f>"20190305135715646"</f>
        <v>20190305135715646</v>
      </c>
      <c r="B4236" t="str">
        <f>"1551765435636618"</f>
        <v>1551765435636618</v>
      </c>
      <c r="C4236" t="s">
        <v>40</v>
      </c>
      <c r="D4236">
        <v>4.4860680000000004</v>
      </c>
      <c r="E4236">
        <v>0.56220789999999998</v>
      </c>
      <c r="F4236" t="s">
        <v>41</v>
      </c>
      <c r="G4236">
        <v>-302.0659</v>
      </c>
      <c r="H4236">
        <v>1.0533920000000001</v>
      </c>
      <c r="I4236">
        <v>-14.16286</v>
      </c>
      <c r="J4236">
        <v>-302.0772</v>
      </c>
      <c r="K4236">
        <v>1.107259</v>
      </c>
      <c r="L4236">
        <v>-13.843780000000001</v>
      </c>
      <c r="M4236">
        <v>0.15387590000000001</v>
      </c>
      <c r="N4236">
        <v>-4.0813669999999998E-3</v>
      </c>
      <c r="O4236">
        <v>-0.98808180000000001</v>
      </c>
      <c r="P4236">
        <v>0.26313239999999999</v>
      </c>
      <c r="Q4236">
        <v>8.4692660000000003E-2</v>
      </c>
      <c r="R4236">
        <v>-0.96103499999999997</v>
      </c>
      <c r="S4236">
        <v>0.31619259999999999</v>
      </c>
      <c r="T4236">
        <v>-0.20371600000000001</v>
      </c>
      <c r="U4236">
        <v>-3.0549620000000002</v>
      </c>
      <c r="V4236">
        <v>-0.1116996</v>
      </c>
      <c r="W4236">
        <v>8.9257820000000002E-2</v>
      </c>
      <c r="X4236">
        <v>0.98972539999999998</v>
      </c>
      <c r="Y4236">
        <v>5.1521320000000002E-2</v>
      </c>
      <c r="Z4236">
        <v>6.1093830000000002E-2</v>
      </c>
      <c r="AA4236">
        <v>0.99680139999999995</v>
      </c>
      <c r="AB4236">
        <v>25</v>
      </c>
      <c r="AC4236">
        <v>1.1300000000005601E-2</v>
      </c>
      <c r="AD4236">
        <v>-5.3866999999999797E-2</v>
      </c>
      <c r="AE4236">
        <v>-0.31908000000000097</v>
      </c>
      <c r="AF4236">
        <v>3.6883835654251497E-2</v>
      </c>
      <c r="AG4236">
        <v>-5.3866999999999797E-2</v>
      </c>
      <c r="AH4236">
        <v>0.30824456654337001</v>
      </c>
      <c r="AI4236">
        <v>99.8437415833518</v>
      </c>
      <c r="AJ4236">
        <v>83.176561345744503</v>
      </c>
      <c r="AK4236">
        <v>0.31508218582630099</v>
      </c>
      <c r="AL4236">
        <v>84.879088856570306</v>
      </c>
      <c r="AM4236">
        <v>96.439108380088797</v>
      </c>
      <c r="AN4236">
        <v>1.00000006323823</v>
      </c>
    </row>
    <row r="4237" spans="1:40" x14ac:dyDescent="0.25">
      <c r="A4237" t="str">
        <f>"20190305135715678"</f>
        <v>20190305135715678</v>
      </c>
      <c r="B4237" t="str">
        <f>"1551765435667850"</f>
        <v>1551765435667850</v>
      </c>
      <c r="C4237" t="s">
        <v>40</v>
      </c>
      <c r="D4237">
        <v>4.6316160000000002</v>
      </c>
      <c r="E4237">
        <v>0.56384440000000002</v>
      </c>
      <c r="F4237" t="s">
        <v>41</v>
      </c>
      <c r="G4237">
        <v>-302.005</v>
      </c>
      <c r="H4237">
        <v>1.0552680000000001</v>
      </c>
      <c r="I4237">
        <v>-14.61726</v>
      </c>
      <c r="J4237">
        <v>-302.02679999999998</v>
      </c>
      <c r="K4237">
        <v>1.1072029999999999</v>
      </c>
      <c r="L4237">
        <v>-14.19641</v>
      </c>
      <c r="M4237">
        <v>0.1499336</v>
      </c>
      <c r="N4237">
        <v>-3.9909020000000002E-3</v>
      </c>
      <c r="O4237">
        <v>-0.98868809999999996</v>
      </c>
      <c r="P4237">
        <v>0.26037779999999999</v>
      </c>
      <c r="Q4237">
        <v>8.4849720000000003E-2</v>
      </c>
      <c r="R4237">
        <v>-0.96177170000000001</v>
      </c>
      <c r="S4237">
        <v>0.28607179999999999</v>
      </c>
      <c r="T4237">
        <v>-0.2057524</v>
      </c>
      <c r="U4237">
        <v>-3.0614319999999999</v>
      </c>
      <c r="V4237">
        <v>-0.1128049</v>
      </c>
      <c r="W4237">
        <v>8.9340929999999999E-2</v>
      </c>
      <c r="X4237">
        <v>0.98959249999999999</v>
      </c>
      <c r="Y4237">
        <v>5.7468999999999999E-2</v>
      </c>
      <c r="Z4237">
        <v>6.1771E-2</v>
      </c>
      <c r="AA4237">
        <v>0.9964345</v>
      </c>
      <c r="AB4237">
        <v>25</v>
      </c>
      <c r="AC4237">
        <v>2.17999999999847E-2</v>
      </c>
      <c r="AD4237">
        <v>-5.1935000000000002E-2</v>
      </c>
      <c r="AE4237">
        <v>-0.420849999999999</v>
      </c>
      <c r="AF4237">
        <v>4.0924912903240698E-2</v>
      </c>
      <c r="AG4237">
        <v>-5.1935000000000002E-2</v>
      </c>
      <c r="AH4237">
        <v>0.41308725565700499</v>
      </c>
      <c r="AI4237">
        <v>97.131309573068407</v>
      </c>
      <c r="AJ4237">
        <v>84.342119966717306</v>
      </c>
      <c r="AK4237">
        <v>0.41834575832363002</v>
      </c>
      <c r="AL4237">
        <v>84.874307741557502</v>
      </c>
      <c r="AM4237">
        <v>96.503147956651503</v>
      </c>
      <c r="AN4237">
        <v>1.0000000316467601</v>
      </c>
    </row>
    <row r="4238" spans="1:40" x14ac:dyDescent="0.25">
      <c r="A4238" t="str">
        <f>"20190305135715715"</f>
        <v>20190305135715715</v>
      </c>
      <c r="B4238" t="str">
        <f>"1551765435706895"</f>
        <v>1551765435706895</v>
      </c>
      <c r="C4238" t="s">
        <v>40</v>
      </c>
      <c r="D4238">
        <v>4.4742389999999999</v>
      </c>
      <c r="E4238">
        <v>0.56543199999999905</v>
      </c>
      <c r="F4238" t="s">
        <v>41</v>
      </c>
      <c r="G4238">
        <v>-301.95150000000001</v>
      </c>
      <c r="H4238">
        <v>1.0485310000000001</v>
      </c>
      <c r="I4238">
        <v>-15.069979999999999</v>
      </c>
      <c r="J4238">
        <v>-301.96679999999998</v>
      </c>
      <c r="K4238">
        <v>1.1071219999999999</v>
      </c>
      <c r="L4238">
        <v>-14.628629999999999</v>
      </c>
      <c r="M4238">
        <v>0.1450794</v>
      </c>
      <c r="N4238">
        <v>-3.9130750000000002E-3</v>
      </c>
      <c r="O4238">
        <v>-0.98941230000000002</v>
      </c>
      <c r="P4238">
        <v>0.25926680000000002</v>
      </c>
      <c r="Q4238">
        <v>8.0853610000000006E-2</v>
      </c>
      <c r="R4238">
        <v>-0.96241540000000003</v>
      </c>
      <c r="S4238">
        <v>0.26412960000000002</v>
      </c>
      <c r="T4238">
        <v>-0.20594199999999999</v>
      </c>
      <c r="U4238">
        <v>-3.0659179999999999</v>
      </c>
      <c r="V4238">
        <v>-0.11648</v>
      </c>
      <c r="W4238">
        <v>8.5298059999999995E-2</v>
      </c>
      <c r="X4238">
        <v>0.9895235</v>
      </c>
      <c r="Y4238">
        <v>5.9778650000000003E-2</v>
      </c>
      <c r="Z4238">
        <v>6.1898540000000002E-2</v>
      </c>
      <c r="AA4238">
        <v>0.99629069999999997</v>
      </c>
      <c r="AB4238">
        <v>26</v>
      </c>
      <c r="AC4238">
        <v>1.5299999999967799E-2</v>
      </c>
      <c r="AD4238">
        <v>-5.8590999999999997E-2</v>
      </c>
      <c r="AE4238">
        <v>-0.44134999999999902</v>
      </c>
      <c r="AF4238">
        <v>4.8047404593206298E-2</v>
      </c>
      <c r="AG4238">
        <v>-5.8590999999999997E-2</v>
      </c>
      <c r="AH4238">
        <v>0.43130809034981599</v>
      </c>
      <c r="AI4238">
        <v>97.688996461367907</v>
      </c>
      <c r="AJ4238">
        <v>83.643500065531697</v>
      </c>
      <c r="AK4238">
        <v>0.43791337861539198</v>
      </c>
      <c r="AL4238">
        <v>85.106835563482804</v>
      </c>
      <c r="AM4238">
        <v>96.713575929882595</v>
      </c>
      <c r="AN4238">
        <v>1.0000000532460001</v>
      </c>
    </row>
    <row r="4239" spans="1:40" x14ac:dyDescent="0.25">
      <c r="A4239" t="str">
        <f>"20190305135715758"</f>
        <v>20190305135715758</v>
      </c>
      <c r="B4239" t="str">
        <f>"1551765435746906"</f>
        <v>1551765435746906</v>
      </c>
      <c r="C4239" t="s">
        <v>40</v>
      </c>
      <c r="D4239">
        <v>4.5553900000000001</v>
      </c>
      <c r="E4239">
        <v>0.56692719999999996</v>
      </c>
      <c r="F4239" t="s">
        <v>41</v>
      </c>
      <c r="G4239">
        <v>-301.89429999999999</v>
      </c>
      <c r="H4239">
        <v>1.043404</v>
      </c>
      <c r="I4239">
        <v>-15.530860000000001</v>
      </c>
      <c r="J4239">
        <v>-301.89929999999998</v>
      </c>
      <c r="K4239">
        <v>1.1070279999999999</v>
      </c>
      <c r="L4239">
        <v>-15.13547</v>
      </c>
      <c r="M4239">
        <v>0.13937469999999999</v>
      </c>
      <c r="N4239">
        <v>-3.8543789999999998E-3</v>
      </c>
      <c r="O4239">
        <v>-0.99023240000000001</v>
      </c>
      <c r="P4239">
        <v>0.25709720000000003</v>
      </c>
      <c r="Q4239">
        <v>7.819036E-2</v>
      </c>
      <c r="R4239">
        <v>-0.96321760000000001</v>
      </c>
      <c r="S4239">
        <v>0.2464905</v>
      </c>
      <c r="T4239">
        <v>-0.2167577</v>
      </c>
      <c r="U4239">
        <v>-3.0689700000000002</v>
      </c>
      <c r="V4239">
        <v>-0.11992650000000001</v>
      </c>
      <c r="W4239">
        <v>8.2605849999999995E-2</v>
      </c>
      <c r="X4239">
        <v>0.98934009999999994</v>
      </c>
      <c r="Y4239">
        <v>5.9814880000000001E-2</v>
      </c>
      <c r="Z4239">
        <v>6.5427150000000003E-2</v>
      </c>
      <c r="AA4239">
        <v>0.99606300000000003</v>
      </c>
      <c r="AB4239">
        <v>26</v>
      </c>
      <c r="AC4239">
        <v>4.9999999999954499E-3</v>
      </c>
      <c r="AD4239">
        <v>-6.3624000000000097E-2</v>
      </c>
      <c r="AE4239">
        <v>-0.39538999999999802</v>
      </c>
      <c r="AF4239">
        <v>4.8890812626426097E-2</v>
      </c>
      <c r="AG4239">
        <v>-6.3624000000000097E-2</v>
      </c>
      <c r="AH4239">
        <v>0.38232944282263598</v>
      </c>
      <c r="AI4239">
        <v>99.373139698562397</v>
      </c>
      <c r="AJ4239">
        <v>82.712786165925294</v>
      </c>
      <c r="AK4239">
        <v>0.39065858212042398</v>
      </c>
      <c r="AL4239">
        <v>85.261633913603006</v>
      </c>
      <c r="AM4239">
        <v>96.911597411604106</v>
      </c>
      <c r="AN4239">
        <v>0.99999996266224001</v>
      </c>
    </row>
    <row r="4240" spans="1:40" x14ac:dyDescent="0.25">
      <c r="A4240" t="str">
        <f>"20190305135715786"</f>
        <v>20190305135715786</v>
      </c>
      <c r="B4240" t="str">
        <f>"1551765435777162"</f>
        <v>1551765435777162</v>
      </c>
      <c r="C4240" t="s">
        <v>40</v>
      </c>
      <c r="D4240">
        <v>4.4303229999999996</v>
      </c>
      <c r="E4240">
        <v>0.56794149999999999</v>
      </c>
      <c r="F4240" t="s">
        <v>41</v>
      </c>
      <c r="G4240">
        <v>-301.8356</v>
      </c>
      <c r="H4240">
        <v>1.04322</v>
      </c>
      <c r="I4240">
        <v>-15.99892</v>
      </c>
      <c r="J4240">
        <v>-301.85629999999998</v>
      </c>
      <c r="K4240">
        <v>1.106989</v>
      </c>
      <c r="L4240">
        <v>-15.469729999999901</v>
      </c>
      <c r="M4240">
        <v>0.1356145</v>
      </c>
      <c r="N4240">
        <v>-3.8292650000000001E-3</v>
      </c>
      <c r="O4240">
        <v>-0.99075449999999998</v>
      </c>
      <c r="P4240">
        <v>0.25415880000000002</v>
      </c>
      <c r="Q4240">
        <v>7.8794050000000004E-2</v>
      </c>
      <c r="R4240">
        <v>-0.96394789999999997</v>
      </c>
      <c r="S4240">
        <v>0.22686770000000001</v>
      </c>
      <c r="T4240">
        <v>-0.22699510000000001</v>
      </c>
      <c r="U4240">
        <v>-3.0724490000000002</v>
      </c>
      <c r="V4240">
        <v>-0.12066350000000001</v>
      </c>
      <c r="W4240">
        <v>8.3196980000000004E-2</v>
      </c>
      <c r="X4240">
        <v>0.989201</v>
      </c>
      <c r="Y4240">
        <v>6.2454660000000002E-2</v>
      </c>
      <c r="Z4240">
        <v>6.8691710000000003E-2</v>
      </c>
      <c r="AA4240">
        <v>0.99568109999999999</v>
      </c>
      <c r="AB4240">
        <v>26</v>
      </c>
      <c r="AC4240">
        <v>2.0699999999976602E-2</v>
      </c>
      <c r="AD4240">
        <v>-6.3768999999999895E-2</v>
      </c>
      <c r="AE4240">
        <v>-0.52919000000000305</v>
      </c>
      <c r="AF4240">
        <v>5.05250316064247E-2</v>
      </c>
      <c r="AG4240">
        <v>-6.3768999999999895E-2</v>
      </c>
      <c r="AH4240">
        <v>0.51957512984515697</v>
      </c>
      <c r="AI4240">
        <v>96.964561325514893</v>
      </c>
      <c r="AJ4240">
        <v>84.445851029873893</v>
      </c>
      <c r="AK4240">
        <v>0.525906436292086</v>
      </c>
      <c r="AL4240">
        <v>85.227647933612204</v>
      </c>
      <c r="AM4240">
        <v>96.954625788386906</v>
      </c>
      <c r="AN4240">
        <v>1.00000001805718</v>
      </c>
    </row>
    <row r="4241" spans="1:40" x14ac:dyDescent="0.25">
      <c r="A4241" t="str">
        <f>"20190305135715813"</f>
        <v>20190305135715813</v>
      </c>
      <c r="B4241" t="str">
        <f>"1551765435806443"</f>
        <v>1551765435806443</v>
      </c>
      <c r="C4241" t="s">
        <v>40</v>
      </c>
      <c r="D4241">
        <v>4.561191</v>
      </c>
      <c r="E4241">
        <v>0.56865919999999903</v>
      </c>
      <c r="F4241" t="s">
        <v>41</v>
      </c>
      <c r="G4241">
        <v>-301.80419999999998</v>
      </c>
      <c r="H4241">
        <v>1.0506150000000001</v>
      </c>
      <c r="I4241">
        <v>-16.23912</v>
      </c>
      <c r="J4241">
        <v>-301.81830000000002</v>
      </c>
      <c r="K4241">
        <v>1.106957</v>
      </c>
      <c r="L4241">
        <v>-15.774570000000001</v>
      </c>
      <c r="M4241">
        <v>0.13219159999999999</v>
      </c>
      <c r="N4241">
        <v>-3.8137990000000001E-3</v>
      </c>
      <c r="O4241">
        <v>-0.99121700000000001</v>
      </c>
      <c r="P4241">
        <v>0.2509768</v>
      </c>
      <c r="Q4241">
        <v>7.9743880000000003E-2</v>
      </c>
      <c r="R4241">
        <v>-0.96470310000000004</v>
      </c>
      <c r="S4241">
        <v>0.2093506</v>
      </c>
      <c r="T4241">
        <v>-0.2250241</v>
      </c>
      <c r="U4241">
        <v>-3.0754090000000001</v>
      </c>
      <c r="V4241">
        <v>-0.1208166</v>
      </c>
      <c r="W4241">
        <v>8.4139240000000004E-2</v>
      </c>
      <c r="X4241">
        <v>0.98910260000000005</v>
      </c>
      <c r="Y4241">
        <v>6.4717129999999998E-2</v>
      </c>
      <c r="Z4241">
        <v>6.8069550000000006E-2</v>
      </c>
      <c r="AA4241">
        <v>0.9955794</v>
      </c>
      <c r="AB4241">
        <v>26</v>
      </c>
      <c r="AC4241">
        <v>1.4100000000041701E-2</v>
      </c>
      <c r="AD4241">
        <v>-5.63420000000001E-2</v>
      </c>
      <c r="AE4241">
        <v>-0.46454999999999902</v>
      </c>
      <c r="AF4241">
        <v>4.67467940640807E-2</v>
      </c>
      <c r="AG4241">
        <v>-5.63420000000001E-2</v>
      </c>
      <c r="AH4241">
        <v>0.45564094307894198</v>
      </c>
      <c r="AI4241">
        <v>97.012650658307294</v>
      </c>
      <c r="AJ4241">
        <v>84.142195792445705</v>
      </c>
      <c r="AK4241">
        <v>0.46148494312289001</v>
      </c>
      <c r="AL4241">
        <v>85.173470398574693</v>
      </c>
      <c r="AM4241">
        <v>96.964049302733002</v>
      </c>
      <c r="AN4241">
        <v>1.00000000793504</v>
      </c>
    </row>
    <row r="4242" spans="1:40" x14ac:dyDescent="0.25">
      <c r="A4242" t="str">
        <f>"20190305135715847"</f>
        <v>20190305135715847</v>
      </c>
      <c r="B4242" t="str">
        <f>"1551765435836698"</f>
        <v>1551765435836698</v>
      </c>
      <c r="C4242" t="s">
        <v>40</v>
      </c>
      <c r="D4242">
        <v>4.5667730000000004</v>
      </c>
      <c r="E4242">
        <v>0.569415</v>
      </c>
      <c r="F4242" t="s">
        <v>41</v>
      </c>
      <c r="G4242">
        <v>-301.75979999999998</v>
      </c>
      <c r="H4242">
        <v>1.0393539999999999</v>
      </c>
      <c r="I4242">
        <v>-16.71021</v>
      </c>
      <c r="J4242">
        <v>-301.7672</v>
      </c>
      <c r="K4242">
        <v>1.1068960000000001</v>
      </c>
      <c r="L4242">
        <v>-16.197749999999999</v>
      </c>
      <c r="M4242">
        <v>0.12745129999999999</v>
      </c>
      <c r="N4242">
        <v>-3.801287E-3</v>
      </c>
      <c r="O4242">
        <v>-0.99183759999999999</v>
      </c>
      <c r="P4242">
        <v>0.24579909999999999</v>
      </c>
      <c r="Q4242">
        <v>7.9191059999999994E-2</v>
      </c>
      <c r="R4242">
        <v>-0.96608059999999996</v>
      </c>
      <c r="S4242">
        <v>0.19351199999999999</v>
      </c>
      <c r="T4242">
        <v>-0.2221109</v>
      </c>
      <c r="U4242">
        <v>-3.0777890000000001</v>
      </c>
      <c r="V4242">
        <v>-0.1202304</v>
      </c>
      <c r="W4242">
        <v>8.35814E-2</v>
      </c>
      <c r="X4242">
        <v>0.98922129999999997</v>
      </c>
      <c r="Y4242">
        <v>6.5096210000000002E-2</v>
      </c>
      <c r="Z4242">
        <v>6.7177500000000001E-2</v>
      </c>
      <c r="AA4242">
        <v>0.99561520000000003</v>
      </c>
      <c r="AB4242">
        <v>27</v>
      </c>
      <c r="AC4242">
        <v>7.40000000001828E-3</v>
      </c>
      <c r="AD4242">
        <v>-6.7541999999999699E-2</v>
      </c>
      <c r="AE4242">
        <v>-0.51246000000000003</v>
      </c>
      <c r="AF4242">
        <v>5.69848266263192E-2</v>
      </c>
      <c r="AG4242">
        <v>-6.7541999999999699E-2</v>
      </c>
      <c r="AH4242">
        <v>0.50053091627760804</v>
      </c>
      <c r="AI4242">
        <v>97.636369254577701</v>
      </c>
      <c r="AJ4242">
        <v>83.504912042587193</v>
      </c>
      <c r="AK4242">
        <v>0.50827196497478999</v>
      </c>
      <c r="AL4242">
        <v>85.205545172994107</v>
      </c>
      <c r="AM4242">
        <v>96.929765744880299</v>
      </c>
      <c r="AN4242">
        <v>0.99999998994190498</v>
      </c>
    </row>
    <row r="4243" spans="1:40" x14ac:dyDescent="0.25">
      <c r="A4243" t="str">
        <f>"20190305135715884"</f>
        <v>20190305135715884</v>
      </c>
      <c r="B4243" t="str">
        <f>"1551765435876715"</f>
        <v>1551765435876715</v>
      </c>
      <c r="C4243" t="s">
        <v>40</v>
      </c>
      <c r="D4243">
        <v>4.3525999999999998</v>
      </c>
      <c r="E4243">
        <v>0.57025439999999905</v>
      </c>
      <c r="F4243" t="s">
        <v>41</v>
      </c>
      <c r="G4243">
        <v>-301.7253</v>
      </c>
      <c r="H4243">
        <v>1.051728</v>
      </c>
      <c r="I4243">
        <v>-16.95656</v>
      </c>
      <c r="J4243">
        <v>-301.71699999999998</v>
      </c>
      <c r="K4243">
        <v>1.1068420000000001</v>
      </c>
      <c r="L4243">
        <v>-16.630710000000001</v>
      </c>
      <c r="M4243">
        <v>0.1226126</v>
      </c>
      <c r="N4243">
        <v>-3.797211E-3</v>
      </c>
      <c r="O4243">
        <v>-0.99244739999999998</v>
      </c>
      <c r="P4243">
        <v>0.2403661</v>
      </c>
      <c r="Q4243">
        <v>7.7829789999999996E-2</v>
      </c>
      <c r="R4243">
        <v>-0.96755729999999995</v>
      </c>
      <c r="S4243">
        <v>0.1706848</v>
      </c>
      <c r="T4243">
        <v>-0.22373889999999999</v>
      </c>
      <c r="U4243">
        <v>-3.0802610000000001</v>
      </c>
      <c r="V4243">
        <v>-0.11948159999999999</v>
      </c>
      <c r="W4243">
        <v>8.2223299999999999E-2</v>
      </c>
      <c r="X4243">
        <v>0.98942580000000002</v>
      </c>
      <c r="Y4243">
        <v>6.7633319999999997E-2</v>
      </c>
      <c r="Z4243">
        <v>6.7715079999999997E-2</v>
      </c>
      <c r="AA4243">
        <v>0.99540969999999995</v>
      </c>
      <c r="AB4243">
        <v>27</v>
      </c>
      <c r="AC4243">
        <v>-8.3000000000197308E-3</v>
      </c>
      <c r="AD4243">
        <v>-5.51140000000001E-2</v>
      </c>
      <c r="AE4243">
        <v>-0.32584999999999897</v>
      </c>
      <c r="AF4243">
        <v>4.6851512080869802E-2</v>
      </c>
      <c r="AG4243">
        <v>-5.51140000000001E-2</v>
      </c>
      <c r="AH4243">
        <v>0.31341327478813902</v>
      </c>
      <c r="AI4243">
        <v>99.866103143001993</v>
      </c>
      <c r="AJ4243">
        <v>81.497928522374195</v>
      </c>
      <c r="AK4243">
        <v>0.32165275996591403</v>
      </c>
      <c r="AL4243">
        <v>85.283627262169304</v>
      </c>
      <c r="AM4243">
        <v>96.885612886026195</v>
      </c>
      <c r="AN4243">
        <v>0.99999996875354402</v>
      </c>
    </row>
    <row r="4244" spans="1:40" x14ac:dyDescent="0.25">
      <c r="A4244" t="str">
        <f>"20190305135715916"</f>
        <v>20190305135715916</v>
      </c>
      <c r="B4244" t="str">
        <f>"1551765435906970"</f>
        <v>1551765435906970</v>
      </c>
      <c r="C4244" t="s">
        <v>40</v>
      </c>
      <c r="D4244">
        <v>4.4597540000000002</v>
      </c>
      <c r="E4244">
        <v>0.57073059999999998</v>
      </c>
      <c r="F4244" t="s">
        <v>41</v>
      </c>
      <c r="G4244">
        <v>-301.67899999999997</v>
      </c>
      <c r="H4244">
        <v>1.047202</v>
      </c>
      <c r="I4244">
        <v>-17.43759</v>
      </c>
      <c r="J4244">
        <v>-301.67309999999998</v>
      </c>
      <c r="K4244">
        <v>1.1067910000000001</v>
      </c>
      <c r="L4244">
        <v>-17.026029999999999</v>
      </c>
      <c r="M4244">
        <v>0.118202</v>
      </c>
      <c r="N4244">
        <v>-3.7991069999999999E-3</v>
      </c>
      <c r="O4244">
        <v>-0.99298229999999998</v>
      </c>
      <c r="P4244">
        <v>0.236483</v>
      </c>
      <c r="Q4244">
        <v>7.6270850000000001E-2</v>
      </c>
      <c r="R4244">
        <v>-0.96863750000000004</v>
      </c>
      <c r="S4244">
        <v>0.1462097</v>
      </c>
      <c r="T4244">
        <v>-0.2276109</v>
      </c>
      <c r="U4244">
        <v>-3.0825809999999998</v>
      </c>
      <c r="V4244">
        <v>-0.1198964</v>
      </c>
      <c r="W4244">
        <v>8.0677769999999996E-2</v>
      </c>
      <c r="X4244">
        <v>0.98950289999999996</v>
      </c>
      <c r="Y4244">
        <v>7.112723E-2</v>
      </c>
      <c r="Z4244">
        <v>6.8952040000000006E-2</v>
      </c>
      <c r="AA4244">
        <v>0.9950812</v>
      </c>
      <c r="AB4244">
        <v>27</v>
      </c>
      <c r="AC4244">
        <v>-5.9000000000537503E-3</v>
      </c>
      <c r="AD4244">
        <v>-5.95890000000001E-2</v>
      </c>
      <c r="AE4244">
        <v>-0.41156000000000098</v>
      </c>
      <c r="AF4244">
        <v>5.3387245272358601E-2</v>
      </c>
      <c r="AG4244">
        <v>-5.95890000000001E-2</v>
      </c>
      <c r="AH4244">
        <v>0.399601974054688</v>
      </c>
      <c r="AI4244">
        <v>98.407874742979899</v>
      </c>
      <c r="AJ4244">
        <v>82.390285780331993</v>
      </c>
      <c r="AK4244">
        <v>0.407532556426078</v>
      </c>
      <c r="AL4244">
        <v>85.372475060321904</v>
      </c>
      <c r="AM4244">
        <v>96.908753590080295</v>
      </c>
      <c r="AN4244">
        <v>1.00000001920677</v>
      </c>
    </row>
    <row r="4245" spans="1:40" x14ac:dyDescent="0.25">
      <c r="A4245" t="str">
        <f>"20190305135715960"</f>
        <v>20190305135715960</v>
      </c>
      <c r="B4245" t="str">
        <f>"1551765435956748"</f>
        <v>1551765435956748</v>
      </c>
      <c r="C4245" t="s">
        <v>40</v>
      </c>
      <c r="D4245">
        <v>4.3387440000000002</v>
      </c>
      <c r="E4245">
        <v>0.57147419999999904</v>
      </c>
      <c r="F4245" t="s">
        <v>41</v>
      </c>
      <c r="G4245">
        <v>-301.63549999999998</v>
      </c>
      <c r="H4245">
        <v>1.039342</v>
      </c>
      <c r="I4245">
        <v>-17.92351</v>
      </c>
      <c r="J4245">
        <v>-301.61610000000002</v>
      </c>
      <c r="K4245">
        <v>1.1067199999999999</v>
      </c>
      <c r="L4245">
        <v>-17.563389999999998</v>
      </c>
      <c r="M4245">
        <v>0.1122025</v>
      </c>
      <c r="N4245">
        <v>-3.8087329999999999E-3</v>
      </c>
      <c r="O4245">
        <v>-0.99367819999999996</v>
      </c>
      <c r="P4245">
        <v>0.23262240000000001</v>
      </c>
      <c r="Q4245">
        <v>7.5737739999999998E-2</v>
      </c>
      <c r="R4245">
        <v>-0.96961410000000003</v>
      </c>
      <c r="S4245">
        <v>0.12927249999999901</v>
      </c>
      <c r="T4245">
        <v>-0.23167879999999999</v>
      </c>
      <c r="U4245">
        <v>-3.0838009999999998</v>
      </c>
      <c r="V4245">
        <v>-0.1219196</v>
      </c>
      <c r="W4245">
        <v>8.0178719999999995E-2</v>
      </c>
      <c r="X4245">
        <v>0.98929619999999996</v>
      </c>
      <c r="Y4245">
        <v>7.0579539999999996E-2</v>
      </c>
      <c r="Z4245">
        <v>7.029299E-2</v>
      </c>
      <c r="AA4245">
        <v>0.99502639999999998</v>
      </c>
      <c r="AB4245">
        <v>27</v>
      </c>
      <c r="AC4245">
        <v>-1.9399999999961798E-2</v>
      </c>
      <c r="AD4245">
        <v>-6.7378000000000104E-2</v>
      </c>
      <c r="AE4245">
        <v>-0.36012000000000199</v>
      </c>
      <c r="AF4245">
        <v>5.7671154994221201E-2</v>
      </c>
      <c r="AG4245">
        <v>-6.7378000000000104E-2</v>
      </c>
      <c r="AH4245">
        <v>0.34367339841663502</v>
      </c>
      <c r="AI4245">
        <v>100.943051050298</v>
      </c>
      <c r="AJ4245">
        <v>80.4740618865154</v>
      </c>
      <c r="AK4245">
        <v>0.35493261583236702</v>
      </c>
      <c r="AL4245">
        <v>85.401161333543399</v>
      </c>
      <c r="AM4245">
        <v>97.025633665167007</v>
      </c>
      <c r="AN4245">
        <v>0.99999999366971903</v>
      </c>
    </row>
    <row r="4246" spans="1:40" x14ac:dyDescent="0.25">
      <c r="A4246" t="str">
        <f>"20190305135716004"</f>
        <v>20190305135716004</v>
      </c>
      <c r="B4246" t="str">
        <f>"1551765435996763"</f>
        <v>1551765435996763</v>
      </c>
      <c r="C4246" t="s">
        <v>40</v>
      </c>
      <c r="D4246">
        <v>4.2541919999999998</v>
      </c>
      <c r="E4246">
        <v>0.57196020000000003</v>
      </c>
      <c r="F4246" t="s">
        <v>41</v>
      </c>
      <c r="G4246">
        <v>-301.58539999999999</v>
      </c>
      <c r="H4246">
        <v>1.042157</v>
      </c>
      <c r="I4246">
        <v>-18.41872</v>
      </c>
      <c r="J4246">
        <v>-301.56009999999998</v>
      </c>
      <c r="K4246">
        <v>1.106641</v>
      </c>
      <c r="L4246">
        <v>-18.123380000000001</v>
      </c>
      <c r="M4246">
        <v>0.1059155</v>
      </c>
      <c r="N4246">
        <v>-3.8255379999999999E-3</v>
      </c>
      <c r="O4246">
        <v>-0.99436780000000002</v>
      </c>
      <c r="P4246">
        <v>0.2302177</v>
      </c>
      <c r="Q4246">
        <v>7.6033400000000001E-2</v>
      </c>
      <c r="R4246">
        <v>-0.97016440000000004</v>
      </c>
      <c r="S4246">
        <v>0.1109314</v>
      </c>
      <c r="T4246">
        <v>-0.2328141</v>
      </c>
      <c r="U4246">
        <v>-3.0855709999999998</v>
      </c>
      <c r="V4246">
        <v>-0.12571209999999999</v>
      </c>
      <c r="W4246">
        <v>8.0529970000000006E-2</v>
      </c>
      <c r="X4246">
        <v>0.98879289999999997</v>
      </c>
      <c r="Y4246">
        <v>7.0200849999999995E-2</v>
      </c>
      <c r="Z4246">
        <v>7.0680290000000007E-2</v>
      </c>
      <c r="AA4246">
        <v>0.99502570000000001</v>
      </c>
      <c r="AB4246">
        <v>28</v>
      </c>
      <c r="AC4246">
        <v>-2.5300000000015602E-2</v>
      </c>
      <c r="AD4246">
        <v>-6.4483999999999903E-2</v>
      </c>
      <c r="AE4246">
        <v>-0.29534000000000299</v>
      </c>
      <c r="AF4246">
        <v>5.3888754047495602E-2</v>
      </c>
      <c r="AG4246">
        <v>-6.4483999999999903E-2</v>
      </c>
      <c r="AH4246">
        <v>0.27784999426836898</v>
      </c>
      <c r="AI4246">
        <v>102.83497456837701</v>
      </c>
      <c r="AJ4246">
        <v>79.023809322844897</v>
      </c>
      <c r="AK4246">
        <v>0.29028055977575201</v>
      </c>
      <c r="AL4246">
        <v>85.380970948269194</v>
      </c>
      <c r="AM4246">
        <v>97.245538254572097</v>
      </c>
      <c r="AN4246">
        <v>1.0000000036225101</v>
      </c>
    </row>
    <row r="4247" spans="1:40" x14ac:dyDescent="0.25">
      <c r="A4247" t="str">
        <f>"20190305135716034"</f>
        <v>20190305135716034</v>
      </c>
      <c r="B4247" t="str">
        <f>"1551765436027019"</f>
        <v>1551765436027019</v>
      </c>
      <c r="C4247" t="s">
        <v>40</v>
      </c>
      <c r="D4247">
        <v>4.205044</v>
      </c>
      <c r="E4247">
        <v>0.57227649999999997</v>
      </c>
      <c r="F4247" t="s">
        <v>41</v>
      </c>
      <c r="G4247">
        <v>-301.53440000000001</v>
      </c>
      <c r="H4247">
        <v>1.0466470000000001</v>
      </c>
      <c r="I4247">
        <v>-18.91958</v>
      </c>
      <c r="J4247">
        <v>-301.5247</v>
      </c>
      <c r="K4247">
        <v>1.1065700000000001</v>
      </c>
      <c r="L4247">
        <v>-18.498719999999999</v>
      </c>
      <c r="M4247">
        <v>0.1016538</v>
      </c>
      <c r="N4247">
        <v>-3.8401049999999999E-3</v>
      </c>
      <c r="O4247">
        <v>-0.99481249999999999</v>
      </c>
      <c r="P4247">
        <v>0.22748560000000001</v>
      </c>
      <c r="Q4247">
        <v>7.4569479999999994E-2</v>
      </c>
      <c r="R4247">
        <v>-0.97092230000000002</v>
      </c>
      <c r="S4247">
        <v>0.1003723</v>
      </c>
      <c r="T4247">
        <v>-0.2323587</v>
      </c>
      <c r="U4247">
        <v>-3.0866699999999998</v>
      </c>
      <c r="V4247">
        <v>-0.1271523</v>
      </c>
      <c r="W4247">
        <v>7.9105439999999999E-2</v>
      </c>
      <c r="X4247">
        <v>0.98872380000000004</v>
      </c>
      <c r="Y4247">
        <v>6.9338929999999993E-2</v>
      </c>
      <c r="Z4247">
        <v>7.0550080000000001E-2</v>
      </c>
      <c r="AA4247">
        <v>0.99509539999999996</v>
      </c>
      <c r="AB4247">
        <v>28</v>
      </c>
      <c r="AC4247">
        <v>-9.7000000000093695E-3</v>
      </c>
      <c r="AD4247">
        <v>-5.9923000000000101E-2</v>
      </c>
      <c r="AE4247">
        <v>-0.42085999999999701</v>
      </c>
      <c r="AF4247">
        <v>5.1390804434799597E-2</v>
      </c>
      <c r="AG4247">
        <v>-5.9923000000000101E-2</v>
      </c>
      <c r="AH4247">
        <v>0.409398583013246</v>
      </c>
      <c r="AI4247">
        <v>98.263217056710303</v>
      </c>
      <c r="AJ4247">
        <v>82.845223759321101</v>
      </c>
      <c r="AK4247">
        <v>0.41694002024596999</v>
      </c>
      <c r="AL4247">
        <v>85.462852035111496</v>
      </c>
      <c r="AM4247">
        <v>97.328154972517694</v>
      </c>
      <c r="AN4247">
        <v>1.0000000653596499</v>
      </c>
    </row>
    <row r="4248" spans="1:40" x14ac:dyDescent="0.25">
      <c r="A4248" t="str">
        <f>"20190305135716073"</f>
        <v>20190305135716073</v>
      </c>
      <c r="B4248" t="str">
        <f>"1551765436067035"</f>
        <v>1551765436067035</v>
      </c>
      <c r="C4248" t="s">
        <v>40</v>
      </c>
      <c r="D4248">
        <v>4.1618029999999999</v>
      </c>
      <c r="E4248">
        <v>0.57278929999999995</v>
      </c>
      <c r="F4248" t="s">
        <v>41</v>
      </c>
      <c r="G4248">
        <v>-301.49829999999997</v>
      </c>
      <c r="H4248">
        <v>1.0360590000000001</v>
      </c>
      <c r="I4248">
        <v>-19.419509999999999</v>
      </c>
      <c r="J4248">
        <v>-301.48219999999998</v>
      </c>
      <c r="K4248">
        <v>1.1064769999999999</v>
      </c>
      <c r="L4248">
        <v>-18.973510000000001</v>
      </c>
      <c r="M4248">
        <v>9.6166299999999996E-2</v>
      </c>
      <c r="N4248">
        <v>-3.8621179999999999E-3</v>
      </c>
      <c r="O4248">
        <v>-0.99535790000000002</v>
      </c>
      <c r="P4248">
        <v>0.22489890000000001</v>
      </c>
      <c r="Q4248">
        <v>7.1651640000000003E-2</v>
      </c>
      <c r="R4248">
        <v>-0.97174439999999995</v>
      </c>
      <c r="S4248">
        <v>8.8562009999999997E-2</v>
      </c>
      <c r="T4248">
        <v>-0.23641280000000001</v>
      </c>
      <c r="U4248">
        <v>-3.08725</v>
      </c>
      <c r="V4248">
        <v>-0.12995110000000001</v>
      </c>
      <c r="W4248">
        <v>7.6252589999999995E-2</v>
      </c>
      <c r="X4248">
        <v>0.98858400000000002</v>
      </c>
      <c r="Y4248">
        <v>6.7649479999999998E-2</v>
      </c>
      <c r="Z4248">
        <v>7.1874640000000004E-2</v>
      </c>
      <c r="AA4248">
        <v>0.99511689999999997</v>
      </c>
      <c r="AB4248">
        <v>28</v>
      </c>
      <c r="AC4248">
        <v>-1.60999999999944E-2</v>
      </c>
      <c r="AD4248">
        <v>-7.04179999999998E-2</v>
      </c>
      <c r="AE4248">
        <v>-0.44599999999999801</v>
      </c>
      <c r="AF4248">
        <v>5.7484717038775703E-2</v>
      </c>
      <c r="AG4248">
        <v>-7.04179999999998E-2</v>
      </c>
      <c r="AH4248">
        <v>0.43163846274838402</v>
      </c>
      <c r="AI4248">
        <v>99.185969228534503</v>
      </c>
      <c r="AJ4248">
        <v>82.414105228941494</v>
      </c>
      <c r="AK4248">
        <v>0.44110650634604798</v>
      </c>
      <c r="AL4248">
        <v>85.626803607870499</v>
      </c>
      <c r="AM4248">
        <v>97.488693858372798</v>
      </c>
      <c r="AN4248">
        <v>1.00000003546445</v>
      </c>
    </row>
    <row r="4249" spans="1:40" x14ac:dyDescent="0.25">
      <c r="A4249" t="str">
        <f>"20190305135716115"</f>
        <v>20190305135716115</v>
      </c>
      <c r="B4249" t="str">
        <f>"1551765436107050"</f>
        <v>1551765436107050</v>
      </c>
      <c r="C4249" t="s">
        <v>40</v>
      </c>
      <c r="D4249">
        <v>4.0832240000000004</v>
      </c>
      <c r="E4249">
        <v>0.57330689999999995</v>
      </c>
      <c r="F4249" t="s">
        <v>41</v>
      </c>
      <c r="G4249">
        <v>-301.459</v>
      </c>
      <c r="H4249">
        <v>1.0311330000000001</v>
      </c>
      <c r="I4249">
        <v>-19.926729999999999</v>
      </c>
      <c r="J4249">
        <v>-301.4357</v>
      </c>
      <c r="K4249">
        <v>1.106366</v>
      </c>
      <c r="L4249">
        <v>-19.533940000000001</v>
      </c>
      <c r="M4249">
        <v>8.9517440000000004E-2</v>
      </c>
      <c r="N4249">
        <v>-3.8916760000000002E-3</v>
      </c>
      <c r="O4249">
        <v>-0.99597769999999997</v>
      </c>
      <c r="P4249">
        <v>0.2202875</v>
      </c>
      <c r="Q4249">
        <v>7.5586299999999995E-2</v>
      </c>
      <c r="R4249">
        <v>-0.97250210000000004</v>
      </c>
      <c r="S4249">
        <v>7.5408939999999994E-2</v>
      </c>
      <c r="T4249">
        <v>-0.24404590000000001</v>
      </c>
      <c r="U4249">
        <v>-3.0877690000000002</v>
      </c>
      <c r="V4249">
        <v>-0.13184279999999901</v>
      </c>
      <c r="W4249">
        <v>8.0264749999999996E-2</v>
      </c>
      <c r="X4249">
        <v>0.98801570000000005</v>
      </c>
      <c r="Y4249">
        <v>6.5231929999999994E-2</v>
      </c>
      <c r="Z4249">
        <v>7.4345480000000005E-2</v>
      </c>
      <c r="AA4249">
        <v>0.99509669999999895</v>
      </c>
      <c r="AB4249">
        <v>28</v>
      </c>
      <c r="AC4249">
        <v>-2.3300000000006E-2</v>
      </c>
      <c r="AD4249">
        <v>-7.52329999999998E-2</v>
      </c>
      <c r="AE4249">
        <v>-0.39278999999999797</v>
      </c>
      <c r="AF4249">
        <v>5.6309759615742402E-2</v>
      </c>
      <c r="AG4249">
        <v>-7.52329999999998E-2</v>
      </c>
      <c r="AH4249">
        <v>0.37540362630763902</v>
      </c>
      <c r="AI4249">
        <v>101.210096973855</v>
      </c>
      <c r="AJ4249">
        <v>81.469351463938196</v>
      </c>
      <c r="AK4249">
        <v>0.386986661219619</v>
      </c>
      <c r="AL4249">
        <v>85.396216216962401</v>
      </c>
      <c r="AM4249">
        <v>97.600761179836994</v>
      </c>
      <c r="AN4249">
        <v>0.99999998872544604</v>
      </c>
    </row>
    <row r="4250" spans="1:40" x14ac:dyDescent="0.25">
      <c r="A4250" t="str">
        <f>"20190305135716160"</f>
        <v>20190305135716160</v>
      </c>
      <c r="B4250" t="str">
        <f>"1551765436156827"</f>
        <v>1551765436156827</v>
      </c>
      <c r="C4250" t="s">
        <v>40</v>
      </c>
      <c r="D4250">
        <v>4.0510409999999997</v>
      </c>
      <c r="E4250">
        <v>0.57396720000000001</v>
      </c>
      <c r="F4250" t="s">
        <v>41</v>
      </c>
      <c r="G4250">
        <v>-301.41930000000002</v>
      </c>
      <c r="H4250">
        <v>1.038751</v>
      </c>
      <c r="I4250">
        <v>-20.444849999999999</v>
      </c>
      <c r="J4250">
        <v>-301.39170000000001</v>
      </c>
      <c r="K4250">
        <v>1.106214</v>
      </c>
      <c r="L4250">
        <v>-20.114470000000001</v>
      </c>
      <c r="M4250">
        <v>8.2427050000000002E-2</v>
      </c>
      <c r="N4250">
        <v>-3.9253329999999996E-3</v>
      </c>
      <c r="O4250">
        <v>-0.99658950000000002</v>
      </c>
      <c r="P4250">
        <v>0.21373600000000001</v>
      </c>
      <c r="Q4250">
        <v>7.5556139999999994E-2</v>
      </c>
      <c r="R4250">
        <v>-0.97396539999999998</v>
      </c>
      <c r="S4250">
        <v>5.6182860000000001E-2</v>
      </c>
      <c r="T4250">
        <v>-0.22927649999999999</v>
      </c>
      <c r="U4250">
        <v>-3.0899350000000001</v>
      </c>
      <c r="V4250">
        <v>-0.13219800000000001</v>
      </c>
      <c r="W4250">
        <v>8.0311809999999997E-2</v>
      </c>
      <c r="X4250">
        <v>0.98796450000000002</v>
      </c>
      <c r="Y4250">
        <v>6.4330579999999998E-2</v>
      </c>
      <c r="Z4250">
        <v>6.9625560000000003E-2</v>
      </c>
      <c r="AA4250">
        <v>0.99549679999999996</v>
      </c>
      <c r="AB4250">
        <v>29</v>
      </c>
      <c r="AC4250">
        <v>-2.7600000000006699E-2</v>
      </c>
      <c r="AD4250">
        <v>-6.7462999999999995E-2</v>
      </c>
      <c r="AE4250">
        <v>-0.33037999999999801</v>
      </c>
      <c r="AF4250">
        <v>5.2562048569208597E-2</v>
      </c>
      <c r="AG4250">
        <v>-6.7462999999999995E-2</v>
      </c>
      <c r="AH4250">
        <v>0.31397949191297497</v>
      </c>
      <c r="AI4250">
        <v>101.964849172716</v>
      </c>
      <c r="AJ4250">
        <v>80.496467343607506</v>
      </c>
      <c r="AK4250">
        <v>0.32541841782653003</v>
      </c>
      <c r="AL4250">
        <v>85.393511545980701</v>
      </c>
      <c r="AM4250">
        <v>97.6213884763187</v>
      </c>
      <c r="AN4250">
        <v>1.0000000756448599</v>
      </c>
    </row>
    <row r="4251" spans="1:40" x14ac:dyDescent="0.25">
      <c r="A4251" t="str">
        <f>"20190305135716192"</f>
        <v>20190305135716192</v>
      </c>
      <c r="B4251" t="str">
        <f>"1551765436187082"</f>
        <v>1551765436187082</v>
      </c>
      <c r="C4251" t="s">
        <v>40</v>
      </c>
      <c r="D4251">
        <v>4.0539290000000001</v>
      </c>
      <c r="E4251">
        <v>0.57430709999999996</v>
      </c>
      <c r="F4251" t="s">
        <v>41</v>
      </c>
      <c r="G4251">
        <v>-301.38310000000001</v>
      </c>
      <c r="H4251">
        <v>1.0431919999999999</v>
      </c>
      <c r="I4251">
        <v>-20.966570000000001</v>
      </c>
      <c r="J4251">
        <v>-301.36290000000002</v>
      </c>
      <c r="K4251">
        <v>1.106106</v>
      </c>
      <c r="L4251">
        <v>-20.526489999999999</v>
      </c>
      <c r="M4251">
        <v>7.7293189999999998E-2</v>
      </c>
      <c r="N4251">
        <v>-3.949925E-3</v>
      </c>
      <c r="O4251">
        <v>-0.99700060000000001</v>
      </c>
      <c r="P4251">
        <v>0.2092764</v>
      </c>
      <c r="Q4251">
        <v>7.185453E-2</v>
      </c>
      <c r="R4251">
        <v>-0.9752132</v>
      </c>
      <c r="S4251">
        <v>3.1036379999999999E-2</v>
      </c>
      <c r="T4251">
        <v>-0.22859119999999999</v>
      </c>
      <c r="U4251">
        <v>-3.0910950000000001</v>
      </c>
      <c r="V4251">
        <v>-0.1327525</v>
      </c>
      <c r="W4251">
        <v>7.6665739999999996E-2</v>
      </c>
      <c r="X4251">
        <v>0.98817969999999999</v>
      </c>
      <c r="Y4251">
        <v>6.7293549999999994E-2</v>
      </c>
      <c r="Z4251">
        <v>6.9395929999999995E-2</v>
      </c>
      <c r="AA4251">
        <v>0.99531689999999995</v>
      </c>
      <c r="AB4251">
        <v>29</v>
      </c>
      <c r="AC4251">
        <v>-2.0199999999988401E-2</v>
      </c>
      <c r="AD4251">
        <v>-6.2914000000000095E-2</v>
      </c>
      <c r="AE4251">
        <v>-0.44008000000000103</v>
      </c>
      <c r="AF4251">
        <v>5.3072620581269797E-2</v>
      </c>
      <c r="AG4251">
        <v>-6.2914000000000095E-2</v>
      </c>
      <c r="AH4251">
        <v>0.42846371614919498</v>
      </c>
      <c r="AI4251">
        <v>98.2909310606194</v>
      </c>
      <c r="AJ4251">
        <v>82.938896059047494</v>
      </c>
      <c r="AK4251">
        <v>0.43629809821696602</v>
      </c>
      <c r="AL4251">
        <v>85.603062162672899</v>
      </c>
      <c r="AM4251">
        <v>97.651331165592893</v>
      </c>
      <c r="AN4251">
        <v>0.999999990719043</v>
      </c>
    </row>
    <row r="4252" spans="1:40" x14ac:dyDescent="0.25">
      <c r="A4252" t="str">
        <f>"20190305135716227"</f>
        <v>20190305135716227</v>
      </c>
      <c r="B4252" t="str">
        <f>"1551765436216363"</f>
        <v>1551765436216363</v>
      </c>
      <c r="C4252" t="s">
        <v>40</v>
      </c>
      <c r="D4252">
        <v>4.0723529999999997</v>
      </c>
      <c r="E4252">
        <v>0.57468999999999903</v>
      </c>
      <c r="F4252" t="s">
        <v>41</v>
      </c>
      <c r="G4252">
        <v>-301.35879999999997</v>
      </c>
      <c r="H4252">
        <v>1.031803</v>
      </c>
      <c r="I4252">
        <v>-21.486350000000002</v>
      </c>
      <c r="J4252">
        <v>-301.33300000000003</v>
      </c>
      <c r="K4252">
        <v>1.1060110000000001</v>
      </c>
      <c r="L4252">
        <v>-20.993500000000001</v>
      </c>
      <c r="M4252">
        <v>7.1411069999999993E-2</v>
      </c>
      <c r="N4252">
        <v>-3.9774279999999999E-3</v>
      </c>
      <c r="O4252">
        <v>-0.99743930000000003</v>
      </c>
      <c r="P4252">
        <v>0.20666490000000001</v>
      </c>
      <c r="Q4252">
        <v>7.0471329999999999E-2</v>
      </c>
      <c r="R4252">
        <v>-0.97587100000000004</v>
      </c>
      <c r="S4252">
        <v>1.370239E-2</v>
      </c>
      <c r="T4252">
        <v>-0.23917869999999999</v>
      </c>
      <c r="U4252">
        <v>-3.0909420000000001</v>
      </c>
      <c r="V4252">
        <v>-0.13592389999999999</v>
      </c>
      <c r="W4252">
        <v>7.5354909999999997E-2</v>
      </c>
      <c r="X4252">
        <v>0.98784939999999999</v>
      </c>
      <c r="Y4252">
        <v>6.6989919999999994E-2</v>
      </c>
      <c r="Z4252">
        <v>7.2802160000000005E-2</v>
      </c>
      <c r="AA4252">
        <v>0.99509409999999998</v>
      </c>
      <c r="AB4252">
        <v>29</v>
      </c>
      <c r="AC4252">
        <v>-2.5800000000003799E-2</v>
      </c>
      <c r="AD4252">
        <v>-7.4207999999999996E-2</v>
      </c>
      <c r="AE4252">
        <v>-0.49285000000000001</v>
      </c>
      <c r="AF4252">
        <v>5.9582244550430902E-2</v>
      </c>
      <c r="AG4252">
        <v>-7.4207999999999996E-2</v>
      </c>
      <c r="AH4252">
        <v>0.47892131663861998</v>
      </c>
      <c r="AI4252">
        <v>98.741498645562899</v>
      </c>
      <c r="AJ4252">
        <v>82.908312499268902</v>
      </c>
      <c r="AK4252">
        <v>0.488285263611894</v>
      </c>
      <c r="AL4252">
        <v>85.678385372448105</v>
      </c>
      <c r="AM4252">
        <v>97.834461905744803</v>
      </c>
      <c r="AN4252">
        <v>1.00000005306633</v>
      </c>
    </row>
    <row r="4253" spans="1:40" x14ac:dyDescent="0.25">
      <c r="A4253" t="str">
        <f>"20190305135716273"</f>
        <v>20190305135716273</v>
      </c>
      <c r="B4253" t="str">
        <f>"1551765436267114"</f>
        <v>1551765436267114</v>
      </c>
      <c r="C4253" t="s">
        <v>40</v>
      </c>
      <c r="D4253">
        <v>4.0839319999999999</v>
      </c>
      <c r="E4253">
        <v>0.57525749999999998</v>
      </c>
      <c r="F4253" t="s">
        <v>41</v>
      </c>
      <c r="G4253">
        <v>-301.3331</v>
      </c>
      <c r="H4253">
        <v>1.04664</v>
      </c>
      <c r="I4253">
        <v>-21.756989999999998</v>
      </c>
      <c r="J4253">
        <v>-301.2987</v>
      </c>
      <c r="K4253">
        <v>1.1059190000000001</v>
      </c>
      <c r="L4253">
        <v>-21.59329</v>
      </c>
      <c r="M4253">
        <v>6.3820760000000004E-2</v>
      </c>
      <c r="N4253">
        <v>-4.0123270000000004E-3</v>
      </c>
      <c r="O4253">
        <v>-0.99795319999999998</v>
      </c>
      <c r="P4253">
        <v>0.2028451</v>
      </c>
      <c r="Q4253">
        <v>6.8440589999999996E-2</v>
      </c>
      <c r="R4253">
        <v>-0.97681620000000002</v>
      </c>
      <c r="S4253">
        <v>6.408691E-4</v>
      </c>
      <c r="T4253">
        <v>-0.24011930000000001</v>
      </c>
      <c r="U4253">
        <v>-3.09137</v>
      </c>
      <c r="V4253">
        <v>-0.13956660000000001</v>
      </c>
      <c r="W4253">
        <v>7.3406719999999995E-2</v>
      </c>
      <c r="X4253">
        <v>0.98748800000000003</v>
      </c>
      <c r="Y4253">
        <v>6.3604339999999995E-2</v>
      </c>
      <c r="Z4253">
        <v>7.3124980000000006E-2</v>
      </c>
      <c r="AA4253">
        <v>0.99529250000000002</v>
      </c>
      <c r="AB4253">
        <v>29</v>
      </c>
      <c r="AC4253">
        <v>-3.4400000000005003E-2</v>
      </c>
      <c r="AD4253">
        <v>-5.9278999999999998E-2</v>
      </c>
      <c r="AE4253">
        <v>-0.16369999999999801</v>
      </c>
      <c r="AF4253">
        <v>3.9781459741997198E-2</v>
      </c>
      <c r="AG4253">
        <v>-5.9278999999999998E-2</v>
      </c>
      <c r="AH4253">
        <v>0.14318849452183699</v>
      </c>
      <c r="AI4253">
        <v>111.74629035902601</v>
      </c>
      <c r="AJ4253">
        <v>74.4733340292278</v>
      </c>
      <c r="AK4253">
        <v>0.15999846669150999</v>
      </c>
      <c r="AL4253">
        <v>85.790318147966005</v>
      </c>
      <c r="AM4253">
        <v>98.044615148681302</v>
      </c>
      <c r="AN4253">
        <v>0.99999996626035803</v>
      </c>
    </row>
    <row r="4254" spans="1:40" x14ac:dyDescent="0.25">
      <c r="A4254" t="str">
        <f>"20190305135716316"</f>
        <v>20190305135716316</v>
      </c>
      <c r="B4254" t="str">
        <f>"1551765436307135"</f>
        <v>1551765436307135</v>
      </c>
      <c r="C4254" t="s">
        <v>40</v>
      </c>
      <c r="D4254">
        <v>4.1180370000000002</v>
      </c>
      <c r="E4254">
        <v>0.57574619999999999</v>
      </c>
      <c r="F4254" t="s">
        <v>41</v>
      </c>
      <c r="G4254">
        <v>-301.30399999999997</v>
      </c>
      <c r="H4254">
        <v>1.030529</v>
      </c>
      <c r="I4254">
        <v>-22.55002</v>
      </c>
      <c r="J4254">
        <v>-301.26929999999999</v>
      </c>
      <c r="K4254">
        <v>1.1058570000000001</v>
      </c>
      <c r="L4254">
        <v>-22.18655</v>
      </c>
      <c r="M4254">
        <v>5.6316280000000003E-2</v>
      </c>
      <c r="N4254">
        <v>-4.0471999999999999E-3</v>
      </c>
      <c r="O4254">
        <v>-0.99840479999999998</v>
      </c>
      <c r="P4254">
        <v>0.19766610000000001</v>
      </c>
      <c r="Q4254">
        <v>6.9375839999999994E-2</v>
      </c>
      <c r="R4254">
        <v>-0.9778116</v>
      </c>
      <c r="S4254">
        <v>-1.7303470000000001E-2</v>
      </c>
      <c r="T4254">
        <v>-0.2436942</v>
      </c>
      <c r="U4254">
        <v>-3.091888</v>
      </c>
      <c r="V4254">
        <v>-0.14174429999999999</v>
      </c>
      <c r="W4254">
        <v>7.4411519999999995E-2</v>
      </c>
      <c r="X4254">
        <v>0.98710260000000005</v>
      </c>
      <c r="Y4254">
        <v>6.187728E-2</v>
      </c>
      <c r="Z4254">
        <v>7.4274850000000003E-2</v>
      </c>
      <c r="AA4254">
        <v>0.99531630000000004</v>
      </c>
      <c r="AB4254">
        <v>30</v>
      </c>
      <c r="AC4254">
        <v>-3.4700000000043398E-2</v>
      </c>
      <c r="AD4254">
        <v>-7.5327999999999798E-2</v>
      </c>
      <c r="AE4254">
        <v>-0.36346999999999902</v>
      </c>
      <c r="AF4254">
        <v>5.2864295564342002E-2</v>
      </c>
      <c r="AG4254">
        <v>-7.5327999999999798E-2</v>
      </c>
      <c r="AH4254">
        <v>0.34620340273325401</v>
      </c>
      <c r="AI4254">
        <v>102.138806414117</v>
      </c>
      <c r="AJ4254">
        <v>81.318156074250894</v>
      </c>
      <c r="AK4254">
        <v>0.358225818993547</v>
      </c>
      <c r="AL4254">
        <v>85.732589735869993</v>
      </c>
      <c r="AM4254">
        <v>98.171602701450794</v>
      </c>
      <c r="AN4254">
        <v>1.0000000319089699</v>
      </c>
    </row>
    <row r="4255" spans="1:40" x14ac:dyDescent="0.25">
      <c r="A4255" t="str">
        <f>"20190305135716362"</f>
        <v>20190305135716362</v>
      </c>
      <c r="B4255" t="str">
        <f>"1551765436356907"</f>
        <v>1551765436356907</v>
      </c>
      <c r="C4255" t="s">
        <v>40</v>
      </c>
      <c r="D4255">
        <v>4.1795049999999998</v>
      </c>
      <c r="E4255">
        <v>0.57615609999999995</v>
      </c>
      <c r="F4255" t="s">
        <v>41</v>
      </c>
      <c r="G4255">
        <v>-301.28059999999999</v>
      </c>
      <c r="H4255">
        <v>1.036214</v>
      </c>
      <c r="I4255">
        <v>-23.09225</v>
      </c>
      <c r="J4255">
        <v>-301.24310000000003</v>
      </c>
      <c r="K4255">
        <v>1.1058049999999999</v>
      </c>
      <c r="L4255">
        <v>-22.80585</v>
      </c>
      <c r="M4255">
        <v>4.8503249999999998E-2</v>
      </c>
      <c r="N4255">
        <v>-4.0846229999999999E-3</v>
      </c>
      <c r="O4255">
        <v>-0.9988148</v>
      </c>
      <c r="P4255">
        <v>0.1943626</v>
      </c>
      <c r="Q4255">
        <v>7.2969249999999999E-2</v>
      </c>
      <c r="R4255">
        <v>-0.97821199999999997</v>
      </c>
      <c r="S4255">
        <v>-3.8391109999999999E-2</v>
      </c>
      <c r="T4255">
        <v>-0.2377387</v>
      </c>
      <c r="U4255">
        <v>-3.0926819999999999</v>
      </c>
      <c r="V4255">
        <v>-0.14610870000000001</v>
      </c>
      <c r="W4255">
        <v>7.8090549999999995E-2</v>
      </c>
      <c r="X4255">
        <v>0.98618159999999999</v>
      </c>
      <c r="Y4255">
        <v>6.0855109999999997E-2</v>
      </c>
      <c r="Z4255">
        <v>7.2361620000000001E-2</v>
      </c>
      <c r="AA4255">
        <v>0.99552019999999997</v>
      </c>
      <c r="AB4255">
        <v>30</v>
      </c>
      <c r="AC4255">
        <v>-3.7499999999965797E-2</v>
      </c>
      <c r="AD4255">
        <v>-6.9590999999999903E-2</v>
      </c>
      <c r="AE4255">
        <v>-0.28639999999999999</v>
      </c>
      <c r="AF4255">
        <v>4.8530284266839002E-2</v>
      </c>
      <c r="AG4255">
        <v>-6.9590999999999903E-2</v>
      </c>
      <c r="AH4255">
        <v>0.26864978563282099</v>
      </c>
      <c r="AI4255">
        <v>104.300923881584</v>
      </c>
      <c r="AJ4255">
        <v>79.760225286159795</v>
      </c>
      <c r="AK4255">
        <v>0.28172824333492102</v>
      </c>
      <c r="AL4255">
        <v>85.521181179515807</v>
      </c>
      <c r="AM4255">
        <v>98.427408035910105</v>
      </c>
      <c r="AN4255">
        <v>1.00000001719677</v>
      </c>
    </row>
    <row r="4256" spans="1:40" x14ac:dyDescent="0.25">
      <c r="A4256" t="str">
        <f>"20190305135716393"</f>
        <v>20190305135716393</v>
      </c>
      <c r="B4256" t="str">
        <f>"1551765436387163"</f>
        <v>1551765436387163</v>
      </c>
      <c r="C4256" t="s">
        <v>40</v>
      </c>
      <c r="D4256">
        <v>4.2200490000000004</v>
      </c>
      <c r="E4256">
        <v>0.57635579999999997</v>
      </c>
      <c r="F4256" t="s">
        <v>41</v>
      </c>
      <c r="G4256">
        <v>-301.25700000000001</v>
      </c>
      <c r="H4256">
        <v>1.045067</v>
      </c>
      <c r="I4256">
        <v>-23.640730000000001</v>
      </c>
      <c r="J4256">
        <v>-301.2285</v>
      </c>
      <c r="K4256">
        <v>1.105761</v>
      </c>
      <c r="L4256">
        <v>-23.212039999999998</v>
      </c>
      <c r="M4256">
        <v>4.3389320000000002E-2</v>
      </c>
      <c r="N4256">
        <v>-4.1095400000000001E-3</v>
      </c>
      <c r="O4256">
        <v>-0.99904990000000005</v>
      </c>
      <c r="P4256">
        <v>0.1915364</v>
      </c>
      <c r="Q4256">
        <v>7.2786169999999997E-2</v>
      </c>
      <c r="R4256">
        <v>-0.97878319999999996</v>
      </c>
      <c r="S4256">
        <v>-5.1239010000000001E-2</v>
      </c>
      <c r="T4256">
        <v>-0.22510269999999999</v>
      </c>
      <c r="U4256">
        <v>-3.0937809999999999</v>
      </c>
      <c r="V4256">
        <v>-0.14830209999999999</v>
      </c>
      <c r="W4256">
        <v>7.7960769999999999E-2</v>
      </c>
      <c r="X4256">
        <v>0.98586439999999997</v>
      </c>
      <c r="Y4256">
        <v>5.9879549999999997E-2</v>
      </c>
      <c r="Z4256">
        <v>6.8294610000000006E-2</v>
      </c>
      <c r="AA4256">
        <v>0.99586660000000005</v>
      </c>
      <c r="AB4256">
        <v>30</v>
      </c>
      <c r="AC4256">
        <v>-2.8500000000008099E-2</v>
      </c>
      <c r="AD4256">
        <v>-6.0693999999999998E-2</v>
      </c>
      <c r="AE4256">
        <v>-0.42868999999999902</v>
      </c>
      <c r="AF4256">
        <v>4.6152822203373897E-2</v>
      </c>
      <c r="AG4256">
        <v>-6.0693999999999998E-2</v>
      </c>
      <c r="AH4256">
        <v>0.41869389994009099</v>
      </c>
      <c r="AI4256">
        <v>98.199178885875</v>
      </c>
      <c r="AJ4256">
        <v>83.709655177912694</v>
      </c>
      <c r="AK4256">
        <v>0.42558010583247302</v>
      </c>
      <c r="AL4256">
        <v>85.528639708969095</v>
      </c>
      <c r="AM4256">
        <v>98.554774928894901</v>
      </c>
      <c r="AN4256">
        <v>1.0000000048553801</v>
      </c>
    </row>
    <row r="4257" spans="1:40" x14ac:dyDescent="0.25">
      <c r="A4257" t="str">
        <f>"20190305135716428"</f>
        <v>20190305135716428</v>
      </c>
      <c r="B4257" t="str">
        <f>"1551765436416443"</f>
        <v>1551765436416443</v>
      </c>
      <c r="C4257" t="s">
        <v>40</v>
      </c>
      <c r="D4257">
        <v>4.2044579999999998</v>
      </c>
      <c r="E4257">
        <v>0.57654910000000004</v>
      </c>
      <c r="F4257" t="s">
        <v>41</v>
      </c>
      <c r="G4257">
        <v>-301.2482</v>
      </c>
      <c r="H4257">
        <v>1.035118</v>
      </c>
      <c r="I4257">
        <v>-24.185459999999999</v>
      </c>
      <c r="J4257">
        <v>-301.21339999999998</v>
      </c>
      <c r="K4257">
        <v>1.105694</v>
      </c>
      <c r="L4257">
        <v>-23.711980000000001</v>
      </c>
      <c r="M4257">
        <v>3.7104390000000001E-2</v>
      </c>
      <c r="N4257">
        <v>-4.1405849999999996E-3</v>
      </c>
      <c r="O4257">
        <v>-0.99930289999999999</v>
      </c>
      <c r="P4257">
        <v>0.19089229999999999</v>
      </c>
      <c r="Q4257">
        <v>6.8016569999999998E-2</v>
      </c>
      <c r="R4257">
        <v>-0.97925169999999995</v>
      </c>
      <c r="S4257">
        <v>-6.2255860000000003E-2</v>
      </c>
      <c r="T4257">
        <v>-0.22442400000000001</v>
      </c>
      <c r="U4257">
        <v>-3.0939030000000001</v>
      </c>
      <c r="V4257">
        <v>-0.15386929999999999</v>
      </c>
      <c r="W4257">
        <v>7.3278319999999994E-2</v>
      </c>
      <c r="X4257">
        <v>0.98537030000000003</v>
      </c>
      <c r="Y4257">
        <v>5.7145540000000002E-2</v>
      </c>
      <c r="Z4257">
        <v>6.8074449999999995E-2</v>
      </c>
      <c r="AA4257">
        <v>0.99604230000000005</v>
      </c>
      <c r="AB4257">
        <v>31</v>
      </c>
      <c r="AC4257">
        <v>-3.4800000000018302E-2</v>
      </c>
      <c r="AD4257">
        <v>-7.0575999999999903E-2</v>
      </c>
      <c r="AE4257">
        <v>-0.47347999999999801</v>
      </c>
      <c r="AF4257">
        <v>5.1212628074187201E-2</v>
      </c>
      <c r="AG4257">
        <v>-7.0575999999999903E-2</v>
      </c>
      <c r="AH4257">
        <v>0.46166051122533902</v>
      </c>
      <c r="AI4257">
        <v>98.639566553760105</v>
      </c>
      <c r="AJ4257">
        <v>83.669981873492802</v>
      </c>
      <c r="AK4257">
        <v>0.46982351226296298</v>
      </c>
      <c r="AL4257">
        <v>85.797695149303905</v>
      </c>
      <c r="AM4257">
        <v>98.875277626430005</v>
      </c>
      <c r="AN4257">
        <v>1.00000005089329</v>
      </c>
    </row>
    <row r="4258" spans="1:40" x14ac:dyDescent="0.25">
      <c r="A4258" t="str">
        <f>"20190305135716521"</f>
        <v>20190305135716521</v>
      </c>
      <c r="B4258" t="str">
        <f>"1551765436516971"</f>
        <v>1551765436516971</v>
      </c>
      <c r="C4258" t="s">
        <v>40</v>
      </c>
      <c r="D4258">
        <v>4.2542980000000004</v>
      </c>
      <c r="E4258">
        <v>0.53520349999999905</v>
      </c>
      <c r="F4258" t="s">
        <v>78</v>
      </c>
      <c r="G4258">
        <v>-299.45280000000002</v>
      </c>
      <c r="H4258" s="1">
        <v>-3.3795840000000002E-6</v>
      </c>
      <c r="I4258">
        <v>-45.562370000000001</v>
      </c>
      <c r="J4258">
        <v>-301.18869999999998</v>
      </c>
      <c r="K4258">
        <v>1.1055219999999999</v>
      </c>
      <c r="L4258">
        <v>-25.01633</v>
      </c>
      <c r="M4258">
        <v>2.074645E-2</v>
      </c>
      <c r="N4258">
        <v>-4.2226570000000003E-3</v>
      </c>
      <c r="O4258">
        <v>-0.999776</v>
      </c>
      <c r="P4258">
        <v>0.1922913</v>
      </c>
      <c r="Q4258">
        <v>5.7762359999999999E-2</v>
      </c>
      <c r="R4258">
        <v>-0.97963670000000003</v>
      </c>
      <c r="S4258">
        <v>0.25030520000000001</v>
      </c>
      <c r="T4258">
        <v>-0.1587664</v>
      </c>
      <c r="U4258">
        <v>-3.023193</v>
      </c>
      <c r="V4258">
        <v>-0.17142879999999899</v>
      </c>
      <c r="W4258">
        <v>6.327721E-2</v>
      </c>
      <c r="X4258">
        <v>0.98316230000000004</v>
      </c>
      <c r="Y4258">
        <v>-6.1716220000000002E-2</v>
      </c>
      <c r="Z4258">
        <v>4.8074060000000002E-2</v>
      </c>
      <c r="AA4258">
        <v>0.99693529999999997</v>
      </c>
      <c r="AB4258">
        <v>31</v>
      </c>
      <c r="AC4258">
        <v>1.73589999999995</v>
      </c>
      <c r="AD4258">
        <v>-1.1055253795840001</v>
      </c>
      <c r="AE4258">
        <v>-20.546039999999898</v>
      </c>
      <c r="AF4258">
        <v>-1.30551229336598</v>
      </c>
      <c r="AG4258">
        <v>-1.1055253795840001</v>
      </c>
      <c r="AH4258">
        <v>20.518646968178398</v>
      </c>
      <c r="AI4258">
        <v>93.077849050423694</v>
      </c>
      <c r="AJ4258">
        <v>93.6405740064329</v>
      </c>
      <c r="AK4258">
        <v>20.589837836121301</v>
      </c>
      <c r="AL4258">
        <v>86.372059029860907</v>
      </c>
      <c r="AM4258">
        <v>99.890923346345502</v>
      </c>
      <c r="AN4258">
        <v>0.99999997345805602</v>
      </c>
    </row>
    <row r="4259" spans="1:40" x14ac:dyDescent="0.25">
      <c r="A4259" t="str">
        <f>"20190305135716552"</f>
        <v>20190305135716552</v>
      </c>
      <c r="B4259" t="str">
        <f>"1551765436547227"</f>
        <v>1551765436547227</v>
      </c>
      <c r="C4259" t="s">
        <v>40</v>
      </c>
      <c r="D4259">
        <v>3.9637709999999999</v>
      </c>
      <c r="E4259">
        <v>0.5360878</v>
      </c>
      <c r="F4259" t="s">
        <v>78</v>
      </c>
      <c r="G4259">
        <v>-299.55110000000002</v>
      </c>
      <c r="H4259" s="1">
        <v>-2.1036800000000002E-6</v>
      </c>
      <c r="I4259">
        <v>-43.525530000000003</v>
      </c>
      <c r="J4259">
        <v>-301.18509999999998</v>
      </c>
      <c r="K4259">
        <v>1.1055060000000001</v>
      </c>
      <c r="L4259">
        <v>-25.449310000000001</v>
      </c>
      <c r="M4259">
        <v>1.5330069999999999E-2</v>
      </c>
      <c r="N4259">
        <v>-4.2501939999999997E-3</v>
      </c>
      <c r="O4259">
        <v>-0.99987349999999997</v>
      </c>
      <c r="P4259">
        <v>0.19905680000000001</v>
      </c>
      <c r="Q4259">
        <v>6.102581E-2</v>
      </c>
      <c r="R4259">
        <v>-0.97808600000000001</v>
      </c>
      <c r="S4259">
        <v>0.26724239999999999</v>
      </c>
      <c r="T4259">
        <v>-0.18041170000000001</v>
      </c>
      <c r="U4259">
        <v>-3.0205380000000002</v>
      </c>
      <c r="V4259">
        <v>-0.18351039999999999</v>
      </c>
      <c r="W4259">
        <v>6.6669870000000006E-2</v>
      </c>
      <c r="X4259">
        <v>0.98075429999999997</v>
      </c>
      <c r="Y4259">
        <v>-7.2705859999999997E-2</v>
      </c>
      <c r="Z4259">
        <v>5.5176759999999998E-2</v>
      </c>
      <c r="AA4259">
        <v>0.99582599999999999</v>
      </c>
      <c r="AB4259">
        <v>31</v>
      </c>
      <c r="AC4259">
        <v>1.6339999999999499</v>
      </c>
      <c r="AD4259">
        <v>-1.1055081036800001</v>
      </c>
      <c r="AE4259">
        <v>-18.076219999999999</v>
      </c>
      <c r="AF4259">
        <v>-1.3516810317516099</v>
      </c>
      <c r="AG4259">
        <v>-1.1055081036800001</v>
      </c>
      <c r="AH4259">
        <v>18.032245647377898</v>
      </c>
      <c r="AI4259">
        <v>93.498467510613395</v>
      </c>
      <c r="AJ4259">
        <v>94.286823433627305</v>
      </c>
      <c r="AK4259">
        <v>18.116596613776</v>
      </c>
      <c r="AL4259">
        <v>86.177262200423201</v>
      </c>
      <c r="AM4259">
        <v>100.598149870407</v>
      </c>
      <c r="AN4259">
        <v>0.99999996772123201</v>
      </c>
    </row>
    <row r="4260" spans="1:40" x14ac:dyDescent="0.25">
      <c r="A4260" t="str">
        <f>"20190305135716585"</f>
        <v>20190305135716585</v>
      </c>
      <c r="B4260" t="str">
        <f>"1551765436576507"</f>
        <v>1551765436576507</v>
      </c>
      <c r="C4260" t="s">
        <v>40</v>
      </c>
      <c r="D4260">
        <v>4.0753579999999996</v>
      </c>
      <c r="E4260">
        <v>0.53613109999999997</v>
      </c>
      <c r="F4260" t="s">
        <v>78</v>
      </c>
      <c r="G4260">
        <v>-299.35789999999997</v>
      </c>
      <c r="H4260" s="1">
        <v>-3.1939250000000001E-6</v>
      </c>
      <c r="I4260">
        <v>-45.172240000000002</v>
      </c>
      <c r="J4260">
        <v>-301.18380000000002</v>
      </c>
      <c r="K4260">
        <v>1.105483</v>
      </c>
      <c r="L4260">
        <v>-25.92456</v>
      </c>
      <c r="M4260">
        <v>9.4055170000000004E-3</v>
      </c>
      <c r="N4260">
        <v>-4.28029E-3</v>
      </c>
      <c r="O4260">
        <v>-0.99994669999999997</v>
      </c>
      <c r="P4260">
        <v>0.20507139999999999</v>
      </c>
      <c r="Q4260">
        <v>6.6874520000000007E-2</v>
      </c>
      <c r="R4260">
        <v>-0.97645990000000005</v>
      </c>
      <c r="S4260">
        <v>0.27984619999999999</v>
      </c>
      <c r="T4260">
        <v>-0.16932420000000001</v>
      </c>
      <c r="U4260">
        <v>-3.0208439999999999</v>
      </c>
      <c r="V4260">
        <v>-0.19529530000000001</v>
      </c>
      <c r="W4260">
        <v>7.2647719999999999E-2</v>
      </c>
      <c r="X4260">
        <v>0.97805010000000003</v>
      </c>
      <c r="Y4260">
        <v>-8.2740980000000006E-2</v>
      </c>
      <c r="Z4260">
        <v>5.1473230000000002E-2</v>
      </c>
      <c r="AA4260">
        <v>0.99524089999999998</v>
      </c>
      <c r="AB4260">
        <v>32</v>
      </c>
      <c r="AC4260">
        <v>1.82590000000004</v>
      </c>
      <c r="AD4260">
        <v>-1.105486193925</v>
      </c>
      <c r="AE4260">
        <v>-19.247679999999999</v>
      </c>
      <c r="AF4260">
        <v>-1.63942339057769</v>
      </c>
      <c r="AG4260">
        <v>-1.105486193925</v>
      </c>
      <c r="AH4260">
        <v>19.2012270962869</v>
      </c>
      <c r="AI4260">
        <v>93.283174876801397</v>
      </c>
      <c r="AJ4260">
        <v>94.880145455909499</v>
      </c>
      <c r="AK4260">
        <v>19.3027700287216</v>
      </c>
      <c r="AL4260">
        <v>85.833922094883206</v>
      </c>
      <c r="AM4260">
        <v>101.292203671781</v>
      </c>
      <c r="AN4260">
        <v>0.99999997176664801</v>
      </c>
    </row>
    <row r="4261" spans="1:40" x14ac:dyDescent="0.25">
      <c r="A4261" t="str">
        <f>"20190305135716618"</f>
        <v>20190305135716618</v>
      </c>
      <c r="B4261" t="str">
        <f>"1551765436606409"</f>
        <v>1551765436606409</v>
      </c>
      <c r="C4261" t="s">
        <v>40</v>
      </c>
      <c r="D4261">
        <v>4.1150500000000001</v>
      </c>
      <c r="E4261">
        <v>0.45948509999999998</v>
      </c>
      <c r="F4261" t="s">
        <v>78</v>
      </c>
      <c r="G4261">
        <v>-299.11110000000002</v>
      </c>
      <c r="H4261" s="1">
        <v>-4.2021620000000004E-6</v>
      </c>
      <c r="I4261">
        <v>-47.02805</v>
      </c>
      <c r="J4261">
        <v>-301.18520000000001</v>
      </c>
      <c r="K4261">
        <v>1.105442</v>
      </c>
      <c r="L4261">
        <v>-26.396879999999999</v>
      </c>
      <c r="M4261">
        <v>3.5659770000000001E-3</v>
      </c>
      <c r="N4261">
        <v>-4.3093819999999996E-3</v>
      </c>
      <c r="O4261">
        <v>-0.9999844</v>
      </c>
      <c r="P4261">
        <v>0.21172849999999999</v>
      </c>
      <c r="Q4261">
        <v>6.4555920000000003E-2</v>
      </c>
      <c r="R4261">
        <v>-0.97519449999999996</v>
      </c>
      <c r="S4261">
        <v>0.29669190000000001</v>
      </c>
      <c r="T4261">
        <v>-0.1582443</v>
      </c>
      <c r="U4261">
        <v>-3.0208439999999999</v>
      </c>
      <c r="V4261">
        <v>-0.20768210000000001</v>
      </c>
      <c r="W4261">
        <v>7.0457989999999998E-2</v>
      </c>
      <c r="X4261">
        <v>0.97565559999999996</v>
      </c>
      <c r="Y4261">
        <v>-9.4072089999999997E-2</v>
      </c>
      <c r="Z4261">
        <v>4.7767759999999999E-2</v>
      </c>
      <c r="AA4261">
        <v>0.99441869999999999</v>
      </c>
      <c r="AB4261">
        <v>32</v>
      </c>
      <c r="AC4261">
        <v>2.0740999999999801</v>
      </c>
      <c r="AD4261">
        <v>-1.105446202162</v>
      </c>
      <c r="AE4261">
        <v>-20.631170000000001</v>
      </c>
      <c r="AF4261">
        <v>-1.9948460302734601</v>
      </c>
      <c r="AG4261">
        <v>-1.105446202162</v>
      </c>
      <c r="AH4261">
        <v>20.5799420181703</v>
      </c>
      <c r="AI4261">
        <v>93.060356919054101</v>
      </c>
      <c r="AJ4261">
        <v>95.536473194673803</v>
      </c>
      <c r="AK4261">
        <v>20.7059275441026</v>
      </c>
      <c r="AL4261">
        <v>85.959707002202407</v>
      </c>
      <c r="AM4261">
        <v>102.016860642316</v>
      </c>
      <c r="AN4261">
        <v>1.0000000164133001</v>
      </c>
    </row>
    <row r="4262" spans="1:40" x14ac:dyDescent="0.25">
      <c r="A4262" t="str">
        <f>"20190305135716653"</f>
        <v>20190305135716653</v>
      </c>
      <c r="B4262" t="str">
        <f>"1551765436646425"</f>
        <v>1551765436646425</v>
      </c>
      <c r="C4262" t="s">
        <v>40</v>
      </c>
      <c r="D4262">
        <v>3.9060160000000002</v>
      </c>
      <c r="E4262">
        <v>0.4137885</v>
      </c>
      <c r="F4262" t="s">
        <v>78</v>
      </c>
      <c r="G4262">
        <v>-294.15089999999998</v>
      </c>
      <c r="H4262" s="1">
        <v>-5.9102660000000003E-6</v>
      </c>
      <c r="I4262">
        <v>-48.478720000000003</v>
      </c>
      <c r="J4262">
        <v>-301.18950000000001</v>
      </c>
      <c r="K4262">
        <v>1.1054299999999999</v>
      </c>
      <c r="L4262">
        <v>-26.891780000000001</v>
      </c>
      <c r="M4262">
        <v>-2.4600910000000002E-3</v>
      </c>
      <c r="N4262">
        <v>-4.3382560000000004E-3</v>
      </c>
      <c r="O4262">
        <v>-0.99998770000000003</v>
      </c>
      <c r="P4262">
        <v>0.2201774</v>
      </c>
      <c r="Q4262">
        <v>6.1672089999999999E-2</v>
      </c>
      <c r="R4262">
        <v>-0.97350840000000005</v>
      </c>
      <c r="S4262">
        <v>0.91943359999999996</v>
      </c>
      <c r="T4262">
        <v>-0.14449020000000001</v>
      </c>
      <c r="U4262">
        <v>-2.8862610000000002</v>
      </c>
      <c r="V4262">
        <v>-0.2220269</v>
      </c>
      <c r="W4262">
        <v>6.7705589999999996E-2</v>
      </c>
      <c r="X4262">
        <v>0.97268699999999997</v>
      </c>
      <c r="Y4262">
        <v>-0.30555159999999998</v>
      </c>
      <c r="Z4262">
        <v>4.3291679999999999E-2</v>
      </c>
      <c r="AA4262">
        <v>0.95119089999999995</v>
      </c>
      <c r="AB4262">
        <v>32</v>
      </c>
      <c r="AC4262">
        <v>7.0386000000000299</v>
      </c>
      <c r="AD4262">
        <v>-1.1054359102660001</v>
      </c>
      <c r="AE4262">
        <v>-21.586939999999998</v>
      </c>
      <c r="AF4262">
        <v>-7.0749152328830602</v>
      </c>
      <c r="AG4262">
        <v>-1.1054359102660001</v>
      </c>
      <c r="AH4262">
        <v>21.518553110972199</v>
      </c>
      <c r="AI4262">
        <v>92.793892559131194</v>
      </c>
      <c r="AJ4262">
        <v>108.19993981434899</v>
      </c>
      <c r="AK4262">
        <v>22.678724437100101</v>
      </c>
      <c r="AL4262">
        <v>86.117785522825002</v>
      </c>
      <c r="AM4262">
        <v>102.858119262164</v>
      </c>
      <c r="AN4262">
        <v>0.99999999560492903</v>
      </c>
    </row>
    <row r="4263" spans="1:40" x14ac:dyDescent="0.25">
      <c r="A4263" t="str">
        <f>"20190305135716686"</f>
        <v>20190305135716686</v>
      </c>
      <c r="B4263" t="str">
        <f>"1551765436676682"</f>
        <v>1551765436676682</v>
      </c>
      <c r="C4263" t="s">
        <v>40</v>
      </c>
      <c r="D4263">
        <v>3.8704510000000001</v>
      </c>
      <c r="E4263">
        <v>0.40679490000000001</v>
      </c>
      <c r="F4263" t="s">
        <v>41</v>
      </c>
      <c r="G4263">
        <v>-300.73540000000003</v>
      </c>
      <c r="H4263">
        <v>1.0419499999999999</v>
      </c>
      <c r="I4263">
        <v>-27.87116</v>
      </c>
      <c r="J4263">
        <v>-301.19650000000001</v>
      </c>
      <c r="K4263">
        <v>1.1054459999999999</v>
      </c>
      <c r="L4263">
        <v>-27.381070000000001</v>
      </c>
      <c r="M4263">
        <v>-8.2846329999999996E-3</v>
      </c>
      <c r="N4263">
        <v>-4.3657729999999999E-3</v>
      </c>
      <c r="O4263">
        <v>-0.99995610000000001</v>
      </c>
      <c r="P4263">
        <v>0.2299948</v>
      </c>
      <c r="Q4263">
        <v>6.0349899999999998E-2</v>
      </c>
      <c r="R4263">
        <v>-0.97131900000000004</v>
      </c>
      <c r="S4263">
        <v>1.2986150000000001</v>
      </c>
      <c r="T4263">
        <v>-0.1814595</v>
      </c>
      <c r="U4263">
        <v>-2.7994080000000001</v>
      </c>
      <c r="V4263">
        <v>-0.23750309999999999</v>
      </c>
      <c r="W4263">
        <v>6.6507620000000003E-2</v>
      </c>
      <c r="X4263">
        <v>0.9691073</v>
      </c>
      <c r="Y4263">
        <v>-0.42764029999999997</v>
      </c>
      <c r="Z4263">
        <v>5.422279E-2</v>
      </c>
      <c r="AA4263">
        <v>0.90232120000000005</v>
      </c>
      <c r="AB4263">
        <v>32</v>
      </c>
      <c r="AC4263">
        <v>0.46109999999998702</v>
      </c>
      <c r="AD4263">
        <v>-6.3495999999999997E-2</v>
      </c>
      <c r="AE4263">
        <v>-0.49008999999999497</v>
      </c>
      <c r="AF4263">
        <v>-0.46103933786249701</v>
      </c>
      <c r="AG4263">
        <v>-6.3495999999999997E-2</v>
      </c>
      <c r="AH4263">
        <v>0.48196171463208198</v>
      </c>
      <c r="AI4263">
        <v>95.438235810055204</v>
      </c>
      <c r="AJ4263">
        <v>133.72898631597801</v>
      </c>
      <c r="AK4263">
        <v>0.66998216949691003</v>
      </c>
      <c r="AL4263">
        <v>86.186579137941195</v>
      </c>
      <c r="AM4263">
        <v>103.770305857907</v>
      </c>
      <c r="AN4263">
        <v>0.999999972470481</v>
      </c>
    </row>
    <row r="4264" spans="1:40" x14ac:dyDescent="0.25">
      <c r="A4264" t="str">
        <f>"20190305135716726"</f>
        <v>20190305135716726</v>
      </c>
      <c r="B4264" t="str">
        <f>"1551765436716328"</f>
        <v>1551765436716328</v>
      </c>
      <c r="C4264" t="s">
        <v>40</v>
      </c>
      <c r="D4264">
        <v>3.8505319999999998</v>
      </c>
      <c r="E4264">
        <v>0.40399839999999998</v>
      </c>
      <c r="F4264" t="s">
        <v>41</v>
      </c>
      <c r="G4264">
        <v>-300.7715</v>
      </c>
      <c r="H4264">
        <v>1.0513440000000001</v>
      </c>
      <c r="I4264">
        <v>-28.234210000000001</v>
      </c>
      <c r="J4264">
        <v>-301.2081</v>
      </c>
      <c r="K4264">
        <v>1.10547</v>
      </c>
      <c r="L4264">
        <v>-27.955079999999999</v>
      </c>
      <c r="M4264">
        <v>-1.490208E-2</v>
      </c>
      <c r="N4264">
        <v>-4.3971749999999997E-3</v>
      </c>
      <c r="O4264">
        <v>-0.99987950000000003</v>
      </c>
      <c r="P4264">
        <v>0.2387329</v>
      </c>
      <c r="Q4264">
        <v>6.0024540000000001E-2</v>
      </c>
      <c r="R4264">
        <v>-0.96922839999999999</v>
      </c>
      <c r="S4264">
        <v>1.3815309999999901</v>
      </c>
      <c r="T4264">
        <v>-0.17581329999999901</v>
      </c>
      <c r="U4264">
        <v>-2.7724000000000002</v>
      </c>
      <c r="V4264">
        <v>-0.2526292</v>
      </c>
      <c r="W4264">
        <v>6.6287349999999995E-2</v>
      </c>
      <c r="X4264">
        <v>0.96528979999999998</v>
      </c>
      <c r="Y4264">
        <v>-0.45863159999999997</v>
      </c>
      <c r="Z4264">
        <v>5.2050489999999998E-2</v>
      </c>
      <c r="AA4264">
        <v>0.88710080000000002</v>
      </c>
      <c r="AB4264">
        <v>32</v>
      </c>
      <c r="AC4264">
        <v>0.43659999999999799</v>
      </c>
      <c r="AD4264">
        <v>-5.4126000000000098E-2</v>
      </c>
      <c r="AE4264">
        <v>-0.27912999999999799</v>
      </c>
      <c r="AF4264">
        <v>-0.43595502328637098</v>
      </c>
      <c r="AG4264">
        <v>-5.4126000000000098E-2</v>
      </c>
      <c r="AH4264">
        <v>0.26965087623017497</v>
      </c>
      <c r="AI4264">
        <v>96.027479848477299</v>
      </c>
      <c r="AJ4264">
        <v>148.262002247531</v>
      </c>
      <c r="AK4264">
        <v>0.51545901995825205</v>
      </c>
      <c r="AL4264">
        <v>86.199227550710305</v>
      </c>
      <c r="AM4264">
        <v>104.666128034941</v>
      </c>
      <c r="AN4264">
        <v>0.99999996172335004</v>
      </c>
    </row>
    <row r="4265" spans="1:40" x14ac:dyDescent="0.25">
      <c r="A4265" t="str">
        <f>"20190305135716753"</f>
        <v>20190305135716753</v>
      </c>
      <c r="B4265" t="str">
        <f>"1551765436746584"</f>
        <v>1551765436746584</v>
      </c>
      <c r="C4265" t="s">
        <v>40</v>
      </c>
      <c r="D4265">
        <v>3.8153139999999999</v>
      </c>
      <c r="E4265">
        <v>0.4038465</v>
      </c>
      <c r="F4265" t="s">
        <v>41</v>
      </c>
      <c r="G4265">
        <v>-300.79059999999998</v>
      </c>
      <c r="H4265">
        <v>1.055013</v>
      </c>
      <c r="I4265">
        <v>-28.76004</v>
      </c>
      <c r="J4265">
        <v>-301.21859999999998</v>
      </c>
      <c r="K4265">
        <v>1.10549599999999</v>
      </c>
      <c r="L4265">
        <v>-28.366330000000001</v>
      </c>
      <c r="M4265">
        <v>-1.9469940000000002E-2</v>
      </c>
      <c r="N4265">
        <v>-4.4187879999999999E-3</v>
      </c>
      <c r="O4265">
        <v>-0.99980060000000004</v>
      </c>
      <c r="P4265">
        <v>0.2478235</v>
      </c>
      <c r="Q4265">
        <v>5.675645E-2</v>
      </c>
      <c r="R4265">
        <v>-0.96714160000000005</v>
      </c>
      <c r="S4265">
        <v>1.4284669999999999</v>
      </c>
      <c r="T4265">
        <v>-0.17263589999999901</v>
      </c>
      <c r="U4265">
        <v>-2.754089</v>
      </c>
      <c r="V4265">
        <v>-0.26611990000000002</v>
      </c>
      <c r="W4265">
        <v>6.3099240000000001E-2</v>
      </c>
      <c r="X4265">
        <v>0.96187250000000002</v>
      </c>
      <c r="Y4265">
        <v>-0.47696359999999899</v>
      </c>
      <c r="Z4265">
        <v>5.0839830000000003E-2</v>
      </c>
      <c r="AA4265">
        <v>0.87745149999999905</v>
      </c>
      <c r="AB4265">
        <v>33</v>
      </c>
      <c r="AC4265">
        <v>0.42799999999999699</v>
      </c>
      <c r="AD4265">
        <v>-5.0482999999999799E-2</v>
      </c>
      <c r="AE4265">
        <v>-0.393710000000005</v>
      </c>
      <c r="AF4265">
        <v>-0.43232654074677701</v>
      </c>
      <c r="AG4265">
        <v>-5.0482999999999799E-2</v>
      </c>
      <c r="AH4265">
        <v>0.38242032066729897</v>
      </c>
      <c r="AI4265">
        <v>94.998539305428906</v>
      </c>
      <c r="AJ4265">
        <v>138.505196228594</v>
      </c>
      <c r="AK4265">
        <v>0.57939630028362699</v>
      </c>
      <c r="AL4265">
        <v>86.382276513224596</v>
      </c>
      <c r="AM4265">
        <v>105.46509431692201</v>
      </c>
      <c r="AN4265">
        <v>1.0000000107604099</v>
      </c>
    </row>
    <row r="4266" spans="1:40" x14ac:dyDescent="0.25">
      <c r="A4266" t="str">
        <f>"20190305135716786"</f>
        <v>20190305135716786</v>
      </c>
      <c r="B4266" t="str">
        <f>"1551765436776840"</f>
        <v>1551765436776840</v>
      </c>
      <c r="C4266" t="s">
        <v>40</v>
      </c>
      <c r="D4266">
        <v>3.8938670000000002</v>
      </c>
      <c r="E4266">
        <v>0.40364270000000002</v>
      </c>
      <c r="F4266" t="s">
        <v>41</v>
      </c>
      <c r="G4266">
        <v>-300.70479999999998</v>
      </c>
      <c r="H4266">
        <v>1.0430219999999999</v>
      </c>
      <c r="I4266">
        <v>-29.333259999999999</v>
      </c>
      <c r="J4266">
        <v>-301.23329999999999</v>
      </c>
      <c r="K4266">
        <v>1.105556</v>
      </c>
      <c r="L4266">
        <v>-28.85614</v>
      </c>
      <c r="M4266">
        <v>-2.4698080000000001E-2</v>
      </c>
      <c r="N4266">
        <v>-4.4441869999999996E-3</v>
      </c>
      <c r="O4266">
        <v>-0.99968509999999999</v>
      </c>
      <c r="P4266">
        <v>0.2557915</v>
      </c>
      <c r="Q4266">
        <v>5.2028720000000001E-2</v>
      </c>
      <c r="R4266">
        <v>-0.96533100000000005</v>
      </c>
      <c r="S4266">
        <v>1.455444</v>
      </c>
      <c r="T4266">
        <v>-0.17698759999999999</v>
      </c>
      <c r="U4266">
        <v>-2.7393489999999998</v>
      </c>
      <c r="V4266">
        <v>-0.27911639999999999</v>
      </c>
      <c r="W4266">
        <v>5.8429149999999999E-2</v>
      </c>
      <c r="X4266">
        <v>0.95847800000000005</v>
      </c>
      <c r="Y4266">
        <v>-0.49016159999999998</v>
      </c>
      <c r="Z4266">
        <v>5.2113060000000003E-2</v>
      </c>
      <c r="AA4266">
        <v>0.87007230000000002</v>
      </c>
      <c r="AB4266">
        <v>33</v>
      </c>
      <c r="AC4266">
        <v>0.52850000000000796</v>
      </c>
      <c r="AD4266">
        <v>-6.2534000000000006E-2</v>
      </c>
      <c r="AE4266">
        <v>-0.47711999999999499</v>
      </c>
      <c r="AF4266">
        <v>-0.53598839493099004</v>
      </c>
      <c r="AG4266">
        <v>-6.2534000000000006E-2</v>
      </c>
      <c r="AH4266">
        <v>0.46037023577055802</v>
      </c>
      <c r="AI4266">
        <v>95.057790576884301</v>
      </c>
      <c r="AJ4266">
        <v>139.34011540560499</v>
      </c>
      <c r="AK4266">
        <v>0.70931996633405003</v>
      </c>
      <c r="AL4266">
        <v>86.650348536569794</v>
      </c>
      <c r="AM4266">
        <v>106.235979000103</v>
      </c>
      <c r="AN4266">
        <v>1.0000000034013401</v>
      </c>
    </row>
    <row r="4267" spans="1:40" x14ac:dyDescent="0.25">
      <c r="A4267" t="str">
        <f>"20190305135716819"</f>
        <v>20190305135716819</v>
      </c>
      <c r="B4267" t="str">
        <f>"1551765436816495"</f>
        <v>1551765436816495</v>
      </c>
      <c r="C4267" t="s">
        <v>40</v>
      </c>
      <c r="D4267">
        <v>3.9434119999999999</v>
      </c>
      <c r="E4267">
        <v>0.40480329999999998</v>
      </c>
      <c r="F4267" t="s">
        <v>41</v>
      </c>
      <c r="G4267">
        <v>-300.80340000000001</v>
      </c>
      <c r="H4267">
        <v>1.051204</v>
      </c>
      <c r="I4267">
        <v>-29.648240000000001</v>
      </c>
      <c r="J4267">
        <v>-301.25049999999999</v>
      </c>
      <c r="K4267">
        <v>1.1056280000000001</v>
      </c>
      <c r="L4267">
        <v>-29.349789999999999</v>
      </c>
      <c r="M4267">
        <v>-2.9731629999999998E-2</v>
      </c>
      <c r="N4267">
        <v>-4.4700119999999998E-3</v>
      </c>
      <c r="O4267">
        <v>-0.99954799999999999</v>
      </c>
      <c r="P4267">
        <v>0.26237490000000002</v>
      </c>
      <c r="Q4267">
        <v>4.9450470000000003E-2</v>
      </c>
      <c r="R4267">
        <v>-0.96369839999999996</v>
      </c>
      <c r="S4267">
        <v>1.4794309999999999</v>
      </c>
      <c r="T4267">
        <v>-0.1870347</v>
      </c>
      <c r="U4267">
        <v>-2.7258</v>
      </c>
      <c r="V4267">
        <v>-0.29050310000000001</v>
      </c>
      <c r="W4267">
        <v>5.5887010000000001E-2</v>
      </c>
      <c r="X4267">
        <v>0.9552406</v>
      </c>
      <c r="Y4267">
        <v>-0.50214150000000002</v>
      </c>
      <c r="Z4267">
        <v>5.5192560000000002E-2</v>
      </c>
      <c r="AA4267">
        <v>0.86302239999999997</v>
      </c>
      <c r="AB4267">
        <v>33</v>
      </c>
      <c r="AC4267">
        <v>0.44709999999997702</v>
      </c>
      <c r="AD4267">
        <v>-5.4424E-2</v>
      </c>
      <c r="AE4267">
        <v>-0.29844999999999799</v>
      </c>
      <c r="AF4267">
        <v>-0.451151498310643</v>
      </c>
      <c r="AG4267">
        <v>-5.4424E-2</v>
      </c>
      <c r="AH4267">
        <v>0.28213303026256997</v>
      </c>
      <c r="AI4267">
        <v>95.839926586198899</v>
      </c>
      <c r="AJ4267">
        <v>147.97970182736799</v>
      </c>
      <c r="AK4267">
        <v>0.53488194302021397</v>
      </c>
      <c r="AL4267">
        <v>86.796240992134599</v>
      </c>
      <c r="AM4267">
        <v>106.91530897694</v>
      </c>
      <c r="AN4267">
        <v>1.00000000644235</v>
      </c>
    </row>
    <row r="4268" spans="1:40" x14ac:dyDescent="0.25">
      <c r="A4268" t="str">
        <f>"20190305135716853"</f>
        <v>20190305135716853</v>
      </c>
      <c r="B4268" t="str">
        <f>"1551765436846752"</f>
        <v>1551765436846752</v>
      </c>
      <c r="C4268" t="s">
        <v>40</v>
      </c>
      <c r="D4268">
        <v>3.9027219999999998</v>
      </c>
      <c r="E4268">
        <v>0.405636</v>
      </c>
      <c r="F4268" t="s">
        <v>41</v>
      </c>
      <c r="G4268">
        <v>-300.76620000000003</v>
      </c>
      <c r="H4268">
        <v>1.0335190000000001</v>
      </c>
      <c r="I4268">
        <v>-30.23667</v>
      </c>
      <c r="J4268">
        <v>-301.2704</v>
      </c>
      <c r="K4268">
        <v>1.1057159999999999</v>
      </c>
      <c r="L4268">
        <v>-29.858640000000001</v>
      </c>
      <c r="M4268">
        <v>-3.4679010000000003E-2</v>
      </c>
      <c r="N4268">
        <v>-4.4966859999999997E-3</v>
      </c>
      <c r="O4268">
        <v>-0.99938850000000001</v>
      </c>
      <c r="P4268">
        <v>0.26701619999999998</v>
      </c>
      <c r="Q4268">
        <v>4.906721E-2</v>
      </c>
      <c r="R4268">
        <v>-0.96244229999999997</v>
      </c>
      <c r="S4268">
        <v>1.485565</v>
      </c>
      <c r="T4268">
        <v>-0.2211525</v>
      </c>
      <c r="U4268">
        <v>-2.71991</v>
      </c>
      <c r="V4268">
        <v>-0.29983929999999998</v>
      </c>
      <c r="W4268">
        <v>5.5518030000000003E-2</v>
      </c>
      <c r="X4268">
        <v>0.95237289999999997</v>
      </c>
      <c r="Y4268">
        <v>-0.50836079999999995</v>
      </c>
      <c r="Z4268">
        <v>6.5935090000000002E-2</v>
      </c>
      <c r="AA4268">
        <v>0.85861620000000005</v>
      </c>
      <c r="AB4268">
        <v>33</v>
      </c>
      <c r="AC4268">
        <v>0.50419999999996801</v>
      </c>
      <c r="AD4268">
        <v>-7.2196999999999803E-2</v>
      </c>
      <c r="AE4268">
        <v>-0.37802999999999898</v>
      </c>
      <c r="AF4268">
        <v>-0.51030856319154205</v>
      </c>
      <c r="AG4268">
        <v>-7.2196999999999803E-2</v>
      </c>
      <c r="AH4268">
        <v>0.35564924881065102</v>
      </c>
      <c r="AI4268">
        <v>96.6206820064521</v>
      </c>
      <c r="AJ4268">
        <v>145.12620993843501</v>
      </c>
      <c r="AK4268">
        <v>0.626189767287199</v>
      </c>
      <c r="AL4268">
        <v>86.8174148397012</v>
      </c>
      <c r="AM4268">
        <v>107.475770552027</v>
      </c>
      <c r="AN4268">
        <v>0.99999999906699</v>
      </c>
    </row>
    <row r="4269" spans="1:40" x14ac:dyDescent="0.25">
      <c r="A4269" t="str">
        <f>"20190305135716887"</f>
        <v>20190305135716887</v>
      </c>
      <c r="B4269" t="str">
        <f>"1551765436877008"</f>
        <v>1551765436877008</v>
      </c>
      <c r="C4269" t="s">
        <v>40</v>
      </c>
      <c r="D4269">
        <v>3.8725809999999998</v>
      </c>
      <c r="E4269">
        <v>0.40650579999999997</v>
      </c>
      <c r="F4269" t="s">
        <v>41</v>
      </c>
      <c r="G4269">
        <v>-300.73649999999998</v>
      </c>
      <c r="H4269">
        <v>1.025682</v>
      </c>
      <c r="I4269">
        <v>-30.830729999999999</v>
      </c>
      <c r="J4269">
        <v>-301.29309999999998</v>
      </c>
      <c r="K4269">
        <v>1.1058049999999999</v>
      </c>
      <c r="L4269">
        <v>-30.37473</v>
      </c>
      <c r="M4269">
        <v>-3.9468250000000003E-2</v>
      </c>
      <c r="N4269">
        <v>-4.5247739999999996E-3</v>
      </c>
      <c r="O4269">
        <v>-0.99921059999999995</v>
      </c>
      <c r="P4269">
        <v>0.27008799999999999</v>
      </c>
      <c r="Q4269">
        <v>4.9728309999999998E-2</v>
      </c>
      <c r="R4269">
        <v>-0.96155049999999997</v>
      </c>
      <c r="S4269">
        <v>1.4920960000000001</v>
      </c>
      <c r="T4269">
        <v>-0.2235134</v>
      </c>
      <c r="U4269">
        <v>-2.7145079999999999</v>
      </c>
      <c r="V4269">
        <v>-0.3074424</v>
      </c>
      <c r="W4269">
        <v>5.6185029999999997E-2</v>
      </c>
      <c r="X4269">
        <v>0.94990649999999999</v>
      </c>
      <c r="Y4269">
        <v>-0.51475289999999996</v>
      </c>
      <c r="Z4269">
        <v>6.6567719999999997E-2</v>
      </c>
      <c r="AA4269">
        <v>0.85475049999999997</v>
      </c>
      <c r="AB4269">
        <v>33</v>
      </c>
      <c r="AC4269">
        <v>0.55660000000000298</v>
      </c>
      <c r="AD4269">
        <v>-8.0122999999999903E-2</v>
      </c>
      <c r="AE4269">
        <v>-0.45599999999999902</v>
      </c>
      <c r="AF4269">
        <v>-0.56713187469273896</v>
      </c>
      <c r="AG4269">
        <v>-8.0122999999999903E-2</v>
      </c>
      <c r="AH4269">
        <v>0.42836493918983298</v>
      </c>
      <c r="AI4269">
        <v>96.432004273608399</v>
      </c>
      <c r="AJ4269">
        <v>142.935590622436</v>
      </c>
      <c r="AK4269">
        <v>0.71523057788982303</v>
      </c>
      <c r="AL4269">
        <v>86.779138723783106</v>
      </c>
      <c r="AM4269">
        <v>107.934455864318</v>
      </c>
      <c r="AN4269">
        <v>0.99999997282805497</v>
      </c>
    </row>
    <row r="4270" spans="1:40" x14ac:dyDescent="0.25">
      <c r="A4270" t="str">
        <f>"20190305135716926"</f>
        <v>20190305135716926</v>
      </c>
      <c r="B4270" t="str">
        <f>"1551765436917024"</f>
        <v>1551765436917024</v>
      </c>
      <c r="C4270" t="s">
        <v>40</v>
      </c>
      <c r="D4270">
        <v>3.836687</v>
      </c>
      <c r="E4270">
        <v>0.40764739999999999</v>
      </c>
      <c r="F4270" t="s">
        <v>41</v>
      </c>
      <c r="G4270">
        <v>-300.86369999999999</v>
      </c>
      <c r="H4270">
        <v>1.0439940000000001</v>
      </c>
      <c r="I4270">
        <v>-31.1539</v>
      </c>
      <c r="J4270">
        <v>-301.3218</v>
      </c>
      <c r="K4270">
        <v>1.105915</v>
      </c>
      <c r="L4270">
        <v>-30.965520000000001</v>
      </c>
      <c r="M4270">
        <v>-4.4706410000000002E-2</v>
      </c>
      <c r="N4270">
        <v>-4.5579840000000002E-3</v>
      </c>
      <c r="O4270">
        <v>-0.99898989999999999</v>
      </c>
      <c r="P4270">
        <v>0.27017219999999997</v>
      </c>
      <c r="Q4270">
        <v>5.0292339999999998E-2</v>
      </c>
      <c r="R4270">
        <v>-0.96149770000000001</v>
      </c>
      <c r="S4270">
        <v>1.49411</v>
      </c>
      <c r="T4270">
        <v>-0.21509700000000001</v>
      </c>
      <c r="U4270">
        <v>-2.711395</v>
      </c>
      <c r="V4270">
        <v>-0.31250889999999998</v>
      </c>
      <c r="W4270">
        <v>5.6741569999999998E-2</v>
      </c>
      <c r="X4270">
        <v>0.94821860000000002</v>
      </c>
      <c r="Y4270">
        <v>-0.52022400000000002</v>
      </c>
      <c r="Z4270">
        <v>6.3773910000000003E-2</v>
      </c>
      <c r="AA4270">
        <v>0.8516454</v>
      </c>
      <c r="AB4270">
        <v>34</v>
      </c>
      <c r="AC4270">
        <v>0.45810000000000101</v>
      </c>
      <c r="AD4270">
        <v>-6.1920999999999803E-2</v>
      </c>
      <c r="AE4270">
        <v>-0.18837999999999799</v>
      </c>
      <c r="AF4270">
        <v>-0.45889228740837801</v>
      </c>
      <c r="AG4270">
        <v>-6.1920999999999803E-2</v>
      </c>
      <c r="AH4270">
        <v>0.16513077069455201</v>
      </c>
      <c r="AI4270">
        <v>97.235877971989296</v>
      </c>
      <c r="AJ4270">
        <v>160.20891129728301</v>
      </c>
      <c r="AK4270">
        <v>0.49161419132696899</v>
      </c>
      <c r="AL4270">
        <v>86.747200354663505</v>
      </c>
      <c r="AM4270">
        <v>108.24091447207699</v>
      </c>
      <c r="AN4270">
        <v>0.99999996586561601</v>
      </c>
    </row>
    <row r="4271" spans="1:40" x14ac:dyDescent="0.25">
      <c r="A4271" t="str">
        <f>"20190305135716957"</f>
        <v>20190305135716957</v>
      </c>
      <c r="B4271" t="str">
        <f>"1551765436947280"</f>
        <v>1551765436947280</v>
      </c>
      <c r="C4271" t="s">
        <v>40</v>
      </c>
      <c r="D4271">
        <v>3.8051789999999999</v>
      </c>
      <c r="E4271">
        <v>0.40846120000000002</v>
      </c>
      <c r="F4271" t="s">
        <v>41</v>
      </c>
      <c r="G4271">
        <v>-300.88560000000001</v>
      </c>
      <c r="H4271">
        <v>1.045623</v>
      </c>
      <c r="I4271">
        <v>-31.762139999999999</v>
      </c>
      <c r="J4271">
        <v>-301.34660000000002</v>
      </c>
      <c r="K4271">
        <v>1.1059810000000001</v>
      </c>
      <c r="L4271">
        <v>-31.432980000000001</v>
      </c>
      <c r="M4271">
        <v>-4.867262E-2</v>
      </c>
      <c r="N4271">
        <v>-4.5841129999999999E-3</v>
      </c>
      <c r="O4271">
        <v>-0.99880429999999998</v>
      </c>
      <c r="P4271">
        <v>0.2698796</v>
      </c>
      <c r="Q4271">
        <v>5.0625000000000003E-2</v>
      </c>
      <c r="R4271">
        <v>-0.96156260000000005</v>
      </c>
      <c r="S4271">
        <v>1.4857180000000001</v>
      </c>
      <c r="T4271">
        <v>-0.20536409999999999</v>
      </c>
      <c r="U4271">
        <v>-2.713409</v>
      </c>
      <c r="V4271">
        <v>-0.3159902</v>
      </c>
      <c r="W4271">
        <v>5.7063870000000003E-2</v>
      </c>
      <c r="X4271">
        <v>0.94704480000000002</v>
      </c>
      <c r="Y4271">
        <v>-0.52141800000000005</v>
      </c>
      <c r="Z4271">
        <v>6.0621599999999998E-2</v>
      </c>
      <c r="AA4271">
        <v>0.85114529999999999</v>
      </c>
      <c r="AB4271">
        <v>34</v>
      </c>
      <c r="AC4271">
        <v>0.46100000000001201</v>
      </c>
      <c r="AD4271">
        <v>-6.0357999999999898E-2</v>
      </c>
      <c r="AE4271">
        <v>-0.32916000000000101</v>
      </c>
      <c r="AF4271">
        <v>-0.47112574798238599</v>
      </c>
      <c r="AG4271">
        <v>-6.0357999999999898E-2</v>
      </c>
      <c r="AH4271">
        <v>0.302892548877433</v>
      </c>
      <c r="AI4271">
        <v>96.150707954643806</v>
      </c>
      <c r="AJ4271">
        <v>147.26253671855599</v>
      </c>
      <c r="AK4271">
        <v>0.56333511761777399</v>
      </c>
      <c r="AL4271">
        <v>86.728703976672193</v>
      </c>
      <c r="AM4271">
        <v>108.45175032361399</v>
      </c>
      <c r="AN4271">
        <v>0.99999997248122796</v>
      </c>
    </row>
    <row r="4272" spans="1:40" x14ac:dyDescent="0.25">
      <c r="A4272" t="str">
        <f>"20190305135716987"</f>
        <v>20190305135716987</v>
      </c>
      <c r="B4272" t="str">
        <f>"1551765436976561"</f>
        <v>1551765436976561</v>
      </c>
      <c r="C4272" t="s">
        <v>40</v>
      </c>
      <c r="D4272">
        <v>4.1101799999999997</v>
      </c>
      <c r="E4272">
        <v>0.40903030000000001</v>
      </c>
      <c r="F4272" t="s">
        <v>41</v>
      </c>
      <c r="G4272">
        <v>-300.84030000000001</v>
      </c>
      <c r="H4272">
        <v>1.0372049999999999</v>
      </c>
      <c r="I4272">
        <v>-32.363199999999999</v>
      </c>
      <c r="J4272">
        <v>-301.37270000000001</v>
      </c>
      <c r="K4272">
        <v>1.1060570000000001</v>
      </c>
      <c r="L4272">
        <v>-31.89481</v>
      </c>
      <c r="M4272">
        <v>-5.2439949999999999E-2</v>
      </c>
      <c r="N4272">
        <v>-4.6095930000000004E-3</v>
      </c>
      <c r="O4272">
        <v>-0.99861359999999999</v>
      </c>
      <c r="P4272">
        <v>0.26768589999999998</v>
      </c>
      <c r="Q4272">
        <v>5.1111110000000001E-2</v>
      </c>
      <c r="R4272">
        <v>-0.9621499</v>
      </c>
      <c r="S4272">
        <v>1.4781489999999999</v>
      </c>
      <c r="T4272">
        <v>-0.2007805</v>
      </c>
      <c r="U4272">
        <v>-2.7156370000000001</v>
      </c>
      <c r="V4272">
        <v>-0.31740889999999999</v>
      </c>
      <c r="W4272">
        <v>5.7522789999999997E-2</v>
      </c>
      <c r="X4272">
        <v>0.94654249999999995</v>
      </c>
      <c r="Y4272">
        <v>-0.52255669999999999</v>
      </c>
      <c r="Z4272">
        <v>5.909184E-2</v>
      </c>
      <c r="AA4272">
        <v>0.85055429999999999</v>
      </c>
      <c r="AB4272">
        <v>34</v>
      </c>
      <c r="AC4272">
        <v>0.53239999999999499</v>
      </c>
      <c r="AD4272">
        <v>-6.8852000000000094E-2</v>
      </c>
      <c r="AE4272">
        <v>-0.46839000000000303</v>
      </c>
      <c r="AF4272">
        <v>-0.55103507479862202</v>
      </c>
      <c r="AG4272">
        <v>-6.8852000000000094E-2</v>
      </c>
      <c r="AH4272">
        <v>0.43571838979528499</v>
      </c>
      <c r="AI4272">
        <v>95.597769937364902</v>
      </c>
      <c r="AJ4272">
        <v>141.665621042418</v>
      </c>
      <c r="AK4272">
        <v>0.7058546357205</v>
      </c>
      <c r="AL4272">
        <v>86.702366601253004</v>
      </c>
      <c r="AM4272">
        <v>108.53810896323</v>
      </c>
      <c r="AN4272">
        <v>0.99999999273742202</v>
      </c>
    </row>
    <row r="4273" spans="1:40" x14ac:dyDescent="0.25">
      <c r="A4273" t="str">
        <f>"20190305135717021"</f>
        <v>20190305135717021</v>
      </c>
      <c r="B4273" t="str">
        <f>"1551765437006816"</f>
        <v>1551765437006816</v>
      </c>
      <c r="C4273" t="s">
        <v>40</v>
      </c>
      <c r="D4273">
        <v>4.14168</v>
      </c>
      <c r="E4273">
        <v>0.51941210000000004</v>
      </c>
      <c r="F4273" t="s">
        <v>41</v>
      </c>
      <c r="G4273">
        <v>-300.94619999999998</v>
      </c>
      <c r="H4273">
        <v>1.04881</v>
      </c>
      <c r="I4273">
        <v>-32.685870000000001</v>
      </c>
      <c r="J4273">
        <v>-301.404</v>
      </c>
      <c r="K4273">
        <v>1.1061719999999999</v>
      </c>
      <c r="L4273">
        <v>-32.414180000000002</v>
      </c>
      <c r="M4273">
        <v>-5.6428069999999997E-2</v>
      </c>
      <c r="N4273">
        <v>-4.6374249999999997E-3</v>
      </c>
      <c r="O4273">
        <v>-0.99839619999999996</v>
      </c>
      <c r="P4273">
        <v>0.2617951</v>
      </c>
      <c r="Q4273">
        <v>5.2411840000000001E-2</v>
      </c>
      <c r="R4273">
        <v>-0.96369950000000004</v>
      </c>
      <c r="S4273">
        <v>1.467133</v>
      </c>
      <c r="T4273">
        <v>-0.1968714</v>
      </c>
      <c r="U4273">
        <v>-2.7203059999999999</v>
      </c>
      <c r="V4273">
        <v>-0.3154014</v>
      </c>
      <c r="W4273">
        <v>5.8753800000000002E-2</v>
      </c>
      <c r="X4273">
        <v>0.94713780000000003</v>
      </c>
      <c r="Y4273">
        <v>-0.52272019999999997</v>
      </c>
      <c r="Z4273">
        <v>5.7760199999999998E-2</v>
      </c>
      <c r="AA4273">
        <v>0.85054529999999995</v>
      </c>
      <c r="AB4273">
        <v>34</v>
      </c>
      <c r="AC4273">
        <v>0.45780000000002002</v>
      </c>
      <c r="AD4273">
        <v>-5.7361999999999899E-2</v>
      </c>
      <c r="AE4273">
        <v>-0.27168999999999899</v>
      </c>
      <c r="AF4273">
        <v>-0.46697974771934903</v>
      </c>
      <c r="AG4273">
        <v>-5.7361999999999899E-2</v>
      </c>
      <c r="AH4273">
        <v>0.242607243956</v>
      </c>
      <c r="AI4273">
        <v>96.220881531846302</v>
      </c>
      <c r="AJ4273">
        <v>152.54703487768501</v>
      </c>
      <c r="AK4273">
        <v>0.529356929343475</v>
      </c>
      <c r="AL4273">
        <v>86.631715547895197</v>
      </c>
      <c r="AM4273">
        <v>108.418004104405</v>
      </c>
      <c r="AN4273">
        <v>1.0000000321626099</v>
      </c>
    </row>
    <row r="4274" spans="1:40" x14ac:dyDescent="0.25">
      <c r="A4274" t="str">
        <f>"20190305135717055"</f>
        <v>20190305135717055</v>
      </c>
      <c r="B4274" t="str">
        <f>"1551765437046832"</f>
        <v>1551765437046832</v>
      </c>
      <c r="C4274" t="s">
        <v>40</v>
      </c>
      <c r="D4274">
        <v>4.1135000000000002</v>
      </c>
      <c r="E4274">
        <v>0.61743680000000001</v>
      </c>
      <c r="F4274" t="s">
        <v>78</v>
      </c>
      <c r="G4274">
        <v>-295.05900000000003</v>
      </c>
      <c r="H4274" s="1">
        <v>-1.204346E-5</v>
      </c>
      <c r="I4274">
        <v>-63.439399999999999</v>
      </c>
      <c r="J4274">
        <v>-301.43790000000001</v>
      </c>
      <c r="K4274">
        <v>1.1063240000000001</v>
      </c>
      <c r="L4274">
        <v>-32.947420000000001</v>
      </c>
      <c r="M4274">
        <v>-6.0167030000000003E-2</v>
      </c>
      <c r="N4274">
        <v>-4.6643170000000003E-3</v>
      </c>
      <c r="O4274">
        <v>-0.9981776</v>
      </c>
      <c r="P4274">
        <v>0.25478129999999999</v>
      </c>
      <c r="Q4274">
        <v>5.2949209999999997E-2</v>
      </c>
      <c r="R4274">
        <v>-0.96554850000000003</v>
      </c>
      <c r="S4274">
        <v>0.60424800000000001</v>
      </c>
      <c r="T4274">
        <v>-0.1053441</v>
      </c>
      <c r="U4274">
        <v>-2.95459</v>
      </c>
      <c r="V4274">
        <v>-0.31207810000000002</v>
      </c>
      <c r="W4274">
        <v>5.9174110000000002E-2</v>
      </c>
      <c r="X4274">
        <v>0.94821180000000005</v>
      </c>
      <c r="Y4274">
        <v>-0.25883509999999998</v>
      </c>
      <c r="Z4274">
        <v>2.9879960000000001E-2</v>
      </c>
      <c r="AA4274">
        <v>0.96545919999999996</v>
      </c>
      <c r="AB4274">
        <v>34</v>
      </c>
      <c r="AC4274">
        <v>6.3788999999999803</v>
      </c>
      <c r="AD4274">
        <v>-1.10633604346</v>
      </c>
      <c r="AE4274">
        <v>-30.491980000000002</v>
      </c>
      <c r="AF4274">
        <v>-8.1916430681421808</v>
      </c>
      <c r="AG4274">
        <v>-1.10633604346</v>
      </c>
      <c r="AH4274">
        <v>30.015077176989301</v>
      </c>
      <c r="AI4274">
        <v>92.036513549877498</v>
      </c>
      <c r="AJ4274">
        <v>105.26526863248399</v>
      </c>
      <c r="AK4274">
        <v>31.1324887141636</v>
      </c>
      <c r="AL4274">
        <v>86.607591364178603</v>
      </c>
      <c r="AM4274">
        <v>108.217552817279</v>
      </c>
      <c r="AN4274">
        <v>0.99999996672656999</v>
      </c>
    </row>
    <row r="4275" spans="1:40" x14ac:dyDescent="0.25">
      <c r="A4275" t="str">
        <f>"20190305135717086"</f>
        <v>20190305135717086</v>
      </c>
      <c r="B4275" t="str">
        <f>"1551765437077088"</f>
        <v>1551765437077088</v>
      </c>
      <c r="C4275" t="s">
        <v>40</v>
      </c>
      <c r="D4275">
        <v>4.0739260000000002</v>
      </c>
      <c r="E4275">
        <v>0.61133119999999996</v>
      </c>
      <c r="F4275" t="s">
        <v>41</v>
      </c>
      <c r="G4275">
        <v>-301.49709999999999</v>
      </c>
      <c r="H4275">
        <v>1.03003</v>
      </c>
      <c r="I4275">
        <v>-33.903129999999997</v>
      </c>
      <c r="J4275">
        <v>-301.47140000000002</v>
      </c>
      <c r="K4275">
        <v>1.1065229999999999</v>
      </c>
      <c r="L4275">
        <v>-33.45261</v>
      </c>
      <c r="M4275">
        <v>-6.3278840000000003E-2</v>
      </c>
      <c r="N4275">
        <v>-4.6890270000000001E-3</v>
      </c>
      <c r="O4275">
        <v>-0.99798500000000001</v>
      </c>
      <c r="P4275">
        <v>0.24767629999999999</v>
      </c>
      <c r="Q4275">
        <v>5.2203409999999999E-2</v>
      </c>
      <c r="R4275">
        <v>-0.96743579999999996</v>
      </c>
      <c r="S4275">
        <v>-0.1958618</v>
      </c>
      <c r="T4275">
        <v>-0.25316569999999999</v>
      </c>
      <c r="U4275">
        <v>-3.1726070000000002</v>
      </c>
      <c r="V4275">
        <v>-0.30809699999999901</v>
      </c>
      <c r="W4275">
        <v>5.8274920000000001E-2</v>
      </c>
      <c r="X4275">
        <v>0.94956850000000004</v>
      </c>
      <c r="Y4275">
        <v>-1.8363609999999999E-3</v>
      </c>
      <c r="Z4275">
        <v>7.4565060000000002E-2</v>
      </c>
      <c r="AA4275">
        <v>0.99721439999999995</v>
      </c>
      <c r="AB4275">
        <v>35</v>
      </c>
      <c r="AC4275">
        <v>-2.5699999999971999E-2</v>
      </c>
      <c r="AD4275">
        <v>-7.6492999999999894E-2</v>
      </c>
      <c r="AE4275">
        <v>-0.45051999999999698</v>
      </c>
      <c r="AF4275">
        <v>-2.7803086756789E-3</v>
      </c>
      <c r="AG4275">
        <v>-7.6492999999999894E-2</v>
      </c>
      <c r="AH4275">
        <v>0.43863927242422901</v>
      </c>
      <c r="AI4275">
        <v>99.891970197791395</v>
      </c>
      <c r="AJ4275">
        <v>90.363163605175799</v>
      </c>
      <c r="AK4275">
        <v>0.445267695300467</v>
      </c>
      <c r="AL4275">
        <v>86.659200442991306</v>
      </c>
      <c r="AM4275">
        <v>107.97617349111199</v>
      </c>
      <c r="AN4275">
        <v>1.00000003195112</v>
      </c>
    </row>
    <row r="4276" spans="1:40" x14ac:dyDescent="0.25">
      <c r="A4276" t="str">
        <f>"20190305135717123"</f>
        <v>20190305135717123</v>
      </c>
      <c r="B4276" t="str">
        <f>"1551765437117105"</f>
        <v>1551765437117105</v>
      </c>
      <c r="C4276" t="s">
        <v>40</v>
      </c>
      <c r="D4276">
        <v>4.0552769999999896</v>
      </c>
      <c r="E4276">
        <v>0.60558659999999997</v>
      </c>
      <c r="F4276" t="s">
        <v>78</v>
      </c>
      <c r="G4276">
        <v>-302.23419999999999</v>
      </c>
      <c r="H4276" s="1">
        <v>-4.4833139999999999E-6</v>
      </c>
      <c r="I4276">
        <v>-47.688960000000002</v>
      </c>
      <c r="J4276">
        <v>-301.50979999999998</v>
      </c>
      <c r="K4276">
        <v>1.10684</v>
      </c>
      <c r="L4276">
        <v>-34.013890000000004</v>
      </c>
      <c r="M4276">
        <v>-6.6011529999999999E-2</v>
      </c>
      <c r="N4276">
        <v>-4.7166659999999996E-3</v>
      </c>
      <c r="O4276">
        <v>-0.99780789999999997</v>
      </c>
      <c r="P4276">
        <v>0.24073349999999999</v>
      </c>
      <c r="Q4276">
        <v>4.9758169999999997E-2</v>
      </c>
      <c r="R4276">
        <v>-0.96931520000000004</v>
      </c>
      <c r="S4276">
        <v>-0.16918949999999999</v>
      </c>
      <c r="T4276">
        <v>-0.245423</v>
      </c>
      <c r="U4276">
        <v>-3.157562</v>
      </c>
      <c r="V4276">
        <v>-0.30395280000000002</v>
      </c>
      <c r="W4276">
        <v>5.5587070000000002E-2</v>
      </c>
      <c r="X4276">
        <v>0.95106400000000002</v>
      </c>
      <c r="Y4276">
        <v>-1.266747E-2</v>
      </c>
      <c r="Z4276">
        <v>7.2485590000000003E-2</v>
      </c>
      <c r="AA4276">
        <v>0.99728899999999998</v>
      </c>
      <c r="AB4276">
        <v>35</v>
      </c>
      <c r="AC4276">
        <v>-0.72440000000000204</v>
      </c>
      <c r="AD4276">
        <v>-1.1068444833140001</v>
      </c>
      <c r="AE4276">
        <v>-13.6750699999999</v>
      </c>
      <c r="AF4276">
        <v>-0.17873458693508301</v>
      </c>
      <c r="AG4276">
        <v>-1.1068444833140001</v>
      </c>
      <c r="AH4276">
        <v>13.604188396238101</v>
      </c>
      <c r="AI4276">
        <v>94.650972223811706</v>
      </c>
      <c r="AJ4276">
        <v>90.752720266814194</v>
      </c>
      <c r="AK4276">
        <v>13.6503110837501</v>
      </c>
      <c r="AL4276">
        <v>86.813452958803396</v>
      </c>
      <c r="AM4276">
        <v>107.72348321093</v>
      </c>
      <c r="AN4276">
        <v>0.99999997953751196</v>
      </c>
    </row>
    <row r="4277" spans="1:40" x14ac:dyDescent="0.25">
      <c r="A4277" t="str">
        <f>"20190305135717156"</f>
        <v>20190305135717156</v>
      </c>
      <c r="B4277" t="str">
        <f>"1551765437146384"</f>
        <v>1551765437146384</v>
      </c>
      <c r="C4277" t="s">
        <v>40</v>
      </c>
      <c r="D4277">
        <v>4.0819029999999996</v>
      </c>
      <c r="E4277">
        <v>0.6034718</v>
      </c>
      <c r="F4277" t="s">
        <v>78</v>
      </c>
      <c r="G4277">
        <v>-302.17230000000001</v>
      </c>
      <c r="H4277" s="1">
        <v>-4.8524969999999998E-6</v>
      </c>
      <c r="I4277">
        <v>-48.420560000000002</v>
      </c>
      <c r="J4277">
        <v>-301.54579999999999</v>
      </c>
      <c r="K4277">
        <v>1.107235</v>
      </c>
      <c r="L4277">
        <v>-34.531039999999997</v>
      </c>
      <c r="M4277">
        <v>-6.7696439999999997E-2</v>
      </c>
      <c r="N4277">
        <v>-4.7457139999999998E-3</v>
      </c>
      <c r="O4277">
        <v>-0.997695</v>
      </c>
      <c r="P4277">
        <v>0.2366404</v>
      </c>
      <c r="Q4277">
        <v>4.5595469999999999E-2</v>
      </c>
      <c r="R4277">
        <v>-0.97052709999999998</v>
      </c>
      <c r="S4277">
        <v>-0.144531299999999</v>
      </c>
      <c r="T4277">
        <v>-0.2414916</v>
      </c>
      <c r="U4277">
        <v>-3.1432500000000001</v>
      </c>
      <c r="V4277">
        <v>-0.3016278</v>
      </c>
      <c r="W4277">
        <v>5.1138330000000003E-2</v>
      </c>
      <c r="X4277">
        <v>0.95205329999999999</v>
      </c>
      <c r="Y4277">
        <v>-2.1911969999999999E-2</v>
      </c>
      <c r="Z4277">
        <v>7.1565290000000004E-2</v>
      </c>
      <c r="AA4277">
        <v>0.99719519999999995</v>
      </c>
      <c r="AB4277">
        <v>35</v>
      </c>
      <c r="AC4277">
        <v>-0.62650000000002104</v>
      </c>
      <c r="AD4277">
        <v>-1.107239852497</v>
      </c>
      <c r="AE4277">
        <v>-13.8895199999999</v>
      </c>
      <c r="AF4277">
        <v>-0.31323207032259098</v>
      </c>
      <c r="AG4277">
        <v>-1.107239852497</v>
      </c>
      <c r="AH4277">
        <v>13.812469850745799</v>
      </c>
      <c r="AI4277">
        <v>94.581990156444604</v>
      </c>
      <c r="AJ4277">
        <v>91.299101484193898</v>
      </c>
      <c r="AK4277">
        <v>13.860318098752201</v>
      </c>
      <c r="AL4277">
        <v>87.068710874012993</v>
      </c>
      <c r="AM4277">
        <v>107.579148668569</v>
      </c>
      <c r="AN4277">
        <v>0.99999997228445903</v>
      </c>
    </row>
    <row r="4278" spans="1:40" x14ac:dyDescent="0.25">
      <c r="A4278" t="str">
        <f>"20190305135717187"</f>
        <v>20190305135717187</v>
      </c>
      <c r="B4278" t="str">
        <f>"1551765437176640"</f>
        <v>1551765437176640</v>
      </c>
      <c r="C4278" t="s">
        <v>40</v>
      </c>
      <c r="D4278">
        <v>4.0843720000000001</v>
      </c>
      <c r="E4278">
        <v>0.60167879999999996</v>
      </c>
      <c r="F4278" t="s">
        <v>41</v>
      </c>
      <c r="G4278">
        <v>-301.58870000000002</v>
      </c>
      <c r="H4278">
        <v>1.02773</v>
      </c>
      <c r="I4278">
        <v>-35.478149999999999</v>
      </c>
      <c r="J4278">
        <v>-301.58089999999999</v>
      </c>
      <c r="K4278">
        <v>1.107696</v>
      </c>
      <c r="L4278">
        <v>-35.0351</v>
      </c>
      <c r="M4278">
        <v>-6.8535869999999999E-2</v>
      </c>
      <c r="N4278">
        <v>-4.7910460000000002E-3</v>
      </c>
      <c r="O4278">
        <v>-0.99763729999999995</v>
      </c>
      <c r="P4278">
        <v>0.23551140000000001</v>
      </c>
      <c r="Q4278">
        <v>4.6601179999999999E-2</v>
      </c>
      <c r="R4278">
        <v>-0.97075400000000001</v>
      </c>
      <c r="S4278">
        <v>-0.14199829999999999</v>
      </c>
      <c r="T4278">
        <v>-0.2634109</v>
      </c>
      <c r="U4278">
        <v>-3.1380919999999999</v>
      </c>
      <c r="V4278">
        <v>-0.30137249999999999</v>
      </c>
      <c r="W4278">
        <v>5.1849779999999998E-2</v>
      </c>
      <c r="X4278">
        <v>0.95209569999999999</v>
      </c>
      <c r="Y4278">
        <v>-2.3504190000000001E-2</v>
      </c>
      <c r="Z4278">
        <v>7.8529660000000001E-2</v>
      </c>
      <c r="AA4278">
        <v>0.99663469999999998</v>
      </c>
      <c r="AB4278">
        <v>35</v>
      </c>
      <c r="AC4278">
        <v>-7.8000000000315499E-3</v>
      </c>
      <c r="AD4278">
        <v>-7.9965999999999898E-2</v>
      </c>
      <c r="AE4278">
        <v>-0.443049999999999</v>
      </c>
      <c r="AF4278">
        <v>-2.1871233202694001E-2</v>
      </c>
      <c r="AG4278">
        <v>-7.9965999999999898E-2</v>
      </c>
      <c r="AH4278">
        <v>0.42858528822079101</v>
      </c>
      <c r="AI4278">
        <v>100.555370974263</v>
      </c>
      <c r="AJ4278">
        <v>92.921339794370198</v>
      </c>
      <c r="AK4278">
        <v>0.43652979426048899</v>
      </c>
      <c r="AL4278">
        <v>87.027893727974003</v>
      </c>
      <c r="AM4278">
        <v>107.56445066884299</v>
      </c>
      <c r="AN4278">
        <v>1.0000000027003899</v>
      </c>
    </row>
    <row r="4279" spans="1:40" x14ac:dyDescent="0.25">
      <c r="A4279" t="str">
        <f>"20190305135717221"</f>
        <v>20190305135717221</v>
      </c>
      <c r="B4279" t="str">
        <f>"1551765437216656"</f>
        <v>1551765437216656</v>
      </c>
      <c r="C4279" t="s">
        <v>40</v>
      </c>
      <c r="D4279">
        <v>4.0964150000000004</v>
      </c>
      <c r="E4279">
        <v>0.59943599999999997</v>
      </c>
      <c r="F4279" t="s">
        <v>78</v>
      </c>
      <c r="G4279">
        <v>-302.1028</v>
      </c>
      <c r="H4279" s="1">
        <v>-4.3150189999999997E-6</v>
      </c>
      <c r="I4279">
        <v>-47.373629999999999</v>
      </c>
      <c r="J4279">
        <v>-301.61799999999999</v>
      </c>
      <c r="K4279">
        <v>1.1083769999999999</v>
      </c>
      <c r="L4279">
        <v>-35.576079999999997</v>
      </c>
      <c r="M4279">
        <v>-6.830638E-2</v>
      </c>
      <c r="N4279">
        <v>-5.0688690000000002E-3</v>
      </c>
      <c r="O4279">
        <v>-0.99765179999999998</v>
      </c>
      <c r="P4279">
        <v>0.2374127</v>
      </c>
      <c r="Q4279">
        <v>5.0266070000000003E-2</v>
      </c>
      <c r="R4279">
        <v>-0.97010790000000002</v>
      </c>
      <c r="S4279">
        <v>-0.1326599</v>
      </c>
      <c r="T4279">
        <v>-0.28154610000000002</v>
      </c>
      <c r="U4279">
        <v>-3.1361080000000001</v>
      </c>
      <c r="V4279">
        <v>-0.30307790000000001</v>
      </c>
      <c r="W4279">
        <v>5.5340439999999998E-2</v>
      </c>
      <c r="X4279">
        <v>0.95135749999999997</v>
      </c>
      <c r="Y4279">
        <v>-2.6225350000000001E-2</v>
      </c>
      <c r="Z4279">
        <v>8.4006250000000005E-2</v>
      </c>
      <c r="AA4279">
        <v>0.99612000000000001</v>
      </c>
      <c r="AB4279">
        <v>35</v>
      </c>
      <c r="AC4279">
        <v>-0.484800000000007</v>
      </c>
      <c r="AD4279">
        <v>-1.1083813150189901</v>
      </c>
      <c r="AE4279">
        <v>-11.797549999999999</v>
      </c>
      <c r="AF4279">
        <v>-0.319376126788188</v>
      </c>
      <c r="AG4279">
        <v>-1.1083813150189901</v>
      </c>
      <c r="AH4279">
        <v>11.7000126574625</v>
      </c>
      <c r="AI4279">
        <v>95.409667347999203</v>
      </c>
      <c r="AJ4279">
        <v>91.563618919562103</v>
      </c>
      <c r="AK4279">
        <v>11.7567345140829</v>
      </c>
      <c r="AL4279">
        <v>86.827605461854304</v>
      </c>
      <c r="AM4279">
        <v>107.67053393926101</v>
      </c>
      <c r="AN4279">
        <v>0.99999993528702402</v>
      </c>
    </row>
    <row r="4280" spans="1:40" x14ac:dyDescent="0.25">
      <c r="A4280" t="str">
        <f>"20190305135717254"</f>
        <v>20190305135717254</v>
      </c>
      <c r="B4280" t="str">
        <f>"1551765437246913"</f>
        <v>1551765437246913</v>
      </c>
      <c r="C4280" t="s">
        <v>40</v>
      </c>
      <c r="D4280">
        <v>4.113359</v>
      </c>
      <c r="E4280">
        <v>0.59782000000000002</v>
      </c>
      <c r="F4280" t="s">
        <v>41</v>
      </c>
      <c r="G4280">
        <v>-301.64830000000001</v>
      </c>
      <c r="H4280">
        <v>1.0303249999999999</v>
      </c>
      <c r="I4280">
        <v>-36.435270000000003</v>
      </c>
      <c r="J4280">
        <v>-301.65300000000002</v>
      </c>
      <c r="K4280">
        <v>1.1093010000000001</v>
      </c>
      <c r="L4280">
        <v>-36.10568</v>
      </c>
      <c r="M4280">
        <v>-6.6843139999999995E-2</v>
      </c>
      <c r="N4280">
        <v>-5.8448509999999999E-3</v>
      </c>
      <c r="O4280">
        <v>-0.99774649999999998</v>
      </c>
      <c r="P4280">
        <v>0.24144879999999999</v>
      </c>
      <c r="Q4280">
        <v>5.5223809999999998E-2</v>
      </c>
      <c r="R4280">
        <v>-0.96884139999999996</v>
      </c>
      <c r="S4280">
        <v>-0.10983279999999999</v>
      </c>
      <c r="T4280">
        <v>-0.28472360000000002</v>
      </c>
      <c r="U4280">
        <v>-3.134064</v>
      </c>
      <c r="V4280">
        <v>-0.30572589999999999</v>
      </c>
      <c r="W4280">
        <v>6.049877E-2</v>
      </c>
      <c r="X4280">
        <v>0.95019560000000003</v>
      </c>
      <c r="Y4280">
        <v>-3.197419E-2</v>
      </c>
      <c r="Z4280">
        <v>8.4306480000000003E-2</v>
      </c>
      <c r="AA4280">
        <v>0.99592670000000005</v>
      </c>
      <c r="AB4280">
        <v>36</v>
      </c>
      <c r="AC4280">
        <v>4.7000000000139101E-3</v>
      </c>
      <c r="AD4280">
        <v>-7.8976000000000102E-2</v>
      </c>
      <c r="AE4280">
        <v>-0.32959000000000299</v>
      </c>
      <c r="AF4280">
        <v>-2.52700509388669E-2</v>
      </c>
      <c r="AG4280">
        <v>-7.8976000000000102E-2</v>
      </c>
      <c r="AH4280">
        <v>0.31070262166227802</v>
      </c>
      <c r="AI4280">
        <v>104.21667646423199</v>
      </c>
      <c r="AJ4280">
        <v>94.649743146064296</v>
      </c>
      <c r="AK4280">
        <v>0.32157721181430998</v>
      </c>
      <c r="AL4280">
        <v>86.531557989697504</v>
      </c>
      <c r="AM4280">
        <v>107.835604747644</v>
      </c>
      <c r="AN4280">
        <v>1.0000000526808399</v>
      </c>
    </row>
    <row r="4281" spans="1:40" x14ac:dyDescent="0.25">
      <c r="A4281" t="str">
        <f>"20190305135717287"</f>
        <v>20190305135717287</v>
      </c>
      <c r="B4281" t="str">
        <f>"1551765437277168"</f>
        <v>1551765437277168</v>
      </c>
      <c r="C4281" t="s">
        <v>40</v>
      </c>
      <c r="D4281">
        <v>4.141724</v>
      </c>
      <c r="E4281">
        <v>0.59626559999999995</v>
      </c>
      <c r="F4281" t="s">
        <v>41</v>
      </c>
      <c r="G4281">
        <v>-301.67899999999997</v>
      </c>
      <c r="H4281">
        <v>1.0237050000000001</v>
      </c>
      <c r="I4281">
        <v>-37.067329999999998</v>
      </c>
      <c r="J4281">
        <v>-301.6859</v>
      </c>
      <c r="K4281">
        <v>1.1103289999999999</v>
      </c>
      <c r="L4281">
        <v>-36.63373</v>
      </c>
      <c r="M4281">
        <v>-6.4120070000000001E-2</v>
      </c>
      <c r="N4281">
        <v>-7.0355410000000002E-3</v>
      </c>
      <c r="O4281">
        <v>-0.99791750000000001</v>
      </c>
      <c r="P4281">
        <v>0.2448999</v>
      </c>
      <c r="Q4281">
        <v>5.5643199999999997E-2</v>
      </c>
      <c r="R4281">
        <v>-0.96795050000000005</v>
      </c>
      <c r="S4281">
        <v>-8.3648680000000003E-2</v>
      </c>
      <c r="T4281">
        <v>-0.27902259999999901</v>
      </c>
      <c r="U4281">
        <v>-3.1332399999999998</v>
      </c>
      <c r="V4281">
        <v>-0.30663449999999998</v>
      </c>
      <c r="W4281">
        <v>6.1474470000000003E-2</v>
      </c>
      <c r="X4281">
        <v>0.94984009999999996</v>
      </c>
      <c r="Y4281">
        <v>-3.7542020000000002E-2</v>
      </c>
      <c r="Z4281">
        <v>8.1377249999999998E-2</v>
      </c>
      <c r="AA4281">
        <v>0.99597610000000003</v>
      </c>
      <c r="AB4281">
        <v>36</v>
      </c>
      <c r="AC4281">
        <v>6.89999999997326E-3</v>
      </c>
      <c r="AD4281">
        <v>-8.6624000000000201E-2</v>
      </c>
      <c r="AE4281">
        <v>-0.43359999999999799</v>
      </c>
      <c r="AF4281">
        <v>-3.3357920650309202E-2</v>
      </c>
      <c r="AG4281">
        <v>-8.6624000000000201E-2</v>
      </c>
      <c r="AH4281">
        <v>0.415679080110605</v>
      </c>
      <c r="AI4281">
        <v>101.73481065204599</v>
      </c>
      <c r="AJ4281">
        <v>94.588109248745894</v>
      </c>
      <c r="AK4281">
        <v>0.42591732283121703</v>
      </c>
      <c r="AL4281">
        <v>86.475550133895297</v>
      </c>
      <c r="AM4281">
        <v>107.891506087862</v>
      </c>
      <c r="AN4281">
        <v>1.00000002131002</v>
      </c>
    </row>
    <row r="4282" spans="1:40" x14ac:dyDescent="0.25">
      <c r="A4282" t="str">
        <f>"20190305135717323"</f>
        <v>20190305135717323</v>
      </c>
      <c r="B4282" t="str">
        <f>"1551765437317184"</f>
        <v>1551765437317184</v>
      </c>
      <c r="C4282" t="s">
        <v>40</v>
      </c>
      <c r="D4282">
        <v>4.1549769999999997</v>
      </c>
      <c r="E4282">
        <v>0.59453829999999996</v>
      </c>
      <c r="F4282" t="s">
        <v>78</v>
      </c>
      <c r="G4282">
        <v>-301.91250000000002</v>
      </c>
      <c r="H4282" s="1">
        <v>-4.95190099999999E-6</v>
      </c>
      <c r="I4282">
        <v>-48.645240000000001</v>
      </c>
      <c r="J4282">
        <v>-301.7165</v>
      </c>
      <c r="K4282">
        <v>1.1113459999999999</v>
      </c>
      <c r="L4282">
        <v>-37.17456</v>
      </c>
      <c r="M4282">
        <v>-5.9881620000000003E-2</v>
      </c>
      <c r="N4282">
        <v>-8.2940080000000003E-3</v>
      </c>
      <c r="O4282">
        <v>-0.99817120000000004</v>
      </c>
      <c r="P4282">
        <v>0.25231959999999998</v>
      </c>
      <c r="Q4282">
        <v>4.918558E-2</v>
      </c>
      <c r="R4282">
        <v>-0.96639339999999996</v>
      </c>
      <c r="S4282">
        <v>-5.9082030000000001E-2</v>
      </c>
      <c r="T4282">
        <v>-0.2894197</v>
      </c>
      <c r="U4282">
        <v>-3.1309200000000001</v>
      </c>
      <c r="V4282">
        <v>-0.31000490000000003</v>
      </c>
      <c r="W4282">
        <v>5.5589930000000003E-2</v>
      </c>
      <c r="X4282">
        <v>0.94910839999999996</v>
      </c>
      <c r="Y4282">
        <v>-4.1088510000000002E-2</v>
      </c>
      <c r="Z4282">
        <v>8.3495159999999999E-2</v>
      </c>
      <c r="AA4282">
        <v>0.99566069999999995</v>
      </c>
      <c r="AB4282">
        <v>36</v>
      </c>
      <c r="AC4282">
        <v>-0.19600000000002599</v>
      </c>
      <c r="AD4282">
        <v>-1.1113509519010001</v>
      </c>
      <c r="AE4282">
        <v>-11.47068</v>
      </c>
      <c r="AF4282">
        <v>-0.48669095243351201</v>
      </c>
      <c r="AG4282">
        <v>-1.1113509519010001</v>
      </c>
      <c r="AH4282">
        <v>11.3552713305707</v>
      </c>
      <c r="AI4282">
        <v>95.584694088549099</v>
      </c>
      <c r="AJ4282">
        <v>92.454215339444502</v>
      </c>
      <c r="AK4282">
        <v>11.4199017514317</v>
      </c>
      <c r="AL4282">
        <v>86.813288957478903</v>
      </c>
      <c r="AM4282">
        <v>108.088461425422</v>
      </c>
      <c r="AN4282">
        <v>1.0000000166459799</v>
      </c>
    </row>
    <row r="4283" spans="1:40" x14ac:dyDescent="0.25">
      <c r="A4283" t="str">
        <f>"20190305135717356"</f>
        <v>20190305135717356</v>
      </c>
      <c r="B4283" t="str">
        <f>"1551765437346465"</f>
        <v>1551765437346465</v>
      </c>
      <c r="C4283" t="s">
        <v>40</v>
      </c>
      <c r="D4283">
        <v>3.994389</v>
      </c>
      <c r="E4283">
        <v>0.59409409999999996</v>
      </c>
      <c r="F4283" t="s">
        <v>78</v>
      </c>
      <c r="G4283">
        <v>-301.7937</v>
      </c>
      <c r="H4283" s="1">
        <v>-4.9193789999999999E-6</v>
      </c>
      <c r="I4283">
        <v>-48.594949999999997</v>
      </c>
      <c r="J4283">
        <v>-301.74279999999999</v>
      </c>
      <c r="K4283">
        <v>1.1122669999999999</v>
      </c>
      <c r="L4283">
        <v>-37.701929999999997</v>
      </c>
      <c r="M4283">
        <v>-5.4505329999999998E-2</v>
      </c>
      <c r="N4283">
        <v>-9.4183549999999998E-3</v>
      </c>
      <c r="O4283">
        <v>-0.9984691</v>
      </c>
      <c r="P4283">
        <v>0.26129469999999999</v>
      </c>
      <c r="Q4283">
        <v>4.2770570000000001E-2</v>
      </c>
      <c r="R4283">
        <v>-0.96431109999999998</v>
      </c>
      <c r="S4283">
        <v>-2.111816E-2</v>
      </c>
      <c r="T4283">
        <v>-0.30413230000000002</v>
      </c>
      <c r="U4283">
        <v>-3.125305</v>
      </c>
      <c r="V4283">
        <v>-0.31380619999999998</v>
      </c>
      <c r="W4283">
        <v>4.9615329999999999E-2</v>
      </c>
      <c r="X4283">
        <v>0.94818990000000003</v>
      </c>
      <c r="Y4283">
        <v>-4.776122E-2</v>
      </c>
      <c r="Z4283">
        <v>8.7206729999999996E-2</v>
      </c>
      <c r="AA4283">
        <v>0.99504459999999995</v>
      </c>
      <c r="AB4283">
        <v>35</v>
      </c>
      <c r="AC4283">
        <v>-5.0900000000012803E-2</v>
      </c>
      <c r="AD4283">
        <v>-1.1122719193790001</v>
      </c>
      <c r="AE4283">
        <v>-10.89302</v>
      </c>
      <c r="AF4283">
        <v>-0.53732747948036497</v>
      </c>
      <c r="AG4283">
        <v>-1.1122719193790001</v>
      </c>
      <c r="AH4283">
        <v>10.767340500274599</v>
      </c>
      <c r="AI4283">
        <v>95.890486581020994</v>
      </c>
      <c r="AJ4283">
        <v>92.856887305973302</v>
      </c>
      <c r="AK4283">
        <v>10.837965265293001</v>
      </c>
      <c r="AL4283">
        <v>87.156083514737503</v>
      </c>
      <c r="AM4283">
        <v>108.31211153892301</v>
      </c>
      <c r="AN4283">
        <v>1.00000004929572</v>
      </c>
    </row>
    <row r="4284" spans="1:40" x14ac:dyDescent="0.25">
      <c r="A4284" t="str">
        <f>"20190305135717390"</f>
        <v>20190305135717390</v>
      </c>
      <c r="B4284" t="str">
        <f>"1551765437386480"</f>
        <v>1551765437386480</v>
      </c>
      <c r="C4284" t="s">
        <v>40</v>
      </c>
      <c r="D4284">
        <v>4.0348449999999998</v>
      </c>
      <c r="E4284">
        <v>0.59492609999999901</v>
      </c>
      <c r="F4284" t="s">
        <v>41</v>
      </c>
      <c r="G4284">
        <v>-301.73950000000002</v>
      </c>
      <c r="H4284">
        <v>1.0148600000000001</v>
      </c>
      <c r="I4284">
        <v>-38.64893</v>
      </c>
      <c r="J4284">
        <v>-301.76510000000002</v>
      </c>
      <c r="K4284">
        <v>1.1131070000000001</v>
      </c>
      <c r="L4284">
        <v>-38.224850000000004</v>
      </c>
      <c r="M4284">
        <v>-4.8145930000000003E-2</v>
      </c>
      <c r="N4284">
        <v>-1.0406479999999999E-2</v>
      </c>
      <c r="O4284">
        <v>-0.99878610000000001</v>
      </c>
      <c r="P4284">
        <v>0.272119</v>
      </c>
      <c r="Q4284">
        <v>4.3815720000000002E-2</v>
      </c>
      <c r="R4284">
        <v>-0.9612657</v>
      </c>
      <c r="S4284">
        <v>1.135254E-2</v>
      </c>
      <c r="T4284">
        <v>-0.32116939999999999</v>
      </c>
      <c r="U4284">
        <v>-3.1221920000000001</v>
      </c>
      <c r="V4284">
        <v>-0.31852560000000002</v>
      </c>
      <c r="W4284">
        <v>5.0999269999999999E-2</v>
      </c>
      <c r="X4284">
        <v>0.94654139999999998</v>
      </c>
      <c r="Y4284">
        <v>-5.1734090000000003E-2</v>
      </c>
      <c r="Z4284">
        <v>9.1721769999999994E-2</v>
      </c>
      <c r="AA4284">
        <v>0.99443990000000004</v>
      </c>
      <c r="AB4284">
        <v>35</v>
      </c>
      <c r="AC4284">
        <v>2.5599999999997101E-2</v>
      </c>
      <c r="AD4284">
        <v>-9.8246999999999904E-2</v>
      </c>
      <c r="AE4284">
        <v>-0.42407999999999602</v>
      </c>
      <c r="AF4284">
        <v>-4.3654641273892202E-2</v>
      </c>
      <c r="AG4284">
        <v>-9.8246999999999904E-2</v>
      </c>
      <c r="AH4284">
        <v>0.400915946195534</v>
      </c>
      <c r="AI4284">
        <v>103.69149126975201</v>
      </c>
      <c r="AJ4284">
        <v>96.214298145793094</v>
      </c>
      <c r="AK4284">
        <v>0.41508047006287002</v>
      </c>
      <c r="AL4284">
        <v>87.0766890706347</v>
      </c>
      <c r="AM4284">
        <v>108.59887039299799</v>
      </c>
      <c r="AN4284">
        <v>1.00000005265492</v>
      </c>
    </row>
    <row r="4285" spans="1:40" x14ac:dyDescent="0.25">
      <c r="A4285" t="str">
        <f>"20190305135717422"</f>
        <v>20190305135717422</v>
      </c>
      <c r="B4285" t="str">
        <f>"1551765437416736"</f>
        <v>1551765437416736</v>
      </c>
      <c r="C4285" t="s">
        <v>40</v>
      </c>
      <c r="D4285">
        <v>4.0207889999999997</v>
      </c>
      <c r="E4285">
        <v>0.59560999999999997</v>
      </c>
      <c r="F4285" t="s">
        <v>78</v>
      </c>
      <c r="G4285">
        <v>-301.61259999999999</v>
      </c>
      <c r="H4285" s="1">
        <v>-5.41223E-6</v>
      </c>
      <c r="I4285">
        <v>-49.582839999999997</v>
      </c>
      <c r="J4285">
        <v>-301.78269999999998</v>
      </c>
      <c r="K4285">
        <v>1.1138459999999999</v>
      </c>
      <c r="L4285">
        <v>-38.747219999999999</v>
      </c>
      <c r="M4285">
        <v>-4.0767669999999999E-2</v>
      </c>
      <c r="N4285">
        <v>-1.1241009999999999E-2</v>
      </c>
      <c r="O4285">
        <v>-0.99910549999999998</v>
      </c>
      <c r="P4285">
        <v>0.2845723</v>
      </c>
      <c r="Q4285">
        <v>5.1007810000000001E-2</v>
      </c>
      <c r="R4285">
        <v>-0.95729690000000001</v>
      </c>
      <c r="S4285">
        <v>4.193115E-2</v>
      </c>
      <c r="T4285">
        <v>-0.30605789999999999</v>
      </c>
      <c r="U4285">
        <v>-3.1229550000000001</v>
      </c>
      <c r="V4285">
        <v>-0.32395849999999998</v>
      </c>
      <c r="W4285">
        <v>5.8425339999999999E-2</v>
      </c>
      <c r="X4285">
        <v>0.94426549999999998</v>
      </c>
      <c r="Y4285">
        <v>-5.409767E-2</v>
      </c>
      <c r="Z4285">
        <v>8.6141499999999996E-2</v>
      </c>
      <c r="AA4285">
        <v>0.99481310000000001</v>
      </c>
      <c r="AB4285">
        <v>35</v>
      </c>
      <c r="AC4285">
        <v>0.17009999999999001</v>
      </c>
      <c r="AD4285">
        <v>-1.1138514122299901</v>
      </c>
      <c r="AE4285">
        <v>-10.83562</v>
      </c>
      <c r="AF4285">
        <v>-0.60533450213176998</v>
      </c>
      <c r="AG4285">
        <v>-1.1138514122299901</v>
      </c>
      <c r="AH4285">
        <v>10.7065684778104</v>
      </c>
      <c r="AI4285">
        <v>95.929963199658602</v>
      </c>
      <c r="AJ4285">
        <v>93.235978621704703</v>
      </c>
      <c r="AK4285">
        <v>10.7813590700821</v>
      </c>
      <c r="AL4285">
        <v>86.650567136236404</v>
      </c>
      <c r="AM4285">
        <v>108.93606345988</v>
      </c>
      <c r="AN4285">
        <v>0.999999982283307</v>
      </c>
    </row>
    <row r="4286" spans="1:40" x14ac:dyDescent="0.25">
      <c r="A4286" t="str">
        <f>"20190305135717455"</f>
        <v>20190305135717455</v>
      </c>
      <c r="B4286" t="str">
        <f>"1551765437446992"</f>
        <v>1551765437446992</v>
      </c>
      <c r="C4286" t="s">
        <v>40</v>
      </c>
      <c r="D4286">
        <v>4.2406750000000004</v>
      </c>
      <c r="E4286">
        <v>0.59526699999999999</v>
      </c>
      <c r="F4286" t="s">
        <v>78</v>
      </c>
      <c r="G4286">
        <v>-301.46199999999999</v>
      </c>
      <c r="H4286" s="1">
        <v>-6.1332559999999998E-6</v>
      </c>
      <c r="I4286">
        <v>-51.173540000000003</v>
      </c>
      <c r="J4286">
        <v>-301.7955</v>
      </c>
      <c r="K4286">
        <v>1.1144700000000001</v>
      </c>
      <c r="L4286">
        <v>-39.2652</v>
      </c>
      <c r="M4286">
        <v>-3.2575600000000003E-2</v>
      </c>
      <c r="N4286">
        <v>-1.1947030000000001E-2</v>
      </c>
      <c r="O4286">
        <v>-0.99939809999999996</v>
      </c>
      <c r="P4286">
        <v>0.2956589</v>
      </c>
      <c r="Q4286">
        <v>5.6152460000000001E-2</v>
      </c>
      <c r="R4286">
        <v>-0.9536422</v>
      </c>
      <c r="S4286">
        <v>8.0627439999999995E-2</v>
      </c>
      <c r="T4286">
        <v>-0.28009509999999899</v>
      </c>
      <c r="U4286">
        <v>-3.1247859999999998</v>
      </c>
      <c r="V4286">
        <v>-0.32730949999999998</v>
      </c>
      <c r="W4286">
        <v>6.3732140000000007E-2</v>
      </c>
      <c r="X4286">
        <v>0.94276539999999998</v>
      </c>
      <c r="Y4286">
        <v>-5.8234889999999997E-2</v>
      </c>
      <c r="Z4286">
        <v>7.7206419999999998E-2</v>
      </c>
      <c r="AA4286">
        <v>0.99531289999999994</v>
      </c>
      <c r="AB4286">
        <v>35</v>
      </c>
      <c r="AC4286">
        <v>0.33350000000001501</v>
      </c>
      <c r="AD4286">
        <v>-1.114476133256</v>
      </c>
      <c r="AE4286">
        <v>-11.908340000000001</v>
      </c>
      <c r="AF4286">
        <v>-0.71501421664165199</v>
      </c>
      <c r="AG4286">
        <v>-1.114476133256</v>
      </c>
      <c r="AH4286">
        <v>11.7879879008164</v>
      </c>
      <c r="AI4286">
        <v>95.391032949004099</v>
      </c>
      <c r="AJ4286">
        <v>93.471089889913998</v>
      </c>
      <c r="AK4286">
        <v>11.8621229605577</v>
      </c>
      <c r="AL4286">
        <v>86.345940644270101</v>
      </c>
      <c r="AM4286">
        <v>109.14598985996101</v>
      </c>
      <c r="AN4286">
        <v>0.99999994694819305</v>
      </c>
    </row>
    <row r="4287" spans="1:40" x14ac:dyDescent="0.25">
      <c r="A4287" t="str">
        <f>"20190305135717488"</f>
        <v>20190305135717488</v>
      </c>
      <c r="B4287" t="str">
        <f>"1551765437487009"</f>
        <v>1551765437487009</v>
      </c>
      <c r="C4287" t="s">
        <v>40</v>
      </c>
      <c r="D4287">
        <v>4.2119330000000001</v>
      </c>
      <c r="E4287">
        <v>0.59427099999999999</v>
      </c>
      <c r="F4287" t="s">
        <v>78</v>
      </c>
      <c r="G4287">
        <v>-301.27659999999997</v>
      </c>
      <c r="H4287" s="1">
        <v>-6.5500789999999901E-6</v>
      </c>
      <c r="I4287">
        <v>-52.223350000000003</v>
      </c>
      <c r="J4287">
        <v>-301.80329999999998</v>
      </c>
      <c r="K4287">
        <v>1.1150469999999999</v>
      </c>
      <c r="L4287">
        <v>-39.790799999999997</v>
      </c>
      <c r="M4287">
        <v>-2.3411339999999999E-2</v>
      </c>
      <c r="N4287">
        <v>-1.255203E-2</v>
      </c>
      <c r="O4287">
        <v>-0.99964730000000002</v>
      </c>
      <c r="P4287">
        <v>0.3084847</v>
      </c>
      <c r="Q4287">
        <v>5.8533559999999998E-2</v>
      </c>
      <c r="R4287">
        <v>-0.94942700000000002</v>
      </c>
      <c r="S4287">
        <v>0.12506099999999901</v>
      </c>
      <c r="T4287">
        <v>-0.26858720000000003</v>
      </c>
      <c r="U4287">
        <v>-3.1228940000000001</v>
      </c>
      <c r="V4287">
        <v>-0.33149190000000001</v>
      </c>
      <c r="W4287">
        <v>6.6168409999999997E-2</v>
      </c>
      <c r="X4287">
        <v>0.9411349</v>
      </c>
      <c r="Y4287">
        <v>-6.3251879999999996E-2</v>
      </c>
      <c r="Z4287">
        <v>7.3015999999999998E-2</v>
      </c>
      <c r="AA4287">
        <v>0.99532299999999996</v>
      </c>
      <c r="AB4287">
        <v>35</v>
      </c>
      <c r="AC4287">
        <v>0.52670000000000505</v>
      </c>
      <c r="AD4287">
        <v>-1.115053550079</v>
      </c>
      <c r="AE4287">
        <v>-12.432550000000001</v>
      </c>
      <c r="AF4287">
        <v>-0.81112814108210196</v>
      </c>
      <c r="AG4287">
        <v>-1.115053550079</v>
      </c>
      <c r="AH4287">
        <v>12.317902734957</v>
      </c>
      <c r="AI4287">
        <v>95.161370684111404</v>
      </c>
      <c r="AJ4287">
        <v>93.767461159572605</v>
      </c>
      <c r="AK4287">
        <v>12.394837678189299</v>
      </c>
      <c r="AL4287">
        <v>86.206057523644205</v>
      </c>
      <c r="AM4287">
        <v>109.403573770409</v>
      </c>
      <c r="AN4287">
        <v>1.00000001912277</v>
      </c>
    </row>
    <row r="4288" spans="1:40" x14ac:dyDescent="0.25">
      <c r="A4288" t="str">
        <f>"20190305135717524"</f>
        <v>20190305135717524</v>
      </c>
      <c r="B4288" t="str">
        <f>"1551765437516288"</f>
        <v>1551765437516288</v>
      </c>
      <c r="C4288" t="s">
        <v>40</v>
      </c>
      <c r="D4288">
        <v>4.249422</v>
      </c>
      <c r="E4288">
        <v>0.59362590000000004</v>
      </c>
      <c r="F4288" t="s">
        <v>78</v>
      </c>
      <c r="G4288">
        <v>-301.06349999999998</v>
      </c>
      <c r="H4288" s="1">
        <v>-6.8332229999999996E-6</v>
      </c>
      <c r="I4288">
        <v>-52.948880000000003</v>
      </c>
      <c r="J4288">
        <v>-301.80509999999998</v>
      </c>
      <c r="K4288">
        <v>1.115648</v>
      </c>
      <c r="L4288">
        <v>-40.323239999999998</v>
      </c>
      <c r="M4288">
        <v>-1.3050920000000001E-2</v>
      </c>
      <c r="N4288">
        <v>-1.305889E-2</v>
      </c>
      <c r="O4288">
        <v>-0.99982959999999999</v>
      </c>
      <c r="P4288">
        <v>0.32174829999999999</v>
      </c>
      <c r="Q4288">
        <v>5.3681630000000001E-2</v>
      </c>
      <c r="R4288">
        <v>-0.94530239999999999</v>
      </c>
      <c r="S4288">
        <v>0.1753845</v>
      </c>
      <c r="T4288">
        <v>-0.26432240000000001</v>
      </c>
      <c r="U4288">
        <v>-3.11911</v>
      </c>
      <c r="V4288">
        <v>-0.33495550000000002</v>
      </c>
      <c r="W4288">
        <v>6.125125E-2</v>
      </c>
      <c r="X4288">
        <v>0.94024099999999999</v>
      </c>
      <c r="Y4288">
        <v>-6.8980319999999998E-2</v>
      </c>
      <c r="Z4288">
        <v>7.1238529999999994E-2</v>
      </c>
      <c r="AA4288">
        <v>0.99507120000000004</v>
      </c>
      <c r="AB4288">
        <v>35</v>
      </c>
      <c r="AC4288">
        <v>0.74160000000000503</v>
      </c>
      <c r="AD4288">
        <v>-1.1156548332230001</v>
      </c>
      <c r="AE4288">
        <v>-12.625639999999899</v>
      </c>
      <c r="AF4288">
        <v>-0.89932906237264798</v>
      </c>
      <c r="AG4288">
        <v>-1.1156548332230001</v>
      </c>
      <c r="AH4288">
        <v>12.517481750965899</v>
      </c>
      <c r="AI4288">
        <v>95.080159548007899</v>
      </c>
      <c r="AJ4288">
        <v>94.109402766954801</v>
      </c>
      <c r="AK4288">
        <v>12.5992391776284</v>
      </c>
      <c r="AL4288">
        <v>86.488363841283999</v>
      </c>
      <c r="AM4288">
        <v>109.608151634736</v>
      </c>
      <c r="AN4288">
        <v>1.0000000203438999</v>
      </c>
    </row>
    <row r="4289" spans="1:40" x14ac:dyDescent="0.25">
      <c r="A4289" t="str">
        <f>"20190305135717558"</f>
        <v>20190305135717558</v>
      </c>
      <c r="B4289" t="str">
        <f>"1551765437546545"</f>
        <v>1551765437546545</v>
      </c>
      <c r="C4289" t="s">
        <v>40</v>
      </c>
      <c r="D4289">
        <v>4.287026</v>
      </c>
      <c r="E4289">
        <v>0.59307909999999997</v>
      </c>
      <c r="F4289" t="s">
        <v>78</v>
      </c>
      <c r="G4289">
        <v>-300.91090000000003</v>
      </c>
      <c r="H4289" s="1">
        <v>-6.7641360000000003E-6</v>
      </c>
      <c r="I4289">
        <v>-52.801000000000002</v>
      </c>
      <c r="J4289">
        <v>-301.80029999999999</v>
      </c>
      <c r="K4289">
        <v>1.1162570000000001</v>
      </c>
      <c r="L4289">
        <v>-40.851349999999996</v>
      </c>
      <c r="M4289">
        <v>-1.64853E-3</v>
      </c>
      <c r="N4289">
        <v>-1.3495129999999999E-2</v>
      </c>
      <c r="O4289">
        <v>-0.99990769999999995</v>
      </c>
      <c r="P4289">
        <v>0.33397070000000001</v>
      </c>
      <c r="Q4289">
        <v>4.2864279999999998E-2</v>
      </c>
      <c r="R4289">
        <v>-0.94160869999999997</v>
      </c>
      <c r="S4289">
        <v>0.22311400000000001</v>
      </c>
      <c r="T4289">
        <v>-0.278379299999999</v>
      </c>
      <c r="U4289">
        <v>-3.113464</v>
      </c>
      <c r="V4289">
        <v>-0.33635320000000002</v>
      </c>
      <c r="W4289">
        <v>5.02897E-2</v>
      </c>
      <c r="X4289">
        <v>0.94039220000000001</v>
      </c>
      <c r="Y4289">
        <v>-7.2868249999999996E-2</v>
      </c>
      <c r="Z4289">
        <v>7.5374150000000001E-2</v>
      </c>
      <c r="AA4289">
        <v>0.99448930000000002</v>
      </c>
      <c r="AB4289">
        <v>35</v>
      </c>
      <c r="AC4289">
        <v>0.889399999999966</v>
      </c>
      <c r="AD4289">
        <v>-1.116263764136</v>
      </c>
      <c r="AE4289">
        <v>-11.94965</v>
      </c>
      <c r="AF4289">
        <v>-0.90127856425105302</v>
      </c>
      <c r="AG4289">
        <v>-1.116263764136</v>
      </c>
      <c r="AH4289">
        <v>11.8453722350073</v>
      </c>
      <c r="AI4289">
        <v>95.368017708868194</v>
      </c>
      <c r="AJ4289">
        <v>94.351079115491402</v>
      </c>
      <c r="AK4289">
        <v>11.9319399607684</v>
      </c>
      <c r="AL4289">
        <v>87.117396549215101</v>
      </c>
      <c r="AM4289">
        <v>109.680774641642</v>
      </c>
      <c r="AN4289">
        <v>1.0000000094485799</v>
      </c>
    </row>
    <row r="4290" spans="1:40" x14ac:dyDescent="0.25">
      <c r="A4290" t="str">
        <f>"20190305135717601"</f>
        <v>20190305135717601</v>
      </c>
      <c r="B4290" t="str">
        <f>"1551765437597296"</f>
        <v>1551765437597296</v>
      </c>
      <c r="C4290" t="s">
        <v>40</v>
      </c>
      <c r="D4290">
        <v>4.2653759999999998</v>
      </c>
      <c r="E4290">
        <v>0.59271459999999998</v>
      </c>
      <c r="F4290" t="s">
        <v>78</v>
      </c>
      <c r="G4290">
        <v>-300.85149999999999</v>
      </c>
      <c r="H4290" s="1">
        <v>-6.3994530000000001E-6</v>
      </c>
      <c r="I4290">
        <v>-51.914099999999998</v>
      </c>
      <c r="J4290">
        <v>-301.78399999999999</v>
      </c>
      <c r="K4290">
        <v>1.1170739999999999</v>
      </c>
      <c r="L4290">
        <v>-41.518770000000004</v>
      </c>
      <c r="M4290">
        <v>1.4426970000000001E-2</v>
      </c>
      <c r="N4290">
        <v>-1.396178E-2</v>
      </c>
      <c r="O4290">
        <v>-0.99979850000000003</v>
      </c>
      <c r="P4290">
        <v>0.34771400000000002</v>
      </c>
      <c r="Q4290">
        <v>3.4252249999999998E-2</v>
      </c>
      <c r="R4290">
        <v>-0.9369748</v>
      </c>
      <c r="S4290">
        <v>0.26638790000000001</v>
      </c>
      <c r="T4290">
        <v>-0.31338449999999901</v>
      </c>
      <c r="U4290">
        <v>-3.105804</v>
      </c>
      <c r="V4290">
        <v>-0.33494639999999998</v>
      </c>
      <c r="W4290">
        <v>4.1467520000000001E-2</v>
      </c>
      <c r="X4290">
        <v>0.94132420000000006</v>
      </c>
      <c r="Y4290">
        <v>-7.0698319999999995E-2</v>
      </c>
      <c r="Z4290">
        <v>8.6177480000000001E-2</v>
      </c>
      <c r="AA4290">
        <v>0.99376819999999999</v>
      </c>
      <c r="AB4290">
        <v>35</v>
      </c>
      <c r="AC4290">
        <v>0.93250000000000399</v>
      </c>
      <c r="AD4290">
        <v>-1.1170803994530001</v>
      </c>
      <c r="AE4290">
        <v>-10.3953299999999</v>
      </c>
      <c r="AF4290">
        <v>-0.77355381056133998</v>
      </c>
      <c r="AG4290">
        <v>-1.1170803994530001</v>
      </c>
      <c r="AH4290">
        <v>10.2898278992675</v>
      </c>
      <c r="AI4290">
        <v>96.178558961270497</v>
      </c>
      <c r="AJ4290">
        <v>94.2992124556459</v>
      </c>
      <c r="AK4290">
        <v>10.3791527743463</v>
      </c>
      <c r="AL4290">
        <v>87.623404546368803</v>
      </c>
      <c r="AM4290">
        <v>109.586814746512</v>
      </c>
      <c r="AN4290">
        <v>0.99999994779677304</v>
      </c>
    </row>
    <row r="4291" spans="1:40" x14ac:dyDescent="0.25">
      <c r="A4291" t="str">
        <f>"20190305135717635"</f>
        <v>20190305135717635</v>
      </c>
      <c r="B4291" t="str">
        <f>"1551765437626577"</f>
        <v>1551765437626577</v>
      </c>
      <c r="C4291" t="s">
        <v>40</v>
      </c>
      <c r="D4291">
        <v>4.4819959999999996</v>
      </c>
      <c r="E4291">
        <v>0.59257839999999995</v>
      </c>
      <c r="F4291" t="s">
        <v>78</v>
      </c>
      <c r="G4291">
        <v>-300.75790000000001</v>
      </c>
      <c r="H4291" s="1">
        <v>-6.2767240000000002E-6</v>
      </c>
      <c r="I4291">
        <v>-51.626109999999997</v>
      </c>
      <c r="J4291">
        <v>-301.76249999999999</v>
      </c>
      <c r="K4291">
        <v>1.1176759999999999</v>
      </c>
      <c r="L4291">
        <v>-42.041260000000001</v>
      </c>
      <c r="M4291">
        <v>2.8277489999999999E-2</v>
      </c>
      <c r="N4291">
        <v>-1.426797E-2</v>
      </c>
      <c r="O4291">
        <v>-0.99949829999999995</v>
      </c>
      <c r="P4291">
        <v>0.35994100000000001</v>
      </c>
      <c r="Q4291">
        <v>3.0672680000000001E-2</v>
      </c>
      <c r="R4291">
        <v>-0.93247089999999999</v>
      </c>
      <c r="S4291">
        <v>0.31445309999999999</v>
      </c>
      <c r="T4291">
        <v>-0.34235450000000001</v>
      </c>
      <c r="U4291">
        <v>-3.097626</v>
      </c>
      <c r="V4291">
        <v>-0.3342135</v>
      </c>
      <c r="W4291">
        <v>3.7691559999999999E-2</v>
      </c>
      <c r="X4291">
        <v>0.94174340000000001</v>
      </c>
      <c r="Y4291">
        <v>-7.2296250000000006E-2</v>
      </c>
      <c r="Z4291">
        <v>9.5193169999999994E-2</v>
      </c>
      <c r="AA4291">
        <v>0.99282999999999999</v>
      </c>
      <c r="AB4291">
        <v>35</v>
      </c>
      <c r="AC4291">
        <v>1.00459999999998</v>
      </c>
      <c r="AD4291">
        <v>-1.117682276724</v>
      </c>
      <c r="AE4291">
        <v>-9.5848499999999905</v>
      </c>
      <c r="AF4291">
        <v>-0.72340532665699697</v>
      </c>
      <c r="AG4291">
        <v>-1.117682276724</v>
      </c>
      <c r="AH4291">
        <v>9.4818956298724792</v>
      </c>
      <c r="AI4291">
        <v>96.703438167723604</v>
      </c>
      <c r="AJ4291">
        <v>94.362833643036893</v>
      </c>
      <c r="AK4291">
        <v>9.5749085465154007</v>
      </c>
      <c r="AL4291">
        <v>87.839920973277302</v>
      </c>
      <c r="AM4291">
        <v>109.539166893052</v>
      </c>
      <c r="AN4291">
        <v>0.99999997436052102</v>
      </c>
    </row>
    <row r="4292" spans="1:40" x14ac:dyDescent="0.25">
      <c r="A4292" t="str">
        <f>"20190305135717668"</f>
        <v>20190305135717668</v>
      </c>
      <c r="B4292" t="str">
        <f>"1551765437656833"</f>
        <v>1551765437656833</v>
      </c>
      <c r="C4292" t="s">
        <v>40</v>
      </c>
      <c r="D4292">
        <v>4.2321650000000002</v>
      </c>
      <c r="E4292">
        <v>0.51284609999999997</v>
      </c>
      <c r="F4292" t="s">
        <v>78</v>
      </c>
      <c r="G4292">
        <v>-300.63529999999997</v>
      </c>
      <c r="H4292" s="1">
        <v>-6.3790180000000003E-6</v>
      </c>
      <c r="I4292">
        <v>-51.894730000000003</v>
      </c>
      <c r="J4292">
        <v>-301.73329999999999</v>
      </c>
      <c r="K4292">
        <v>1.1182719999999999</v>
      </c>
      <c r="L4292">
        <v>-42.55612</v>
      </c>
      <c r="M4292">
        <v>4.298155E-2</v>
      </c>
      <c r="N4292">
        <v>-1.452912E-2</v>
      </c>
      <c r="O4292">
        <v>-0.99897029999999998</v>
      </c>
      <c r="P4292">
        <v>0.3739711</v>
      </c>
      <c r="Q4292">
        <v>3.3845750000000001E-2</v>
      </c>
      <c r="R4292">
        <v>-0.9268227</v>
      </c>
      <c r="S4292">
        <v>0.35372920000000002</v>
      </c>
      <c r="T4292">
        <v>-0.35075869999999998</v>
      </c>
      <c r="U4292">
        <v>-3.092285</v>
      </c>
      <c r="V4292">
        <v>-0.33469539999999998</v>
      </c>
      <c r="W4292">
        <v>4.0626139999999998E-2</v>
      </c>
      <c r="X4292">
        <v>0.94145020000000001</v>
      </c>
      <c r="Y4292">
        <v>-7.0228860000000004E-2</v>
      </c>
      <c r="Z4292">
        <v>9.7639009999999998E-2</v>
      </c>
      <c r="AA4292">
        <v>0.99274090000000004</v>
      </c>
      <c r="AB4292">
        <v>35</v>
      </c>
      <c r="AC4292">
        <v>1.0980000000000101</v>
      </c>
      <c r="AD4292">
        <v>-1.118278379018</v>
      </c>
      <c r="AE4292">
        <v>-9.3386099999999903</v>
      </c>
      <c r="AF4292">
        <v>-0.68585408515479995</v>
      </c>
      <c r="AG4292">
        <v>-1.118278379018</v>
      </c>
      <c r="AH4292">
        <v>9.2463956103111702</v>
      </c>
      <c r="AI4292">
        <v>96.877267178009703</v>
      </c>
      <c r="AJ4292">
        <v>94.242162412120805</v>
      </c>
      <c r="AK4292">
        <v>9.33899213734996</v>
      </c>
      <c r="AL4292">
        <v>87.671652826011794</v>
      </c>
      <c r="AM4292">
        <v>109.570832336821</v>
      </c>
      <c r="AN4292">
        <v>0.999999986556249</v>
      </c>
    </row>
    <row r="4293" spans="1:40" x14ac:dyDescent="0.25">
      <c r="A4293" t="str">
        <f>"20190305135717702"</f>
        <v>20190305135717702</v>
      </c>
      <c r="B4293" t="str">
        <f>"1551765437696848"</f>
        <v>1551765437696848</v>
      </c>
      <c r="C4293" t="s">
        <v>40</v>
      </c>
      <c r="D4293">
        <v>4.1892659999999999</v>
      </c>
      <c r="E4293">
        <v>0.45065300000000003</v>
      </c>
      <c r="F4293" t="s">
        <v>78</v>
      </c>
      <c r="G4293">
        <v>-297.92700000000002</v>
      </c>
      <c r="H4293" s="1">
        <v>-7.6558610000000007E-6</v>
      </c>
      <c r="I4293">
        <v>-53.440930000000002</v>
      </c>
      <c r="J4293">
        <v>-301.69549999999998</v>
      </c>
      <c r="K4293">
        <v>1.1188469999999999</v>
      </c>
      <c r="L4293">
        <v>-43.067079999999997</v>
      </c>
      <c r="M4293">
        <v>5.8601E-2</v>
      </c>
      <c r="N4293">
        <v>-1.4755290000000001E-2</v>
      </c>
      <c r="O4293">
        <v>-0.99817239999999996</v>
      </c>
      <c r="P4293">
        <v>0.38994970000000001</v>
      </c>
      <c r="Q4293">
        <v>4.0787919999999998E-2</v>
      </c>
      <c r="R4293">
        <v>-0.91993250000000004</v>
      </c>
      <c r="S4293">
        <v>0.99520869999999995</v>
      </c>
      <c r="T4293">
        <v>-0.29238920000000002</v>
      </c>
      <c r="U4293">
        <v>-2.8459780000000001</v>
      </c>
      <c r="V4293">
        <v>-0.33648499999999998</v>
      </c>
      <c r="W4293">
        <v>4.7288719999999999E-2</v>
      </c>
      <c r="X4293">
        <v>0.94050069999999997</v>
      </c>
      <c r="Y4293">
        <v>-0.27285540000000003</v>
      </c>
      <c r="Z4293">
        <v>8.2599409999999998E-2</v>
      </c>
      <c r="AA4293">
        <v>0.95850259999999998</v>
      </c>
      <c r="AB4293">
        <v>35</v>
      </c>
      <c r="AC4293">
        <v>3.76849999999996</v>
      </c>
      <c r="AD4293">
        <v>-1.118854655861</v>
      </c>
      <c r="AE4293">
        <v>-10.373849999999999</v>
      </c>
      <c r="AF4293">
        <v>-3.1219561731697798</v>
      </c>
      <c r="AG4293">
        <v>-1.118854655861</v>
      </c>
      <c r="AH4293">
        <v>10.4692953295772</v>
      </c>
      <c r="AI4293">
        <v>95.847477608644795</v>
      </c>
      <c r="AJ4293">
        <v>106.604642386184</v>
      </c>
      <c r="AK4293">
        <v>10.9820121465076</v>
      </c>
      <c r="AL4293">
        <v>87.289545013035394</v>
      </c>
      <c r="AM4293">
        <v>109.685797088276</v>
      </c>
      <c r="AN4293">
        <v>0.99999997248236305</v>
      </c>
    </row>
    <row r="4294" spans="1:40" x14ac:dyDescent="0.25">
      <c r="A4294" t="str">
        <f>"20190305135717739"</f>
        <v>20190305135717739</v>
      </c>
      <c r="B4294" t="str">
        <f>"1551765437727105"</f>
        <v>1551765437727105</v>
      </c>
      <c r="C4294" t="s">
        <v>40</v>
      </c>
      <c r="D4294">
        <v>4.1202449999999997</v>
      </c>
      <c r="E4294">
        <v>0.4534591</v>
      </c>
      <c r="F4294" t="s">
        <v>41</v>
      </c>
      <c r="G4294">
        <v>-301.21960000000001</v>
      </c>
      <c r="H4294">
        <v>1.074948</v>
      </c>
      <c r="I4294">
        <v>-43.892429999999997</v>
      </c>
      <c r="J4294">
        <v>-301.64440000000002</v>
      </c>
      <c r="K4294">
        <v>1.1193930000000001</v>
      </c>
      <c r="L4294">
        <v>-43.623539999999998</v>
      </c>
      <c r="M4294">
        <v>7.6597009999999993E-2</v>
      </c>
      <c r="N4294">
        <v>-1.4972859999999999E-2</v>
      </c>
      <c r="O4294">
        <v>-0.9969498</v>
      </c>
      <c r="P4294">
        <v>0.41236689999999998</v>
      </c>
      <c r="Q4294">
        <v>4.2403160000000002E-2</v>
      </c>
      <c r="R4294">
        <v>-0.91003069999999997</v>
      </c>
      <c r="S4294">
        <v>1.51416</v>
      </c>
      <c r="T4294">
        <v>-0.1396433</v>
      </c>
      <c r="U4294">
        <v>-2.6254580000000001</v>
      </c>
      <c r="V4294">
        <v>-0.34266580000000002</v>
      </c>
      <c r="W4294">
        <v>4.8477550000000001E-2</v>
      </c>
      <c r="X4294">
        <v>0.93820579999999998</v>
      </c>
      <c r="Y4294">
        <v>-0.43132599999999999</v>
      </c>
      <c r="Z4294">
        <v>3.2033859999999997E-2</v>
      </c>
      <c r="AA4294">
        <v>0.90162719999999996</v>
      </c>
      <c r="AB4294">
        <v>35</v>
      </c>
      <c r="AC4294">
        <v>0.42480000000000401</v>
      </c>
      <c r="AD4294">
        <v>-4.4444999999999998E-2</v>
      </c>
      <c r="AE4294">
        <v>-0.26888999999999103</v>
      </c>
      <c r="AF4294">
        <v>-0.39982847784840397</v>
      </c>
      <c r="AG4294">
        <v>-4.4444999999999998E-2</v>
      </c>
      <c r="AH4294">
        <v>0.29831054316794903</v>
      </c>
      <c r="AI4294">
        <v>95.091312912238294</v>
      </c>
      <c r="AJ4294">
        <v>143.273517164574</v>
      </c>
      <c r="AK4294">
        <v>0.500826666511208</v>
      </c>
      <c r="AL4294">
        <v>87.221351985395103</v>
      </c>
      <c r="AM4294">
        <v>110.06397385702699</v>
      </c>
      <c r="AN4294">
        <v>1.0000000232486399</v>
      </c>
    </row>
    <row r="4295" spans="1:40" x14ac:dyDescent="0.25">
      <c r="A4295" t="str">
        <f>"20190305135717835"</f>
        <v>20190305135717835</v>
      </c>
      <c r="B4295" t="str">
        <f>"1551765437826657"</f>
        <v>1551765437826657</v>
      </c>
      <c r="C4295" t="s">
        <v>40</v>
      </c>
      <c r="D4295">
        <v>4.0122799999999996</v>
      </c>
      <c r="E4295">
        <v>0.34239649999999999</v>
      </c>
      <c r="F4295" t="s">
        <v>41</v>
      </c>
      <c r="G4295">
        <v>-300.90899999999999</v>
      </c>
      <c r="H4295">
        <v>1.0406150000000001</v>
      </c>
      <c r="I4295">
        <v>-45.335680000000004</v>
      </c>
      <c r="J4295">
        <v>-301.45830000000001</v>
      </c>
      <c r="K4295">
        <v>1.1205179999999999</v>
      </c>
      <c r="L4295">
        <v>-45.074039999999997</v>
      </c>
      <c r="M4295">
        <v>0.12760239999999901</v>
      </c>
      <c r="N4295">
        <v>-1.5409529999999999E-2</v>
      </c>
      <c r="O4295">
        <v>-0.99170590000000003</v>
      </c>
      <c r="P4295">
        <v>0.49588510000000002</v>
      </c>
      <c r="Q4295">
        <v>3.462001E-2</v>
      </c>
      <c r="R4295">
        <v>-0.86769799999999997</v>
      </c>
      <c r="S4295">
        <v>1.950531</v>
      </c>
      <c r="T4295">
        <v>-0.24958069999999999</v>
      </c>
      <c r="U4295">
        <v>-2.376007</v>
      </c>
      <c r="V4295">
        <v>-0.38224409999999998</v>
      </c>
      <c r="W4295">
        <v>3.8868E-2</v>
      </c>
      <c r="X4295">
        <v>0.92324360000000005</v>
      </c>
      <c r="Y4295">
        <v>-0.5288581</v>
      </c>
      <c r="Z4295">
        <v>6.8546350000000006E-2</v>
      </c>
      <c r="AA4295">
        <v>0.84593770000000001</v>
      </c>
      <c r="AB4295">
        <v>34</v>
      </c>
      <c r="AC4295">
        <v>0.549300000000016</v>
      </c>
      <c r="AD4295">
        <v>-7.9903000000000002E-2</v>
      </c>
      <c r="AE4295">
        <v>-0.26163999999999199</v>
      </c>
      <c r="AF4295">
        <v>-0.50274802641690397</v>
      </c>
      <c r="AG4295">
        <v>-7.9903000000000002E-2</v>
      </c>
      <c r="AH4295">
        <v>0.32401284108387801</v>
      </c>
      <c r="AI4295">
        <v>97.609186216767299</v>
      </c>
      <c r="AJ4295">
        <v>147.19888498443399</v>
      </c>
      <c r="AK4295">
        <v>0.60342720245472803</v>
      </c>
      <c r="AL4295">
        <v>87.772466558321696</v>
      </c>
      <c r="AM4295">
        <v>112.490680712507</v>
      </c>
      <c r="AN4295">
        <v>1.00000000917488</v>
      </c>
    </row>
    <row r="4296" spans="1:40" x14ac:dyDescent="0.25">
      <c r="A4296" t="str">
        <f>"20190305135717868"</f>
        <v>20190305135717868</v>
      </c>
      <c r="B4296" t="str">
        <f>"1551765437856913"</f>
        <v>1551765437856913</v>
      </c>
      <c r="C4296" t="s">
        <v>40</v>
      </c>
      <c r="D4296">
        <v>3.942688</v>
      </c>
      <c r="E4296">
        <v>0.3487073</v>
      </c>
      <c r="F4296" t="s">
        <v>78</v>
      </c>
      <c r="G4296">
        <v>-291.5145</v>
      </c>
      <c r="H4296" s="1">
        <v>-9.9812899999999998E-6</v>
      </c>
      <c r="I4296">
        <v>-52.883510000000001</v>
      </c>
      <c r="J4296">
        <v>-301.37630000000001</v>
      </c>
      <c r="K4296">
        <v>1.1208469999999999</v>
      </c>
      <c r="L4296">
        <v>-45.570219999999999</v>
      </c>
      <c r="M4296">
        <v>0.1462184</v>
      </c>
      <c r="N4296">
        <v>-1.5524039999999999E-2</v>
      </c>
      <c r="O4296">
        <v>-0.98913079999999998</v>
      </c>
      <c r="P4296">
        <v>0.52641150000000003</v>
      </c>
      <c r="Q4296">
        <v>3.3197940000000002E-2</v>
      </c>
      <c r="R4296">
        <v>-0.84958180000000005</v>
      </c>
      <c r="S4296">
        <v>2.55661</v>
      </c>
      <c r="T4296">
        <v>-0.28809190000000001</v>
      </c>
      <c r="U4296">
        <v>-2.0078429999999998</v>
      </c>
      <c r="V4296">
        <v>-0.39764820000000001</v>
      </c>
      <c r="W4296">
        <v>3.6723289999999999E-2</v>
      </c>
      <c r="X4296">
        <v>0.91680280000000003</v>
      </c>
      <c r="Y4296">
        <v>-0.68487849999999995</v>
      </c>
      <c r="Z4296">
        <v>7.8061889999999995E-2</v>
      </c>
      <c r="AA4296">
        <v>0.72446369999999904</v>
      </c>
      <c r="AB4296">
        <v>34</v>
      </c>
      <c r="AC4296">
        <v>9.8618000000000094</v>
      </c>
      <c r="AD4296">
        <v>-1.12085698129</v>
      </c>
      <c r="AE4296">
        <v>-7.3132900000000003</v>
      </c>
      <c r="AF4296">
        <v>-8.6145201123441293</v>
      </c>
      <c r="AG4296">
        <v>-1.12085698129</v>
      </c>
      <c r="AH4296">
        <v>8.6051019101120492</v>
      </c>
      <c r="AI4296">
        <v>95.259469144869399</v>
      </c>
      <c r="AJ4296">
        <v>135.031337690454</v>
      </c>
      <c r="AK4296">
        <v>12.227594040607499</v>
      </c>
      <c r="AL4296">
        <v>87.895437325241303</v>
      </c>
      <c r="AM4296">
        <v>113.44799907791101</v>
      </c>
      <c r="AN4296">
        <v>1.00000003253975</v>
      </c>
    </row>
    <row r="4297" spans="1:40" x14ac:dyDescent="0.25">
      <c r="A4297" t="str">
        <f>"20190305135717905"</f>
        <v>20190305135717905</v>
      </c>
      <c r="B4297" t="str">
        <f>"1551765437896462"</f>
        <v>1551765437896462</v>
      </c>
      <c r="C4297" t="s">
        <v>40</v>
      </c>
      <c r="D4297">
        <v>3.869008</v>
      </c>
      <c r="E4297">
        <v>0.35258610000000001</v>
      </c>
      <c r="F4297" t="s">
        <v>78</v>
      </c>
      <c r="G4297">
        <v>-290.21089999999998</v>
      </c>
      <c r="H4297" s="1">
        <v>-1.0348980000000001E-5</v>
      </c>
      <c r="I4297">
        <v>-53.947220000000002</v>
      </c>
      <c r="J4297">
        <v>-301.27659999999997</v>
      </c>
      <c r="K4297">
        <v>1.1212260000000001</v>
      </c>
      <c r="L4297">
        <v>-46.102260000000001</v>
      </c>
      <c r="M4297">
        <v>0.16691249999999999</v>
      </c>
      <c r="N4297">
        <v>-1.5643569999999999E-2</v>
      </c>
      <c r="O4297">
        <v>-0.98584769999999999</v>
      </c>
      <c r="P4297">
        <v>0.55498789999999998</v>
      </c>
      <c r="Q4297">
        <v>3.470119E-2</v>
      </c>
      <c r="R4297">
        <v>-0.83113459999999995</v>
      </c>
      <c r="S4297">
        <v>2.5851139999999999</v>
      </c>
      <c r="T4297">
        <v>-0.25951049999999998</v>
      </c>
      <c r="U4297">
        <v>-1.939514</v>
      </c>
      <c r="V4297">
        <v>-0.409663</v>
      </c>
      <c r="W4297">
        <v>3.7560980000000001E-2</v>
      </c>
      <c r="X4297">
        <v>0.91146329999999998</v>
      </c>
      <c r="Y4297">
        <v>-0.68616429999999995</v>
      </c>
      <c r="Z4297">
        <v>6.9903499999999993E-2</v>
      </c>
      <c r="AA4297">
        <v>0.72408030000000001</v>
      </c>
      <c r="AB4297">
        <v>34</v>
      </c>
      <c r="AC4297">
        <v>11.0656999999999</v>
      </c>
      <c r="AD4297">
        <v>-1.1212363489799999</v>
      </c>
      <c r="AE4297">
        <v>-7.8449599999999897</v>
      </c>
      <c r="AF4297">
        <v>-9.5356923387152506</v>
      </c>
      <c r="AG4297">
        <v>-1.1212363489799999</v>
      </c>
      <c r="AH4297">
        <v>9.5170836117579398</v>
      </c>
      <c r="AI4297">
        <v>94.757476254761698</v>
      </c>
      <c r="AJ4297">
        <v>135.055960411255</v>
      </c>
      <c r="AK4297">
        <v>13.518930423746401</v>
      </c>
      <c r="AL4297">
        <v>87.847407957298998</v>
      </c>
      <c r="AM4297">
        <v>114.201838313427</v>
      </c>
      <c r="AN4297">
        <v>0.99999997401722396</v>
      </c>
    </row>
    <row r="4298" spans="1:40" x14ac:dyDescent="0.25">
      <c r="A4298" t="str">
        <f>"20190305135717940"</f>
        <v>20190305135717940</v>
      </c>
      <c r="B4298" t="str">
        <f>"1551765437926718"</f>
        <v>1551765437926718</v>
      </c>
      <c r="C4298" t="s">
        <v>40</v>
      </c>
      <c r="D4298">
        <v>3.8919769999999998</v>
      </c>
      <c r="E4298">
        <v>0.35541980000000001</v>
      </c>
      <c r="F4298" t="s">
        <v>78</v>
      </c>
      <c r="G4298">
        <v>-287.52769999999998</v>
      </c>
      <c r="H4298" s="1">
        <v>-3.3176990000000002E-6</v>
      </c>
      <c r="I4298">
        <v>-55.859020000000001</v>
      </c>
      <c r="J4298">
        <v>-301.1705</v>
      </c>
      <c r="K4298">
        <v>1.121607</v>
      </c>
      <c r="L4298">
        <v>-46.607909999999997</v>
      </c>
      <c r="M4298">
        <v>0.1872558</v>
      </c>
      <c r="N4298">
        <v>-1.575646E-2</v>
      </c>
      <c r="O4298">
        <v>-0.98218510000000003</v>
      </c>
      <c r="P4298">
        <v>0.58083439999999997</v>
      </c>
      <c r="Q4298">
        <v>3.6995859999999998E-2</v>
      </c>
      <c r="R4298">
        <v>-0.81318100000000004</v>
      </c>
      <c r="S4298">
        <v>2.6270449999999999</v>
      </c>
      <c r="T4298">
        <v>-0.21423729999999999</v>
      </c>
      <c r="U4298">
        <v>-1.864258</v>
      </c>
      <c r="V4298">
        <v>-0.41956729999999998</v>
      </c>
      <c r="W4298">
        <v>3.9250130000000001E-2</v>
      </c>
      <c r="X4298">
        <v>0.90687530000000005</v>
      </c>
      <c r="Y4298">
        <v>-0.69110890000000003</v>
      </c>
      <c r="Z4298">
        <v>5.5920209999999998E-2</v>
      </c>
      <c r="AA4298">
        <v>0.72058409999999995</v>
      </c>
      <c r="AB4298">
        <v>34</v>
      </c>
      <c r="AC4298">
        <v>13.642799999999999</v>
      </c>
      <c r="AD4298">
        <v>-1.121610317699</v>
      </c>
      <c r="AE4298">
        <v>-9.25110999999999</v>
      </c>
      <c r="AF4298">
        <v>-11.615098354188699</v>
      </c>
      <c r="AG4298">
        <v>-1.121610317699</v>
      </c>
      <c r="AH4298">
        <v>11.5887818750272</v>
      </c>
      <c r="AI4298">
        <v>93.910601990581</v>
      </c>
      <c r="AJ4298">
        <v>135.064981482674</v>
      </c>
      <c r="AK4298">
        <v>16.4459230458252</v>
      </c>
      <c r="AL4298">
        <v>87.750555495614606</v>
      </c>
      <c r="AM4298">
        <v>114.827695923101</v>
      </c>
      <c r="AN4298">
        <v>1.00000005084219</v>
      </c>
    </row>
    <row r="4299" spans="1:40" x14ac:dyDescent="0.25">
      <c r="A4299" t="str">
        <f>"20190305135717977"</f>
        <v>20190305135717977</v>
      </c>
      <c r="B4299" t="str">
        <f>"1551765437966734"</f>
        <v>1551765437966734</v>
      </c>
      <c r="C4299" t="s">
        <v>40</v>
      </c>
      <c r="D4299">
        <v>3.9770620000000001</v>
      </c>
      <c r="E4299">
        <v>0.3592458</v>
      </c>
      <c r="F4299" t="s">
        <v>78</v>
      </c>
      <c r="G4299">
        <v>-284.96420000000001</v>
      </c>
      <c r="H4299" s="1">
        <v>-4.3440430000000004E-6</v>
      </c>
      <c r="I4299">
        <v>-57.493400000000001</v>
      </c>
      <c r="J4299">
        <v>-301.04300000000001</v>
      </c>
      <c r="K4299">
        <v>1.12198</v>
      </c>
      <c r="L4299">
        <v>-47.154020000000003</v>
      </c>
      <c r="M4299">
        <v>0.2099569</v>
      </c>
      <c r="N4299">
        <v>-1.5873310000000002E-2</v>
      </c>
      <c r="O4299">
        <v>-0.97758199999999995</v>
      </c>
      <c r="P4299">
        <v>0.60590919999999904</v>
      </c>
      <c r="Q4299">
        <v>3.9436119999999998E-2</v>
      </c>
      <c r="R4299">
        <v>-0.79455589999999998</v>
      </c>
      <c r="S4299">
        <v>2.6679080000000002</v>
      </c>
      <c r="T4299">
        <v>-0.1846421</v>
      </c>
      <c r="U4299">
        <v>-1.79199199999999</v>
      </c>
      <c r="V4299">
        <v>-0.42696400000000001</v>
      </c>
      <c r="W4299">
        <v>4.1147360000000001E-2</v>
      </c>
      <c r="X4299">
        <v>0.90333189999999997</v>
      </c>
      <c r="Y4299">
        <v>-0.69333250000000002</v>
      </c>
      <c r="Z4299">
        <v>4.678641E-2</v>
      </c>
      <c r="AA4299">
        <v>0.7190974</v>
      </c>
      <c r="AB4299">
        <v>34</v>
      </c>
      <c r="AC4299">
        <v>16.078800000000001</v>
      </c>
      <c r="AD4299">
        <v>-1.121984344043</v>
      </c>
      <c r="AE4299">
        <v>-10.339379999999901</v>
      </c>
      <c r="AF4299">
        <v>-13.502710797679301</v>
      </c>
      <c r="AG4299">
        <v>-1.121984344043</v>
      </c>
      <c r="AH4299">
        <v>13.438848227874299</v>
      </c>
      <c r="AI4299">
        <v>93.370537037285004</v>
      </c>
      <c r="AJ4299">
        <v>135.13581429575001</v>
      </c>
      <c r="AK4299">
        <v>19.083623593172302</v>
      </c>
      <c r="AL4299">
        <v>87.641764020729198</v>
      </c>
      <c r="AM4299">
        <v>115.297976376427</v>
      </c>
      <c r="AN4299">
        <v>0.99999994204428799</v>
      </c>
    </row>
    <row r="4300" spans="1:40" x14ac:dyDescent="0.25">
      <c r="A4300" t="str">
        <f>"20190305135718003"</f>
        <v>20190305135718003</v>
      </c>
      <c r="B4300" t="str">
        <f>"1551765437996990"</f>
        <v>1551765437996990</v>
      </c>
      <c r="C4300" t="s">
        <v>40</v>
      </c>
      <c r="D4300">
        <v>3.8698060000000001</v>
      </c>
      <c r="E4300">
        <v>0.37812760000000001</v>
      </c>
      <c r="F4300" t="s">
        <v>78</v>
      </c>
      <c r="G4300">
        <v>-282.87270000000001</v>
      </c>
      <c r="H4300" s="1">
        <v>-5.0904420000000003E-6</v>
      </c>
      <c r="I4300">
        <v>-58.774949999999997</v>
      </c>
      <c r="J4300">
        <v>-300.94569999999999</v>
      </c>
      <c r="K4300">
        <v>1.122207</v>
      </c>
      <c r="L4300">
        <v>-47.53528</v>
      </c>
      <c r="M4300">
        <v>0.22627849999999999</v>
      </c>
      <c r="N4300">
        <v>-1.5952009999999999E-2</v>
      </c>
      <c r="O4300">
        <v>-0.97393209999999997</v>
      </c>
      <c r="P4300">
        <v>0.62457940000000001</v>
      </c>
      <c r="Q4300">
        <v>3.9133519999999998E-2</v>
      </c>
      <c r="R4300">
        <v>-0.77998069999999997</v>
      </c>
      <c r="S4300">
        <v>2.6987299999999999</v>
      </c>
      <c r="T4300">
        <v>-0.1666414</v>
      </c>
      <c r="U4300">
        <v>-1.725983</v>
      </c>
      <c r="V4300">
        <v>-0.43328060000000002</v>
      </c>
      <c r="W4300">
        <v>4.0418879999999997E-2</v>
      </c>
      <c r="X4300">
        <v>0.90035219999999905</v>
      </c>
      <c r="Y4300">
        <v>-0.69766300000000003</v>
      </c>
      <c r="Z4300">
        <v>4.1334170000000003E-2</v>
      </c>
      <c r="AA4300">
        <v>0.71523269999999906</v>
      </c>
      <c r="AB4300">
        <v>34</v>
      </c>
      <c r="AC4300">
        <v>18.072999999999901</v>
      </c>
      <c r="AD4300">
        <v>-1.1222120904420001</v>
      </c>
      <c r="AE4300">
        <v>-11.239669999999901</v>
      </c>
      <c r="AF4300">
        <v>-15.018738158841099</v>
      </c>
      <c r="AG4300">
        <v>-1.1222120904420001</v>
      </c>
      <c r="AH4300">
        <v>14.9964249120956</v>
      </c>
      <c r="AI4300">
        <v>93.026686988298707</v>
      </c>
      <c r="AJ4300">
        <v>135.042593626002</v>
      </c>
      <c r="AK4300">
        <v>21.253578898714601</v>
      </c>
      <c r="AL4300">
        <v>87.683537566685501</v>
      </c>
      <c r="AM4300">
        <v>115.698467895541</v>
      </c>
      <c r="AN4300">
        <v>0.99999992412082395</v>
      </c>
    </row>
    <row r="4301" spans="1:40" x14ac:dyDescent="0.25">
      <c r="A4301" t="str">
        <f>"20190305135718037"</f>
        <v>20190305135718037</v>
      </c>
      <c r="B4301" t="str">
        <f>"1551765438027246"</f>
        <v>1551765438027246</v>
      </c>
      <c r="C4301" t="s">
        <v>40</v>
      </c>
      <c r="D4301">
        <v>3.8585500000000001</v>
      </c>
      <c r="E4301">
        <v>0.37822090000000003</v>
      </c>
      <c r="F4301" t="s">
        <v>87</v>
      </c>
      <c r="G4301">
        <v>-247.1448</v>
      </c>
      <c r="H4301">
        <v>1.364115</v>
      </c>
      <c r="I4301">
        <v>-83.108969999999999</v>
      </c>
      <c r="J4301">
        <v>-300.8152</v>
      </c>
      <c r="K4301">
        <v>1.1225000000000001</v>
      </c>
      <c r="L4301">
        <v>-48.00723</v>
      </c>
      <c r="M4301">
        <v>0.24705669999999999</v>
      </c>
      <c r="N4301">
        <v>-1.6049239999999999E-2</v>
      </c>
      <c r="O4301">
        <v>-0.96886819999999896</v>
      </c>
      <c r="P4301">
        <v>0.64598420000000001</v>
      </c>
      <c r="Q4301">
        <v>3.4954569999999997E-2</v>
      </c>
      <c r="R4301">
        <v>-0.76255050000000002</v>
      </c>
      <c r="S4301">
        <v>2.6304630000000002</v>
      </c>
      <c r="T4301">
        <v>1.1828180000000001E-2</v>
      </c>
      <c r="U4301">
        <v>-1.7392879999999999</v>
      </c>
      <c r="V4301">
        <v>-0.43885659999999999</v>
      </c>
      <c r="W4301">
        <v>3.5784049999999998E-2</v>
      </c>
      <c r="X4301">
        <v>0.89784430000000004</v>
      </c>
      <c r="Y4301">
        <v>-0.67180629999999997</v>
      </c>
      <c r="Z4301">
        <v>-1.8012009999999998E-2</v>
      </c>
      <c r="AA4301">
        <v>0.74050780000000005</v>
      </c>
      <c r="AB4301">
        <v>34</v>
      </c>
      <c r="AC4301">
        <v>53.670400000000001</v>
      </c>
      <c r="AD4301">
        <v>0.241614999999999</v>
      </c>
      <c r="AE4301">
        <v>-35.101739999999999</v>
      </c>
      <c r="AF4301">
        <v>-43.332385974886598</v>
      </c>
      <c r="AG4301">
        <v>0.241614999999999</v>
      </c>
      <c r="AH4301">
        <v>47.274005116771299</v>
      </c>
      <c r="AI4301">
        <v>89.784131100872401</v>
      </c>
      <c r="AJ4301">
        <v>132.50905167648801</v>
      </c>
      <c r="AK4301">
        <v>64.129444188027094</v>
      </c>
      <c r="AL4301">
        <v>87.949287147184293</v>
      </c>
      <c r="AM4301">
        <v>116.04888535354701</v>
      </c>
      <c r="AN4301">
        <v>1.0000000003202201</v>
      </c>
    </row>
    <row r="4302" spans="1:40" x14ac:dyDescent="0.25">
      <c r="A4302" t="str">
        <f>"20190305135718071"</f>
        <v>20190305135718071</v>
      </c>
      <c r="B4302" t="str">
        <f>"1551765438067261"</f>
        <v>1551765438067261</v>
      </c>
      <c r="C4302" t="s">
        <v>40</v>
      </c>
      <c r="D4302">
        <v>3.888334</v>
      </c>
      <c r="E4302">
        <v>0.38152000000000003</v>
      </c>
      <c r="F4302" t="s">
        <v>87</v>
      </c>
      <c r="G4302">
        <v>-247.1448</v>
      </c>
      <c r="H4302">
        <v>9.7383499999999998E-2</v>
      </c>
      <c r="I4302">
        <v>-81.548019999999994</v>
      </c>
      <c r="J4302">
        <v>-300.67169999999999</v>
      </c>
      <c r="K4302">
        <v>1.122814</v>
      </c>
      <c r="L4302">
        <v>-48.485230000000001</v>
      </c>
      <c r="M4302">
        <v>0.26876349999999999</v>
      </c>
      <c r="N4302">
        <v>-1.615279E-2</v>
      </c>
      <c r="O4302">
        <v>-0.96307100000000001</v>
      </c>
      <c r="P4302">
        <v>0.66640619999999995</v>
      </c>
      <c r="Q4302">
        <v>3.2194710000000001E-2</v>
      </c>
      <c r="R4302">
        <v>-0.74489380000000005</v>
      </c>
      <c r="S4302">
        <v>2.6741329999999999</v>
      </c>
      <c r="T4302">
        <v>-5.107594E-2</v>
      </c>
      <c r="U4302">
        <v>-1.671173</v>
      </c>
      <c r="V4302">
        <v>-0.44291449999999999</v>
      </c>
      <c r="W4302">
        <v>3.2603510000000002E-2</v>
      </c>
      <c r="X4302">
        <v>0.89597079999999996</v>
      </c>
      <c r="Y4302">
        <v>-0.67421909999999996</v>
      </c>
      <c r="Z4302">
        <v>3.4143519999999998E-3</v>
      </c>
      <c r="AA4302">
        <v>0.7385235</v>
      </c>
      <c r="AB4302">
        <v>34</v>
      </c>
      <c r="AC4302">
        <v>53.526899999999898</v>
      </c>
      <c r="AD4302">
        <v>-1.0254304999999999</v>
      </c>
      <c r="AE4302">
        <v>-33.0627899999999</v>
      </c>
      <c r="AF4302">
        <v>-42.658358445652503</v>
      </c>
      <c r="AG4302">
        <v>-1.0254304999999999</v>
      </c>
      <c r="AH4302">
        <v>46.221633281301997</v>
      </c>
      <c r="AI4302">
        <v>90.934012411953304</v>
      </c>
      <c r="AJ4302">
        <v>132.704192699993</v>
      </c>
      <c r="AK4302">
        <v>62.906489618951603</v>
      </c>
      <c r="AL4302">
        <v>88.131625292722504</v>
      </c>
      <c r="AM4302">
        <v>116.30504412433299</v>
      </c>
      <c r="AN4302">
        <v>0.99999995881360404</v>
      </c>
    </row>
    <row r="4303" spans="1:40" x14ac:dyDescent="0.25">
      <c r="A4303" t="str">
        <f>"20190305135718103"</f>
        <v>20190305135718103</v>
      </c>
      <c r="B4303" t="str">
        <f>"1551765438096545"</f>
        <v>1551765438096545</v>
      </c>
      <c r="C4303" t="s">
        <v>40</v>
      </c>
      <c r="D4303">
        <v>3.9595820000000002</v>
      </c>
      <c r="E4303">
        <v>0.38356960000000001</v>
      </c>
      <c r="F4303" t="s">
        <v>42</v>
      </c>
      <c r="G4303">
        <v>-270.27269999999999</v>
      </c>
      <c r="H4303" s="1">
        <v>-6.8610839999999996E-7</v>
      </c>
      <c r="I4303">
        <v>-66.746350000000007</v>
      </c>
      <c r="J4303">
        <v>-300.5172</v>
      </c>
      <c r="K4303">
        <v>1.12312099999999</v>
      </c>
      <c r="L4303">
        <v>-48.956670000000003</v>
      </c>
      <c r="M4303">
        <v>0.29091119999999998</v>
      </c>
      <c r="N4303">
        <v>-1.6261350000000001E-2</v>
      </c>
      <c r="O4303">
        <v>-0.95661209999999997</v>
      </c>
      <c r="P4303">
        <v>0.68720890000000001</v>
      </c>
      <c r="Q4303">
        <v>2.9725540000000002E-2</v>
      </c>
      <c r="R4303">
        <v>-0.72585200000000005</v>
      </c>
      <c r="S4303">
        <v>2.696167</v>
      </c>
      <c r="T4303">
        <v>-9.9585530000000005E-2</v>
      </c>
      <c r="U4303">
        <v>-1.619629</v>
      </c>
      <c r="V4303">
        <v>-0.44749860000000002</v>
      </c>
      <c r="W4303">
        <v>2.9694310000000002E-2</v>
      </c>
      <c r="X4303">
        <v>0.89379159999999902</v>
      </c>
      <c r="Y4303">
        <v>-0.66994909999999996</v>
      </c>
      <c r="Z4303">
        <v>2.0086489999999999E-2</v>
      </c>
      <c r="AA4303">
        <v>0.74213530000000005</v>
      </c>
      <c r="AB4303">
        <v>34</v>
      </c>
      <c r="AC4303">
        <v>30.244499999999999</v>
      </c>
      <c r="AD4303">
        <v>-1.1231216861083999</v>
      </c>
      <c r="AE4303">
        <v>-17.789680000000001</v>
      </c>
      <c r="AF4303">
        <v>-23.735855556611</v>
      </c>
      <c r="AG4303">
        <v>-1.1231216861083999</v>
      </c>
      <c r="AH4303">
        <v>25.79326894451</v>
      </c>
      <c r="AI4303">
        <v>91.835189296945501</v>
      </c>
      <c r="AJ4303">
        <v>132.62133143306201</v>
      </c>
      <c r="AK4303">
        <v>35.070571198227299</v>
      </c>
      <c r="AL4303">
        <v>88.298391380245604</v>
      </c>
      <c r="AM4303">
        <v>116.595956437494</v>
      </c>
      <c r="AN4303">
        <v>1.0000000866394401</v>
      </c>
    </row>
    <row r="4304" spans="1:40" x14ac:dyDescent="0.25">
      <c r="A4304" t="str">
        <f>"20190305135718138"</f>
        <v>20190305135718138</v>
      </c>
      <c r="B4304" t="str">
        <f>"1551765438126798"</f>
        <v>1551765438126798</v>
      </c>
      <c r="C4304" t="s">
        <v>40</v>
      </c>
      <c r="D4304">
        <v>4.0043030000000002</v>
      </c>
      <c r="E4304">
        <v>0.38571119999999998</v>
      </c>
      <c r="F4304" t="s">
        <v>42</v>
      </c>
      <c r="G4304">
        <v>-271.68889999999999</v>
      </c>
      <c r="H4304" s="1">
        <v>-9.8883220000000009E-7</v>
      </c>
      <c r="I4304">
        <v>-65.375619999999998</v>
      </c>
      <c r="J4304">
        <v>-300.35180000000003</v>
      </c>
      <c r="K4304">
        <v>1.123426</v>
      </c>
      <c r="L4304">
        <v>-49.423740000000002</v>
      </c>
      <c r="M4304">
        <v>0.31351309999999999</v>
      </c>
      <c r="N4304">
        <v>-1.6368219999999999E-2</v>
      </c>
      <c r="O4304">
        <v>-0.94944309999999998</v>
      </c>
      <c r="P4304">
        <v>0.70749709999999999</v>
      </c>
      <c r="Q4304">
        <v>2.778833E-2</v>
      </c>
      <c r="R4304">
        <v>-0.70617019999999997</v>
      </c>
      <c r="S4304">
        <v>2.7286380000000001</v>
      </c>
      <c r="T4304">
        <v>-0.1063051</v>
      </c>
      <c r="U4304">
        <v>-1.5540769999999999</v>
      </c>
      <c r="V4304">
        <v>-0.45155909999999999</v>
      </c>
      <c r="W4304">
        <v>2.7336360000000001E-2</v>
      </c>
      <c r="X4304">
        <v>0.89182229999999996</v>
      </c>
      <c r="Y4304">
        <v>-0.66952409999999996</v>
      </c>
      <c r="Z4304">
        <v>2.2641310000000001E-2</v>
      </c>
      <c r="AA4304">
        <v>0.74244519999999903</v>
      </c>
      <c r="AB4304">
        <v>34</v>
      </c>
      <c r="AC4304">
        <v>28.6629</v>
      </c>
      <c r="AD4304">
        <v>-1.1234269888321999</v>
      </c>
      <c r="AE4304">
        <v>-15.9518799999999</v>
      </c>
      <c r="AF4304">
        <v>-22.189612405727399</v>
      </c>
      <c r="AG4304">
        <v>-1.1234269888321999</v>
      </c>
      <c r="AH4304">
        <v>24.1065482985864</v>
      </c>
      <c r="AI4304">
        <v>91.963791733427399</v>
      </c>
      <c r="AJ4304">
        <v>132.628968975644</v>
      </c>
      <c r="AK4304">
        <v>32.783633993011399</v>
      </c>
      <c r="AL4304">
        <v>88.433546738971302</v>
      </c>
      <c r="AM4304">
        <v>116.85460057526601</v>
      </c>
      <c r="AN4304">
        <v>0.99999995607407299</v>
      </c>
    </row>
    <row r="4305" spans="1:40" x14ac:dyDescent="0.25">
      <c r="A4305" t="str">
        <f>"20190305135718174"</f>
        <v>20190305135718174</v>
      </c>
      <c r="B4305" t="str">
        <f>"1551765438166814"</f>
        <v>1551765438166814</v>
      </c>
      <c r="C4305" t="s">
        <v>40</v>
      </c>
      <c r="D4305">
        <v>4.0313689999999998</v>
      </c>
      <c r="E4305">
        <v>0.38824219999999998</v>
      </c>
      <c r="F4305" t="s">
        <v>42</v>
      </c>
      <c r="G4305">
        <v>-272.834</v>
      </c>
      <c r="H4305" s="1">
        <v>-1.234577E-6</v>
      </c>
      <c r="I4305">
        <v>-64.271630000000002</v>
      </c>
      <c r="J4305">
        <v>-300.15800000000002</v>
      </c>
      <c r="K4305">
        <v>1.1237649999999999</v>
      </c>
      <c r="L4305">
        <v>-49.929499999999997</v>
      </c>
      <c r="M4305">
        <v>0.33878180000000002</v>
      </c>
      <c r="N4305">
        <v>-1.648821E-2</v>
      </c>
      <c r="O4305">
        <v>-0.94072040000000001</v>
      </c>
      <c r="P4305">
        <v>0.72761940000000003</v>
      </c>
      <c r="Q4305">
        <v>2.8920520000000002E-2</v>
      </c>
      <c r="R4305">
        <v>-0.68537109999999901</v>
      </c>
      <c r="S4305">
        <v>2.7588810000000001</v>
      </c>
      <c r="T4305">
        <v>-0.1126323</v>
      </c>
      <c r="U4305">
        <v>-1.4886170000000001</v>
      </c>
      <c r="V4305">
        <v>-0.4535844</v>
      </c>
      <c r="W4305">
        <v>2.810377E-2</v>
      </c>
      <c r="X4305">
        <v>0.89077009999999901</v>
      </c>
      <c r="Y4305">
        <v>-0.66662440000000001</v>
      </c>
      <c r="Z4305">
        <v>2.5059930000000001E-2</v>
      </c>
      <c r="AA4305">
        <v>0.74497250000000004</v>
      </c>
      <c r="AB4305">
        <v>33</v>
      </c>
      <c r="AC4305">
        <v>27.324000000000002</v>
      </c>
      <c r="AD4305">
        <v>-1.1237662345770001</v>
      </c>
      <c r="AE4305">
        <v>-14.342129999999999</v>
      </c>
      <c r="AF4305">
        <v>-20.820616954770301</v>
      </c>
      <c r="AG4305">
        <v>-1.1237662345770001</v>
      </c>
      <c r="AH4305">
        <v>22.721771335522199</v>
      </c>
      <c r="AI4305">
        <v>92.088312164742703</v>
      </c>
      <c r="AJ4305">
        <v>132.499930849696</v>
      </c>
      <c r="AK4305">
        <v>30.838933729151599</v>
      </c>
      <c r="AL4305">
        <v>88.389560550443093</v>
      </c>
      <c r="AM4305">
        <v>116.98541227966</v>
      </c>
      <c r="AN4305">
        <v>1.00000000043279</v>
      </c>
    </row>
    <row r="4306" spans="1:40" x14ac:dyDescent="0.25">
      <c r="A4306" t="str">
        <f>"20190305135718204"</f>
        <v>20190305135718204</v>
      </c>
      <c r="B4306" t="str">
        <f>"1551765438197070"</f>
        <v>1551765438197070</v>
      </c>
      <c r="C4306" t="s">
        <v>40</v>
      </c>
      <c r="D4306">
        <v>3.9879880000000001</v>
      </c>
      <c r="E4306">
        <v>0.40562169999999997</v>
      </c>
      <c r="F4306" t="s">
        <v>42</v>
      </c>
      <c r="G4306">
        <v>-270.25760000000002</v>
      </c>
      <c r="H4306" s="1">
        <v>-3.3335619999999999E-7</v>
      </c>
      <c r="I4306">
        <v>-65.189070000000001</v>
      </c>
      <c r="J4306">
        <v>-299.99090000000001</v>
      </c>
      <c r="K4306">
        <v>1.124047</v>
      </c>
      <c r="L4306">
        <v>-50.334560000000003</v>
      </c>
      <c r="M4306">
        <v>0.3596182</v>
      </c>
      <c r="N4306">
        <v>-1.6589E-2</v>
      </c>
      <c r="O4306">
        <v>-0.932952</v>
      </c>
      <c r="P4306">
        <v>0.74397040000000003</v>
      </c>
      <c r="Q4306">
        <v>3.1207140000000001E-2</v>
      </c>
      <c r="R4306">
        <v>-0.66748350000000001</v>
      </c>
      <c r="S4306">
        <v>2.7872919999999999</v>
      </c>
      <c r="T4306">
        <v>-0.10475660000000001</v>
      </c>
      <c r="U4306">
        <v>-1.422485</v>
      </c>
      <c r="V4306">
        <v>-0.4554395</v>
      </c>
      <c r="W4306">
        <v>3.0097059999999998E-2</v>
      </c>
      <c r="X4306">
        <v>0.88975789999999999</v>
      </c>
      <c r="Y4306">
        <v>-0.66718159999999904</v>
      </c>
      <c r="Z4306">
        <v>2.263126E-2</v>
      </c>
      <c r="AA4306">
        <v>0.74455130000000003</v>
      </c>
      <c r="AB4306">
        <v>33</v>
      </c>
      <c r="AC4306">
        <v>29.7332999999999</v>
      </c>
      <c r="AD4306">
        <v>-1.1240473333562</v>
      </c>
      <c r="AE4306">
        <v>-14.854509999999999</v>
      </c>
      <c r="AF4306">
        <v>-22.375282656776498</v>
      </c>
      <c r="AG4306">
        <v>-1.1240473333562</v>
      </c>
      <c r="AH4306">
        <v>24.526509861858099</v>
      </c>
      <c r="AI4306">
        <v>91.939146320279093</v>
      </c>
      <c r="AJ4306">
        <v>132.373876165524</v>
      </c>
      <c r="AK4306">
        <v>33.218465382706803</v>
      </c>
      <c r="AL4306">
        <v>88.275305117629898</v>
      </c>
      <c r="AM4306">
        <v>117.106499976896</v>
      </c>
      <c r="AN4306">
        <v>1.00000004589665</v>
      </c>
    </row>
    <row r="4307" spans="1:40" x14ac:dyDescent="0.25">
      <c r="A4307" t="str">
        <f>"20190305135718238"</f>
        <v>20190305135718238</v>
      </c>
      <c r="B4307" t="str">
        <f>"1551765438227326"</f>
        <v>1551765438227326</v>
      </c>
      <c r="C4307" t="s">
        <v>40</v>
      </c>
      <c r="D4307">
        <v>4.0677820000000002</v>
      </c>
      <c r="E4307">
        <v>0.40591660000000002</v>
      </c>
      <c r="F4307" t="s">
        <v>42</v>
      </c>
      <c r="G4307">
        <v>-268.22859999999997</v>
      </c>
      <c r="H4307" s="1">
        <v>-3.9172249999999996E-6</v>
      </c>
      <c r="I4307">
        <v>-67.309550000000002</v>
      </c>
      <c r="J4307">
        <v>-299.7962</v>
      </c>
      <c r="K4307">
        <v>1.1243299999999901</v>
      </c>
      <c r="L4307">
        <v>-50.775669999999998</v>
      </c>
      <c r="M4307">
        <v>0.38291550000000002</v>
      </c>
      <c r="N4307">
        <v>-1.6698870000000001E-2</v>
      </c>
      <c r="O4307">
        <v>-0.92363269999999997</v>
      </c>
      <c r="P4307">
        <v>0.7612255</v>
      </c>
      <c r="Q4307">
        <v>3.2650859999999997E-2</v>
      </c>
      <c r="R4307">
        <v>-0.64766499999999905</v>
      </c>
      <c r="S4307">
        <v>2.7282709999999999</v>
      </c>
      <c r="T4307">
        <v>-9.655213E-2</v>
      </c>
      <c r="U4307">
        <v>-1.458099</v>
      </c>
      <c r="V4307">
        <v>-0.45655800000000002</v>
      </c>
      <c r="W4307">
        <v>3.1269529999999997E-2</v>
      </c>
      <c r="X4307">
        <v>0.88914400000000005</v>
      </c>
      <c r="Y4307">
        <v>-0.63383250000000002</v>
      </c>
      <c r="Z4307">
        <v>1.995514E-2</v>
      </c>
      <c r="AA4307">
        <v>0.77321289999999998</v>
      </c>
      <c r="AB4307">
        <v>33</v>
      </c>
      <c r="AC4307">
        <v>31.567599999999999</v>
      </c>
      <c r="AD4307">
        <v>-1.12433391722499</v>
      </c>
      <c r="AE4307">
        <v>-16.53388</v>
      </c>
      <c r="AF4307">
        <v>-22.806263304074299</v>
      </c>
      <c r="AG4307">
        <v>-1.12433391722499</v>
      </c>
      <c r="AH4307">
        <v>27.335552461791899</v>
      </c>
      <c r="AI4307">
        <v>91.808939087307905</v>
      </c>
      <c r="AJ4307">
        <v>129.83850417958499</v>
      </c>
      <c r="AK4307">
        <v>35.617723131098202</v>
      </c>
      <c r="AL4307">
        <v>88.208095846056395</v>
      </c>
      <c r="AM4307">
        <v>117.17960884833199</v>
      </c>
      <c r="AN4307">
        <v>1.0000000218032099</v>
      </c>
    </row>
    <row r="4308" spans="1:40" x14ac:dyDescent="0.25">
      <c r="A4308" t="str">
        <f>"20190305135718272"</f>
        <v>20190305135718272</v>
      </c>
      <c r="B4308" t="str">
        <f>"1551765438266366"</f>
        <v>1551765438266366</v>
      </c>
      <c r="C4308" t="s">
        <v>40</v>
      </c>
      <c r="D4308">
        <v>4.1464610000000004</v>
      </c>
      <c r="E4308">
        <v>0.41375840000000003</v>
      </c>
      <c r="F4308" t="s">
        <v>88</v>
      </c>
      <c r="G4308">
        <v>-258.4692</v>
      </c>
      <c r="H4308">
        <v>7.9987199999999994E-2</v>
      </c>
      <c r="I4308">
        <v>-71.480669999999904</v>
      </c>
      <c r="J4308">
        <v>-299.58969999999999</v>
      </c>
      <c r="K4308">
        <v>1.124595</v>
      </c>
      <c r="L4308">
        <v>-51.213529999999999</v>
      </c>
      <c r="M4308">
        <v>0.40662189999999998</v>
      </c>
      <c r="N4308">
        <v>-1.6808449999999999E-2</v>
      </c>
      <c r="O4308">
        <v>-0.91344199999999998</v>
      </c>
      <c r="P4308">
        <v>0.77785969999999904</v>
      </c>
      <c r="Q4308">
        <v>3.0659570000000001E-2</v>
      </c>
      <c r="R4308">
        <v>-0.62768979999999996</v>
      </c>
      <c r="S4308">
        <v>2.7652589999999999</v>
      </c>
      <c r="T4308">
        <v>-6.9878699999999905E-2</v>
      </c>
      <c r="U4308">
        <v>-1.3854059999999999</v>
      </c>
      <c r="V4308">
        <v>-0.45671650000000003</v>
      </c>
      <c r="W4308">
        <v>2.9058480000000001E-2</v>
      </c>
      <c r="X4308">
        <v>0.88913759999999997</v>
      </c>
      <c r="Y4308">
        <v>-0.63442129999999997</v>
      </c>
      <c r="Z4308">
        <v>1.1015779999999999E-2</v>
      </c>
      <c r="AA4308">
        <v>0.77290890000000001</v>
      </c>
      <c r="AB4308">
        <v>33</v>
      </c>
      <c r="AC4308">
        <v>41.1204999999999</v>
      </c>
      <c r="AD4308">
        <v>-1.0446078000000001</v>
      </c>
      <c r="AE4308">
        <v>-20.267139999999898</v>
      </c>
      <c r="AF4308">
        <v>-29.309051188329601</v>
      </c>
      <c r="AG4308">
        <v>-1.0446078000000001</v>
      </c>
      <c r="AH4308">
        <v>35.220041029027001</v>
      </c>
      <c r="AI4308">
        <v>91.306007442896799</v>
      </c>
      <c r="AJ4308">
        <v>129.76620178687301</v>
      </c>
      <c r="AK4308">
        <v>45.831899121706599</v>
      </c>
      <c r="AL4308">
        <v>88.334837361892099</v>
      </c>
      <c r="AM4308">
        <v>117.187858436287</v>
      </c>
      <c r="AN4308">
        <v>1.0000000141829599</v>
      </c>
    </row>
    <row r="4309" spans="1:40" x14ac:dyDescent="0.25">
      <c r="A4309" t="str">
        <f>"20190305135718305"</f>
        <v>20190305135718305</v>
      </c>
      <c r="B4309" t="str">
        <f>"1551765438296622"</f>
        <v>1551765438296622</v>
      </c>
      <c r="C4309" t="s">
        <v>40</v>
      </c>
      <c r="D4309">
        <v>4.2309049999999999</v>
      </c>
      <c r="E4309">
        <v>0.41648550000000001</v>
      </c>
      <c r="F4309" t="s">
        <v>78</v>
      </c>
      <c r="G4309">
        <v>-281.38470000000001</v>
      </c>
      <c r="H4309" s="1">
        <v>-5.5180740000000003E-6</v>
      </c>
      <c r="I4309">
        <v>-60.26634</v>
      </c>
      <c r="J4309">
        <v>-299.36970000000002</v>
      </c>
      <c r="K4309">
        <v>1.124843</v>
      </c>
      <c r="L4309">
        <v>-51.647950000000002</v>
      </c>
      <c r="M4309">
        <v>0.43075269999999999</v>
      </c>
      <c r="N4309">
        <v>-1.6918450000000002E-2</v>
      </c>
      <c r="O4309">
        <v>-0.90231139999999999</v>
      </c>
      <c r="P4309">
        <v>0.7925816</v>
      </c>
      <c r="Q4309">
        <v>2.932411E-2</v>
      </c>
      <c r="R4309">
        <v>-0.60906059999999995</v>
      </c>
      <c r="S4309">
        <v>2.7571110000000001</v>
      </c>
      <c r="T4309">
        <v>-0.17031879999999999</v>
      </c>
      <c r="U4309">
        <v>-1.3710329999999999</v>
      </c>
      <c r="V4309">
        <v>-0.45419619999999999</v>
      </c>
      <c r="W4309">
        <v>2.7647140000000001E-2</v>
      </c>
      <c r="X4309">
        <v>0.89047259999999995</v>
      </c>
      <c r="Y4309">
        <v>-0.61499009999999998</v>
      </c>
      <c r="Z4309">
        <v>4.5294149999999998E-2</v>
      </c>
      <c r="AA4309">
        <v>0.78723290000000001</v>
      </c>
      <c r="AB4309">
        <v>33</v>
      </c>
      <c r="AC4309">
        <v>17.984999999999999</v>
      </c>
      <c r="AD4309">
        <v>-1.124848518074</v>
      </c>
      <c r="AE4309">
        <v>-8.6183899999999891</v>
      </c>
      <c r="AF4309">
        <v>-12.4777730443059</v>
      </c>
      <c r="AG4309">
        <v>-1.124848518074</v>
      </c>
      <c r="AH4309">
        <v>15.476547000363199</v>
      </c>
      <c r="AI4309">
        <v>93.238435971615701</v>
      </c>
      <c r="AJ4309">
        <v>128.877063368877</v>
      </c>
      <c r="AK4309">
        <v>19.91189622784</v>
      </c>
      <c r="AL4309">
        <v>88.415733695558799</v>
      </c>
      <c r="AM4309">
        <v>117.02439881037699</v>
      </c>
      <c r="AN4309">
        <v>1.00000000189768</v>
      </c>
    </row>
    <row r="4310" spans="1:40" x14ac:dyDescent="0.25">
      <c r="A4310" t="str">
        <f>"20190305135718339"</f>
        <v>20190305135718339</v>
      </c>
      <c r="B4310" t="str">
        <f>"1551765438326878"</f>
        <v>1551765438326878</v>
      </c>
      <c r="C4310" t="s">
        <v>40</v>
      </c>
      <c r="D4310">
        <v>4.2142269999999904</v>
      </c>
      <c r="E4310">
        <v>0.41706870000000001</v>
      </c>
      <c r="F4310" t="s">
        <v>78</v>
      </c>
      <c r="G4310">
        <v>-282.10059999999999</v>
      </c>
      <c r="H4310" s="1">
        <v>-5.2542049999999898E-6</v>
      </c>
      <c r="I4310">
        <v>-59.875230000000002</v>
      </c>
      <c r="J4310">
        <v>-299.14170000000001</v>
      </c>
      <c r="K4310">
        <v>1.1250709999999999</v>
      </c>
      <c r="L4310">
        <v>-52.06973</v>
      </c>
      <c r="M4310">
        <v>0.4547003</v>
      </c>
      <c r="N4310">
        <v>-1.70212E-2</v>
      </c>
      <c r="O4310">
        <v>-0.89048179999999999</v>
      </c>
      <c r="P4310">
        <v>0.80285410000000001</v>
      </c>
      <c r="Q4310">
        <v>2.8453539999999999E-2</v>
      </c>
      <c r="R4310">
        <v>-0.59549649999999998</v>
      </c>
      <c r="S4310">
        <v>2.7756349999999999</v>
      </c>
      <c r="T4310">
        <v>-0.18079509999999999</v>
      </c>
      <c r="U4310">
        <v>-1.322357</v>
      </c>
      <c r="V4310">
        <v>-0.44554490000000002</v>
      </c>
      <c r="W4310">
        <v>2.700746E-2</v>
      </c>
      <c r="X4310">
        <v>0.89485210000000004</v>
      </c>
      <c r="Y4310">
        <v>-0.60701039999999995</v>
      </c>
      <c r="Z4310">
        <v>4.8810159999999998E-2</v>
      </c>
      <c r="AA4310">
        <v>0.79319359999999905</v>
      </c>
      <c r="AB4310">
        <v>33</v>
      </c>
      <c r="AC4310">
        <v>17.0411</v>
      </c>
      <c r="AD4310">
        <v>-1.1250762542049999</v>
      </c>
      <c r="AE4310">
        <v>-7.8055000000000003</v>
      </c>
      <c r="AF4310">
        <v>-11.585569223881899</v>
      </c>
      <c r="AG4310">
        <v>-1.1250762542049999</v>
      </c>
      <c r="AH4310">
        <v>14.648601582900101</v>
      </c>
      <c r="AI4310">
        <v>93.447366947367499</v>
      </c>
      <c r="AJ4310">
        <v>128.34044879860201</v>
      </c>
      <c r="AK4310">
        <v>18.710230868529599</v>
      </c>
      <c r="AL4310">
        <v>88.452398305080607</v>
      </c>
      <c r="AM4310">
        <v>116.468612839313</v>
      </c>
      <c r="AN4310">
        <v>0.99999997084303505</v>
      </c>
    </row>
    <row r="4311" spans="1:40" x14ac:dyDescent="0.25">
      <c r="A4311" t="str">
        <f>"20190305135718373"</f>
        <v>20190305135718373</v>
      </c>
      <c r="B4311" t="str">
        <f>"1551765438366894"</f>
        <v>1551765438366894</v>
      </c>
      <c r="C4311" t="s">
        <v>40</v>
      </c>
      <c r="D4311">
        <v>6.1199940000000002</v>
      </c>
      <c r="E4311">
        <v>0.50754259999999995</v>
      </c>
      <c r="F4311" t="s">
        <v>78</v>
      </c>
      <c r="G4311">
        <v>-281.84809999999999</v>
      </c>
      <c r="H4311" s="1">
        <v>-5.3537260000000004E-6</v>
      </c>
      <c r="I4311">
        <v>-59.976939999999999</v>
      </c>
      <c r="J4311">
        <v>-298.8972</v>
      </c>
      <c r="K4311">
        <v>1.1252819999999999</v>
      </c>
      <c r="L4311">
        <v>-52.494450000000001</v>
      </c>
      <c r="M4311">
        <v>0.47929880000000002</v>
      </c>
      <c r="N4311">
        <v>-1.7121709999999998E-2</v>
      </c>
      <c r="O4311">
        <v>-0.87748479999999995</v>
      </c>
      <c r="P4311">
        <v>0.81034989999999996</v>
      </c>
      <c r="Q4311">
        <v>2.8006389999999999E-2</v>
      </c>
      <c r="R4311">
        <v>-0.58527709999999999</v>
      </c>
      <c r="S4311">
        <v>2.795166</v>
      </c>
      <c r="T4311">
        <v>-0.1818466</v>
      </c>
      <c r="U4311">
        <v>-1.278046</v>
      </c>
      <c r="V4311">
        <v>-0.43195149999999999</v>
      </c>
      <c r="W4311">
        <v>2.7038449999999999E-2</v>
      </c>
      <c r="X4311">
        <v>0.9014915</v>
      </c>
      <c r="Y4311">
        <v>-0.5973541</v>
      </c>
      <c r="Z4311">
        <v>4.8956939999999997E-2</v>
      </c>
      <c r="AA4311">
        <v>0.80048199999999903</v>
      </c>
      <c r="AB4311">
        <v>33</v>
      </c>
      <c r="AC4311">
        <v>17.049099999999999</v>
      </c>
      <c r="AD4311">
        <v>-1.125287353726</v>
      </c>
      <c r="AE4311">
        <v>-7.4824899999999896</v>
      </c>
      <c r="AF4311">
        <v>-11.3342432443139</v>
      </c>
      <c r="AG4311">
        <v>-1.125287353726</v>
      </c>
      <c r="AH4311">
        <v>14.685900149499099</v>
      </c>
      <c r="AI4311">
        <v>93.471252564412197</v>
      </c>
      <c r="AJ4311">
        <v>127.660142054242</v>
      </c>
      <c r="AK4311">
        <v>18.585128591182499</v>
      </c>
      <c r="AL4311">
        <v>88.450622183379096</v>
      </c>
      <c r="AM4311">
        <v>115.601506439236</v>
      </c>
      <c r="AN4311">
        <v>1.0000000503514499</v>
      </c>
    </row>
    <row r="4312" spans="1:40" x14ac:dyDescent="0.25">
      <c r="A4312" t="str">
        <f>"20190305135718406"</f>
        <v>20190305135718406</v>
      </c>
      <c r="B4312" t="str">
        <f>"1551765438396762"</f>
        <v>1551765438396762</v>
      </c>
      <c r="C4312" t="s">
        <v>40</v>
      </c>
      <c r="D4312">
        <v>4.5755839999999903</v>
      </c>
      <c r="E4312">
        <v>0.50754259999999995</v>
      </c>
      <c r="F4312" t="s">
        <v>41</v>
      </c>
      <c r="G4312">
        <v>-297.9991</v>
      </c>
      <c r="H4312">
        <v>1.0474049999999999</v>
      </c>
      <c r="I4312">
        <v>-53.184109999999997</v>
      </c>
      <c r="J4312">
        <v>-298.64839999999998</v>
      </c>
      <c r="K4312">
        <v>1.125462</v>
      </c>
      <c r="L4312">
        <v>-52.8992</v>
      </c>
      <c r="M4312">
        <v>0.50321300000000002</v>
      </c>
      <c r="N4312">
        <v>-1.7215640000000001E-2</v>
      </c>
      <c r="O4312">
        <v>-0.86399099999999995</v>
      </c>
      <c r="P4312">
        <v>0.81606140000000005</v>
      </c>
      <c r="Q4312">
        <v>2.5079569999999999E-2</v>
      </c>
      <c r="R4312">
        <v>-0.57742119999999997</v>
      </c>
      <c r="S4312">
        <v>2.386139</v>
      </c>
      <c r="T4312">
        <v>-0.2068807</v>
      </c>
      <c r="U4312">
        <v>-1.8319399999999999</v>
      </c>
      <c r="V4312">
        <v>-0.41582669999999999</v>
      </c>
      <c r="W4312">
        <v>2.4737519999999999E-2</v>
      </c>
      <c r="X4312">
        <v>0.90910740000000001</v>
      </c>
      <c r="Y4312">
        <v>-0.37744860000000002</v>
      </c>
      <c r="Z4312">
        <v>5.2923810000000002E-2</v>
      </c>
      <c r="AA4312">
        <v>0.92451700000000003</v>
      </c>
      <c r="AB4312">
        <v>33</v>
      </c>
      <c r="AC4312">
        <v>0.649299999999982</v>
      </c>
      <c r="AD4312">
        <v>-7.8057000000000196E-2</v>
      </c>
      <c r="AE4312">
        <v>-0.284909999999996</v>
      </c>
      <c r="AF4312">
        <v>-0.41267963052123102</v>
      </c>
      <c r="AG4312">
        <v>-7.8057000000000196E-2</v>
      </c>
      <c r="AH4312">
        <v>0.56612005782531305</v>
      </c>
      <c r="AI4312">
        <v>96.357644584977294</v>
      </c>
      <c r="AJ4312">
        <v>126.090602192638</v>
      </c>
      <c r="AK4312">
        <v>0.70490374702385805</v>
      </c>
      <c r="AL4312">
        <v>88.582499949639697</v>
      </c>
      <c r="AM4312">
        <v>114.579407440786</v>
      </c>
      <c r="AN4312">
        <v>1.00000002703169</v>
      </c>
    </row>
    <row r="4313" spans="1:40" x14ac:dyDescent="0.25">
      <c r="A4313" t="str">
        <f>"20190305135718439"</f>
        <v>20190305135718439</v>
      </c>
      <c r="B4313" t="str">
        <f>"1551765438436765"</f>
        <v>1551765438436765</v>
      </c>
      <c r="C4313" t="s">
        <v>40</v>
      </c>
      <c r="D4313">
        <v>4.5459189999999996</v>
      </c>
      <c r="E4313">
        <v>0.94935130000000001</v>
      </c>
      <c r="F4313" t="s">
        <v>78</v>
      </c>
      <c r="G4313">
        <v>-286.1302</v>
      </c>
      <c r="H4313" s="1">
        <v>-5.1175069999999997E-6</v>
      </c>
      <c r="I4313">
        <v>-62.307929999999999</v>
      </c>
      <c r="J4313">
        <v>-298.39249999999998</v>
      </c>
      <c r="K4313">
        <v>1.1256280000000001</v>
      </c>
      <c r="L4313">
        <v>-53.290280000000003</v>
      </c>
      <c r="M4313">
        <v>0.52674560000000004</v>
      </c>
      <c r="N4313">
        <v>-1.7302599999999901E-2</v>
      </c>
      <c r="O4313">
        <v>-0.84984689999999996</v>
      </c>
      <c r="P4313">
        <v>0.8212758</v>
      </c>
      <c r="Q4313">
        <v>2.5246520000000001E-2</v>
      </c>
      <c r="R4313">
        <v>-0.56997259999999905</v>
      </c>
      <c r="S4313">
        <v>2.404236</v>
      </c>
      <c r="T4313">
        <v>-0.21615670000000001</v>
      </c>
      <c r="U4313">
        <v>-1.807037</v>
      </c>
      <c r="V4313">
        <v>-0.39908749999999998</v>
      </c>
      <c r="W4313">
        <v>2.5583640000000001E-2</v>
      </c>
      <c r="X4313">
        <v>0.91655589999999998</v>
      </c>
      <c r="Y4313">
        <v>-0.36131259999999998</v>
      </c>
      <c r="Z4313">
        <v>5.5045040000000003E-2</v>
      </c>
      <c r="AA4313">
        <v>0.93081860000000005</v>
      </c>
      <c r="AB4313">
        <v>33</v>
      </c>
      <c r="AC4313">
        <v>12.2622999999999</v>
      </c>
      <c r="AD4313">
        <v>-1.125633117507</v>
      </c>
      <c r="AE4313">
        <v>-9.0176499999999997</v>
      </c>
      <c r="AF4313">
        <v>-5.6410685623505499</v>
      </c>
      <c r="AG4313">
        <v>-1.125633117507</v>
      </c>
      <c r="AH4313">
        <v>14.0480210733511</v>
      </c>
      <c r="AI4313">
        <v>94.2524920114286</v>
      </c>
      <c r="AJ4313">
        <v>111.878228558809</v>
      </c>
      <c r="AK4313">
        <v>15.180105418529999</v>
      </c>
      <c r="AL4313">
        <v>88.534005506254402</v>
      </c>
      <c r="AM4313">
        <v>113.529310695395</v>
      </c>
      <c r="AN4313">
        <v>1.0000000365583499</v>
      </c>
    </row>
    <row r="4314" spans="1:40" x14ac:dyDescent="0.25">
      <c r="A4314" t="str">
        <f>"20190305135718473"</f>
        <v>20190305135718473</v>
      </c>
      <c r="B4314" t="str">
        <f>"1551765438467025"</f>
        <v>1551765438467025</v>
      </c>
      <c r="C4314" t="s">
        <v>40</v>
      </c>
      <c r="D4314">
        <v>4.7378289999999996</v>
      </c>
      <c r="E4314">
        <v>0.94365659999999896</v>
      </c>
      <c r="F4314" t="s">
        <v>78</v>
      </c>
      <c r="G4314">
        <v>-298.0154</v>
      </c>
      <c r="H4314" s="1">
        <v>-7.11202599999999E-6</v>
      </c>
      <c r="I4314">
        <v>-58.000109999999999</v>
      </c>
      <c r="J4314">
        <v>-298.11799999999999</v>
      </c>
      <c r="K4314">
        <v>1.1258010000000001</v>
      </c>
      <c r="L4314">
        <v>-53.685969999999998</v>
      </c>
      <c r="M4314">
        <v>0.55093970000000003</v>
      </c>
      <c r="N4314">
        <v>-1.7388210000000001E-2</v>
      </c>
      <c r="O4314">
        <v>-0.83436390000000005</v>
      </c>
      <c r="P4314">
        <v>0.82804889999999998</v>
      </c>
      <c r="Q4314">
        <v>2.2697309999999998E-2</v>
      </c>
      <c r="R4314">
        <v>-0.56019659999999905</v>
      </c>
      <c r="S4314">
        <v>0.38146970000000002</v>
      </c>
      <c r="T4314">
        <v>-1.1386270000000001</v>
      </c>
      <c r="U4314">
        <v>-4.7641910000000003</v>
      </c>
      <c r="V4314">
        <v>-0.38354719999999998</v>
      </c>
      <c r="W4314">
        <v>2.3670199999999999E-2</v>
      </c>
      <c r="X4314">
        <v>0.92321790000000004</v>
      </c>
      <c r="Y4314">
        <v>0.481464</v>
      </c>
      <c r="Z4314">
        <v>0.14454620000000001</v>
      </c>
      <c r="AA4314">
        <v>0.86446449999999997</v>
      </c>
      <c r="AB4314">
        <v>33</v>
      </c>
      <c r="AC4314">
        <v>0.102599999999995</v>
      </c>
      <c r="AD4314">
        <v>-1.125808112026</v>
      </c>
      <c r="AE4314">
        <v>-4.3141400000000001</v>
      </c>
      <c r="AF4314">
        <v>2.1455449707171801</v>
      </c>
      <c r="AG4314">
        <v>-1.125808112026</v>
      </c>
      <c r="AH4314">
        <v>3.42362826111906</v>
      </c>
      <c r="AI4314">
        <v>105.56995419302299</v>
      </c>
      <c r="AJ4314">
        <v>57.925142837856001</v>
      </c>
      <c r="AK4314">
        <v>4.1942863036286004</v>
      </c>
      <c r="AL4314">
        <v>88.643670782198001</v>
      </c>
      <c r="AM4314">
        <v>112.560246960789</v>
      </c>
      <c r="AN4314">
        <v>1.00000001193814</v>
      </c>
    </row>
    <row r="4315" spans="1:40" x14ac:dyDescent="0.25">
      <c r="A4315" t="str">
        <f>"20190305135718506"</f>
        <v>20190305135718506</v>
      </c>
      <c r="B4315" t="str">
        <f>"1551765438496301"</f>
        <v>1551765438496301</v>
      </c>
      <c r="C4315" t="s">
        <v>40</v>
      </c>
      <c r="D4315">
        <v>4.5800890000000001</v>
      </c>
      <c r="E4315">
        <v>0.92674630000000002</v>
      </c>
      <c r="F4315" t="s">
        <v>78</v>
      </c>
      <c r="G4315">
        <v>-297.6671</v>
      </c>
      <c r="H4315" s="1">
        <v>-7.2069649999999999E-6</v>
      </c>
      <c r="I4315">
        <v>-58.262180000000001</v>
      </c>
      <c r="J4315">
        <v>-297.84010000000001</v>
      </c>
      <c r="K4315">
        <v>1.125939</v>
      </c>
      <c r="L4315">
        <v>-54.062100000000001</v>
      </c>
      <c r="M4315">
        <v>0.57433310000000004</v>
      </c>
      <c r="N4315">
        <v>-1.7469129999999999E-2</v>
      </c>
      <c r="O4315">
        <v>-0.81843540000000004</v>
      </c>
      <c r="P4315">
        <v>0.83332479999999998</v>
      </c>
      <c r="Q4315">
        <v>1.6545790000000001E-2</v>
      </c>
      <c r="R4315">
        <v>-0.55253649999999999</v>
      </c>
      <c r="S4315">
        <v>0.46463009999999899</v>
      </c>
      <c r="T4315">
        <v>-1.160072</v>
      </c>
      <c r="U4315">
        <v>-4.7154850000000001</v>
      </c>
      <c r="V4315">
        <v>-0.36575419999999997</v>
      </c>
      <c r="W4315">
        <v>1.827931E-2</v>
      </c>
      <c r="X4315">
        <v>0.93053200000000003</v>
      </c>
      <c r="Y4315">
        <v>0.49017909999999998</v>
      </c>
      <c r="Z4315">
        <v>0.14293889999999901</v>
      </c>
      <c r="AA4315">
        <v>0.85982139999999996</v>
      </c>
      <c r="AB4315">
        <v>32</v>
      </c>
      <c r="AC4315">
        <v>0.17300000000000099</v>
      </c>
      <c r="AD4315">
        <v>-1.1259462069649999</v>
      </c>
      <c r="AE4315">
        <v>-4.2000799999999998</v>
      </c>
      <c r="AF4315">
        <v>2.1189785519533602</v>
      </c>
      <c r="AG4315">
        <v>-1.1259462069649999</v>
      </c>
      <c r="AH4315">
        <v>3.30059616416957</v>
      </c>
      <c r="AI4315">
        <v>106.01701388710499</v>
      </c>
      <c r="AJ4315">
        <v>57.299588514590297</v>
      </c>
      <c r="AK4315">
        <v>4.0806568103123002</v>
      </c>
      <c r="AL4315">
        <v>88.952614388545101</v>
      </c>
      <c r="AM4315">
        <v>111.45776673889</v>
      </c>
      <c r="AN4315">
        <v>1.00000003550785</v>
      </c>
    </row>
    <row r="4316" spans="1:40" x14ac:dyDescent="0.25">
      <c r="A4316" t="str">
        <f>"20190305135718540"</f>
        <v>20190305135718540</v>
      </c>
      <c r="B4316" t="str">
        <f>"1551765438536570"</f>
        <v>1551765438536570</v>
      </c>
      <c r="C4316" t="s">
        <v>40</v>
      </c>
      <c r="D4316">
        <v>4.620031</v>
      </c>
      <c r="E4316">
        <v>0.91334709999999997</v>
      </c>
      <c r="F4316" t="s">
        <v>78</v>
      </c>
      <c r="G4316">
        <v>-297.28539999999998</v>
      </c>
      <c r="H4316" s="1">
        <v>-7.3329069999999997E-6</v>
      </c>
      <c r="I4316">
        <v>-58.390680000000003</v>
      </c>
      <c r="J4316">
        <v>-297.54730000000001</v>
      </c>
      <c r="K4316">
        <v>1.1260570000000001</v>
      </c>
      <c r="L4316">
        <v>-54.434939999999997</v>
      </c>
      <c r="M4316">
        <v>0.59788920000000001</v>
      </c>
      <c r="N4316">
        <v>-1.7546590000000001E-2</v>
      </c>
      <c r="O4316">
        <v>-0.80138679999999995</v>
      </c>
      <c r="P4316">
        <v>0.83663310000000002</v>
      </c>
      <c r="Q4316">
        <v>1.462867E-2</v>
      </c>
      <c r="R4316">
        <v>-0.54756859999999996</v>
      </c>
      <c r="S4316">
        <v>0.58694460000000004</v>
      </c>
      <c r="T4316">
        <v>-1.1913279999999999</v>
      </c>
      <c r="U4316">
        <v>-4.5799260000000004</v>
      </c>
      <c r="V4316">
        <v>-0.3441052</v>
      </c>
      <c r="W4316">
        <v>1.7321019999999999E-2</v>
      </c>
      <c r="X4316">
        <v>0.93877129999999998</v>
      </c>
      <c r="Y4316">
        <v>0.49020350000000001</v>
      </c>
      <c r="Z4316">
        <v>0.14546400000000001</v>
      </c>
      <c r="AA4316">
        <v>0.85938389999999998</v>
      </c>
      <c r="AB4316">
        <v>32</v>
      </c>
      <c r="AC4316">
        <v>0.261900000000025</v>
      </c>
      <c r="AD4316">
        <v>-1.1260643329069999</v>
      </c>
      <c r="AE4316">
        <v>-3.9557399999999898</v>
      </c>
      <c r="AF4316">
        <v>1.9946150969091101</v>
      </c>
      <c r="AG4316">
        <v>-1.1260643329069999</v>
      </c>
      <c r="AH4316">
        <v>3.07877798036886</v>
      </c>
      <c r="AI4316">
        <v>107.064444647721</v>
      </c>
      <c r="AJ4316">
        <v>57.062438444114001</v>
      </c>
      <c r="AK4316">
        <v>3.8373668210202698</v>
      </c>
      <c r="AL4316">
        <v>89.007529006637498</v>
      </c>
      <c r="AM4316">
        <v>110.13033448577001</v>
      </c>
      <c r="AN4316">
        <v>0.99999998005228496</v>
      </c>
    </row>
    <row r="4317" spans="1:40" x14ac:dyDescent="0.25">
      <c r="A4317" t="str">
        <f>"20190305135718573"</f>
        <v>20190305135718573</v>
      </c>
      <c r="B4317" t="str">
        <f>"1551765438566827"</f>
        <v>1551765438566827</v>
      </c>
      <c r="C4317" t="s">
        <v>40</v>
      </c>
      <c r="D4317">
        <v>4.5754460000000003</v>
      </c>
      <c r="E4317">
        <v>0.82252930000000002</v>
      </c>
      <c r="F4317" t="s">
        <v>78</v>
      </c>
      <c r="G4317">
        <v>-296.91730000000001</v>
      </c>
      <c r="H4317" s="1">
        <v>-7.4480539999999999E-6</v>
      </c>
      <c r="I4317">
        <v>-58.577460000000002</v>
      </c>
      <c r="J4317">
        <v>-297.24220000000003</v>
      </c>
      <c r="K4317">
        <v>1.1261509999999999</v>
      </c>
      <c r="L4317">
        <v>-54.801209999999998</v>
      </c>
      <c r="M4317">
        <v>0.62133570000000005</v>
      </c>
      <c r="N4317">
        <v>-1.761975E-2</v>
      </c>
      <c r="O4317">
        <v>-0.7833464</v>
      </c>
      <c r="P4317">
        <v>0.843900599999999</v>
      </c>
      <c r="Q4317">
        <v>1.5540760000000001E-2</v>
      </c>
      <c r="R4317">
        <v>-0.53627499999999995</v>
      </c>
      <c r="S4317">
        <v>0.68008419999999903</v>
      </c>
      <c r="T4317">
        <v>-1.2156629999999999</v>
      </c>
      <c r="U4317">
        <v>-4.472137</v>
      </c>
      <c r="V4317">
        <v>-0.32894299999999999</v>
      </c>
      <c r="W4317">
        <v>1.8905769999999999E-2</v>
      </c>
      <c r="X4317">
        <v>0.94416049999999996</v>
      </c>
      <c r="Y4317">
        <v>0.4955504</v>
      </c>
      <c r="Z4317">
        <v>0.1451858</v>
      </c>
      <c r="AA4317">
        <v>0.85635910000000004</v>
      </c>
      <c r="AB4317">
        <v>32</v>
      </c>
      <c r="AC4317">
        <v>0.32490000000001301</v>
      </c>
      <c r="AD4317">
        <v>-1.1261584480539999</v>
      </c>
      <c r="AE4317">
        <v>-3.7762499999999899</v>
      </c>
      <c r="AF4317">
        <v>1.9224185153406499</v>
      </c>
      <c r="AG4317">
        <v>-1.1261584480539999</v>
      </c>
      <c r="AH4317">
        <v>2.9040937194938001</v>
      </c>
      <c r="AI4317">
        <v>107.918846287912</v>
      </c>
      <c r="AJ4317">
        <v>56.496696377397598</v>
      </c>
      <c r="AK4317">
        <v>3.6602849793221401</v>
      </c>
      <c r="AL4317">
        <v>88.916714617777203</v>
      </c>
      <c r="AM4317">
        <v>109.20820041947501</v>
      </c>
      <c r="AN4317">
        <v>0.999999987574271</v>
      </c>
    </row>
    <row r="4318" spans="1:40" x14ac:dyDescent="0.25">
      <c r="A4318" t="str">
        <f>"20190305135718605"</f>
        <v>20190305135718605</v>
      </c>
      <c r="B4318" t="str">
        <f>"1551765438597086"</f>
        <v>1551765438597086</v>
      </c>
      <c r="C4318" t="s">
        <v>40</v>
      </c>
      <c r="D4318">
        <v>4.5951839999999997</v>
      </c>
      <c r="E4318">
        <v>0.80870299999999995</v>
      </c>
      <c r="F4318" t="s">
        <v>78</v>
      </c>
      <c r="G4318">
        <v>-296.00830000000002</v>
      </c>
      <c r="H4318" s="1">
        <v>-7.7375470000000003E-6</v>
      </c>
      <c r="I4318">
        <v>-58.988190000000003</v>
      </c>
      <c r="J4318">
        <v>-296.94130000000001</v>
      </c>
      <c r="K4318">
        <v>1.1262110000000001</v>
      </c>
      <c r="L4318">
        <v>-55.141390000000001</v>
      </c>
      <c r="M4318">
        <v>0.643397</v>
      </c>
      <c r="N4318">
        <v>-1.7684160000000001E-2</v>
      </c>
      <c r="O4318">
        <v>-0.76532860000000003</v>
      </c>
      <c r="P4318">
        <v>0.85092909999999899</v>
      </c>
      <c r="Q4318">
        <v>1.2152090000000001E-2</v>
      </c>
      <c r="R4318">
        <v>-0.52514059999999996</v>
      </c>
      <c r="S4318">
        <v>1.1323240000000001</v>
      </c>
      <c r="T4318">
        <v>-1.0334299999999901</v>
      </c>
      <c r="U4318">
        <v>-3.8422239999999999</v>
      </c>
      <c r="V4318">
        <v>-0.31433309999999998</v>
      </c>
      <c r="W4318">
        <v>1.6177730000000001E-2</v>
      </c>
      <c r="X4318">
        <v>0.94917490000000004</v>
      </c>
      <c r="Y4318">
        <v>0.40250390000000003</v>
      </c>
      <c r="Z4318">
        <v>0.1427784</v>
      </c>
      <c r="AA4318">
        <v>0.90421510000000005</v>
      </c>
      <c r="AB4318">
        <v>32</v>
      </c>
      <c r="AC4318">
        <v>0.93299999999999195</v>
      </c>
      <c r="AD4318">
        <v>-1.1262187375470001</v>
      </c>
      <c r="AE4318">
        <v>-3.8468</v>
      </c>
      <c r="AF4318">
        <v>1.6293460360291101</v>
      </c>
      <c r="AG4318">
        <v>-1.1262187375470001</v>
      </c>
      <c r="AH4318">
        <v>3.2794358170934901</v>
      </c>
      <c r="AI4318">
        <v>107.095326433119</v>
      </c>
      <c r="AJ4318">
        <v>63.5800996417031</v>
      </c>
      <c r="AK4318">
        <v>3.8311664579291498</v>
      </c>
      <c r="AL4318">
        <v>89.0730439157105</v>
      </c>
      <c r="AM4318">
        <v>108.323041397476</v>
      </c>
      <c r="AN4318">
        <v>1.00000000374678</v>
      </c>
    </row>
    <row r="4319" spans="1:40" x14ac:dyDescent="0.25">
      <c r="A4319" t="str">
        <f>"20190305135718640"</f>
        <v>20190305135718640</v>
      </c>
      <c r="B4319" t="str">
        <f>"1551765438637099"</f>
        <v>1551765438637099</v>
      </c>
      <c r="C4319" t="s">
        <v>40</v>
      </c>
      <c r="D4319">
        <v>4.5593360000000001</v>
      </c>
      <c r="E4319">
        <v>0.88504179999999999</v>
      </c>
      <c r="F4319" t="s">
        <v>78</v>
      </c>
      <c r="G4319">
        <v>-295.57900000000001</v>
      </c>
      <c r="H4319" s="1">
        <v>-7.8682259999999998E-6</v>
      </c>
      <c r="I4319">
        <v>-59.242330000000003</v>
      </c>
      <c r="J4319">
        <v>-296.62180000000001</v>
      </c>
      <c r="K4319">
        <v>1.1262620000000001</v>
      </c>
      <c r="L4319">
        <v>-55.481450000000002</v>
      </c>
      <c r="M4319">
        <v>0.66571749999999996</v>
      </c>
      <c r="N4319">
        <v>-1.7741670000000001E-2</v>
      </c>
      <c r="O4319">
        <v>-0.74599309999999996</v>
      </c>
      <c r="P4319">
        <v>0.85716119999999996</v>
      </c>
      <c r="Q4319">
        <v>6.9681219999999898E-3</v>
      </c>
      <c r="R4319">
        <v>-0.51500119999999905</v>
      </c>
      <c r="S4319">
        <v>1.2387699999999999</v>
      </c>
      <c r="T4319">
        <v>-1.024124</v>
      </c>
      <c r="U4319">
        <v>-3.729187</v>
      </c>
      <c r="V4319">
        <v>-0.29736679999999999</v>
      </c>
      <c r="W4319">
        <v>1.177314E-2</v>
      </c>
      <c r="X4319">
        <v>0.95469079999999995</v>
      </c>
      <c r="Y4319">
        <v>0.39853559999999999</v>
      </c>
      <c r="Z4319">
        <v>0.13889699999999999</v>
      </c>
      <c r="AA4319">
        <v>0.90657430000000006</v>
      </c>
      <c r="AB4319">
        <v>32</v>
      </c>
      <c r="AC4319">
        <v>1.04279999999999</v>
      </c>
      <c r="AD4319">
        <v>-1.1262698682259999</v>
      </c>
      <c r="AE4319">
        <v>-3.7608799999999998</v>
      </c>
      <c r="AF4319">
        <v>1.59334088083949</v>
      </c>
      <c r="AG4319">
        <v>-1.1262698682259999</v>
      </c>
      <c r="AH4319">
        <v>3.23125408126216</v>
      </c>
      <c r="AI4319">
        <v>107.36001551749</v>
      </c>
      <c r="AJ4319">
        <v>63.751958206036498</v>
      </c>
      <c r="AK4319">
        <v>3.7746816973490001</v>
      </c>
      <c r="AL4319">
        <v>89.325433231139598</v>
      </c>
      <c r="AM4319">
        <v>107.30075104384299</v>
      </c>
      <c r="AN4319">
        <v>1.0000000720861599</v>
      </c>
    </row>
    <row r="4320" spans="1:40" x14ac:dyDescent="0.25">
      <c r="A4320" t="str">
        <f>"20190305135718674"</f>
        <v>20190305135718674</v>
      </c>
      <c r="B4320" t="str">
        <f>"1551765438667355"</f>
        <v>1551765438667355</v>
      </c>
      <c r="C4320" t="s">
        <v>40</v>
      </c>
      <c r="D4320">
        <v>4.5297989999999997</v>
      </c>
      <c r="E4320">
        <v>0.86873129999999998</v>
      </c>
      <c r="F4320" t="s">
        <v>78</v>
      </c>
      <c r="G4320">
        <v>-295.73169999999999</v>
      </c>
      <c r="H4320" s="1">
        <v>-7.7988659999999995E-6</v>
      </c>
      <c r="I4320">
        <v>-59.3812</v>
      </c>
      <c r="J4320">
        <v>-296.28469999999999</v>
      </c>
      <c r="K4320">
        <v>1.126342</v>
      </c>
      <c r="L4320">
        <v>-55.819760000000002</v>
      </c>
      <c r="M4320">
        <v>0.68811020000000001</v>
      </c>
      <c r="N4320">
        <v>-1.779273E-2</v>
      </c>
      <c r="O4320">
        <v>-0.72538809999999998</v>
      </c>
      <c r="P4320">
        <v>0.86390419999999901</v>
      </c>
      <c r="Q4320">
        <v>8.1425500000000001E-3</v>
      </c>
      <c r="R4320">
        <v>-0.50359019999999999</v>
      </c>
      <c r="S4320">
        <v>0.96630859999999996</v>
      </c>
      <c r="T4320">
        <v>-1.2226549999999901</v>
      </c>
      <c r="U4320">
        <v>-4.2334899999999998</v>
      </c>
      <c r="V4320">
        <v>-0.28098339999999999</v>
      </c>
      <c r="W4320">
        <v>1.371466E-2</v>
      </c>
      <c r="X4320">
        <v>0.95961459999999998</v>
      </c>
      <c r="Y4320">
        <v>0.5082989</v>
      </c>
      <c r="Z4320">
        <v>0.1310279</v>
      </c>
      <c r="AA4320">
        <v>0.85115439999999998</v>
      </c>
      <c r="AB4320">
        <v>32</v>
      </c>
      <c r="AC4320">
        <v>0.55299999999999705</v>
      </c>
      <c r="AD4320">
        <v>-1.1263497988660001</v>
      </c>
      <c r="AE4320">
        <v>-3.5614400000000002</v>
      </c>
      <c r="AF4320">
        <v>1.8674585288952501</v>
      </c>
      <c r="AG4320">
        <v>-1.1263497988660001</v>
      </c>
      <c r="AH4320">
        <v>2.7006548762952201</v>
      </c>
      <c r="AI4320">
        <v>108.934028744654</v>
      </c>
      <c r="AJ4320">
        <v>55.3367778721639</v>
      </c>
      <c r="AK4320">
        <v>3.4712536622099899</v>
      </c>
      <c r="AL4320">
        <v>89.214183206737601</v>
      </c>
      <c r="AM4320">
        <v>106.320484175389</v>
      </c>
      <c r="AN4320">
        <v>0.99999997175381705</v>
      </c>
    </row>
    <row r="4321" spans="1:40" x14ac:dyDescent="0.25">
      <c r="A4321" t="str">
        <f>"20190305135718706"</f>
        <v>20190305135718706</v>
      </c>
      <c r="B4321" t="str">
        <f>"1551765438696638"</f>
        <v>1551765438696638</v>
      </c>
      <c r="C4321" t="s">
        <v>40</v>
      </c>
      <c r="D4321">
        <v>4.5297169999999998</v>
      </c>
      <c r="E4321">
        <v>0.85011939999999997</v>
      </c>
      <c r="F4321" t="s">
        <v>78</v>
      </c>
      <c r="G4321">
        <v>-295.25959999999998</v>
      </c>
      <c r="H4321" s="1">
        <v>-7.9425060000000004E-6</v>
      </c>
      <c r="I4321">
        <v>-59.661529999999999</v>
      </c>
      <c r="J4321">
        <v>-295.9579</v>
      </c>
      <c r="K4321">
        <v>1.1263879999999999</v>
      </c>
      <c r="L4321">
        <v>-56.128509999999999</v>
      </c>
      <c r="M4321">
        <v>0.70871569999999995</v>
      </c>
      <c r="N4321">
        <v>-1.783881E-2</v>
      </c>
      <c r="O4321">
        <v>-0.70526869999999997</v>
      </c>
      <c r="P4321">
        <v>0.87171449999999995</v>
      </c>
      <c r="Q4321">
        <v>1.4314510000000001E-2</v>
      </c>
      <c r="R4321">
        <v>-0.48980479999999998</v>
      </c>
      <c r="S4321">
        <v>1.0939939999999999</v>
      </c>
      <c r="T4321">
        <v>-1.202035</v>
      </c>
      <c r="U4321">
        <v>-4.0999150000000002</v>
      </c>
      <c r="V4321">
        <v>-0.26877079999999998</v>
      </c>
      <c r="W4321">
        <v>2.0477120000000001E-2</v>
      </c>
      <c r="X4321">
        <v>0.96298649999999997</v>
      </c>
      <c r="Y4321">
        <v>0.501942</v>
      </c>
      <c r="Z4321">
        <v>0.12590309999999999</v>
      </c>
      <c r="AA4321">
        <v>0.85568840000000002</v>
      </c>
      <c r="AB4321">
        <v>32</v>
      </c>
      <c r="AC4321">
        <v>0.69830000000001702</v>
      </c>
      <c r="AD4321">
        <v>-1.1263959425059999</v>
      </c>
      <c r="AE4321">
        <v>-3.53302</v>
      </c>
      <c r="AF4321">
        <v>1.8324767238245601</v>
      </c>
      <c r="AG4321">
        <v>-1.1263959425059999</v>
      </c>
      <c r="AH4321">
        <v>2.7209267879194998</v>
      </c>
      <c r="AI4321">
        <v>108.950693628312</v>
      </c>
      <c r="AJ4321">
        <v>56.040710915168603</v>
      </c>
      <c r="AK4321">
        <v>3.4684551817589799</v>
      </c>
      <c r="AL4321">
        <v>88.826665470721494</v>
      </c>
      <c r="AM4321">
        <v>105.594487951437</v>
      </c>
      <c r="AN4321">
        <v>1.00000002727919</v>
      </c>
    </row>
    <row r="4322" spans="1:40" x14ac:dyDescent="0.25">
      <c r="A4322" t="str">
        <f>"20190305135718741"</f>
        <v>20190305135718741</v>
      </c>
      <c r="B4322" t="str">
        <f>"1551765438736652"</f>
        <v>1551765438736652</v>
      </c>
      <c r="C4322" t="s">
        <v>40</v>
      </c>
      <c r="D4322">
        <v>4.4676109999999998</v>
      </c>
      <c r="E4322">
        <v>0.7902053</v>
      </c>
      <c r="F4322" t="s">
        <v>78</v>
      </c>
      <c r="G4322">
        <v>-294.72719999999998</v>
      </c>
      <c r="H4322" s="1">
        <v>-8.0958910000000002E-6</v>
      </c>
      <c r="I4322">
        <v>-60.063740000000003</v>
      </c>
      <c r="J4322">
        <v>-295.60469999999998</v>
      </c>
      <c r="K4322">
        <v>1.1263920000000001</v>
      </c>
      <c r="L4322">
        <v>-56.442169999999997</v>
      </c>
      <c r="M4322">
        <v>0.7298076</v>
      </c>
      <c r="N4322">
        <v>-1.7891560000000001E-2</v>
      </c>
      <c r="O4322">
        <v>-0.68341839999999998</v>
      </c>
      <c r="P4322">
        <v>0.88071160000000004</v>
      </c>
      <c r="Q4322">
        <v>1.4316399999999899E-2</v>
      </c>
      <c r="R4322">
        <v>-0.47343649999999998</v>
      </c>
      <c r="S4322">
        <v>1.2372129999999999</v>
      </c>
      <c r="T4322">
        <v>-1.1323639999999999</v>
      </c>
      <c r="U4322">
        <v>-3.9560849999999999</v>
      </c>
      <c r="V4322">
        <v>-0.25750010000000001</v>
      </c>
      <c r="W4322">
        <v>2.104491E-2</v>
      </c>
      <c r="X4322">
        <v>0.96604909999999999</v>
      </c>
      <c r="Y4322">
        <v>0.49174990000000002</v>
      </c>
      <c r="Z4322">
        <v>0.1154008</v>
      </c>
      <c r="AA4322">
        <v>0.86305540000000003</v>
      </c>
      <c r="AB4322">
        <v>32</v>
      </c>
      <c r="AC4322">
        <v>0.87749999999999695</v>
      </c>
      <c r="AD4322">
        <v>-1.1264000958910001</v>
      </c>
      <c r="AE4322">
        <v>-3.6215700000000002</v>
      </c>
      <c r="AF4322">
        <v>1.8725750865358699</v>
      </c>
      <c r="AG4322">
        <v>-1.1264000958910001</v>
      </c>
      <c r="AH4322">
        <v>2.85507721318407</v>
      </c>
      <c r="AI4322">
        <v>108.257655192361</v>
      </c>
      <c r="AJ4322">
        <v>56.740114228653802</v>
      </c>
      <c r="AK4322">
        <v>3.5953832235216598</v>
      </c>
      <c r="AL4322">
        <v>88.794126486563798</v>
      </c>
      <c r="AM4322">
        <v>104.925160347876</v>
      </c>
      <c r="AN4322">
        <v>1.00000002667386</v>
      </c>
    </row>
    <row r="4323" spans="1:40" x14ac:dyDescent="0.25">
      <c r="A4323" t="str">
        <f>"20190305135718763"</f>
        <v>20190305135718763</v>
      </c>
      <c r="B4323" t="str">
        <f>"1551765438757147"</f>
        <v>1551765438757147</v>
      </c>
      <c r="C4323" t="s">
        <v>40</v>
      </c>
      <c r="D4323">
        <v>4.4782909999999996</v>
      </c>
      <c r="E4323">
        <v>0.78366199999999997</v>
      </c>
      <c r="F4323" t="s">
        <v>78</v>
      </c>
      <c r="G4323">
        <v>-293.86660000000001</v>
      </c>
      <c r="H4323" s="1">
        <v>-1.10065E-5</v>
      </c>
      <c r="I4323">
        <v>-60.407290000000003</v>
      </c>
      <c r="J4323">
        <v>-295.36770000000001</v>
      </c>
      <c r="K4323">
        <v>1.126387</v>
      </c>
      <c r="L4323">
        <v>-56.64246</v>
      </c>
      <c r="M4323">
        <v>0.74332149999999997</v>
      </c>
      <c r="N4323">
        <v>-1.7923430000000001E-2</v>
      </c>
      <c r="O4323">
        <v>-0.66869429999999996</v>
      </c>
      <c r="P4323">
        <v>0.888462999999999</v>
      </c>
      <c r="Q4323">
        <v>1.3459789999999999E-2</v>
      </c>
      <c r="R4323">
        <v>-0.45875139999999998</v>
      </c>
      <c r="S4323">
        <v>1.537323</v>
      </c>
      <c r="T4323">
        <v>-0.99625799999999998</v>
      </c>
      <c r="U4323">
        <v>-3.5069889999999999</v>
      </c>
      <c r="V4323">
        <v>-0.25420199999999998</v>
      </c>
      <c r="W4323">
        <v>2.037653E-2</v>
      </c>
      <c r="X4323">
        <v>0.96693649999999998</v>
      </c>
      <c r="Y4323">
        <v>0.41360180000000002</v>
      </c>
      <c r="Z4323">
        <v>0.1143618</v>
      </c>
      <c r="AA4323">
        <v>0.90324689999999996</v>
      </c>
      <c r="AB4323">
        <v>32</v>
      </c>
      <c r="AC4323">
        <v>1.5011000000000001</v>
      </c>
      <c r="AD4323">
        <v>-1.1263980065000001</v>
      </c>
      <c r="AE4323">
        <v>-3.7648299999999999</v>
      </c>
      <c r="AF4323">
        <v>1.66629271151768</v>
      </c>
      <c r="AG4323">
        <v>-1.1263980065000001</v>
      </c>
      <c r="AH4323">
        <v>3.3733593895964802</v>
      </c>
      <c r="AI4323">
        <v>106.666558112014</v>
      </c>
      <c r="AJ4323">
        <v>63.712632730685698</v>
      </c>
      <c r="AK4323">
        <v>3.9274492283010898</v>
      </c>
      <c r="AL4323">
        <v>88.8324300559524</v>
      </c>
      <c r="AM4323">
        <v>104.729431992152</v>
      </c>
      <c r="AN4323">
        <v>1.0000000274055401</v>
      </c>
    </row>
    <row r="4324" spans="1:40" x14ac:dyDescent="0.25">
      <c r="A4324" t="str">
        <f>"20190305135718785"</f>
        <v>20190305135718785</v>
      </c>
      <c r="B4324" t="str">
        <f>"1551765438776667"</f>
        <v>1551765438776667</v>
      </c>
      <c r="C4324" t="s">
        <v>40</v>
      </c>
      <c r="D4324">
        <v>4.4951730000000003</v>
      </c>
      <c r="E4324">
        <v>0.77832849999999998</v>
      </c>
      <c r="F4324" t="s">
        <v>78</v>
      </c>
      <c r="G4324">
        <v>-293.51420000000002</v>
      </c>
      <c r="H4324" s="1">
        <v>-1.09348399999999E-5</v>
      </c>
      <c r="I4324">
        <v>-60.573149999999998</v>
      </c>
      <c r="J4324">
        <v>-295.13470000000001</v>
      </c>
      <c r="K4324">
        <v>1.1263780000000001</v>
      </c>
      <c r="L4324">
        <v>-56.831539999999997</v>
      </c>
      <c r="M4324">
        <v>0.75611640000000002</v>
      </c>
      <c r="N4324">
        <v>-1.7949110000000001E-2</v>
      </c>
      <c r="O4324">
        <v>-0.65419119999999997</v>
      </c>
      <c r="P4324">
        <v>0.89675049999999901</v>
      </c>
      <c r="Q4324">
        <v>1.4142699999999999E-2</v>
      </c>
      <c r="R4324">
        <v>-0.4423107</v>
      </c>
      <c r="S4324">
        <v>1.6188659999999999</v>
      </c>
      <c r="T4324">
        <v>-0.98379729999999999</v>
      </c>
      <c r="U4324">
        <v>-3.4330750000000001</v>
      </c>
      <c r="V4324">
        <v>-0.25332830000000001</v>
      </c>
      <c r="W4324">
        <v>2.113835E-2</v>
      </c>
      <c r="X4324">
        <v>0.96714940000000005</v>
      </c>
      <c r="Y4324">
        <v>0.40624549999999998</v>
      </c>
      <c r="Z4324">
        <v>0.11060830000000001</v>
      </c>
      <c r="AA4324">
        <v>0.90704490000000004</v>
      </c>
      <c r="AB4324">
        <v>32</v>
      </c>
      <c r="AC4324">
        <v>1.6204999999999901</v>
      </c>
      <c r="AD4324">
        <v>-1.12638893484</v>
      </c>
      <c r="AE4324">
        <v>-3.7416099999999899</v>
      </c>
      <c r="AF4324">
        <v>1.64381628130825</v>
      </c>
      <c r="AG4324">
        <v>-1.12638893484</v>
      </c>
      <c r="AH4324">
        <v>3.41313976514988</v>
      </c>
      <c r="AI4324">
        <v>106.55874432129499</v>
      </c>
      <c r="AJ4324">
        <v>64.283877446183098</v>
      </c>
      <c r="AK4324">
        <v>3.9522660659008602</v>
      </c>
      <c r="AL4324">
        <v>88.788771557253199</v>
      </c>
      <c r="AM4324">
        <v>104.677904766884</v>
      </c>
      <c r="AN4324">
        <v>1.00000000967098</v>
      </c>
    </row>
    <row r="4325" spans="1:40" x14ac:dyDescent="0.25">
      <c r="A4325" t="str">
        <f>"20190305135718807"</f>
        <v>20190305135718807</v>
      </c>
      <c r="B4325" t="str">
        <f>"1551765438797163"</f>
        <v>1551765438797163</v>
      </c>
      <c r="C4325" t="s">
        <v>40</v>
      </c>
      <c r="D4325">
        <v>4.3695769999999996</v>
      </c>
      <c r="E4325">
        <v>0.77676060000000002</v>
      </c>
      <c r="F4325" t="s">
        <v>78</v>
      </c>
      <c r="G4325">
        <v>-293.1748</v>
      </c>
      <c r="H4325" s="1">
        <v>-1.0858859999999999E-5</v>
      </c>
      <c r="I4325">
        <v>-60.701430000000002</v>
      </c>
      <c r="J4325">
        <v>-294.89909999999998</v>
      </c>
      <c r="K4325">
        <v>1.1263510000000001</v>
      </c>
      <c r="L4325">
        <v>-57.015320000000003</v>
      </c>
      <c r="M4325">
        <v>0.76857339999999996</v>
      </c>
      <c r="N4325">
        <v>-1.7968410000000001E-2</v>
      </c>
      <c r="O4325">
        <v>-0.63950940000000001</v>
      </c>
      <c r="P4325">
        <v>0.9053099</v>
      </c>
      <c r="Q4325">
        <v>1.507181E-2</v>
      </c>
      <c r="R4325">
        <v>-0.42448439999999998</v>
      </c>
      <c r="S4325">
        <v>1.702637</v>
      </c>
      <c r="T4325">
        <v>-0.97852490000000003</v>
      </c>
      <c r="U4325">
        <v>-3.3618769999999998</v>
      </c>
      <c r="V4325">
        <v>-0.25386350000000002</v>
      </c>
      <c r="W4325">
        <v>2.2083220000000001E-2</v>
      </c>
      <c r="X4325">
        <v>0.96698790000000001</v>
      </c>
      <c r="Y4325">
        <v>0.39819680000000002</v>
      </c>
      <c r="Z4325">
        <v>0.1076198</v>
      </c>
      <c r="AA4325">
        <v>0.91096500000000002</v>
      </c>
      <c r="AB4325">
        <v>31</v>
      </c>
      <c r="AC4325">
        <v>1.72429999999997</v>
      </c>
      <c r="AD4325">
        <v>-1.12636185886</v>
      </c>
      <c r="AE4325">
        <v>-3.6861100000000002</v>
      </c>
      <c r="AF4325">
        <v>1.6074725211345999</v>
      </c>
      <c r="AG4325">
        <v>-1.12636185886</v>
      </c>
      <c r="AH4325">
        <v>3.42106337601364</v>
      </c>
      <c r="AI4325">
        <v>106.59338439900699</v>
      </c>
      <c r="AJ4325">
        <v>64.832336860062298</v>
      </c>
      <c r="AK4325">
        <v>3.9441518183253601</v>
      </c>
      <c r="AL4325">
        <v>88.734621798746204</v>
      </c>
      <c r="AM4325">
        <v>104.709921190906</v>
      </c>
      <c r="AN4325">
        <v>0.99999997199211299</v>
      </c>
    </row>
    <row r="4326" spans="1:40" x14ac:dyDescent="0.25">
      <c r="A4326" t="str">
        <f>"20190305135718830"</f>
        <v>20190305135718830</v>
      </c>
      <c r="B4326" t="str">
        <f>"1551765438826443"</f>
        <v>1551765438826443</v>
      </c>
      <c r="C4326" t="s">
        <v>40</v>
      </c>
      <c r="D4326">
        <v>4.3734869999999999</v>
      </c>
      <c r="E4326">
        <v>0.77362779999999998</v>
      </c>
      <c r="F4326" t="s">
        <v>78</v>
      </c>
      <c r="G4326">
        <v>-292.8492</v>
      </c>
      <c r="H4326" s="1">
        <v>-1.078968E-5</v>
      </c>
      <c r="I4326">
        <v>-60.8412199999999</v>
      </c>
      <c r="J4326">
        <v>-294.65269999999998</v>
      </c>
      <c r="K4326">
        <v>1.1262920000000001</v>
      </c>
      <c r="L4326">
        <v>-57.199829999999999</v>
      </c>
      <c r="M4326">
        <v>0.78109259999999903</v>
      </c>
      <c r="N4326">
        <v>-1.798056E-2</v>
      </c>
      <c r="O4326">
        <v>-0.62415639999999994</v>
      </c>
      <c r="P4326">
        <v>0.91494359999999997</v>
      </c>
      <c r="Q4326">
        <v>1.505711E-2</v>
      </c>
      <c r="R4326">
        <v>-0.40330139999999998</v>
      </c>
      <c r="S4326">
        <v>1.775879</v>
      </c>
      <c r="T4326">
        <v>-0.97582440000000004</v>
      </c>
      <c r="U4326">
        <v>-3.314575</v>
      </c>
      <c r="V4326">
        <v>-0.25720340000000003</v>
      </c>
      <c r="W4326">
        <v>2.195832E-2</v>
      </c>
      <c r="X4326">
        <v>0.96610779999999996</v>
      </c>
      <c r="Y4326">
        <v>0.39514510000000003</v>
      </c>
      <c r="Z4326">
        <v>0.1036146</v>
      </c>
      <c r="AA4326">
        <v>0.91275649999999997</v>
      </c>
      <c r="AB4326">
        <v>31</v>
      </c>
      <c r="AC4326">
        <v>1.8034999999999799</v>
      </c>
      <c r="AD4326">
        <v>-1.12630278968</v>
      </c>
      <c r="AE4326">
        <v>-3.6413899999999799</v>
      </c>
      <c r="AF4326">
        <v>1.5962432633728101</v>
      </c>
      <c r="AG4326">
        <v>-1.12630278968</v>
      </c>
      <c r="AH4326">
        <v>3.4193975442801698</v>
      </c>
      <c r="AI4326">
        <v>106.61861720770101</v>
      </c>
      <c r="AJ4326">
        <v>64.975891296306997</v>
      </c>
      <c r="AK4326">
        <v>3.9381252006168199</v>
      </c>
      <c r="AL4326">
        <v>88.741779836687996</v>
      </c>
      <c r="AM4326">
        <v>104.907863803796</v>
      </c>
      <c r="AN4326">
        <v>1.0000000190048099</v>
      </c>
    </row>
    <row r="4327" spans="1:40" x14ac:dyDescent="0.25">
      <c r="A4327" t="str">
        <f>"20190305135718852"</f>
        <v>20190305135718852</v>
      </c>
      <c r="B4327" t="str">
        <f>"1551765438846939"</f>
        <v>1551765438846939</v>
      </c>
      <c r="C4327" t="s">
        <v>40</v>
      </c>
      <c r="D4327">
        <v>5.2335859999999998</v>
      </c>
      <c r="E4327">
        <v>0.77362779999999998</v>
      </c>
      <c r="F4327" t="s">
        <v>78</v>
      </c>
      <c r="G4327">
        <v>-292.49680000000001</v>
      </c>
      <c r="H4327" s="1">
        <v>-1.070723E-5</v>
      </c>
      <c r="I4327">
        <v>-60.958410000000001</v>
      </c>
      <c r="J4327">
        <v>-294.39620000000002</v>
      </c>
      <c r="K4327">
        <v>1.126225</v>
      </c>
      <c r="L4327">
        <v>-57.383209999999998</v>
      </c>
      <c r="M4327">
        <v>0.7935681</v>
      </c>
      <c r="N4327">
        <v>-1.7990510000000001E-2</v>
      </c>
      <c r="O4327">
        <v>-0.60821530000000001</v>
      </c>
      <c r="P4327">
        <v>0.92540169999999999</v>
      </c>
      <c r="Q4327">
        <v>1.365242E-2</v>
      </c>
      <c r="R4327">
        <v>-0.37874180000000002</v>
      </c>
      <c r="S4327">
        <v>1.863129</v>
      </c>
      <c r="T4327">
        <v>-0.97335260000000001</v>
      </c>
      <c r="U4327">
        <v>-3.2481689999999999</v>
      </c>
      <c r="V4327">
        <v>-0.263372</v>
      </c>
      <c r="W4327">
        <v>2.0321229999999999E-2</v>
      </c>
      <c r="X4327">
        <v>0.96448029999999996</v>
      </c>
      <c r="Y4327">
        <v>0.38722250000000003</v>
      </c>
      <c r="Z4327">
        <v>0.1003288</v>
      </c>
      <c r="AA4327">
        <v>0.91651119999999997</v>
      </c>
      <c r="AB4327">
        <v>31</v>
      </c>
      <c r="AC4327">
        <v>1.89940000000001</v>
      </c>
      <c r="AD4327">
        <v>-1.12623570723</v>
      </c>
      <c r="AE4327">
        <v>-3.5752000000000002</v>
      </c>
      <c r="AF4327">
        <v>1.5613591280528401</v>
      </c>
      <c r="AG4327">
        <v>-1.12623570723</v>
      </c>
      <c r="AH4327">
        <v>3.4178806231815999</v>
      </c>
      <c r="AI4327">
        <v>106.684527116943</v>
      </c>
      <c r="AJ4327">
        <v>65.448091099119594</v>
      </c>
      <c r="AK4327">
        <v>3.9227741649646402</v>
      </c>
      <c r="AL4327">
        <v>88.835599143660005</v>
      </c>
      <c r="AM4327">
        <v>105.273469899285</v>
      </c>
      <c r="AN4327">
        <v>1.0000000059303999</v>
      </c>
    </row>
    <row r="4328" spans="1:40" x14ac:dyDescent="0.25">
      <c r="A4328" t="str">
        <f>"20190305135718875"</f>
        <v>20190305135718875</v>
      </c>
      <c r="B4328" t="str">
        <f>"1551765438866459"</f>
        <v>1551765438866459</v>
      </c>
      <c r="C4328" t="s">
        <v>40</v>
      </c>
      <c r="D4328">
        <v>4.6306799999999999</v>
      </c>
      <c r="E4328">
        <v>0.53222000000000003</v>
      </c>
      <c r="F4328" t="s">
        <v>78</v>
      </c>
      <c r="G4328">
        <v>-292.15089999999998</v>
      </c>
      <c r="H4328" s="1">
        <v>-1.062523E-5</v>
      </c>
      <c r="I4328">
        <v>-61.068370000000002</v>
      </c>
      <c r="J4328">
        <v>-294.1499</v>
      </c>
      <c r="K4328">
        <v>1.1261589999999999</v>
      </c>
      <c r="L4328">
        <v>-57.552219999999998</v>
      </c>
      <c r="M4328">
        <v>0.80506499999999903</v>
      </c>
      <c r="N4328">
        <v>-1.7999129999999999E-2</v>
      </c>
      <c r="O4328">
        <v>-0.59291329999999998</v>
      </c>
      <c r="P4328">
        <v>0.93489160000000004</v>
      </c>
      <c r="Q4328">
        <v>1.325084E-2</v>
      </c>
      <c r="R4328">
        <v>-0.3546861</v>
      </c>
      <c r="S4328">
        <v>1.9478150000000001</v>
      </c>
      <c r="T4328">
        <v>-0.97703289999999998</v>
      </c>
      <c r="U4328">
        <v>-3.1969599999999998</v>
      </c>
      <c r="V4328">
        <v>-0.2698256</v>
      </c>
      <c r="W4328">
        <v>1.96781E-2</v>
      </c>
      <c r="X4328">
        <v>0.96270809999999996</v>
      </c>
      <c r="Y4328">
        <v>0.38051770000000001</v>
      </c>
      <c r="Z4328">
        <v>9.7359050000000003E-2</v>
      </c>
      <c r="AA4328">
        <v>0.91963450000000002</v>
      </c>
      <c r="AB4328">
        <v>31</v>
      </c>
      <c r="AC4328">
        <v>1.9990000000000201</v>
      </c>
      <c r="AD4328">
        <v>-1.12616962523</v>
      </c>
      <c r="AE4328">
        <v>-3.5161499999999899</v>
      </c>
      <c r="AF4328">
        <v>1.5273540397665999</v>
      </c>
      <c r="AG4328">
        <v>-1.12616962523</v>
      </c>
      <c r="AH4328">
        <v>3.42887211891497</v>
      </c>
      <c r="AI4328">
        <v>106.70024110130601</v>
      </c>
      <c r="AJ4328">
        <v>65.989934783991004</v>
      </c>
      <c r="AK4328">
        <v>3.9189580752356199</v>
      </c>
      <c r="AL4328">
        <v>88.8724551256268</v>
      </c>
      <c r="AM4328">
        <v>105.656999029579</v>
      </c>
      <c r="AN4328">
        <v>0.99999998392028899</v>
      </c>
    </row>
    <row r="4329" spans="1:40" x14ac:dyDescent="0.25">
      <c r="A4329" t="str">
        <f>"20190305135718897"</f>
        <v>20190305135718897</v>
      </c>
      <c r="B4329" t="str">
        <f>"1551765438886955"</f>
        <v>1551765438886955</v>
      </c>
      <c r="C4329" t="s">
        <v>40</v>
      </c>
      <c r="D4329">
        <v>4.3774600000000001</v>
      </c>
      <c r="E4329">
        <v>0.53222000000000003</v>
      </c>
      <c r="F4329" t="s">
        <v>78</v>
      </c>
      <c r="G4329">
        <v>-285.1463</v>
      </c>
      <c r="H4329" s="1">
        <v>-5.6801769999999998E-6</v>
      </c>
      <c r="I4329">
        <v>-61.928550000000001</v>
      </c>
      <c r="J4329">
        <v>-293.899</v>
      </c>
      <c r="K4329">
        <v>1.1260859999999999</v>
      </c>
      <c r="L4329">
        <v>-57.717350000000003</v>
      </c>
      <c r="M4329">
        <v>0.81630360000000002</v>
      </c>
      <c r="N4329">
        <v>-1.800618E-2</v>
      </c>
      <c r="O4329">
        <v>-0.57734259999999904</v>
      </c>
      <c r="P4329">
        <v>0.94314480000000001</v>
      </c>
      <c r="Q4329">
        <v>1.36472E-2</v>
      </c>
      <c r="R4329">
        <v>-0.33210260000000003</v>
      </c>
      <c r="S4329">
        <v>2.7133790000000002</v>
      </c>
      <c r="T4329">
        <v>-0.33938780000000002</v>
      </c>
      <c r="U4329">
        <v>-1.318878</v>
      </c>
      <c r="V4329">
        <v>-0.27449109999999999</v>
      </c>
      <c r="W4329">
        <v>1.9917899999999999E-2</v>
      </c>
      <c r="X4329">
        <v>0.96138330000000005</v>
      </c>
      <c r="Y4329">
        <v>-0.15922990000000001</v>
      </c>
      <c r="Z4329">
        <v>6.283714E-2</v>
      </c>
      <c r="AA4329">
        <v>0.98523970000000005</v>
      </c>
      <c r="AB4329">
        <v>31</v>
      </c>
      <c r="AC4329">
        <v>8.7527000000000008</v>
      </c>
      <c r="AD4329">
        <v>-1.126091680177</v>
      </c>
      <c r="AE4329">
        <v>-4.2111999999999901</v>
      </c>
      <c r="AF4329">
        <v>-1.59451860973744</v>
      </c>
      <c r="AG4329">
        <v>-1.126091680177</v>
      </c>
      <c r="AH4329">
        <v>9.4506899253727497</v>
      </c>
      <c r="AI4329">
        <v>96.701179071280194</v>
      </c>
      <c r="AJ4329">
        <v>99.576741052139695</v>
      </c>
      <c r="AK4329">
        <v>9.6501871554133505</v>
      </c>
      <c r="AL4329">
        <v>88.858712885939497</v>
      </c>
      <c r="AM4329">
        <v>105.934935142334</v>
      </c>
      <c r="AN4329">
        <v>0.99999996811925396</v>
      </c>
    </row>
    <row r="4330" spans="1:40" x14ac:dyDescent="0.25">
      <c r="A4330" t="str">
        <f>"20190305135718921"</f>
        <v>20190305135718921</v>
      </c>
      <c r="B4330" t="str">
        <f>"1551765438917212"</f>
        <v>1551765438917212</v>
      </c>
      <c r="C4330" t="s">
        <v>40</v>
      </c>
      <c r="D4330">
        <v>4.4358690000000003</v>
      </c>
      <c r="E4330">
        <v>0.45439360000000001</v>
      </c>
      <c r="F4330" t="s">
        <v>78</v>
      </c>
      <c r="G4330">
        <v>-284.77879999999999</v>
      </c>
      <c r="H4330" s="1">
        <v>-5.8673310000000004E-6</v>
      </c>
      <c r="I4330">
        <v>-61.878529999999998</v>
      </c>
      <c r="J4330">
        <v>-293.64400000000001</v>
      </c>
      <c r="K4330">
        <v>1.1260269999999999</v>
      </c>
      <c r="L4330">
        <v>-57.878269999999901</v>
      </c>
      <c r="M4330">
        <v>0.82725519999999997</v>
      </c>
      <c r="N4330">
        <v>-1.801299E-2</v>
      </c>
      <c r="O4330">
        <v>-0.56153739999999996</v>
      </c>
      <c r="P4330">
        <v>0.95009449999999995</v>
      </c>
      <c r="Q4330">
        <v>1.6730809999999999E-2</v>
      </c>
      <c r="R4330">
        <v>-0.3115136</v>
      </c>
      <c r="S4330">
        <v>2.7447509999999999</v>
      </c>
      <c r="T4330">
        <v>-0.3389006</v>
      </c>
      <c r="U4330">
        <v>-1.252319</v>
      </c>
      <c r="V4330">
        <v>-0.27700029999999998</v>
      </c>
      <c r="W4330">
        <v>2.2951800000000001E-2</v>
      </c>
      <c r="X4330">
        <v>0.96059570000000005</v>
      </c>
      <c r="Y4330">
        <v>-0.1643172</v>
      </c>
      <c r="Z4330">
        <v>6.1642849999999999E-2</v>
      </c>
      <c r="AA4330">
        <v>0.98447949999999995</v>
      </c>
      <c r="AB4330">
        <v>31</v>
      </c>
      <c r="AC4330">
        <v>8.8652000000000104</v>
      </c>
      <c r="AD4330">
        <v>-1.1260328673310001</v>
      </c>
      <c r="AE4330">
        <v>-4.0002600000000097</v>
      </c>
      <c r="AF4330">
        <v>-1.64709843495666</v>
      </c>
      <c r="AG4330">
        <v>-1.1260328673310001</v>
      </c>
      <c r="AH4330">
        <v>9.4548986751456408</v>
      </c>
      <c r="AI4330">
        <v>96.691814508152703</v>
      </c>
      <c r="AJ4330">
        <v>99.882088866584795</v>
      </c>
      <c r="AK4330">
        <v>9.6631253862307496</v>
      </c>
      <c r="AL4330">
        <v>88.684843276034599</v>
      </c>
      <c r="AM4330">
        <v>106.085606397934</v>
      </c>
      <c r="AN4330">
        <v>1.0000000250909</v>
      </c>
    </row>
    <row r="4331" spans="1:40" x14ac:dyDescent="0.25">
      <c r="A4331" t="str">
        <f>"20190305135718943"</f>
        <v>20190305135718943</v>
      </c>
      <c r="B4331" t="str">
        <f>"1551765438936731"</f>
        <v>1551765438936731</v>
      </c>
      <c r="C4331" t="s">
        <v>40</v>
      </c>
      <c r="D4331">
        <v>4.263585</v>
      </c>
      <c r="E4331">
        <v>0.45405259999999997</v>
      </c>
      <c r="F4331" t="s">
        <v>88</v>
      </c>
      <c r="G4331">
        <v>-257.96879999999999</v>
      </c>
      <c r="H4331" s="1">
        <v>-3.3553229999999999E-6</v>
      </c>
      <c r="I4331">
        <v>-65.024959999999993</v>
      </c>
      <c r="J4331">
        <v>-293.37560000000002</v>
      </c>
      <c r="K4331">
        <v>1.1259459999999999</v>
      </c>
      <c r="L4331">
        <v>-58.04034</v>
      </c>
      <c r="M4331">
        <v>0.83827280000000004</v>
      </c>
      <c r="N4331">
        <v>-1.802643E-2</v>
      </c>
      <c r="O4331">
        <v>-0.54495340000000003</v>
      </c>
      <c r="P4331">
        <v>0.95656549999999996</v>
      </c>
      <c r="Q4331">
        <v>1.9703370000000001E-2</v>
      </c>
      <c r="R4331">
        <v>-0.29085169999999999</v>
      </c>
      <c r="S4331">
        <v>2.9645079999999999</v>
      </c>
      <c r="T4331">
        <v>-9.3570109999999998E-2</v>
      </c>
      <c r="U4331">
        <v>-0.59387209999999901</v>
      </c>
      <c r="V4331">
        <v>-0.27877099999999999</v>
      </c>
      <c r="W4331">
        <v>2.5923040000000001E-2</v>
      </c>
      <c r="X4331">
        <v>0.96000770000000002</v>
      </c>
      <c r="Y4331">
        <v>-0.36944549999999998</v>
      </c>
      <c r="Z4331">
        <v>1.490123E-2</v>
      </c>
      <c r="AA4331">
        <v>0.92913290000000004</v>
      </c>
      <c r="AB4331">
        <v>31</v>
      </c>
      <c r="AC4331">
        <v>35.406799999999997</v>
      </c>
      <c r="AD4331">
        <v>-1.125949355323</v>
      </c>
      <c r="AE4331">
        <v>-6.9846199999999898</v>
      </c>
      <c r="AF4331">
        <v>-13.429148559047</v>
      </c>
      <c r="AG4331">
        <v>-1.125949355323</v>
      </c>
      <c r="AH4331">
        <v>33.459715257655503</v>
      </c>
      <c r="AI4331">
        <v>91.788736201068403</v>
      </c>
      <c r="AJ4331">
        <v>111.868194310353</v>
      </c>
      <c r="AK4331">
        <v>36.071627882521298</v>
      </c>
      <c r="AL4331">
        <v>88.514552856548406</v>
      </c>
      <c r="AM4331">
        <v>106.192458545641</v>
      </c>
      <c r="AN4331">
        <v>1.0000000292515601</v>
      </c>
    </row>
    <row r="4332" spans="1:40" x14ac:dyDescent="0.25">
      <c r="A4332" t="str">
        <f>"20190305135718966"</f>
        <v>20190305135718966</v>
      </c>
      <c r="B4332" t="str">
        <f>"1551765438957227"</f>
        <v>1551765438957227</v>
      </c>
      <c r="C4332" t="s">
        <v>40</v>
      </c>
      <c r="D4332">
        <v>4.2987609999999998</v>
      </c>
      <c r="E4332">
        <v>0.45547359999999998</v>
      </c>
      <c r="F4332" t="s">
        <v>89</v>
      </c>
      <c r="G4332">
        <v>-261.40710000000001</v>
      </c>
      <c r="H4332" s="1">
        <v>-4.9448729999999998E-7</v>
      </c>
      <c r="I4332">
        <v>-63.711880000000001</v>
      </c>
      <c r="J4332">
        <v>-293.10930000000002</v>
      </c>
      <c r="K4332">
        <v>1.125867</v>
      </c>
      <c r="L4332">
        <v>-58.19415</v>
      </c>
      <c r="M4332">
        <v>0.84870820000000002</v>
      </c>
      <c r="N4332">
        <v>-1.8056200000000001E-2</v>
      </c>
      <c r="O4332">
        <v>-0.52855319999999995</v>
      </c>
      <c r="P4332">
        <v>0.96222640000000004</v>
      </c>
      <c r="Q4332">
        <v>2.0560579999999998E-2</v>
      </c>
      <c r="R4332">
        <v>-0.27147369999999998</v>
      </c>
      <c r="S4332">
        <v>2.9777529999999999</v>
      </c>
      <c r="T4332">
        <v>-0.1048781</v>
      </c>
      <c r="U4332">
        <v>-0.52828980000000003</v>
      </c>
      <c r="V4332">
        <v>-0.27951389999999998</v>
      </c>
      <c r="W4332">
        <v>2.6849689999999999E-2</v>
      </c>
      <c r="X4332">
        <v>0.95976609999999996</v>
      </c>
      <c r="Y4332">
        <v>-0.3718552</v>
      </c>
      <c r="Z4332">
        <v>1.741326E-2</v>
      </c>
      <c r="AA4332">
        <v>0.92812740000000005</v>
      </c>
      <c r="AB4332">
        <v>31</v>
      </c>
      <c r="AC4332">
        <v>31.702200000000001</v>
      </c>
      <c r="AD4332">
        <v>-1.1258674944872999</v>
      </c>
      <c r="AE4332">
        <v>-5.5177300000000002</v>
      </c>
      <c r="AF4332">
        <v>-12.0605604835175</v>
      </c>
      <c r="AG4332">
        <v>-1.1258674944872999</v>
      </c>
      <c r="AH4332">
        <v>29.790723427251798</v>
      </c>
      <c r="AI4332">
        <v>92.006290898408906</v>
      </c>
      <c r="AJ4332">
        <v>112.04021030977999</v>
      </c>
      <c r="AK4332">
        <v>32.159165087277003</v>
      </c>
      <c r="AL4332">
        <v>88.461441102206194</v>
      </c>
      <c r="AM4332">
        <v>106.237211412875</v>
      </c>
      <c r="AN4332">
        <v>0.99999994642775603</v>
      </c>
    </row>
    <row r="4333" spans="1:40" x14ac:dyDescent="0.25">
      <c r="A4333" t="str">
        <f>"20190305135718986"</f>
        <v>20190305135718986</v>
      </c>
      <c r="B4333" t="str">
        <f>"1551765438976747"</f>
        <v>1551765438976747</v>
      </c>
      <c r="C4333" t="s">
        <v>40</v>
      </c>
      <c r="D4333">
        <v>4.3473990000000002</v>
      </c>
      <c r="E4333">
        <v>0.45707720000000002</v>
      </c>
      <c r="F4333" t="s">
        <v>89</v>
      </c>
      <c r="G4333">
        <v>-263.90480000000002</v>
      </c>
      <c r="H4333" s="1">
        <v>-1.347169E-6</v>
      </c>
      <c r="I4333">
        <v>-62.889510000000001</v>
      </c>
      <c r="J4333">
        <v>-292.86160000000001</v>
      </c>
      <c r="K4333">
        <v>1.125769</v>
      </c>
      <c r="L4333">
        <v>-58.330959999999997</v>
      </c>
      <c r="M4333">
        <v>0.85797800000000002</v>
      </c>
      <c r="N4333">
        <v>-1.8102679999999999E-2</v>
      </c>
      <c r="O4333">
        <v>-0.51336769999999998</v>
      </c>
      <c r="P4333">
        <v>0.96680619999999995</v>
      </c>
      <c r="Q4333">
        <v>2.0461259999999998E-2</v>
      </c>
      <c r="R4333">
        <v>-0.2546911</v>
      </c>
      <c r="S4333">
        <v>2.9848020000000002</v>
      </c>
      <c r="T4333">
        <v>-0.11506769999999999</v>
      </c>
      <c r="U4333">
        <v>-0.47988890000000001</v>
      </c>
      <c r="V4333">
        <v>-0.27912680000000001</v>
      </c>
      <c r="W4333">
        <v>2.6890669999999998E-2</v>
      </c>
      <c r="X4333">
        <v>0.95987769999999994</v>
      </c>
      <c r="Y4333">
        <v>-0.37026819999999999</v>
      </c>
      <c r="Z4333">
        <v>1.9491519999999998E-2</v>
      </c>
      <c r="AA4333">
        <v>0.9287204</v>
      </c>
      <c r="AB4333">
        <v>31</v>
      </c>
      <c r="AC4333">
        <v>28.956799999999902</v>
      </c>
      <c r="AD4333">
        <v>-1.1257703471689999</v>
      </c>
      <c r="AE4333">
        <v>-4.5585499999999897</v>
      </c>
      <c r="AF4333">
        <v>-10.9400080630266</v>
      </c>
      <c r="AG4333">
        <v>-1.1257703471689999</v>
      </c>
      <c r="AH4333">
        <v>27.148917969257699</v>
      </c>
      <c r="AI4333">
        <v>92.202581564868595</v>
      </c>
      <c r="AJ4333">
        <v>111.94760850855199</v>
      </c>
      <c r="AK4333">
        <v>29.2918910655345</v>
      </c>
      <c r="AL4333">
        <v>88.459092415294705</v>
      </c>
      <c r="AM4333">
        <v>106.214120629223</v>
      </c>
      <c r="AN4333">
        <v>1.00000003878428</v>
      </c>
    </row>
    <row r="4334" spans="1:40" x14ac:dyDescent="0.25">
      <c r="A4334" t="str">
        <f>"20190305135719008"</f>
        <v>20190305135719008</v>
      </c>
      <c r="B4334" t="str">
        <f>"1551765438997243"</f>
        <v>1551765438997243</v>
      </c>
      <c r="C4334" t="s">
        <v>40</v>
      </c>
      <c r="D4334">
        <v>4.4143650000000001</v>
      </c>
      <c r="E4334">
        <v>0.45850849999999999</v>
      </c>
      <c r="F4334" t="s">
        <v>42</v>
      </c>
      <c r="G4334">
        <v>-265.57940000000002</v>
      </c>
      <c r="H4334" s="1">
        <v>-1.9224469999999998E-6</v>
      </c>
      <c r="I4334">
        <v>-62.351649999999999</v>
      </c>
      <c r="J4334">
        <v>-292.601</v>
      </c>
      <c r="K4334">
        <v>1.1256569999999999</v>
      </c>
      <c r="L4334">
        <v>-58.468809999999998</v>
      </c>
      <c r="M4334">
        <v>0.86728819999999995</v>
      </c>
      <c r="N4334">
        <v>-1.816831E-2</v>
      </c>
      <c r="O4334">
        <v>-0.49747479999999999</v>
      </c>
      <c r="P4334">
        <v>0.97121950000000001</v>
      </c>
      <c r="Q4334">
        <v>1.9713959999999999E-2</v>
      </c>
      <c r="R4334">
        <v>-0.23736989999999999</v>
      </c>
      <c r="S4334">
        <v>2.9895019999999999</v>
      </c>
      <c r="T4334">
        <v>-0.1233587</v>
      </c>
      <c r="U4334">
        <v>-0.44058229999999998</v>
      </c>
      <c r="V4334">
        <v>-0.27857310000000002</v>
      </c>
      <c r="W4334">
        <v>2.6323920000000001E-2</v>
      </c>
      <c r="X4334">
        <v>0.96005419999999997</v>
      </c>
      <c r="Y4334">
        <v>-0.36524319999999999</v>
      </c>
      <c r="Z4334">
        <v>2.0941330000000001E-2</v>
      </c>
      <c r="AA4334">
        <v>0.93067659999999997</v>
      </c>
      <c r="AB4334">
        <v>31</v>
      </c>
      <c r="AC4334">
        <v>27.0215999999999</v>
      </c>
      <c r="AD4334">
        <v>-1.1256589224469999</v>
      </c>
      <c r="AE4334">
        <v>-3.8828399999999998</v>
      </c>
      <c r="AF4334">
        <v>-10.0595826250043</v>
      </c>
      <c r="AG4334">
        <v>-1.1256589224469999</v>
      </c>
      <c r="AH4334">
        <v>25.3282518748942</v>
      </c>
      <c r="AI4334">
        <v>92.365219223820901</v>
      </c>
      <c r="AJ4334">
        <v>111.66141473955</v>
      </c>
      <c r="AK4334">
        <v>27.276045417858001</v>
      </c>
      <c r="AL4334">
        <v>88.491576230236006</v>
      </c>
      <c r="AM4334">
        <v>106.18082251915</v>
      </c>
      <c r="AN4334">
        <v>0.99999999387270799</v>
      </c>
    </row>
    <row r="4335" spans="1:40" x14ac:dyDescent="0.25">
      <c r="A4335" t="str">
        <f>"20190305135719032"</f>
        <v>20190305135719032</v>
      </c>
      <c r="B4335" t="str">
        <f>"1551765439026523"</f>
        <v>1551765439026523</v>
      </c>
      <c r="C4335" t="s">
        <v>40</v>
      </c>
      <c r="D4335">
        <v>4.3775529999999998</v>
      </c>
      <c r="E4335">
        <v>0.46142919999999998</v>
      </c>
      <c r="F4335" t="s">
        <v>89</v>
      </c>
      <c r="G4335">
        <v>-267.85199999999998</v>
      </c>
      <c r="H4335" s="1">
        <v>-2.7404649999999999E-6</v>
      </c>
      <c r="I4335">
        <v>-61.761960000000002</v>
      </c>
      <c r="J4335">
        <v>-292.32979999999998</v>
      </c>
      <c r="K4335">
        <v>1.125521</v>
      </c>
      <c r="L4335">
        <v>-58.605530000000002</v>
      </c>
      <c r="M4335">
        <v>0.87650269999999997</v>
      </c>
      <c r="N4335">
        <v>-1.8250929999999999E-2</v>
      </c>
      <c r="O4335">
        <v>-0.48105100000000001</v>
      </c>
      <c r="P4335">
        <v>0.97545219999999999</v>
      </c>
      <c r="Q4335">
        <v>2.0249079999999999E-2</v>
      </c>
      <c r="R4335">
        <v>-0.219279</v>
      </c>
      <c r="S4335">
        <v>2.9943240000000002</v>
      </c>
      <c r="T4335">
        <v>-0.1361908</v>
      </c>
      <c r="U4335">
        <v>-0.3984375</v>
      </c>
      <c r="V4335">
        <v>-0.2783409</v>
      </c>
      <c r="W4335">
        <v>2.705989E-2</v>
      </c>
      <c r="X4335">
        <v>0.96010110000000004</v>
      </c>
      <c r="Y4335">
        <v>-0.36065580000000003</v>
      </c>
      <c r="Z4335">
        <v>2.3259249999999999E-2</v>
      </c>
      <c r="AA4335">
        <v>0.93240889999999998</v>
      </c>
      <c r="AB4335">
        <v>31</v>
      </c>
      <c r="AC4335">
        <v>24.477799999999899</v>
      </c>
      <c r="AD4335">
        <v>-1.125523740465</v>
      </c>
      <c r="AE4335">
        <v>-3.1564299999999901</v>
      </c>
      <c r="AF4335">
        <v>-8.9912516390981505</v>
      </c>
      <c r="AG4335">
        <v>-1.125523740465</v>
      </c>
      <c r="AH4335">
        <v>22.929400595134702</v>
      </c>
      <c r="AI4335">
        <v>92.616519851728199</v>
      </c>
      <c r="AJ4335">
        <v>111.41151806860699</v>
      </c>
      <c r="AK4335">
        <v>24.6549553108518</v>
      </c>
      <c r="AL4335">
        <v>88.449393246975902</v>
      </c>
      <c r="AM4335">
        <v>106.167291665321</v>
      </c>
      <c r="AN4335">
        <v>1.0000000082404099</v>
      </c>
    </row>
    <row r="4336" spans="1:40" x14ac:dyDescent="0.25">
      <c r="A4336" t="str">
        <f>"20190305135719054"</f>
        <v>20190305135719054</v>
      </c>
      <c r="B4336" t="str">
        <f>"1551765439047023"</f>
        <v>1551765439047023</v>
      </c>
      <c r="C4336" t="s">
        <v>40</v>
      </c>
      <c r="D4336">
        <v>4.3861540000000003</v>
      </c>
      <c r="E4336">
        <v>0.46298109999999998</v>
      </c>
      <c r="F4336" t="s">
        <v>42</v>
      </c>
      <c r="G4336">
        <v>-268.60919999999999</v>
      </c>
      <c r="H4336" s="1">
        <v>-2.9964869999999999E-6</v>
      </c>
      <c r="I4336">
        <v>-61.503320000000002</v>
      </c>
      <c r="J4336">
        <v>-292.0521</v>
      </c>
      <c r="K4336">
        <v>1.1253770000000001</v>
      </c>
      <c r="L4336">
        <v>-58.738770000000002</v>
      </c>
      <c r="M4336">
        <v>0.88544669999999903</v>
      </c>
      <c r="N4336">
        <v>-1.8352509999999999E-2</v>
      </c>
      <c r="O4336">
        <v>-0.46437859999999997</v>
      </c>
      <c r="P4336">
        <v>0.97924619999999996</v>
      </c>
      <c r="Q4336">
        <v>2.1340789999999998E-2</v>
      </c>
      <c r="R4336">
        <v>-0.20154839999999999</v>
      </c>
      <c r="S4336">
        <v>2.9961549999999999</v>
      </c>
      <c r="T4336">
        <v>-0.14216489999999901</v>
      </c>
      <c r="U4336">
        <v>-0.36602780000000001</v>
      </c>
      <c r="V4336">
        <v>-0.27761209999999997</v>
      </c>
      <c r="W4336">
        <v>2.8408349999999999E-2</v>
      </c>
      <c r="X4336">
        <v>0.96027309999999999</v>
      </c>
      <c r="Y4336">
        <v>-0.35294900000000001</v>
      </c>
      <c r="Z4336">
        <v>2.3906520000000001E-2</v>
      </c>
      <c r="AA4336">
        <v>0.93533710000000003</v>
      </c>
      <c r="AB4336">
        <v>31</v>
      </c>
      <c r="AC4336">
        <v>23.442900000000002</v>
      </c>
      <c r="AD4336">
        <v>-1.1253799964869999</v>
      </c>
      <c r="AE4336">
        <v>-2.7645499999999998</v>
      </c>
      <c r="AF4336">
        <v>-8.4208006892592202</v>
      </c>
      <c r="AG4336">
        <v>-1.1253799964869999</v>
      </c>
      <c r="AH4336">
        <v>21.9949553805066</v>
      </c>
      <c r="AI4336">
        <v>92.735692341480302</v>
      </c>
      <c r="AJ4336">
        <v>110.949417285252</v>
      </c>
      <c r="AK4336">
        <v>23.578685853439701</v>
      </c>
      <c r="AL4336">
        <v>88.372102380773796</v>
      </c>
      <c r="AM4336">
        <v>106.124424554556</v>
      </c>
      <c r="AN4336">
        <v>0.99999996949987002</v>
      </c>
    </row>
    <row r="4337" spans="1:40" x14ac:dyDescent="0.25">
      <c r="A4337" t="str">
        <f>"20190305135719076"</f>
        <v>20190305135719076</v>
      </c>
      <c r="B4337" t="str">
        <f>"1551765439066543"</f>
        <v>1551765439066543</v>
      </c>
      <c r="C4337" t="s">
        <v>40</v>
      </c>
      <c r="D4337">
        <v>4.4072940000000003</v>
      </c>
      <c r="E4337">
        <v>0.46495310000000001</v>
      </c>
      <c r="F4337" t="s">
        <v>42</v>
      </c>
      <c r="G4337">
        <v>-268.9117</v>
      </c>
      <c r="H4337" s="1">
        <v>-3.0569119999999998E-6</v>
      </c>
      <c r="I4337">
        <v>-61.242669999999997</v>
      </c>
      <c r="J4337">
        <v>-291.79360000000003</v>
      </c>
      <c r="K4337">
        <v>1.1252439999999999</v>
      </c>
      <c r="L4337">
        <v>-58.85718</v>
      </c>
      <c r="M4337">
        <v>0.89335699999999996</v>
      </c>
      <c r="N4337">
        <v>-1.8451450000000001E-2</v>
      </c>
      <c r="O4337">
        <v>-0.4489689</v>
      </c>
      <c r="P4337">
        <v>0.9821725</v>
      </c>
      <c r="Q4337">
        <v>2.1776770000000001E-2</v>
      </c>
      <c r="R4337">
        <v>-0.18671769999999999</v>
      </c>
      <c r="S4337">
        <v>2.9999389999999999</v>
      </c>
      <c r="T4337">
        <v>-0.14589489999999999</v>
      </c>
      <c r="U4337">
        <v>-0.3246155</v>
      </c>
      <c r="V4337">
        <v>-0.27550019999999997</v>
      </c>
      <c r="W4337">
        <v>2.9154289999999999E-2</v>
      </c>
      <c r="X4337">
        <v>0.96085880000000001</v>
      </c>
      <c r="Y4337">
        <v>-0.3495953</v>
      </c>
      <c r="Z4337">
        <v>2.4184460000000001E-2</v>
      </c>
      <c r="AA4337">
        <v>0.93658859999999999</v>
      </c>
      <c r="AB4337">
        <v>30</v>
      </c>
      <c r="AC4337">
        <v>22.881900000000002</v>
      </c>
      <c r="AD4337">
        <v>-1.1252470569120001</v>
      </c>
      <c r="AE4337">
        <v>-2.3854899999999901</v>
      </c>
      <c r="AF4337">
        <v>-8.1241172252820597</v>
      </c>
      <c r="AG4337">
        <v>-1.1252470569120001</v>
      </c>
      <c r="AH4337">
        <v>21.465025645524499</v>
      </c>
      <c r="AI4337">
        <v>92.806862907519005</v>
      </c>
      <c r="AJ4337">
        <v>110.73073210598101</v>
      </c>
      <c r="AK4337">
        <v>22.978572357573402</v>
      </c>
      <c r="AL4337">
        <v>88.329345474741302</v>
      </c>
      <c r="AM4337">
        <v>105.998808344995</v>
      </c>
      <c r="AN4337">
        <v>0.99999998318144101</v>
      </c>
    </row>
    <row r="4338" spans="1:40" x14ac:dyDescent="0.25">
      <c r="A4338" t="str">
        <f>"20190305135719098"</f>
        <v>20190305135719098</v>
      </c>
      <c r="B4338" t="str">
        <f>"1551765439087038"</f>
        <v>1551765439087038</v>
      </c>
      <c r="C4338" t="s">
        <v>40</v>
      </c>
      <c r="D4338">
        <v>4.4724449999999996</v>
      </c>
      <c r="E4338">
        <v>0.46635199999999999</v>
      </c>
      <c r="F4338" t="s">
        <v>42</v>
      </c>
      <c r="G4338">
        <v>-267.98399999999998</v>
      </c>
      <c r="H4338" s="1">
        <v>-2.6462749999999999E-6</v>
      </c>
      <c r="I4338">
        <v>-61.19511</v>
      </c>
      <c r="J4338">
        <v>-291.52620000000002</v>
      </c>
      <c r="K4338">
        <v>1.125081</v>
      </c>
      <c r="L4338">
        <v>-58.974089999999997</v>
      </c>
      <c r="M4338">
        <v>0.90112639999999999</v>
      </c>
      <c r="N4338">
        <v>-1.855161E-2</v>
      </c>
      <c r="O4338">
        <v>-0.43315939999999997</v>
      </c>
      <c r="P4338">
        <v>0.98470420000000003</v>
      </c>
      <c r="Q4338">
        <v>2.1271140000000001E-2</v>
      </c>
      <c r="R4338">
        <v>-0.17293220000000001</v>
      </c>
      <c r="S4338">
        <v>3.0015559999999999</v>
      </c>
      <c r="T4338">
        <v>-0.141853799999999</v>
      </c>
      <c r="U4338">
        <v>-0.29473880000000002</v>
      </c>
      <c r="V4338">
        <v>-0.27201409999999998</v>
      </c>
      <c r="W4338">
        <v>2.9027979999999998E-2</v>
      </c>
      <c r="X4338">
        <v>0.96185540000000003</v>
      </c>
      <c r="Y4338">
        <v>-0.342416</v>
      </c>
      <c r="Z4338">
        <v>2.276216E-2</v>
      </c>
      <c r="AA4338">
        <v>0.93927269999999896</v>
      </c>
      <c r="AB4338">
        <v>30</v>
      </c>
      <c r="AC4338">
        <v>23.542199999999902</v>
      </c>
      <c r="AD4338">
        <v>-1.125083646275</v>
      </c>
      <c r="AE4338">
        <v>-2.22101999999999</v>
      </c>
      <c r="AF4338">
        <v>-8.1790009990698191</v>
      </c>
      <c r="AG4338">
        <v>-1.125083646275</v>
      </c>
      <c r="AH4338">
        <v>22.130273325725401</v>
      </c>
      <c r="AI4338">
        <v>92.730168144008701</v>
      </c>
      <c r="AJ4338">
        <v>110.283519737745</v>
      </c>
      <c r="AK4338">
        <v>23.620136918003102</v>
      </c>
      <c r="AL4338">
        <v>88.3365856841653</v>
      </c>
      <c r="AM4338">
        <v>105.79097988249001</v>
      </c>
      <c r="AN4338">
        <v>1.00000005236542</v>
      </c>
    </row>
    <row r="4339" spans="1:40" x14ac:dyDescent="0.25">
      <c r="A4339" t="str">
        <f>"20190305135719120"</f>
        <v>20190305135719120</v>
      </c>
      <c r="B4339" t="str">
        <f>"1551765439117291"</f>
        <v>1551765439117291</v>
      </c>
      <c r="C4339" t="s">
        <v>40</v>
      </c>
      <c r="D4339">
        <v>4.4760169999999997</v>
      </c>
      <c r="E4339">
        <v>0.46826259999999997</v>
      </c>
      <c r="F4339" t="s">
        <v>42</v>
      </c>
      <c r="G4339">
        <v>-268.67399999999998</v>
      </c>
      <c r="H4339" s="1">
        <v>-2.8850260000000002E-6</v>
      </c>
      <c r="I4339">
        <v>-60.979939999999999</v>
      </c>
      <c r="J4339">
        <v>-291.25560000000002</v>
      </c>
      <c r="K4339">
        <v>1.1248849999999999</v>
      </c>
      <c r="L4339">
        <v>-59.086790000000001</v>
      </c>
      <c r="M4339">
        <v>0.90855070000000004</v>
      </c>
      <c r="N4339">
        <v>-1.8646949999999999E-2</v>
      </c>
      <c r="O4339">
        <v>-0.41735820000000001</v>
      </c>
      <c r="P4339">
        <v>0.98710980000000004</v>
      </c>
      <c r="Q4339">
        <v>2.244726E-2</v>
      </c>
      <c r="R4339">
        <v>-0.1584624</v>
      </c>
      <c r="S4339">
        <v>3.0035099999999999</v>
      </c>
      <c r="T4339">
        <v>-0.1478719</v>
      </c>
      <c r="U4339">
        <v>-0.26364140000000003</v>
      </c>
      <c r="V4339">
        <v>-0.26935389999999998</v>
      </c>
      <c r="W4339">
        <v>3.0558419999999999E-2</v>
      </c>
      <c r="X4339">
        <v>0.96255630000000003</v>
      </c>
      <c r="Y4339">
        <v>-0.33565919999999999</v>
      </c>
      <c r="Z4339">
        <v>2.3306540000000001E-2</v>
      </c>
      <c r="AA4339">
        <v>0.94169510000000001</v>
      </c>
      <c r="AB4339">
        <v>30</v>
      </c>
      <c r="AC4339">
        <v>22.581599999999899</v>
      </c>
      <c r="AD4339">
        <v>-1.124887885026</v>
      </c>
      <c r="AE4339">
        <v>-1.8931499999999899</v>
      </c>
      <c r="AF4339">
        <v>-7.6869912825372504</v>
      </c>
      <c r="AG4339">
        <v>-1.124887885026</v>
      </c>
      <c r="AH4339">
        <v>21.257973058742401</v>
      </c>
      <c r="AI4339">
        <v>92.848833319421303</v>
      </c>
      <c r="AJ4339">
        <v>109.880248397008</v>
      </c>
      <c r="AK4339">
        <v>22.633086981185301</v>
      </c>
      <c r="AL4339">
        <v>88.248858867099003</v>
      </c>
      <c r="AM4339">
        <v>105.633311636545</v>
      </c>
      <c r="AN4339">
        <v>0.99999998557389802</v>
      </c>
    </row>
    <row r="4340" spans="1:40" x14ac:dyDescent="0.25">
      <c r="A4340" t="str">
        <f>"20190305135719143"</f>
        <v>20190305135719143</v>
      </c>
      <c r="B4340" t="str">
        <f>"1551765439136811"</f>
        <v>1551765439136811</v>
      </c>
      <c r="C4340" t="s">
        <v>40</v>
      </c>
      <c r="D4340">
        <v>4.4618260000000003</v>
      </c>
      <c r="E4340">
        <v>0.46892919999999999</v>
      </c>
      <c r="F4340" t="s">
        <v>42</v>
      </c>
      <c r="G4340">
        <v>-269.71300000000002</v>
      </c>
      <c r="H4340" s="1">
        <v>-3.2634399999999998E-6</v>
      </c>
      <c r="I4340">
        <v>-60.776179999999997</v>
      </c>
      <c r="J4340">
        <v>-290.97399999999999</v>
      </c>
      <c r="K4340">
        <v>1.124644</v>
      </c>
      <c r="L4340">
        <v>-59.198430000000002</v>
      </c>
      <c r="M4340">
        <v>0.91581880000000004</v>
      </c>
      <c r="N4340">
        <v>-1.8730920000000002E-2</v>
      </c>
      <c r="O4340">
        <v>-0.40115519999999999</v>
      </c>
      <c r="P4340">
        <v>0.98946679999999998</v>
      </c>
      <c r="Q4340">
        <v>2.3992900000000001E-2</v>
      </c>
      <c r="R4340">
        <v>-0.1427592</v>
      </c>
      <c r="S4340">
        <v>3.0049130000000002</v>
      </c>
      <c r="T4340">
        <v>-0.15690699999999999</v>
      </c>
      <c r="U4340">
        <v>-0.2356567</v>
      </c>
      <c r="V4340">
        <v>-0.26757419999999998</v>
      </c>
      <c r="W4340">
        <v>3.2435749999999999E-2</v>
      </c>
      <c r="X4340">
        <v>0.96299120000000005</v>
      </c>
      <c r="Y4340">
        <v>-0.3275922</v>
      </c>
      <c r="Z4340">
        <v>2.4276829999999999E-2</v>
      </c>
      <c r="AA4340">
        <v>0.94450719999999999</v>
      </c>
      <c r="AB4340">
        <v>30</v>
      </c>
      <c r="AC4340">
        <v>21.260999999999999</v>
      </c>
      <c r="AD4340">
        <v>-1.12464726344</v>
      </c>
      <c r="AE4340">
        <v>-1.57775</v>
      </c>
      <c r="AF4340">
        <v>-7.0656070624785796</v>
      </c>
      <c r="AG4340">
        <v>-1.12464726344</v>
      </c>
      <c r="AH4340">
        <v>20.051869493879799</v>
      </c>
      <c r="AI4340">
        <v>93.028063719385997</v>
      </c>
      <c r="AJ4340">
        <v>109.410750235474</v>
      </c>
      <c r="AK4340">
        <v>21.290023598580099</v>
      </c>
      <c r="AL4340">
        <v>88.141242472079099</v>
      </c>
      <c r="AM4340">
        <v>105.528344419738</v>
      </c>
      <c r="AN4340">
        <v>1.00000004083057</v>
      </c>
    </row>
    <row r="4341" spans="1:40" x14ac:dyDescent="0.25">
      <c r="A4341" t="str">
        <f>"20190305135719166"</f>
        <v>20190305135719166</v>
      </c>
      <c r="B4341" t="str">
        <f>"1551765439157307"</f>
        <v>1551765439157307</v>
      </c>
      <c r="C4341" t="s">
        <v>40</v>
      </c>
      <c r="D4341">
        <v>4.3237249999999996</v>
      </c>
      <c r="E4341">
        <v>0.48940630000000002</v>
      </c>
      <c r="F4341" t="s">
        <v>42</v>
      </c>
      <c r="G4341">
        <v>-269.35059999999999</v>
      </c>
      <c r="H4341" s="1">
        <v>-3.072462E-6</v>
      </c>
      <c r="I4341">
        <v>-60.593510000000002</v>
      </c>
      <c r="J4341">
        <v>-290.6977</v>
      </c>
      <c r="K4341">
        <v>1.1243570000000001</v>
      </c>
      <c r="L4341">
        <v>-59.302549999999997</v>
      </c>
      <c r="M4341">
        <v>0.92248790000000003</v>
      </c>
      <c r="N4341">
        <v>-1.8796380000000001E-2</v>
      </c>
      <c r="O4341">
        <v>-0.38556820000000003</v>
      </c>
      <c r="P4341">
        <v>0.99136610000000003</v>
      </c>
      <c r="Q4341">
        <v>2.2796540000000001E-2</v>
      </c>
      <c r="R4341">
        <v>-0.1291254</v>
      </c>
      <c r="S4341">
        <v>3.0077509999999998</v>
      </c>
      <c r="T4341">
        <v>-0.15643499999999999</v>
      </c>
      <c r="U4341">
        <v>-0.19406129999999999</v>
      </c>
      <c r="V4341">
        <v>-0.26444689999999998</v>
      </c>
      <c r="W4341">
        <v>3.1631739999999998E-2</v>
      </c>
      <c r="X4341">
        <v>0.9638814</v>
      </c>
      <c r="Y4341">
        <v>-0.32465429999999901</v>
      </c>
      <c r="Z4341">
        <v>2.363494E-2</v>
      </c>
      <c r="AA4341">
        <v>0.94553739999999997</v>
      </c>
      <c r="AB4341">
        <v>30</v>
      </c>
      <c r="AC4341">
        <v>21.347100000000001</v>
      </c>
      <c r="AD4341">
        <v>-1.124360072462</v>
      </c>
      <c r="AE4341">
        <v>-1.2909599999999899</v>
      </c>
      <c r="AF4341">
        <v>-7.0217032273606703</v>
      </c>
      <c r="AG4341">
        <v>-1.124360072462</v>
      </c>
      <c r="AH4341">
        <v>20.138098548068498</v>
      </c>
      <c r="AI4341">
        <v>93.017820139911393</v>
      </c>
      <c r="AJ4341">
        <v>109.222517498691</v>
      </c>
      <c r="AK4341">
        <v>21.3567674266822</v>
      </c>
      <c r="AL4341">
        <v>88.187332506451099</v>
      </c>
      <c r="AM4341">
        <v>105.34195545476901</v>
      </c>
      <c r="AN4341">
        <v>1.0000000415804899</v>
      </c>
    </row>
    <row r="4342" spans="1:40" x14ac:dyDescent="0.25">
      <c r="A4342" t="str">
        <f>"20190305135719188"</f>
        <v>20190305135719188</v>
      </c>
      <c r="B4342" t="str">
        <f>"1551765439176827"</f>
        <v>1551765439176827</v>
      </c>
      <c r="C4342" t="s">
        <v>40</v>
      </c>
      <c r="D4342">
        <v>4.4604410000000003</v>
      </c>
      <c r="E4342">
        <v>0.49202469999999998</v>
      </c>
      <c r="F4342" t="s">
        <v>42</v>
      </c>
      <c r="G4342">
        <v>-278.01609999999999</v>
      </c>
      <c r="H4342" s="1">
        <v>-2.654556E-6</v>
      </c>
      <c r="I4342">
        <v>-60.659840000000003</v>
      </c>
      <c r="J4342">
        <v>-290.42700000000002</v>
      </c>
      <c r="K4342">
        <v>1.123993</v>
      </c>
      <c r="L4342">
        <v>-59.399630000000002</v>
      </c>
      <c r="M4342">
        <v>0.92857299999999998</v>
      </c>
      <c r="N4342">
        <v>-1.8843349999999998E-2</v>
      </c>
      <c r="O4342">
        <v>-0.37067119999999998</v>
      </c>
      <c r="P4342">
        <v>0.99275389999999997</v>
      </c>
      <c r="Q4342">
        <v>1.8962719999999999E-2</v>
      </c>
      <c r="R4342">
        <v>-0.11866019999999899</v>
      </c>
      <c r="S4342">
        <v>2.9905089999999999</v>
      </c>
      <c r="T4342">
        <v>-0.26514009999999999</v>
      </c>
      <c r="U4342">
        <v>-0.32006839999999998</v>
      </c>
      <c r="V4342">
        <v>-0.25896989999999998</v>
      </c>
      <c r="W4342">
        <v>2.8290619999999999E-2</v>
      </c>
      <c r="X4342">
        <v>0.96547099999999997</v>
      </c>
      <c r="Y4342">
        <v>-0.267725299999999</v>
      </c>
      <c r="Z4342">
        <v>3.9170969999999999E-2</v>
      </c>
      <c r="AA4342">
        <v>0.96269870000000002</v>
      </c>
      <c r="AB4342">
        <v>30</v>
      </c>
      <c r="AC4342">
        <v>12.4109</v>
      </c>
      <c r="AD4342">
        <v>-1.1239956545559999</v>
      </c>
      <c r="AE4342">
        <v>-1.2602100000000001</v>
      </c>
      <c r="AF4342">
        <v>-3.4031473634887002</v>
      </c>
      <c r="AG4342">
        <v>-1.1239956545559999</v>
      </c>
      <c r="AH4342">
        <v>11.897094739988299</v>
      </c>
      <c r="AI4342">
        <v>95.190126167648501</v>
      </c>
      <c r="AJ4342">
        <v>105.963103796491</v>
      </c>
      <c r="AK4342">
        <v>12.425201868031699</v>
      </c>
      <c r="AL4342">
        <v>88.378850591147298</v>
      </c>
      <c r="AM4342">
        <v>105.01509960547401</v>
      </c>
      <c r="AN4342">
        <v>1.00000001006349</v>
      </c>
    </row>
    <row r="4343" spans="1:40" x14ac:dyDescent="0.25">
      <c r="A4343" t="str">
        <f>"20190305135719210"</f>
        <v>20190305135719210</v>
      </c>
      <c r="B4343" t="str">
        <f>"1551765439207083"</f>
        <v>1551765439207083</v>
      </c>
      <c r="C4343" t="s">
        <v>40</v>
      </c>
      <c r="D4343">
        <v>4.4075199999999999</v>
      </c>
      <c r="E4343">
        <v>0.49578860000000002</v>
      </c>
      <c r="F4343" t="s">
        <v>42</v>
      </c>
      <c r="G4343">
        <v>-277.291</v>
      </c>
      <c r="H4343" s="1">
        <v>-2.3641789999999998E-6</v>
      </c>
      <c r="I4343">
        <v>-60.752850000000002</v>
      </c>
      <c r="J4343">
        <v>-290.15390000000002</v>
      </c>
      <c r="K4343">
        <v>1.1235459999999999</v>
      </c>
      <c r="L4343">
        <v>-59.49286</v>
      </c>
      <c r="M4343">
        <v>0.93425879999999994</v>
      </c>
      <c r="N4343">
        <v>-1.8867109999999999E-2</v>
      </c>
      <c r="O4343">
        <v>-0.35609659999999999</v>
      </c>
      <c r="P4343">
        <v>0.99386200000000002</v>
      </c>
      <c r="Q4343">
        <v>1.557066E-2</v>
      </c>
      <c r="R4343">
        <v>-0.10952729999999999</v>
      </c>
      <c r="S4343">
        <v>2.98996</v>
      </c>
      <c r="T4343">
        <v>-0.25583850000000002</v>
      </c>
      <c r="U4343">
        <v>-0.30801390000000001</v>
      </c>
      <c r="V4343">
        <v>-0.25261489999999998</v>
      </c>
      <c r="W4343">
        <v>2.5435869999999999E-2</v>
      </c>
      <c r="X4343">
        <v>0.96723250000000005</v>
      </c>
      <c r="Y4343">
        <v>-0.25668229999999997</v>
      </c>
      <c r="Z4343">
        <v>3.6212050000000003E-2</v>
      </c>
      <c r="AA4343">
        <v>0.96581719999999904</v>
      </c>
      <c r="AB4343">
        <v>30</v>
      </c>
      <c r="AC4343">
        <v>12.8629</v>
      </c>
      <c r="AD4343">
        <v>-1.1235483641789901</v>
      </c>
      <c r="AE4343">
        <v>-1.2599899999999999</v>
      </c>
      <c r="AF4343">
        <v>-3.3783529115642601</v>
      </c>
      <c r="AG4343">
        <v>-1.1235483641789901</v>
      </c>
      <c r="AH4343">
        <v>12.374656151362201</v>
      </c>
      <c r="AI4343">
        <v>95.005697717549296</v>
      </c>
      <c r="AJ4343">
        <v>105.269971314725</v>
      </c>
      <c r="AK4343">
        <v>12.876635592660399</v>
      </c>
      <c r="AL4343">
        <v>88.542474791746102</v>
      </c>
      <c r="AM4343">
        <v>104.637144257155</v>
      </c>
      <c r="AN4343">
        <v>0.99999999012045804</v>
      </c>
    </row>
    <row r="4344" spans="1:40" x14ac:dyDescent="0.25">
      <c r="A4344" t="str">
        <f>"20190305135719233"</f>
        <v>20190305135719233</v>
      </c>
      <c r="B4344" t="str">
        <f>"1551765439226607"</f>
        <v>1551765439226607</v>
      </c>
      <c r="C4344" t="s">
        <v>40</v>
      </c>
      <c r="D4344">
        <v>4.4034230000000001</v>
      </c>
      <c r="E4344">
        <v>0.4977454</v>
      </c>
      <c r="F4344" t="s">
        <v>42</v>
      </c>
      <c r="G4344">
        <v>-276.52</v>
      </c>
      <c r="H4344" s="1">
        <v>-2.0665489999999999E-6</v>
      </c>
      <c r="I4344">
        <v>-60.901879999999998</v>
      </c>
      <c r="J4344">
        <v>-289.87099999999998</v>
      </c>
      <c r="K4344">
        <v>1.1230389999999999</v>
      </c>
      <c r="L4344">
        <v>-59.584560000000003</v>
      </c>
      <c r="M4344">
        <v>0.93965699999999996</v>
      </c>
      <c r="N4344">
        <v>-1.8862110000000001E-2</v>
      </c>
      <c r="O4344">
        <v>-0.34159790000000001</v>
      </c>
      <c r="P4344">
        <v>0.99502429999999997</v>
      </c>
      <c r="Q4344">
        <v>1.661605E-2</v>
      </c>
      <c r="R4344">
        <v>-9.8238710000000007E-2</v>
      </c>
      <c r="S4344">
        <v>2.9883730000000002</v>
      </c>
      <c r="T4344">
        <v>-0.2462665</v>
      </c>
      <c r="U4344">
        <v>-0.3088379</v>
      </c>
      <c r="V4344">
        <v>-0.24862119999999999</v>
      </c>
      <c r="W4344">
        <v>2.6942150000000002E-2</v>
      </c>
      <c r="X4344">
        <v>0.96822600000000003</v>
      </c>
      <c r="Y4344">
        <v>-0.24161299999999999</v>
      </c>
      <c r="Z4344">
        <v>3.3126570000000001E-2</v>
      </c>
      <c r="AA4344">
        <v>0.96980710000000003</v>
      </c>
      <c r="AB4344">
        <v>30</v>
      </c>
      <c r="AC4344">
        <v>13.351000000000001</v>
      </c>
      <c r="AD4344">
        <v>-1.1230410665489901</v>
      </c>
      <c r="AE4344">
        <v>-1.31732</v>
      </c>
      <c r="AF4344">
        <v>-3.3003090163940398</v>
      </c>
      <c r="AG4344">
        <v>-1.1230410665489901</v>
      </c>
      <c r="AH4344">
        <v>12.907219643667201</v>
      </c>
      <c r="AI4344">
        <v>94.818454889387198</v>
      </c>
      <c r="AJ4344">
        <v>104.342924486554</v>
      </c>
      <c r="AK4344">
        <v>13.3697262414275</v>
      </c>
      <c r="AL4344">
        <v>88.456141674721806</v>
      </c>
      <c r="AM4344">
        <v>104.40127776609</v>
      </c>
      <c r="AN4344">
        <v>0.99999998380603095</v>
      </c>
    </row>
    <row r="4345" spans="1:40" x14ac:dyDescent="0.25">
      <c r="A4345" t="str">
        <f>"20190305135719254"</f>
        <v>20190305135719254</v>
      </c>
      <c r="B4345" t="str">
        <f>"1551765439247102"</f>
        <v>1551765439247102</v>
      </c>
      <c r="C4345" t="s">
        <v>40</v>
      </c>
      <c r="D4345">
        <v>4.2785909999999996</v>
      </c>
      <c r="E4345">
        <v>0.49963689999999999</v>
      </c>
      <c r="F4345" t="s">
        <v>42</v>
      </c>
      <c r="G4345">
        <v>-275.50540000000001</v>
      </c>
      <c r="H4345" s="1">
        <v>-1.6493E-6</v>
      </c>
      <c r="I4345">
        <v>-60.982680000000002</v>
      </c>
      <c r="J4345">
        <v>-289.59769999999997</v>
      </c>
      <c r="K4345">
        <v>1.1225639999999999</v>
      </c>
      <c r="L4345">
        <v>-59.669069999999998</v>
      </c>
      <c r="M4345">
        <v>0.94446090000000005</v>
      </c>
      <c r="N4345">
        <v>-1.8838359999999998E-2</v>
      </c>
      <c r="O4345">
        <v>-0.32808349999999997</v>
      </c>
      <c r="P4345">
        <v>0.99638970000000004</v>
      </c>
      <c r="Q4345">
        <v>2.051271E-2</v>
      </c>
      <c r="R4345">
        <v>-8.2385970000000003E-2</v>
      </c>
      <c r="S4345">
        <v>2.990173</v>
      </c>
      <c r="T4345">
        <v>-0.23375899999999999</v>
      </c>
      <c r="U4345">
        <v>-0.29101559999999999</v>
      </c>
      <c r="V4345">
        <v>-0.25020730000000002</v>
      </c>
      <c r="W4345">
        <v>3.106983E-2</v>
      </c>
      <c r="X4345">
        <v>0.96769360000000004</v>
      </c>
      <c r="Y4345">
        <v>-0.23369139999999999</v>
      </c>
      <c r="Z4345">
        <v>3.0121970000000001E-2</v>
      </c>
      <c r="AA4345">
        <v>0.97184409999999999</v>
      </c>
      <c r="AB4345">
        <v>30</v>
      </c>
      <c r="AC4345">
        <v>14.0922999999999</v>
      </c>
      <c r="AD4345">
        <v>-1.12256564929999</v>
      </c>
      <c r="AE4345">
        <v>-1.3136099999999999</v>
      </c>
      <c r="AF4345">
        <v>-3.36224707789188</v>
      </c>
      <c r="AG4345">
        <v>-1.12256564929999</v>
      </c>
      <c r="AH4345">
        <v>13.657124948296801</v>
      </c>
      <c r="AI4345">
        <v>94.563286170030594</v>
      </c>
      <c r="AJ4345">
        <v>103.830602046088</v>
      </c>
      <c r="AK4345">
        <v>14.109639290328101</v>
      </c>
      <c r="AL4345">
        <v>88.219543274799094</v>
      </c>
      <c r="AM4345">
        <v>104.496932026197</v>
      </c>
      <c r="AN4345">
        <v>0.99999996539523806</v>
      </c>
    </row>
    <row r="4346" spans="1:40" x14ac:dyDescent="0.25">
      <c r="A4346" t="str">
        <f>"20190305135719276"</f>
        <v>20190305135719276</v>
      </c>
      <c r="B4346" t="str">
        <f>"1551765439266619"</f>
        <v>1551765439266619</v>
      </c>
      <c r="C4346" t="s">
        <v>40</v>
      </c>
      <c r="D4346">
        <v>4.2879009999999997</v>
      </c>
      <c r="E4346">
        <v>0.50168210000000002</v>
      </c>
      <c r="F4346" t="s">
        <v>42</v>
      </c>
      <c r="G4346">
        <v>-274.3168</v>
      </c>
      <c r="H4346" s="1">
        <v>-1.142614E-6</v>
      </c>
      <c r="I4346">
        <v>-60.997250000000001</v>
      </c>
      <c r="J4346">
        <v>-289.32960000000003</v>
      </c>
      <c r="K4346">
        <v>1.1220589999999999</v>
      </c>
      <c r="L4346">
        <v>-59.7483199999999</v>
      </c>
      <c r="M4346">
        <v>0.94877769999999995</v>
      </c>
      <c r="N4346">
        <v>-1.8803609999999998E-2</v>
      </c>
      <c r="O4346">
        <v>-0.315384</v>
      </c>
      <c r="P4346">
        <v>0.99741860000000004</v>
      </c>
      <c r="Q4346">
        <v>2.015844E-2</v>
      </c>
      <c r="R4346">
        <v>-6.8915939999999995E-2</v>
      </c>
      <c r="S4346">
        <v>2.9938959999999999</v>
      </c>
      <c r="T4346">
        <v>-0.21993770000000001</v>
      </c>
      <c r="U4346">
        <v>-0.26022339999999999</v>
      </c>
      <c r="V4346">
        <v>-0.25025029999999998</v>
      </c>
      <c r="W4346">
        <v>3.1000239999999998E-2</v>
      </c>
      <c r="X4346">
        <v>0.96768469999999995</v>
      </c>
      <c r="Y4346">
        <v>-0.23087550000000001</v>
      </c>
      <c r="Z4346">
        <v>2.7332909999999998E-2</v>
      </c>
      <c r="AA4346">
        <v>0.97259930000000006</v>
      </c>
      <c r="AB4346">
        <v>30</v>
      </c>
      <c r="AC4346">
        <v>15.0128</v>
      </c>
      <c r="AD4346">
        <v>-1.122060142614</v>
      </c>
      <c r="AE4346">
        <v>-1.2489300000000001</v>
      </c>
      <c r="AF4346">
        <v>-3.5308798409050799</v>
      </c>
      <c r="AG4346">
        <v>-1.122060142614</v>
      </c>
      <c r="AH4346">
        <v>14.5595205857583</v>
      </c>
      <c r="AI4346">
        <v>94.283236198012901</v>
      </c>
      <c r="AJ4346">
        <v>103.631823284408</v>
      </c>
      <c r="AK4346">
        <v>15.023507283642999</v>
      </c>
      <c r="AL4346">
        <v>88.223532387912897</v>
      </c>
      <c r="AM4346">
        <v>104.499446161416</v>
      </c>
      <c r="AN4346">
        <v>0.99999995307211698</v>
      </c>
    </row>
    <row r="4347" spans="1:40" x14ac:dyDescent="0.25">
      <c r="A4347" t="str">
        <f>"20190305135719299"</f>
        <v>20190305135719299</v>
      </c>
      <c r="B4347" t="str">
        <f>"1551765439287114"</f>
        <v>1551765439287114</v>
      </c>
      <c r="C4347" t="s">
        <v>40</v>
      </c>
      <c r="D4347">
        <v>4.3425849999999997</v>
      </c>
      <c r="E4347">
        <v>0.51887399999999995</v>
      </c>
      <c r="F4347" t="s">
        <v>42</v>
      </c>
      <c r="G4347">
        <v>-274.08609999999999</v>
      </c>
      <c r="H4347" s="1">
        <v>-1.034194E-6</v>
      </c>
      <c r="I4347">
        <v>-60.954689999999999</v>
      </c>
      <c r="J4347">
        <v>-289.05070000000001</v>
      </c>
      <c r="K4347">
        <v>1.1214580000000001</v>
      </c>
      <c r="L4347">
        <v>-59.827179999999998</v>
      </c>
      <c r="M4347">
        <v>0.95284679999999999</v>
      </c>
      <c r="N4347">
        <v>-1.874381E-2</v>
      </c>
      <c r="O4347">
        <v>-0.30287269999999999</v>
      </c>
      <c r="P4347">
        <v>0.99817060000000002</v>
      </c>
      <c r="Q4347">
        <v>1.4583820000000001E-2</v>
      </c>
      <c r="R4347">
        <v>-5.8679000000000002E-2</v>
      </c>
      <c r="S4347">
        <v>2.9958499999999999</v>
      </c>
      <c r="T4347">
        <v>-0.22052240000000001</v>
      </c>
      <c r="U4347">
        <v>-0.2370911</v>
      </c>
      <c r="V4347">
        <v>-0.2472705</v>
      </c>
      <c r="W4347">
        <v>2.5828179999999999E-2</v>
      </c>
      <c r="X4347">
        <v>0.96860219999999997</v>
      </c>
      <c r="Y4347">
        <v>-0.2256116</v>
      </c>
      <c r="Z4347">
        <v>2.6548559999999999E-2</v>
      </c>
      <c r="AA4347">
        <v>0.97385560000000004</v>
      </c>
      <c r="AB4347">
        <v>30</v>
      </c>
      <c r="AC4347">
        <v>14.964600000000001</v>
      </c>
      <c r="AD4347">
        <v>-1.1214590341940001</v>
      </c>
      <c r="AE4347">
        <v>-1.12750999999999</v>
      </c>
      <c r="AF4347">
        <v>-3.4394245390787299</v>
      </c>
      <c r="AG4347">
        <v>-1.1214590341940001</v>
      </c>
      <c r="AH4347">
        <v>14.521930462338601</v>
      </c>
      <c r="AI4347">
        <v>94.297488723219303</v>
      </c>
      <c r="AJ4347">
        <v>103.324605815155</v>
      </c>
      <c r="AK4347">
        <v>14.9657534350393</v>
      </c>
      <c r="AL4347">
        <v>88.519989723675195</v>
      </c>
      <c r="AM4347">
        <v>104.320932392822</v>
      </c>
      <c r="AN4347">
        <v>1.0000000084486</v>
      </c>
    </row>
    <row r="4348" spans="1:40" x14ac:dyDescent="0.25">
      <c r="A4348" t="str">
        <f>"20190305135719323"</f>
        <v>20190305135719323</v>
      </c>
      <c r="B4348" t="str">
        <f>"1551765439316395"</f>
        <v>1551765439316395</v>
      </c>
      <c r="C4348" t="s">
        <v>40</v>
      </c>
      <c r="D4348">
        <v>4.341145</v>
      </c>
      <c r="E4348">
        <v>0.52078990000000003</v>
      </c>
      <c r="F4348" t="s">
        <v>42</v>
      </c>
      <c r="G4348">
        <v>-269.0752</v>
      </c>
      <c r="H4348" s="1">
        <v>-3.2801749999999999E-6</v>
      </c>
      <c r="I4348">
        <v>-62.094160000000002</v>
      </c>
      <c r="J4348">
        <v>-288.75200000000001</v>
      </c>
      <c r="K4348">
        <v>1.1207469999999999</v>
      </c>
      <c r="L4348">
        <v>-59.908079999999998</v>
      </c>
      <c r="M4348">
        <v>0.95673940000000002</v>
      </c>
      <c r="N4348">
        <v>-1.8637190000000001E-2</v>
      </c>
      <c r="O4348">
        <v>-0.29034860000000001</v>
      </c>
      <c r="P4348">
        <v>0.99872649999999996</v>
      </c>
      <c r="Q4348">
        <v>1.0746479999999999E-2</v>
      </c>
      <c r="R4348">
        <v>-4.9294289999999998E-2</v>
      </c>
      <c r="S4348">
        <v>2.9880070000000001</v>
      </c>
      <c r="T4348">
        <v>-0.1677517</v>
      </c>
      <c r="U4348">
        <v>-0.3391113</v>
      </c>
      <c r="V4348">
        <v>-0.24353269999999999</v>
      </c>
      <c r="W4348">
        <v>2.2431699999999999E-2</v>
      </c>
      <c r="X4348">
        <v>0.96963330000000003</v>
      </c>
      <c r="Y4348">
        <v>-0.18008070000000001</v>
      </c>
      <c r="Z4348">
        <v>1.723773E-2</v>
      </c>
      <c r="AA4348">
        <v>0.98350079999999995</v>
      </c>
      <c r="AB4348">
        <v>29</v>
      </c>
      <c r="AC4348">
        <v>19.6768</v>
      </c>
      <c r="AD4348">
        <v>-1.120750280175</v>
      </c>
      <c r="AE4348">
        <v>-2.1860799999999898</v>
      </c>
      <c r="AF4348">
        <v>-3.6106807445003999</v>
      </c>
      <c r="AG4348">
        <v>-1.120750280175</v>
      </c>
      <c r="AH4348">
        <v>19.401501248822299</v>
      </c>
      <c r="AI4348">
        <v>93.250397312006598</v>
      </c>
      <c r="AJ4348">
        <v>100.542320975275</v>
      </c>
      <c r="AK4348">
        <v>19.766419689394201</v>
      </c>
      <c r="AL4348">
        <v>88.714650513543802</v>
      </c>
      <c r="AM4348">
        <v>104.09875767132699</v>
      </c>
      <c r="AN4348">
        <v>1.00000004680153</v>
      </c>
    </row>
    <row r="4349" spans="1:40" x14ac:dyDescent="0.25">
      <c r="A4349" t="str">
        <f>"20190305135719344"</f>
        <v>20190305135719344</v>
      </c>
      <c r="B4349" t="str">
        <f>"1551765439336891"</f>
        <v>1551765439336891</v>
      </c>
      <c r="C4349" t="s">
        <v>40</v>
      </c>
      <c r="D4349">
        <v>4.3411470000000003</v>
      </c>
      <c r="E4349">
        <v>0.52222709999999894</v>
      </c>
      <c r="F4349" t="s">
        <v>42</v>
      </c>
      <c r="G4349">
        <v>-269.91210000000001</v>
      </c>
      <c r="H4349" s="1">
        <v>-3.5408079999999998E-6</v>
      </c>
      <c r="I4349">
        <v>-61.957859999999997</v>
      </c>
      <c r="J4349">
        <v>-288.48340000000002</v>
      </c>
      <c r="K4349">
        <v>1.12005</v>
      </c>
      <c r="L4349">
        <v>-59.9779699999999</v>
      </c>
      <c r="M4349">
        <v>0.959839</v>
      </c>
      <c r="N4349">
        <v>-1.8514659999999999E-2</v>
      </c>
      <c r="O4349">
        <v>-0.27993970000000001</v>
      </c>
      <c r="P4349">
        <v>0.99911589999999995</v>
      </c>
      <c r="Q4349">
        <v>1.2669329999999999E-2</v>
      </c>
      <c r="R4349">
        <v>-4.0084549999999997E-2</v>
      </c>
      <c r="S4349">
        <v>2.9896850000000001</v>
      </c>
      <c r="T4349">
        <v>-0.17785020000000001</v>
      </c>
      <c r="U4349">
        <v>-0.32528689999999999</v>
      </c>
      <c r="V4349">
        <v>-0.24193809999999999</v>
      </c>
      <c r="W4349">
        <v>2.4702720000000001E-2</v>
      </c>
      <c r="X4349">
        <v>0.96997719999999998</v>
      </c>
      <c r="Y4349">
        <v>-0.17389189999999999</v>
      </c>
      <c r="Z4349">
        <v>1.788905E-2</v>
      </c>
      <c r="AA4349">
        <v>0.98460230000000004</v>
      </c>
      <c r="AB4349">
        <v>29</v>
      </c>
      <c r="AC4349">
        <v>18.571300000000001</v>
      </c>
      <c r="AD4349">
        <v>-1.1200535408079999</v>
      </c>
      <c r="AE4349">
        <v>-1.9798899999999999</v>
      </c>
      <c r="AF4349">
        <v>-3.2872115292431801</v>
      </c>
      <c r="AG4349">
        <v>-1.1200535408079999</v>
      </c>
      <c r="AH4349">
        <v>18.3169817318444</v>
      </c>
      <c r="AI4349">
        <v>93.444296769396701</v>
      </c>
      <c r="AJ4349">
        <v>100.174141530382</v>
      </c>
      <c r="AK4349">
        <v>18.643285636844901</v>
      </c>
      <c r="AL4349">
        <v>88.584494440221306</v>
      </c>
      <c r="AM4349">
        <v>104.005317613334</v>
      </c>
      <c r="AN4349">
        <v>1.0000000185634199</v>
      </c>
    </row>
    <row r="4350" spans="1:40" x14ac:dyDescent="0.25">
      <c r="A4350" t="str">
        <f>"20190305135719368"</f>
        <v>20190305135719368</v>
      </c>
      <c r="B4350" t="str">
        <f>"1551765439356411"</f>
        <v>1551765439356411</v>
      </c>
      <c r="C4350" t="s">
        <v>40</v>
      </c>
      <c r="D4350">
        <v>4.4545709999999996</v>
      </c>
      <c r="E4350">
        <v>0.52116220000000002</v>
      </c>
      <c r="F4350" t="s">
        <v>89</v>
      </c>
      <c r="G4350">
        <v>-268.31</v>
      </c>
      <c r="H4350" s="1">
        <v>-3.0142010000000001E-6</v>
      </c>
      <c r="I4350">
        <v>-62.062660000000001</v>
      </c>
      <c r="J4350">
        <v>-288.19260000000003</v>
      </c>
      <c r="K4350">
        <v>1.1192470000000001</v>
      </c>
      <c r="L4350">
        <v>-60.051090000000002</v>
      </c>
      <c r="M4350">
        <v>0.96279340000000002</v>
      </c>
      <c r="N4350">
        <v>-1.8370689999999999E-2</v>
      </c>
      <c r="O4350">
        <v>-0.26961400000000002</v>
      </c>
      <c r="P4350">
        <v>0.99948139999999996</v>
      </c>
      <c r="Q4350">
        <v>1.404291E-2</v>
      </c>
      <c r="R4350">
        <v>-2.898508E-2</v>
      </c>
      <c r="S4350">
        <v>2.99234</v>
      </c>
      <c r="T4350">
        <v>-0.1661386</v>
      </c>
      <c r="U4350">
        <v>-0.30923460000000003</v>
      </c>
      <c r="V4350">
        <v>-0.24226420000000001</v>
      </c>
      <c r="W4350">
        <v>2.6417820000000002E-2</v>
      </c>
      <c r="X4350">
        <v>0.96985060000000001</v>
      </c>
      <c r="Y4350">
        <v>-0.168730399999999</v>
      </c>
      <c r="Z4350">
        <v>1.5947949999999999E-2</v>
      </c>
      <c r="AA4350">
        <v>0.9855332</v>
      </c>
      <c r="AB4350">
        <v>29</v>
      </c>
      <c r="AC4350">
        <v>19.8826</v>
      </c>
      <c r="AD4350">
        <v>-1.11925001420099</v>
      </c>
      <c r="AE4350">
        <v>-2.0115699999999901</v>
      </c>
      <c r="AF4350">
        <v>-3.41377007278059</v>
      </c>
      <c r="AG4350">
        <v>-1.11925001420099</v>
      </c>
      <c r="AH4350">
        <v>19.6269373252557</v>
      </c>
      <c r="AI4350">
        <v>93.215651745896594</v>
      </c>
      <c r="AJ4350">
        <v>99.866911080142103</v>
      </c>
      <c r="AK4350">
        <v>19.953025221093998</v>
      </c>
      <c r="AL4350">
        <v>88.486194316908296</v>
      </c>
      <c r="AM4350">
        <v>104.025208759487</v>
      </c>
      <c r="AN4350">
        <v>1.0000000150677699</v>
      </c>
    </row>
    <row r="4351" spans="1:40" x14ac:dyDescent="0.25">
      <c r="A4351" t="str">
        <f>"20190305135719389"</f>
        <v>20190305135719389</v>
      </c>
      <c r="B4351" t="str">
        <f>"1551765439376907"</f>
        <v>1551765439376907</v>
      </c>
      <c r="C4351" t="s">
        <v>40</v>
      </c>
      <c r="D4351">
        <v>4.4482589999999904</v>
      </c>
      <c r="E4351">
        <v>0.52109450000000002</v>
      </c>
      <c r="F4351" t="s">
        <v>42</v>
      </c>
      <c r="G4351">
        <v>-270.01190000000003</v>
      </c>
      <c r="H4351" s="1">
        <v>5.5067780000000002E-7</v>
      </c>
      <c r="I4351">
        <v>-61.687429999999999</v>
      </c>
      <c r="J4351">
        <v>-287.92779999999999</v>
      </c>
      <c r="K4351">
        <v>1.1184689999999999</v>
      </c>
      <c r="L4351">
        <v>-60.115630000000003</v>
      </c>
      <c r="M4351">
        <v>0.96513179999999998</v>
      </c>
      <c r="N4351">
        <v>-1.8235410000000001E-2</v>
      </c>
      <c r="O4351">
        <v>-0.26112879999999999</v>
      </c>
      <c r="P4351">
        <v>0.99968380000000001</v>
      </c>
      <c r="Q4351">
        <v>1.182653E-2</v>
      </c>
      <c r="R4351">
        <v>-2.2194970000000001E-2</v>
      </c>
      <c r="S4351">
        <v>2.9963380000000002</v>
      </c>
      <c r="T4351">
        <v>-0.18446180000000001</v>
      </c>
      <c r="U4351">
        <v>-0.26968379999999997</v>
      </c>
      <c r="V4351">
        <v>-0.2402215</v>
      </c>
      <c r="W4351">
        <v>2.45907E-2</v>
      </c>
      <c r="X4351">
        <v>0.97040660000000001</v>
      </c>
      <c r="Y4351">
        <v>-0.1729396</v>
      </c>
      <c r="Z4351">
        <v>1.7924059999999999E-2</v>
      </c>
      <c r="AA4351">
        <v>0.98476929999999996</v>
      </c>
      <c r="AB4351">
        <v>29</v>
      </c>
      <c r="AC4351">
        <v>17.915899999999901</v>
      </c>
      <c r="AD4351">
        <v>-1.1184684493221999</v>
      </c>
      <c r="AE4351">
        <v>-1.5718000000000001</v>
      </c>
      <c r="AF4351">
        <v>-3.1497070173023198</v>
      </c>
      <c r="AG4351">
        <v>-1.1184684493221999</v>
      </c>
      <c r="AH4351">
        <v>17.636379182060701</v>
      </c>
      <c r="AI4351">
        <v>93.572365831172206</v>
      </c>
      <c r="AJ4351">
        <v>100.125784876906</v>
      </c>
      <c r="AK4351">
        <v>17.950306309932401</v>
      </c>
      <c r="AL4351">
        <v>88.590914666305807</v>
      </c>
      <c r="AM4351">
        <v>103.903902527265</v>
      </c>
      <c r="AN4351">
        <v>1.0000000204561399</v>
      </c>
    </row>
    <row r="4352" spans="1:40" x14ac:dyDescent="0.25">
      <c r="A4352" t="str">
        <f>"20190305135719413"</f>
        <v>20190305135719413</v>
      </c>
      <c r="B4352" t="str">
        <f>"1551765439407165"</f>
        <v>1551765439407165</v>
      </c>
      <c r="C4352" t="s">
        <v>40</v>
      </c>
      <c r="D4352">
        <v>4.9092799999999999</v>
      </c>
      <c r="E4352">
        <v>0.49513230000000003</v>
      </c>
      <c r="F4352" t="s">
        <v>42</v>
      </c>
      <c r="G4352">
        <v>-270.59750000000003</v>
      </c>
      <c r="H4352" s="1">
        <v>3.2827140000000001E-7</v>
      </c>
      <c r="I4352">
        <v>-61.55791</v>
      </c>
      <c r="J4352">
        <v>-287.64859999999999</v>
      </c>
      <c r="K4352">
        <v>1.1176379999999999</v>
      </c>
      <c r="L4352">
        <v>-60.181820000000002</v>
      </c>
      <c r="M4352">
        <v>0.96724869999999996</v>
      </c>
      <c r="N4352">
        <v>-1.8091940000000001E-2</v>
      </c>
      <c r="O4352">
        <v>-0.25318489999999999</v>
      </c>
      <c r="P4352">
        <v>0.99979470000000004</v>
      </c>
      <c r="Q4352">
        <v>1.0115519999999999E-2</v>
      </c>
      <c r="R4352">
        <v>-1.7564570000000002E-2</v>
      </c>
      <c r="S4352">
        <v>2.9977420000000001</v>
      </c>
      <c r="T4352">
        <v>-0.19346949999999999</v>
      </c>
      <c r="U4352">
        <v>-0.24948119999999999</v>
      </c>
      <c r="V4352">
        <v>-0.236654</v>
      </c>
      <c r="W4352">
        <v>2.3319820000000002E-2</v>
      </c>
      <c r="X4352">
        <v>0.97131409999999996</v>
      </c>
      <c r="Y4352">
        <v>-0.1714099</v>
      </c>
      <c r="Z4352">
        <v>1.8569220000000001E-2</v>
      </c>
      <c r="AA4352">
        <v>0.98502480000000003</v>
      </c>
      <c r="AB4352">
        <v>29</v>
      </c>
      <c r="AC4352">
        <v>17.051099999999899</v>
      </c>
      <c r="AD4352">
        <v>-1.1176376717285901</v>
      </c>
      <c r="AE4352">
        <v>-1.37609</v>
      </c>
      <c r="AF4352">
        <v>-2.9738546883844799</v>
      </c>
      <c r="AG4352">
        <v>-1.1176376717285901</v>
      </c>
      <c r="AH4352">
        <v>16.772224072213799</v>
      </c>
      <c r="AI4352">
        <v>93.753957363298198</v>
      </c>
      <c r="AJ4352">
        <v>100.05452138282099</v>
      </c>
      <c r="AK4352">
        <v>17.070454768442499</v>
      </c>
      <c r="AL4352">
        <v>88.6637516116336</v>
      </c>
      <c r="AM4352">
        <v>103.692936646657</v>
      </c>
      <c r="AN4352">
        <v>1.0000000052898199</v>
      </c>
    </row>
    <row r="4353" spans="1:40" x14ac:dyDescent="0.25">
      <c r="A4353" t="str">
        <f>"20190305135719434"</f>
        <v>20190305135719434</v>
      </c>
      <c r="B4353" t="str">
        <f>"1551765439426683"</f>
        <v>1551765439426683</v>
      </c>
      <c r="C4353" t="s">
        <v>40</v>
      </c>
      <c r="D4353">
        <v>4.4161640000000002</v>
      </c>
      <c r="E4353">
        <v>0.496091</v>
      </c>
      <c r="F4353" t="s">
        <v>42</v>
      </c>
      <c r="G4353">
        <v>-271.35660000000001</v>
      </c>
      <c r="H4353" s="1">
        <v>2.5350959999999998E-7</v>
      </c>
      <c r="I4353">
        <v>-60.337330000000001</v>
      </c>
      <c r="J4353">
        <v>-287.36009999999999</v>
      </c>
      <c r="K4353">
        <v>1.11683</v>
      </c>
      <c r="L4353">
        <v>-60.248690000000003</v>
      </c>
      <c r="M4353">
        <v>0.96911119999999995</v>
      </c>
      <c r="N4353">
        <v>-1.7948039999999998E-2</v>
      </c>
      <c r="O4353">
        <v>-0.24597060000000001</v>
      </c>
      <c r="P4353">
        <v>0.99980029999999998</v>
      </c>
      <c r="Q4353">
        <v>1.4143799999999899E-2</v>
      </c>
      <c r="R4353">
        <v>-1.412912E-2</v>
      </c>
      <c r="S4353">
        <v>3.002167</v>
      </c>
      <c r="T4353">
        <v>-0.2059492</v>
      </c>
      <c r="U4353">
        <v>-2.8656009999999999E-2</v>
      </c>
      <c r="V4353">
        <v>-0.23275399999999999</v>
      </c>
      <c r="W4353">
        <v>2.7776789999999999E-2</v>
      </c>
      <c r="X4353">
        <v>0.97213890000000003</v>
      </c>
      <c r="Y4353">
        <v>-0.23574510000000001</v>
      </c>
      <c r="Z4353">
        <v>2.2465349999999999E-2</v>
      </c>
      <c r="AA4353">
        <v>0.97155519999999995</v>
      </c>
      <c r="AB4353">
        <v>29</v>
      </c>
      <c r="AC4353">
        <v>16.003499999999899</v>
      </c>
      <c r="AD4353">
        <v>-1.11682974649039</v>
      </c>
      <c r="AE4353">
        <v>-8.8639999999997998E-2</v>
      </c>
      <c r="AF4353">
        <v>-3.8324443769360799</v>
      </c>
      <c r="AG4353">
        <v>-1.11682974649039</v>
      </c>
      <c r="AH4353">
        <v>15.4581928979346</v>
      </c>
      <c r="AI4353">
        <v>94.011321579375405</v>
      </c>
      <c r="AJ4353">
        <v>103.92419555345001</v>
      </c>
      <c r="AK4353">
        <v>15.965295683284801</v>
      </c>
      <c r="AL4353">
        <v>88.408302453074896</v>
      </c>
      <c r="AM4353">
        <v>103.464558579111</v>
      </c>
      <c r="AN4353">
        <v>1.0000000077359501</v>
      </c>
    </row>
    <row r="4354" spans="1:40" x14ac:dyDescent="0.25">
      <c r="A4354" t="str">
        <f>"20190305135719455"</f>
        <v>20190305135719455</v>
      </c>
      <c r="B4354" t="str">
        <f>"1551765439447180"</f>
        <v>1551765439447180</v>
      </c>
      <c r="C4354" t="s">
        <v>40</v>
      </c>
      <c r="D4354">
        <v>4.3706880000000004</v>
      </c>
      <c r="E4354">
        <v>0.49766549999999998</v>
      </c>
      <c r="F4354" t="s">
        <v>89</v>
      </c>
      <c r="G4354">
        <v>-267.01420000000002</v>
      </c>
      <c r="H4354" s="1">
        <v>-2.0209410000000001E-6</v>
      </c>
      <c r="I4354">
        <v>-60.408470000000001</v>
      </c>
      <c r="J4354">
        <v>-287.09829999999999</v>
      </c>
      <c r="K4354">
        <v>1.116196</v>
      </c>
      <c r="L4354">
        <v>-60.308169999999997</v>
      </c>
      <c r="M4354">
        <v>0.97058129999999998</v>
      </c>
      <c r="N4354">
        <v>-1.7824909999999999E-2</v>
      </c>
      <c r="O4354">
        <v>-0.2401132</v>
      </c>
      <c r="P4354">
        <v>0.9997258</v>
      </c>
      <c r="Q4354">
        <v>2.0645219999999999E-2</v>
      </c>
      <c r="R4354">
        <v>-1.1066589999999999E-2</v>
      </c>
      <c r="S4354">
        <v>3.0025940000000002</v>
      </c>
      <c r="T4354">
        <v>-0.1648192</v>
      </c>
      <c r="U4354">
        <v>-2.3590090000000001E-2</v>
      </c>
      <c r="V4354">
        <v>-0.22987920000000001</v>
      </c>
      <c r="W4354">
        <v>3.4595569999999999E-2</v>
      </c>
      <c r="X4354">
        <v>0.97260409999999997</v>
      </c>
      <c r="Y4354">
        <v>-0.2318974</v>
      </c>
      <c r="Z4354">
        <v>1.7187259999999999E-2</v>
      </c>
      <c r="AA4354">
        <v>0.97258840000000002</v>
      </c>
      <c r="AB4354">
        <v>29</v>
      </c>
      <c r="AC4354">
        <v>20.0840999999999</v>
      </c>
      <c r="AD4354">
        <v>-1.1161980209410001</v>
      </c>
      <c r="AE4354">
        <v>-0.100299999999997</v>
      </c>
      <c r="AF4354">
        <v>-4.7113072018164699</v>
      </c>
      <c r="AG4354">
        <v>-1.1161980209410001</v>
      </c>
      <c r="AH4354">
        <v>19.460329347896199</v>
      </c>
      <c r="AI4354">
        <v>93.190774504064294</v>
      </c>
      <c r="AJ4354">
        <v>103.60933986608499</v>
      </c>
      <c r="AK4354">
        <v>20.053596482936101</v>
      </c>
      <c r="AL4354">
        <v>88.017424274613305</v>
      </c>
      <c r="AM4354">
        <v>103.298065862431</v>
      </c>
      <c r="AN4354">
        <v>1.00000001769653</v>
      </c>
    </row>
    <row r="4355" spans="1:40" x14ac:dyDescent="0.25">
      <c r="A4355" t="str">
        <f>"20190305135719478"</f>
        <v>20190305135719478</v>
      </c>
      <c r="B4355" t="str">
        <f>"1551765439466699"</f>
        <v>1551765439466699</v>
      </c>
      <c r="C4355" t="s">
        <v>40</v>
      </c>
      <c r="D4355">
        <v>4.4194740000000001</v>
      </c>
      <c r="E4355">
        <v>0.50006279999999903</v>
      </c>
      <c r="F4355" t="s">
        <v>42</v>
      </c>
      <c r="G4355">
        <v>-262.59320000000002</v>
      </c>
      <c r="H4355" s="1">
        <v>-1.5530139999999999E-7</v>
      </c>
      <c r="I4355">
        <v>-60.524729999999998</v>
      </c>
      <c r="J4355">
        <v>-286.8193</v>
      </c>
      <c r="K4355">
        <v>1.1155949999999999</v>
      </c>
      <c r="L4355">
        <v>-60.37039</v>
      </c>
      <c r="M4355">
        <v>0.97193739999999995</v>
      </c>
      <c r="N4355">
        <v>-1.7694709999999999E-2</v>
      </c>
      <c r="O4355">
        <v>-0.23457320000000001</v>
      </c>
      <c r="P4355">
        <v>0.99970539999999997</v>
      </c>
      <c r="Q4355">
        <v>2.3467789999999999E-2</v>
      </c>
      <c r="R4355">
        <v>-6.2002749999999999E-3</v>
      </c>
      <c r="S4355">
        <v>3.003387</v>
      </c>
      <c r="T4355">
        <v>-0.13680300000000001</v>
      </c>
      <c r="U4355">
        <v>-2.6550290000000001E-2</v>
      </c>
      <c r="V4355">
        <v>-0.2290315</v>
      </c>
      <c r="W4355">
        <v>3.7661529999999999E-2</v>
      </c>
      <c r="X4355">
        <v>0.97269019999999995</v>
      </c>
      <c r="Y4355">
        <v>-0.22559679999999999</v>
      </c>
      <c r="Z4355">
        <v>1.3553249999999999E-2</v>
      </c>
      <c r="AA4355">
        <v>0.97412650000000001</v>
      </c>
      <c r="AB4355">
        <v>29</v>
      </c>
      <c r="AC4355">
        <v>24.226099999999899</v>
      </c>
      <c r="AD4355">
        <v>-1.1155951553014001</v>
      </c>
      <c r="AE4355">
        <v>-0.154340000000004</v>
      </c>
      <c r="AF4355">
        <v>-5.5219423372367302</v>
      </c>
      <c r="AG4355">
        <v>-1.1155951553014001</v>
      </c>
      <c r="AH4355">
        <v>23.536241936404998</v>
      </c>
      <c r="AI4355">
        <v>92.642097700346795</v>
      </c>
      <c r="AJ4355">
        <v>103.203614827696</v>
      </c>
      <c r="AK4355">
        <v>24.201055435978201</v>
      </c>
      <c r="AL4355">
        <v>87.8416428909741</v>
      </c>
      <c r="AM4355">
        <v>103.24962946589</v>
      </c>
      <c r="AN4355">
        <v>1.00000002200511</v>
      </c>
    </row>
    <row r="4356" spans="1:40" x14ac:dyDescent="0.25">
      <c r="A4356" t="str">
        <f>"20190305135719500"</f>
        <v>20190305135719500</v>
      </c>
      <c r="B4356" t="str">
        <f>"1551765439496955"</f>
        <v>1551765439496955</v>
      </c>
      <c r="C4356" t="s">
        <v>40</v>
      </c>
      <c r="D4356">
        <v>4.3315929999999998</v>
      </c>
      <c r="E4356">
        <v>0.50127690000000003</v>
      </c>
      <c r="F4356" t="s">
        <v>88</v>
      </c>
      <c r="G4356">
        <v>-258.7912</v>
      </c>
      <c r="H4356" s="1">
        <v>-2.9693399999999999E-6</v>
      </c>
      <c r="I4356">
        <v>-60.661450000000002</v>
      </c>
      <c r="J4356">
        <v>-286.54500000000002</v>
      </c>
      <c r="K4356">
        <v>1.1150150000000001</v>
      </c>
      <c r="L4356">
        <v>-60.430509999999998</v>
      </c>
      <c r="M4356">
        <v>0.97308309999999998</v>
      </c>
      <c r="N4356">
        <v>-1.7542490000000001E-2</v>
      </c>
      <c r="O4356">
        <v>-0.22978609999999999</v>
      </c>
      <c r="P4356">
        <v>0.99977559999999999</v>
      </c>
      <c r="Q4356">
        <v>2.118395E-2</v>
      </c>
      <c r="R4356">
        <v>-7.6750649999999903E-4</v>
      </c>
      <c r="S4356">
        <v>3.0034480000000001</v>
      </c>
      <c r="T4356">
        <v>-0.11954579999999999</v>
      </c>
      <c r="U4356">
        <v>-3.1188960000000002E-2</v>
      </c>
      <c r="V4356">
        <v>-0.22945879999999999</v>
      </c>
      <c r="W4356">
        <v>3.5545800000000002E-2</v>
      </c>
      <c r="X4356">
        <v>0.97266909999999895</v>
      </c>
      <c r="Y4356">
        <v>-0.2193996</v>
      </c>
      <c r="Z4356">
        <v>1.130888E-2</v>
      </c>
      <c r="AA4356">
        <v>0.97556949999999998</v>
      </c>
      <c r="AB4356">
        <v>29</v>
      </c>
      <c r="AC4356">
        <v>27.753799999999998</v>
      </c>
      <c r="AD4356">
        <v>-1.11501796934</v>
      </c>
      <c r="AE4356">
        <v>-0.230940000000003</v>
      </c>
      <c r="AF4356">
        <v>-6.1437445788535401</v>
      </c>
      <c r="AG4356">
        <v>-1.11501796934</v>
      </c>
      <c r="AH4356">
        <v>27.020374292121499</v>
      </c>
      <c r="AI4356">
        <v>92.304268799100598</v>
      </c>
      <c r="AJ4356">
        <v>102.809811665513</v>
      </c>
      <c r="AK4356">
        <v>27.732462736087498</v>
      </c>
      <c r="AL4356">
        <v>87.962946579411707</v>
      </c>
      <c r="AM4356">
        <v>103.273752574018</v>
      </c>
      <c r="AN4356">
        <v>1.0000000114449401</v>
      </c>
    </row>
    <row r="4357" spans="1:40" x14ac:dyDescent="0.25">
      <c r="A4357" t="str">
        <f>"20190305135719523"</f>
        <v>20190305135719523</v>
      </c>
      <c r="B4357" t="str">
        <f>"1551765439516475"</f>
        <v>1551765439516475</v>
      </c>
      <c r="C4357" t="s">
        <v>40</v>
      </c>
      <c r="D4357">
        <v>4.4440540000000004</v>
      </c>
      <c r="E4357">
        <v>0.50246440000000003</v>
      </c>
      <c r="F4357" t="s">
        <v>89</v>
      </c>
      <c r="G4357">
        <v>-262.4581</v>
      </c>
      <c r="H4357" s="1">
        <v>-1.28481899999999E-7</v>
      </c>
      <c r="I4357">
        <v>-60.641889999999997</v>
      </c>
      <c r="J4357">
        <v>-286.25130000000001</v>
      </c>
      <c r="K4357">
        <v>1.1143970000000001</v>
      </c>
      <c r="L4357">
        <v>-60.493989999999997</v>
      </c>
      <c r="M4357">
        <v>0.97413490000000003</v>
      </c>
      <c r="N4357">
        <v>-1.73297E-2</v>
      </c>
      <c r="O4357">
        <v>-0.22530220000000001</v>
      </c>
      <c r="P4357">
        <v>0.99986079999999999</v>
      </c>
      <c r="Q4357">
        <v>1.6393069999999999E-2</v>
      </c>
      <c r="R4357">
        <v>3.1605159999999999E-3</v>
      </c>
      <c r="S4357">
        <v>3.0036010000000002</v>
      </c>
      <c r="T4357">
        <v>-0.13904049999999901</v>
      </c>
      <c r="U4357">
        <v>-2.6367189999999999E-2</v>
      </c>
      <c r="V4357">
        <v>-0.22871630000000001</v>
      </c>
      <c r="W4357">
        <v>3.089157E-2</v>
      </c>
      <c r="X4357">
        <v>0.9730029</v>
      </c>
      <c r="Y4357">
        <v>-0.21636649999999999</v>
      </c>
      <c r="Z4357">
        <v>1.3305020000000001E-2</v>
      </c>
      <c r="AA4357">
        <v>0.97622160000000002</v>
      </c>
      <c r="AB4357">
        <v>29</v>
      </c>
      <c r="AC4357">
        <v>23.793199999999999</v>
      </c>
      <c r="AD4357">
        <v>-1.1143971284819001</v>
      </c>
      <c r="AE4357">
        <v>-0.147899999999999</v>
      </c>
      <c r="AF4357">
        <v>-5.20594894743759</v>
      </c>
      <c r="AG4357">
        <v>-1.1143971284819001</v>
      </c>
      <c r="AH4357">
        <v>23.163780412962499</v>
      </c>
      <c r="AI4357">
        <v>92.687412603686298</v>
      </c>
      <c r="AJ4357">
        <v>102.666488372896</v>
      </c>
      <c r="AK4357">
        <v>23.767719882715799</v>
      </c>
      <c r="AL4357">
        <v>88.229761856539398</v>
      </c>
      <c r="AM4357">
        <v>103.227933885219</v>
      </c>
      <c r="AN4357">
        <v>1.0000000391955799</v>
      </c>
    </row>
    <row r="4358" spans="1:40" x14ac:dyDescent="0.25">
      <c r="A4358" t="str">
        <f>"20190305135719544"</f>
        <v>20190305135719544</v>
      </c>
      <c r="B4358" t="str">
        <f>"1551765439536975"</f>
        <v>1551765439536975</v>
      </c>
      <c r="C4358" t="s">
        <v>40</v>
      </c>
      <c r="D4358">
        <v>4.4485219999999996</v>
      </c>
      <c r="E4358">
        <v>0.5041156</v>
      </c>
      <c r="F4358" t="s">
        <v>42</v>
      </c>
      <c r="G4358">
        <v>-264.75810000000001</v>
      </c>
      <c r="H4358" s="1">
        <v>-1.1233220000000001E-6</v>
      </c>
      <c r="I4358">
        <v>-60.672370000000001</v>
      </c>
      <c r="J4358">
        <v>-285.98410000000001</v>
      </c>
      <c r="K4358">
        <v>1.1138380000000001</v>
      </c>
      <c r="L4358">
        <v>-60.551119999999997</v>
      </c>
      <c r="M4358">
        <v>0.9749603</v>
      </c>
      <c r="N4358">
        <v>-1.7083569999999999E-2</v>
      </c>
      <c r="O4358">
        <v>-0.22172159999999999</v>
      </c>
      <c r="P4358">
        <v>0.99990000000000001</v>
      </c>
      <c r="Q4358">
        <v>1.3129729999999999E-2</v>
      </c>
      <c r="R4358">
        <v>5.2511119999999996E-3</v>
      </c>
      <c r="S4358">
        <v>3.0030519999999998</v>
      </c>
      <c r="T4358">
        <v>-0.15570510000000001</v>
      </c>
      <c r="U4358">
        <v>-2.4932860000000001E-2</v>
      </c>
      <c r="V4358">
        <v>-0.2271138</v>
      </c>
      <c r="W4358">
        <v>2.7701469999999999E-2</v>
      </c>
      <c r="X4358">
        <v>0.97347410000000001</v>
      </c>
      <c r="Y4358">
        <v>-0.21314140000000001</v>
      </c>
      <c r="Z4358">
        <v>1.494617E-2</v>
      </c>
      <c r="AA4358">
        <v>0.97690699999999997</v>
      </c>
      <c r="AB4358">
        <v>29</v>
      </c>
      <c r="AC4358">
        <v>21.225999999999999</v>
      </c>
      <c r="AD4358">
        <v>-1.113839123322</v>
      </c>
      <c r="AE4358">
        <v>-0.121249999999996</v>
      </c>
      <c r="AF4358">
        <v>-4.57611800938803</v>
      </c>
      <c r="AG4358">
        <v>-1.113839123322</v>
      </c>
      <c r="AH4358">
        <v>20.667507284425302</v>
      </c>
      <c r="AI4358">
        <v>93.012060777004294</v>
      </c>
      <c r="AJ4358">
        <v>102.48478407969</v>
      </c>
      <c r="AK4358">
        <v>21.197343016997699</v>
      </c>
      <c r="AL4358">
        <v>88.412619519283794</v>
      </c>
      <c r="AM4358">
        <v>103.132339009042</v>
      </c>
      <c r="AN4358">
        <v>0.99999993648070296</v>
      </c>
    </row>
    <row r="4359" spans="1:40" x14ac:dyDescent="0.25">
      <c r="A4359" t="str">
        <f>"20190305135719568"</f>
        <v>20190305135719568</v>
      </c>
      <c r="B4359" t="str">
        <f>"1551765439556491"</f>
        <v>1551765439556491</v>
      </c>
      <c r="C4359" t="s">
        <v>40</v>
      </c>
      <c r="D4359">
        <v>4.4600330000000001</v>
      </c>
      <c r="E4359">
        <v>0.50553990000000004</v>
      </c>
      <c r="F4359" t="s">
        <v>42</v>
      </c>
      <c r="G4359">
        <v>-265.1105</v>
      </c>
      <c r="H4359" s="1">
        <v>-1.301531E-6</v>
      </c>
      <c r="I4359">
        <v>-60.774019999999901</v>
      </c>
      <c r="J4359">
        <v>-285.69779999999997</v>
      </c>
      <c r="K4359">
        <v>1.1132770000000001</v>
      </c>
      <c r="L4359">
        <v>-60.611849999999997</v>
      </c>
      <c r="M4359">
        <v>0.97573129999999997</v>
      </c>
      <c r="N4359">
        <v>-1.678934E-2</v>
      </c>
      <c r="O4359">
        <v>-0.21832679999999999</v>
      </c>
      <c r="P4359">
        <v>0.99989899999999998</v>
      </c>
      <c r="Q4359">
        <v>1.285391E-2</v>
      </c>
      <c r="R4359">
        <v>6.0781610000000003E-3</v>
      </c>
      <c r="S4359">
        <v>3.0025629999999999</v>
      </c>
      <c r="T4359">
        <v>-0.1602201</v>
      </c>
      <c r="U4359">
        <v>-3.207397E-2</v>
      </c>
      <c r="V4359">
        <v>-0.22448860000000001</v>
      </c>
      <c r="W4359">
        <v>2.7459330000000001E-2</v>
      </c>
      <c r="X4359">
        <v>0.97408969999999995</v>
      </c>
      <c r="Y4359">
        <v>-0.20739270000000001</v>
      </c>
      <c r="Z4359">
        <v>1.5151710000000001E-2</v>
      </c>
      <c r="AA4359">
        <v>0.97814040000000002</v>
      </c>
      <c r="AB4359">
        <v>29</v>
      </c>
      <c r="AC4359">
        <v>20.5872999999999</v>
      </c>
      <c r="AD4359">
        <v>-1.1132783015309999</v>
      </c>
      <c r="AE4359">
        <v>-0.16216999999999601</v>
      </c>
      <c r="AF4359">
        <v>-4.3244912737700298</v>
      </c>
      <c r="AG4359">
        <v>-1.1132783015309999</v>
      </c>
      <c r="AH4359">
        <v>20.067238182237102</v>
      </c>
      <c r="AI4359">
        <v>93.104247307026498</v>
      </c>
      <c r="AJ4359">
        <v>102.161263449201</v>
      </c>
      <c r="AK4359">
        <v>20.558080202592102</v>
      </c>
      <c r="AL4359">
        <v>88.426498413330904</v>
      </c>
      <c r="AM4359">
        <v>102.977787599035</v>
      </c>
      <c r="AN4359">
        <v>0.99999994499004696</v>
      </c>
    </row>
    <row r="4360" spans="1:40" x14ac:dyDescent="0.25">
      <c r="A4360" t="str">
        <f>"20190305135719591"</f>
        <v>20190305135719591</v>
      </c>
      <c r="B4360" t="str">
        <f>"1551765439586748"</f>
        <v>1551765439586748</v>
      </c>
      <c r="C4360" t="s">
        <v>40</v>
      </c>
      <c r="D4360">
        <v>4.5217589999999896</v>
      </c>
      <c r="E4360">
        <v>0.50778760000000001</v>
      </c>
      <c r="F4360" t="s">
        <v>42</v>
      </c>
      <c r="G4360">
        <v>-264.57709999999997</v>
      </c>
      <c r="H4360" s="1">
        <v>-1.1065440000000001E-6</v>
      </c>
      <c r="I4360">
        <v>-60.901150000000001</v>
      </c>
      <c r="J4360">
        <v>-285.42189999999999</v>
      </c>
      <c r="K4360">
        <v>1.1128169999999999</v>
      </c>
      <c r="L4360">
        <v>-60.669829999999997</v>
      </c>
      <c r="M4360">
        <v>0.97637719999999995</v>
      </c>
      <c r="N4360">
        <v>-1.6508180000000001E-2</v>
      </c>
      <c r="O4360">
        <v>-0.21544189999999999</v>
      </c>
      <c r="P4360">
        <v>0.99989930000000005</v>
      </c>
      <c r="Q4360">
        <v>1.3408949999999999E-2</v>
      </c>
      <c r="R4360">
        <v>4.6814329999999996E-3</v>
      </c>
      <c r="S4360">
        <v>3.0025940000000002</v>
      </c>
      <c r="T4360">
        <v>-0.15826809999999999</v>
      </c>
      <c r="U4360">
        <v>-4.1137699999999902E-2</v>
      </c>
      <c r="V4360">
        <v>-0.22021489999999999</v>
      </c>
      <c r="W4360">
        <v>2.8024650000000002E-2</v>
      </c>
      <c r="X4360">
        <v>0.97504869999999999</v>
      </c>
      <c r="Y4360">
        <v>-0.20156969999999999</v>
      </c>
      <c r="Z4360">
        <v>1.4672569999999999E-2</v>
      </c>
      <c r="AA4360">
        <v>0.97936429999999997</v>
      </c>
      <c r="AB4360">
        <v>29</v>
      </c>
      <c r="AC4360">
        <v>20.844799999999999</v>
      </c>
      <c r="AD4360">
        <v>-1.1128181065439999</v>
      </c>
      <c r="AE4360">
        <v>-0.231319999999996</v>
      </c>
      <c r="AF4360">
        <v>-4.25344759140307</v>
      </c>
      <c r="AG4360">
        <v>-1.1128181065439999</v>
      </c>
      <c r="AH4360">
        <v>20.3470193914372</v>
      </c>
      <c r="AI4360">
        <v>93.064388447093904</v>
      </c>
      <c r="AJ4360">
        <v>101.807375999665</v>
      </c>
      <c r="AK4360">
        <v>20.816613045031801</v>
      </c>
      <c r="AL4360">
        <v>88.394095538360503</v>
      </c>
      <c r="AM4360">
        <v>102.726738199</v>
      </c>
      <c r="AN4360">
        <v>0.99999997528065998</v>
      </c>
    </row>
    <row r="4361" spans="1:40" x14ac:dyDescent="0.25">
      <c r="A4361" t="str">
        <f>"20190305135719613"</f>
        <v>20190305135719613</v>
      </c>
      <c r="B4361" t="str">
        <f>"1551765439607244"</f>
        <v>1551765439607244</v>
      </c>
      <c r="C4361" t="s">
        <v>40</v>
      </c>
      <c r="D4361">
        <v>4.4048590000000001</v>
      </c>
      <c r="E4361">
        <v>0.50892689999999996</v>
      </c>
      <c r="F4361" t="s">
        <v>42</v>
      </c>
      <c r="G4361">
        <v>-262.89069999999998</v>
      </c>
      <c r="H4361" s="1">
        <v>-4.4683040000000001E-7</v>
      </c>
      <c r="I4361">
        <v>-61.140819999999998</v>
      </c>
      <c r="J4361">
        <v>-285.14069999999998</v>
      </c>
      <c r="K4361">
        <v>1.1124510000000001</v>
      </c>
      <c r="L4361">
        <v>-60.728490000000001</v>
      </c>
      <c r="M4361">
        <v>0.97695750000000003</v>
      </c>
      <c r="N4361">
        <v>-1.6238840000000001E-2</v>
      </c>
      <c r="O4361">
        <v>-0.2128159</v>
      </c>
      <c r="P4361">
        <v>0.99989700000000004</v>
      </c>
      <c r="Q4361">
        <v>1.4010160000000001E-2</v>
      </c>
      <c r="R4361">
        <v>3.1374570000000002E-3</v>
      </c>
      <c r="S4361">
        <v>3.0025940000000002</v>
      </c>
      <c r="T4361">
        <v>-0.14829809999999999</v>
      </c>
      <c r="U4361">
        <v>-6.2774659999999996E-2</v>
      </c>
      <c r="V4361">
        <v>-0.21606030000000001</v>
      </c>
      <c r="W4361">
        <v>2.8589469999999999E-2</v>
      </c>
      <c r="X4361">
        <v>0.97596139999999998</v>
      </c>
      <c r="Y4361">
        <v>-0.1919508</v>
      </c>
      <c r="Z4361">
        <v>1.325732E-2</v>
      </c>
      <c r="AA4361">
        <v>0.98131500000000005</v>
      </c>
      <c r="AB4361">
        <v>29</v>
      </c>
      <c r="AC4361">
        <v>22.25</v>
      </c>
      <c r="AD4361">
        <v>-1.1124514468303901</v>
      </c>
      <c r="AE4361">
        <v>-0.41232999999999698</v>
      </c>
      <c r="AF4361">
        <v>-4.3220950614028704</v>
      </c>
      <c r="AG4361">
        <v>-1.1124514468303901</v>
      </c>
      <c r="AH4361">
        <v>21.7735197123835</v>
      </c>
      <c r="AI4361">
        <v>92.868929427344696</v>
      </c>
      <c r="AJ4361">
        <v>101.22740066798001</v>
      </c>
      <c r="AK4361">
        <v>22.226205582755501</v>
      </c>
      <c r="AL4361">
        <v>88.361720855587507</v>
      </c>
      <c r="AM4361">
        <v>102.482924582167</v>
      </c>
      <c r="AN4361">
        <v>1.0000000326604599</v>
      </c>
    </row>
    <row r="4362" spans="1:40" x14ac:dyDescent="0.25">
      <c r="A4362" t="str">
        <f>"20190305135719634"</f>
        <v>20190305135719634</v>
      </c>
      <c r="B4362" t="str">
        <f>"1551765439626767"</f>
        <v>1551765439626767</v>
      </c>
      <c r="C4362" t="s">
        <v>40</v>
      </c>
      <c r="D4362">
        <v>4.4372249999999998</v>
      </c>
      <c r="E4362">
        <v>0.50999340000000004</v>
      </c>
      <c r="F4362" t="s">
        <v>42</v>
      </c>
      <c r="G4362">
        <v>-261.91399999999999</v>
      </c>
      <c r="H4362" s="1">
        <v>-7.5374149999999999E-8</v>
      </c>
      <c r="I4362">
        <v>-61.31955</v>
      </c>
      <c r="J4362">
        <v>-284.86759999999998</v>
      </c>
      <c r="K4362">
        <v>1.112212</v>
      </c>
      <c r="L4362">
        <v>-60.785029999999999</v>
      </c>
      <c r="M4362">
        <v>0.97747150000000005</v>
      </c>
      <c r="N4362">
        <v>-1.5995289999999999E-2</v>
      </c>
      <c r="O4362">
        <v>-0.2104607</v>
      </c>
      <c r="P4362">
        <v>0.99989240000000001</v>
      </c>
      <c r="Q4362">
        <v>1.4369979999999999E-2</v>
      </c>
      <c r="R4362">
        <v>2.9538260000000001E-3</v>
      </c>
      <c r="S4362">
        <v>3.0025330000000001</v>
      </c>
      <c r="T4362">
        <v>-0.14380679999999901</v>
      </c>
      <c r="U4362">
        <v>-7.6416020000000001E-2</v>
      </c>
      <c r="V4362">
        <v>-0.21350910000000001</v>
      </c>
      <c r="W4362">
        <v>2.886068E-2</v>
      </c>
      <c r="X4362">
        <v>0.97651469999999996</v>
      </c>
      <c r="Y4362">
        <v>-0.1851612</v>
      </c>
      <c r="Z4362">
        <v>1.253598E-2</v>
      </c>
      <c r="AA4362">
        <v>0.98262819999999995</v>
      </c>
      <c r="AB4362">
        <v>29</v>
      </c>
      <c r="AC4362">
        <v>22.953599999999899</v>
      </c>
      <c r="AD4362">
        <v>-1.11221207537414</v>
      </c>
      <c r="AE4362">
        <v>-0.534519999999993</v>
      </c>
      <c r="AF4362">
        <v>-4.2988161355561303</v>
      </c>
      <c r="AG4362">
        <v>-1.11221207537414</v>
      </c>
      <c r="AH4362">
        <v>22.499073184904798</v>
      </c>
      <c r="AI4362">
        <v>92.779832785896403</v>
      </c>
      <c r="AJ4362">
        <v>100.81692497164801</v>
      </c>
      <c r="AK4362">
        <v>22.933057581744901</v>
      </c>
      <c r="AL4362">
        <v>88.346175226842107</v>
      </c>
      <c r="AM4362">
        <v>102.333292261536</v>
      </c>
      <c r="AN4362">
        <v>1.00000001697448</v>
      </c>
    </row>
    <row r="4363" spans="1:40" x14ac:dyDescent="0.25">
      <c r="A4363" t="str">
        <f>"20190305135719656"</f>
        <v>20190305135719656</v>
      </c>
      <c r="B4363" t="str">
        <f>"1551765439647259"</f>
        <v>1551765439647259</v>
      </c>
      <c r="C4363" t="s">
        <v>40</v>
      </c>
      <c r="D4363">
        <v>4.3017370000000001</v>
      </c>
      <c r="E4363">
        <v>0.51083729999999905</v>
      </c>
      <c r="F4363" t="s">
        <v>42</v>
      </c>
      <c r="G4363">
        <v>-261.03309999999999</v>
      </c>
      <c r="H4363" s="1">
        <v>2.6425909999999998E-7</v>
      </c>
      <c r="I4363">
        <v>-61.463270000000001</v>
      </c>
      <c r="J4363">
        <v>-284.6003</v>
      </c>
      <c r="K4363">
        <v>1.1120699999999999</v>
      </c>
      <c r="L4363">
        <v>-60.839869999999998</v>
      </c>
      <c r="M4363">
        <v>0.97794329999999996</v>
      </c>
      <c r="N4363">
        <v>-1.5776269999999998E-2</v>
      </c>
      <c r="O4363">
        <v>-0.20827409999999999</v>
      </c>
      <c r="P4363">
        <v>0.99986050000000004</v>
      </c>
      <c r="Q4363">
        <v>1.617905E-2</v>
      </c>
      <c r="R4363">
        <v>4.1695889999999996E-3</v>
      </c>
      <c r="S4363">
        <v>3.0025330000000001</v>
      </c>
      <c r="T4363">
        <v>-0.14011029999999999</v>
      </c>
      <c r="U4363">
        <v>-8.5449220000000006E-2</v>
      </c>
      <c r="V4363">
        <v>-0.21250279999999999</v>
      </c>
      <c r="W4363">
        <v>3.0542219999999998E-2</v>
      </c>
      <c r="X4363">
        <v>0.97668299999999997</v>
      </c>
      <c r="Y4363">
        <v>-0.18003459999999999</v>
      </c>
      <c r="Z4363">
        <v>1.1964799999999999E-2</v>
      </c>
      <c r="AA4363">
        <v>0.98358749999999995</v>
      </c>
      <c r="AB4363">
        <v>28</v>
      </c>
      <c r="AC4363">
        <v>23.5672</v>
      </c>
      <c r="AD4363">
        <v>-1.1120697357409</v>
      </c>
      <c r="AE4363">
        <v>-0.62339999999999596</v>
      </c>
      <c r="AF4363">
        <v>-4.2897773195914599</v>
      </c>
      <c r="AG4363">
        <v>-1.1120697357409</v>
      </c>
      <c r="AH4363">
        <v>23.128644287301299</v>
      </c>
      <c r="AI4363">
        <v>92.706679346948505</v>
      </c>
      <c r="AJ4363">
        <v>100.50751166529101</v>
      </c>
      <c r="AK4363">
        <v>23.5493752595976</v>
      </c>
      <c r="AL4363">
        <v>88.249787473419303</v>
      </c>
      <c r="AM4363">
        <v>102.27487917937199</v>
      </c>
      <c r="AN4363">
        <v>0.99999997484968295</v>
      </c>
    </row>
    <row r="4364" spans="1:40" x14ac:dyDescent="0.25">
      <c r="A4364" t="str">
        <f>"20190305135719679"</f>
        <v>20190305135719679</v>
      </c>
      <c r="B4364" t="str">
        <f>"1551765439666797"</f>
        <v>1551765439666797</v>
      </c>
      <c r="C4364" t="s">
        <v>40</v>
      </c>
      <c r="D4364">
        <v>4.3934030000000002</v>
      </c>
      <c r="E4364">
        <v>0.51151670000000005</v>
      </c>
      <c r="F4364" t="s">
        <v>88</v>
      </c>
      <c r="G4364">
        <v>-259.91210000000001</v>
      </c>
      <c r="H4364" s="1">
        <v>-3.5543969999999999E-6</v>
      </c>
      <c r="I4364">
        <v>-61.566969999999998</v>
      </c>
      <c r="J4364">
        <v>-284.32040000000001</v>
      </c>
      <c r="K4364">
        <v>1.11199</v>
      </c>
      <c r="L4364">
        <v>-60.896729999999998</v>
      </c>
      <c r="M4364">
        <v>0.97841889999999998</v>
      </c>
      <c r="N4364">
        <v>-1.5569309999999999E-2</v>
      </c>
      <c r="O4364">
        <v>-0.20604439999999999</v>
      </c>
      <c r="P4364">
        <v>0.99981430000000004</v>
      </c>
      <c r="Q4364">
        <v>1.8383429999999999E-2</v>
      </c>
      <c r="R4364">
        <v>5.7998009999999899E-3</v>
      </c>
      <c r="S4364">
        <v>3.0029300000000001</v>
      </c>
      <c r="T4364">
        <v>-0.13526649999999901</v>
      </c>
      <c r="U4364">
        <v>-8.8439939999999995E-2</v>
      </c>
      <c r="V4364">
        <v>-0.21186260000000001</v>
      </c>
      <c r="W4364">
        <v>3.2597790000000001E-2</v>
      </c>
      <c r="X4364">
        <v>0.9767557</v>
      </c>
      <c r="Y4364">
        <v>-0.17684629999999901</v>
      </c>
      <c r="Z4364">
        <v>1.1349089999999999E-2</v>
      </c>
      <c r="AA4364">
        <v>0.98417310000000002</v>
      </c>
      <c r="AB4364">
        <v>28</v>
      </c>
      <c r="AC4364">
        <v>24.408300000000001</v>
      </c>
      <c r="AD4364">
        <v>-1.1119935543970001</v>
      </c>
      <c r="AE4364">
        <v>-0.67023999999999195</v>
      </c>
      <c r="AF4364">
        <v>-4.3648950233609796</v>
      </c>
      <c r="AG4364">
        <v>-1.1119935543970001</v>
      </c>
      <c r="AH4364">
        <v>23.972831184549399</v>
      </c>
      <c r="AI4364">
        <v>92.612896846573904</v>
      </c>
      <c r="AJ4364">
        <v>100.31918621933799</v>
      </c>
      <c r="AK4364">
        <v>24.392324063788699</v>
      </c>
      <c r="AL4364">
        <v>88.131953345628403</v>
      </c>
      <c r="AM4364">
        <v>102.238131881009</v>
      </c>
      <c r="AN4364">
        <v>1.0000000373370601</v>
      </c>
    </row>
    <row r="4365" spans="1:40" x14ac:dyDescent="0.25">
      <c r="A4365" t="str">
        <f>"20190305135719700"</f>
        <v>20190305135719700</v>
      </c>
      <c r="B4365" t="str">
        <f>"1551765439697036"</f>
        <v>1551765439697036</v>
      </c>
      <c r="C4365" t="s">
        <v>40</v>
      </c>
      <c r="D4365">
        <v>4.3898089999999996</v>
      </c>
      <c r="E4365">
        <v>0.51256369999999996</v>
      </c>
      <c r="F4365" t="s">
        <v>88</v>
      </c>
      <c r="G4365">
        <v>-258.71269999999998</v>
      </c>
      <c r="H4365" s="1">
        <v>-3.1563530000000002E-6</v>
      </c>
      <c r="I4365">
        <v>-61.6539</v>
      </c>
      <c r="J4365">
        <v>-284.04500000000002</v>
      </c>
      <c r="K4365">
        <v>1.111958</v>
      </c>
      <c r="L4365">
        <v>-60.952030000000001</v>
      </c>
      <c r="M4365">
        <v>0.97887990000000002</v>
      </c>
      <c r="N4365">
        <v>-1.538776E-2</v>
      </c>
      <c r="O4365">
        <v>-0.20385619999999999</v>
      </c>
      <c r="P4365">
        <v>0.99974890000000005</v>
      </c>
      <c r="Q4365">
        <v>2.1034239999999999E-2</v>
      </c>
      <c r="R4365">
        <v>7.7484729999999996E-3</v>
      </c>
      <c r="S4365">
        <v>3.0034480000000001</v>
      </c>
      <c r="T4365">
        <v>-0.1304225</v>
      </c>
      <c r="U4365">
        <v>-8.880615E-2</v>
      </c>
      <c r="V4365">
        <v>-0.21157780000000001</v>
      </c>
      <c r="W4365">
        <v>3.510071E-2</v>
      </c>
      <c r="X4365">
        <v>0.9767306</v>
      </c>
      <c r="Y4365">
        <v>-0.174557399999999</v>
      </c>
      <c r="Z4365">
        <v>1.07698E-2</v>
      </c>
      <c r="AA4365">
        <v>0.98458809999999997</v>
      </c>
      <c r="AB4365">
        <v>28</v>
      </c>
      <c r="AC4365">
        <v>25.3323</v>
      </c>
      <c r="AD4365">
        <v>-1.1119611563529901</v>
      </c>
      <c r="AE4365">
        <v>-0.701869999999992</v>
      </c>
      <c r="AF4365">
        <v>-4.4690259603509697</v>
      </c>
      <c r="AG4365">
        <v>-1.1119611563529901</v>
      </c>
      <c r="AH4365">
        <v>24.8953823000383</v>
      </c>
      <c r="AI4365">
        <v>92.517252507219595</v>
      </c>
      <c r="AJ4365">
        <v>100.17690214821</v>
      </c>
      <c r="AK4365">
        <v>25.317754847390901</v>
      </c>
      <c r="AL4365">
        <v>87.988464148997195</v>
      </c>
      <c r="AM4365">
        <v>102.222480065984</v>
      </c>
      <c r="AN4365">
        <v>0.99999994513585</v>
      </c>
    </row>
    <row r="4366" spans="1:40" x14ac:dyDescent="0.25">
      <c r="A4366" t="str">
        <f>"20190305135719724"</f>
        <v>20190305135719724</v>
      </c>
      <c r="B4366" t="str">
        <f>"1551765439716559"</f>
        <v>1551765439716559</v>
      </c>
      <c r="C4366" t="s">
        <v>40</v>
      </c>
      <c r="D4366">
        <v>4.5439730000000003</v>
      </c>
      <c r="E4366">
        <v>0.51284799999999997</v>
      </c>
      <c r="F4366" t="s">
        <v>88</v>
      </c>
      <c r="G4366">
        <v>-256.22309999999999</v>
      </c>
      <c r="H4366" s="1">
        <v>-2.119094E-6</v>
      </c>
      <c r="I4366">
        <v>-61.792310000000001</v>
      </c>
      <c r="J4366">
        <v>-283.75569999999999</v>
      </c>
      <c r="K4366">
        <v>1.1119330000000001</v>
      </c>
      <c r="L4366">
        <v>-61.009520000000002</v>
      </c>
      <c r="M4366">
        <v>0.97936429999999997</v>
      </c>
      <c r="N4366">
        <v>-1.5219079999999999E-2</v>
      </c>
      <c r="O4366">
        <v>-0.2015296</v>
      </c>
      <c r="P4366">
        <v>0.99968789999999996</v>
      </c>
      <c r="Q4366">
        <v>2.25939E-2</v>
      </c>
      <c r="R4366">
        <v>1.066638E-2</v>
      </c>
      <c r="S4366">
        <v>3.0040279999999999</v>
      </c>
      <c r="T4366">
        <v>-0.1200621</v>
      </c>
      <c r="U4366">
        <v>-9.0728760000000006E-2</v>
      </c>
      <c r="V4366">
        <v>-0.2121036</v>
      </c>
      <c r="W4366">
        <v>3.6509809999999997E-2</v>
      </c>
      <c r="X4366">
        <v>0.97656489999999996</v>
      </c>
      <c r="Y4366">
        <v>-0.17164380000000001</v>
      </c>
      <c r="Z4366">
        <v>9.6527190000000006E-3</v>
      </c>
      <c r="AA4366">
        <v>0.98511179999999998</v>
      </c>
      <c r="AB4366">
        <v>28</v>
      </c>
      <c r="AC4366">
        <v>27.532599999999999</v>
      </c>
      <c r="AD4366">
        <v>-1.1119351190939999</v>
      </c>
      <c r="AE4366">
        <v>-0.78279000000000498</v>
      </c>
      <c r="AF4366">
        <v>-4.7747690833034202</v>
      </c>
      <c r="AG4366">
        <v>-1.1119351190939999</v>
      </c>
      <c r="AH4366">
        <v>27.081204470660001</v>
      </c>
      <c r="AI4366">
        <v>92.315528177002193</v>
      </c>
      <c r="AJ4366">
        <v>99.999224510942895</v>
      </c>
      <c r="AK4366">
        <v>27.5213817801658</v>
      </c>
      <c r="AL4366">
        <v>87.907676870791505</v>
      </c>
      <c r="AM4366">
        <v>102.25395424167399</v>
      </c>
      <c r="AN4366">
        <v>0.99999995363560101</v>
      </c>
    </row>
    <row r="4367" spans="1:40" x14ac:dyDescent="0.25">
      <c r="A4367" t="str">
        <f>"20190305135719745"</f>
        <v>20190305135719745</v>
      </c>
      <c r="B4367" t="str">
        <f>"1551765439737055"</f>
        <v>1551765439737055</v>
      </c>
      <c r="C4367" t="s">
        <v>40</v>
      </c>
      <c r="D4367">
        <v>4.7535339999999904</v>
      </c>
      <c r="E4367">
        <v>0.51292559999999998</v>
      </c>
      <c r="F4367" t="s">
        <v>88</v>
      </c>
      <c r="G4367">
        <v>-255.13130000000001</v>
      </c>
      <c r="H4367" s="1">
        <v>-1.6545439999999999E-6</v>
      </c>
      <c r="I4367">
        <v>-61.809660000000001</v>
      </c>
      <c r="J4367">
        <v>-283.49290000000002</v>
      </c>
      <c r="K4367">
        <v>1.111915</v>
      </c>
      <c r="L4367">
        <v>-61.061100000000003</v>
      </c>
      <c r="M4367">
        <v>0.97980619999999996</v>
      </c>
      <c r="N4367">
        <v>-1.5084210000000001E-2</v>
      </c>
      <c r="O4367">
        <v>-0.1993799</v>
      </c>
      <c r="P4367">
        <v>0.99965369999999998</v>
      </c>
      <c r="Q4367">
        <v>2.2465349999999999E-2</v>
      </c>
      <c r="R4367">
        <v>1.3707810000000001E-2</v>
      </c>
      <c r="S4367">
        <v>3.004486</v>
      </c>
      <c r="T4367">
        <v>-0.1167111</v>
      </c>
      <c r="U4367">
        <v>-8.3984379999999997E-2</v>
      </c>
      <c r="V4367">
        <v>-0.2129288</v>
      </c>
      <c r="W4367">
        <v>3.6254389999999997E-2</v>
      </c>
      <c r="X4367">
        <v>0.97639489999999995</v>
      </c>
      <c r="Y4367">
        <v>-0.1717101</v>
      </c>
      <c r="Z4367">
        <v>9.3014780000000002E-3</v>
      </c>
      <c r="AA4367">
        <v>0.98510359999999997</v>
      </c>
      <c r="AB4367">
        <v>28</v>
      </c>
      <c r="AC4367">
        <v>28.361599999999999</v>
      </c>
      <c r="AD4367">
        <v>-1.111916654544</v>
      </c>
      <c r="AE4367">
        <v>-0.74855999999999701</v>
      </c>
      <c r="AF4367">
        <v>-4.9143008696866204</v>
      </c>
      <c r="AG4367">
        <v>-1.111916654544</v>
      </c>
      <c r="AH4367">
        <v>27.898446402243799</v>
      </c>
      <c r="AI4367">
        <v>92.247794401068504</v>
      </c>
      <c r="AJ4367">
        <v>99.990144377087304</v>
      </c>
      <c r="AK4367">
        <v>28.349779952291101</v>
      </c>
      <c r="AL4367">
        <v>87.922321208622805</v>
      </c>
      <c r="AM4367">
        <v>102.302256588357</v>
      </c>
      <c r="AN4367">
        <v>1.00000002770486</v>
      </c>
    </row>
    <row r="4368" spans="1:40" x14ac:dyDescent="0.25">
      <c r="A4368" t="str">
        <f>"20190305135719768"</f>
        <v>20190305135719768</v>
      </c>
      <c r="B4368" t="str">
        <f>"1551765439756575"</f>
        <v>1551765439756575</v>
      </c>
      <c r="C4368" t="s">
        <v>40</v>
      </c>
      <c r="D4368">
        <v>4.5606359999999997</v>
      </c>
      <c r="E4368">
        <v>0.51308120000000002</v>
      </c>
      <c r="F4368" t="s">
        <v>88</v>
      </c>
      <c r="G4368">
        <v>-255.42339999999999</v>
      </c>
      <c r="H4368" s="1">
        <v>-1.7698929999999901E-6</v>
      </c>
      <c r="I4368">
        <v>-61.764690000000002</v>
      </c>
      <c r="J4368">
        <v>-283.21980000000002</v>
      </c>
      <c r="K4368">
        <v>1.111893</v>
      </c>
      <c r="L4368">
        <v>-61.114069999999998</v>
      </c>
      <c r="M4368">
        <v>0.98026610000000003</v>
      </c>
      <c r="N4368">
        <v>-1.496025E-2</v>
      </c>
      <c r="O4368">
        <v>-0.19711629999999999</v>
      </c>
      <c r="P4368">
        <v>0.99962830000000003</v>
      </c>
      <c r="Q4368">
        <v>2.1035330000000001E-2</v>
      </c>
      <c r="R4368">
        <v>1.7351249999999999E-2</v>
      </c>
      <c r="S4368">
        <v>3.0047299999999999</v>
      </c>
      <c r="T4368">
        <v>-0.1190267</v>
      </c>
      <c r="U4368">
        <v>-7.5317380000000003E-2</v>
      </c>
      <c r="V4368">
        <v>-0.21423049999999999</v>
      </c>
      <c r="W4368">
        <v>3.4701830000000003E-2</v>
      </c>
      <c r="X4368">
        <v>0.97616650000000005</v>
      </c>
      <c r="Y4368">
        <v>-0.17226610000000001</v>
      </c>
      <c r="Z4368">
        <v>9.4959539999999992E-3</v>
      </c>
      <c r="AA4368">
        <v>0.98500469999999896</v>
      </c>
      <c r="AB4368">
        <v>28</v>
      </c>
      <c r="AC4368">
        <v>27.796399999999998</v>
      </c>
      <c r="AD4368">
        <v>-1.111894769893</v>
      </c>
      <c r="AE4368">
        <v>-0.65062000000000297</v>
      </c>
      <c r="AF4368">
        <v>-4.83415304409142</v>
      </c>
      <c r="AG4368">
        <v>-1.111894769893</v>
      </c>
      <c r="AH4368">
        <v>27.335460899016901</v>
      </c>
      <c r="AI4368">
        <v>92.293721696943294</v>
      </c>
      <c r="AJ4368">
        <v>100.028810155562</v>
      </c>
      <c r="AK4368">
        <v>27.7818784137195</v>
      </c>
      <c r="AL4368">
        <v>88.0113322921856</v>
      </c>
      <c r="AM4368">
        <v>102.377959807564</v>
      </c>
      <c r="AN4368">
        <v>0.99999997992892398</v>
      </c>
    </row>
    <row r="4369" spans="1:40" x14ac:dyDescent="0.25">
      <c r="A4369" t="str">
        <f>"20190305135719792"</f>
        <v>20190305135719792</v>
      </c>
      <c r="B4369" t="str">
        <f>"1551765439786828"</f>
        <v>1551765439786828</v>
      </c>
      <c r="C4369" t="s">
        <v>40</v>
      </c>
      <c r="D4369">
        <v>4.4308639999999997</v>
      </c>
      <c r="E4369">
        <v>0.51323099999999999</v>
      </c>
      <c r="F4369" t="s">
        <v>88</v>
      </c>
      <c r="G4369">
        <v>-256.48020000000002</v>
      </c>
      <c r="H4369" s="1">
        <v>-2.2084669999999998E-6</v>
      </c>
      <c r="I4369">
        <v>-61.698210000000003</v>
      </c>
      <c r="J4369">
        <v>-282.92380000000003</v>
      </c>
      <c r="K4369">
        <v>1.1118729999999999</v>
      </c>
      <c r="L4369">
        <v>-61.170679999999997</v>
      </c>
      <c r="M4369">
        <v>0.98076269999999999</v>
      </c>
      <c r="N4369">
        <v>-1.484387E-2</v>
      </c>
      <c r="O4369">
        <v>-0.19463900000000001</v>
      </c>
      <c r="P4369">
        <v>0.99959229999999999</v>
      </c>
      <c r="Q4369">
        <v>1.9504959999999998E-2</v>
      </c>
      <c r="R4369">
        <v>2.085103E-2</v>
      </c>
      <c r="S4369">
        <v>3.0049130000000002</v>
      </c>
      <c r="T4369">
        <v>-0.12495149999999999</v>
      </c>
      <c r="U4369">
        <v>-6.5643309999999996E-2</v>
      </c>
      <c r="V4369">
        <v>-0.21517990000000001</v>
      </c>
      <c r="W4369">
        <v>3.3056740000000001E-2</v>
      </c>
      <c r="X4369">
        <v>0.97601479999999996</v>
      </c>
      <c r="Y4369">
        <v>-0.17292179999999999</v>
      </c>
      <c r="Z4369">
        <v>1.0019699999999999E-2</v>
      </c>
      <c r="AA4369">
        <v>0.9848846</v>
      </c>
      <c r="AB4369">
        <v>28</v>
      </c>
      <c r="AC4369">
        <v>26.4436</v>
      </c>
      <c r="AD4369">
        <v>-1.1118752084669901</v>
      </c>
      <c r="AE4369">
        <v>-0.52752999999999095</v>
      </c>
      <c r="AF4369">
        <v>-4.6219157977149896</v>
      </c>
      <c r="AG4369">
        <v>-1.1118752084669901</v>
      </c>
      <c r="AH4369">
        <v>25.994502673238699</v>
      </c>
      <c r="AI4369">
        <v>92.411470673575096</v>
      </c>
      <c r="AJ4369">
        <v>100.082031393957</v>
      </c>
      <c r="AK4369">
        <v>26.425603897534401</v>
      </c>
      <c r="AL4369">
        <v>88.105643223352601</v>
      </c>
      <c r="AM4369">
        <v>102.432985205734</v>
      </c>
      <c r="AN4369">
        <v>1.0000000136212299</v>
      </c>
    </row>
    <row r="4370" spans="1:40" x14ac:dyDescent="0.25">
      <c r="A4370" t="str">
        <f>"20190305135719805"</f>
        <v>20190305135719805</v>
      </c>
      <c r="B4370" t="str">
        <f>"1551765439796589"</f>
        <v>1551765439796589</v>
      </c>
      <c r="C4370" t="s">
        <v>40</v>
      </c>
      <c r="D4370">
        <v>4.428439</v>
      </c>
      <c r="E4370">
        <v>0.51323099999999999</v>
      </c>
      <c r="F4370" t="s">
        <v>88</v>
      </c>
      <c r="G4370">
        <v>-257.35140000000001</v>
      </c>
      <c r="H4370" s="1">
        <v>-2.5712340000000001E-6</v>
      </c>
      <c r="I4370">
        <v>-61.648800000000001</v>
      </c>
      <c r="J4370">
        <v>-282.74900000000002</v>
      </c>
      <c r="K4370">
        <v>1.111864</v>
      </c>
      <c r="L4370">
        <v>-61.203800000000001</v>
      </c>
      <c r="M4370">
        <v>0.98105469999999895</v>
      </c>
      <c r="N4370">
        <v>-1.478258E-2</v>
      </c>
      <c r="O4370">
        <v>-0.1931669</v>
      </c>
      <c r="P4370">
        <v>0.99955819999999995</v>
      </c>
      <c r="Q4370">
        <v>1.9003550000000001E-2</v>
      </c>
      <c r="R4370">
        <v>2.2866770000000002E-2</v>
      </c>
      <c r="S4370">
        <v>3.0049739999999998</v>
      </c>
      <c r="T4370">
        <v>-0.13065489999999999</v>
      </c>
      <c r="U4370">
        <v>-5.6182860000000001E-2</v>
      </c>
      <c r="V4370">
        <v>-0.21568229999999999</v>
      </c>
      <c r="W4370">
        <v>3.2492939999999998E-2</v>
      </c>
      <c r="X4370">
        <v>0.97592279999999998</v>
      </c>
      <c r="Y4370">
        <v>-0.17451510000000001</v>
      </c>
      <c r="Z4370">
        <v>1.056371E-2</v>
      </c>
      <c r="AA4370">
        <v>0.98459779999999997</v>
      </c>
      <c r="AB4370">
        <v>28</v>
      </c>
      <c r="AC4370">
        <v>25.397600000000001</v>
      </c>
      <c r="AD4370">
        <v>-1.1118665712339999</v>
      </c>
      <c r="AE4370">
        <v>-0.44500000000000001</v>
      </c>
      <c r="AF4370">
        <v>-4.4613462985705601</v>
      </c>
      <c r="AG4370">
        <v>-1.1118665712339999</v>
      </c>
      <c r="AH4370">
        <v>24.957305405742598</v>
      </c>
      <c r="AI4370">
        <v>92.511129283263102</v>
      </c>
      <c r="AJ4370">
        <v>100.135093693131</v>
      </c>
      <c r="AK4370">
        <v>25.377292038030902</v>
      </c>
      <c r="AL4370">
        <v>88.1379638826036</v>
      </c>
      <c r="AM4370">
        <v>102.46224587595501</v>
      </c>
      <c r="AN4370">
        <v>0.99999997862148604</v>
      </c>
    </row>
    <row r="4371" spans="1:40" x14ac:dyDescent="0.25">
      <c r="A4371" t="str">
        <f>"20190305135719817"</f>
        <v>20190305135719817</v>
      </c>
      <c r="B4371" t="str">
        <f>"1551765439807323"</f>
        <v>1551765439807323</v>
      </c>
      <c r="C4371" t="s">
        <v>40</v>
      </c>
      <c r="D4371">
        <v>4.5352249999999996</v>
      </c>
      <c r="E4371">
        <v>0.49468420000000002</v>
      </c>
      <c r="F4371" t="s">
        <v>88</v>
      </c>
      <c r="G4371">
        <v>-257.48160000000001</v>
      </c>
      <c r="H4371" s="1">
        <v>-2.6216789999999999E-6</v>
      </c>
      <c r="I4371">
        <v>-61.624630000000003</v>
      </c>
      <c r="J4371">
        <v>-282.61219999999997</v>
      </c>
      <c r="K4371">
        <v>1.111858</v>
      </c>
      <c r="L4371">
        <v>-61.229460000000003</v>
      </c>
      <c r="M4371">
        <v>0.98128179999999998</v>
      </c>
      <c r="N4371">
        <v>-1.47384E-2</v>
      </c>
      <c r="O4371">
        <v>-0.1920125</v>
      </c>
      <c r="P4371">
        <v>0.99953040000000004</v>
      </c>
      <c r="Q4371">
        <v>1.817918E-2</v>
      </c>
      <c r="R4371">
        <v>2.467223E-2</v>
      </c>
      <c r="S4371">
        <v>3.0049739999999998</v>
      </c>
      <c r="T4371">
        <v>-0.13223099999999999</v>
      </c>
      <c r="U4371">
        <v>-5.0048830000000002E-2</v>
      </c>
      <c r="V4371">
        <v>-0.2162965</v>
      </c>
      <c r="W4371">
        <v>3.1621259999999998E-2</v>
      </c>
      <c r="X4371">
        <v>0.97581549999999995</v>
      </c>
      <c r="Y4371">
        <v>-0.1753575</v>
      </c>
      <c r="Z4371">
        <v>1.070751E-2</v>
      </c>
      <c r="AA4371">
        <v>0.98444659999999995</v>
      </c>
      <c r="AB4371">
        <v>28</v>
      </c>
      <c r="AC4371">
        <v>25.130599999999902</v>
      </c>
      <c r="AD4371">
        <v>-1.1118606216789999</v>
      </c>
      <c r="AE4371">
        <v>-0.39517000000000702</v>
      </c>
      <c r="AF4371">
        <v>-4.4294299409998201</v>
      </c>
      <c r="AG4371">
        <v>-1.1118606216789999</v>
      </c>
      <c r="AH4371">
        <v>24.690446269500001</v>
      </c>
      <c r="AI4371">
        <v>92.537939964502996</v>
      </c>
      <c r="AJ4371">
        <v>100.17059044373001</v>
      </c>
      <c r="AK4371">
        <v>25.1092457200795</v>
      </c>
      <c r="AL4371">
        <v>88.1879331641926</v>
      </c>
      <c r="AM4371">
        <v>102.49795232542</v>
      </c>
      <c r="AN4371">
        <v>0.99999998501824305</v>
      </c>
    </row>
    <row r="4372" spans="1:40" x14ac:dyDescent="0.25">
      <c r="A4372" t="str">
        <f>"20190305135719826"</f>
        <v>20190305135719826</v>
      </c>
      <c r="B4372" t="str">
        <f>"1551765439817084"</f>
        <v>1551765439817084</v>
      </c>
      <c r="C4372" t="s">
        <v>40</v>
      </c>
      <c r="D4372">
        <v>4.5146499999999996</v>
      </c>
      <c r="E4372">
        <v>0.49374040000000002</v>
      </c>
      <c r="F4372" t="s">
        <v>88</v>
      </c>
      <c r="G4372">
        <v>-259.19499999999999</v>
      </c>
      <c r="H4372" s="1">
        <v>-3.08986E-6</v>
      </c>
      <c r="I4372">
        <v>-60.4244699999999</v>
      </c>
      <c r="J4372">
        <v>-282.48439999999999</v>
      </c>
      <c r="K4372">
        <v>1.111856</v>
      </c>
      <c r="L4372">
        <v>-61.253390000000003</v>
      </c>
      <c r="M4372">
        <v>0.98149299999999995</v>
      </c>
      <c r="N4372">
        <v>-1.469872E-2</v>
      </c>
      <c r="O4372">
        <v>-0.19093280000000001</v>
      </c>
      <c r="P4372">
        <v>0.9994883</v>
      </c>
      <c r="Q4372">
        <v>1.7884879999999999E-2</v>
      </c>
      <c r="R4372">
        <v>2.6525610000000002E-2</v>
      </c>
      <c r="S4372">
        <v>3.0014949999999998</v>
      </c>
      <c r="T4372">
        <v>-0.14251269999999999</v>
      </c>
      <c r="U4372">
        <v>0.1031799</v>
      </c>
      <c r="V4372">
        <v>-0.21703210000000001</v>
      </c>
      <c r="W4372">
        <v>3.1282860000000003E-2</v>
      </c>
      <c r="X4372">
        <v>0.97566310000000001</v>
      </c>
      <c r="Y4372">
        <v>-0.22413359999999999</v>
      </c>
      <c r="Z4372">
        <v>1.3173209999999999E-2</v>
      </c>
      <c r="AA4372">
        <v>0.97446940000000004</v>
      </c>
      <c r="AB4372">
        <v>28</v>
      </c>
      <c r="AC4372">
        <v>23.289400000000001</v>
      </c>
      <c r="AD4372">
        <v>-1.11185908986</v>
      </c>
      <c r="AE4372">
        <v>0.82892000000000998</v>
      </c>
      <c r="AF4372">
        <v>-5.2489099534325403</v>
      </c>
      <c r="AG4372">
        <v>-1.11185908986</v>
      </c>
      <c r="AH4372">
        <v>22.651007932778999</v>
      </c>
      <c r="AI4372">
        <v>92.737763561081096</v>
      </c>
      <c r="AJ4372">
        <v>103.04685099237599</v>
      </c>
      <c r="AK4372">
        <v>23.277788698795302</v>
      </c>
      <c r="AL4372">
        <v>88.207331711307006</v>
      </c>
      <c r="AM4372">
        <v>102.541011076815</v>
      </c>
      <c r="AN4372">
        <v>1.00000001723089</v>
      </c>
    </row>
    <row r="4373" spans="1:40" x14ac:dyDescent="0.25">
      <c r="A4373" t="str">
        <f>"20190305135719837"</f>
        <v>20190305135719837</v>
      </c>
      <c r="B4373" t="str">
        <f>"1551765439826845"</f>
        <v>1551765439826845</v>
      </c>
      <c r="C4373" t="s">
        <v>40</v>
      </c>
      <c r="D4373">
        <v>4.5054790000000002</v>
      </c>
      <c r="E4373">
        <v>0.49389260000000001</v>
      </c>
      <c r="F4373" t="s">
        <v>88</v>
      </c>
      <c r="G4373">
        <v>-259.6266</v>
      </c>
      <c r="H4373" s="1">
        <v>-3.2693260000000001E-6</v>
      </c>
      <c r="I4373">
        <v>-60.368259999999999</v>
      </c>
      <c r="J4373">
        <v>-282.35879999999997</v>
      </c>
      <c r="K4373">
        <v>1.1118600000000001</v>
      </c>
      <c r="L4373">
        <v>-61.276670000000003</v>
      </c>
      <c r="M4373">
        <v>0.98170159999999995</v>
      </c>
      <c r="N4373">
        <v>-1.466336E-2</v>
      </c>
      <c r="O4373">
        <v>-0.1898608</v>
      </c>
      <c r="P4373">
        <v>0.99944230000000001</v>
      </c>
      <c r="Q4373">
        <v>1.7688559999999999E-2</v>
      </c>
      <c r="R4373">
        <v>2.8326960000000002E-2</v>
      </c>
      <c r="S4373">
        <v>3.0010680000000001</v>
      </c>
      <c r="T4373">
        <v>-0.1459792</v>
      </c>
      <c r="U4373">
        <v>0.11621090000000001</v>
      </c>
      <c r="V4373">
        <v>-0.217725</v>
      </c>
      <c r="W4373">
        <v>3.104409E-2</v>
      </c>
      <c r="X4373">
        <v>0.9755163</v>
      </c>
      <c r="Y4373">
        <v>-0.22727249999999999</v>
      </c>
      <c r="Z4373">
        <v>1.359081E-2</v>
      </c>
      <c r="AA4373">
        <v>0.9737363</v>
      </c>
      <c r="AB4373">
        <v>28</v>
      </c>
      <c r="AC4373">
        <v>22.732199999999899</v>
      </c>
      <c r="AD4373">
        <v>-1.111863269326</v>
      </c>
      <c r="AE4373">
        <v>0.90840999999999605</v>
      </c>
      <c r="AF4373">
        <v>-5.19589031745934</v>
      </c>
      <c r="AG4373">
        <v>-1.111863269326</v>
      </c>
      <c r="AH4373">
        <v>22.093374565710999</v>
      </c>
      <c r="AI4373">
        <v>92.8046267599223</v>
      </c>
      <c r="AJ4373">
        <v>103.234251773352</v>
      </c>
      <c r="AK4373">
        <v>22.723351773485099</v>
      </c>
      <c r="AL4373">
        <v>88.221018808379895</v>
      </c>
      <c r="AM4373">
        <v>102.581610035163</v>
      </c>
      <c r="AN4373">
        <v>0.99999998135730805</v>
      </c>
    </row>
    <row r="4374" spans="1:40" x14ac:dyDescent="0.25">
      <c r="A4374" t="str">
        <f>"20190305135719848"</f>
        <v>20190305135719848</v>
      </c>
      <c r="B4374" t="str">
        <f>"1551765439836604"</f>
        <v>1551765439836604</v>
      </c>
      <c r="C4374" t="s">
        <v>40</v>
      </c>
      <c r="D4374">
        <v>4.4056499999999996</v>
      </c>
      <c r="E4374">
        <v>0.49572310000000003</v>
      </c>
      <c r="F4374" t="s">
        <v>88</v>
      </c>
      <c r="G4374">
        <v>-259.16219999999998</v>
      </c>
      <c r="H4374" s="1">
        <v>-3.0754989999999998E-6</v>
      </c>
      <c r="I4374">
        <v>-60.343899999999998</v>
      </c>
      <c r="J4374">
        <v>-282.22910000000002</v>
      </c>
      <c r="K4374">
        <v>1.111872</v>
      </c>
      <c r="L4374">
        <v>-61.300629999999998</v>
      </c>
      <c r="M4374">
        <v>0.98191640000000002</v>
      </c>
      <c r="N4374">
        <v>-1.462775E-2</v>
      </c>
      <c r="O4374">
        <v>-0.1887501</v>
      </c>
      <c r="P4374">
        <v>0.99939659999999997</v>
      </c>
      <c r="Q4374">
        <v>1.7544110000000002E-2</v>
      </c>
      <c r="R4374">
        <v>2.9981589999999999E-2</v>
      </c>
      <c r="S4374">
        <v>3.0007929999999998</v>
      </c>
      <c r="T4374">
        <v>-0.1438345</v>
      </c>
      <c r="U4374">
        <v>0.1206665</v>
      </c>
      <c r="V4374">
        <v>-0.2182365</v>
      </c>
      <c r="W4374">
        <v>3.0858690000000001E-2</v>
      </c>
      <c r="X4374">
        <v>0.97540789999999999</v>
      </c>
      <c r="Y4374">
        <v>-0.22763120000000001</v>
      </c>
      <c r="Z4374">
        <v>1.3354069999999999E-2</v>
      </c>
      <c r="AA4374">
        <v>0.97365579999999996</v>
      </c>
      <c r="AB4374">
        <v>28</v>
      </c>
      <c r="AC4374">
        <v>23.0669</v>
      </c>
      <c r="AD4374">
        <v>-1.1118750754990001</v>
      </c>
      <c r="AE4374">
        <v>0.95673000000000696</v>
      </c>
      <c r="AF4374">
        <v>-5.28162341142506</v>
      </c>
      <c r="AG4374">
        <v>-1.1118750754990001</v>
      </c>
      <c r="AH4374">
        <v>22.419583081804799</v>
      </c>
      <c r="AI4374">
        <v>92.763664546909993</v>
      </c>
      <c r="AJ4374">
        <v>103.256083159494</v>
      </c>
      <c r="AK4374">
        <v>23.060128308523701</v>
      </c>
      <c r="AL4374">
        <v>88.231646570989696</v>
      </c>
      <c r="AM4374">
        <v>102.611580261052</v>
      </c>
      <c r="AN4374">
        <v>1.0000000000315801</v>
      </c>
    </row>
    <row r="4375" spans="1:40" x14ac:dyDescent="0.25">
      <c r="A4375" t="str">
        <f>"20190305135719868"</f>
        <v>20190305135719868</v>
      </c>
      <c r="B4375" t="str">
        <f>"1551765439857103"</f>
        <v>1551765439857103</v>
      </c>
      <c r="C4375" t="s">
        <v>40</v>
      </c>
      <c r="D4375">
        <v>4.4098090000000001</v>
      </c>
      <c r="E4375">
        <v>0.49844660000000002</v>
      </c>
      <c r="F4375" t="s">
        <v>88</v>
      </c>
      <c r="G4375">
        <v>-255.95240000000001</v>
      </c>
      <c r="H4375" s="1">
        <v>-1.704018E-6</v>
      </c>
      <c r="I4375">
        <v>-60.31906</v>
      </c>
      <c r="J4375">
        <v>-281.97519999999997</v>
      </c>
      <c r="K4375">
        <v>1.111918</v>
      </c>
      <c r="L4375">
        <v>-61.346980000000002</v>
      </c>
      <c r="M4375">
        <v>0.98234259999999995</v>
      </c>
      <c r="N4375">
        <v>-1.4566249999999999E-2</v>
      </c>
      <c r="O4375">
        <v>-0.18652379999999999</v>
      </c>
      <c r="P4375">
        <v>0.9992645</v>
      </c>
      <c r="Q4375">
        <v>1.9122050000000002E-2</v>
      </c>
      <c r="R4375">
        <v>3.3240770000000003E-2</v>
      </c>
      <c r="S4375">
        <v>3.0006710000000001</v>
      </c>
      <c r="T4375">
        <v>-0.126970899999999</v>
      </c>
      <c r="U4375">
        <v>0.1120911</v>
      </c>
      <c r="V4375">
        <v>-0.21921070000000001</v>
      </c>
      <c r="W4375">
        <v>3.2351390000000001E-2</v>
      </c>
      <c r="X4375">
        <v>0.97514100000000004</v>
      </c>
      <c r="Y4375">
        <v>-0.22274969999999999</v>
      </c>
      <c r="Z4375">
        <v>1.1466179999999999E-2</v>
      </c>
      <c r="AA4375">
        <v>0.97480820000000001</v>
      </c>
      <c r="AB4375">
        <v>28</v>
      </c>
      <c r="AC4375">
        <v>26.022799999999901</v>
      </c>
      <c r="AD4375">
        <v>-1.111919704018</v>
      </c>
      <c r="AE4375">
        <v>1.0279199999999999</v>
      </c>
      <c r="AF4375">
        <v>-5.8535919804541203</v>
      </c>
      <c r="AG4375">
        <v>-1.111919704018</v>
      </c>
      <c r="AH4375">
        <v>25.328091407250401</v>
      </c>
      <c r="AI4375">
        <v>92.449231240711299</v>
      </c>
      <c r="AJ4375">
        <v>103.013188869266</v>
      </c>
      <c r="AK4375">
        <v>26.019475760204099</v>
      </c>
      <c r="AL4375">
        <v>88.146078325717099</v>
      </c>
      <c r="AM4375">
        <v>102.669420284193</v>
      </c>
      <c r="AN4375">
        <v>0.99999995665521002</v>
      </c>
    </row>
    <row r="4376" spans="1:40" x14ac:dyDescent="0.25">
      <c r="A4376" t="str">
        <f>"20190305135719880"</f>
        <v>20190305135719880</v>
      </c>
      <c r="B4376" t="str">
        <f>"1551765439876620"</f>
        <v>1551765439876620</v>
      </c>
      <c r="C4376" t="s">
        <v>40</v>
      </c>
      <c r="D4376">
        <v>4.406644</v>
      </c>
      <c r="E4376">
        <v>0.49982890000000002</v>
      </c>
      <c r="F4376" t="s">
        <v>88</v>
      </c>
      <c r="G4376">
        <v>-253.53299999999999</v>
      </c>
      <c r="H4376" s="1">
        <v>-6.5499750000000001E-7</v>
      </c>
      <c r="I4376">
        <v>-60.398049999999998</v>
      </c>
      <c r="J4376">
        <v>-281.83879999999999</v>
      </c>
      <c r="K4376">
        <v>1.111953</v>
      </c>
      <c r="L4376">
        <v>-61.371519999999997</v>
      </c>
      <c r="M4376">
        <v>0.98257709999999998</v>
      </c>
      <c r="N4376">
        <v>-1.453773E-2</v>
      </c>
      <c r="O4376">
        <v>-0.1852859</v>
      </c>
      <c r="P4376">
        <v>0.99918209999999996</v>
      </c>
      <c r="Q4376">
        <v>2.0402190000000001E-2</v>
      </c>
      <c r="R4376">
        <v>3.4916339999999997E-2</v>
      </c>
      <c r="S4376">
        <v>3.001099</v>
      </c>
      <c r="T4376">
        <v>-0.11732480000000001</v>
      </c>
      <c r="U4376">
        <v>0.1001282</v>
      </c>
      <c r="V4376">
        <v>-0.21962019999999999</v>
      </c>
      <c r="W4376">
        <v>3.3584299999999997E-2</v>
      </c>
      <c r="X4376">
        <v>0.97500719999999996</v>
      </c>
      <c r="Y4376">
        <v>-0.21768779999999999</v>
      </c>
      <c r="Z4376">
        <v>1.034671E-2</v>
      </c>
      <c r="AA4376">
        <v>0.97596360000000004</v>
      </c>
      <c r="AB4376">
        <v>28</v>
      </c>
      <c r="AC4376">
        <v>28.305800000000001</v>
      </c>
      <c r="AD4376">
        <v>-1.1119536549975</v>
      </c>
      <c r="AE4376">
        <v>0.97346999999999895</v>
      </c>
      <c r="AF4376">
        <v>-6.1922858041998801</v>
      </c>
      <c r="AG4376">
        <v>-1.1119536549975</v>
      </c>
      <c r="AH4376">
        <v>27.592650794712</v>
      </c>
      <c r="AI4376">
        <v>92.251761690271096</v>
      </c>
      <c r="AJ4376">
        <v>102.64863683455</v>
      </c>
      <c r="AK4376">
        <v>28.300798969122301</v>
      </c>
      <c r="AL4376">
        <v>88.075399420259799</v>
      </c>
      <c r="AM4376">
        <v>102.694006890365</v>
      </c>
      <c r="AN4376">
        <v>0.99999998875318397</v>
      </c>
    </row>
    <row r="4377" spans="1:40" x14ac:dyDescent="0.25">
      <c r="A4377" t="str">
        <f>"20190305135719893"</f>
        <v>20190305135719893</v>
      </c>
      <c r="B4377" t="str">
        <f>"1551765439887357"</f>
        <v>1551765439887357</v>
      </c>
      <c r="C4377" t="s">
        <v>40</v>
      </c>
      <c r="D4377">
        <v>4.4178879999999996</v>
      </c>
      <c r="E4377">
        <v>0.50046939999999995</v>
      </c>
      <c r="F4377" t="s">
        <v>90</v>
      </c>
      <c r="G4377">
        <v>-248.5284</v>
      </c>
      <c r="H4377" s="1">
        <v>-2.6574420000000001E-6</v>
      </c>
      <c r="I4377">
        <v>-60.318060000000003</v>
      </c>
      <c r="J4377">
        <v>-281.68579999999997</v>
      </c>
      <c r="K4377">
        <v>1.111999</v>
      </c>
      <c r="L4377">
        <v>-61.398960000000002</v>
      </c>
      <c r="M4377">
        <v>0.98284190000000005</v>
      </c>
      <c r="N4377">
        <v>-1.4506959999999999E-2</v>
      </c>
      <c r="O4377">
        <v>-0.18387909999999999</v>
      </c>
      <c r="P4377">
        <v>0.9990947</v>
      </c>
      <c r="Q4377">
        <v>2.2070659999999999E-2</v>
      </c>
      <c r="R4377">
        <v>3.6372939999999999E-2</v>
      </c>
      <c r="S4377">
        <v>3.0012210000000001</v>
      </c>
      <c r="T4377">
        <v>-0.1001856</v>
      </c>
      <c r="U4377">
        <v>9.4909670000000002E-2</v>
      </c>
      <c r="V4377">
        <v>-0.21964980000000001</v>
      </c>
      <c r="W4377">
        <v>3.5201250000000003E-2</v>
      </c>
      <c r="X4377">
        <v>0.97494349999999996</v>
      </c>
      <c r="Y4377">
        <v>-0.21467230000000001</v>
      </c>
      <c r="Z4377">
        <v>8.5762819999999993E-3</v>
      </c>
      <c r="AA4377">
        <v>0.97664839999999997</v>
      </c>
      <c r="AB4377">
        <v>28</v>
      </c>
      <c r="AC4377">
        <v>33.157399999999903</v>
      </c>
      <c r="AD4377">
        <v>-1.112001657442</v>
      </c>
      <c r="AE4377">
        <v>1.08089999999999</v>
      </c>
      <c r="AF4377">
        <v>-7.15202392755684</v>
      </c>
      <c r="AG4377">
        <v>-1.112001657442</v>
      </c>
      <c r="AH4377">
        <v>32.356778882264699</v>
      </c>
      <c r="AI4377">
        <v>91.921948282294096</v>
      </c>
      <c r="AJ4377">
        <v>102.46404280142799</v>
      </c>
      <c r="AK4377">
        <v>33.1564342712281</v>
      </c>
      <c r="AL4377">
        <v>87.9827001703554</v>
      </c>
      <c r="AM4377">
        <v>102.696464924823</v>
      </c>
      <c r="AN4377">
        <v>0.99999999541692597</v>
      </c>
    </row>
    <row r="4378" spans="1:40" x14ac:dyDescent="0.25">
      <c r="A4378" t="str">
        <f>"20190305135719905"</f>
        <v>20190305135719905</v>
      </c>
      <c r="B4378" t="str">
        <f>"1551765439897116"</f>
        <v>1551765439897116</v>
      </c>
      <c r="C4378" t="s">
        <v>40</v>
      </c>
      <c r="D4378">
        <v>4.5634249999999996</v>
      </c>
      <c r="E4378">
        <v>0.50176379999999998</v>
      </c>
      <c r="F4378" t="s">
        <v>90</v>
      </c>
      <c r="G4378">
        <v>-244.827</v>
      </c>
      <c r="H4378" s="1">
        <v>-1.0837859999999999E-6</v>
      </c>
      <c r="I4378">
        <v>-60.237810000000003</v>
      </c>
      <c r="J4378">
        <v>-281.5197</v>
      </c>
      <c r="K4378">
        <v>1.1120589999999999</v>
      </c>
      <c r="L4378">
        <v>-61.428379999999997</v>
      </c>
      <c r="M4378">
        <v>0.98313600000000001</v>
      </c>
      <c r="N4378">
        <v>-1.447726E-2</v>
      </c>
      <c r="O4378">
        <v>-0.18230189999999999</v>
      </c>
      <c r="P4378">
        <v>0.99898359999999997</v>
      </c>
      <c r="Q4378">
        <v>2.380353E-2</v>
      </c>
      <c r="R4378">
        <v>3.8283020000000001E-2</v>
      </c>
      <c r="S4378">
        <v>3.001312</v>
      </c>
      <c r="T4378">
        <v>-9.0547199999999994E-2</v>
      </c>
      <c r="U4378">
        <v>9.4543459999999996E-2</v>
      </c>
      <c r="V4378">
        <v>-0.21995500000000001</v>
      </c>
      <c r="W4378">
        <v>3.6874339999999999E-2</v>
      </c>
      <c r="X4378">
        <v>0.97481289999999998</v>
      </c>
      <c r="Y4378">
        <v>-0.2130232</v>
      </c>
      <c r="Z4378">
        <v>7.5851669999999899E-3</v>
      </c>
      <c r="AA4378">
        <v>0.97701769999999999</v>
      </c>
      <c r="AB4378">
        <v>28</v>
      </c>
      <c r="AC4378">
        <v>36.692700000000002</v>
      </c>
      <c r="AD4378">
        <v>-1.112060083786</v>
      </c>
      <c r="AE4378">
        <v>1.1905699999999999</v>
      </c>
      <c r="AF4378">
        <v>-7.8532591319572997</v>
      </c>
      <c r="AG4378">
        <v>-1.112060083786</v>
      </c>
      <c r="AH4378">
        <v>35.827755386344698</v>
      </c>
      <c r="AI4378">
        <v>91.736632845407499</v>
      </c>
      <c r="AJ4378">
        <v>102.363408587969</v>
      </c>
      <c r="AK4378">
        <v>36.695209668938702</v>
      </c>
      <c r="AL4378">
        <v>87.8867769786943</v>
      </c>
      <c r="AM4378">
        <v>102.71518136378</v>
      </c>
      <c r="AN4378">
        <v>1.00000005449092</v>
      </c>
    </row>
    <row r="4379" spans="1:40" x14ac:dyDescent="0.25">
      <c r="A4379" t="str">
        <f>"20190305135719917"</f>
        <v>20190305135719917</v>
      </c>
      <c r="B4379" t="str">
        <f>"1551765439906877"</f>
        <v>1551765439906877</v>
      </c>
      <c r="C4379" t="s">
        <v>40</v>
      </c>
      <c r="D4379">
        <v>4.4328209999999997</v>
      </c>
      <c r="E4379">
        <v>0.50224259999999998</v>
      </c>
      <c r="F4379" t="s">
        <v>90</v>
      </c>
      <c r="G4379">
        <v>-240.65180000000001</v>
      </c>
      <c r="H4379" s="1">
        <v>7.0056980000000005E-7</v>
      </c>
      <c r="I4379">
        <v>-60.199629999999999</v>
      </c>
      <c r="J4379">
        <v>-281.37299999999999</v>
      </c>
      <c r="K4379">
        <v>1.1121110000000001</v>
      </c>
      <c r="L4379">
        <v>-61.454039999999999</v>
      </c>
      <c r="M4379">
        <v>0.98340209999999995</v>
      </c>
      <c r="N4379">
        <v>-1.445365E-2</v>
      </c>
      <c r="O4379">
        <v>-0.18086379999999999</v>
      </c>
      <c r="P4379">
        <v>0.99888299999999997</v>
      </c>
      <c r="Q4379">
        <v>2.5239259999999999E-2</v>
      </c>
      <c r="R4379">
        <v>3.9949909999999998E-2</v>
      </c>
      <c r="S4379">
        <v>3.0015559999999999</v>
      </c>
      <c r="T4379">
        <v>-8.1675410000000004E-2</v>
      </c>
      <c r="U4379">
        <v>9.0240479999999998E-2</v>
      </c>
      <c r="V4379">
        <v>-0.2201611</v>
      </c>
      <c r="W4379">
        <v>3.8257149999999997E-2</v>
      </c>
      <c r="X4379">
        <v>0.97471300000000005</v>
      </c>
      <c r="Y4379">
        <v>-0.2102233</v>
      </c>
      <c r="Z4379">
        <v>6.6589219999999899E-3</v>
      </c>
      <c r="AA4379">
        <v>0.97763069999999996</v>
      </c>
      <c r="AB4379">
        <v>28</v>
      </c>
      <c r="AC4379">
        <v>40.721199999999897</v>
      </c>
      <c r="AD4379">
        <v>-1.1121102994301999</v>
      </c>
      <c r="AE4379">
        <v>1.25440999999999</v>
      </c>
      <c r="AF4379">
        <v>-8.5930742400589502</v>
      </c>
      <c r="AG4379">
        <v>-1.1121102994301999</v>
      </c>
      <c r="AH4379">
        <v>39.792938222585001</v>
      </c>
      <c r="AI4379">
        <v>91.564802250904407</v>
      </c>
      <c r="AJ4379">
        <v>102.185606132301</v>
      </c>
      <c r="AK4379">
        <v>40.725368587647402</v>
      </c>
      <c r="AL4379">
        <v>87.807491664699</v>
      </c>
      <c r="AM4379">
        <v>102.72796963957499</v>
      </c>
      <c r="AN4379">
        <v>0.99999997592416501</v>
      </c>
    </row>
    <row r="4380" spans="1:40" x14ac:dyDescent="0.25">
      <c r="A4380" t="str">
        <f>"20190305135719931"</f>
        <v>20190305135719931</v>
      </c>
      <c r="B4380" t="str">
        <f>"1551765439916637"</f>
        <v>1551765439916637</v>
      </c>
      <c r="C4380" t="s">
        <v>40</v>
      </c>
      <c r="D4380">
        <v>4.4101990000000004</v>
      </c>
      <c r="E4380">
        <v>0.50260139999999998</v>
      </c>
      <c r="F4380" t="s">
        <v>91</v>
      </c>
      <c r="G4380">
        <v>-237.35400000000001</v>
      </c>
      <c r="H4380" s="1">
        <v>-2.1906269999999999E-6</v>
      </c>
      <c r="I4380">
        <v>-60.109580000000001</v>
      </c>
      <c r="J4380">
        <v>-281.221</v>
      </c>
      <c r="K4380">
        <v>1.1121760000000001</v>
      </c>
      <c r="L4380">
        <v>-61.480469999999997</v>
      </c>
      <c r="M4380">
        <v>0.98367979999999999</v>
      </c>
      <c r="N4380">
        <v>-1.4430460000000001E-2</v>
      </c>
      <c r="O4380">
        <v>-0.1793486</v>
      </c>
      <c r="P4380">
        <v>0.9987646</v>
      </c>
      <c r="Q4380">
        <v>2.7006430000000001E-2</v>
      </c>
      <c r="R4380">
        <v>4.1712399999999997E-2</v>
      </c>
      <c r="S4380">
        <v>3.0016479999999999</v>
      </c>
      <c r="T4380">
        <v>-7.5834750000000006E-2</v>
      </c>
      <c r="U4380">
        <v>9.1674800000000001E-2</v>
      </c>
      <c r="V4380">
        <v>-0.2203852</v>
      </c>
      <c r="W4380">
        <v>3.9968629999999998E-2</v>
      </c>
      <c r="X4380">
        <v>0.97459370000000001</v>
      </c>
      <c r="Y4380">
        <v>-0.2092011</v>
      </c>
      <c r="Z4380">
        <v>6.0695690000000004E-3</v>
      </c>
      <c r="AA4380">
        <v>0.9778538</v>
      </c>
      <c r="AB4380">
        <v>28</v>
      </c>
      <c r="AC4380">
        <v>43.866999999999898</v>
      </c>
      <c r="AD4380">
        <v>-1.1121781906270001</v>
      </c>
      <c r="AE4380">
        <v>1.3708899999999899</v>
      </c>
      <c r="AF4380">
        <v>-9.2110460108087509</v>
      </c>
      <c r="AG4380">
        <v>-1.1121781906270001</v>
      </c>
      <c r="AH4380">
        <v>42.8821426710089</v>
      </c>
      <c r="AI4380">
        <v>91.452555875321096</v>
      </c>
      <c r="AJ4380">
        <v>102.122878027222</v>
      </c>
      <c r="AK4380">
        <v>43.874348644711503</v>
      </c>
      <c r="AL4380">
        <v>87.709356040127304</v>
      </c>
      <c r="AM4380">
        <v>102.742011317245</v>
      </c>
      <c r="AN4380">
        <v>1.0000000039214001</v>
      </c>
    </row>
    <row r="4381" spans="1:40" x14ac:dyDescent="0.25">
      <c r="A4381" t="str">
        <f>"20190305135719943"</f>
        <v>20190305135719943</v>
      </c>
      <c r="B4381" t="str">
        <f>"1551765439937132"</f>
        <v>1551765439937132</v>
      </c>
      <c r="C4381" t="s">
        <v>40</v>
      </c>
      <c r="D4381">
        <v>4.3284120000000001</v>
      </c>
      <c r="E4381">
        <v>0.503969</v>
      </c>
      <c r="F4381" t="s">
        <v>91</v>
      </c>
      <c r="G4381">
        <v>-233.7227</v>
      </c>
      <c r="H4381" s="1">
        <v>-6.5425929999999999E-7</v>
      </c>
      <c r="I4381">
        <v>-59.988709999999998</v>
      </c>
      <c r="J4381">
        <v>-281.05540000000002</v>
      </c>
      <c r="K4381">
        <v>1.1122559999999999</v>
      </c>
      <c r="L4381">
        <v>-61.508789999999998</v>
      </c>
      <c r="M4381">
        <v>0.98399550000000002</v>
      </c>
      <c r="N4381">
        <v>-1.440878E-2</v>
      </c>
      <c r="O4381">
        <v>-0.1776105</v>
      </c>
      <c r="P4381">
        <v>0.99862910000000005</v>
      </c>
      <c r="Q4381">
        <v>2.8433259999999998E-2</v>
      </c>
      <c r="R4381">
        <v>4.3949920000000003E-2</v>
      </c>
      <c r="S4381">
        <v>3.0016780000000001</v>
      </c>
      <c r="T4381">
        <v>-7.0284609999999997E-2</v>
      </c>
      <c r="U4381">
        <v>9.42688E-2</v>
      </c>
      <c r="V4381">
        <v>-0.22085389999999999</v>
      </c>
      <c r="W4381">
        <v>4.1332220000000003E-2</v>
      </c>
      <c r="X4381">
        <v>0.97443069999999998</v>
      </c>
      <c r="Y4381">
        <v>-0.2083333</v>
      </c>
      <c r="Z4381">
        <v>5.5162589999999999E-3</v>
      </c>
      <c r="AA4381">
        <v>0.97804230000000003</v>
      </c>
      <c r="AB4381">
        <v>28</v>
      </c>
      <c r="AC4381">
        <v>47.332700000000003</v>
      </c>
      <c r="AD4381">
        <v>-1.1122566542593</v>
      </c>
      <c r="AE4381">
        <v>1.5200800000000001</v>
      </c>
      <c r="AF4381">
        <v>-9.8981032897315906</v>
      </c>
      <c r="AG4381">
        <v>-1.1122566542593</v>
      </c>
      <c r="AH4381">
        <v>46.284452030660198</v>
      </c>
      <c r="AI4381">
        <v>91.346176795042496</v>
      </c>
      <c r="AJ4381">
        <v>102.07109142015899</v>
      </c>
      <c r="AK4381">
        <v>47.344060486798398</v>
      </c>
      <c r="AL4381">
        <v>87.631163425589506</v>
      </c>
      <c r="AM4381">
        <v>102.770288540236</v>
      </c>
      <c r="AN4381">
        <v>0.99999999332891398</v>
      </c>
    </row>
    <row r="4382" spans="1:40" x14ac:dyDescent="0.25">
      <c r="A4382" t="str">
        <f>"20190305135719958"</f>
        <v>20190305135719958</v>
      </c>
      <c r="B4382" t="str">
        <f>"1551765439946892"</f>
        <v>1551765439946892</v>
      </c>
      <c r="C4382" t="s">
        <v>40</v>
      </c>
      <c r="D4382">
        <v>4.4056139999999999</v>
      </c>
      <c r="E4382">
        <v>0.50421519999999997</v>
      </c>
      <c r="F4382" t="s">
        <v>91</v>
      </c>
      <c r="G4382">
        <v>-231.31030000000001</v>
      </c>
      <c r="H4382" s="1">
        <v>3.8524869999999998E-7</v>
      </c>
      <c r="I4382">
        <v>-60.014429999999997</v>
      </c>
      <c r="J4382">
        <v>-280.87479999999999</v>
      </c>
      <c r="K4382">
        <v>1.11236</v>
      </c>
      <c r="L4382">
        <v>-61.53931</v>
      </c>
      <c r="M4382">
        <v>0.9843478</v>
      </c>
      <c r="N4382">
        <v>-1.438742E-2</v>
      </c>
      <c r="O4382">
        <v>-0.17564929999999901</v>
      </c>
      <c r="P4382">
        <v>0.99841579999999996</v>
      </c>
      <c r="Q4382">
        <v>3.0807830000000001E-2</v>
      </c>
      <c r="R4382">
        <v>4.7083970000000003E-2</v>
      </c>
      <c r="S4382">
        <v>3.002075</v>
      </c>
      <c r="T4382">
        <v>-6.7123650000000007E-2</v>
      </c>
      <c r="U4382">
        <v>9.017944E-2</v>
      </c>
      <c r="V4382">
        <v>-0.22197919999999999</v>
      </c>
      <c r="W4382">
        <v>4.3632310000000001E-2</v>
      </c>
      <c r="X4382">
        <v>0.97407469999999996</v>
      </c>
      <c r="Y4382">
        <v>-0.20505770000000001</v>
      </c>
      <c r="Z4382">
        <v>5.1458520000000002E-3</v>
      </c>
      <c r="AA4382">
        <v>0.9787363</v>
      </c>
      <c r="AB4382">
        <v>28</v>
      </c>
      <c r="AC4382">
        <v>49.564499999999903</v>
      </c>
      <c r="AD4382">
        <v>-1.1123596147513</v>
      </c>
      <c r="AE4382">
        <v>1.52487999999999</v>
      </c>
      <c r="AF4382">
        <v>-10.202903151010799</v>
      </c>
      <c r="AG4382">
        <v>-1.1123596147513</v>
      </c>
      <c r="AH4382">
        <v>48.501472816415003</v>
      </c>
      <c r="AI4382">
        <v>91.285692933873406</v>
      </c>
      <c r="AJ4382">
        <v>101.879683793092</v>
      </c>
      <c r="AK4382">
        <v>49.575492352400097</v>
      </c>
      <c r="AL4382">
        <v>87.499258963170703</v>
      </c>
      <c r="AM4382">
        <v>102.83774156323599</v>
      </c>
      <c r="AN4382">
        <v>1.0000000324443299</v>
      </c>
    </row>
    <row r="4383" spans="1:40" x14ac:dyDescent="0.25">
      <c r="A4383" t="str">
        <f>"20190305135719972"</f>
        <v>20190305135719972</v>
      </c>
      <c r="B4383" t="str">
        <f>"1551765439956652"</f>
        <v>1551765439956652</v>
      </c>
      <c r="C4383" t="s">
        <v>40</v>
      </c>
      <c r="D4383">
        <v>4.400569</v>
      </c>
      <c r="E4383">
        <v>0.50446550000000001</v>
      </c>
      <c r="F4383" t="s">
        <v>92</v>
      </c>
      <c r="G4383">
        <v>-224.47219999999999</v>
      </c>
      <c r="H4383" s="1">
        <v>-1.1872539999999901E-6</v>
      </c>
      <c r="I4383">
        <v>-59.702210000000001</v>
      </c>
      <c r="J4383">
        <v>-280.71370000000002</v>
      </c>
      <c r="K4383">
        <v>1.112444</v>
      </c>
      <c r="L4383">
        <v>-61.566220000000001</v>
      </c>
      <c r="M4383">
        <v>0.98466799999999999</v>
      </c>
      <c r="N4383">
        <v>-1.437011E-2</v>
      </c>
      <c r="O4383">
        <v>-0.17384630000000001</v>
      </c>
      <c r="P4383">
        <v>0.9982413</v>
      </c>
      <c r="Q4383">
        <v>3.2453780000000002E-2</v>
      </c>
      <c r="R4383">
        <v>4.9610120000000001E-2</v>
      </c>
      <c r="S4383">
        <v>3.0019840000000002</v>
      </c>
      <c r="T4383">
        <v>-5.920458E-2</v>
      </c>
      <c r="U4383">
        <v>9.7778320000000002E-2</v>
      </c>
      <c r="V4383">
        <v>-0.222668</v>
      </c>
      <c r="W4383">
        <v>4.5215270000000002E-2</v>
      </c>
      <c r="X4383">
        <v>0.97384519999999997</v>
      </c>
      <c r="Y4383">
        <v>-0.2057592</v>
      </c>
      <c r="Z4383">
        <v>4.418539E-3</v>
      </c>
      <c r="AA4383">
        <v>0.97859269999999998</v>
      </c>
      <c r="AB4383">
        <v>28</v>
      </c>
      <c r="AC4383">
        <v>56.241500000000002</v>
      </c>
      <c r="AD4383">
        <v>-1.112445187254</v>
      </c>
      <c r="AE4383">
        <v>1.86400999999999</v>
      </c>
      <c r="AF4383">
        <v>-11.6094691641241</v>
      </c>
      <c r="AG4383">
        <v>-1.112445187254</v>
      </c>
      <c r="AH4383">
        <v>55.0393265114866</v>
      </c>
      <c r="AI4383">
        <v>91.132971659836201</v>
      </c>
      <c r="AJ4383">
        <v>101.910827961341</v>
      </c>
      <c r="AK4383">
        <v>56.261396813493903</v>
      </c>
      <c r="AL4383">
        <v>87.408472231023097</v>
      </c>
      <c r="AM4383">
        <v>102.879184450884</v>
      </c>
      <c r="AN4383">
        <v>0.99999996621410503</v>
      </c>
    </row>
    <row r="4384" spans="1:40" x14ac:dyDescent="0.25">
      <c r="A4384" t="str">
        <f>"20190305135719985"</f>
        <v>20190305135719985</v>
      </c>
      <c r="B4384" t="str">
        <f>"1551765439977149"</f>
        <v>1551765439977149</v>
      </c>
      <c r="C4384" t="s">
        <v>40</v>
      </c>
      <c r="D4384">
        <v>4.4156230000000001</v>
      </c>
      <c r="E4384">
        <v>0.50494090000000003</v>
      </c>
      <c r="F4384" t="s">
        <v>93</v>
      </c>
      <c r="G4384">
        <v>-219.38640000000001</v>
      </c>
      <c r="H4384" s="1">
        <v>-3.160696E-6</v>
      </c>
      <c r="I4384">
        <v>-59.453899999999997</v>
      </c>
      <c r="J4384">
        <v>-280.53640000000001</v>
      </c>
      <c r="K4384">
        <v>1.1125480000000001</v>
      </c>
      <c r="L4384">
        <v>-61.59534</v>
      </c>
      <c r="M4384">
        <v>0.98503390000000002</v>
      </c>
      <c r="N4384">
        <v>-1.43537E-2</v>
      </c>
      <c r="O4384">
        <v>-0.1717629</v>
      </c>
      <c r="P4384">
        <v>0.9980251</v>
      </c>
      <c r="Q4384">
        <v>3.4576969999999999E-2</v>
      </c>
      <c r="R4384">
        <v>5.2449120000000002E-2</v>
      </c>
      <c r="S4384">
        <v>3.0019230000000001</v>
      </c>
      <c r="T4384">
        <v>-5.4453370000000001E-2</v>
      </c>
      <c r="U4384">
        <v>0.1033936</v>
      </c>
      <c r="V4384">
        <v>-0.22338740000000001</v>
      </c>
      <c r="W4384">
        <v>4.7268249999999998E-2</v>
      </c>
      <c r="X4384">
        <v>0.97358299999999998</v>
      </c>
      <c r="Y4384">
        <v>-0.20552780000000001</v>
      </c>
      <c r="Z4384">
        <v>3.9721169999999998E-3</v>
      </c>
      <c r="AA4384">
        <v>0.97864320000000005</v>
      </c>
      <c r="AB4384">
        <v>28</v>
      </c>
      <c r="AC4384">
        <v>61.15</v>
      </c>
      <c r="AD4384">
        <v>-1.1125511606959999</v>
      </c>
      <c r="AE4384">
        <v>2.1414399999999998</v>
      </c>
      <c r="AF4384">
        <v>-12.609820963015499</v>
      </c>
      <c r="AG4384">
        <v>-1.1125511606959999</v>
      </c>
      <c r="AH4384">
        <v>59.8533739023718</v>
      </c>
      <c r="AI4384">
        <v>91.042019141137999</v>
      </c>
      <c r="AJ4384">
        <v>101.897009005881</v>
      </c>
      <c r="AK4384">
        <v>61.177379171566301</v>
      </c>
      <c r="AL4384">
        <v>87.290719348081495</v>
      </c>
      <c r="AM4384">
        <v>102.922763336711</v>
      </c>
      <c r="AN4384">
        <v>1.0000000379129099</v>
      </c>
    </row>
    <row r="4385" spans="1:40" x14ac:dyDescent="0.25">
      <c r="A4385" t="str">
        <f>"20190305135719999"</f>
        <v>20190305135719999</v>
      </c>
      <c r="B4385" t="str">
        <f>"1551765439986908"</f>
        <v>1551765439986908</v>
      </c>
      <c r="C4385" t="s">
        <v>40</v>
      </c>
      <c r="D4385">
        <v>4.3885899999999998</v>
      </c>
      <c r="E4385">
        <v>0.5051523</v>
      </c>
      <c r="F4385" t="s">
        <v>93</v>
      </c>
      <c r="G4385">
        <v>-211.54580000000001</v>
      </c>
      <c r="H4385" s="1">
        <v>1.4220920000000001E-7</v>
      </c>
      <c r="I4385">
        <v>-59.111750000000001</v>
      </c>
      <c r="J4385">
        <v>-280.37459999999999</v>
      </c>
      <c r="K4385">
        <v>1.112636</v>
      </c>
      <c r="L4385">
        <v>-61.621429999999997</v>
      </c>
      <c r="M4385">
        <v>0.98537649999999999</v>
      </c>
      <c r="N4385">
        <v>-1.434066E-2</v>
      </c>
      <c r="O4385">
        <v>-0.169786299999999</v>
      </c>
      <c r="P4385">
        <v>0.99777800000000005</v>
      </c>
      <c r="Q4385">
        <v>3.7297030000000002E-2</v>
      </c>
      <c r="R4385">
        <v>5.5210259999999997E-2</v>
      </c>
      <c r="S4385">
        <v>3.0019230000000001</v>
      </c>
      <c r="T4385">
        <v>-4.8409220000000003E-2</v>
      </c>
      <c r="U4385">
        <v>0.1080627</v>
      </c>
      <c r="V4385">
        <v>-0.2241369</v>
      </c>
      <c r="W4385">
        <v>4.9924419999999997E-2</v>
      </c>
      <c r="X4385">
        <v>0.97327810000000003</v>
      </c>
      <c r="Y4385">
        <v>-0.20509569999999999</v>
      </c>
      <c r="Z4385">
        <v>3.4121830000000001E-3</v>
      </c>
      <c r="AA4385">
        <v>0.97873600000000005</v>
      </c>
      <c r="AB4385">
        <v>28</v>
      </c>
      <c r="AC4385">
        <v>68.828799999999902</v>
      </c>
      <c r="AD4385">
        <v>-1.1126358577908</v>
      </c>
      <c r="AE4385">
        <v>2.5096799999999999</v>
      </c>
      <c r="AF4385">
        <v>-14.156929421691199</v>
      </c>
      <c r="AG4385">
        <v>-1.1126358577908</v>
      </c>
      <c r="AH4385">
        <v>67.385522215505006</v>
      </c>
      <c r="AI4385">
        <v>90.925747406194901</v>
      </c>
      <c r="AJ4385">
        <v>101.86464053723</v>
      </c>
      <c r="AK4385">
        <v>68.8655589787748</v>
      </c>
      <c r="AL4385">
        <v>87.138351929872002</v>
      </c>
      <c r="AM4385">
        <v>102.968582846259</v>
      </c>
      <c r="AN4385">
        <v>1.0000000287967701</v>
      </c>
    </row>
    <row r="4386" spans="1:40" x14ac:dyDescent="0.25">
      <c r="A4386" t="str">
        <f>"20190305135720016"</f>
        <v>20190305135720016</v>
      </c>
      <c r="B4386" t="str">
        <f>"1551765440007051"</f>
        <v>1551765440007051</v>
      </c>
      <c r="C4386" t="s">
        <v>40</v>
      </c>
      <c r="D4386">
        <v>4.3934240000000004</v>
      </c>
      <c r="E4386">
        <v>0.5058106</v>
      </c>
      <c r="F4386" t="s">
        <v>78</v>
      </c>
      <c r="G4386">
        <v>-198.053</v>
      </c>
      <c r="H4386" s="1">
        <v>-7.7412550000000001E-6</v>
      </c>
      <c r="I4386">
        <v>-58.478879999999997</v>
      </c>
      <c r="J4386">
        <v>-280.16750000000002</v>
      </c>
      <c r="K4386">
        <v>1.1127419999999999</v>
      </c>
      <c r="L4386">
        <v>-61.654330000000002</v>
      </c>
      <c r="M4386">
        <v>0.98582360000000002</v>
      </c>
      <c r="N4386">
        <v>-1.4325859999999999E-2</v>
      </c>
      <c r="O4386">
        <v>-0.1671723</v>
      </c>
      <c r="P4386">
        <v>0.99732469999999995</v>
      </c>
      <c r="Q4386">
        <v>4.3142300000000001E-2</v>
      </c>
      <c r="R4386">
        <v>5.9012299999999997E-2</v>
      </c>
      <c r="S4386">
        <v>3.001862</v>
      </c>
      <c r="T4386">
        <v>-4.057264E-2</v>
      </c>
      <c r="U4386">
        <v>0.1145935</v>
      </c>
      <c r="V4386">
        <v>-0.2252741</v>
      </c>
      <c r="W4386">
        <v>5.5685619999999998E-2</v>
      </c>
      <c r="X4386">
        <v>0.97270279999999998</v>
      </c>
      <c r="Y4386">
        <v>-0.20463899999999999</v>
      </c>
      <c r="Z4386">
        <v>2.700554E-3</v>
      </c>
      <c r="AA4386">
        <v>0.97883379999999998</v>
      </c>
      <c r="AB4386">
        <v>28</v>
      </c>
      <c r="AC4386">
        <v>82.114500000000007</v>
      </c>
      <c r="AD4386">
        <v>-1.11274974125499</v>
      </c>
      <c r="AE4386">
        <v>3.1754499999999899</v>
      </c>
      <c r="AF4386">
        <v>-16.856342891013799</v>
      </c>
      <c r="AG4386">
        <v>-1.11274974125499</v>
      </c>
      <c r="AH4386">
        <v>80.413074523186793</v>
      </c>
      <c r="AI4386">
        <v>90.775941295436397</v>
      </c>
      <c r="AJ4386">
        <v>101.839029991896</v>
      </c>
      <c r="AK4386">
        <v>82.168345863341401</v>
      </c>
      <c r="AL4386">
        <v>86.807797838317796</v>
      </c>
      <c r="AM4386">
        <v>103.039585141096</v>
      </c>
      <c r="AN4386">
        <v>1.0000000227667101</v>
      </c>
    </row>
    <row r="4387" spans="1:40" x14ac:dyDescent="0.25">
      <c r="A4387" t="str">
        <f>"20190305135720031"</f>
        <v>20190305135720031</v>
      </c>
      <c r="B4387" t="str">
        <f>"1551765440016793"</f>
        <v>1551765440016793</v>
      </c>
      <c r="C4387" t="s">
        <v>40</v>
      </c>
      <c r="D4387">
        <v>4.423718</v>
      </c>
      <c r="E4387">
        <v>0.50595599999999996</v>
      </c>
      <c r="F4387" t="s">
        <v>69</v>
      </c>
      <c r="G4387">
        <v>-157.3501</v>
      </c>
      <c r="H4387">
        <v>0.15341569999999999</v>
      </c>
      <c r="I4387">
        <v>-56.718800000000002</v>
      </c>
      <c r="J4387">
        <v>-279.99329999999998</v>
      </c>
      <c r="K4387">
        <v>1.1128229999999999</v>
      </c>
      <c r="L4387">
        <v>-61.681579999999997</v>
      </c>
      <c r="M4387">
        <v>0.98620609999999997</v>
      </c>
      <c r="N4387">
        <v>-1.431487E-2</v>
      </c>
      <c r="O4387">
        <v>-0.1649023</v>
      </c>
      <c r="P4387">
        <v>0.99704340000000002</v>
      </c>
      <c r="Q4387">
        <v>4.5654489999999999E-2</v>
      </c>
      <c r="R4387">
        <v>6.1808189999999999E-2</v>
      </c>
      <c r="S4387">
        <v>3.0019529999999999</v>
      </c>
      <c r="T4387">
        <v>-2.3448710000000001E-2</v>
      </c>
      <c r="U4387">
        <v>0.12063599999999999</v>
      </c>
      <c r="V4387">
        <v>-0.22577079999999999</v>
      </c>
      <c r="W4387">
        <v>5.8134970000000001E-2</v>
      </c>
      <c r="X4387">
        <v>0.97244430000000004</v>
      </c>
      <c r="Y4387">
        <v>-0.20436879999999999</v>
      </c>
      <c r="Z4387">
        <v>1.1795620000000001E-3</v>
      </c>
      <c r="AA4387">
        <v>0.97889320000000002</v>
      </c>
      <c r="AB4387">
        <v>28</v>
      </c>
      <c r="AC4387">
        <v>122.643199999999</v>
      </c>
      <c r="AD4387">
        <v>-0.95940729999999996</v>
      </c>
      <c r="AE4387">
        <v>4.9627800000000004</v>
      </c>
      <c r="AF4387">
        <v>-25.119507002999502</v>
      </c>
      <c r="AG4387">
        <v>-0.95940729999999996</v>
      </c>
      <c r="AH4387">
        <v>120.13805934613001</v>
      </c>
      <c r="AI4387">
        <v>90.447862388407898</v>
      </c>
      <c r="AJ4387">
        <v>101.809760021088</v>
      </c>
      <c r="AK4387">
        <v>122.739819935892</v>
      </c>
      <c r="AL4387">
        <v>86.667232573621106</v>
      </c>
      <c r="AM4387">
        <v>103.07070447011</v>
      </c>
      <c r="AN4387">
        <v>1.00000002273601</v>
      </c>
    </row>
    <row r="4388" spans="1:40" x14ac:dyDescent="0.25">
      <c r="A4388" t="str">
        <f>"20190305135720044"</f>
        <v>20190305135720044</v>
      </c>
      <c r="B4388" t="str">
        <f>"1551765440037290"</f>
        <v>1551765440037290</v>
      </c>
      <c r="C4388" t="s">
        <v>40</v>
      </c>
      <c r="D4388">
        <v>4.380744</v>
      </c>
      <c r="E4388">
        <v>0.50621989999999994</v>
      </c>
      <c r="F4388" t="s">
        <v>69</v>
      </c>
      <c r="G4388">
        <v>-157.3501</v>
      </c>
      <c r="H4388">
        <v>0.41062860000000001</v>
      </c>
      <c r="I4388">
        <v>-56.465980000000002</v>
      </c>
      <c r="J4388">
        <v>-279.83069999999998</v>
      </c>
      <c r="K4388">
        <v>1.1128910000000001</v>
      </c>
      <c r="L4388">
        <v>-61.706389999999999</v>
      </c>
      <c r="M4388">
        <v>0.98657090000000003</v>
      </c>
      <c r="N4388">
        <v>-1.43061E-2</v>
      </c>
      <c r="O4388">
        <v>-0.16270580000000001</v>
      </c>
      <c r="P4388">
        <v>0.99681529999999996</v>
      </c>
      <c r="Q4388">
        <v>4.6724990000000001E-2</v>
      </c>
      <c r="R4388">
        <v>6.4624340000000002E-2</v>
      </c>
      <c r="S4388">
        <v>3.00177</v>
      </c>
      <c r="T4388">
        <v>-1.718712E-2</v>
      </c>
      <c r="U4388">
        <v>0.12765499999999999</v>
      </c>
      <c r="V4388">
        <v>-0.2263619</v>
      </c>
      <c r="W4388">
        <v>5.9151259999999997E-2</v>
      </c>
      <c r="X4388">
        <v>0.97224560000000004</v>
      </c>
      <c r="Y4388">
        <v>-0.20447979999999999</v>
      </c>
      <c r="Z4388">
        <v>6.4483100000000001E-4</v>
      </c>
      <c r="AA4388">
        <v>0.97887060000000004</v>
      </c>
      <c r="AB4388">
        <v>28</v>
      </c>
      <c r="AC4388">
        <v>122.480599999999</v>
      </c>
      <c r="AD4388">
        <v>-0.70226239999999995</v>
      </c>
      <c r="AE4388">
        <v>5.24040999999999</v>
      </c>
      <c r="AF4388">
        <v>-25.100085345539298</v>
      </c>
      <c r="AG4388">
        <v>-0.70226239999999995</v>
      </c>
      <c r="AH4388">
        <v>119.991494250908</v>
      </c>
      <c r="AI4388">
        <v>90.328221552503607</v>
      </c>
      <c r="AJ4388">
        <v>101.814894624986</v>
      </c>
      <c r="AK4388">
        <v>122.590644624284</v>
      </c>
      <c r="AL4388">
        <v>86.608903132511898</v>
      </c>
      <c r="AM4388">
        <v>103.10633161957701</v>
      </c>
      <c r="AN4388">
        <v>1.0000000440252701</v>
      </c>
    </row>
    <row r="4389" spans="1:40" x14ac:dyDescent="0.25">
      <c r="A4389" t="str">
        <f>"20190305135720059"</f>
        <v>20190305135720059</v>
      </c>
      <c r="B4389" t="str">
        <f>"1551765440046870"</f>
        <v>1551765440046870</v>
      </c>
      <c r="C4389" t="s">
        <v>40</v>
      </c>
      <c r="D4389">
        <v>4.429989</v>
      </c>
      <c r="E4389">
        <v>0.50633130000000004</v>
      </c>
      <c r="F4389" t="s">
        <v>69</v>
      </c>
      <c r="G4389">
        <v>-157.3501</v>
      </c>
      <c r="H4389">
        <v>0.40729330000000002</v>
      </c>
      <c r="I4389">
        <v>-56.248660000000001</v>
      </c>
      <c r="J4389">
        <v>-279.64350000000002</v>
      </c>
      <c r="K4389">
        <v>1.1129579999999999</v>
      </c>
      <c r="L4389">
        <v>-61.734529999999999</v>
      </c>
      <c r="M4389">
        <v>0.98699320000000001</v>
      </c>
      <c r="N4389">
        <v>-1.429675E-2</v>
      </c>
      <c r="O4389">
        <v>-0.16012560000000001</v>
      </c>
      <c r="P4389">
        <v>0.99652359999999895</v>
      </c>
      <c r="Q4389">
        <v>4.6555119999999998E-2</v>
      </c>
      <c r="R4389">
        <v>6.9091589999999994E-2</v>
      </c>
      <c r="S4389">
        <v>3.00177</v>
      </c>
      <c r="T4389">
        <v>-1.7293329999999999E-2</v>
      </c>
      <c r="U4389">
        <v>0.1337585</v>
      </c>
      <c r="V4389">
        <v>-0.228189</v>
      </c>
      <c r="W4389">
        <v>5.8913269999999997E-2</v>
      </c>
      <c r="X4389">
        <v>0.97183280000000005</v>
      </c>
      <c r="Y4389">
        <v>-0.203907</v>
      </c>
      <c r="Z4389">
        <v>6.7168329999999995E-4</v>
      </c>
      <c r="AA4389">
        <v>0.97899000000000003</v>
      </c>
      <c r="AB4389">
        <v>28</v>
      </c>
      <c r="AC4389">
        <v>122.29340000000001</v>
      </c>
      <c r="AD4389">
        <v>-0.70566469999999903</v>
      </c>
      <c r="AE4389">
        <v>5.4858700000000002</v>
      </c>
      <c r="AF4389">
        <v>-24.998542518279699</v>
      </c>
      <c r="AG4389">
        <v>-0.70566469999999903</v>
      </c>
      <c r="AH4389">
        <v>119.832580918042</v>
      </c>
      <c r="AI4389">
        <v>90.330286716594799</v>
      </c>
      <c r="AJ4389">
        <v>101.783603240535</v>
      </c>
      <c r="AK4389">
        <v>122.41434777094599</v>
      </c>
      <c r="AL4389">
        <v>86.622562600421105</v>
      </c>
      <c r="AM4389">
        <v>103.213839814878</v>
      </c>
      <c r="AN4389">
        <v>0.999999992129466</v>
      </c>
    </row>
    <row r="4390" spans="1:40" x14ac:dyDescent="0.25">
      <c r="A4390" t="str">
        <f>"20190305135720072"</f>
        <v>20190305135720072</v>
      </c>
      <c r="B4390" t="str">
        <f>"1551765440067358"</f>
        <v>1551765440067358</v>
      </c>
      <c r="C4390" t="s">
        <v>40</v>
      </c>
      <c r="D4390">
        <v>4.4313349999999998</v>
      </c>
      <c r="E4390">
        <v>0.50654390000000005</v>
      </c>
      <c r="F4390" t="s">
        <v>69</v>
      </c>
      <c r="G4390">
        <v>-157.3501</v>
      </c>
      <c r="H4390">
        <v>0.31330609999999998</v>
      </c>
      <c r="I4390">
        <v>-55.774360000000001</v>
      </c>
      <c r="J4390">
        <v>-279.49279999999999</v>
      </c>
      <c r="K4390">
        <v>1.1130070000000001</v>
      </c>
      <c r="L4390">
        <v>-61.756810000000002</v>
      </c>
      <c r="M4390">
        <v>0.9873326</v>
      </c>
      <c r="N4390">
        <v>-1.4289609999999999E-2</v>
      </c>
      <c r="O4390">
        <v>-0.15801860000000001</v>
      </c>
      <c r="P4390">
        <v>0.99635169999999995</v>
      </c>
      <c r="Q4390">
        <v>4.5486260000000001E-2</v>
      </c>
      <c r="R4390">
        <v>7.2211819999999996E-2</v>
      </c>
      <c r="S4390">
        <v>3.0012509999999999</v>
      </c>
      <c r="T4390">
        <v>-1.9625070000000001E-2</v>
      </c>
      <c r="U4390">
        <v>0.14627079999999901</v>
      </c>
      <c r="V4390">
        <v>-0.2291668</v>
      </c>
      <c r="W4390">
        <v>5.7799370000000003E-2</v>
      </c>
      <c r="X4390">
        <v>0.97166960000000002</v>
      </c>
      <c r="Y4390">
        <v>-0.20589589999999999</v>
      </c>
      <c r="Z4390">
        <v>9.1344159999999996E-4</v>
      </c>
      <c r="AA4390">
        <v>0.97857340000000004</v>
      </c>
      <c r="AB4390">
        <v>28</v>
      </c>
      <c r="AC4390">
        <v>122.1427</v>
      </c>
      <c r="AD4390">
        <v>-0.79970090000000005</v>
      </c>
      <c r="AE4390">
        <v>5.98245</v>
      </c>
      <c r="AF4390">
        <v>-25.208985671375</v>
      </c>
      <c r="AG4390">
        <v>-0.79970090000000005</v>
      </c>
      <c r="AH4390">
        <v>119.65724780260901</v>
      </c>
      <c r="AI4390">
        <v>90.374692308367401</v>
      </c>
      <c r="AJ4390">
        <v>101.896904624557</v>
      </c>
      <c r="AK4390">
        <v>122.28650551800099</v>
      </c>
      <c r="AL4390">
        <v>86.686493350364202</v>
      </c>
      <c r="AM4390">
        <v>103.270612679582</v>
      </c>
      <c r="AN4390">
        <v>1.0000000004793901</v>
      </c>
    </row>
    <row r="4391" spans="1:40" x14ac:dyDescent="0.25">
      <c r="A4391" t="str">
        <f>"20190305135720082"</f>
        <v>20190305135720082</v>
      </c>
      <c r="B4391" t="str">
        <f>"1551765440077118"</f>
        <v>1551765440077118</v>
      </c>
      <c r="C4391" t="s">
        <v>40</v>
      </c>
      <c r="D4391">
        <v>4.4033160000000002</v>
      </c>
      <c r="E4391">
        <v>0.50677099999999997</v>
      </c>
      <c r="F4391" t="s">
        <v>43</v>
      </c>
      <c r="G4391">
        <v>-147.91630000000001</v>
      </c>
      <c r="H4391">
        <v>-0.05</v>
      </c>
      <c r="I4391">
        <v>-55.02261</v>
      </c>
      <c r="J4391">
        <v>-279.35649999999998</v>
      </c>
      <c r="K4391">
        <v>1.1130389999999999</v>
      </c>
      <c r="L4391">
        <v>-61.776580000000003</v>
      </c>
      <c r="M4391">
        <v>0.98764130000000006</v>
      </c>
      <c r="N4391">
        <v>-1.4283590000000001E-2</v>
      </c>
      <c r="O4391">
        <v>-0.15607869999999999</v>
      </c>
      <c r="P4391">
        <v>0.99607959999999995</v>
      </c>
      <c r="Q4391">
        <v>4.5768950000000003E-2</v>
      </c>
      <c r="R4391">
        <v>7.5701389999999993E-2</v>
      </c>
      <c r="S4391">
        <v>3.0010379999999999</v>
      </c>
      <c r="T4391">
        <v>-2.6526210000000001E-2</v>
      </c>
      <c r="U4391">
        <v>0.15359500000000001</v>
      </c>
      <c r="V4391">
        <v>-0.23066719999999999</v>
      </c>
      <c r="W4391">
        <v>5.8040719999999997E-2</v>
      </c>
      <c r="X4391">
        <v>0.9713001</v>
      </c>
      <c r="Y4391">
        <v>-0.2063547</v>
      </c>
      <c r="Z4391">
        <v>1.5293139999999999E-3</v>
      </c>
      <c r="AA4391">
        <v>0.97847600000000001</v>
      </c>
      <c r="AB4391">
        <v>28</v>
      </c>
      <c r="AC4391">
        <v>131.44019999999901</v>
      </c>
      <c r="AD4391">
        <v>-1.1630389999999999</v>
      </c>
      <c r="AE4391">
        <v>6.7539699999999998</v>
      </c>
      <c r="AF4391">
        <v>-27.186167061273899</v>
      </c>
      <c r="AG4391">
        <v>-1.1630389999999999</v>
      </c>
      <c r="AH4391">
        <v>128.76470636294201</v>
      </c>
      <c r="AI4391">
        <v>90.506335894497496</v>
      </c>
      <c r="AJ4391">
        <v>101.921806394546</v>
      </c>
      <c r="AK4391">
        <v>131.608472158648</v>
      </c>
      <c r="AL4391">
        <v>86.672641703012502</v>
      </c>
      <c r="AM4391">
        <v>103.359292978298</v>
      </c>
      <c r="AN4391">
        <v>0.99999998329698403</v>
      </c>
    </row>
    <row r="4392" spans="1:40" x14ac:dyDescent="0.25">
      <c r="A4392" t="str">
        <f>"20190305135720092"</f>
        <v>20190305135720092</v>
      </c>
      <c r="B4392" t="str">
        <f>"1551765440086878"</f>
        <v>1551765440086878</v>
      </c>
      <c r="C4392" t="s">
        <v>40</v>
      </c>
      <c r="D4392">
        <v>4.393732</v>
      </c>
      <c r="E4392">
        <v>0.50696319999999995</v>
      </c>
      <c r="F4392" t="s">
        <v>43</v>
      </c>
      <c r="G4392">
        <v>-149.41890000000001</v>
      </c>
      <c r="H4392">
        <v>-0.05</v>
      </c>
      <c r="I4392">
        <v>-54.755580000000002</v>
      </c>
      <c r="J4392">
        <v>-279.23610000000002</v>
      </c>
      <c r="K4392">
        <v>1.1130660000000001</v>
      </c>
      <c r="L4392">
        <v>-61.793849999999999</v>
      </c>
      <c r="M4392">
        <v>0.98791189999999995</v>
      </c>
      <c r="N4392">
        <v>-1.4278280000000001E-2</v>
      </c>
      <c r="O4392">
        <v>-0.154358299999999</v>
      </c>
      <c r="P4392">
        <v>0.9957743</v>
      </c>
      <c r="Q4392">
        <v>4.6736010000000001E-2</v>
      </c>
      <c r="R4392">
        <v>7.9052399999999995E-2</v>
      </c>
      <c r="S4392">
        <v>3.0007320000000002</v>
      </c>
      <c r="T4392">
        <v>-2.685881E-2</v>
      </c>
      <c r="U4392">
        <v>0.162139899999999</v>
      </c>
      <c r="V4392">
        <v>-0.2322475</v>
      </c>
      <c r="W4392">
        <v>5.896991E-2</v>
      </c>
      <c r="X4392">
        <v>0.97086749999999999</v>
      </c>
      <c r="Y4392">
        <v>-0.20743349999999999</v>
      </c>
      <c r="Z4392">
        <v>1.5807939999999999E-3</v>
      </c>
      <c r="AA4392">
        <v>0.9782478</v>
      </c>
      <c r="AB4392">
        <v>28</v>
      </c>
      <c r="AC4392">
        <v>129.81720000000001</v>
      </c>
      <c r="AD4392">
        <v>-1.1630659999999999</v>
      </c>
      <c r="AE4392">
        <v>7.03826999999999</v>
      </c>
      <c r="AF4392">
        <v>-26.992140793078299</v>
      </c>
      <c r="AG4392">
        <v>-1.1630659999999999</v>
      </c>
      <c r="AH4392">
        <v>127.164310541723</v>
      </c>
      <c r="AI4392">
        <v>90.512602317007904</v>
      </c>
      <c r="AJ4392">
        <v>101.983847094598</v>
      </c>
      <c r="AK4392">
        <v>130.002654829297</v>
      </c>
      <c r="AL4392">
        <v>86.619311833751894</v>
      </c>
      <c r="AM4392">
        <v>103.45327799289601</v>
      </c>
      <c r="AN4392">
        <v>1.00000002704895</v>
      </c>
    </row>
    <row r="4393" spans="1:40" x14ac:dyDescent="0.25">
      <c r="A4393" t="str">
        <f>"20190305135720104"</f>
        <v>20190305135720104</v>
      </c>
      <c r="B4393" t="str">
        <f>"1551765440096638"</f>
        <v>1551765440096638</v>
      </c>
      <c r="C4393" t="s">
        <v>40</v>
      </c>
      <c r="D4393">
        <v>4.4527749999999999</v>
      </c>
      <c r="E4393">
        <v>0.50725109999999995</v>
      </c>
      <c r="F4393" t="s">
        <v>69</v>
      </c>
      <c r="G4393">
        <v>-157.3501</v>
      </c>
      <c r="H4393">
        <v>6.9449189999999994E-2</v>
      </c>
      <c r="I4393">
        <v>-54.869979999999998</v>
      </c>
      <c r="J4393">
        <v>-279.08769999999998</v>
      </c>
      <c r="K4393">
        <v>1.1130869999999999</v>
      </c>
      <c r="L4393">
        <v>-61.81476</v>
      </c>
      <c r="M4393">
        <v>0.98824449999999997</v>
      </c>
      <c r="N4393">
        <v>-1.427196E-2</v>
      </c>
      <c r="O4393">
        <v>-0.15221489999999999</v>
      </c>
      <c r="P4393">
        <v>0.99540030000000002</v>
      </c>
      <c r="Q4393">
        <v>4.8070670000000003E-2</v>
      </c>
      <c r="R4393">
        <v>8.2872080000000001E-2</v>
      </c>
      <c r="S4393">
        <v>3.000397</v>
      </c>
      <c r="T4393">
        <v>-2.5690560000000001E-2</v>
      </c>
      <c r="U4393">
        <v>0.1704407</v>
      </c>
      <c r="V4393">
        <v>-0.23387060000000001</v>
      </c>
      <c r="W4393">
        <v>6.0266489999999999E-2</v>
      </c>
      <c r="X4393">
        <v>0.97039810000000004</v>
      </c>
      <c r="Y4393">
        <v>-0.20801639999999999</v>
      </c>
      <c r="Z4393">
        <v>1.5006010000000001E-3</v>
      </c>
      <c r="AA4393">
        <v>0.9781242</v>
      </c>
      <c r="AB4393">
        <v>28</v>
      </c>
      <c r="AC4393">
        <v>121.7376</v>
      </c>
      <c r="AD4393">
        <v>-1.0436378100000001</v>
      </c>
      <c r="AE4393">
        <v>6.94477999999999</v>
      </c>
      <c r="AF4393">
        <v>-25.394140310016901</v>
      </c>
      <c r="AG4393">
        <v>-1.0436378100000001</v>
      </c>
      <c r="AH4393">
        <v>119.252810199625</v>
      </c>
      <c r="AI4393">
        <v>90.490414585130097</v>
      </c>
      <c r="AJ4393">
        <v>102.02122348595</v>
      </c>
      <c r="AK4393">
        <v>121.931063648568</v>
      </c>
      <c r="AL4393">
        <v>86.544890764242496</v>
      </c>
      <c r="AM4393">
        <v>103.550156178968</v>
      </c>
      <c r="AN4393">
        <v>0.99999998992244499</v>
      </c>
    </row>
    <row r="4394" spans="1:40" x14ac:dyDescent="0.25">
      <c r="A4394" t="str">
        <f>"20190305135720116"</f>
        <v>20190305135720116</v>
      </c>
      <c r="B4394" t="str">
        <f>"1551765440106961"</f>
        <v>1551765440106961</v>
      </c>
      <c r="C4394" t="s">
        <v>40</v>
      </c>
      <c r="D4394">
        <v>4.3918559999999998</v>
      </c>
      <c r="E4394">
        <v>0.50757559999999902</v>
      </c>
      <c r="F4394" t="s">
        <v>69</v>
      </c>
      <c r="G4394">
        <v>-157.9383</v>
      </c>
      <c r="H4394">
        <v>0.2096401</v>
      </c>
      <c r="I4394">
        <v>-54.568260000000002</v>
      </c>
      <c r="J4394">
        <v>-278.95150000000001</v>
      </c>
      <c r="K4394">
        <v>1.1131059999999999</v>
      </c>
      <c r="L4394">
        <v>-61.833649999999999</v>
      </c>
      <c r="M4394">
        <v>0.98854679999999995</v>
      </c>
      <c r="N4394">
        <v>-1.426638E-2</v>
      </c>
      <c r="O4394">
        <v>-0.1502394</v>
      </c>
      <c r="P4394">
        <v>0.99506459999999997</v>
      </c>
      <c r="Q4394">
        <v>4.854178E-2</v>
      </c>
      <c r="R4394">
        <v>8.6545910000000004E-2</v>
      </c>
      <c r="S4394">
        <v>3</v>
      </c>
      <c r="T4394">
        <v>-2.2372360000000001E-2</v>
      </c>
      <c r="U4394">
        <v>0.1794434</v>
      </c>
      <c r="V4394">
        <v>-0.23551639999999999</v>
      </c>
      <c r="W4394">
        <v>6.0705340000000003E-2</v>
      </c>
      <c r="X4394">
        <v>0.96997259999999996</v>
      </c>
      <c r="Y4394">
        <v>-0.2089963</v>
      </c>
      <c r="Z4394">
        <v>1.243009E-3</v>
      </c>
      <c r="AA4394">
        <v>0.9779156</v>
      </c>
      <c r="AB4394">
        <v>28</v>
      </c>
      <c r="AC4394">
        <v>121.0132</v>
      </c>
      <c r="AD4394">
        <v>-0.90346590000000004</v>
      </c>
      <c r="AE4394">
        <v>7.26539</v>
      </c>
      <c r="AF4394">
        <v>-25.364299046204401</v>
      </c>
      <c r="AG4394">
        <v>-0.90346590000000004</v>
      </c>
      <c r="AH4394">
        <v>118.541133935491</v>
      </c>
      <c r="AI4394">
        <v>90.427008399617193</v>
      </c>
      <c r="AJ4394">
        <v>102.07748533715301</v>
      </c>
      <c r="AK4394">
        <v>121.227737549827</v>
      </c>
      <c r="AL4394">
        <v>86.519700350106802</v>
      </c>
      <c r="AM4394">
        <v>103.647720804473</v>
      </c>
      <c r="AN4394">
        <v>0.999999978862117</v>
      </c>
    </row>
    <row r="4395" spans="1:40" x14ac:dyDescent="0.25">
      <c r="A4395" t="str">
        <f>"20190305135720127"</f>
        <v>20190305135720127</v>
      </c>
      <c r="B4395" t="str">
        <f>"1551765440116706"</f>
        <v>1551765440116706</v>
      </c>
      <c r="C4395" t="s">
        <v>40</v>
      </c>
      <c r="D4395">
        <v>4.4047190000000001</v>
      </c>
      <c r="E4395">
        <v>0.50790210000000002</v>
      </c>
      <c r="F4395" t="s">
        <v>69</v>
      </c>
      <c r="G4395">
        <v>-157.9383</v>
      </c>
      <c r="H4395">
        <v>0.27203759999999999</v>
      </c>
      <c r="I4395">
        <v>-54.256920000000001</v>
      </c>
      <c r="J4395">
        <v>-278.81459999999998</v>
      </c>
      <c r="K4395">
        <v>1.1131139999999999</v>
      </c>
      <c r="L4395">
        <v>-61.852420000000002</v>
      </c>
      <c r="M4395">
        <v>0.9888477</v>
      </c>
      <c r="N4395">
        <v>-1.426094E-2</v>
      </c>
      <c r="O4395">
        <v>-0.14824579999999901</v>
      </c>
      <c r="P4395">
        <v>0.99469379999999996</v>
      </c>
      <c r="Q4395">
        <v>4.938824E-2</v>
      </c>
      <c r="R4395">
        <v>9.0251730000000002E-2</v>
      </c>
      <c r="S4395">
        <v>2.9995729999999998</v>
      </c>
      <c r="T4395">
        <v>-2.0848160000000001E-2</v>
      </c>
      <c r="U4395">
        <v>0.18780520000000001</v>
      </c>
      <c r="V4395">
        <v>-0.2371762</v>
      </c>
      <c r="W4395">
        <v>6.1521109999999997E-2</v>
      </c>
      <c r="X4395">
        <v>0.96951670000000001</v>
      </c>
      <c r="Y4395">
        <v>-0.20974960000000001</v>
      </c>
      <c r="Z4395">
        <v>1.137473E-3</v>
      </c>
      <c r="AA4395">
        <v>0.97775449999999997</v>
      </c>
      <c r="AB4395">
        <v>28</v>
      </c>
      <c r="AC4395">
        <v>120.8763</v>
      </c>
      <c r="AD4395">
        <v>-0.84107639999999995</v>
      </c>
      <c r="AE4395">
        <v>7.5955000000000004</v>
      </c>
      <c r="AF4395">
        <v>-25.431556809076</v>
      </c>
      <c r="AG4395">
        <v>-0.84107639999999995</v>
      </c>
      <c r="AH4395">
        <v>118.408583825348</v>
      </c>
      <c r="AI4395">
        <v>90.397901126964499</v>
      </c>
      <c r="AJ4395">
        <v>102.121721012915</v>
      </c>
      <c r="AK4395">
        <v>121.11178396328</v>
      </c>
      <c r="AL4395">
        <v>86.472872766065905</v>
      </c>
      <c r="AM4395">
        <v>103.746485641253</v>
      </c>
      <c r="AN4395">
        <v>1.0000000142004799</v>
      </c>
    </row>
    <row r="4396" spans="1:40" x14ac:dyDescent="0.25">
      <c r="A4396" t="str">
        <f>"20190305135720138"</f>
        <v>20190305135720138</v>
      </c>
      <c r="B4396" t="str">
        <f>"1551765440127441"</f>
        <v>1551765440127441</v>
      </c>
      <c r="C4396" t="s">
        <v>40</v>
      </c>
      <c r="D4396">
        <v>4.413087</v>
      </c>
      <c r="E4396">
        <v>0.50819429999999999</v>
      </c>
      <c r="F4396" t="s">
        <v>69</v>
      </c>
      <c r="G4396">
        <v>-157.9383</v>
      </c>
      <c r="H4396">
        <v>0.36402230000000002</v>
      </c>
      <c r="I4396">
        <v>-53.943629999999999</v>
      </c>
      <c r="J4396">
        <v>-278.68439999999998</v>
      </c>
      <c r="K4396">
        <v>1.113116</v>
      </c>
      <c r="L4396">
        <v>-61.869869999999999</v>
      </c>
      <c r="M4396">
        <v>0.98913150000000005</v>
      </c>
      <c r="N4396">
        <v>-1.4256090000000001E-2</v>
      </c>
      <c r="O4396">
        <v>-0.14634169999999999</v>
      </c>
      <c r="P4396">
        <v>0.99431259999999999</v>
      </c>
      <c r="Q4396">
        <v>5.0000049999999997E-2</v>
      </c>
      <c r="R4396">
        <v>9.4036750000000002E-2</v>
      </c>
      <c r="S4396">
        <v>2.9991150000000002</v>
      </c>
      <c r="T4396">
        <v>-1.8586519999999999E-2</v>
      </c>
      <c r="U4396">
        <v>0.19622800000000001</v>
      </c>
      <c r="V4396">
        <v>-0.23900109999999999</v>
      </c>
      <c r="W4396">
        <v>6.2103650000000003E-2</v>
      </c>
      <c r="X4396">
        <v>0.96903130000000004</v>
      </c>
      <c r="Y4396">
        <v>-0.2106123</v>
      </c>
      <c r="Z4396">
        <v>9.7216779999999997E-4</v>
      </c>
      <c r="AA4396">
        <v>0.97756920000000003</v>
      </c>
      <c r="AB4396">
        <v>28</v>
      </c>
      <c r="AC4396">
        <v>120.746099999999</v>
      </c>
      <c r="AD4396">
        <v>-0.74909369999999997</v>
      </c>
      <c r="AE4396">
        <v>7.9262399999999902</v>
      </c>
      <c r="AF4396">
        <v>-25.511894977840701</v>
      </c>
      <c r="AG4396">
        <v>-0.74909369999999997</v>
      </c>
      <c r="AH4396">
        <v>118.281304279902</v>
      </c>
      <c r="AI4396">
        <v>90.354701526286206</v>
      </c>
      <c r="AJ4396">
        <v>102.171569812697</v>
      </c>
      <c r="AK4396">
        <v>121.003656427756</v>
      </c>
      <c r="AL4396">
        <v>86.439431773932199</v>
      </c>
      <c r="AM4396">
        <v>103.854867771888</v>
      </c>
      <c r="AN4396">
        <v>1.0000000247621099</v>
      </c>
    </row>
    <row r="4397" spans="1:40" x14ac:dyDescent="0.25">
      <c r="A4397" t="str">
        <f>"20190305135720151"</f>
        <v>20190305135720151</v>
      </c>
      <c r="B4397" t="str">
        <f>"1551765440146962"</f>
        <v>1551765440146962</v>
      </c>
      <c r="C4397" t="s">
        <v>40</v>
      </c>
      <c r="D4397">
        <v>4.3616429999999999</v>
      </c>
      <c r="E4397">
        <v>0.50909450000000001</v>
      </c>
      <c r="F4397" t="s">
        <v>69</v>
      </c>
      <c r="G4397">
        <v>-157.9383</v>
      </c>
      <c r="H4397">
        <v>0.4317957</v>
      </c>
      <c r="I4397">
        <v>-53.599580000000003</v>
      </c>
      <c r="J4397">
        <v>-278.52449999999999</v>
      </c>
      <c r="K4397">
        <v>1.113113</v>
      </c>
      <c r="L4397">
        <v>-61.89114</v>
      </c>
      <c r="M4397">
        <v>0.98947569999999996</v>
      </c>
      <c r="N4397">
        <v>-1.424424E-2</v>
      </c>
      <c r="O4397">
        <v>-0.1439974</v>
      </c>
      <c r="P4397">
        <v>0.99395630000000001</v>
      </c>
      <c r="Q4397">
        <v>4.9617649999999999E-2</v>
      </c>
      <c r="R4397">
        <v>9.7923389999999999E-2</v>
      </c>
      <c r="S4397">
        <v>2.998596</v>
      </c>
      <c r="T4397">
        <v>-1.6920330000000001E-2</v>
      </c>
      <c r="U4397">
        <v>0.20538329999999999</v>
      </c>
      <c r="V4397">
        <v>-0.2404953</v>
      </c>
      <c r="W4397">
        <v>6.1689590000000002E-2</v>
      </c>
      <c r="X4397">
        <v>0.96868799999999999</v>
      </c>
      <c r="Y4397">
        <v>-0.2112792</v>
      </c>
      <c r="Z4397">
        <v>8.607838E-4</v>
      </c>
      <c r="AA4397">
        <v>0.9774254</v>
      </c>
      <c r="AB4397">
        <v>28</v>
      </c>
      <c r="AC4397">
        <v>120.58620000000001</v>
      </c>
      <c r="AD4397">
        <v>-0.68131729999999902</v>
      </c>
      <c r="AE4397">
        <v>8.2915599999999898</v>
      </c>
      <c r="AF4397">
        <v>-25.570174293132499</v>
      </c>
      <c r="AG4397">
        <v>-0.68131729999999902</v>
      </c>
      <c r="AH4397">
        <v>118.13136519151</v>
      </c>
      <c r="AI4397">
        <v>90.322967919559801</v>
      </c>
      <c r="AJ4397">
        <v>102.21356135635099</v>
      </c>
      <c r="AK4397">
        <v>120.869009463363</v>
      </c>
      <c r="AL4397">
        <v>86.463201216737204</v>
      </c>
      <c r="AM4397">
        <v>103.942866092082</v>
      </c>
      <c r="AN4397">
        <v>1.00000001809022</v>
      </c>
    </row>
    <row r="4398" spans="1:40" x14ac:dyDescent="0.25">
      <c r="A4398" t="str">
        <f>"20190305135720164"</f>
        <v>20190305135720164</v>
      </c>
      <c r="B4398" t="str">
        <f>"1551765440156721"</f>
        <v>1551765440156721</v>
      </c>
      <c r="C4398" t="s">
        <v>40</v>
      </c>
      <c r="D4398">
        <v>4.2833800000000002</v>
      </c>
      <c r="E4398">
        <v>0.50909450000000001</v>
      </c>
      <c r="F4398" t="s">
        <v>69</v>
      </c>
      <c r="G4398">
        <v>-157.9383</v>
      </c>
      <c r="H4398">
        <v>0.4512698</v>
      </c>
      <c r="I4398">
        <v>-53.442120000000003</v>
      </c>
      <c r="J4398">
        <v>-278.36759999999998</v>
      </c>
      <c r="K4398">
        <v>1.1130990000000001</v>
      </c>
      <c r="L4398">
        <v>-61.911499999999997</v>
      </c>
      <c r="M4398">
        <v>0.98981079999999999</v>
      </c>
      <c r="N4398">
        <v>-1.419144E-2</v>
      </c>
      <c r="O4398">
        <v>-0.1416801</v>
      </c>
      <c r="P4398">
        <v>0.99361630000000001</v>
      </c>
      <c r="Q4398">
        <v>4.8489999999999998E-2</v>
      </c>
      <c r="R4398">
        <v>0.10185950000000001</v>
      </c>
      <c r="S4398">
        <v>2.9983520000000001</v>
      </c>
      <c r="T4398">
        <v>-1.6457079999999999E-2</v>
      </c>
      <c r="U4398">
        <v>0.21008299999999999</v>
      </c>
      <c r="V4398">
        <v>-0.24206530000000001</v>
      </c>
      <c r="W4398">
        <v>6.0489729999999998E-2</v>
      </c>
      <c r="X4398">
        <v>0.96837249999999997</v>
      </c>
      <c r="Y4398">
        <v>-0.21052080000000001</v>
      </c>
      <c r="Z4398">
        <v>8.3754299999999995E-4</v>
      </c>
      <c r="AA4398">
        <v>0.97758900000000004</v>
      </c>
      <c r="AB4398">
        <v>28</v>
      </c>
      <c r="AC4398">
        <v>120.429299999999</v>
      </c>
      <c r="AD4398">
        <v>-0.66182919999999901</v>
      </c>
      <c r="AE4398">
        <v>8.4693799999999992</v>
      </c>
      <c r="AF4398">
        <v>-25.447316150488401</v>
      </c>
      <c r="AG4398">
        <v>-0.66182919999999901</v>
      </c>
      <c r="AH4398">
        <v>118.01061308425101</v>
      </c>
      <c r="AI4398">
        <v>90.314104219138002</v>
      </c>
      <c r="AJ4398">
        <v>102.16869623912601</v>
      </c>
      <c r="AK4398">
        <v>120.72492997584899</v>
      </c>
      <c r="AL4398">
        <v>86.532076564521205</v>
      </c>
      <c r="AM4398">
        <v>104.03469397586601</v>
      </c>
      <c r="AN4398">
        <v>0.99999995782790496</v>
      </c>
    </row>
    <row r="4399" spans="1:40" x14ac:dyDescent="0.25">
      <c r="A4399" t="str">
        <f>"20190305135720177"</f>
        <v>20190305135720177</v>
      </c>
      <c r="B4399" t="str">
        <f>"1551765440167458"</f>
        <v>1551765440167458</v>
      </c>
      <c r="C4399" t="s">
        <v>40</v>
      </c>
      <c r="D4399">
        <v>4.3186159999999996</v>
      </c>
      <c r="E4399">
        <v>0.53829369999999999</v>
      </c>
      <c r="F4399" t="s">
        <v>69</v>
      </c>
      <c r="G4399">
        <v>-157.9383</v>
      </c>
      <c r="H4399">
        <v>0.31185459999999998</v>
      </c>
      <c r="I4399">
        <v>-52.9878</v>
      </c>
      <c r="J4399">
        <v>-278.21359999999999</v>
      </c>
      <c r="K4399">
        <v>1.1130850000000001</v>
      </c>
      <c r="L4399">
        <v>-61.9311199999999</v>
      </c>
      <c r="M4399">
        <v>0.99013569999999995</v>
      </c>
      <c r="N4399">
        <v>-1.410521E-2</v>
      </c>
      <c r="O4399">
        <v>-0.1394002</v>
      </c>
      <c r="P4399">
        <v>0.9933459</v>
      </c>
      <c r="Q4399">
        <v>4.6826329999999999E-2</v>
      </c>
      <c r="R4399">
        <v>0.10521999999999999</v>
      </c>
      <c r="S4399">
        <v>2.9974370000000001</v>
      </c>
      <c r="T4399">
        <v>-1.9943120000000002E-2</v>
      </c>
      <c r="U4399">
        <v>0.2221069</v>
      </c>
      <c r="V4399">
        <v>-0.24311169999999999</v>
      </c>
      <c r="W4399">
        <v>5.8726180000000003E-2</v>
      </c>
      <c r="X4399">
        <v>0.96821889999999999</v>
      </c>
      <c r="Y4399">
        <v>-0.2121893</v>
      </c>
      <c r="Z4399">
        <v>1.1627219999999999E-3</v>
      </c>
      <c r="AA4399">
        <v>0.97722790000000004</v>
      </c>
      <c r="AB4399">
        <v>28</v>
      </c>
      <c r="AC4399">
        <v>120.2753</v>
      </c>
      <c r="AD4399">
        <v>-0.80123040000000001</v>
      </c>
      <c r="AE4399">
        <v>8.9433199999999893</v>
      </c>
      <c r="AF4399">
        <v>-25.622918637105101</v>
      </c>
      <c r="AG4399">
        <v>-0.80123040000000001</v>
      </c>
      <c r="AH4399">
        <v>117.84868666180699</v>
      </c>
      <c r="AI4399">
        <v>90.380644084205301</v>
      </c>
      <c r="AJ4399">
        <v>102.26646305781</v>
      </c>
      <c r="AK4399">
        <v>120.604680164372</v>
      </c>
      <c r="AL4399">
        <v>86.633300519600297</v>
      </c>
      <c r="AM4399">
        <v>104.095097085139</v>
      </c>
      <c r="AN4399">
        <v>0.99999995060574498</v>
      </c>
    </row>
    <row r="4400" spans="1:40" x14ac:dyDescent="0.25">
      <c r="A4400" t="str">
        <f>"20190305135720190"</f>
        <v>20190305135720190</v>
      </c>
      <c r="B4400" t="str">
        <f>"1551765440186977"</f>
        <v>1551765440186977</v>
      </c>
      <c r="C4400" t="s">
        <v>40</v>
      </c>
      <c r="D4400">
        <v>4.2482559999999996</v>
      </c>
      <c r="E4400">
        <v>0.53841450000000002</v>
      </c>
      <c r="F4400" t="s">
        <v>69</v>
      </c>
      <c r="G4400">
        <v>-157.3501</v>
      </c>
      <c r="H4400">
        <v>0.81047919999999996</v>
      </c>
      <c r="I4400">
        <v>-61.874940000000002</v>
      </c>
      <c r="J4400">
        <v>-278.05459999999999</v>
      </c>
      <c r="K4400">
        <v>1.1130660000000001</v>
      </c>
      <c r="L4400">
        <v>-61.951140000000002</v>
      </c>
      <c r="M4400">
        <v>0.99046619999999996</v>
      </c>
      <c r="N4400">
        <v>-1.3988230000000001E-2</v>
      </c>
      <c r="O4400">
        <v>-0.1370441</v>
      </c>
      <c r="P4400">
        <v>0.99305140000000003</v>
      </c>
      <c r="Q4400">
        <v>4.614153E-2</v>
      </c>
      <c r="R4400">
        <v>0.10825990000000001</v>
      </c>
      <c r="S4400">
        <v>3.0202939999999998</v>
      </c>
      <c r="T4400">
        <v>-7.562399E-3</v>
      </c>
      <c r="U4400">
        <v>1.403809E-3</v>
      </c>
      <c r="V4400">
        <v>-0.24377190000000001</v>
      </c>
      <c r="W4400">
        <v>5.7913619999999999E-2</v>
      </c>
      <c r="X4400">
        <v>0.96810189999999996</v>
      </c>
      <c r="Y4400">
        <v>-0.13750599999999999</v>
      </c>
      <c r="Z4400">
        <v>-4.4537439999999998E-4</v>
      </c>
      <c r="AA4400">
        <v>0.99050079999999996</v>
      </c>
      <c r="AB4400">
        <v>28</v>
      </c>
      <c r="AC4400">
        <v>120.7045</v>
      </c>
      <c r="AD4400">
        <v>-0.30258679999999899</v>
      </c>
      <c r="AE4400">
        <v>7.6200000000000004E-2</v>
      </c>
      <c r="AF4400">
        <v>-16.6188342449279</v>
      </c>
      <c r="AG4400">
        <v>-0.30258679999999899</v>
      </c>
      <c r="AH4400">
        <v>119.554227692761</v>
      </c>
      <c r="AI4400">
        <v>90.143631892383297</v>
      </c>
      <c r="AJ4400">
        <v>97.913782853409003</v>
      </c>
      <c r="AK4400">
        <v>120.704144790659</v>
      </c>
      <c r="AL4400">
        <v>86.679936347936206</v>
      </c>
      <c r="AM4400">
        <v>104.13348187618099</v>
      </c>
      <c r="AN4400">
        <v>1.0000000076973601</v>
      </c>
    </row>
    <row r="4401" spans="1:40" x14ac:dyDescent="0.25">
      <c r="A4401" t="str">
        <f>"20190305135720206"</f>
        <v>20190305135720206</v>
      </c>
      <c r="B4401" t="str">
        <f>"1551765440196738"</f>
        <v>1551765440196738</v>
      </c>
      <c r="C4401" t="s">
        <v>40</v>
      </c>
      <c r="D4401">
        <v>4.3057410000000003</v>
      </c>
      <c r="E4401">
        <v>0.53930929999999999</v>
      </c>
      <c r="F4401" t="s">
        <v>69</v>
      </c>
      <c r="G4401">
        <v>-157.3501</v>
      </c>
      <c r="H4401">
        <v>0.76757619999999904</v>
      </c>
      <c r="I4401">
        <v>-61.552320000000002</v>
      </c>
      <c r="J4401">
        <v>-277.8535</v>
      </c>
      <c r="K4401">
        <v>1.1130329999999999</v>
      </c>
      <c r="L4401">
        <v>-61.975679999999997</v>
      </c>
      <c r="M4401">
        <v>0.99087760000000003</v>
      </c>
      <c r="N4401">
        <v>-1.376842E-2</v>
      </c>
      <c r="O4401">
        <v>-0.13405989999999901</v>
      </c>
      <c r="P4401">
        <v>0.99258939999999996</v>
      </c>
      <c r="Q4401">
        <v>4.8084580000000002E-2</v>
      </c>
      <c r="R4401">
        <v>0.111598</v>
      </c>
      <c r="S4401">
        <v>3.0202939999999998</v>
      </c>
      <c r="T4401">
        <v>-8.645415E-3</v>
      </c>
      <c r="U4401">
        <v>9.9792479999999996E-3</v>
      </c>
      <c r="V4401">
        <v>-0.24411279999999999</v>
      </c>
      <c r="W4401">
        <v>5.963011E-2</v>
      </c>
      <c r="X4401">
        <v>0.96791179999999999</v>
      </c>
      <c r="Y4401">
        <v>-0.13733480000000001</v>
      </c>
      <c r="Z4401">
        <v>-3.2502810000000003E-4</v>
      </c>
      <c r="AA4401">
        <v>0.99052459999999998</v>
      </c>
      <c r="AB4401">
        <v>28</v>
      </c>
      <c r="AC4401">
        <v>120.5034</v>
      </c>
      <c r="AD4401">
        <v>-0.34545679999999901</v>
      </c>
      <c r="AE4401">
        <v>0.42336000000000901</v>
      </c>
      <c r="AF4401">
        <v>-16.575606304091298</v>
      </c>
      <c r="AG4401">
        <v>-0.34545679999999901</v>
      </c>
      <c r="AH4401">
        <v>119.357694528012</v>
      </c>
      <c r="AI4401">
        <v>90.164254310951705</v>
      </c>
      <c r="AJ4401">
        <v>97.9062908466815</v>
      </c>
      <c r="AK4401">
        <v>120.503648524811</v>
      </c>
      <c r="AL4401">
        <v>86.5814184889893</v>
      </c>
      <c r="AM4401">
        <v>104.155120875137</v>
      </c>
      <c r="AN4401">
        <v>1.0000000308608401</v>
      </c>
    </row>
    <row r="4402" spans="1:40" x14ac:dyDescent="0.25">
      <c r="A4402" t="str">
        <f>"20190305135720219"</f>
        <v>20190305135720219</v>
      </c>
      <c r="B4402" t="str">
        <f>"1551765440207096"</f>
        <v>1551765440207096</v>
      </c>
      <c r="C4402" t="s">
        <v>40</v>
      </c>
      <c r="D4402">
        <v>4.255045</v>
      </c>
      <c r="E4402">
        <v>0.53965560000000001</v>
      </c>
      <c r="F4402" t="s">
        <v>69</v>
      </c>
      <c r="G4402">
        <v>-157.3501</v>
      </c>
      <c r="H4402">
        <v>1.183441</v>
      </c>
      <c r="I4402">
        <v>-61.420520000000003</v>
      </c>
      <c r="J4402">
        <v>-277.69729999999998</v>
      </c>
      <c r="K4402">
        <v>1.113008</v>
      </c>
      <c r="L4402">
        <v>-61.994320000000002</v>
      </c>
      <c r="M4402">
        <v>0.99119170000000001</v>
      </c>
      <c r="N4402">
        <v>-1.3576019999999999E-2</v>
      </c>
      <c r="O4402">
        <v>-0.13173699999999999</v>
      </c>
      <c r="P4402">
        <v>0.99227650000000001</v>
      </c>
      <c r="Q4402">
        <v>4.9763429999999997E-2</v>
      </c>
      <c r="R4402">
        <v>0.1136274</v>
      </c>
      <c r="S4402">
        <v>3.0206909999999998</v>
      </c>
      <c r="T4402">
        <v>1.7644169999999999E-3</v>
      </c>
      <c r="U4402">
        <v>1.3916019999999999E-2</v>
      </c>
      <c r="V4402">
        <v>-0.2438245</v>
      </c>
      <c r="W4402">
        <v>6.1119899999999998E-2</v>
      </c>
      <c r="X4402">
        <v>0.96789150000000002</v>
      </c>
      <c r="Y4402">
        <v>-0.1363017</v>
      </c>
      <c r="Z4402">
        <v>-9.836421000000001E-4</v>
      </c>
      <c r="AA4402">
        <v>0.99066690000000002</v>
      </c>
      <c r="AB4402">
        <v>28</v>
      </c>
      <c r="AC4402">
        <v>120.3472</v>
      </c>
      <c r="AD4402">
        <v>7.0432999999999898E-2</v>
      </c>
      <c r="AE4402">
        <v>0.57379999999999798</v>
      </c>
      <c r="AF4402">
        <v>-16.424433469955201</v>
      </c>
      <c r="AG4402">
        <v>7.0432999999999898E-2</v>
      </c>
      <c r="AH4402">
        <v>119.222505668439</v>
      </c>
      <c r="AI4402">
        <v>89.966468113160701</v>
      </c>
      <c r="AJ4402">
        <v>97.843857348044196</v>
      </c>
      <c r="AK4402">
        <v>120.34854728445001</v>
      </c>
      <c r="AL4402">
        <v>86.495903670395094</v>
      </c>
      <c r="AM4402">
        <v>104.13935901256301</v>
      </c>
      <c r="AN4402">
        <v>0.99999999237425496</v>
      </c>
    </row>
    <row r="4403" spans="1:40" x14ac:dyDescent="0.25">
      <c r="A4403" t="str">
        <f>"20190305135720231"</f>
        <v>20190305135720231</v>
      </c>
      <c r="B4403" t="str">
        <f>"1551765440226597"</f>
        <v>1551765440226597</v>
      </c>
      <c r="C4403" t="s">
        <v>40</v>
      </c>
      <c r="D4403">
        <v>4.3051170000000001</v>
      </c>
      <c r="E4403">
        <v>0.5400895</v>
      </c>
      <c r="F4403" t="s">
        <v>69</v>
      </c>
      <c r="G4403">
        <v>-157.3501</v>
      </c>
      <c r="H4403">
        <v>1.5816570000000001</v>
      </c>
      <c r="I4403">
        <v>-61.275750000000002</v>
      </c>
      <c r="J4403">
        <v>-277.55099999999999</v>
      </c>
      <c r="K4403">
        <v>1.1129770000000001</v>
      </c>
      <c r="L4403">
        <v>-62.011600000000001</v>
      </c>
      <c r="M4403">
        <v>0.99148130000000001</v>
      </c>
      <c r="N4403">
        <v>-1.338812E-2</v>
      </c>
      <c r="O4403">
        <v>-0.12956019999999999</v>
      </c>
      <c r="P4403">
        <v>0.99189170000000004</v>
      </c>
      <c r="Q4403">
        <v>5.1524420000000001E-2</v>
      </c>
      <c r="R4403">
        <v>0.11617479999999999</v>
      </c>
      <c r="S4403">
        <v>3.0206909999999998</v>
      </c>
      <c r="T4403">
        <v>1.17625E-2</v>
      </c>
      <c r="U4403">
        <v>1.8035889999999999E-2</v>
      </c>
      <c r="V4403">
        <v>-0.2441846</v>
      </c>
      <c r="W4403">
        <v>6.269044E-2</v>
      </c>
      <c r="X4403">
        <v>0.96770020000000001</v>
      </c>
      <c r="Y4403">
        <v>-0.13547300000000001</v>
      </c>
      <c r="Z4403">
        <v>-1.5984389999999999E-3</v>
      </c>
      <c r="AA4403">
        <v>0.99077979999999999</v>
      </c>
      <c r="AB4403">
        <v>28</v>
      </c>
      <c r="AC4403">
        <v>120.2009</v>
      </c>
      <c r="AD4403">
        <v>0.46867999999999899</v>
      </c>
      <c r="AE4403">
        <v>0.735849999999999</v>
      </c>
      <c r="AF4403">
        <v>-16.3040454811239</v>
      </c>
      <c r="AG4403">
        <v>0.46867999999999899</v>
      </c>
      <c r="AH4403">
        <v>119.090455642403</v>
      </c>
      <c r="AI4403">
        <v>89.776597721656501</v>
      </c>
      <c r="AJ4403">
        <v>97.795599662277994</v>
      </c>
      <c r="AK4403">
        <v>120.202238685925</v>
      </c>
      <c r="AL4403">
        <v>86.405745250969701</v>
      </c>
      <c r="AM4403">
        <v>104.16208835710999</v>
      </c>
      <c r="AN4403">
        <v>0.99999994361229505</v>
      </c>
    </row>
    <row r="4404" spans="1:40" x14ac:dyDescent="0.25">
      <c r="A4404" t="str">
        <f>"20190305135720242"</f>
        <v>20190305135720242</v>
      </c>
      <c r="B4404" t="str">
        <f>"1551765440237333"</f>
        <v>1551765440237333</v>
      </c>
      <c r="C4404" t="s">
        <v>40</v>
      </c>
      <c r="D4404">
        <v>4.3044949999999904</v>
      </c>
      <c r="E4404">
        <v>0.54020009999999996</v>
      </c>
      <c r="F4404" t="s">
        <v>69</v>
      </c>
      <c r="G4404">
        <v>-157.3501</v>
      </c>
      <c r="H4404">
        <v>1.8228489999999999</v>
      </c>
      <c r="I4404">
        <v>-61.114240000000002</v>
      </c>
      <c r="J4404">
        <v>-277.40809999999999</v>
      </c>
      <c r="K4404">
        <v>1.112946</v>
      </c>
      <c r="L4404">
        <v>-62.028019999999998</v>
      </c>
      <c r="M4404">
        <v>0.99176059999999999</v>
      </c>
      <c r="N4404">
        <v>-1.319859E-2</v>
      </c>
      <c r="O4404">
        <v>-0.12742339999999999</v>
      </c>
      <c r="P4404">
        <v>0.991591</v>
      </c>
      <c r="Q4404">
        <v>5.3018210000000003E-2</v>
      </c>
      <c r="R4404">
        <v>0.1180525</v>
      </c>
      <c r="S4404">
        <v>3.0209350000000001</v>
      </c>
      <c r="T4404">
        <v>1.7840269999999998E-2</v>
      </c>
      <c r="U4404">
        <v>2.2552490000000001E-2</v>
      </c>
      <c r="V4404">
        <v>-0.24393119999999999</v>
      </c>
      <c r="W4404">
        <v>6.4001009999999997E-2</v>
      </c>
      <c r="X4404">
        <v>0.96767840000000005</v>
      </c>
      <c r="Y4404">
        <v>-0.13481489999999999</v>
      </c>
      <c r="Z4404">
        <v>-1.9444340000000001E-3</v>
      </c>
      <c r="AA4404">
        <v>0.99086890000000005</v>
      </c>
      <c r="AB4404">
        <v>28</v>
      </c>
      <c r="AC4404">
        <v>120.05800000000001</v>
      </c>
      <c r="AD4404">
        <v>0.70990299999999995</v>
      </c>
      <c r="AE4404">
        <v>0.91377999999999504</v>
      </c>
      <c r="AF4404">
        <v>-16.205294502323198</v>
      </c>
      <c r="AG4404">
        <v>0.70990299999999995</v>
      </c>
      <c r="AH4404">
        <v>118.95855965964699</v>
      </c>
      <c r="AI4404">
        <v>89.661211950501695</v>
      </c>
      <c r="AJ4404">
        <v>97.757445491979695</v>
      </c>
      <c r="AK4404">
        <v>120.05937884428</v>
      </c>
      <c r="AL4404">
        <v>86.330504290879304</v>
      </c>
      <c r="AM4404">
        <v>104.148288175307</v>
      </c>
      <c r="AN4404">
        <v>1.0000000227205099</v>
      </c>
    </row>
    <row r="4405" spans="1:40" x14ac:dyDescent="0.25">
      <c r="A4405" t="str">
        <f>"20190305135720252"</f>
        <v>20190305135720252</v>
      </c>
      <c r="B4405" t="str">
        <f>"1551765440247092"</f>
        <v>1551765440247092</v>
      </c>
      <c r="C4405" t="s">
        <v>40</v>
      </c>
      <c r="D4405">
        <v>4.3191490000000003</v>
      </c>
      <c r="E4405">
        <v>0.54022499999999996</v>
      </c>
      <c r="F4405" t="s">
        <v>69</v>
      </c>
      <c r="G4405">
        <v>-157.3501</v>
      </c>
      <c r="H4405">
        <v>1.9447730000000001</v>
      </c>
      <c r="I4405">
        <v>-60.934080000000002</v>
      </c>
      <c r="J4405">
        <v>-277.2826</v>
      </c>
      <c r="K4405">
        <v>1.1129119999999999</v>
      </c>
      <c r="L4405">
        <v>-62.04224</v>
      </c>
      <c r="M4405">
        <v>0.99200219999999995</v>
      </c>
      <c r="N4405">
        <v>-1.3033629999999999E-2</v>
      </c>
      <c r="O4405">
        <v>-0.12554560000000001</v>
      </c>
      <c r="P4405">
        <v>0.99129409999999896</v>
      </c>
      <c r="Q4405">
        <v>5.40391E-2</v>
      </c>
      <c r="R4405">
        <v>0.1200658</v>
      </c>
      <c r="S4405">
        <v>3.0210569999999999</v>
      </c>
      <c r="T4405">
        <v>2.093101E-2</v>
      </c>
      <c r="U4405">
        <v>2.752686E-2</v>
      </c>
      <c r="V4405">
        <v>-0.24406349999999999</v>
      </c>
      <c r="W4405">
        <v>6.4858970000000002E-2</v>
      </c>
      <c r="X4405">
        <v>0.96758789999999995</v>
      </c>
      <c r="Y4405">
        <v>-0.1345681</v>
      </c>
      <c r="Z4405">
        <v>-2.0966579999999999E-3</v>
      </c>
      <c r="AA4405">
        <v>0.99090210000000001</v>
      </c>
      <c r="AB4405">
        <v>28</v>
      </c>
      <c r="AC4405">
        <v>119.9325</v>
      </c>
      <c r="AD4405">
        <v>0.83186099999999896</v>
      </c>
      <c r="AE4405">
        <v>1.10815999999999</v>
      </c>
      <c r="AF4405">
        <v>-16.1568905572042</v>
      </c>
      <c r="AG4405">
        <v>0.83186099999999896</v>
      </c>
      <c r="AH4405">
        <v>118.83856098409299</v>
      </c>
      <c r="AI4405">
        <v>89.602596307379301</v>
      </c>
      <c r="AJ4405">
        <v>97.742270878834802</v>
      </c>
      <c r="AK4405">
        <v>119.93473509359499</v>
      </c>
      <c r="AL4405">
        <v>86.281244409659905</v>
      </c>
      <c r="AM4405">
        <v>104.156924101382</v>
      </c>
      <c r="AN4405">
        <v>1.0000000111240599</v>
      </c>
    </row>
    <row r="4406" spans="1:40" x14ac:dyDescent="0.25">
      <c r="A4406" t="str">
        <f>"20190305135720264"</f>
        <v>20190305135720264</v>
      </c>
      <c r="B4406" t="str">
        <f>"1551765440256853"</f>
        <v>1551765440256853</v>
      </c>
      <c r="C4406" t="s">
        <v>40</v>
      </c>
      <c r="D4406">
        <v>4.2830909999999998</v>
      </c>
      <c r="E4406">
        <v>0.54026830000000003</v>
      </c>
      <c r="F4406" t="s">
        <v>69</v>
      </c>
      <c r="G4406">
        <v>-157.3501</v>
      </c>
      <c r="H4406">
        <v>2.0539130000000001</v>
      </c>
      <c r="I4406">
        <v>-60.707099999999997</v>
      </c>
      <c r="J4406">
        <v>-277.13619999999997</v>
      </c>
      <c r="K4406">
        <v>1.1128800000000001</v>
      </c>
      <c r="L4406">
        <v>-62.0584699999999</v>
      </c>
      <c r="M4406">
        <v>0.99228070000000002</v>
      </c>
      <c r="N4406">
        <v>-1.284418E-2</v>
      </c>
      <c r="O4406">
        <v>-0.123346</v>
      </c>
      <c r="P4406">
        <v>0.9910139</v>
      </c>
      <c r="Q4406">
        <v>5.4002519999999998E-2</v>
      </c>
      <c r="R4406">
        <v>0.1223733</v>
      </c>
      <c r="S4406">
        <v>3.020966</v>
      </c>
      <c r="T4406">
        <v>2.3702259999999999E-2</v>
      </c>
      <c r="U4406">
        <v>3.363037E-2</v>
      </c>
      <c r="V4406">
        <v>-0.24416940000000001</v>
      </c>
      <c r="W4406">
        <v>6.463721E-2</v>
      </c>
      <c r="X4406">
        <v>0.96757599999999999</v>
      </c>
      <c r="Y4406">
        <v>-0.1343714</v>
      </c>
      <c r="Z4406">
        <v>-2.2171349999999999E-3</v>
      </c>
      <c r="AA4406">
        <v>0.99092860000000005</v>
      </c>
      <c r="AB4406">
        <v>28</v>
      </c>
      <c r="AC4406">
        <v>119.786099999999</v>
      </c>
      <c r="AD4406">
        <v>0.94103300000000001</v>
      </c>
      <c r="AE4406">
        <v>1.35136999999999</v>
      </c>
      <c r="AF4406">
        <v>-16.1164080894291</v>
      </c>
      <c r="AG4406">
        <v>0.94103300000000001</v>
      </c>
      <c r="AH4406">
        <v>118.697204777911</v>
      </c>
      <c r="AI4406">
        <v>89.549897640133196</v>
      </c>
      <c r="AJ4406">
        <v>97.732192600866796</v>
      </c>
      <c r="AK4406">
        <v>119.790027026049</v>
      </c>
      <c r="AL4406">
        <v>86.293976961936096</v>
      </c>
      <c r="AM4406">
        <v>104.162986884524</v>
      </c>
      <c r="AN4406">
        <v>0.99999999029447195</v>
      </c>
    </row>
    <row r="4407" spans="1:40" x14ac:dyDescent="0.25">
      <c r="A4407" t="str">
        <f>"20190305135720276"</f>
        <v>20190305135720276</v>
      </c>
      <c r="B4407" t="str">
        <f>"1551765440266613"</f>
        <v>1551765440266613</v>
      </c>
      <c r="C4407" t="s">
        <v>40</v>
      </c>
      <c r="D4407">
        <v>4.2963760000000004</v>
      </c>
      <c r="E4407">
        <v>0.5401823</v>
      </c>
      <c r="F4407" t="s">
        <v>69</v>
      </c>
      <c r="G4407">
        <v>-157.3501</v>
      </c>
      <c r="H4407">
        <v>2.0069680000000001</v>
      </c>
      <c r="I4407">
        <v>-60.45149</v>
      </c>
      <c r="J4407">
        <v>-276.9932</v>
      </c>
      <c r="K4407">
        <v>1.1128530000000001</v>
      </c>
      <c r="L4407">
        <v>-62.074039999999997</v>
      </c>
      <c r="M4407">
        <v>0.99254819999999999</v>
      </c>
      <c r="N4407">
        <v>-1.266451E-2</v>
      </c>
      <c r="O4407">
        <v>-0.12119199999999999</v>
      </c>
      <c r="P4407">
        <v>0.99072590000000005</v>
      </c>
      <c r="Q4407">
        <v>5.4130640000000001E-2</v>
      </c>
      <c r="R4407">
        <v>0.1246288</v>
      </c>
      <c r="S4407">
        <v>3.020966</v>
      </c>
      <c r="T4407">
        <v>2.2548080000000002E-2</v>
      </c>
      <c r="U4407">
        <v>4.0527340000000002E-2</v>
      </c>
      <c r="V4407">
        <v>-0.24427119999999999</v>
      </c>
      <c r="W4407">
        <v>6.4588679999999996E-2</v>
      </c>
      <c r="X4407">
        <v>0.96755360000000001</v>
      </c>
      <c r="Y4407">
        <v>-0.1344842</v>
      </c>
      <c r="Z4407">
        <v>-2.0905229999999999E-3</v>
      </c>
      <c r="AA4407">
        <v>0.9909135</v>
      </c>
      <c r="AB4407">
        <v>28</v>
      </c>
      <c r="AC4407">
        <v>119.6431</v>
      </c>
      <c r="AD4407">
        <v>0.89411499999999999</v>
      </c>
      <c r="AE4407">
        <v>1.6225499999999999</v>
      </c>
      <c r="AF4407">
        <v>-16.110639632985698</v>
      </c>
      <c r="AG4407">
        <v>0.89411499999999999</v>
      </c>
      <c r="AH4407">
        <v>118.557802726646</v>
      </c>
      <c r="AI4407">
        <v>89.571841482390298</v>
      </c>
      <c r="AJ4407">
        <v>97.738436877435106</v>
      </c>
      <c r="AK4407">
        <v>119.65076154537201</v>
      </c>
      <c r="AL4407">
        <v>86.296763543299207</v>
      </c>
      <c r="AM4407">
        <v>104.168968821706</v>
      </c>
      <c r="AN4407">
        <v>1.00000004280327</v>
      </c>
    </row>
    <row r="4408" spans="1:40" x14ac:dyDescent="0.25">
      <c r="A4408" t="str">
        <f>"20190305135720287"</f>
        <v>20190305135720287</v>
      </c>
      <c r="B4408" t="str">
        <f>"1551765440277349"</f>
        <v>1551765440277349</v>
      </c>
      <c r="C4408" t="s">
        <v>40</v>
      </c>
      <c r="D4408">
        <v>4.2831859999999997</v>
      </c>
      <c r="E4408">
        <v>0.54015740000000001</v>
      </c>
      <c r="F4408" t="s">
        <v>69</v>
      </c>
      <c r="G4408">
        <v>-157.3501</v>
      </c>
      <c r="H4408">
        <v>1.9657309999999999</v>
      </c>
      <c r="I4408">
        <v>-60.160719999999998</v>
      </c>
      <c r="J4408">
        <v>-276.85520000000002</v>
      </c>
      <c r="K4408">
        <v>1.1128290000000001</v>
      </c>
      <c r="L4408">
        <v>-62.088869999999901</v>
      </c>
      <c r="M4408">
        <v>0.99280230000000003</v>
      </c>
      <c r="N4408">
        <v>-1.2494669999999999E-2</v>
      </c>
      <c r="O4408">
        <v>-0.1191111</v>
      </c>
      <c r="P4408">
        <v>0.99058330000000006</v>
      </c>
      <c r="Q4408">
        <v>5.3169050000000002E-2</v>
      </c>
      <c r="R4408">
        <v>0.126165</v>
      </c>
      <c r="S4408">
        <v>3.0208740000000001</v>
      </c>
      <c r="T4408">
        <v>2.153385E-2</v>
      </c>
      <c r="U4408">
        <v>4.8309329999999998E-2</v>
      </c>
      <c r="V4408">
        <v>-0.24374119999999999</v>
      </c>
      <c r="W4408">
        <v>6.3466610000000007E-2</v>
      </c>
      <c r="X4408">
        <v>0.96776150000000005</v>
      </c>
      <c r="Y4408">
        <v>-0.13496069999999999</v>
      </c>
      <c r="Z4408">
        <v>-1.9759170000000002E-3</v>
      </c>
      <c r="AA4408">
        <v>0.99084899999999998</v>
      </c>
      <c r="AB4408">
        <v>28</v>
      </c>
      <c r="AC4408">
        <v>119.5051</v>
      </c>
      <c r="AD4408">
        <v>0.85290200000000005</v>
      </c>
      <c r="AE4408">
        <v>1.92814999999999</v>
      </c>
      <c r="AF4408">
        <v>-16.149094179028101</v>
      </c>
      <c r="AG4408">
        <v>0.85290200000000005</v>
      </c>
      <c r="AH4408">
        <v>118.418489574511</v>
      </c>
      <c r="AI4408">
        <v>89.591122184631601</v>
      </c>
      <c r="AJ4408">
        <v>97.765697233255295</v>
      </c>
      <c r="AK4408">
        <v>119.517611077754</v>
      </c>
      <c r="AL4408">
        <v>86.361185638877004</v>
      </c>
      <c r="AM4408">
        <v>104.136544709985</v>
      </c>
      <c r="AN4408">
        <v>1.00000005202228</v>
      </c>
    </row>
    <row r="4409" spans="1:40" x14ac:dyDescent="0.25">
      <c r="A4409" t="str">
        <f>"20190305135720297"</f>
        <v>20190305135720297</v>
      </c>
      <c r="B4409" t="str">
        <f>"1551765440287109"</f>
        <v>1551765440287109</v>
      </c>
      <c r="C4409" t="s">
        <v>40</v>
      </c>
      <c r="D4409">
        <v>4.2855299999999996</v>
      </c>
      <c r="E4409">
        <v>0.54024700000000003</v>
      </c>
      <c r="F4409" t="s">
        <v>69</v>
      </c>
      <c r="G4409">
        <v>-157.3501</v>
      </c>
      <c r="H4409">
        <v>1.7577959999999999</v>
      </c>
      <c r="I4409">
        <v>-59.976120000000002</v>
      </c>
      <c r="J4409">
        <v>-276.72890000000001</v>
      </c>
      <c r="K4409">
        <v>1.1128119999999999</v>
      </c>
      <c r="L4409">
        <v>-62.102020000000003</v>
      </c>
      <c r="M4409">
        <v>0.99303129999999995</v>
      </c>
      <c r="N4409">
        <v>-1.234729E-2</v>
      </c>
      <c r="O4409">
        <v>-0.117202399999999</v>
      </c>
      <c r="P4409">
        <v>0.9904425</v>
      </c>
      <c r="Q4409">
        <v>5.2616699999999898E-2</v>
      </c>
      <c r="R4409">
        <v>0.1274962</v>
      </c>
      <c r="S4409">
        <v>3.0208439999999999</v>
      </c>
      <c r="T4409">
        <v>1.6302939999999998E-2</v>
      </c>
      <c r="U4409">
        <v>5.3405759999999997E-2</v>
      </c>
      <c r="V4409">
        <v>-0.24318000000000001</v>
      </c>
      <c r="W4409">
        <v>6.2774659999999996E-2</v>
      </c>
      <c r="X4409">
        <v>0.96794769999999997</v>
      </c>
      <c r="Y4409">
        <v>-0.13473160000000001</v>
      </c>
      <c r="Z4409">
        <v>-1.6123589999999901E-3</v>
      </c>
      <c r="AA4409">
        <v>0.99088080000000001</v>
      </c>
      <c r="AB4409">
        <v>28</v>
      </c>
      <c r="AC4409">
        <v>119.3788</v>
      </c>
      <c r="AD4409">
        <v>0.644983999999999</v>
      </c>
      <c r="AE4409">
        <v>2.1259000000000001</v>
      </c>
      <c r="AF4409">
        <v>-16.103324627582499</v>
      </c>
      <c r="AG4409">
        <v>0.644983999999999</v>
      </c>
      <c r="AH4409">
        <v>118.30328948886201</v>
      </c>
      <c r="AI4409">
        <v>89.690483389251</v>
      </c>
      <c r="AJ4409">
        <v>97.751404421820098</v>
      </c>
      <c r="AK4409">
        <v>119.395985578691</v>
      </c>
      <c r="AL4409">
        <v>86.400910336604696</v>
      </c>
      <c r="AM4409">
        <v>104.10269169788199</v>
      </c>
      <c r="AN4409">
        <v>0.999999960136701</v>
      </c>
    </row>
    <row r="4410" spans="1:40" x14ac:dyDescent="0.25">
      <c r="A4410" t="str">
        <f>"20190305135720308"</f>
        <v>20190305135720308</v>
      </c>
      <c r="B4410" t="str">
        <f>"1551765440296869"</f>
        <v>1551765440296869</v>
      </c>
      <c r="C4410" t="s">
        <v>40</v>
      </c>
      <c r="D4410">
        <v>4.2962220000000002</v>
      </c>
      <c r="E4410">
        <v>0.54055929999999996</v>
      </c>
      <c r="F4410" t="s">
        <v>69</v>
      </c>
      <c r="G4410">
        <v>-157.3501</v>
      </c>
      <c r="H4410">
        <v>1.6659729999999999</v>
      </c>
      <c r="I4410">
        <v>-59.851610000000001</v>
      </c>
      <c r="J4410">
        <v>-276.59890000000001</v>
      </c>
      <c r="K4410">
        <v>1.1127940000000001</v>
      </c>
      <c r="L4410">
        <v>-62.115540000000003</v>
      </c>
      <c r="M4410">
        <v>0.99326320000000001</v>
      </c>
      <c r="N4410">
        <v>-1.2197309999999999E-2</v>
      </c>
      <c r="O4410">
        <v>-0.1152367</v>
      </c>
      <c r="P4410">
        <v>0.99028020000000005</v>
      </c>
      <c r="Q4410">
        <v>5.2031870000000001E-2</v>
      </c>
      <c r="R4410">
        <v>0.1289891</v>
      </c>
      <c r="S4410">
        <v>3.0208439999999999</v>
      </c>
      <c r="T4410">
        <v>1.399708E-2</v>
      </c>
      <c r="U4410">
        <v>5.6945799999999998E-2</v>
      </c>
      <c r="V4410">
        <v>-0.2427221</v>
      </c>
      <c r="W4410">
        <v>6.2045580000000003E-2</v>
      </c>
      <c r="X4410">
        <v>0.96810969999999996</v>
      </c>
      <c r="Y4410">
        <v>-0.13393289999999999</v>
      </c>
      <c r="Z4410">
        <v>-1.4339509999999999E-3</v>
      </c>
      <c r="AA4410">
        <v>0.99098940000000002</v>
      </c>
      <c r="AB4410">
        <v>28</v>
      </c>
      <c r="AC4410">
        <v>119.2488</v>
      </c>
      <c r="AD4410">
        <v>0.55317899999999898</v>
      </c>
      <c r="AE4410">
        <v>2.2639300000000002</v>
      </c>
      <c r="AF4410">
        <v>-15.991361727667799</v>
      </c>
      <c r="AG4410">
        <v>0.55317899999999898</v>
      </c>
      <c r="AH4410">
        <v>118.190803518357</v>
      </c>
      <c r="AI4410">
        <v>89.734256729179407</v>
      </c>
      <c r="AJ4410">
        <v>97.705397684347403</v>
      </c>
      <c r="AK4410">
        <v>119.269005584963</v>
      </c>
      <c r="AL4410">
        <v>86.442765392671006</v>
      </c>
      <c r="AM4410">
        <v>104.074931568393</v>
      </c>
      <c r="AN4410">
        <v>1.0000000315300099</v>
      </c>
    </row>
    <row r="4411" spans="1:40" x14ac:dyDescent="0.25">
      <c r="A4411" t="str">
        <f>"20190305135720319"</f>
        <v>20190305135720319</v>
      </c>
      <c r="B4411" t="str">
        <f>"1551765440316997"</f>
        <v>1551765440316997</v>
      </c>
      <c r="C4411" t="s">
        <v>40</v>
      </c>
      <c r="D4411">
        <v>4.2812580000000002</v>
      </c>
      <c r="E4411">
        <v>0.54072730000000002</v>
      </c>
      <c r="F4411" t="s">
        <v>69</v>
      </c>
      <c r="G4411">
        <v>-157.3501</v>
      </c>
      <c r="H4411">
        <v>1.5689979999999999</v>
      </c>
      <c r="I4411">
        <v>-59.779870000000003</v>
      </c>
      <c r="J4411">
        <v>-276.46570000000003</v>
      </c>
      <c r="K4411">
        <v>1.112787</v>
      </c>
      <c r="L4411">
        <v>-62.12885</v>
      </c>
      <c r="M4411">
        <v>0.99349679999999996</v>
      </c>
      <c r="N4411">
        <v>-1.2054270000000001E-2</v>
      </c>
      <c r="O4411">
        <v>-0.11322019999999999</v>
      </c>
      <c r="P4411">
        <v>0.99021950000000003</v>
      </c>
      <c r="Q4411">
        <v>5.1242049999999997E-2</v>
      </c>
      <c r="R4411">
        <v>0.1297671</v>
      </c>
      <c r="S4411">
        <v>3.0211489999999999</v>
      </c>
      <c r="T4411">
        <v>1.1557339999999999E-2</v>
      </c>
      <c r="U4411">
        <v>5.9173580000000003E-2</v>
      </c>
      <c r="V4411">
        <v>-0.2415156</v>
      </c>
      <c r="W4411">
        <v>6.112418E-2</v>
      </c>
      <c r="X4411">
        <v>0.96847000000000005</v>
      </c>
      <c r="Y4411">
        <v>-0.1326513</v>
      </c>
      <c r="Z4411">
        <v>-1.253103E-3</v>
      </c>
      <c r="AA4411">
        <v>0.99116199999999999</v>
      </c>
      <c r="AB4411">
        <v>28</v>
      </c>
      <c r="AC4411">
        <v>119.1156</v>
      </c>
      <c r="AD4411">
        <v>0.45621099999999898</v>
      </c>
      <c r="AE4411">
        <v>2.3489800000000001</v>
      </c>
      <c r="AF4411">
        <v>-15.820913591043601</v>
      </c>
      <c r="AG4411">
        <v>0.45621099999999898</v>
      </c>
      <c r="AH4411">
        <v>118.081862772177</v>
      </c>
      <c r="AI4411">
        <v>89.780598517018603</v>
      </c>
      <c r="AJ4411">
        <v>97.631190043535796</v>
      </c>
      <c r="AK4411">
        <v>119.137885456638</v>
      </c>
      <c r="AL4411">
        <v>86.495658172070904</v>
      </c>
      <c r="AM4411">
        <v>104.002724137969</v>
      </c>
      <c r="AN4411">
        <v>1.00000004566201</v>
      </c>
    </row>
    <row r="4412" spans="1:40" x14ac:dyDescent="0.25">
      <c r="A4412" t="str">
        <f>"20190305135720330"</f>
        <v>20190305135720330</v>
      </c>
      <c r="B4412" t="str">
        <f>"1551765440326756"</f>
        <v>1551765440326756</v>
      </c>
      <c r="C4412" t="s">
        <v>40</v>
      </c>
      <c r="D4412">
        <v>4.2735820000000002</v>
      </c>
      <c r="E4412">
        <v>0.54080430000000002</v>
      </c>
      <c r="F4412" t="s">
        <v>69</v>
      </c>
      <c r="G4412">
        <v>-157.3501</v>
      </c>
      <c r="H4412">
        <v>1.4674199999999999</v>
      </c>
      <c r="I4412">
        <v>-59.747750000000003</v>
      </c>
      <c r="J4412">
        <v>-276.3313</v>
      </c>
      <c r="K4412">
        <v>1.1127769999999999</v>
      </c>
      <c r="L4412">
        <v>-62.142240000000001</v>
      </c>
      <c r="M4412">
        <v>0.99372830000000001</v>
      </c>
      <c r="N4412">
        <v>-1.191186E-2</v>
      </c>
      <c r="O4412">
        <v>-0.1111859</v>
      </c>
      <c r="P4412">
        <v>0.99020240000000004</v>
      </c>
      <c r="Q4412">
        <v>5.0092520000000001E-2</v>
      </c>
      <c r="R4412">
        <v>0.13034560000000001</v>
      </c>
      <c r="S4412">
        <v>3.021271</v>
      </c>
      <c r="T4412">
        <v>8.9944599999999993E-3</v>
      </c>
      <c r="U4412">
        <v>6.0394290000000003E-2</v>
      </c>
      <c r="V4412">
        <v>-0.2400959</v>
      </c>
      <c r="W4412">
        <v>5.9845259999999997E-2</v>
      </c>
      <c r="X4412">
        <v>0.96890270000000001</v>
      </c>
      <c r="Y4412">
        <v>-0.13102269999999999</v>
      </c>
      <c r="Z4412">
        <v>-1.071118E-3</v>
      </c>
      <c r="AA4412">
        <v>0.9913788</v>
      </c>
      <c r="AB4412">
        <v>28</v>
      </c>
      <c r="AC4412">
        <v>118.9812</v>
      </c>
      <c r="AD4412">
        <v>0.35464299999999999</v>
      </c>
      <c r="AE4412">
        <v>2.39448999999999</v>
      </c>
      <c r="AF4412">
        <v>-15.609472117648099</v>
      </c>
      <c r="AG4412">
        <v>0.35464299999999999</v>
      </c>
      <c r="AH4412">
        <v>117.976066962941</v>
      </c>
      <c r="AI4412">
        <v>89.829254085388399</v>
      </c>
      <c r="AJ4412">
        <v>97.537055150981402</v>
      </c>
      <c r="AK4412">
        <v>119.004763633618</v>
      </c>
      <c r="AL4412">
        <v>86.569069036203601</v>
      </c>
      <c r="AM4412">
        <v>103.917647121361</v>
      </c>
      <c r="AN4412">
        <v>0.99999996920428302</v>
      </c>
    </row>
    <row r="4413" spans="1:40" x14ac:dyDescent="0.25">
      <c r="A4413" t="str">
        <f>"20190305135720341"</f>
        <v>20190305135720341</v>
      </c>
      <c r="B4413" t="str">
        <f>"1551765440337493"</f>
        <v>1551765440337493</v>
      </c>
      <c r="C4413" t="s">
        <v>40</v>
      </c>
      <c r="D4413">
        <v>4.2354560000000001</v>
      </c>
      <c r="E4413">
        <v>0.54094100000000001</v>
      </c>
      <c r="F4413" t="s">
        <v>69</v>
      </c>
      <c r="G4413">
        <v>-157.3501</v>
      </c>
      <c r="H4413">
        <v>1.321474</v>
      </c>
      <c r="I4413">
        <v>-59.710979999999999</v>
      </c>
      <c r="J4413">
        <v>-276.19450000000001</v>
      </c>
      <c r="K4413">
        <v>1.112768</v>
      </c>
      <c r="L4413">
        <v>-62.155430000000003</v>
      </c>
      <c r="M4413">
        <v>0.9939595</v>
      </c>
      <c r="N4413">
        <v>-1.1778729999999999E-2</v>
      </c>
      <c r="O4413">
        <v>-0.10911270000000001</v>
      </c>
      <c r="P4413">
        <v>0.99013079999999998</v>
      </c>
      <c r="Q4413">
        <v>4.9661829999999997E-2</v>
      </c>
      <c r="R4413">
        <v>0.1310518</v>
      </c>
      <c r="S4413">
        <v>3.0213009999999998</v>
      </c>
      <c r="T4413">
        <v>5.2989719999999999E-3</v>
      </c>
      <c r="U4413">
        <v>6.1737060000000003E-2</v>
      </c>
      <c r="V4413">
        <v>-0.23876420000000001</v>
      </c>
      <c r="W4413">
        <v>5.9292629999999999E-2</v>
      </c>
      <c r="X4413">
        <v>0.96926570000000001</v>
      </c>
      <c r="Y4413">
        <v>-0.12939629999999999</v>
      </c>
      <c r="Z4413">
        <v>-8.290897E-4</v>
      </c>
      <c r="AA4413">
        <v>0.99159260000000005</v>
      </c>
      <c r="AB4413">
        <v>28</v>
      </c>
      <c r="AC4413">
        <v>118.84439999999999</v>
      </c>
      <c r="AD4413">
        <v>0.208706</v>
      </c>
      <c r="AE4413">
        <v>2.44444999999999</v>
      </c>
      <c r="AF4413">
        <v>-15.3981398764733</v>
      </c>
      <c r="AG4413">
        <v>0.208706</v>
      </c>
      <c r="AH4413">
        <v>117.86762456044001</v>
      </c>
      <c r="AI4413">
        <v>89.899402337474697</v>
      </c>
      <c r="AJ4413">
        <v>97.442927672211397</v>
      </c>
      <c r="AK4413">
        <v>118.869353448947</v>
      </c>
      <c r="AL4413">
        <v>86.600788762824806</v>
      </c>
      <c r="AM4413">
        <v>103.838444394414</v>
      </c>
      <c r="AN4413">
        <v>0.99999997818522302</v>
      </c>
    </row>
    <row r="4414" spans="1:40" x14ac:dyDescent="0.25">
      <c r="A4414" t="str">
        <f>"20190305135720351"</f>
        <v>20190305135720351</v>
      </c>
      <c r="B4414" t="str">
        <f>"1551765440347252"</f>
        <v>1551765440347252</v>
      </c>
      <c r="C4414" t="s">
        <v>40</v>
      </c>
      <c r="D4414">
        <v>4.3306779999999998</v>
      </c>
      <c r="E4414">
        <v>0.54079370000000004</v>
      </c>
      <c r="F4414" t="s">
        <v>69</v>
      </c>
      <c r="G4414">
        <v>-157.3501</v>
      </c>
      <c r="H4414">
        <v>1.2776110000000001</v>
      </c>
      <c r="I4414">
        <v>-59.677770000000002</v>
      </c>
      <c r="J4414">
        <v>-276.07339999999999</v>
      </c>
      <c r="K4414">
        <v>1.1127640000000001</v>
      </c>
      <c r="L4414">
        <v>-62.166989999999998</v>
      </c>
      <c r="M4414">
        <v>0.99416079999999996</v>
      </c>
      <c r="N4414">
        <v>-1.166275E-2</v>
      </c>
      <c r="O4414">
        <v>-0.107277</v>
      </c>
      <c r="P4414">
        <v>0.99010310000000001</v>
      </c>
      <c r="Q4414">
        <v>4.8894189999999997E-2</v>
      </c>
      <c r="R4414">
        <v>0.13154969999999999</v>
      </c>
      <c r="S4414">
        <v>3.0213320000000001</v>
      </c>
      <c r="T4414">
        <v>4.1902069999999996E-3</v>
      </c>
      <c r="U4414">
        <v>6.2988279999999994E-2</v>
      </c>
      <c r="V4414">
        <v>-0.2374599</v>
      </c>
      <c r="W4414">
        <v>5.8420100000000003E-2</v>
      </c>
      <c r="X4414">
        <v>0.96963909999999998</v>
      </c>
      <c r="Y4414">
        <v>-0.1279759</v>
      </c>
      <c r="Z4414">
        <v>-7.434516E-4</v>
      </c>
      <c r="AA4414">
        <v>0.99177700000000002</v>
      </c>
      <c r="AB4414">
        <v>28</v>
      </c>
      <c r="AC4414">
        <v>118.72329999999999</v>
      </c>
      <c r="AD4414">
        <v>0.16484699999999999</v>
      </c>
      <c r="AE4414">
        <v>2.48922</v>
      </c>
      <c r="AF4414">
        <v>-15.2119691492691</v>
      </c>
      <c r="AG4414">
        <v>0.16484699999999999</v>
      </c>
      <c r="AH4414">
        <v>117.77079359837199</v>
      </c>
      <c r="AI4414">
        <v>89.920462334045297</v>
      </c>
      <c r="AJ4414">
        <v>97.359910283187205</v>
      </c>
      <c r="AK4414">
        <v>118.749277912423</v>
      </c>
      <c r="AL4414">
        <v>86.650868100900198</v>
      </c>
      <c r="AM4414">
        <v>103.760632548563</v>
      </c>
      <c r="AN4414">
        <v>1.0000000482204101</v>
      </c>
    </row>
    <row r="4415" spans="1:40" x14ac:dyDescent="0.25">
      <c r="A4415" t="str">
        <f>"20190305135720361"</f>
        <v>20190305135720361</v>
      </c>
      <c r="B4415" t="str">
        <f>"1551765440357013"</f>
        <v>1551765440357013</v>
      </c>
      <c r="C4415" t="s">
        <v>40</v>
      </c>
      <c r="D4415">
        <v>4.3075799999999997</v>
      </c>
      <c r="E4415">
        <v>0.54068519999999998</v>
      </c>
      <c r="F4415" t="s">
        <v>69</v>
      </c>
      <c r="G4415">
        <v>-157.3501</v>
      </c>
      <c r="H4415">
        <v>1.17136</v>
      </c>
      <c r="I4415">
        <v>-59.585000000000001</v>
      </c>
      <c r="J4415">
        <v>-275.94240000000002</v>
      </c>
      <c r="K4415">
        <v>1.1127579999999999</v>
      </c>
      <c r="L4415">
        <v>-62.179049999999997</v>
      </c>
      <c r="M4415">
        <v>0.9943746</v>
      </c>
      <c r="N4415">
        <v>-1.1547740000000001E-2</v>
      </c>
      <c r="O4415">
        <v>-0.10528999999999999</v>
      </c>
      <c r="P4415">
        <v>0.99001570000000005</v>
      </c>
      <c r="Q4415">
        <v>4.8484439999999997E-2</v>
      </c>
      <c r="R4415">
        <v>0.13235710000000001</v>
      </c>
      <c r="S4415">
        <v>3.0211790000000001</v>
      </c>
      <c r="T4415">
        <v>1.4905929999999999E-3</v>
      </c>
      <c r="U4415">
        <v>6.5704349999999995E-2</v>
      </c>
      <c r="V4415">
        <v>-0.23631189999999999</v>
      </c>
      <c r="W4415">
        <v>5.7903620000000003E-2</v>
      </c>
      <c r="X4415">
        <v>0.96995039999999999</v>
      </c>
      <c r="Y4415">
        <v>-0.12688669999999999</v>
      </c>
      <c r="Z4415">
        <v>-5.6754769999999997E-4</v>
      </c>
      <c r="AA4415">
        <v>0.9919171</v>
      </c>
      <c r="AB4415">
        <v>28</v>
      </c>
      <c r="AC4415">
        <v>118.59229999999999</v>
      </c>
      <c r="AD4415">
        <v>5.8602000000000001E-2</v>
      </c>
      <c r="AE4415">
        <v>2.59404999999999</v>
      </c>
      <c r="AF4415">
        <v>-15.0670402991676</v>
      </c>
      <c r="AG4415">
        <v>5.8602000000000001E-2</v>
      </c>
      <c r="AH4415">
        <v>117.659849323928</v>
      </c>
      <c r="AI4415">
        <v>89.971694242720901</v>
      </c>
      <c r="AJ4415">
        <v>97.2973486410025</v>
      </c>
      <c r="AK4415">
        <v>118.62065284131801</v>
      </c>
      <c r="AL4415">
        <v>86.680510113231506</v>
      </c>
      <c r="AM4415">
        <v>103.692387743415</v>
      </c>
      <c r="AN4415">
        <v>0.99999996087543597</v>
      </c>
    </row>
    <row r="4416" spans="1:40" x14ac:dyDescent="0.25">
      <c r="A4416" t="str">
        <f>"20190305135720374"</f>
        <v>20190305135720374</v>
      </c>
      <c r="B4416" t="str">
        <f>"1551765440366772"</f>
        <v>1551765440366772</v>
      </c>
      <c r="C4416" t="s">
        <v>40</v>
      </c>
      <c r="D4416">
        <v>4.2894589999999999</v>
      </c>
      <c r="E4416">
        <v>0.5406704</v>
      </c>
      <c r="F4416" t="s">
        <v>69</v>
      </c>
      <c r="G4416">
        <v>-157.3501</v>
      </c>
      <c r="H4416">
        <v>1.092276</v>
      </c>
      <c r="I4416">
        <v>-59.464350000000003</v>
      </c>
      <c r="J4416">
        <v>-275.7851</v>
      </c>
      <c r="K4416">
        <v>1.1127549999999999</v>
      </c>
      <c r="L4416">
        <v>-62.193330000000003</v>
      </c>
      <c r="M4416">
        <v>0.99462620000000002</v>
      </c>
      <c r="N4416">
        <v>-1.141504E-2</v>
      </c>
      <c r="O4416">
        <v>-0.1029008</v>
      </c>
      <c r="P4416">
        <v>0.98986549999999995</v>
      </c>
      <c r="Q4416">
        <v>4.8354979999999999E-2</v>
      </c>
      <c r="R4416">
        <v>0.133522</v>
      </c>
      <c r="S4416">
        <v>3.020966</v>
      </c>
      <c r="T4416">
        <v>-5.2225589999999999E-4</v>
      </c>
      <c r="U4416">
        <v>6.9152829999999998E-2</v>
      </c>
      <c r="V4416">
        <v>-0.2351229</v>
      </c>
      <c r="W4416">
        <v>5.7649409999999998E-2</v>
      </c>
      <c r="X4416">
        <v>0.97025450000000002</v>
      </c>
      <c r="Y4416">
        <v>-0.12563750000000001</v>
      </c>
      <c r="Z4416">
        <v>-4.2989660000000002E-4</v>
      </c>
      <c r="AA4416">
        <v>0.99207610000000002</v>
      </c>
      <c r="AB4416">
        <v>28</v>
      </c>
      <c r="AC4416">
        <v>118.435</v>
      </c>
      <c r="AD4416">
        <v>-2.04789999999999E-2</v>
      </c>
      <c r="AE4416">
        <v>2.72898</v>
      </c>
      <c r="AF4416">
        <v>-14.902340593707001</v>
      </c>
      <c r="AG4416">
        <v>-2.04789999999999E-2</v>
      </c>
      <c r="AH4416">
        <v>117.525384334154</v>
      </c>
      <c r="AI4416">
        <v>90.009904579959795</v>
      </c>
      <c r="AJ4416">
        <v>97.226597971077595</v>
      </c>
      <c r="AK4416">
        <v>118.466434644801</v>
      </c>
      <c r="AL4416">
        <v>86.695099819842</v>
      </c>
      <c r="AM4416">
        <v>103.621957640842</v>
      </c>
      <c r="AN4416">
        <v>1.0000000136739999</v>
      </c>
    </row>
    <row r="4417" spans="1:40" x14ac:dyDescent="0.25">
      <c r="A4417" t="str">
        <f>"20190305135720386"</f>
        <v>20190305135720386</v>
      </c>
      <c r="B4417" t="str">
        <f>"1551765440376533"</f>
        <v>1551765440376533</v>
      </c>
      <c r="C4417" t="s">
        <v>40</v>
      </c>
      <c r="D4417">
        <v>4.3078570000000003</v>
      </c>
      <c r="E4417">
        <v>0.54064040000000002</v>
      </c>
      <c r="F4417" t="s">
        <v>69</v>
      </c>
      <c r="G4417">
        <v>-157.3501</v>
      </c>
      <c r="H4417">
        <v>1.078905</v>
      </c>
      <c r="I4417">
        <v>-59.338630000000002</v>
      </c>
      <c r="J4417">
        <v>-275.63049999999998</v>
      </c>
      <c r="K4417">
        <v>1.1127530000000001</v>
      </c>
      <c r="L4417">
        <v>-62.207000000000001</v>
      </c>
      <c r="M4417">
        <v>0.99486810000000003</v>
      </c>
      <c r="N4417">
        <v>-1.129311E-2</v>
      </c>
      <c r="O4417">
        <v>-0.10054929999999999</v>
      </c>
      <c r="P4417">
        <v>0.98979680000000003</v>
      </c>
      <c r="Q4417">
        <v>4.7816190000000001E-2</v>
      </c>
      <c r="R4417">
        <v>0.13422419999999999</v>
      </c>
      <c r="S4417">
        <v>3.0209350000000001</v>
      </c>
      <c r="T4417">
        <v>-8.6390969999999997E-4</v>
      </c>
      <c r="U4417">
        <v>7.2814939999999995E-2</v>
      </c>
      <c r="V4417">
        <v>-0.23351520000000001</v>
      </c>
      <c r="W4417">
        <v>5.7001969999999999E-2</v>
      </c>
      <c r="X4417">
        <v>0.97068089999999996</v>
      </c>
      <c r="Y4417">
        <v>-0.12449449999999999</v>
      </c>
      <c r="Z4417">
        <v>-3.8687310000000001E-4</v>
      </c>
      <c r="AA4417">
        <v>0.9922202</v>
      </c>
      <c r="AB4417">
        <v>28</v>
      </c>
      <c r="AC4417">
        <v>118.2804</v>
      </c>
      <c r="AD4417">
        <v>-3.38480000000001E-2</v>
      </c>
      <c r="AE4417">
        <v>2.8683699999999899</v>
      </c>
      <c r="AF4417">
        <v>-14.7475987571364</v>
      </c>
      <c r="AG4417">
        <v>-3.38480000000001E-2</v>
      </c>
      <c r="AH4417">
        <v>117.39244698932499</v>
      </c>
      <c r="AI4417">
        <v>90.0163913686917</v>
      </c>
      <c r="AJ4417">
        <v>97.160355507776401</v>
      </c>
      <c r="AK4417">
        <v>118.315169885057</v>
      </c>
      <c r="AL4417">
        <v>86.732256429709295</v>
      </c>
      <c r="AM4417">
        <v>103.52652527015699</v>
      </c>
      <c r="AN4417">
        <v>0.99999999141986495</v>
      </c>
    </row>
    <row r="4418" spans="1:40" x14ac:dyDescent="0.25">
      <c r="A4418" t="str">
        <f>"20190305135720399"</f>
        <v>20190305135720399</v>
      </c>
      <c r="B4418" t="str">
        <f>"1551765440387268"</f>
        <v>1551765440387268</v>
      </c>
      <c r="C4418" t="s">
        <v>40</v>
      </c>
      <c r="D4418">
        <v>4.2691619999999997</v>
      </c>
      <c r="E4418">
        <v>0.54068380000000005</v>
      </c>
      <c r="F4418" t="s">
        <v>69</v>
      </c>
      <c r="G4418">
        <v>-157.3501</v>
      </c>
      <c r="H4418">
        <v>1.0003770000000001</v>
      </c>
      <c r="I4418">
        <v>-59.26155</v>
      </c>
      <c r="J4418">
        <v>-275.48070000000001</v>
      </c>
      <c r="K4418">
        <v>1.112752</v>
      </c>
      <c r="L4418">
        <v>-62.219819999999999</v>
      </c>
      <c r="M4418">
        <v>0.99509709999999996</v>
      </c>
      <c r="N4418">
        <v>-1.1185219999999999E-2</v>
      </c>
      <c r="O4418">
        <v>-9.8268400000000006E-2</v>
      </c>
      <c r="P4418">
        <v>0.98970409999999998</v>
      </c>
      <c r="Q4418">
        <v>4.7394859999999997E-2</v>
      </c>
      <c r="R4418">
        <v>0.13505420000000001</v>
      </c>
      <c r="S4418">
        <v>3.0208439999999999</v>
      </c>
      <c r="T4418">
        <v>-2.8705599999999999E-3</v>
      </c>
      <c r="U4418">
        <v>7.5225829999999994E-2</v>
      </c>
      <c r="V4418">
        <v>-0.2321027</v>
      </c>
      <c r="W4418">
        <v>5.6484020000000003E-2</v>
      </c>
      <c r="X4418">
        <v>0.97104990000000002</v>
      </c>
      <c r="Y4418">
        <v>-0.1230123</v>
      </c>
      <c r="Z4418">
        <v>-2.6021010000000001E-4</v>
      </c>
      <c r="AA4418">
        <v>0.99240510000000004</v>
      </c>
      <c r="AB4418">
        <v>28</v>
      </c>
      <c r="AC4418">
        <v>118.1306</v>
      </c>
      <c r="AD4418">
        <v>-0.112374999999999</v>
      </c>
      <c r="AE4418">
        <v>2.95826999999999</v>
      </c>
      <c r="AF4418">
        <v>-14.553167996935599</v>
      </c>
      <c r="AG4418">
        <v>-0.112374999999999</v>
      </c>
      <c r="AH4418">
        <v>117.267941325661</v>
      </c>
      <c r="AI4418">
        <v>90.054487145246597</v>
      </c>
      <c r="AJ4418">
        <v>97.074342026762295</v>
      </c>
      <c r="AK4418">
        <v>118.167581805021</v>
      </c>
      <c r="AL4418">
        <v>86.761980724443603</v>
      </c>
      <c r="AM4418">
        <v>103.442761036356</v>
      </c>
      <c r="AN4418">
        <v>1.00000000807633</v>
      </c>
    </row>
    <row r="4419" spans="1:40" x14ac:dyDescent="0.25">
      <c r="A4419" t="str">
        <f>"20190305135720413"</f>
        <v>20190305135720413</v>
      </c>
      <c r="B4419" t="str">
        <f>"1551765440407450"</f>
        <v>1551765440407450</v>
      </c>
      <c r="C4419" t="s">
        <v>40</v>
      </c>
      <c r="D4419">
        <v>4.2411240000000001</v>
      </c>
      <c r="E4419">
        <v>0.54079849999999996</v>
      </c>
      <c r="F4419" t="s">
        <v>69</v>
      </c>
      <c r="G4419">
        <v>-157.3501</v>
      </c>
      <c r="H4419">
        <v>0.94906230000000003</v>
      </c>
      <c r="I4419">
        <v>-59.194560000000003</v>
      </c>
      <c r="J4419">
        <v>-275.31889999999999</v>
      </c>
      <c r="K4419">
        <v>1.1127530000000001</v>
      </c>
      <c r="L4419">
        <v>-62.233370000000001</v>
      </c>
      <c r="M4419">
        <v>0.99533879999999997</v>
      </c>
      <c r="N4419">
        <v>-1.107413E-2</v>
      </c>
      <c r="O4419">
        <v>-9.5803250000000006E-2</v>
      </c>
      <c r="P4419">
        <v>0.98955689999999996</v>
      </c>
      <c r="Q4419">
        <v>4.753537E-2</v>
      </c>
      <c r="R4419">
        <v>0.136079799999999</v>
      </c>
      <c r="S4419">
        <v>3.0208439999999999</v>
      </c>
      <c r="T4419">
        <v>-4.1863919999999997E-3</v>
      </c>
      <c r="U4419">
        <v>7.7362059999999996E-2</v>
      </c>
      <c r="V4419">
        <v>-0.23070350000000001</v>
      </c>
      <c r="W4419">
        <v>5.6524489999999997E-2</v>
      </c>
      <c r="X4419">
        <v>0.97138089999999999</v>
      </c>
      <c r="Y4419">
        <v>-0.1212554</v>
      </c>
      <c r="Z4419">
        <v>-1.7352470000000001E-4</v>
      </c>
      <c r="AA4419">
        <v>0.99262130000000004</v>
      </c>
      <c r="AB4419">
        <v>28</v>
      </c>
      <c r="AC4419">
        <v>117.9688</v>
      </c>
      <c r="AD4419">
        <v>-0.16369069999999999</v>
      </c>
      <c r="AE4419">
        <v>3.03880999999999</v>
      </c>
      <c r="AF4419">
        <v>-14.3272893042964</v>
      </c>
      <c r="AG4419">
        <v>-0.16369069999999999</v>
      </c>
      <c r="AH4419">
        <v>117.13474007189799</v>
      </c>
      <c r="AI4419">
        <v>90.0794759986467</v>
      </c>
      <c r="AJ4419">
        <v>96.9734718431814</v>
      </c>
      <c r="AK4419">
        <v>118.007819000121</v>
      </c>
      <c r="AL4419">
        <v>86.759658188287702</v>
      </c>
      <c r="AM4419">
        <v>103.360248385975</v>
      </c>
      <c r="AN4419">
        <v>0.99999998788341005</v>
      </c>
    </row>
    <row r="4420" spans="1:40" x14ac:dyDescent="0.25">
      <c r="A4420" t="str">
        <f>"20190305135720427"</f>
        <v>20190305135720427</v>
      </c>
      <c r="B4420" t="str">
        <f>"1551765440417187"</f>
        <v>1551765440417187</v>
      </c>
      <c r="C4420" t="s">
        <v>40</v>
      </c>
      <c r="D4420">
        <v>4.2270620000000001</v>
      </c>
      <c r="E4420">
        <v>0.54261590000000004</v>
      </c>
      <c r="F4420" t="s">
        <v>69</v>
      </c>
      <c r="G4420">
        <v>-157.3501</v>
      </c>
      <c r="H4420">
        <v>1.0065630000000001</v>
      </c>
      <c r="I4420">
        <v>-59.127670000000002</v>
      </c>
      <c r="J4420">
        <v>-275.12439999999998</v>
      </c>
      <c r="K4420">
        <v>1.1127499999999999</v>
      </c>
      <c r="L4420">
        <v>-62.249079999999999</v>
      </c>
      <c r="M4420">
        <v>0.99562139999999999</v>
      </c>
      <c r="N4420">
        <v>-1.095285E-2</v>
      </c>
      <c r="O4420">
        <v>-9.2835509999999996E-2</v>
      </c>
      <c r="P4420">
        <v>0.98959560000000002</v>
      </c>
      <c r="Q4420">
        <v>4.8394380000000001E-2</v>
      </c>
      <c r="R4420">
        <v>0.13549530000000001</v>
      </c>
      <c r="S4420">
        <v>3.0208740000000001</v>
      </c>
      <c r="T4420">
        <v>-2.7197599999999999E-3</v>
      </c>
      <c r="U4420">
        <v>7.9528810000000005E-2</v>
      </c>
      <c r="V4420">
        <v>-0.22723389999999999</v>
      </c>
      <c r="W4420">
        <v>5.7293810000000001E-2</v>
      </c>
      <c r="X4420">
        <v>0.97215339999999995</v>
      </c>
      <c r="Y4420">
        <v>-0.11900719999999999</v>
      </c>
      <c r="Z4420">
        <v>-2.2852570000000001E-4</v>
      </c>
      <c r="AA4420">
        <v>0.99289329999999998</v>
      </c>
      <c r="AB4420">
        <v>28</v>
      </c>
      <c r="AC4420">
        <v>117.774299999999</v>
      </c>
      <c r="AD4420">
        <v>-0.106187</v>
      </c>
      <c r="AE4420">
        <v>3.1214100000000098</v>
      </c>
      <c r="AF4420">
        <v>-14.0422081139148</v>
      </c>
      <c r="AG4420">
        <v>-0.106187</v>
      </c>
      <c r="AH4420">
        <v>116.97573586361</v>
      </c>
      <c r="AI4420">
        <v>90.0516405918316</v>
      </c>
      <c r="AJ4420">
        <v>96.845245530792795</v>
      </c>
      <c r="AK4420">
        <v>117.815608750396</v>
      </c>
      <c r="AL4420">
        <v>86.715507982804695</v>
      </c>
      <c r="AM4420">
        <v>103.156272008725</v>
      </c>
      <c r="AN4420">
        <v>1.00000002955254</v>
      </c>
    </row>
    <row r="4421" spans="1:40" x14ac:dyDescent="0.25">
      <c r="A4421" t="str">
        <f>"20190305135720438"</f>
        <v>20190305135720438</v>
      </c>
      <c r="B4421" t="str">
        <f>"1551765440426946"</f>
        <v>1551765440426946</v>
      </c>
      <c r="C4421" t="s">
        <v>40</v>
      </c>
      <c r="D4421">
        <v>4.2317280000000004</v>
      </c>
      <c r="E4421">
        <v>0.54195170000000004</v>
      </c>
      <c r="F4421" t="s">
        <v>69</v>
      </c>
      <c r="G4421">
        <v>-157.3501</v>
      </c>
      <c r="H4421">
        <v>3.6408179999999999</v>
      </c>
      <c r="I4421">
        <v>-59.675460000000001</v>
      </c>
      <c r="J4421">
        <v>-274.99160000000001</v>
      </c>
      <c r="K4421">
        <v>1.1127530000000001</v>
      </c>
      <c r="L4421">
        <v>-62.259399999999999</v>
      </c>
      <c r="M4421">
        <v>0.99580900000000006</v>
      </c>
      <c r="N4421">
        <v>-1.087806E-2</v>
      </c>
      <c r="O4421">
        <v>-9.0808749999999994E-2</v>
      </c>
      <c r="P4421">
        <v>0.98960619999999999</v>
      </c>
      <c r="Q4421">
        <v>4.9022059999999999E-2</v>
      </c>
      <c r="R4421">
        <v>0.1351908</v>
      </c>
      <c r="S4421">
        <v>3.0193479999999999</v>
      </c>
      <c r="T4421">
        <v>6.4810870000000007E-2</v>
      </c>
      <c r="U4421">
        <v>6.5978999999999996E-2</v>
      </c>
      <c r="V4421">
        <v>-0.2249572</v>
      </c>
      <c r="W4421">
        <v>5.7867429999999997E-2</v>
      </c>
      <c r="X4421">
        <v>0.97264879999999998</v>
      </c>
      <c r="Y4421">
        <v>-0.1124888</v>
      </c>
      <c r="Z4421">
        <v>-3.5306349999999998E-3</v>
      </c>
      <c r="AA4421">
        <v>0.99364669999999999</v>
      </c>
      <c r="AB4421">
        <v>28</v>
      </c>
      <c r="AC4421">
        <v>117.64149999999999</v>
      </c>
      <c r="AD4421">
        <v>2.5280649999999998</v>
      </c>
      <c r="AE4421">
        <v>2.5839399999999899</v>
      </c>
      <c r="AF4421">
        <v>-13.2506555893758</v>
      </c>
      <c r="AG4421">
        <v>2.5280649999999998</v>
      </c>
      <c r="AH4421">
        <v>116.86678747146399</v>
      </c>
      <c r="AI4421">
        <v>88.768656772917197</v>
      </c>
      <c r="AJ4421">
        <v>96.468716818451796</v>
      </c>
      <c r="AK4421">
        <v>117.64275158331201</v>
      </c>
      <c r="AL4421">
        <v>86.682587375486406</v>
      </c>
      <c r="AM4421">
        <v>103.022565853911</v>
      </c>
      <c r="AN4421">
        <v>1.0000000347140401</v>
      </c>
    </row>
    <row r="4422" spans="1:40" x14ac:dyDescent="0.25">
      <c r="A4422" t="str">
        <f>"20190305135720450"</f>
        <v>20190305135720450</v>
      </c>
      <c r="B4422" t="str">
        <f>"1551765440447443"</f>
        <v>1551765440447443</v>
      </c>
      <c r="C4422" t="s">
        <v>40</v>
      </c>
      <c r="D4422">
        <v>4.2062929999999996</v>
      </c>
      <c r="E4422">
        <v>0.54201829999999995</v>
      </c>
      <c r="F4422" t="s">
        <v>69</v>
      </c>
      <c r="G4422">
        <v>-157.3501</v>
      </c>
      <c r="H4422">
        <v>3.97207</v>
      </c>
      <c r="I4422">
        <v>-59.510539999999999</v>
      </c>
      <c r="J4422">
        <v>-274.84469999999999</v>
      </c>
      <c r="K4422">
        <v>1.1127590000000001</v>
      </c>
      <c r="L4422">
        <v>-62.270659999999999</v>
      </c>
      <c r="M4422">
        <v>0.99601200000000001</v>
      </c>
      <c r="N4422">
        <v>-1.0797579999999999E-2</v>
      </c>
      <c r="O4422">
        <v>-8.8565030000000003E-2</v>
      </c>
      <c r="P4422">
        <v>0.98951849999999997</v>
      </c>
      <c r="Q4422">
        <v>4.9739560000000002E-2</v>
      </c>
      <c r="R4422">
        <v>0.13557</v>
      </c>
      <c r="S4422">
        <v>3.0182799999999999</v>
      </c>
      <c r="T4422">
        <v>7.3359729999999998E-2</v>
      </c>
      <c r="U4422">
        <v>7.0526119999999998E-2</v>
      </c>
      <c r="V4422">
        <v>-0.2231399</v>
      </c>
      <c r="W4422">
        <v>5.8520549999999998E-2</v>
      </c>
      <c r="X4422">
        <v>0.97302820000000001</v>
      </c>
      <c r="Y4422">
        <v>-0.1117413</v>
      </c>
      <c r="Z4422">
        <v>-3.8612289999999999E-3</v>
      </c>
      <c r="AA4422">
        <v>0.9937298</v>
      </c>
      <c r="AB4422">
        <v>28</v>
      </c>
      <c r="AC4422">
        <v>117.49460000000001</v>
      </c>
      <c r="AD4422">
        <v>2.8593109999999902</v>
      </c>
      <c r="AE4422">
        <v>2.7601200000000001</v>
      </c>
      <c r="AF4422">
        <v>-13.1480083638642</v>
      </c>
      <c r="AG4422">
        <v>2.8593109999999902</v>
      </c>
      <c r="AH4422">
        <v>116.71928870108</v>
      </c>
      <c r="AI4422">
        <v>88.605503149631005</v>
      </c>
      <c r="AJ4422">
        <v>96.427070192650902</v>
      </c>
      <c r="AK4422">
        <v>117.492289696886</v>
      </c>
      <c r="AL4422">
        <v>86.645102626948898</v>
      </c>
      <c r="AM4422">
        <v>102.916039187373</v>
      </c>
      <c r="AN4422">
        <v>0.99999997386977502</v>
      </c>
    </row>
    <row r="4423" spans="1:40" x14ac:dyDescent="0.25">
      <c r="A4423" t="str">
        <f>"20190305135720461"</f>
        <v>20190305135720461</v>
      </c>
      <c r="B4423" t="str">
        <f>"1551765440457203"</f>
        <v>1551765440457203</v>
      </c>
      <c r="C4423" t="s">
        <v>40</v>
      </c>
      <c r="D4423">
        <v>4.1877649999999997</v>
      </c>
      <c r="E4423">
        <v>0.54214209999999996</v>
      </c>
      <c r="F4423" t="s">
        <v>69</v>
      </c>
      <c r="G4423">
        <v>-157.3501</v>
      </c>
      <c r="H4423">
        <v>4.0955849999999998</v>
      </c>
      <c r="I4423">
        <v>-59.498989999999999</v>
      </c>
      <c r="J4423">
        <v>-274.70510000000002</v>
      </c>
      <c r="K4423">
        <v>1.1127609999999999</v>
      </c>
      <c r="L4423">
        <v>-62.280850000000001</v>
      </c>
      <c r="M4423">
        <v>0.99619979999999997</v>
      </c>
      <c r="N4423">
        <v>-1.0729799999999999E-2</v>
      </c>
      <c r="O4423">
        <v>-8.6433850000000007E-2</v>
      </c>
      <c r="P4423">
        <v>0.98951500000000003</v>
      </c>
      <c r="Q4423">
        <v>4.99292E-2</v>
      </c>
      <c r="R4423">
        <v>0.1355257</v>
      </c>
      <c r="S4423">
        <v>3.0181580000000001</v>
      </c>
      <c r="T4423">
        <v>7.6621170000000002E-2</v>
      </c>
      <c r="U4423">
        <v>7.1197510000000006E-2</v>
      </c>
      <c r="V4423">
        <v>-0.22101399999999999</v>
      </c>
      <c r="W4423">
        <v>5.8661930000000001E-2</v>
      </c>
      <c r="X4423">
        <v>0.97350479999999995</v>
      </c>
      <c r="Y4423">
        <v>-0.1098329</v>
      </c>
      <c r="Z4423">
        <v>-3.9241889999999998E-3</v>
      </c>
      <c r="AA4423">
        <v>0.99394229999999995</v>
      </c>
      <c r="AB4423">
        <v>28</v>
      </c>
      <c r="AC4423">
        <v>117.355</v>
      </c>
      <c r="AD4423">
        <v>2.9828239999999999</v>
      </c>
      <c r="AE4423">
        <v>2.78186</v>
      </c>
      <c r="AF4423">
        <v>-12.9071427531231</v>
      </c>
      <c r="AG4423">
        <v>2.9828239999999999</v>
      </c>
      <c r="AH4423">
        <v>116.600013623913</v>
      </c>
      <c r="AI4423">
        <v>88.543490120345297</v>
      </c>
      <c r="AJ4423">
        <v>96.316690614654703</v>
      </c>
      <c r="AK4423">
        <v>117.350137410065</v>
      </c>
      <c r="AL4423">
        <v>86.636988307146396</v>
      </c>
      <c r="AM4423">
        <v>102.79099670863501</v>
      </c>
      <c r="AN4423">
        <v>1.0000000029251801</v>
      </c>
    </row>
    <row r="4424" spans="1:40" x14ac:dyDescent="0.25">
      <c r="A4424" t="str">
        <f>"20190305135720473"</f>
        <v>20190305135720473</v>
      </c>
      <c r="B4424" t="str">
        <f>"1551765440466967"</f>
        <v>1551765440466967</v>
      </c>
      <c r="C4424" t="s">
        <v>40</v>
      </c>
      <c r="D4424">
        <v>4.1864939999999997</v>
      </c>
      <c r="E4424">
        <v>0.54214050000000003</v>
      </c>
      <c r="F4424" t="s">
        <v>69</v>
      </c>
      <c r="G4424">
        <v>-157.3501</v>
      </c>
      <c r="H4424">
        <v>4.0564580000000001</v>
      </c>
      <c r="I4424">
        <v>-59.557729999999999</v>
      </c>
      <c r="J4424">
        <v>-274.55840000000001</v>
      </c>
      <c r="K4424">
        <v>1.1127640000000001</v>
      </c>
      <c r="L4424">
        <v>-62.291409999999999</v>
      </c>
      <c r="M4424">
        <v>0.99639250000000001</v>
      </c>
      <c r="N4424">
        <v>-1.066106E-2</v>
      </c>
      <c r="O4424">
        <v>-8.419372E-2</v>
      </c>
      <c r="P4424">
        <v>0.9894423</v>
      </c>
      <c r="Q4424">
        <v>4.9984710000000002E-2</v>
      </c>
      <c r="R4424">
        <v>0.136035299999999</v>
      </c>
      <c r="S4424">
        <v>3.0183409999999999</v>
      </c>
      <c r="T4424">
        <v>7.5710540000000007E-2</v>
      </c>
      <c r="U4424">
        <v>7.0037840000000004E-2</v>
      </c>
      <c r="V4424">
        <v>-0.21932579999999999</v>
      </c>
      <c r="W4424">
        <v>5.8663359999999998E-2</v>
      </c>
      <c r="X4424">
        <v>0.97388640000000004</v>
      </c>
      <c r="Y4424">
        <v>-0.1072182</v>
      </c>
      <c r="Z4424">
        <v>-3.7804079999999999E-3</v>
      </c>
      <c r="AA4424">
        <v>0.99422829999999995</v>
      </c>
      <c r="AB4424">
        <v>28</v>
      </c>
      <c r="AC4424">
        <v>117.20829999999999</v>
      </c>
      <c r="AD4424">
        <v>2.9436939999999998</v>
      </c>
      <c r="AE4424">
        <v>2.7336799999999899</v>
      </c>
      <c r="AF4424">
        <v>-12.5848013365515</v>
      </c>
      <c r="AG4424">
        <v>2.9436939999999998</v>
      </c>
      <c r="AH4424">
        <v>116.48848473796799</v>
      </c>
      <c r="AI4424">
        <v>88.560799876595397</v>
      </c>
      <c r="AJ4424">
        <v>96.166019054579394</v>
      </c>
      <c r="AK4424">
        <v>117.203283382309</v>
      </c>
      <c r="AL4424">
        <v>86.636906082346897</v>
      </c>
      <c r="AM4424">
        <v>102.691658596111</v>
      </c>
      <c r="AN4424">
        <v>0.99999995822854304</v>
      </c>
    </row>
    <row r="4425" spans="1:40" x14ac:dyDescent="0.25">
      <c r="A4425" t="str">
        <f>"20190305135720484"</f>
        <v>20190305135720484</v>
      </c>
      <c r="B4425" t="str">
        <f>"1551765440476723"</f>
        <v>1551765440476723</v>
      </c>
      <c r="C4425" t="s">
        <v>40</v>
      </c>
      <c r="D4425">
        <v>4.1829700000000001</v>
      </c>
      <c r="E4425">
        <v>0.54248680000000005</v>
      </c>
      <c r="F4425" t="s">
        <v>69</v>
      </c>
      <c r="G4425">
        <v>-157.3501</v>
      </c>
      <c r="H4425">
        <v>4.1015449999999998</v>
      </c>
      <c r="I4425">
        <v>-59.508830000000003</v>
      </c>
      <c r="J4425">
        <v>-274.41579999999999</v>
      </c>
      <c r="K4425">
        <v>1.112768</v>
      </c>
      <c r="L4425">
        <v>-62.301270000000002</v>
      </c>
      <c r="M4425">
        <v>0.99657470000000004</v>
      </c>
      <c r="N4425">
        <v>-1.0600109999999999E-2</v>
      </c>
      <c r="O4425">
        <v>-8.2015240000000003E-2</v>
      </c>
      <c r="P4425">
        <v>0.9891645</v>
      </c>
      <c r="Q4425">
        <v>4.978167E-2</v>
      </c>
      <c r="R4425">
        <v>0.13811379999999901</v>
      </c>
      <c r="S4425">
        <v>3.0182799999999999</v>
      </c>
      <c r="T4425">
        <v>7.6964740000000004E-2</v>
      </c>
      <c r="U4425">
        <v>7.1655269999999993E-2</v>
      </c>
      <c r="V4425">
        <v>-0.2192423</v>
      </c>
      <c r="W4425">
        <v>5.8398690000000003E-2</v>
      </c>
      <c r="X4425">
        <v>0.97392109999999998</v>
      </c>
      <c r="Y4425">
        <v>-0.10557709999999999</v>
      </c>
      <c r="Z4425">
        <v>-3.745019E-3</v>
      </c>
      <c r="AA4425">
        <v>0.99440410000000001</v>
      </c>
      <c r="AB4425">
        <v>28</v>
      </c>
      <c r="AC4425">
        <v>117.06570000000001</v>
      </c>
      <c r="AD4425">
        <v>2.9887769999999998</v>
      </c>
      <c r="AE4425">
        <v>2.7924399999999898</v>
      </c>
      <c r="AF4425">
        <v>-12.3766795989564</v>
      </c>
      <c r="AG4425">
        <v>2.9887769999999998</v>
      </c>
      <c r="AH4425">
        <v>116.36642774641599</v>
      </c>
      <c r="AI4425">
        <v>88.536976225593406</v>
      </c>
      <c r="AJ4425">
        <v>96.071128430307098</v>
      </c>
      <c r="AK4425">
        <v>117.06092641147499</v>
      </c>
      <c r="AL4425">
        <v>86.652096575753603</v>
      </c>
      <c r="AM4425">
        <v>102.686545759052</v>
      </c>
      <c r="AN4425">
        <v>0.999999951064106</v>
      </c>
    </row>
    <row r="4426" spans="1:40" x14ac:dyDescent="0.25">
      <c r="A4426" t="str">
        <f>"20190305135720495"</f>
        <v>20190305135720495</v>
      </c>
      <c r="B4426" t="str">
        <f>"1551765440487459"</f>
        <v>1551765440487459</v>
      </c>
      <c r="C4426" t="s">
        <v>40</v>
      </c>
      <c r="D4426">
        <v>4.1928260000000002</v>
      </c>
      <c r="E4426">
        <v>0.54266300000000001</v>
      </c>
      <c r="F4426" t="s">
        <v>69</v>
      </c>
      <c r="G4426">
        <v>-157.3501</v>
      </c>
      <c r="H4426">
        <v>4.0739390000000002</v>
      </c>
      <c r="I4426">
        <v>-59.380270000000003</v>
      </c>
      <c r="J4426">
        <v>-274.27820000000003</v>
      </c>
      <c r="K4426">
        <v>1.112768</v>
      </c>
      <c r="L4426">
        <v>-62.310549999999999</v>
      </c>
      <c r="M4426">
        <v>0.99674609999999997</v>
      </c>
      <c r="N4426">
        <v>-1.054516E-2</v>
      </c>
      <c r="O4426">
        <v>-7.9913289999999998E-2</v>
      </c>
      <c r="P4426">
        <v>0.9890795</v>
      </c>
      <c r="Q4426">
        <v>5.0049690000000001E-2</v>
      </c>
      <c r="R4426">
        <v>0.13862449999999901</v>
      </c>
      <c r="S4426">
        <v>3.0185240000000002</v>
      </c>
      <c r="T4426">
        <v>7.6352829999999997E-2</v>
      </c>
      <c r="U4426">
        <v>7.5317380000000003E-2</v>
      </c>
      <c r="V4426">
        <v>-0.2176913</v>
      </c>
      <c r="W4426">
        <v>5.8625740000000003E-2</v>
      </c>
      <c r="X4426">
        <v>0.97425539999999999</v>
      </c>
      <c r="Y4426">
        <v>-0.10468619999999999</v>
      </c>
      <c r="Z4426">
        <v>-3.6339689999999999E-3</v>
      </c>
      <c r="AA4426">
        <v>0.99449869999999996</v>
      </c>
      <c r="AB4426">
        <v>28</v>
      </c>
      <c r="AC4426">
        <v>116.9281</v>
      </c>
      <c r="AD4426">
        <v>2.96117099999999</v>
      </c>
      <c r="AE4426">
        <v>2.9302800000000002</v>
      </c>
      <c r="AF4426">
        <v>-12.257679140705401</v>
      </c>
      <c r="AG4426">
        <v>2.96117099999999</v>
      </c>
      <c r="AH4426">
        <v>116.24541363456601</v>
      </c>
      <c r="AI4426">
        <v>88.548836710395193</v>
      </c>
      <c r="AJ4426">
        <v>96.019398844148299</v>
      </c>
      <c r="AK4426">
        <v>116.92739380777699</v>
      </c>
      <c r="AL4426">
        <v>86.639065513857801</v>
      </c>
      <c r="AM4426">
        <v>102.595486364615</v>
      </c>
      <c r="AN4426">
        <v>1.00000003195769</v>
      </c>
    </row>
    <row r="4427" spans="1:40" x14ac:dyDescent="0.25">
      <c r="A4427" t="str">
        <f>"20190305135720506"</f>
        <v>20190305135720506</v>
      </c>
      <c r="B4427" t="str">
        <f>"1551765440497218"</f>
        <v>1551765440497218</v>
      </c>
      <c r="C4427" t="s">
        <v>40</v>
      </c>
      <c r="D4427">
        <v>4.1839879999999896</v>
      </c>
      <c r="E4427">
        <v>0.54281899999999905</v>
      </c>
      <c r="F4427" t="s">
        <v>69</v>
      </c>
      <c r="G4427">
        <v>-157.3501</v>
      </c>
      <c r="H4427">
        <v>4.0752759999999997</v>
      </c>
      <c r="I4427">
        <v>-59.383710000000001</v>
      </c>
      <c r="J4427">
        <v>-274.1438</v>
      </c>
      <c r="K4427">
        <v>1.11277</v>
      </c>
      <c r="L4427">
        <v>-62.319339999999997</v>
      </c>
      <c r="M4427">
        <v>0.99690900000000005</v>
      </c>
      <c r="N4427">
        <v>-1.049481E-2</v>
      </c>
      <c r="O4427">
        <v>-7.7861180000000002E-2</v>
      </c>
      <c r="P4427">
        <v>0.98902489999999998</v>
      </c>
      <c r="Q4427">
        <v>4.9910379999999997E-2</v>
      </c>
      <c r="R4427">
        <v>0.13906370000000001</v>
      </c>
      <c r="S4427">
        <v>3.018707</v>
      </c>
      <c r="T4427">
        <v>7.6481820000000006E-2</v>
      </c>
      <c r="U4427">
        <v>7.5561519999999993E-2</v>
      </c>
      <c r="V4427">
        <v>-0.21611749999999999</v>
      </c>
      <c r="W4427">
        <v>5.8450099999999998E-2</v>
      </c>
      <c r="X4427">
        <v>0.97461620000000004</v>
      </c>
      <c r="Y4427">
        <v>-0.10271909999999999</v>
      </c>
      <c r="Z4427">
        <v>-3.5499860000000002E-3</v>
      </c>
      <c r="AA4427">
        <v>0.99470409999999998</v>
      </c>
      <c r="AB4427">
        <v>28</v>
      </c>
      <c r="AC4427">
        <v>116.7937</v>
      </c>
      <c r="AD4427">
        <v>2.9625059999999999</v>
      </c>
      <c r="AE4427">
        <v>2.9356300000000002</v>
      </c>
      <c r="AF4427">
        <v>-12.013188549453799</v>
      </c>
      <c r="AG4427">
        <v>2.9625059999999999</v>
      </c>
      <c r="AH4427">
        <v>116.135841218363</v>
      </c>
      <c r="AI4427">
        <v>88.546512536250702</v>
      </c>
      <c r="AJ4427">
        <v>95.905719375834295</v>
      </c>
      <c r="AK4427">
        <v>116.793093787353</v>
      </c>
      <c r="AL4427">
        <v>86.649145998312505</v>
      </c>
      <c r="AM4427">
        <v>102.502817940524</v>
      </c>
      <c r="AN4427">
        <v>0.99999996264934898</v>
      </c>
    </row>
    <row r="4428" spans="1:40" x14ac:dyDescent="0.25">
      <c r="A4428" t="str">
        <f>"20190305135720517"</f>
        <v>20190305135720517</v>
      </c>
      <c r="B4428" t="str">
        <f>"1551765440507508"</f>
        <v>1551765440507508</v>
      </c>
      <c r="C4428" t="s">
        <v>40</v>
      </c>
      <c r="D4428">
        <v>4.211741</v>
      </c>
      <c r="E4428">
        <v>0.54290309999999997</v>
      </c>
      <c r="F4428" t="s">
        <v>69</v>
      </c>
      <c r="G4428">
        <v>-157.3501</v>
      </c>
      <c r="H4428">
        <v>4.0221030000000004</v>
      </c>
      <c r="I4428">
        <v>-59.391309999999997</v>
      </c>
      <c r="J4428">
        <v>-274.00290000000001</v>
      </c>
      <c r="K4428">
        <v>1.112773</v>
      </c>
      <c r="L4428">
        <v>-62.328159999999997</v>
      </c>
      <c r="M4428">
        <v>0.99707509999999999</v>
      </c>
      <c r="N4428">
        <v>-1.044665E-2</v>
      </c>
      <c r="O4428">
        <v>-7.5711199999999895E-2</v>
      </c>
      <c r="P4428">
        <v>0.98896689999999998</v>
      </c>
      <c r="Q4428">
        <v>4.941512E-2</v>
      </c>
      <c r="R4428">
        <v>0.13965269999999999</v>
      </c>
      <c r="S4428">
        <v>3.0188899999999999</v>
      </c>
      <c r="T4428">
        <v>7.5200080000000002E-2</v>
      </c>
      <c r="U4428">
        <v>7.5683589999999995E-2</v>
      </c>
      <c r="V4428">
        <v>-0.21459300000000001</v>
      </c>
      <c r="W4428">
        <v>5.7921229999999997E-2</v>
      </c>
      <c r="X4428">
        <v>0.97498459999999998</v>
      </c>
      <c r="Y4428">
        <v>-0.10061639999999999</v>
      </c>
      <c r="Z4428">
        <v>-3.4025729999999999E-3</v>
      </c>
      <c r="AA4428">
        <v>0.99491949999999996</v>
      </c>
      <c r="AB4428">
        <v>28</v>
      </c>
      <c r="AC4428">
        <v>116.6528</v>
      </c>
      <c r="AD4428">
        <v>2.9093300000000002</v>
      </c>
      <c r="AE4428">
        <v>2.9368500000000002</v>
      </c>
      <c r="AF4428">
        <v>-11.7535186629483</v>
      </c>
      <c r="AG4428">
        <v>2.9093300000000002</v>
      </c>
      <c r="AH4428">
        <v>116.02345885215399</v>
      </c>
      <c r="AI4428">
        <v>88.570899855245102</v>
      </c>
      <c r="AJ4428">
        <v>95.784497960292398</v>
      </c>
      <c r="AK4428">
        <v>116.653557194055</v>
      </c>
      <c r="AL4428">
        <v>86.679499559633001</v>
      </c>
      <c r="AM4428">
        <v>102.412821239461</v>
      </c>
      <c r="AN4428">
        <v>0.99999999738543599</v>
      </c>
    </row>
    <row r="4429" spans="1:40" x14ac:dyDescent="0.25">
      <c r="A4429" t="str">
        <f>"20190305135720527"</f>
        <v>20190305135720527</v>
      </c>
      <c r="B4429" t="str">
        <f>"1551765440517246"</f>
        <v>1551765440517246</v>
      </c>
      <c r="C4429" t="s">
        <v>40</v>
      </c>
      <c r="D4429">
        <v>4.1924609999999998</v>
      </c>
      <c r="E4429">
        <v>0.54309890000000005</v>
      </c>
      <c r="F4429" t="s">
        <v>69</v>
      </c>
      <c r="G4429">
        <v>-157.3501</v>
      </c>
      <c r="H4429">
        <v>3.8843390000000002</v>
      </c>
      <c r="I4429">
        <v>-59.362540000000003</v>
      </c>
      <c r="J4429">
        <v>-273.86239999999998</v>
      </c>
      <c r="K4429">
        <v>1.1127739999999999</v>
      </c>
      <c r="L4429">
        <v>-62.336820000000003</v>
      </c>
      <c r="M4429">
        <v>0.99723600000000001</v>
      </c>
      <c r="N4429">
        <v>-1.0400589999999999E-2</v>
      </c>
      <c r="O4429">
        <v>-7.356683E-2</v>
      </c>
      <c r="P4429">
        <v>0.98893220000000004</v>
      </c>
      <c r="Q4429">
        <v>4.8812750000000002E-2</v>
      </c>
      <c r="R4429">
        <v>0.14010819999999999</v>
      </c>
      <c r="S4429">
        <v>3.0190429999999999</v>
      </c>
      <c r="T4429">
        <v>7.1729180000000003E-2</v>
      </c>
      <c r="U4429">
        <v>7.6751710000000001E-2</v>
      </c>
      <c r="V4429">
        <v>-0.2129422</v>
      </c>
      <c r="W4429">
        <v>5.728809E-2</v>
      </c>
      <c r="X4429">
        <v>0.97538389999999997</v>
      </c>
      <c r="Y4429">
        <v>-9.8833950000000004E-2</v>
      </c>
      <c r="Z4429">
        <v>-3.171419E-3</v>
      </c>
      <c r="AA4429">
        <v>0.99509890000000001</v>
      </c>
      <c r="AB4429">
        <v>28</v>
      </c>
      <c r="AC4429">
        <v>116.512299999999</v>
      </c>
      <c r="AD4429">
        <v>2.7715649999999998</v>
      </c>
      <c r="AE4429">
        <v>2.97427999999999</v>
      </c>
      <c r="AF4429">
        <v>-11.5316033711755</v>
      </c>
      <c r="AG4429">
        <v>2.7715649999999998</v>
      </c>
      <c r="AH4429">
        <v>115.912183971749</v>
      </c>
      <c r="AI4429">
        <v>88.636993116359506</v>
      </c>
      <c r="AJ4429">
        <v>95.681415509310597</v>
      </c>
      <c r="AK4429">
        <v>116.51735425231701</v>
      </c>
      <c r="AL4429">
        <v>86.715836252303404</v>
      </c>
      <c r="AM4429">
        <v>102.315370492873</v>
      </c>
      <c r="AN4429">
        <v>1.0000000290879401</v>
      </c>
    </row>
    <row r="4430" spans="1:40" x14ac:dyDescent="0.25">
      <c r="A4430" t="str">
        <f>"20190305135720539"</f>
        <v>20190305135720539</v>
      </c>
      <c r="B4430" t="str">
        <f>"1551765440527005"</f>
        <v>1551765440527005</v>
      </c>
      <c r="C4430" t="s">
        <v>40</v>
      </c>
      <c r="D4430">
        <v>4.1855010000000004</v>
      </c>
      <c r="E4430">
        <v>0.54308880000000004</v>
      </c>
      <c r="F4430" t="s">
        <v>69</v>
      </c>
      <c r="G4430">
        <v>-157.3501</v>
      </c>
      <c r="H4430">
        <v>3.8201969999999998</v>
      </c>
      <c r="I4430">
        <v>-59.378489999999999</v>
      </c>
      <c r="J4430">
        <v>-273.7296</v>
      </c>
      <c r="K4430">
        <v>1.112771</v>
      </c>
      <c r="L4430">
        <v>-62.344540000000002</v>
      </c>
      <c r="M4430">
        <v>0.99738400000000005</v>
      </c>
      <c r="N4430">
        <v>-1.0362059999999999E-2</v>
      </c>
      <c r="O4430">
        <v>-7.1540119999999999E-2</v>
      </c>
      <c r="P4430">
        <v>0.98885990000000001</v>
      </c>
      <c r="Q4430">
        <v>4.8181090000000003E-2</v>
      </c>
      <c r="R4430">
        <v>0.140836299999999</v>
      </c>
      <c r="S4430">
        <v>3.0192260000000002</v>
      </c>
      <c r="T4430">
        <v>7.0157890000000001E-2</v>
      </c>
      <c r="U4430">
        <v>7.6660160000000005E-2</v>
      </c>
      <c r="V4430">
        <v>-0.2116751</v>
      </c>
      <c r="W4430">
        <v>5.6629209999999999E-2</v>
      </c>
      <c r="X4430">
        <v>0.97569810000000001</v>
      </c>
      <c r="Y4430">
        <v>-9.6783549999999996E-2</v>
      </c>
      <c r="Z4430">
        <v>-3.0251449999999999E-3</v>
      </c>
      <c r="AA4430">
        <v>0.99530079999999999</v>
      </c>
      <c r="AB4430">
        <v>28</v>
      </c>
      <c r="AC4430">
        <v>116.37949999999999</v>
      </c>
      <c r="AD4430">
        <v>2.7074259999999999</v>
      </c>
      <c r="AE4430">
        <v>2.9660500000000001</v>
      </c>
      <c r="AF4430">
        <v>-11.2785988533509</v>
      </c>
      <c r="AG4430">
        <v>2.7074259999999999</v>
      </c>
      <c r="AH4430">
        <v>115.806434426923</v>
      </c>
      <c r="AI4430">
        <v>88.667036664087803</v>
      </c>
      <c r="AJ4430">
        <v>95.562596847724393</v>
      </c>
      <c r="AK4430">
        <v>116.385854820582</v>
      </c>
      <c r="AL4430">
        <v>86.753648583910106</v>
      </c>
      <c r="AM4430">
        <v>102.240481681978</v>
      </c>
      <c r="AN4430">
        <v>0.99999999886442204</v>
      </c>
    </row>
    <row r="4431" spans="1:40" x14ac:dyDescent="0.25">
      <c r="A4431" t="str">
        <f>"20190305135720551"</f>
        <v>20190305135720551</v>
      </c>
      <c r="B4431" t="str">
        <f>"1551765440547502"</f>
        <v>1551765440547502</v>
      </c>
      <c r="C4431" t="s">
        <v>40</v>
      </c>
      <c r="D4431">
        <v>4.1569599999999998</v>
      </c>
      <c r="E4431">
        <v>0.54310119999999995</v>
      </c>
      <c r="F4431" t="s">
        <v>69</v>
      </c>
      <c r="G4431">
        <v>-157.3501</v>
      </c>
      <c r="H4431">
        <v>3.7114549999999999</v>
      </c>
      <c r="I4431">
        <v>-59.302570000000003</v>
      </c>
      <c r="J4431">
        <v>-273.58589999999998</v>
      </c>
      <c r="K4431">
        <v>1.1127659999999999</v>
      </c>
      <c r="L4431">
        <v>-62.352780000000003</v>
      </c>
      <c r="M4431">
        <v>0.99753910000000001</v>
      </c>
      <c r="N4431">
        <v>-1.032139E-2</v>
      </c>
      <c r="O4431">
        <v>-6.9348430000000003E-2</v>
      </c>
      <c r="P4431">
        <v>0.98882049999999999</v>
      </c>
      <c r="Q4431">
        <v>4.7396510000000003E-2</v>
      </c>
      <c r="R4431">
        <v>0.1413779</v>
      </c>
      <c r="S4431">
        <v>3.0192570000000001</v>
      </c>
      <c r="T4431">
        <v>6.7417619999999998E-2</v>
      </c>
      <c r="U4431">
        <v>7.8918459999999996E-2</v>
      </c>
      <c r="V4431">
        <v>-0.21006159999999999</v>
      </c>
      <c r="W4431">
        <v>5.5818920000000001E-2</v>
      </c>
      <c r="X4431">
        <v>0.9760934</v>
      </c>
      <c r="Y4431">
        <v>-9.5345280000000004E-2</v>
      </c>
      <c r="Z4431">
        <v>-2.835265E-3</v>
      </c>
      <c r="AA4431">
        <v>0.9954402</v>
      </c>
      <c r="AB4431">
        <v>28</v>
      </c>
      <c r="AC4431">
        <v>116.235799999999</v>
      </c>
      <c r="AD4431">
        <v>2.5986889999999998</v>
      </c>
      <c r="AE4431">
        <v>3.0502099999999999</v>
      </c>
      <c r="AF4431">
        <v>-11.0985218635607</v>
      </c>
      <c r="AG4431">
        <v>2.5986889999999998</v>
      </c>
      <c r="AH4431">
        <v>115.68660915970599</v>
      </c>
      <c r="AI4431">
        <v>88.719050352679403</v>
      </c>
      <c r="AJ4431">
        <v>95.479962537116606</v>
      </c>
      <c r="AK4431">
        <v>116.246814627091</v>
      </c>
      <c r="AL4431">
        <v>86.800148265447802</v>
      </c>
      <c r="AM4431">
        <v>102.145186033963</v>
      </c>
      <c r="AN4431">
        <v>0.99999997657404205</v>
      </c>
    </row>
    <row r="4432" spans="1:40" x14ac:dyDescent="0.25">
      <c r="A4432" t="str">
        <f>"20190305135720561"</f>
        <v>20190305135720561</v>
      </c>
      <c r="B4432" t="str">
        <f>"1551765440557261"</f>
        <v>1551765440557261</v>
      </c>
      <c r="C4432" t="s">
        <v>40</v>
      </c>
      <c r="D4432">
        <v>4.1575179999999996</v>
      </c>
      <c r="E4432">
        <v>0.54311709999999902</v>
      </c>
      <c r="F4432" t="s">
        <v>69</v>
      </c>
      <c r="G4432">
        <v>-157.3501</v>
      </c>
      <c r="H4432">
        <v>3.624053</v>
      </c>
      <c r="I4432">
        <v>-59.252330000000001</v>
      </c>
      <c r="J4432">
        <v>-273.44670000000002</v>
      </c>
      <c r="K4432">
        <v>1.112762</v>
      </c>
      <c r="L4432">
        <v>-62.360289999999999</v>
      </c>
      <c r="M4432">
        <v>0.99768489999999999</v>
      </c>
      <c r="N4432">
        <v>-1.028664E-2</v>
      </c>
      <c r="O4432">
        <v>-6.7224450000000005E-2</v>
      </c>
      <c r="P4432">
        <v>0.98872789999999999</v>
      </c>
      <c r="Q4432">
        <v>4.6998499999999999E-2</v>
      </c>
      <c r="R4432">
        <v>0.14215720000000001</v>
      </c>
      <c r="S4432">
        <v>3.0192869999999998</v>
      </c>
      <c r="T4432">
        <v>6.5231440000000002E-2</v>
      </c>
      <c r="U4432">
        <v>8.0535889999999999E-2</v>
      </c>
      <c r="V4432">
        <v>-0.20875009999999999</v>
      </c>
      <c r="W4432">
        <v>5.5398049999999997E-2</v>
      </c>
      <c r="X4432">
        <v>0.97639869999999995</v>
      </c>
      <c r="Y4432">
        <v>-9.3762499999999999E-2</v>
      </c>
      <c r="Z4432">
        <v>-2.6731699999999999E-3</v>
      </c>
      <c r="AA4432">
        <v>0.995591</v>
      </c>
      <c r="AB4432">
        <v>28</v>
      </c>
      <c r="AC4432">
        <v>116.0966</v>
      </c>
      <c r="AD4432">
        <v>2.5112909999999999</v>
      </c>
      <c r="AE4432">
        <v>3.1079599999999901</v>
      </c>
      <c r="AF4432">
        <v>-10.900774465000501</v>
      </c>
      <c r="AG4432">
        <v>2.5112909999999999</v>
      </c>
      <c r="AH4432">
        <v>115.570968407949</v>
      </c>
      <c r="AI4432">
        <v>88.760690198673501</v>
      </c>
      <c r="AJ4432">
        <v>95.388256704378904</v>
      </c>
      <c r="AK4432">
        <v>116.11107701324001</v>
      </c>
      <c r="AL4432">
        <v>86.824299737712295</v>
      </c>
      <c r="AM4432">
        <v>102.06792561841699</v>
      </c>
      <c r="AN4432">
        <v>0.99999998477775098</v>
      </c>
    </row>
    <row r="4433" spans="1:40" x14ac:dyDescent="0.25">
      <c r="A4433" t="str">
        <f>"20190305135720573"</f>
        <v>20190305135720573</v>
      </c>
      <c r="B4433" t="str">
        <f>"1551765440567021"</f>
        <v>1551765440567021</v>
      </c>
      <c r="C4433" t="s">
        <v>40</v>
      </c>
      <c r="D4433">
        <v>4.1943630000000001</v>
      </c>
      <c r="E4433">
        <v>0.54308519999999905</v>
      </c>
      <c r="F4433" t="s">
        <v>69</v>
      </c>
      <c r="G4433">
        <v>-157.3501</v>
      </c>
      <c r="H4433">
        <v>3.5527739999999999</v>
      </c>
      <c r="I4433">
        <v>-59.175539999999998</v>
      </c>
      <c r="J4433">
        <v>-273.29700000000003</v>
      </c>
      <c r="K4433">
        <v>1.11276</v>
      </c>
      <c r="L4433">
        <v>-62.368160000000003</v>
      </c>
      <c r="M4433">
        <v>0.99783650000000002</v>
      </c>
      <c r="N4433">
        <v>-1.0250860000000001E-2</v>
      </c>
      <c r="O4433">
        <v>-6.4941330000000005E-2</v>
      </c>
      <c r="P4433">
        <v>0.98859010000000003</v>
      </c>
      <c r="Q4433">
        <v>4.7118489999999999E-2</v>
      </c>
      <c r="R4433">
        <v>0.14307230000000001</v>
      </c>
      <c r="S4433">
        <v>3.0192869999999998</v>
      </c>
      <c r="T4433">
        <v>6.3456059999999995E-2</v>
      </c>
      <c r="U4433">
        <v>8.2824709999999996E-2</v>
      </c>
      <c r="V4433">
        <v>-0.20741950000000001</v>
      </c>
      <c r="W4433">
        <v>5.5493750000000001E-2</v>
      </c>
      <c r="X4433">
        <v>0.97667680000000001</v>
      </c>
      <c r="Y4433">
        <v>-9.2241859999999995E-2</v>
      </c>
      <c r="Z4433">
        <v>-2.525855E-3</v>
      </c>
      <c r="AA4433">
        <v>0.99573339999999999</v>
      </c>
      <c r="AB4433">
        <v>28</v>
      </c>
      <c r="AC4433">
        <v>115.9469</v>
      </c>
      <c r="AD4433">
        <v>2.4400140000000001</v>
      </c>
      <c r="AE4433">
        <v>3.19261999999999</v>
      </c>
      <c r="AF4433">
        <v>-10.711280959098101</v>
      </c>
      <c r="AG4433">
        <v>2.4400140000000001</v>
      </c>
      <c r="AH4433">
        <v>115.443689584655</v>
      </c>
      <c r="AI4433">
        <v>88.794355497572298</v>
      </c>
      <c r="AJ4433">
        <v>95.300931826708506</v>
      </c>
      <c r="AK4433">
        <v>115.965213202163</v>
      </c>
      <c r="AL4433">
        <v>86.818808095414695</v>
      </c>
      <c r="AM4433">
        <v>101.989921118119</v>
      </c>
      <c r="AN4433">
        <v>0.99999998846377602</v>
      </c>
    </row>
    <row r="4434" spans="1:40" x14ac:dyDescent="0.25">
      <c r="A4434" t="str">
        <f>"20190305135720584"</f>
        <v>20190305135720584</v>
      </c>
      <c r="B4434" t="str">
        <f>"1551765440576781"</f>
        <v>1551765440576781</v>
      </c>
      <c r="C4434" t="s">
        <v>40</v>
      </c>
      <c r="D4434">
        <v>4.178153</v>
      </c>
      <c r="E4434">
        <v>0.54308250000000002</v>
      </c>
      <c r="F4434" t="s">
        <v>69</v>
      </c>
      <c r="G4434">
        <v>-157.3501</v>
      </c>
      <c r="H4434">
        <v>3.5724010000000002</v>
      </c>
      <c r="I4434">
        <v>-59.068980000000003</v>
      </c>
      <c r="J4434">
        <v>-273.15499999999997</v>
      </c>
      <c r="K4434">
        <v>1.1127609999999999</v>
      </c>
      <c r="L4434">
        <v>-62.375269999999901</v>
      </c>
      <c r="M4434">
        <v>0.99797519999999995</v>
      </c>
      <c r="N4434">
        <v>-1.021996E-2</v>
      </c>
      <c r="O4434">
        <v>-6.2777310000000003E-2</v>
      </c>
      <c r="P4434">
        <v>0.98845620000000001</v>
      </c>
      <c r="Q4434">
        <v>4.710963E-2</v>
      </c>
      <c r="R4434">
        <v>0.14399779999999901</v>
      </c>
      <c r="S4434">
        <v>3.0191349999999999</v>
      </c>
      <c r="T4434">
        <v>6.4045909999999998E-2</v>
      </c>
      <c r="U4434">
        <v>8.5906979999999994E-2</v>
      </c>
      <c r="V4434">
        <v>-0.20621629999999999</v>
      </c>
      <c r="W4434">
        <v>5.5463749999999999E-2</v>
      </c>
      <c r="X4434">
        <v>0.97693319999999995</v>
      </c>
      <c r="Y4434">
        <v>-9.1100139999999996E-2</v>
      </c>
      <c r="Z4434">
        <v>-2.4727830000000001E-3</v>
      </c>
      <c r="AA4434">
        <v>0.99583860000000002</v>
      </c>
      <c r="AB4434">
        <v>28</v>
      </c>
      <c r="AC4434">
        <v>115.80489999999899</v>
      </c>
      <c r="AD4434">
        <v>2.4596399999999998</v>
      </c>
      <c r="AE4434">
        <v>3.30628999999999</v>
      </c>
      <c r="AF4434">
        <v>-10.5653055743295</v>
      </c>
      <c r="AG4434">
        <v>2.4596399999999998</v>
      </c>
      <c r="AH4434">
        <v>115.316907926791</v>
      </c>
      <c r="AI4434">
        <v>88.7831957237713</v>
      </c>
      <c r="AJ4434">
        <v>95.234809982725906</v>
      </c>
      <c r="AK4434">
        <v>115.826010742858</v>
      </c>
      <c r="AL4434">
        <v>86.820529445597202</v>
      </c>
      <c r="AM4434">
        <v>101.919326266151</v>
      </c>
      <c r="AN4434">
        <v>0.99999993360599404</v>
      </c>
    </row>
    <row r="4435" spans="1:40" x14ac:dyDescent="0.25">
      <c r="A4435" t="str">
        <f>"20190305135720597"</f>
        <v>20190305135720597</v>
      </c>
      <c r="B4435" t="str">
        <f>"1551765440587517"</f>
        <v>1551765440587517</v>
      </c>
      <c r="C4435" t="s">
        <v>40</v>
      </c>
      <c r="D4435">
        <v>4.1708610000000004</v>
      </c>
      <c r="E4435">
        <v>0.54310080000000005</v>
      </c>
      <c r="F4435" t="s">
        <v>69</v>
      </c>
      <c r="G4435">
        <v>-157.3501</v>
      </c>
      <c r="H4435">
        <v>3.563196</v>
      </c>
      <c r="I4435">
        <v>-58.967660000000002</v>
      </c>
      <c r="J4435">
        <v>-273.00349999999997</v>
      </c>
      <c r="K4435">
        <v>1.1127579999999999</v>
      </c>
      <c r="L4435">
        <v>-62.382510000000003</v>
      </c>
      <c r="M4435">
        <v>0.99811830000000001</v>
      </c>
      <c r="N4435">
        <v>-1.018969E-2</v>
      </c>
      <c r="O4435">
        <v>-6.0467369999999999E-2</v>
      </c>
      <c r="P4435">
        <v>0.98829100000000003</v>
      </c>
      <c r="Q4435">
        <v>4.706548E-2</v>
      </c>
      <c r="R4435">
        <v>0.14514089999999999</v>
      </c>
      <c r="S4435">
        <v>3.0190429999999999</v>
      </c>
      <c r="T4435">
        <v>6.3882469999999997E-2</v>
      </c>
      <c r="U4435">
        <v>8.8836670000000006E-2</v>
      </c>
      <c r="V4435">
        <v>-0.20508399999999999</v>
      </c>
      <c r="W4435">
        <v>5.5398999999999997E-2</v>
      </c>
      <c r="X4435">
        <v>0.97717529999999997</v>
      </c>
      <c r="Y4435">
        <v>-8.9763140000000005E-2</v>
      </c>
      <c r="Z4435">
        <v>-2.3867369999999999E-3</v>
      </c>
      <c r="AA4435">
        <v>0.99596030000000002</v>
      </c>
      <c r="AB4435">
        <v>28</v>
      </c>
      <c r="AC4435">
        <v>115.653399999999</v>
      </c>
      <c r="AD4435">
        <v>2.4504380000000001</v>
      </c>
      <c r="AE4435">
        <v>3.4148499999999999</v>
      </c>
      <c r="AF4435">
        <v>-10.397556205240701</v>
      </c>
      <c r="AG4435">
        <v>2.4504380000000001</v>
      </c>
      <c r="AH4435">
        <v>115.183591449619</v>
      </c>
      <c r="AI4435">
        <v>88.786196209839602</v>
      </c>
      <c r="AJ4435">
        <v>95.158076890485702</v>
      </c>
      <c r="AK4435">
        <v>115.67788708593299</v>
      </c>
      <c r="AL4435">
        <v>86.824245371831907</v>
      </c>
      <c r="AM4435">
        <v>101.852882070981</v>
      </c>
      <c r="AN4435">
        <v>1.00000003159354</v>
      </c>
    </row>
    <row r="4436" spans="1:40" x14ac:dyDescent="0.25">
      <c r="A4436" t="str">
        <f>"20190305135720608"</f>
        <v>20190305135720608</v>
      </c>
      <c r="B4436" t="str">
        <f>"1551765440597277"</f>
        <v>1551765440597277</v>
      </c>
      <c r="C4436" t="s">
        <v>40</v>
      </c>
      <c r="D4436">
        <v>4.1446990000000001</v>
      </c>
      <c r="E4436">
        <v>0.54313929999999999</v>
      </c>
      <c r="F4436" t="s">
        <v>69</v>
      </c>
      <c r="G4436">
        <v>-157.3501</v>
      </c>
      <c r="H4436">
        <v>3.5698449999999902</v>
      </c>
      <c r="I4436">
        <v>-58.850639999999999</v>
      </c>
      <c r="J4436">
        <v>-272.84620000000001</v>
      </c>
      <c r="K4436">
        <v>1.1127560000000001</v>
      </c>
      <c r="L4436">
        <v>-62.389769999999999</v>
      </c>
      <c r="M4436">
        <v>0.99826099999999995</v>
      </c>
      <c r="N4436">
        <v>-1.016009E-2</v>
      </c>
      <c r="O4436">
        <v>-5.8067550000000002E-2</v>
      </c>
      <c r="P4436">
        <v>0.98815640000000005</v>
      </c>
      <c r="Q4436">
        <v>4.6412399999999999E-2</v>
      </c>
      <c r="R4436">
        <v>0.14626410000000001</v>
      </c>
      <c r="S4436">
        <v>3.0189509999999999</v>
      </c>
      <c r="T4436">
        <v>6.4137819999999998E-2</v>
      </c>
      <c r="U4436">
        <v>9.2193600000000001E-2</v>
      </c>
      <c r="V4436">
        <v>-0.20384169999999999</v>
      </c>
      <c r="W4436">
        <v>5.4727199999999997E-2</v>
      </c>
      <c r="X4436">
        <v>0.97747300000000004</v>
      </c>
      <c r="Y4436">
        <v>-8.8477029999999998E-2</v>
      </c>
      <c r="Z4436">
        <v>-2.3127590000000002E-3</v>
      </c>
      <c r="AA4436">
        <v>0.9960755</v>
      </c>
      <c r="AB4436">
        <v>28</v>
      </c>
      <c r="AC4436">
        <v>115.4961</v>
      </c>
      <c r="AD4436">
        <v>2.4570889999999999</v>
      </c>
      <c r="AE4436">
        <v>3.5391299999999899</v>
      </c>
      <c r="AF4436">
        <v>-10.235450945750699</v>
      </c>
      <c r="AG4436">
        <v>2.4570889999999999</v>
      </c>
      <c r="AH4436">
        <v>115.043660026353</v>
      </c>
      <c r="AI4436">
        <v>88.781282005517497</v>
      </c>
      <c r="AJ4436">
        <v>95.084226879183404</v>
      </c>
      <c r="AK4436">
        <v>115.52422020804001</v>
      </c>
      <c r="AL4436">
        <v>86.862795015754102</v>
      </c>
      <c r="AM4436">
        <v>101.77960785442799</v>
      </c>
      <c r="AN4436">
        <v>0.99999998540386403</v>
      </c>
    </row>
    <row r="4437" spans="1:40" x14ac:dyDescent="0.25">
      <c r="A4437" t="str">
        <f>"20190305135720623"</f>
        <v>20190305135720623</v>
      </c>
      <c r="B4437" t="str">
        <f>"1551765440616797"</f>
        <v>1551765440616797</v>
      </c>
      <c r="C4437" t="s">
        <v>40</v>
      </c>
      <c r="D4437">
        <v>4.1642270000000003</v>
      </c>
      <c r="E4437">
        <v>0.54320299999999999</v>
      </c>
      <c r="F4437" t="s">
        <v>69</v>
      </c>
      <c r="G4437">
        <v>-157.3501</v>
      </c>
      <c r="H4437">
        <v>3.4849329999999998</v>
      </c>
      <c r="I4437">
        <v>-58.741250000000001</v>
      </c>
      <c r="J4437">
        <v>-272.67579999999998</v>
      </c>
      <c r="K4437">
        <v>1.112754</v>
      </c>
      <c r="L4437">
        <v>-62.396999999999998</v>
      </c>
      <c r="M4437">
        <v>0.99840870000000004</v>
      </c>
      <c r="N4437">
        <v>-1.0132149999999999E-2</v>
      </c>
      <c r="O4437">
        <v>-5.5472590000000002E-2</v>
      </c>
      <c r="P4437">
        <v>0.98800710000000003</v>
      </c>
      <c r="Q4437">
        <v>4.6153479999999997E-2</v>
      </c>
      <c r="R4437">
        <v>0.14734910000000001</v>
      </c>
      <c r="S4437">
        <v>3.0189210000000002</v>
      </c>
      <c r="T4437">
        <v>6.2005159999999997E-2</v>
      </c>
      <c r="U4437">
        <v>9.5367430000000003E-2</v>
      </c>
      <c r="V4437">
        <v>-0.20237260000000001</v>
      </c>
      <c r="W4437">
        <v>5.4453439999999999E-2</v>
      </c>
      <c r="X4437">
        <v>0.97779349999999998</v>
      </c>
      <c r="Y4437">
        <v>-8.6937979999999998E-2</v>
      </c>
      <c r="Z4437">
        <v>-2.1525939999999999E-3</v>
      </c>
      <c r="AA4437">
        <v>0.99621139999999997</v>
      </c>
      <c r="AB4437">
        <v>28</v>
      </c>
      <c r="AC4437">
        <v>115.325699999999</v>
      </c>
      <c r="AD4437">
        <v>2.372179</v>
      </c>
      <c r="AE4437">
        <v>3.6557499999999901</v>
      </c>
      <c r="AF4437">
        <v>-10.0436194635706</v>
      </c>
      <c r="AG4437">
        <v>2.372179</v>
      </c>
      <c r="AH4437">
        <v>114.896736079229</v>
      </c>
      <c r="AI4437">
        <v>88.821720838490506</v>
      </c>
      <c r="AJ4437">
        <v>94.995772466186295</v>
      </c>
      <c r="AK4437">
        <v>115.359271351708</v>
      </c>
      <c r="AL4437">
        <v>86.878503739446202</v>
      </c>
      <c r="AM4437">
        <v>101.693330437279</v>
      </c>
      <c r="AN4437">
        <v>0.99999998750042096</v>
      </c>
    </row>
    <row r="4438" spans="1:40" x14ac:dyDescent="0.25">
      <c r="A4438" t="str">
        <f>"20190305135720636"</f>
        <v>20190305135720636</v>
      </c>
      <c r="B4438" t="str">
        <f>"1551765440627533"</f>
        <v>1551765440627533</v>
      </c>
      <c r="C4438" t="s">
        <v>40</v>
      </c>
      <c r="D4438">
        <v>4.1594800000000003</v>
      </c>
      <c r="E4438">
        <v>0.54326430000000003</v>
      </c>
      <c r="F4438" t="s">
        <v>69</v>
      </c>
      <c r="G4438">
        <v>-157.3501</v>
      </c>
      <c r="H4438">
        <v>3.45601</v>
      </c>
      <c r="I4438">
        <v>-58.645409999999998</v>
      </c>
      <c r="J4438">
        <v>-272.5016</v>
      </c>
      <c r="K4438">
        <v>1.1127479999999901</v>
      </c>
      <c r="L4438">
        <v>-62.404049999999998</v>
      </c>
      <c r="M4438">
        <v>0.99855289999999997</v>
      </c>
      <c r="N4438">
        <v>-1.010556E-2</v>
      </c>
      <c r="O4438">
        <v>-5.2822439999999998E-2</v>
      </c>
      <c r="P4438">
        <v>0.98786799999999997</v>
      </c>
      <c r="Q4438">
        <v>4.508562E-2</v>
      </c>
      <c r="R4438">
        <v>0.14860860000000001</v>
      </c>
      <c r="S4438">
        <v>3.0188899999999999</v>
      </c>
      <c r="T4438">
        <v>6.1339020000000001E-2</v>
      </c>
      <c r="U4438">
        <v>9.8205570000000006E-2</v>
      </c>
      <c r="V4438">
        <v>-0.20101749999999999</v>
      </c>
      <c r="W4438">
        <v>5.3371630000000003E-2</v>
      </c>
      <c r="X4438">
        <v>0.97813260000000002</v>
      </c>
      <c r="Y4438">
        <v>-8.5231710000000002E-2</v>
      </c>
      <c r="Z4438">
        <v>-2.0411539999999999E-3</v>
      </c>
      <c r="AA4438">
        <v>0.99635910000000005</v>
      </c>
      <c r="AB4438">
        <v>28</v>
      </c>
      <c r="AC4438">
        <v>115.1515</v>
      </c>
      <c r="AD4438">
        <v>2.34326199999999</v>
      </c>
      <c r="AE4438">
        <v>3.7586400000000002</v>
      </c>
      <c r="AF4438">
        <v>-9.83221805958161</v>
      </c>
      <c r="AG4438">
        <v>2.34326199999999</v>
      </c>
      <c r="AH4438">
        <v>114.74470737940101</v>
      </c>
      <c r="AI4438">
        <v>88.834365637283796</v>
      </c>
      <c r="AJ4438">
        <v>94.8975842748319</v>
      </c>
      <c r="AK4438">
        <v>115.189024044638</v>
      </c>
      <c r="AL4438">
        <v>86.9405771270429</v>
      </c>
      <c r="AM4438">
        <v>101.61324835959</v>
      </c>
      <c r="AN4438">
        <v>0.99999997468893298</v>
      </c>
    </row>
    <row r="4439" spans="1:40" x14ac:dyDescent="0.25">
      <c r="A4439" t="str">
        <f>"20190305135720651"</f>
        <v>20190305135720651</v>
      </c>
      <c r="B4439" t="str">
        <f>"1551765440647054"</f>
        <v>1551765440647054</v>
      </c>
      <c r="C4439" t="s">
        <v>40</v>
      </c>
      <c r="D4439">
        <v>4.1763820000000003</v>
      </c>
      <c r="E4439">
        <v>0.54326459999999999</v>
      </c>
      <c r="F4439" t="s">
        <v>69</v>
      </c>
      <c r="G4439">
        <v>-157.3501</v>
      </c>
      <c r="H4439">
        <v>3.3195359999999998</v>
      </c>
      <c r="I4439">
        <v>-58.527790000000003</v>
      </c>
      <c r="J4439">
        <v>-272.31720000000001</v>
      </c>
      <c r="K4439">
        <v>1.112735</v>
      </c>
      <c r="L4439">
        <v>-62.411070000000002</v>
      </c>
      <c r="M4439">
        <v>0.99869750000000002</v>
      </c>
      <c r="N4439">
        <v>-1.00797E-2</v>
      </c>
      <c r="O4439">
        <v>-5.0018989999999999E-2</v>
      </c>
      <c r="P4439">
        <v>0.98795089999999997</v>
      </c>
      <c r="Q4439">
        <v>4.2975659999999999E-2</v>
      </c>
      <c r="R4439">
        <v>0.1486817</v>
      </c>
      <c r="S4439">
        <v>3.0189210000000002</v>
      </c>
      <c r="T4439">
        <v>5.7854650000000001E-2</v>
      </c>
      <c r="U4439">
        <v>0.10162350000000001</v>
      </c>
      <c r="V4439">
        <v>-0.1983298</v>
      </c>
      <c r="W4439">
        <v>5.126261E-2</v>
      </c>
      <c r="X4439">
        <v>0.97879389999999999</v>
      </c>
      <c r="Y4439">
        <v>-8.3565619999999993E-2</v>
      </c>
      <c r="Z4439">
        <v>-1.841255E-3</v>
      </c>
      <c r="AA4439">
        <v>0.99650059999999996</v>
      </c>
      <c r="AB4439">
        <v>28</v>
      </c>
      <c r="AC4439">
        <v>114.9671</v>
      </c>
      <c r="AD4439">
        <v>2.206801</v>
      </c>
      <c r="AE4439">
        <v>3.8832799999999899</v>
      </c>
      <c r="AF4439">
        <v>-9.6257059334330606</v>
      </c>
      <c r="AG4439">
        <v>2.206801</v>
      </c>
      <c r="AH4439">
        <v>114.586758241091</v>
      </c>
      <c r="AI4439">
        <v>88.900561046837595</v>
      </c>
      <c r="AJ4439">
        <v>94.801781013884906</v>
      </c>
      <c r="AK4439">
        <v>115.011518334351</v>
      </c>
      <c r="AL4439">
        <v>87.061580977284805</v>
      </c>
      <c r="AM4439">
        <v>101.454570753753</v>
      </c>
      <c r="AN4439">
        <v>1.00000003171463</v>
      </c>
    </row>
    <row r="4440" spans="1:40" x14ac:dyDescent="0.25">
      <c r="A4440" t="str">
        <f>"20190305135720662"</f>
        <v>20190305135720662</v>
      </c>
      <c r="B4440" t="str">
        <f>"1551765440656813"</f>
        <v>1551765440656813</v>
      </c>
      <c r="C4440" t="s">
        <v>40</v>
      </c>
      <c r="D4440">
        <v>4.1753419999999997</v>
      </c>
      <c r="E4440">
        <v>0.54334179999999999</v>
      </c>
      <c r="F4440" t="s">
        <v>69</v>
      </c>
      <c r="G4440">
        <v>-157.3501</v>
      </c>
      <c r="H4440">
        <v>3.0800260000000002</v>
      </c>
      <c r="I4440">
        <v>-58.52948</v>
      </c>
      <c r="J4440">
        <v>-272.17020000000002</v>
      </c>
      <c r="K4440">
        <v>1.1127229999999999</v>
      </c>
      <c r="L4440">
        <v>-62.416170000000001</v>
      </c>
      <c r="M4440">
        <v>0.99880670000000005</v>
      </c>
      <c r="N4440">
        <v>-1.0061519999999999E-2</v>
      </c>
      <c r="O4440">
        <v>-4.7790850000000003E-2</v>
      </c>
      <c r="P4440">
        <v>0.98788229999999999</v>
      </c>
      <c r="Q4440">
        <v>4.2037100000000001E-2</v>
      </c>
      <c r="R4440">
        <v>0.1494045</v>
      </c>
      <c r="S4440">
        <v>3.0189819999999998</v>
      </c>
      <c r="T4440">
        <v>5.1659579999999997E-2</v>
      </c>
      <c r="U4440">
        <v>0.1019287</v>
      </c>
      <c r="V4440">
        <v>-0.19685620000000001</v>
      </c>
      <c r="W4440">
        <v>5.0321610000000003E-2</v>
      </c>
      <c r="X4440">
        <v>0.97914009999999996</v>
      </c>
      <c r="Y4440">
        <v>-8.1448350000000003E-2</v>
      </c>
      <c r="Z4440">
        <v>-1.584844E-3</v>
      </c>
      <c r="AA4440">
        <v>0.99667629999999996</v>
      </c>
      <c r="AB4440">
        <v>29</v>
      </c>
      <c r="AC4440">
        <v>114.8201</v>
      </c>
      <c r="AD4440">
        <v>1.967303</v>
      </c>
      <c r="AE4440">
        <v>3.8866899999999802</v>
      </c>
      <c r="AF4440">
        <v>-9.3671296375002306</v>
      </c>
      <c r="AG4440">
        <v>1.967303</v>
      </c>
      <c r="AH4440">
        <v>114.46956559128201</v>
      </c>
      <c r="AI4440">
        <v>89.018676603980097</v>
      </c>
      <c r="AJ4440">
        <v>94.678132792091702</v>
      </c>
      <c r="AK4440">
        <v>114.86903344851601</v>
      </c>
      <c r="AL4440">
        <v>87.115565842901503</v>
      </c>
      <c r="AM4440">
        <v>101.367772138886</v>
      </c>
      <c r="AN4440">
        <v>0.99999998166972004</v>
      </c>
    </row>
    <row r="4441" spans="1:40" x14ac:dyDescent="0.25">
      <c r="A4441" t="str">
        <f>"20190305135720674"</f>
        <v>20190305135720674</v>
      </c>
      <c r="B4441" t="str">
        <f>"1551765440666574"</f>
        <v>1551765440666574</v>
      </c>
      <c r="C4441" t="s">
        <v>40</v>
      </c>
      <c r="D4441">
        <v>4.1606649999999998</v>
      </c>
      <c r="E4441">
        <v>0.54341329999999999</v>
      </c>
      <c r="F4441" t="s">
        <v>69</v>
      </c>
      <c r="G4441">
        <v>-157.3501</v>
      </c>
      <c r="H4441">
        <v>2.9747509999999999</v>
      </c>
      <c r="I4441">
        <v>-58.479300000000002</v>
      </c>
      <c r="J4441">
        <v>-272.0231</v>
      </c>
      <c r="K4441">
        <v>1.1127129999999901</v>
      </c>
      <c r="L4441">
        <v>-62.421050000000001</v>
      </c>
      <c r="M4441">
        <v>0.99891090000000005</v>
      </c>
      <c r="N4441">
        <v>-1.0044259999999999E-2</v>
      </c>
      <c r="O4441">
        <v>-4.5566410000000002E-2</v>
      </c>
      <c r="P4441">
        <v>0.98785699999999999</v>
      </c>
      <c r="Q4441">
        <v>4.0752650000000001E-2</v>
      </c>
      <c r="R4441">
        <v>0.1499259</v>
      </c>
      <c r="S4441">
        <v>3.0190730000000001</v>
      </c>
      <c r="T4441">
        <v>4.8959490000000001E-2</v>
      </c>
      <c r="U4441">
        <v>0.1035156</v>
      </c>
      <c r="V4441">
        <v>-0.19518340000000001</v>
      </c>
      <c r="W4441">
        <v>4.9038119999999998E-2</v>
      </c>
      <c r="X4441">
        <v>0.97954010000000002</v>
      </c>
      <c r="Y4441">
        <v>-7.9753760000000007E-2</v>
      </c>
      <c r="Z4441">
        <v>-1.4419319999999999E-3</v>
      </c>
      <c r="AA4441">
        <v>0.99681350000000002</v>
      </c>
      <c r="AB4441">
        <v>29</v>
      </c>
      <c r="AC4441">
        <v>114.67299999999901</v>
      </c>
      <c r="AD4441">
        <v>1.8620380000000001</v>
      </c>
      <c r="AE4441">
        <v>3.9417499999999901</v>
      </c>
      <c r="AF4441">
        <v>-9.1607428952258196</v>
      </c>
      <c r="AG4441">
        <v>1.8620380000000001</v>
      </c>
      <c r="AH4441">
        <v>114.34414492655699</v>
      </c>
      <c r="AI4441">
        <v>89.070028166573806</v>
      </c>
      <c r="AJ4441">
        <v>94.5804990448881</v>
      </c>
      <c r="AK4441">
        <v>114.725628675076</v>
      </c>
      <c r="AL4441">
        <v>87.189195525936199</v>
      </c>
      <c r="AM4441">
        <v>101.269172011419</v>
      </c>
      <c r="AN4441">
        <v>1.0000000521783501</v>
      </c>
    </row>
    <row r="4442" spans="1:40" x14ac:dyDescent="0.25">
      <c r="A4442" t="str">
        <f>"20190305135720685"</f>
        <v>20190305135720685</v>
      </c>
      <c r="B4442" t="str">
        <f>"1551765440677310"</f>
        <v>1551765440677310</v>
      </c>
      <c r="C4442" t="s">
        <v>40</v>
      </c>
      <c r="D4442">
        <v>4.1760510000000002</v>
      </c>
      <c r="E4442">
        <v>0.54328980000000004</v>
      </c>
      <c r="F4442" t="s">
        <v>69</v>
      </c>
      <c r="G4442">
        <v>-157.3501</v>
      </c>
      <c r="H4442">
        <v>2.8342010000000002</v>
      </c>
      <c r="I4442">
        <v>-58.451050000000002</v>
      </c>
      <c r="J4442">
        <v>-271.88310000000001</v>
      </c>
      <c r="K4442">
        <v>1.112706</v>
      </c>
      <c r="L4442">
        <v>-62.425379999999997</v>
      </c>
      <c r="M4442">
        <v>0.99900500000000003</v>
      </c>
      <c r="N4442">
        <v>-1.0029160000000001E-2</v>
      </c>
      <c r="O4442">
        <v>-4.3456649999999999E-2</v>
      </c>
      <c r="P4442">
        <v>0.98780559999999995</v>
      </c>
      <c r="Q4442">
        <v>3.9553749999999999E-2</v>
      </c>
      <c r="R4442">
        <v>0.15058429999999901</v>
      </c>
      <c r="S4442">
        <v>3.0191349999999999</v>
      </c>
      <c r="T4442">
        <v>4.5323130000000003E-2</v>
      </c>
      <c r="U4442">
        <v>0.104522699999999</v>
      </c>
      <c r="V4442">
        <v>-0.19375870000000001</v>
      </c>
      <c r="W4442">
        <v>4.7840279999999999E-2</v>
      </c>
      <c r="X4442">
        <v>0.97988209999999998</v>
      </c>
      <c r="Y4442">
        <v>-7.7982969999999999E-2</v>
      </c>
      <c r="Z4442">
        <v>-1.2817449999999999E-3</v>
      </c>
      <c r="AA4442">
        <v>0.9969538</v>
      </c>
      <c r="AB4442">
        <v>29</v>
      </c>
      <c r="AC4442">
        <v>114.533</v>
      </c>
      <c r="AD4442">
        <v>1.72149499999999</v>
      </c>
      <c r="AE4442">
        <v>3.9743300000000001</v>
      </c>
      <c r="AF4442">
        <v>-8.9460271836692709</v>
      </c>
      <c r="AG4442">
        <v>1.72149499999999</v>
      </c>
      <c r="AH4442">
        <v>114.226296889292</v>
      </c>
      <c r="AI4442">
        <v>89.139200991540804</v>
      </c>
      <c r="AJ4442">
        <v>94.478175854216005</v>
      </c>
      <c r="AK4442">
        <v>114.58901277368</v>
      </c>
      <c r="AL4442">
        <v>87.257907295388804</v>
      </c>
      <c r="AM4442">
        <v>101.18519108963901</v>
      </c>
      <c r="AN4442">
        <v>1.0000000280582799</v>
      </c>
    </row>
    <row r="4443" spans="1:40" x14ac:dyDescent="0.25">
      <c r="A4443" t="str">
        <f>"20190305135720696"</f>
        <v>20190305135720696</v>
      </c>
      <c r="B4443" t="str">
        <f>"1551765440687070"</f>
        <v>1551765440687070</v>
      </c>
      <c r="C4443" t="s">
        <v>40</v>
      </c>
      <c r="D4443">
        <v>4.1428190000000003</v>
      </c>
      <c r="E4443">
        <v>0.54319229999999996</v>
      </c>
      <c r="F4443" t="s">
        <v>69</v>
      </c>
      <c r="G4443">
        <v>-157.3501</v>
      </c>
      <c r="H4443">
        <v>2.7033830000000001</v>
      </c>
      <c r="I4443">
        <v>-58.344259999999998</v>
      </c>
      <c r="J4443">
        <v>-271.73489999999998</v>
      </c>
      <c r="K4443">
        <v>1.1126929999999999</v>
      </c>
      <c r="L4443">
        <v>-62.429630000000003</v>
      </c>
      <c r="M4443">
        <v>0.99909939999999997</v>
      </c>
      <c r="N4443">
        <v>-1.001438E-2</v>
      </c>
      <c r="O4443">
        <v>-4.1233180000000001E-2</v>
      </c>
      <c r="P4443">
        <v>0.98777150000000002</v>
      </c>
      <c r="Q4443">
        <v>3.8534529999999997E-2</v>
      </c>
      <c r="R4443">
        <v>0.15107110000000001</v>
      </c>
      <c r="S4443">
        <v>3.0189819999999998</v>
      </c>
      <c r="T4443">
        <v>4.1928170000000001E-2</v>
      </c>
      <c r="U4443">
        <v>0.1075745</v>
      </c>
      <c r="V4443">
        <v>-0.19205230000000001</v>
      </c>
      <c r="W4443">
        <v>4.6826699999999999E-2</v>
      </c>
      <c r="X4443">
        <v>0.98026690000000005</v>
      </c>
      <c r="Y4443">
        <v>-7.6775099999999999E-2</v>
      </c>
      <c r="Z4443">
        <v>-1.1335850000000001E-3</v>
      </c>
      <c r="AA4443">
        <v>0.99704780000000004</v>
      </c>
      <c r="AB4443">
        <v>29</v>
      </c>
      <c r="AC4443">
        <v>114.384799999999</v>
      </c>
      <c r="AD4443">
        <v>1.5906899999999999</v>
      </c>
      <c r="AE4443">
        <v>4.0853700000000002</v>
      </c>
      <c r="AF4443">
        <v>-8.7968815807059695</v>
      </c>
      <c r="AG4443">
        <v>1.5906899999999999</v>
      </c>
      <c r="AH4443">
        <v>114.097013413737</v>
      </c>
      <c r="AI4443">
        <v>89.203622564090395</v>
      </c>
      <c r="AJ4443">
        <v>94.408783456843395</v>
      </c>
      <c r="AK4443">
        <v>114.446685798041</v>
      </c>
      <c r="AL4443">
        <v>87.316046270884797</v>
      </c>
      <c r="AM4443">
        <v>101.08489182066501</v>
      </c>
      <c r="AN4443">
        <v>1.00000001050189</v>
      </c>
    </row>
    <row r="4444" spans="1:40" x14ac:dyDescent="0.25">
      <c r="A4444" t="str">
        <f>"20190305135720707"</f>
        <v>20190305135720707</v>
      </c>
      <c r="B4444" t="str">
        <f>"1551765440696830"</f>
        <v>1551765440696830</v>
      </c>
      <c r="C4444" t="s">
        <v>40</v>
      </c>
      <c r="D4444">
        <v>4.1718289999999998</v>
      </c>
      <c r="E4444">
        <v>0.54329439999999996</v>
      </c>
      <c r="F4444" t="s">
        <v>69</v>
      </c>
      <c r="G4444">
        <v>-157.3501</v>
      </c>
      <c r="H4444">
        <v>2.6095670000000002</v>
      </c>
      <c r="I4444">
        <v>-58.269159999999999</v>
      </c>
      <c r="J4444">
        <v>-271.59249999999997</v>
      </c>
      <c r="K4444">
        <v>1.1126819999999999</v>
      </c>
      <c r="L4444">
        <v>-62.433500000000002</v>
      </c>
      <c r="M4444">
        <v>0.99918499999999999</v>
      </c>
      <c r="N4444">
        <v>-1.000089E-2</v>
      </c>
      <c r="O4444">
        <v>-3.9105309999999997E-2</v>
      </c>
      <c r="P4444">
        <v>0.98776759999999997</v>
      </c>
      <c r="Q4444">
        <v>3.7463440000000001E-2</v>
      </c>
      <c r="R4444">
        <v>0.15136569999999999</v>
      </c>
      <c r="S4444">
        <v>3.0188290000000002</v>
      </c>
      <c r="T4444">
        <v>3.9504770000000002E-2</v>
      </c>
      <c r="U4444">
        <v>0.1098022</v>
      </c>
      <c r="V4444">
        <v>-0.19024830000000001</v>
      </c>
      <c r="W4444">
        <v>4.5764979999999997E-2</v>
      </c>
      <c r="X4444">
        <v>0.98066869999999995</v>
      </c>
      <c r="Y4444">
        <v>-7.5390120000000005E-2</v>
      </c>
      <c r="Z4444">
        <v>-1.018459E-3</v>
      </c>
      <c r="AA4444">
        <v>0.99715359999999997</v>
      </c>
      <c r="AB4444">
        <v>29</v>
      </c>
      <c r="AC4444">
        <v>114.24239999999899</v>
      </c>
      <c r="AD4444">
        <v>1.49688499999999</v>
      </c>
      <c r="AE4444">
        <v>4.1643400000000002</v>
      </c>
      <c r="AF4444">
        <v>-8.6273832684000897</v>
      </c>
      <c r="AG4444">
        <v>1.49688499999999</v>
      </c>
      <c r="AH4444">
        <v>113.97260971905899</v>
      </c>
      <c r="AI4444">
        <v>89.249682563245401</v>
      </c>
      <c r="AJ4444">
        <v>94.328862353259396</v>
      </c>
      <c r="AK4444">
        <v>114.30847813235999</v>
      </c>
      <c r="AL4444">
        <v>87.3769435484312</v>
      </c>
      <c r="AM4444">
        <v>100.97892133867801</v>
      </c>
      <c r="AN4444">
        <v>0.99999997410348895</v>
      </c>
    </row>
    <row r="4445" spans="1:40" x14ac:dyDescent="0.25">
      <c r="A4445" t="str">
        <f>"20190305135720718"</f>
        <v>20190305135720718</v>
      </c>
      <c r="B4445" t="str">
        <f>"1551765440706589"</f>
        <v>1551765440706589</v>
      </c>
      <c r="C4445" t="s">
        <v>40</v>
      </c>
      <c r="D4445">
        <v>4.156631</v>
      </c>
      <c r="E4445">
        <v>0.54327879999999995</v>
      </c>
      <c r="F4445" t="s">
        <v>69</v>
      </c>
      <c r="G4445">
        <v>-157.3501</v>
      </c>
      <c r="H4445">
        <v>2.5000789999999999</v>
      </c>
      <c r="I4445">
        <v>-58.272570000000002</v>
      </c>
      <c r="J4445">
        <v>-271.46420000000001</v>
      </c>
      <c r="K4445">
        <v>1.1126659999999999</v>
      </c>
      <c r="L4445">
        <v>-62.436610000000002</v>
      </c>
      <c r="M4445">
        <v>0.99925759999999997</v>
      </c>
      <c r="N4445">
        <v>-9.9898910000000007E-3</v>
      </c>
      <c r="O4445">
        <v>-3.720909E-2</v>
      </c>
      <c r="P4445">
        <v>0.9877551</v>
      </c>
      <c r="Q4445">
        <v>3.7138659999999997E-2</v>
      </c>
      <c r="R4445">
        <v>0.15152829999999901</v>
      </c>
      <c r="S4445">
        <v>3.0189210000000002</v>
      </c>
      <c r="T4445">
        <v>3.6662220000000002E-2</v>
      </c>
      <c r="U4445">
        <v>0.10995480000000001</v>
      </c>
      <c r="V4445">
        <v>-0.1885443</v>
      </c>
      <c r="W4445">
        <v>4.5452020000000003E-2</v>
      </c>
      <c r="X4445">
        <v>0.98101229999999995</v>
      </c>
      <c r="Y4445">
        <v>-7.3548790000000003E-2</v>
      </c>
      <c r="Z4445">
        <v>-9.0220559999999999E-4</v>
      </c>
      <c r="AA4445">
        <v>0.99729120000000004</v>
      </c>
      <c r="AB4445">
        <v>29</v>
      </c>
      <c r="AC4445">
        <v>114.11409999999999</v>
      </c>
      <c r="AD4445">
        <v>1.387413</v>
      </c>
      <c r="AE4445">
        <v>4.16404</v>
      </c>
      <c r="AF4445">
        <v>-8.4062087396042493</v>
      </c>
      <c r="AG4445">
        <v>1.387413</v>
      </c>
      <c r="AH4445">
        <v>113.863311585479</v>
      </c>
      <c r="AI4445">
        <v>89.303785813820298</v>
      </c>
      <c r="AJ4445">
        <v>94.222326520656296</v>
      </c>
      <c r="AK4445">
        <v>114.18162280077399</v>
      </c>
      <c r="AL4445">
        <v>87.394893545954204</v>
      </c>
      <c r="AM4445">
        <v>100.879223857235</v>
      </c>
      <c r="AN4445">
        <v>0.99999998596793005</v>
      </c>
    </row>
    <row r="4446" spans="1:40" x14ac:dyDescent="0.25">
      <c r="A4446" t="str">
        <f>"20190305135720729"</f>
        <v>20190305135720729</v>
      </c>
      <c r="B4446" t="str">
        <f>"1551765440717325"</f>
        <v>1551765440717325</v>
      </c>
      <c r="C4446" t="s">
        <v>40</v>
      </c>
      <c r="D4446">
        <v>4.1539400000000004</v>
      </c>
      <c r="E4446">
        <v>0.54332389999999997</v>
      </c>
      <c r="F4446" t="s">
        <v>69</v>
      </c>
      <c r="G4446">
        <v>-157.3501</v>
      </c>
      <c r="H4446">
        <v>2.480918</v>
      </c>
      <c r="I4446">
        <v>-58.25609</v>
      </c>
      <c r="J4446">
        <v>-271.32769999999999</v>
      </c>
      <c r="K4446">
        <v>1.1126469999999999</v>
      </c>
      <c r="L4446">
        <v>-62.43985</v>
      </c>
      <c r="M4446">
        <v>0.99933059999999996</v>
      </c>
      <c r="N4446">
        <v>-9.9784650000000006E-3</v>
      </c>
      <c r="O4446">
        <v>-3.5196869999999998E-2</v>
      </c>
      <c r="P4446">
        <v>0.98772320000000002</v>
      </c>
      <c r="Q4446">
        <v>3.7018540000000003E-2</v>
      </c>
      <c r="R4446">
        <v>0.15176509999999999</v>
      </c>
      <c r="S4446">
        <v>3.0188899999999999</v>
      </c>
      <c r="T4446">
        <v>3.6196590000000001E-2</v>
      </c>
      <c r="U4446">
        <v>0.11059570000000001</v>
      </c>
      <c r="V4446">
        <v>-0.18680060000000001</v>
      </c>
      <c r="W4446">
        <v>4.534436E-2</v>
      </c>
      <c r="X4446">
        <v>0.98135079999999997</v>
      </c>
      <c r="Y4446">
        <v>-7.1752990000000003E-2</v>
      </c>
      <c r="Z4446">
        <v>-8.44811E-4</v>
      </c>
      <c r="AA4446">
        <v>0.99742209999999998</v>
      </c>
      <c r="AB4446">
        <v>29</v>
      </c>
      <c r="AC4446">
        <v>113.9776</v>
      </c>
      <c r="AD4446">
        <v>1.368271</v>
      </c>
      <c r="AE4446">
        <v>4.1837600000000004</v>
      </c>
      <c r="AF4446">
        <v>-8.1918429380956699</v>
      </c>
      <c r="AG4446">
        <v>1.368271</v>
      </c>
      <c r="AH4446">
        <v>113.743339742976</v>
      </c>
      <c r="AI4446">
        <v>89.312576268687593</v>
      </c>
      <c r="AJ4446">
        <v>94.119353566826703</v>
      </c>
      <c r="AK4446">
        <v>114.046156411068</v>
      </c>
      <c r="AL4446">
        <v>87.401068370725497</v>
      </c>
      <c r="AM4446">
        <v>100.77734743489999</v>
      </c>
      <c r="AN4446">
        <v>0.99999998390240397</v>
      </c>
    </row>
    <row r="4447" spans="1:40" x14ac:dyDescent="0.25">
      <c r="A4447" t="str">
        <f>"20190305135720740"</f>
        <v>20190305135720740</v>
      </c>
      <c r="B4447" t="str">
        <f>"1551765440736846"</f>
        <v>1551765440736846</v>
      </c>
      <c r="C4447" t="s">
        <v>40</v>
      </c>
      <c r="D4447">
        <v>4.17394</v>
      </c>
      <c r="E4447">
        <v>0.54342349999999995</v>
      </c>
      <c r="F4447" t="s">
        <v>69</v>
      </c>
      <c r="G4447">
        <v>-157.3501</v>
      </c>
      <c r="H4447">
        <v>2.4956499999999999</v>
      </c>
      <c r="I4447">
        <v>-58.250459999999997</v>
      </c>
      <c r="J4447">
        <v>-271.18540000000002</v>
      </c>
      <c r="K4447">
        <v>1.1126259999999999</v>
      </c>
      <c r="L4447">
        <v>-62.442720000000001</v>
      </c>
      <c r="M4447">
        <v>0.99940130000000005</v>
      </c>
      <c r="N4447">
        <v>-9.9674599999999992E-3</v>
      </c>
      <c r="O4447">
        <v>-3.3128289999999998E-2</v>
      </c>
      <c r="P4447">
        <v>0.98767490000000002</v>
      </c>
      <c r="Q4447">
        <v>3.7109509999999998E-2</v>
      </c>
      <c r="R4447">
        <v>0.15205679999999999</v>
      </c>
      <c r="S4447">
        <v>3.0188600000000001</v>
      </c>
      <c r="T4447">
        <v>3.6630269999999999E-2</v>
      </c>
      <c r="U4447">
        <v>0.1109619</v>
      </c>
      <c r="V4447">
        <v>-0.18505630000000001</v>
      </c>
      <c r="W4447">
        <v>4.5451070000000003E-2</v>
      </c>
      <c r="X4447">
        <v>0.98167629999999995</v>
      </c>
      <c r="Y4447">
        <v>-6.9809850000000007E-2</v>
      </c>
      <c r="Z4447">
        <v>-8.0723190000000003E-4</v>
      </c>
      <c r="AA4447">
        <v>0.99756</v>
      </c>
      <c r="AB4447">
        <v>29</v>
      </c>
      <c r="AC4447">
        <v>113.8353</v>
      </c>
      <c r="AD4447">
        <v>1.38302399999999</v>
      </c>
      <c r="AE4447">
        <v>4.1922599999999903</v>
      </c>
      <c r="AF4447">
        <v>-7.9601418632121703</v>
      </c>
      <c r="AG4447">
        <v>1.38302399999999</v>
      </c>
      <c r="AH4447">
        <v>113.61717320210801</v>
      </c>
      <c r="AI4447">
        <v>89.304297196821196</v>
      </c>
      <c r="AJ4447">
        <v>94.007655488614802</v>
      </c>
      <c r="AK4447">
        <v>113.90407657456799</v>
      </c>
      <c r="AL4447">
        <v>87.394948059297704</v>
      </c>
      <c r="AM4447">
        <v>100.675576637001</v>
      </c>
      <c r="AN4447">
        <v>0.99999999595776201</v>
      </c>
    </row>
    <row r="4448" spans="1:40" x14ac:dyDescent="0.25">
      <c r="A4448" t="str">
        <f>"20190305135720752"</f>
        <v>20190305135720752</v>
      </c>
      <c r="B4448" t="str">
        <f>"1551765440746605"</f>
        <v>1551765440746605</v>
      </c>
      <c r="C4448" t="s">
        <v>40</v>
      </c>
      <c r="D4448">
        <v>4.1306510000000003</v>
      </c>
      <c r="E4448">
        <v>0.54347970000000001</v>
      </c>
      <c r="F4448" t="s">
        <v>69</v>
      </c>
      <c r="G4448">
        <v>-157.3501</v>
      </c>
      <c r="H4448">
        <v>2.5475340000000002</v>
      </c>
      <c r="I4448">
        <v>-58.251649999999998</v>
      </c>
      <c r="J4448">
        <v>-271.03680000000003</v>
      </c>
      <c r="K4448">
        <v>1.1126</v>
      </c>
      <c r="L4448">
        <v>-62.445619999999998</v>
      </c>
      <c r="M4448">
        <v>0.99947039999999998</v>
      </c>
      <c r="N4448">
        <v>-9.9563729999999993E-3</v>
      </c>
      <c r="O4448">
        <v>-3.0978889999999999E-2</v>
      </c>
      <c r="P4448">
        <v>0.98763330000000005</v>
      </c>
      <c r="Q4448">
        <v>3.7036689999999997E-2</v>
      </c>
      <c r="R4448">
        <v>0.15234389999999901</v>
      </c>
      <c r="S4448">
        <v>3.0188600000000001</v>
      </c>
      <c r="T4448">
        <v>3.8052559999999999E-2</v>
      </c>
      <c r="U4448">
        <v>0.11114499999999999</v>
      </c>
      <c r="V4448">
        <v>-0.18322569999999999</v>
      </c>
      <c r="W4448">
        <v>4.5395810000000002E-2</v>
      </c>
      <c r="X4448">
        <v>0.98202219999999996</v>
      </c>
      <c r="Y4448">
        <v>-6.7724759999999995E-2</v>
      </c>
      <c r="Z4448">
        <v>-7.880602E-4</v>
      </c>
      <c r="AA4448">
        <v>0.99770369999999997</v>
      </c>
      <c r="AB4448">
        <v>29</v>
      </c>
      <c r="AC4448">
        <v>113.6867</v>
      </c>
      <c r="AD4448">
        <v>1.4349339999999999</v>
      </c>
      <c r="AE4448">
        <v>4.1939699999999904</v>
      </c>
      <c r="AF4448">
        <v>-7.7127923204639899</v>
      </c>
      <c r="AG4448">
        <v>1.4349339999999999</v>
      </c>
      <c r="AH4448">
        <v>113.484143770114</v>
      </c>
      <c r="AI4448">
        <v>89.2772374672235</v>
      </c>
      <c r="AJ4448">
        <v>93.888049118806606</v>
      </c>
      <c r="AK4448">
        <v>113.754987091551</v>
      </c>
      <c r="AL4448">
        <v>87.398117555499397</v>
      </c>
      <c r="AM4448">
        <v>100.568724791099</v>
      </c>
      <c r="AN4448">
        <v>1.00000001899944</v>
      </c>
    </row>
    <row r="4449" spans="1:40" x14ac:dyDescent="0.25">
      <c r="A4449" t="str">
        <f>"20190305135720763"</f>
        <v>20190305135720763</v>
      </c>
      <c r="B4449" t="str">
        <f>"1551765440757341"</f>
        <v>1551765440757341</v>
      </c>
      <c r="C4449" t="s">
        <v>40</v>
      </c>
      <c r="D4449">
        <v>4.1346400000000001</v>
      </c>
      <c r="E4449">
        <v>0.54355750000000003</v>
      </c>
      <c r="F4449" t="s">
        <v>69</v>
      </c>
      <c r="G4449">
        <v>-157.3501</v>
      </c>
      <c r="H4449">
        <v>2.5420509999999998</v>
      </c>
      <c r="I4449">
        <v>-58.241759999999999</v>
      </c>
      <c r="J4449">
        <v>-270.8843</v>
      </c>
      <c r="K4449">
        <v>1.1125700000000001</v>
      </c>
      <c r="L4449">
        <v>-62.448149999999998</v>
      </c>
      <c r="M4449">
        <v>0.99953559999999997</v>
      </c>
      <c r="N4449">
        <v>-9.9461289999999997E-3</v>
      </c>
      <c r="O4449">
        <v>-2.8806379999999999E-2</v>
      </c>
      <c r="P4449">
        <v>0.98760409999999998</v>
      </c>
      <c r="Q4449">
        <v>3.7353310000000001E-2</v>
      </c>
      <c r="R4449">
        <v>0.1524557</v>
      </c>
      <c r="S4449">
        <v>3.0189509999999999</v>
      </c>
      <c r="T4449">
        <v>3.7958499999999999E-2</v>
      </c>
      <c r="U4449">
        <v>0.1116333</v>
      </c>
      <c r="V4449">
        <v>-0.18120049999999999</v>
      </c>
      <c r="W4449">
        <v>4.5734009999999999E-2</v>
      </c>
      <c r="X4449">
        <v>0.98238219999999998</v>
      </c>
      <c r="Y4449">
        <v>-6.571668E-2</v>
      </c>
      <c r="Z4449">
        <v>-7.3450759999999903E-4</v>
      </c>
      <c r="AA4449">
        <v>0.99783809999999995</v>
      </c>
      <c r="AB4449">
        <v>29</v>
      </c>
      <c r="AC4449">
        <v>113.5342</v>
      </c>
      <c r="AD4449">
        <v>1.42948099999999</v>
      </c>
      <c r="AE4449">
        <v>4.2063899999999901</v>
      </c>
      <c r="AF4449">
        <v>-7.4741318358027398</v>
      </c>
      <c r="AG4449">
        <v>1.42948099999999</v>
      </c>
      <c r="AH4449">
        <v>113.347958862026</v>
      </c>
      <c r="AI4449">
        <v>89.279021568004197</v>
      </c>
      <c r="AJ4449">
        <v>93.772605741329201</v>
      </c>
      <c r="AK4449">
        <v>113.60310665125201</v>
      </c>
      <c r="AL4449">
        <v>87.378719936756696</v>
      </c>
      <c r="AM4449">
        <v>100.450751122311</v>
      </c>
      <c r="AN4449">
        <v>1.0000000038738801</v>
      </c>
    </row>
    <row r="4450" spans="1:40" x14ac:dyDescent="0.25">
      <c r="A4450" t="str">
        <f>"20190305135720774"</f>
        <v>20190305135720774</v>
      </c>
      <c r="B4450" t="str">
        <f>"1551765440767102"</f>
        <v>1551765440767102</v>
      </c>
      <c r="C4450" t="s">
        <v>40</v>
      </c>
      <c r="D4450">
        <v>4.1508570000000002</v>
      </c>
      <c r="E4450">
        <v>0.54355750000000003</v>
      </c>
      <c r="F4450" t="s">
        <v>69</v>
      </c>
      <c r="G4450">
        <v>-157.3501</v>
      </c>
      <c r="H4450">
        <v>2.600565</v>
      </c>
      <c r="I4450">
        <v>-58.260179999999998</v>
      </c>
      <c r="J4450">
        <v>-270.7398</v>
      </c>
      <c r="K4450">
        <v>1.1125400000000001</v>
      </c>
      <c r="L4450">
        <v>-62.450319999999998</v>
      </c>
      <c r="M4450">
        <v>0.99959229999999999</v>
      </c>
      <c r="N4450">
        <v>-9.9370199999999995E-3</v>
      </c>
      <c r="O4450">
        <v>-2.6766069999999999E-2</v>
      </c>
      <c r="P4450">
        <v>0.98756319999999997</v>
      </c>
      <c r="Q4450">
        <v>3.7542199999999998E-2</v>
      </c>
      <c r="R4450">
        <v>0.15267410000000001</v>
      </c>
      <c r="S4450">
        <v>3.0188899999999999</v>
      </c>
      <c r="T4450">
        <v>3.956544E-2</v>
      </c>
      <c r="U4450">
        <v>0.1113586</v>
      </c>
      <c r="V4450">
        <v>-0.1794095</v>
      </c>
      <c r="W4450">
        <v>4.5943119999999997E-2</v>
      </c>
      <c r="X4450">
        <v>0.98270109999999999</v>
      </c>
      <c r="Y4450">
        <v>-6.3589779999999999E-2</v>
      </c>
      <c r="Z4450">
        <v>-7.1701239999999997E-4</v>
      </c>
      <c r="AA4450">
        <v>0.99797590000000003</v>
      </c>
      <c r="AB4450">
        <v>29</v>
      </c>
      <c r="AC4450">
        <v>113.3897</v>
      </c>
      <c r="AD4450">
        <v>1.4880249999999999</v>
      </c>
      <c r="AE4450">
        <v>4.1901399999999898</v>
      </c>
      <c r="AF4450">
        <v>-7.2225430914037601</v>
      </c>
      <c r="AG4450">
        <v>1.4880249999999999</v>
      </c>
      <c r="AH4450">
        <v>113.21744086469199</v>
      </c>
      <c r="AI4450">
        <v>89.248528161965794</v>
      </c>
      <c r="AJ4450">
        <v>93.650155270595803</v>
      </c>
      <c r="AK4450">
        <v>113.457341159829</v>
      </c>
      <c r="AL4450">
        <v>87.366726187057793</v>
      </c>
      <c r="AM4450">
        <v>100.34641214188299</v>
      </c>
      <c r="AN4450">
        <v>0.99999999545339702</v>
      </c>
    </row>
    <row r="4451" spans="1:40" x14ac:dyDescent="0.25">
      <c r="A4451" t="str">
        <f>"20190305135720786"</f>
        <v>20190305135720786</v>
      </c>
      <c r="B4451" t="str">
        <f>"1551765440776862"</f>
        <v>1551765440776862</v>
      </c>
      <c r="C4451" t="s">
        <v>40</v>
      </c>
      <c r="D4451">
        <v>4.1632170000000004</v>
      </c>
      <c r="E4451">
        <v>0.54607649999999996</v>
      </c>
      <c r="F4451" t="s">
        <v>69</v>
      </c>
      <c r="G4451">
        <v>-157.3501</v>
      </c>
      <c r="H4451">
        <v>2.6124200000000002</v>
      </c>
      <c r="I4451">
        <v>-58.241390000000003</v>
      </c>
      <c r="J4451">
        <v>-270.589</v>
      </c>
      <c r="K4451">
        <v>1.1125069999999999</v>
      </c>
      <c r="L4451">
        <v>-62.452330000000003</v>
      </c>
      <c r="M4451">
        <v>0.9996467</v>
      </c>
      <c r="N4451">
        <v>-9.9281860000000003E-3</v>
      </c>
      <c r="O4451">
        <v>-2.465854E-2</v>
      </c>
      <c r="P4451">
        <v>0.98756529999999998</v>
      </c>
      <c r="Q4451">
        <v>3.7530470000000003E-2</v>
      </c>
      <c r="R4451">
        <v>0.15266450000000001</v>
      </c>
      <c r="S4451">
        <v>3.0189509999999999</v>
      </c>
      <c r="T4451">
        <v>3.9933089999999997E-2</v>
      </c>
      <c r="U4451">
        <v>0.11206049999999999</v>
      </c>
      <c r="V4451">
        <v>-0.17732390000000001</v>
      </c>
      <c r="W4451">
        <v>4.5955509999999998E-2</v>
      </c>
      <c r="X4451">
        <v>0.98307900000000004</v>
      </c>
      <c r="Y4451">
        <v>-6.1717050000000002E-2</v>
      </c>
      <c r="Z4451">
        <v>-6.7230049999999998E-4</v>
      </c>
      <c r="AA4451">
        <v>0.99809349999999997</v>
      </c>
      <c r="AB4451">
        <v>29</v>
      </c>
      <c r="AC4451">
        <v>113.2389</v>
      </c>
      <c r="AD4451">
        <v>1.4999130000000001</v>
      </c>
      <c r="AE4451">
        <v>4.2109399999999999</v>
      </c>
      <c r="AF4451">
        <v>-7.0008762704177601</v>
      </c>
      <c r="AG4451">
        <v>1.4999130000000001</v>
      </c>
      <c r="AH4451">
        <v>113.080811478028</v>
      </c>
      <c r="AI4451">
        <v>89.241520751141394</v>
      </c>
      <c r="AJ4451">
        <v>93.542681988170401</v>
      </c>
      <c r="AK4451">
        <v>113.307245717521</v>
      </c>
      <c r="AL4451">
        <v>87.366015546678597</v>
      </c>
      <c r="AM4451">
        <v>100.224841858811</v>
      </c>
      <c r="AN4451">
        <v>0.99999999732578504</v>
      </c>
    </row>
    <row r="4452" spans="1:40" x14ac:dyDescent="0.25">
      <c r="A4452" t="str">
        <f>"20190305135720797"</f>
        <v>20190305135720797</v>
      </c>
      <c r="B4452" t="str">
        <f>"1551765440786722"</f>
        <v>1551765440786722</v>
      </c>
      <c r="C4452" t="s">
        <v>40</v>
      </c>
      <c r="D4452">
        <v>4.185155</v>
      </c>
      <c r="E4452">
        <v>0.54630889999999999</v>
      </c>
      <c r="F4452" t="s">
        <v>69</v>
      </c>
      <c r="G4452">
        <v>-157.3501</v>
      </c>
      <c r="H4452">
        <v>4.1433540000000004</v>
      </c>
      <c r="I4452">
        <v>-58.945320000000002</v>
      </c>
      <c r="J4452">
        <v>-270.45729999999998</v>
      </c>
      <c r="K4452">
        <v>1.112473</v>
      </c>
      <c r="L4452">
        <v>-62.453800000000001</v>
      </c>
      <c r="M4452">
        <v>0.99968970000000001</v>
      </c>
      <c r="N4452">
        <v>-9.9211590000000006E-3</v>
      </c>
      <c r="O4452">
        <v>-2.2850100000000002E-2</v>
      </c>
      <c r="P4452">
        <v>0.98761149999999998</v>
      </c>
      <c r="Q4452">
        <v>3.7111249999999998E-2</v>
      </c>
      <c r="R4452">
        <v>0.1524683</v>
      </c>
      <c r="S4452">
        <v>3.0202330000000002</v>
      </c>
      <c r="T4452">
        <v>8.0836179999999994E-2</v>
      </c>
      <c r="U4452">
        <v>9.3536380000000002E-2</v>
      </c>
      <c r="V4452">
        <v>-0.17534240000000001</v>
      </c>
      <c r="W4452">
        <v>4.5559669999999997E-2</v>
      </c>
      <c r="X4452">
        <v>0.98345280000000002</v>
      </c>
      <c r="Y4452">
        <v>-5.375982E-2</v>
      </c>
      <c r="Z4452">
        <v>-1.290284E-3</v>
      </c>
      <c r="AA4452">
        <v>0.99855300000000002</v>
      </c>
      <c r="AB4452">
        <v>29</v>
      </c>
      <c r="AC4452">
        <v>113.107199999999</v>
      </c>
      <c r="AD4452">
        <v>3.0308809999999999</v>
      </c>
      <c r="AE4452">
        <v>3.50848</v>
      </c>
      <c r="AF4452">
        <v>-6.0878346283348304</v>
      </c>
      <c r="AG4452">
        <v>3.0308809999999999</v>
      </c>
      <c r="AH4452">
        <v>112.91648978230501</v>
      </c>
      <c r="AI4452">
        <v>88.464676486803995</v>
      </c>
      <c r="AJ4452">
        <v>93.086084696554195</v>
      </c>
      <c r="AK4452">
        <v>113.12109279376401</v>
      </c>
      <c r="AL4452">
        <v>87.388719361859302</v>
      </c>
      <c r="AM4452">
        <v>100.10919134054301</v>
      </c>
      <c r="AN4452">
        <v>1.0000000252980501</v>
      </c>
    </row>
    <row r="4453" spans="1:40" x14ac:dyDescent="0.25">
      <c r="A4453" t="str">
        <f>"20190305135720809"</f>
        <v>20190305135720809</v>
      </c>
      <c r="B4453" t="str">
        <f>"1551765440797359"</f>
        <v>1551765440797359</v>
      </c>
      <c r="C4453" t="s">
        <v>40</v>
      </c>
      <c r="D4453">
        <v>4.1831339999999999</v>
      </c>
      <c r="E4453">
        <v>0.54629539999999999</v>
      </c>
      <c r="F4453" t="s">
        <v>69</v>
      </c>
      <c r="G4453">
        <v>-157.3501</v>
      </c>
      <c r="H4453">
        <v>3.7712249999999998</v>
      </c>
      <c r="I4453">
        <v>-59.0488</v>
      </c>
      <c r="J4453">
        <v>-270.30200000000002</v>
      </c>
      <c r="K4453">
        <v>1.1124320000000001</v>
      </c>
      <c r="L4453">
        <v>-62.455319999999901</v>
      </c>
      <c r="M4453">
        <v>0.99973590000000001</v>
      </c>
      <c r="N4453">
        <v>-9.9132920000000006E-3</v>
      </c>
      <c r="O4453">
        <v>-2.0731860000000001E-2</v>
      </c>
      <c r="P4453">
        <v>0.98764490000000005</v>
      </c>
      <c r="Q4453">
        <v>3.6396600000000001E-2</v>
      </c>
      <c r="R4453">
        <v>0.1524239</v>
      </c>
      <c r="S4453">
        <v>3.0209350000000001</v>
      </c>
      <c r="T4453">
        <v>7.1010950000000003E-2</v>
      </c>
      <c r="U4453">
        <v>9.0942380000000003E-2</v>
      </c>
      <c r="V4453">
        <v>-0.17320469999999999</v>
      </c>
      <c r="W4453">
        <v>4.4871349999999997E-2</v>
      </c>
      <c r="X4453">
        <v>0.98386309999999999</v>
      </c>
      <c r="Y4453">
        <v>-5.0787770000000003E-2</v>
      </c>
      <c r="Z4453">
        <v>-1.0374749999999999E-3</v>
      </c>
      <c r="AA4453">
        <v>0.99870890000000001</v>
      </c>
      <c r="AB4453">
        <v>29</v>
      </c>
      <c r="AC4453">
        <v>112.95189999999999</v>
      </c>
      <c r="AD4453">
        <v>2.6587930000000002</v>
      </c>
      <c r="AE4453">
        <v>3.4065199999999898</v>
      </c>
      <c r="AF4453">
        <v>-5.7444258269170296</v>
      </c>
      <c r="AG4453">
        <v>2.6587930000000002</v>
      </c>
      <c r="AH4453">
        <v>112.794552329439</v>
      </c>
      <c r="AI4453">
        <v>88.651421155693996</v>
      </c>
      <c r="AJ4453">
        <v>92.915453243266995</v>
      </c>
      <c r="AK4453">
        <v>112.972025933398</v>
      </c>
      <c r="AL4453">
        <v>87.428197382250602</v>
      </c>
      <c r="AM4453">
        <v>99.984359516286403</v>
      </c>
      <c r="AN4453">
        <v>0.99999995284725995</v>
      </c>
    </row>
    <row r="4454" spans="1:40" x14ac:dyDescent="0.25">
      <c r="A4454" t="str">
        <f>"20190305135720821"</f>
        <v>20190305135720821</v>
      </c>
      <c r="B4454" t="str">
        <f>"1551765440816879"</f>
        <v>1551765440816879</v>
      </c>
      <c r="C4454" t="s">
        <v>40</v>
      </c>
      <c r="D4454">
        <v>4.168558</v>
      </c>
      <c r="E4454">
        <v>0.54563739999999905</v>
      </c>
      <c r="F4454" t="s">
        <v>69</v>
      </c>
      <c r="G4454">
        <v>-157.3501</v>
      </c>
      <c r="H4454">
        <v>3.610633</v>
      </c>
      <c r="I4454">
        <v>-59.05856</v>
      </c>
      <c r="J4454">
        <v>-270.14710000000002</v>
      </c>
      <c r="K4454">
        <v>1.1123860000000001</v>
      </c>
      <c r="L4454">
        <v>-62.456420000000001</v>
      </c>
      <c r="M4454">
        <v>0.99977660000000002</v>
      </c>
      <c r="N4454">
        <v>-9.9059419999999992E-3</v>
      </c>
      <c r="O4454">
        <v>-1.867574E-2</v>
      </c>
      <c r="P4454">
        <v>0.98765849999999999</v>
      </c>
      <c r="Q4454">
        <v>3.5591190000000002E-2</v>
      </c>
      <c r="R4454">
        <v>0.15252589999999999</v>
      </c>
      <c r="S4454">
        <v>3.0210569999999999</v>
      </c>
      <c r="T4454">
        <v>6.6817280000000007E-2</v>
      </c>
      <c r="U4454">
        <v>9.0850829999999994E-2</v>
      </c>
      <c r="V4454">
        <v>-0.17127229999999999</v>
      </c>
      <c r="W4454">
        <v>4.4093439999999998E-2</v>
      </c>
      <c r="X4454">
        <v>0.98423649999999996</v>
      </c>
      <c r="Y4454">
        <v>-4.8705789999999999E-2</v>
      </c>
      <c r="Z4454">
        <v>-8.9496300000000003E-4</v>
      </c>
      <c r="AA4454">
        <v>0.99881279999999995</v>
      </c>
      <c r="AB4454">
        <v>29</v>
      </c>
      <c r="AC4454">
        <v>112.797</v>
      </c>
      <c r="AD4454">
        <v>2.4982470000000001</v>
      </c>
      <c r="AE4454">
        <v>3.3978599999999899</v>
      </c>
      <c r="AF4454">
        <v>-5.5012418309308</v>
      </c>
      <c r="AG4454">
        <v>2.4982470000000001</v>
      </c>
      <c r="AH4454">
        <v>112.65865121768501</v>
      </c>
      <c r="AI4454">
        <v>88.731164587799896</v>
      </c>
      <c r="AJ4454">
        <v>92.795593293817205</v>
      </c>
      <c r="AK4454">
        <v>112.82055040613599</v>
      </c>
      <c r="AL4454">
        <v>87.472812525044205</v>
      </c>
      <c r="AM4454">
        <v>99.871498804066704</v>
      </c>
      <c r="AN4454">
        <v>0.99999996006528502</v>
      </c>
    </row>
    <row r="4455" spans="1:40" x14ac:dyDescent="0.25">
      <c r="A4455" t="str">
        <f>"20190305135720834"</f>
        <v>20190305135720834</v>
      </c>
      <c r="B4455" t="str">
        <f>"1551765440826638"</f>
        <v>1551765440826638</v>
      </c>
      <c r="C4455" t="s">
        <v>40</v>
      </c>
      <c r="D4455">
        <v>4.1784059999999998</v>
      </c>
      <c r="E4455">
        <v>0.54525019999999902</v>
      </c>
      <c r="F4455" t="s">
        <v>69</v>
      </c>
      <c r="G4455">
        <v>-157.3501</v>
      </c>
      <c r="H4455">
        <v>3.4836049999999998</v>
      </c>
      <c r="I4455">
        <v>-58.859459999999999</v>
      </c>
      <c r="J4455">
        <v>-269.98349999999999</v>
      </c>
      <c r="K4455">
        <v>1.112336</v>
      </c>
      <c r="L4455">
        <v>-62.4574</v>
      </c>
      <c r="M4455">
        <v>0.99981430000000004</v>
      </c>
      <c r="N4455">
        <v>-9.8984480000000007E-3</v>
      </c>
      <c r="O4455">
        <v>-1.653311E-2</v>
      </c>
      <c r="P4455">
        <v>0.98768659999999997</v>
      </c>
      <c r="Q4455">
        <v>3.4991099999999997E-2</v>
      </c>
      <c r="R4455">
        <v>0.15248299999999901</v>
      </c>
      <c r="S4455">
        <v>3.0202939999999998</v>
      </c>
      <c r="T4455">
        <v>6.3492060000000003E-2</v>
      </c>
      <c r="U4455">
        <v>9.6313480000000007E-2</v>
      </c>
      <c r="V4455">
        <v>-0.16911019999999999</v>
      </c>
      <c r="W4455">
        <v>4.3523689999999997E-2</v>
      </c>
      <c r="X4455">
        <v>0.9846357</v>
      </c>
      <c r="Y4455">
        <v>-4.8380190000000003E-2</v>
      </c>
      <c r="Z4455">
        <v>-7.7983220000000001E-4</v>
      </c>
      <c r="AA4455">
        <v>0.99882870000000001</v>
      </c>
      <c r="AB4455">
        <v>29</v>
      </c>
      <c r="AC4455">
        <v>112.63339999999999</v>
      </c>
      <c r="AD4455">
        <v>2.3712689999999998</v>
      </c>
      <c r="AE4455">
        <v>3.5979399999999999</v>
      </c>
      <c r="AF4455">
        <v>-5.4573034822995696</v>
      </c>
      <c r="AG4455">
        <v>2.3712689999999998</v>
      </c>
      <c r="AH4455">
        <v>112.50869938738001</v>
      </c>
      <c r="AI4455">
        <v>88.7940122226276</v>
      </c>
      <c r="AJ4455">
        <v>92.776990402212803</v>
      </c>
      <c r="AK4455">
        <v>112.665933253172</v>
      </c>
      <c r="AL4455">
        <v>87.505488308548905</v>
      </c>
      <c r="AM4455">
        <v>99.745412849853395</v>
      </c>
      <c r="AN4455">
        <v>1.0000000165248699</v>
      </c>
    </row>
    <row r="4456" spans="1:40" x14ac:dyDescent="0.25">
      <c r="A4456" t="str">
        <f>"20190305135720846"</f>
        <v>20190305135720846</v>
      </c>
      <c r="B4456" t="str">
        <f>"1551765440837374"</f>
        <v>1551765440837374</v>
      </c>
      <c r="C4456" t="s">
        <v>40</v>
      </c>
      <c r="D4456">
        <v>4.1897149999999996</v>
      </c>
      <c r="E4456">
        <v>0.54489049999999895</v>
      </c>
      <c r="F4456" t="s">
        <v>69</v>
      </c>
      <c r="G4456">
        <v>-157.3501</v>
      </c>
      <c r="H4456">
        <v>3.3640599999999998</v>
      </c>
      <c r="I4456">
        <v>-58.758299999999998</v>
      </c>
      <c r="J4456">
        <v>-269.82229999999998</v>
      </c>
      <c r="K4456">
        <v>1.1122799999999999</v>
      </c>
      <c r="L4456">
        <v>-62.458039999999997</v>
      </c>
      <c r="M4456">
        <v>0.99984640000000002</v>
      </c>
      <c r="N4456">
        <v>-9.8913600000000001E-3</v>
      </c>
      <c r="O4456">
        <v>-1.446893E-2</v>
      </c>
      <c r="P4456">
        <v>0.9877264</v>
      </c>
      <c r="Q4456">
        <v>3.3987580000000003E-2</v>
      </c>
      <c r="R4456">
        <v>0.15245129999999901</v>
      </c>
      <c r="S4456">
        <v>3.0199889999999998</v>
      </c>
      <c r="T4456">
        <v>6.0373900000000001E-2</v>
      </c>
      <c r="U4456">
        <v>9.9182129999999993E-2</v>
      </c>
      <c r="V4456">
        <v>-0.16703270000000001</v>
      </c>
      <c r="W4456">
        <v>4.2551369999999998E-2</v>
      </c>
      <c r="X4456">
        <v>0.98503269999999998</v>
      </c>
      <c r="Y4456">
        <v>-4.727137E-2</v>
      </c>
      <c r="Z4456">
        <v>-6.7068080000000005E-4</v>
      </c>
      <c r="AA4456">
        <v>0.99888189999999999</v>
      </c>
      <c r="AB4456">
        <v>29</v>
      </c>
      <c r="AC4456">
        <v>112.4722</v>
      </c>
      <c r="AD4456">
        <v>2.2517800000000001</v>
      </c>
      <c r="AE4456">
        <v>3.6997399999999998</v>
      </c>
      <c r="AF4456">
        <v>-5.3246526852607801</v>
      </c>
      <c r="AG4456">
        <v>2.2517800000000001</v>
      </c>
      <c r="AH4456">
        <v>112.36190183408</v>
      </c>
      <c r="AI4456">
        <v>88.853208630380195</v>
      </c>
      <c r="AJ4456">
        <v>92.713126598211602</v>
      </c>
      <c r="AK4456">
        <v>112.51053027676301</v>
      </c>
      <c r="AL4456">
        <v>87.561249720986098</v>
      </c>
      <c r="AM4456">
        <v>99.624138310932295</v>
      </c>
      <c r="AN4456">
        <v>0.999999981013728</v>
      </c>
    </row>
    <row r="4457" spans="1:40" x14ac:dyDescent="0.25">
      <c r="A4457" t="str">
        <f>"20190305135720855"</f>
        <v>20190305135720855</v>
      </c>
      <c r="B4457" t="str">
        <f>"1551765440847134"</f>
        <v>1551765440847134</v>
      </c>
      <c r="C4457" t="s">
        <v>40</v>
      </c>
      <c r="D4457">
        <v>4.1544889999999999</v>
      </c>
      <c r="E4457">
        <v>0.54458300000000004</v>
      </c>
      <c r="F4457" t="s">
        <v>69</v>
      </c>
      <c r="G4457">
        <v>-157.3501</v>
      </c>
      <c r="H4457">
        <v>3.231395</v>
      </c>
      <c r="I4457">
        <v>-58.661450000000002</v>
      </c>
      <c r="J4457">
        <v>-269.69499999999999</v>
      </c>
      <c r="K4457">
        <v>1.1122289999999999</v>
      </c>
      <c r="L4457">
        <v>-62.45825</v>
      </c>
      <c r="M4457">
        <v>0.99986819999999998</v>
      </c>
      <c r="N4457">
        <v>-9.8844569999999993E-3</v>
      </c>
      <c r="O4457">
        <v>-1.28787E-2</v>
      </c>
      <c r="P4457">
        <v>0.98782910000000002</v>
      </c>
      <c r="Q4457">
        <v>3.3032499999999999E-2</v>
      </c>
      <c r="R4457">
        <v>0.15199509999999999</v>
      </c>
      <c r="S4457">
        <v>3.0195919999999998</v>
      </c>
      <c r="T4457">
        <v>5.6892280000000003E-2</v>
      </c>
      <c r="U4457">
        <v>0.1019287</v>
      </c>
      <c r="V4457">
        <v>-0.164999799999999</v>
      </c>
      <c r="W4457">
        <v>4.1624269999999998E-2</v>
      </c>
      <c r="X4457">
        <v>0.98541489999999998</v>
      </c>
      <c r="Y4457">
        <v>-4.659655E-2</v>
      </c>
      <c r="Z4457">
        <v>-5.7823849999999997E-4</v>
      </c>
      <c r="AA4457">
        <v>0.99891359999999996</v>
      </c>
      <c r="AB4457">
        <v>29</v>
      </c>
      <c r="AC4457">
        <v>112.3449</v>
      </c>
      <c r="AD4457">
        <v>2.1191659999999999</v>
      </c>
      <c r="AE4457">
        <v>3.79679999999999</v>
      </c>
      <c r="AF4457">
        <v>-5.2415491595580397</v>
      </c>
      <c r="AG4457">
        <v>2.1191659999999999</v>
      </c>
      <c r="AH4457">
        <v>112.246788219482</v>
      </c>
      <c r="AI4457">
        <v>88.919588454032393</v>
      </c>
      <c r="AJ4457">
        <v>92.673578866091106</v>
      </c>
      <c r="AK4457">
        <v>112.38908384588299</v>
      </c>
      <c r="AL4457">
        <v>87.614415842572896</v>
      </c>
      <c r="AM4457">
        <v>99.505537105701805</v>
      </c>
      <c r="AN4457">
        <v>1.00000001949754</v>
      </c>
    </row>
    <row r="4458" spans="1:40" x14ac:dyDescent="0.25">
      <c r="A4458" t="str">
        <f>"20190305135720866"</f>
        <v>20190305135720866</v>
      </c>
      <c r="B4458" t="str">
        <f>"1551765440856894"</f>
        <v>1551765440856894</v>
      </c>
      <c r="C4458" t="s">
        <v>40</v>
      </c>
      <c r="D4458">
        <v>4.1418119999999998</v>
      </c>
      <c r="E4458">
        <v>0.54441479999999998</v>
      </c>
      <c r="F4458" t="s">
        <v>69</v>
      </c>
      <c r="G4458">
        <v>-157.3501</v>
      </c>
      <c r="H4458">
        <v>3.1274769999999998</v>
      </c>
      <c r="I4458">
        <v>-58.624690000000001</v>
      </c>
      <c r="J4458">
        <v>-269.5582</v>
      </c>
      <c r="K4458">
        <v>1.112171</v>
      </c>
      <c r="L4458">
        <v>-62.458399999999997</v>
      </c>
      <c r="M4458">
        <v>0.99988860000000002</v>
      </c>
      <c r="N4458">
        <v>-9.8764630000000003E-3</v>
      </c>
      <c r="O4458">
        <v>-1.118765E-2</v>
      </c>
      <c r="P4458">
        <v>0.98791899999999999</v>
      </c>
      <c r="Q4458">
        <v>3.170166E-2</v>
      </c>
      <c r="R4458">
        <v>0.15169440000000001</v>
      </c>
      <c r="S4458">
        <v>3.0192869999999998</v>
      </c>
      <c r="T4458">
        <v>5.4159520000000003E-2</v>
      </c>
      <c r="U4458">
        <v>0.1030273</v>
      </c>
      <c r="V4458">
        <v>-0.16301869999999999</v>
      </c>
      <c r="W4458">
        <v>4.0321679999999999E-2</v>
      </c>
      <c r="X4458">
        <v>0.98579870000000003</v>
      </c>
      <c r="Y4458">
        <v>-4.5275200000000002E-2</v>
      </c>
      <c r="Z4458">
        <v>-4.9332339999999997E-4</v>
      </c>
      <c r="AA4458">
        <v>0.99897440000000004</v>
      </c>
      <c r="AB4458">
        <v>29</v>
      </c>
      <c r="AC4458">
        <v>112.2081</v>
      </c>
      <c r="AD4458">
        <v>2.0153059999999998</v>
      </c>
      <c r="AE4458">
        <v>3.8337099999999902</v>
      </c>
      <c r="AF4458">
        <v>-5.0872371661467097</v>
      </c>
      <c r="AG4458">
        <v>2.0153059999999998</v>
      </c>
      <c r="AH4458">
        <v>112.122058773349</v>
      </c>
      <c r="AI4458">
        <v>88.971322289072901</v>
      </c>
      <c r="AJ4458">
        <v>92.597860337820805</v>
      </c>
      <c r="AK4458">
        <v>112.255500995864</v>
      </c>
      <c r="AL4458">
        <v>87.6891114491862</v>
      </c>
      <c r="AM4458">
        <v>99.389861287197903</v>
      </c>
      <c r="AN4458">
        <v>1.0000000056747</v>
      </c>
    </row>
    <row r="4459" spans="1:40" x14ac:dyDescent="0.25">
      <c r="A4459" t="str">
        <f>"20190305135720877"</f>
        <v>20190305135720877</v>
      </c>
      <c r="B4459" t="str">
        <f>"1551765440866655"</f>
        <v>1551765440866655</v>
      </c>
      <c r="C4459" t="s">
        <v>40</v>
      </c>
      <c r="D4459">
        <v>4.2716370000000001</v>
      </c>
      <c r="E4459">
        <v>0.54441479999999998</v>
      </c>
      <c r="F4459" t="s">
        <v>69</v>
      </c>
      <c r="G4459">
        <v>-157.3501</v>
      </c>
      <c r="H4459">
        <v>2.9639310000000001</v>
      </c>
      <c r="I4459">
        <v>-58.614649999999997</v>
      </c>
      <c r="J4459">
        <v>-269.43079999999998</v>
      </c>
      <c r="K4459">
        <v>1.112109</v>
      </c>
      <c r="L4459">
        <v>-62.458280000000002</v>
      </c>
      <c r="M4459">
        <v>0.99990469999999998</v>
      </c>
      <c r="N4459">
        <v>-9.8679579999999996E-3</v>
      </c>
      <c r="O4459">
        <v>-9.6672080000000001E-3</v>
      </c>
      <c r="P4459">
        <v>0.98805509999999996</v>
      </c>
      <c r="Q4459">
        <v>3.0333200000000001E-2</v>
      </c>
      <c r="R4459">
        <v>0.151088</v>
      </c>
      <c r="S4459">
        <v>3.019196</v>
      </c>
      <c r="T4459">
        <v>4.982495E-2</v>
      </c>
      <c r="U4459">
        <v>0.1034241</v>
      </c>
      <c r="V4459">
        <v>-0.16089979999999901</v>
      </c>
      <c r="W4459">
        <v>3.8982349999999999E-2</v>
      </c>
      <c r="X4459">
        <v>0.98620059999999998</v>
      </c>
      <c r="Y4459">
        <v>-4.3890079999999998E-2</v>
      </c>
      <c r="Z4459">
        <v>-4.002338E-4</v>
      </c>
      <c r="AA4459">
        <v>0.99903629999999999</v>
      </c>
      <c r="AB4459">
        <v>29</v>
      </c>
      <c r="AC4459">
        <v>112.080699999999</v>
      </c>
      <c r="AD4459">
        <v>1.8518220000000001</v>
      </c>
      <c r="AE4459">
        <v>3.8436300000000001</v>
      </c>
      <c r="AF4459">
        <v>-4.92566739489539</v>
      </c>
      <c r="AG4459">
        <v>1.8518220000000001</v>
      </c>
      <c r="AH4459">
        <v>112.007762764053</v>
      </c>
      <c r="AI4459">
        <v>89.053730756150699</v>
      </c>
      <c r="AJ4459">
        <v>92.518024005750206</v>
      </c>
      <c r="AK4459">
        <v>112.131308577993</v>
      </c>
      <c r="AL4459">
        <v>87.765909788146004</v>
      </c>
      <c r="AM4459">
        <v>99.266232965296695</v>
      </c>
      <c r="AN4459">
        <v>0.99999999634596104</v>
      </c>
    </row>
    <row r="4460" spans="1:40" x14ac:dyDescent="0.25">
      <c r="A4460" t="str">
        <f>"20190305135720888"</f>
        <v>20190305135720888</v>
      </c>
      <c r="B4460" t="str">
        <f>"1551765440877391"</f>
        <v>1551765440877391</v>
      </c>
      <c r="C4460" t="s">
        <v>40</v>
      </c>
      <c r="D4460">
        <v>4.1916840000000004</v>
      </c>
      <c r="E4460">
        <v>0.54472959999999904</v>
      </c>
      <c r="F4460" t="s">
        <v>69</v>
      </c>
      <c r="G4460">
        <v>-157.3501</v>
      </c>
      <c r="H4460">
        <v>2.8021950000000002</v>
      </c>
      <c r="I4460">
        <v>-58.687060000000002</v>
      </c>
      <c r="J4460">
        <v>-269.28629999999998</v>
      </c>
      <c r="K4460">
        <v>1.112034</v>
      </c>
      <c r="L4460">
        <v>-62.4580699999999</v>
      </c>
      <c r="M4460">
        <v>0.99991969999999997</v>
      </c>
      <c r="N4460">
        <v>-9.8580179999999996E-3</v>
      </c>
      <c r="O4460">
        <v>-7.9639410000000004E-3</v>
      </c>
      <c r="P4460">
        <v>0.98814290000000005</v>
      </c>
      <c r="Q4460">
        <v>2.8595800000000001E-2</v>
      </c>
      <c r="R4460">
        <v>0.15085019999999999</v>
      </c>
      <c r="S4460">
        <v>3.0193479999999999</v>
      </c>
      <c r="T4460">
        <v>4.5528770000000003E-2</v>
      </c>
      <c r="U4460">
        <v>0.101593</v>
      </c>
      <c r="V4460">
        <v>-0.15896489999999999</v>
      </c>
      <c r="W4460">
        <v>3.7275080000000002E-2</v>
      </c>
      <c r="X4460">
        <v>0.98658029999999997</v>
      </c>
      <c r="Y4460">
        <v>-4.1582960000000002E-2</v>
      </c>
      <c r="Z4460">
        <v>-3.0690820000000001E-4</v>
      </c>
      <c r="AA4460">
        <v>0.999135</v>
      </c>
      <c r="AB4460">
        <v>29</v>
      </c>
      <c r="AC4460">
        <v>111.9362</v>
      </c>
      <c r="AD4460">
        <v>1.690161</v>
      </c>
      <c r="AE4460">
        <v>3.7710099999999902</v>
      </c>
      <c r="AF4460">
        <v>-4.6613254772134196</v>
      </c>
      <c r="AG4460">
        <v>1.690161</v>
      </c>
      <c r="AH4460">
        <v>111.877138389805</v>
      </c>
      <c r="AI4460">
        <v>89.135231720275002</v>
      </c>
      <c r="AJ4460">
        <v>92.385830556932703</v>
      </c>
      <c r="AK4460">
        <v>111.986957694645</v>
      </c>
      <c r="AL4460">
        <v>87.863800312809403</v>
      </c>
      <c r="AM4460">
        <v>99.153236343804394</v>
      </c>
      <c r="AN4460">
        <v>0.99999997968455301</v>
      </c>
    </row>
    <row r="4461" spans="1:40" x14ac:dyDescent="0.25">
      <c r="A4461" t="str">
        <f>"20190305135720900"</f>
        <v>20190305135720900</v>
      </c>
      <c r="B4461" t="str">
        <f>"1551765440896910"</f>
        <v>1551765440896910</v>
      </c>
      <c r="C4461" t="s">
        <v>40</v>
      </c>
      <c r="D4461">
        <v>4.3473990000000002</v>
      </c>
      <c r="E4461">
        <v>0.54336519999999899</v>
      </c>
      <c r="F4461" t="s">
        <v>69</v>
      </c>
      <c r="G4461">
        <v>-157.3501</v>
      </c>
      <c r="H4461">
        <v>2.5064540000000002</v>
      </c>
      <c r="I4461">
        <v>-58.815689999999996</v>
      </c>
      <c r="J4461">
        <v>-269.1266</v>
      </c>
      <c r="K4461">
        <v>1.111944</v>
      </c>
      <c r="L4461">
        <v>-62.457459999999998</v>
      </c>
      <c r="M4461">
        <v>0.9999325</v>
      </c>
      <c r="N4461">
        <v>-9.8465489999999996E-3</v>
      </c>
      <c r="O4461">
        <v>-6.1767139999999998E-3</v>
      </c>
      <c r="P4461">
        <v>0.98817330000000003</v>
      </c>
      <c r="Q4461">
        <v>2.699903E-2</v>
      </c>
      <c r="R4461">
        <v>0.15094689999999999</v>
      </c>
      <c r="S4461">
        <v>3.0198969999999998</v>
      </c>
      <c r="T4461">
        <v>3.7619109999999997E-2</v>
      </c>
      <c r="U4461">
        <v>9.8266599999999996E-2</v>
      </c>
      <c r="V4461">
        <v>-0.15728059999999999</v>
      </c>
      <c r="W4461">
        <v>3.571067E-2</v>
      </c>
      <c r="X4461">
        <v>0.98690809999999995</v>
      </c>
      <c r="Y4461">
        <v>-3.8693470000000001E-2</v>
      </c>
      <c r="Z4461">
        <v>-1.88097E-4</v>
      </c>
      <c r="AA4461">
        <v>0.99925109999999995</v>
      </c>
      <c r="AB4461">
        <v>29</v>
      </c>
      <c r="AC4461">
        <v>111.7765</v>
      </c>
      <c r="AD4461">
        <v>1.3945099999999999</v>
      </c>
      <c r="AE4461">
        <v>3.64176999999999</v>
      </c>
      <c r="AF4461">
        <v>-4.3314719603592202</v>
      </c>
      <c r="AG4461">
        <v>1.3945099999999999</v>
      </c>
      <c r="AH4461">
        <v>111.734499516721</v>
      </c>
      <c r="AI4461">
        <v>89.285489882056595</v>
      </c>
      <c r="AJ4461">
        <v>92.220002395428295</v>
      </c>
      <c r="AK4461">
        <v>111.827119652326</v>
      </c>
      <c r="AL4461">
        <v>87.953494237538393</v>
      </c>
      <c r="AM4461">
        <v>99.054911448297403</v>
      </c>
      <c r="AN4461">
        <v>1.0000000184669</v>
      </c>
    </row>
    <row r="4462" spans="1:40" x14ac:dyDescent="0.25">
      <c r="A4462" t="str">
        <f>"20190305135720913"</f>
        <v>20190305135720913</v>
      </c>
      <c r="B4462" t="str">
        <f>"1551765440906670"</f>
        <v>1551765440906670</v>
      </c>
      <c r="C4462" t="s">
        <v>40</v>
      </c>
      <c r="D4462">
        <v>4.3213599999999897</v>
      </c>
      <c r="E4462">
        <v>0.54249849999999999</v>
      </c>
      <c r="F4462" t="s">
        <v>69</v>
      </c>
      <c r="G4462">
        <v>-157.3501</v>
      </c>
      <c r="H4462">
        <v>2.0006780000000002</v>
      </c>
      <c r="I4462">
        <v>-58.417529999999999</v>
      </c>
      <c r="J4462">
        <v>-268.95940000000002</v>
      </c>
      <c r="K4462">
        <v>1.1118459999999999</v>
      </c>
      <c r="L4462">
        <v>-62.456670000000003</v>
      </c>
      <c r="M4462">
        <v>0.99994209999999994</v>
      </c>
      <c r="N4462">
        <v>-9.8347439999999994E-3</v>
      </c>
      <c r="O4462">
        <v>-4.3570070000000004E-3</v>
      </c>
      <c r="P4462">
        <v>0.98817659999999996</v>
      </c>
      <c r="Q4462">
        <v>2.5270669999999999E-2</v>
      </c>
      <c r="R4462">
        <v>0.15122279999999999</v>
      </c>
      <c r="S4462">
        <v>3.0185849999999999</v>
      </c>
      <c r="T4462">
        <v>2.4000170000000001E-2</v>
      </c>
      <c r="U4462">
        <v>0.1091003</v>
      </c>
      <c r="V4462">
        <v>-0.15574089999999999</v>
      </c>
      <c r="W4462">
        <v>3.4017029999999997E-2</v>
      </c>
      <c r="X4462">
        <v>0.98721210000000004</v>
      </c>
      <c r="Y4462">
        <v>-4.0472939999999999E-2</v>
      </c>
      <c r="Z4462" s="1">
        <v>-3.921689E-5</v>
      </c>
      <c r="AA4462">
        <v>0.99918059999999997</v>
      </c>
      <c r="AB4462">
        <v>29</v>
      </c>
      <c r="AC4462">
        <v>111.6093</v>
      </c>
      <c r="AD4462">
        <v>0.88883199999999896</v>
      </c>
      <c r="AE4462">
        <v>4.0391399999999802</v>
      </c>
      <c r="AF4462">
        <v>-4.5251210839608502</v>
      </c>
      <c r="AG4462">
        <v>0.88883199999999896</v>
      </c>
      <c r="AH4462">
        <v>111.58357353598799</v>
      </c>
      <c r="AI4462">
        <v>89.543988230765095</v>
      </c>
      <c r="AJ4462">
        <v>92.322280420887694</v>
      </c>
      <c r="AK4462">
        <v>111.67882801234001</v>
      </c>
      <c r="AL4462">
        <v>88.050591777486304</v>
      </c>
      <c r="AM4462">
        <v>98.964999199614496</v>
      </c>
      <c r="AN4462">
        <v>1.00000005832461</v>
      </c>
    </row>
    <row r="4463" spans="1:40" x14ac:dyDescent="0.25">
      <c r="A4463" t="str">
        <f>"20190305135720925"</f>
        <v>20190305135720925</v>
      </c>
      <c r="B4463" t="str">
        <f>"1551765440917406"</f>
        <v>1551765440917406</v>
      </c>
      <c r="C4463" t="s">
        <v>40</v>
      </c>
      <c r="D4463">
        <v>4.367356</v>
      </c>
      <c r="E4463">
        <v>0.54106829999999995</v>
      </c>
      <c r="F4463" t="s">
        <v>69</v>
      </c>
      <c r="G4463">
        <v>-157.3501</v>
      </c>
      <c r="H4463">
        <v>1.5997300000000001</v>
      </c>
      <c r="I4463">
        <v>-58.143889999999999</v>
      </c>
      <c r="J4463">
        <v>-268.79680000000002</v>
      </c>
      <c r="K4463">
        <v>1.11174</v>
      </c>
      <c r="L4463">
        <v>-62.455689999999997</v>
      </c>
      <c r="M4463">
        <v>0.99994830000000001</v>
      </c>
      <c r="N4463">
        <v>-9.8235639999999999E-3</v>
      </c>
      <c r="O4463">
        <v>-2.6792249999999999E-3</v>
      </c>
      <c r="P4463">
        <v>0.98819800000000002</v>
      </c>
      <c r="Q4463">
        <v>2.4229879999999999E-2</v>
      </c>
      <c r="R4463">
        <v>0.1512539</v>
      </c>
      <c r="S4463">
        <v>3.0176699999999999</v>
      </c>
      <c r="T4463">
        <v>1.3190749999999999E-2</v>
      </c>
      <c r="U4463">
        <v>0.11660769999999999</v>
      </c>
      <c r="V4463">
        <v>-0.1541006</v>
      </c>
      <c r="W4463">
        <v>3.3014799999999997E-2</v>
      </c>
      <c r="X4463">
        <v>0.98750340000000003</v>
      </c>
      <c r="Y4463">
        <v>-4.1290250000000001E-2</v>
      </c>
      <c r="Z4463" s="1">
        <v>7.4662090000000004E-5</v>
      </c>
      <c r="AA4463">
        <v>0.99914720000000001</v>
      </c>
      <c r="AB4463">
        <v>29</v>
      </c>
      <c r="AC4463">
        <v>111.44670000000001</v>
      </c>
      <c r="AD4463">
        <v>0.48798999999999898</v>
      </c>
      <c r="AE4463">
        <v>4.3117999999999999</v>
      </c>
      <c r="AF4463">
        <v>-4.6103014131563098</v>
      </c>
      <c r="AG4463">
        <v>0.48798999999999898</v>
      </c>
      <c r="AH4463">
        <v>111.432613835474</v>
      </c>
      <c r="AI4463">
        <v>89.749304183325506</v>
      </c>
      <c r="AJ4463">
        <v>92.369147064938204</v>
      </c>
      <c r="AK4463">
        <v>111.529011649732</v>
      </c>
      <c r="AL4463">
        <v>88.108047435205705</v>
      </c>
      <c r="AM4463">
        <v>98.869512084227694</v>
      </c>
      <c r="AN4463">
        <v>0.99999996847547901</v>
      </c>
    </row>
    <row r="4464" spans="1:40" x14ac:dyDescent="0.25">
      <c r="A4464" t="str">
        <f>"20190305135720942"</f>
        <v>20190305135720942</v>
      </c>
      <c r="B4464" t="str">
        <f>"1551765440936926"</f>
        <v>1551765440936926</v>
      </c>
      <c r="C4464" t="s">
        <v>40</v>
      </c>
      <c r="D4464">
        <v>4.1672250000000002</v>
      </c>
      <c r="E4464">
        <v>0.53946260000000001</v>
      </c>
      <c r="F4464" t="s">
        <v>69</v>
      </c>
      <c r="G4464">
        <v>-157.3501</v>
      </c>
      <c r="H4464">
        <v>0.90288159999999895</v>
      </c>
      <c r="I4464">
        <v>-57.744880000000002</v>
      </c>
      <c r="J4464">
        <v>-268.58749999999998</v>
      </c>
      <c r="K4464">
        <v>1.111591</v>
      </c>
      <c r="L4464">
        <v>-62.454099999999997</v>
      </c>
      <c r="M4464">
        <v>0.99995179999999995</v>
      </c>
      <c r="N4464">
        <v>-9.8096209999999993E-3</v>
      </c>
      <c r="O4464">
        <v>-6.4569659999999995E-4</v>
      </c>
      <c r="P4464">
        <v>0.98824009999999995</v>
      </c>
      <c r="Q4464">
        <v>2.2633279999999999E-2</v>
      </c>
      <c r="R4464">
        <v>0.1512271</v>
      </c>
      <c r="S4464">
        <v>3.0164179999999998</v>
      </c>
      <c r="T4464">
        <v>-5.653501E-3</v>
      </c>
      <c r="U4464">
        <v>0.12750239999999999</v>
      </c>
      <c r="V4464">
        <v>-0.15204489999999901</v>
      </c>
      <c r="W4464">
        <v>3.1469700000000003E-2</v>
      </c>
      <c r="X4464">
        <v>0.98787250000000004</v>
      </c>
      <c r="Y4464">
        <v>-4.2876419999999998E-2</v>
      </c>
      <c r="Z4464">
        <v>2.454415E-4</v>
      </c>
      <c r="AA4464">
        <v>0.99908039999999998</v>
      </c>
      <c r="AB4464">
        <v>29</v>
      </c>
      <c r="AC4464">
        <v>111.237399999999</v>
      </c>
      <c r="AD4464">
        <v>-0.20870939999999999</v>
      </c>
      <c r="AE4464">
        <v>4.7092199999999904</v>
      </c>
      <c r="AF4464">
        <v>-4.7810312757134596</v>
      </c>
      <c r="AG4464">
        <v>-0.20870939999999999</v>
      </c>
      <c r="AH4464">
        <v>111.233945056987</v>
      </c>
      <c r="AI4464">
        <v>90.107405370673703</v>
      </c>
      <c r="AJ4464">
        <v>92.461158862952999</v>
      </c>
      <c r="AK4464">
        <v>111.336841847673</v>
      </c>
      <c r="AL4464">
        <v>88.196621326642699</v>
      </c>
      <c r="AM4464">
        <v>98.749817548576203</v>
      </c>
      <c r="AN4464">
        <v>1.0000000349451701</v>
      </c>
    </row>
    <row r="4465" spans="1:40" x14ac:dyDescent="0.25">
      <c r="A4465" t="str">
        <f>"20190305135720954"</f>
        <v>20190305135720954</v>
      </c>
      <c r="B4465" t="str">
        <f>"1551765440946686"</f>
        <v>1551765440946686</v>
      </c>
      <c r="C4465" t="s">
        <v>40</v>
      </c>
      <c r="D4465">
        <v>4.3537509999999999</v>
      </c>
      <c r="E4465">
        <v>0.53842190000000001</v>
      </c>
      <c r="F4465" t="s">
        <v>69</v>
      </c>
      <c r="G4465">
        <v>-157.3501</v>
      </c>
      <c r="H4465">
        <v>0.23753260000000001</v>
      </c>
      <c r="I4465">
        <v>-57.301630000000003</v>
      </c>
      <c r="J4465">
        <v>-268.42540000000002</v>
      </c>
      <c r="K4465">
        <v>1.111477</v>
      </c>
      <c r="L4465">
        <v>-62.4527</v>
      </c>
      <c r="M4465">
        <v>0.9999517</v>
      </c>
      <c r="N4465">
        <v>-9.7981460000000006E-3</v>
      </c>
      <c r="O4465">
        <v>8.3990869999999904E-4</v>
      </c>
      <c r="P4465">
        <v>0.98815379999999997</v>
      </c>
      <c r="Q4465">
        <v>2.1552000000000002E-2</v>
      </c>
      <c r="R4465">
        <v>0.15194639999999901</v>
      </c>
      <c r="S4465">
        <v>3.0148929999999998</v>
      </c>
      <c r="T4465">
        <v>-2.3690340000000001E-2</v>
      </c>
      <c r="U4465">
        <v>0.13964840000000001</v>
      </c>
      <c r="V4465">
        <v>-0.15128150000000001</v>
      </c>
      <c r="W4465">
        <v>3.042307E-2</v>
      </c>
      <c r="X4465">
        <v>0.98802239999999997</v>
      </c>
      <c r="Y4465">
        <v>-4.5427710000000003E-2</v>
      </c>
      <c r="Z4465">
        <v>4.0269729999999998E-4</v>
      </c>
      <c r="AA4465">
        <v>0.99896750000000001</v>
      </c>
      <c r="AB4465">
        <v>29</v>
      </c>
      <c r="AC4465">
        <v>111.0753</v>
      </c>
      <c r="AD4465">
        <v>-0.87394439999999995</v>
      </c>
      <c r="AE4465">
        <v>5.15106999999999</v>
      </c>
      <c r="AF4465">
        <v>-5.0574581836986399</v>
      </c>
      <c r="AG4465">
        <v>-0.87394439999999995</v>
      </c>
      <c r="AH4465">
        <v>111.072726143089</v>
      </c>
      <c r="AI4465">
        <v>90.450339798479504</v>
      </c>
      <c r="AJ4465">
        <v>92.607039664554406</v>
      </c>
      <c r="AK4465">
        <v>111.191241358984</v>
      </c>
      <c r="AL4465">
        <v>88.256617412284598</v>
      </c>
      <c r="AM4465">
        <v>98.705259855033603</v>
      </c>
      <c r="AN4465">
        <v>0.99999995916611595</v>
      </c>
    </row>
    <row r="4466" spans="1:40" x14ac:dyDescent="0.25">
      <c r="A4466" t="str">
        <f>"20190305135720965"</f>
        <v>20190305135720965</v>
      </c>
      <c r="B4466" t="str">
        <f>"1551765440956447"</f>
        <v>1551765440956447</v>
      </c>
      <c r="C4466" t="s">
        <v>40</v>
      </c>
      <c r="D4466">
        <v>4.3301160000000003</v>
      </c>
      <c r="E4466">
        <v>0.53739799999999904</v>
      </c>
      <c r="F4466" t="s">
        <v>78</v>
      </c>
      <c r="G4466">
        <v>-179.95769999999999</v>
      </c>
      <c r="H4466">
        <v>2.10026E-2</v>
      </c>
      <c r="I4466">
        <v>-58.056820000000002</v>
      </c>
      <c r="J4466">
        <v>-268.27730000000003</v>
      </c>
      <c r="K4466">
        <v>1.111361</v>
      </c>
      <c r="L4466">
        <v>-62.45129</v>
      </c>
      <c r="M4466">
        <v>0.99995000000000001</v>
      </c>
      <c r="N4466">
        <v>-9.7864340000000001E-3</v>
      </c>
      <c r="O4466">
        <v>2.1160520000000002E-3</v>
      </c>
      <c r="P4466">
        <v>0.98803779999999997</v>
      </c>
      <c r="Q4466">
        <v>2.0863699999999999E-2</v>
      </c>
      <c r="R4466">
        <v>0.1527954</v>
      </c>
      <c r="S4466">
        <v>3.0137330000000002</v>
      </c>
      <c r="T4466">
        <v>-3.7148E-2</v>
      </c>
      <c r="U4466">
        <v>0.14974979999999999</v>
      </c>
      <c r="V4466">
        <v>-0.15085809999999999</v>
      </c>
      <c r="W4466">
        <v>2.976533E-2</v>
      </c>
      <c r="X4466">
        <v>0.98810719999999996</v>
      </c>
      <c r="Y4466">
        <v>-4.7507790000000001E-2</v>
      </c>
      <c r="Z4466">
        <v>5.1986610000000005E-4</v>
      </c>
      <c r="AA4466">
        <v>0.9988707</v>
      </c>
      <c r="AB4466">
        <v>29</v>
      </c>
      <c r="AC4466">
        <v>88.319599999999994</v>
      </c>
      <c r="AD4466">
        <v>-1.0903583999999999</v>
      </c>
      <c r="AE4466">
        <v>4.3944700000000001</v>
      </c>
      <c r="AF4466">
        <v>-4.2069227581864901</v>
      </c>
      <c r="AG4466">
        <v>-1.0903583999999999</v>
      </c>
      <c r="AH4466">
        <v>88.315274391920298</v>
      </c>
      <c r="AI4466">
        <v>90.706548361592496</v>
      </c>
      <c r="AJ4466">
        <v>92.727238893372601</v>
      </c>
      <c r="AK4466">
        <v>88.422139600068306</v>
      </c>
      <c r="AL4466">
        <v>88.294320269889297</v>
      </c>
      <c r="AM4466">
        <v>98.680533960285899</v>
      </c>
      <c r="AN4466">
        <v>0.99999998994872896</v>
      </c>
    </row>
    <row r="4467" spans="1:40" x14ac:dyDescent="0.25">
      <c r="A4467" t="str">
        <f>"20190305135720975"</f>
        <v>20190305135720975</v>
      </c>
      <c r="B4467" t="str">
        <f>"1551765440967182"</f>
        <v>1551765440967182</v>
      </c>
      <c r="C4467" t="s">
        <v>40</v>
      </c>
      <c r="D4467">
        <v>4.3654330000000003</v>
      </c>
      <c r="E4467">
        <v>0.53650710000000001</v>
      </c>
      <c r="F4467" t="s">
        <v>78</v>
      </c>
      <c r="G4467">
        <v>-199.23679999999999</v>
      </c>
      <c r="H4467" s="1">
        <v>-7.7674029999999994E-6</v>
      </c>
      <c r="I4467">
        <v>-58.783749999999998</v>
      </c>
      <c r="J4467">
        <v>-268.14510000000001</v>
      </c>
      <c r="K4467">
        <v>1.1112550000000001</v>
      </c>
      <c r="L4467">
        <v>-62.449919999999999</v>
      </c>
      <c r="M4467">
        <v>0.99994720000000004</v>
      </c>
      <c r="N4467">
        <v>-9.7752120000000001E-3</v>
      </c>
      <c r="O4467">
        <v>3.174839E-3</v>
      </c>
      <c r="P4467">
        <v>0.98791980000000001</v>
      </c>
      <c r="Q4467">
        <v>1.986742E-2</v>
      </c>
      <c r="R4467">
        <v>0.15368709999999999</v>
      </c>
      <c r="S4467">
        <v>3.0126040000000001</v>
      </c>
      <c r="T4467">
        <v>-4.849494E-2</v>
      </c>
      <c r="U4467">
        <v>0.16003419999999999</v>
      </c>
      <c r="V4467">
        <v>-0.150691299999999</v>
      </c>
      <c r="W4467">
        <v>2.8795379999999999E-2</v>
      </c>
      <c r="X4467">
        <v>0.98816139999999997</v>
      </c>
      <c r="Y4467">
        <v>-4.9865670000000001E-2</v>
      </c>
      <c r="Z4467">
        <v>6.2491789999999999E-4</v>
      </c>
      <c r="AA4467">
        <v>0.99875579999999997</v>
      </c>
      <c r="AB4467">
        <v>29</v>
      </c>
      <c r="AC4467">
        <v>68.908299999999997</v>
      </c>
      <c r="AD4467">
        <v>-1.11126276740299</v>
      </c>
      <c r="AE4467">
        <v>3.6661700000000002</v>
      </c>
      <c r="AF4467">
        <v>-3.4464745190426802</v>
      </c>
      <c r="AG4467">
        <v>-1.11126276740299</v>
      </c>
      <c r="AH4467">
        <v>68.901724037254695</v>
      </c>
      <c r="AI4467">
        <v>90.922845761860998</v>
      </c>
      <c r="AJ4467">
        <v>92.863556812236993</v>
      </c>
      <c r="AK4467">
        <v>68.996816353036394</v>
      </c>
      <c r="AL4467">
        <v>88.349918164054102</v>
      </c>
      <c r="AM4467">
        <v>98.670613695987498</v>
      </c>
      <c r="AN4467">
        <v>0.99999999712749699</v>
      </c>
    </row>
    <row r="4468" spans="1:40" x14ac:dyDescent="0.25">
      <c r="A4468" t="str">
        <f>"20190305135720986"</f>
        <v>20190305135720986</v>
      </c>
      <c r="B4468" t="str">
        <f>"1551765440976942"</f>
        <v>1551765440976942</v>
      </c>
      <c r="C4468" t="s">
        <v>40</v>
      </c>
      <c r="D4468">
        <v>4.3741180000000002</v>
      </c>
      <c r="E4468">
        <v>0.53575600000000001</v>
      </c>
      <c r="F4468" t="s">
        <v>93</v>
      </c>
      <c r="G4468">
        <v>-211.54050000000001</v>
      </c>
      <c r="H4468" s="1">
        <v>1.716031E-7</v>
      </c>
      <c r="I4468">
        <v>-59.264629999999997</v>
      </c>
      <c r="J4468">
        <v>-268.00080000000003</v>
      </c>
      <c r="K4468">
        <v>1.11114</v>
      </c>
      <c r="L4468">
        <v>-62.448329999999999</v>
      </c>
      <c r="M4468">
        <v>0.99994320000000003</v>
      </c>
      <c r="N4468">
        <v>-9.7625909999999993E-3</v>
      </c>
      <c r="O4468">
        <v>4.2815730000000003E-3</v>
      </c>
      <c r="P4468">
        <v>0.98775420000000003</v>
      </c>
      <c r="Q4468">
        <v>1.8832370000000001E-2</v>
      </c>
      <c r="R4468">
        <v>0.15487779999999901</v>
      </c>
      <c r="S4468">
        <v>3.011536</v>
      </c>
      <c r="T4468">
        <v>-5.9122090000000002E-2</v>
      </c>
      <c r="U4468">
        <v>0.16946410000000001</v>
      </c>
      <c r="V4468">
        <v>-0.1507762</v>
      </c>
      <c r="W4468">
        <v>2.778775E-2</v>
      </c>
      <c r="X4468">
        <v>0.98817730000000004</v>
      </c>
      <c r="Y4468">
        <v>-5.1892519999999998E-2</v>
      </c>
      <c r="Z4468">
        <v>7.2025609999999999E-4</v>
      </c>
      <c r="AA4468">
        <v>0.9986524</v>
      </c>
      <c r="AB4468">
        <v>29</v>
      </c>
      <c r="AC4468">
        <v>56.460299999999997</v>
      </c>
      <c r="AD4468">
        <v>-1.1111398283968901</v>
      </c>
      <c r="AE4468">
        <v>3.1837</v>
      </c>
      <c r="AF4468">
        <v>-2.9407850386558998</v>
      </c>
      <c r="AG4468">
        <v>-1.1111398283968901</v>
      </c>
      <c r="AH4468">
        <v>56.4516197371494</v>
      </c>
      <c r="AI4468">
        <v>91.126083319899905</v>
      </c>
      <c r="AJ4468">
        <v>92.9820650124705</v>
      </c>
      <c r="AK4468">
        <v>56.539085766481499</v>
      </c>
      <c r="AL4468">
        <v>88.407674234752506</v>
      </c>
      <c r="AM4468">
        <v>98.675286981402294</v>
      </c>
      <c r="AN4468">
        <v>0.99999999888589597</v>
      </c>
    </row>
    <row r="4469" spans="1:40" x14ac:dyDescent="0.25">
      <c r="A4469" t="str">
        <f>"20190305135720998"</f>
        <v>20190305135720998</v>
      </c>
      <c r="B4469" t="str">
        <f>"1551765440986702"</f>
        <v>1551765440986702</v>
      </c>
      <c r="C4469" t="s">
        <v>40</v>
      </c>
      <c r="D4469">
        <v>4.3687040000000001</v>
      </c>
      <c r="E4469">
        <v>0.53518759999999999</v>
      </c>
      <c r="F4469" t="s">
        <v>93</v>
      </c>
      <c r="G4469">
        <v>-219.6532</v>
      </c>
      <c r="H4469" s="1">
        <v>-3.2530119999999999E-6</v>
      </c>
      <c r="I4469">
        <v>-59.57873</v>
      </c>
      <c r="J4469">
        <v>-267.85700000000003</v>
      </c>
      <c r="K4469">
        <v>1.1110180000000001</v>
      </c>
      <c r="L4469">
        <v>-62.446660000000001</v>
      </c>
      <c r="M4469">
        <v>0.99993869999999896</v>
      </c>
      <c r="N4469">
        <v>-9.7501719999999997E-3</v>
      </c>
      <c r="O4469">
        <v>5.2713079999999997E-3</v>
      </c>
      <c r="P4469">
        <v>0.98757709999999999</v>
      </c>
      <c r="Q4469">
        <v>1.8311939999999999E-2</v>
      </c>
      <c r="R4469">
        <v>0.15606489999999901</v>
      </c>
      <c r="S4469">
        <v>3.0104980000000001</v>
      </c>
      <c r="T4469">
        <v>-6.9188479999999997E-2</v>
      </c>
      <c r="U4469">
        <v>0.17868039999999999</v>
      </c>
      <c r="V4469">
        <v>-0.1509762</v>
      </c>
      <c r="W4469">
        <v>2.7295369999999999E-2</v>
      </c>
      <c r="X4469">
        <v>0.9881605</v>
      </c>
      <c r="Y4469">
        <v>-5.3965270000000003E-2</v>
      </c>
      <c r="Z4469">
        <v>8.1320199999999996E-4</v>
      </c>
      <c r="AA4469">
        <v>0.9985425</v>
      </c>
      <c r="AB4469">
        <v>29</v>
      </c>
      <c r="AC4469">
        <v>48.203800000000001</v>
      </c>
      <c r="AD4469">
        <v>-1.1110212530120001</v>
      </c>
      <c r="AE4469">
        <v>2.8679299999999799</v>
      </c>
      <c r="AF4469">
        <v>-2.61239814011362</v>
      </c>
      <c r="AG4469">
        <v>-1.1110212530120001</v>
      </c>
      <c r="AH4469">
        <v>48.1927375784989</v>
      </c>
      <c r="AI4469">
        <v>91.318710820997197</v>
      </c>
      <c r="AJ4469">
        <v>93.102812700724797</v>
      </c>
      <c r="AK4469">
        <v>48.276277275460799</v>
      </c>
      <c r="AL4469">
        <v>88.435896257218701</v>
      </c>
      <c r="AM4469">
        <v>98.686764498429099</v>
      </c>
      <c r="AN4469">
        <v>1.0000000119750601</v>
      </c>
    </row>
    <row r="4470" spans="1:40" x14ac:dyDescent="0.25">
      <c r="A4470" t="str">
        <f>"20190305135721012"</f>
        <v>20190305135721012</v>
      </c>
      <c r="B4470" t="str">
        <f>"1551765441007197"</f>
        <v>1551765441007197</v>
      </c>
      <c r="C4470" t="s">
        <v>40</v>
      </c>
      <c r="D4470">
        <v>4.3145509999999998</v>
      </c>
      <c r="E4470">
        <v>0.53402159999999999</v>
      </c>
      <c r="F4470" t="s">
        <v>92</v>
      </c>
      <c r="G4470">
        <v>-223.91990000000001</v>
      </c>
      <c r="H4470" s="1">
        <v>-9.4570159999999999E-7</v>
      </c>
      <c r="I4470">
        <v>-59.723239999999997</v>
      </c>
      <c r="J4470">
        <v>-267.67970000000003</v>
      </c>
      <c r="K4470">
        <v>1.1108720000000001</v>
      </c>
      <c r="L4470">
        <v>-62.444519999999997</v>
      </c>
      <c r="M4470">
        <v>0.99993200000000004</v>
      </c>
      <c r="N4470">
        <v>-9.7352879999999999E-3</v>
      </c>
      <c r="O4470">
        <v>6.4224570000000003E-3</v>
      </c>
      <c r="P4470">
        <v>0.9873461</v>
      </c>
      <c r="Q4470">
        <v>1.7906439999999999E-2</v>
      </c>
      <c r="R4470">
        <v>0.1575667</v>
      </c>
      <c r="S4470">
        <v>3.009674</v>
      </c>
      <c r="T4470">
        <v>-7.6104519999999995E-2</v>
      </c>
      <c r="U4470">
        <v>0.186554</v>
      </c>
      <c r="V4470">
        <v>-0.15133060000000001</v>
      </c>
      <c r="W4470">
        <v>2.6924989999999999E-2</v>
      </c>
      <c r="X4470">
        <v>0.98811640000000001</v>
      </c>
      <c r="Y4470">
        <v>-5.5430609999999998E-2</v>
      </c>
      <c r="Z4470">
        <v>8.7043570000000005E-4</v>
      </c>
      <c r="AA4470">
        <v>0.99846210000000002</v>
      </c>
      <c r="AB4470">
        <v>29</v>
      </c>
      <c r="AC4470">
        <v>43.759799999999998</v>
      </c>
      <c r="AD4470">
        <v>-1.11087294570159</v>
      </c>
      <c r="AE4470">
        <v>2.7212799999999899</v>
      </c>
      <c r="AF4470">
        <v>-2.4385996601206501</v>
      </c>
      <c r="AG4470">
        <v>-1.11087294570159</v>
      </c>
      <c r="AH4470">
        <v>43.748291277689297</v>
      </c>
      <c r="AI4470">
        <v>91.452309721103404</v>
      </c>
      <c r="AJ4470">
        <v>93.190456651688507</v>
      </c>
      <c r="AK4470">
        <v>43.830284013697401</v>
      </c>
      <c r="AL4470">
        <v>88.457125194651695</v>
      </c>
      <c r="AM4470">
        <v>98.707226232687404</v>
      </c>
      <c r="AN4470">
        <v>0.99999996276590897</v>
      </c>
    </row>
    <row r="4471" spans="1:40" x14ac:dyDescent="0.25">
      <c r="A4471" t="str">
        <f>"20190305135721025"</f>
        <v>20190305135721025</v>
      </c>
      <c r="B4471" t="str">
        <f>"1551765441016958"</f>
        <v>1551765441016958</v>
      </c>
      <c r="C4471" t="s">
        <v>40</v>
      </c>
      <c r="D4471">
        <v>4.3112779999999997</v>
      </c>
      <c r="E4471">
        <v>0.53355540000000001</v>
      </c>
      <c r="F4471" t="s">
        <v>92</v>
      </c>
      <c r="G4471">
        <v>-229.5942</v>
      </c>
      <c r="H4471" s="1">
        <v>-3.3378029999999999E-6</v>
      </c>
      <c r="I4471">
        <v>-59.913780000000003</v>
      </c>
      <c r="J4471">
        <v>-267.49970000000002</v>
      </c>
      <c r="K4471">
        <v>1.1107180000000001</v>
      </c>
      <c r="L4471">
        <v>-62.442259999999997</v>
      </c>
      <c r="M4471">
        <v>0.99992530000000002</v>
      </c>
      <c r="N4471">
        <v>-9.7211469999999994E-3</v>
      </c>
      <c r="O4471">
        <v>7.4353400000000004E-3</v>
      </c>
      <c r="P4471">
        <v>0.98713530000000005</v>
      </c>
      <c r="Q4471">
        <v>1.793206E-2</v>
      </c>
      <c r="R4471">
        <v>0.15887979999999999</v>
      </c>
      <c r="S4471">
        <v>3.0081790000000002</v>
      </c>
      <c r="T4471">
        <v>-8.7742329999999993E-2</v>
      </c>
      <c r="U4471">
        <v>0.19989009999999999</v>
      </c>
      <c r="V4471">
        <v>-0.1516342</v>
      </c>
      <c r="W4471">
        <v>2.6989820000000001E-2</v>
      </c>
      <c r="X4471">
        <v>0.9880681</v>
      </c>
      <c r="Y4471">
        <v>-5.8849659999999998E-2</v>
      </c>
      <c r="Z4471">
        <v>9.9920309999999997E-4</v>
      </c>
      <c r="AA4471">
        <v>0.99826630000000005</v>
      </c>
      <c r="AB4471">
        <v>29</v>
      </c>
      <c r="AC4471">
        <v>37.905500000000004</v>
      </c>
      <c r="AD4471">
        <v>-1.1107213378030001</v>
      </c>
      <c r="AE4471">
        <v>2.5284799999999898</v>
      </c>
      <c r="AF4471">
        <v>-2.2446377821264898</v>
      </c>
      <c r="AG4471">
        <v>-1.1107213378030001</v>
      </c>
      <c r="AH4471">
        <v>37.890863001594703</v>
      </c>
      <c r="AI4471">
        <v>91.676133592134704</v>
      </c>
      <c r="AJ4471">
        <v>93.390214276749205</v>
      </c>
      <c r="AK4471">
        <v>37.973538150517598</v>
      </c>
      <c r="AL4471">
        <v>88.453409378607105</v>
      </c>
      <c r="AM4471">
        <v>98.724846112126002</v>
      </c>
      <c r="AN4471">
        <v>0.99999997561544096</v>
      </c>
    </row>
    <row r="4472" spans="1:40" x14ac:dyDescent="0.25">
      <c r="A4472" t="str">
        <f>"20190305135721037"</f>
        <v>20190305135721037</v>
      </c>
      <c r="B4472" t="str">
        <f>"1551765441026718"</f>
        <v>1551765441026718</v>
      </c>
      <c r="C4472" t="s">
        <v>40</v>
      </c>
      <c r="D4472">
        <v>4.3562260000000004</v>
      </c>
      <c r="E4472">
        <v>0.53322040000000004</v>
      </c>
      <c r="F4472" t="s">
        <v>91</v>
      </c>
      <c r="G4472">
        <v>-231.38499999999999</v>
      </c>
      <c r="H4472" s="1">
        <v>3.4206160000000001E-7</v>
      </c>
      <c r="I4472">
        <v>-59.951639999999998</v>
      </c>
      <c r="J4472">
        <v>-267.34370000000001</v>
      </c>
      <c r="K4472">
        <v>1.110592</v>
      </c>
      <c r="L4472">
        <v>-62.440249999999999</v>
      </c>
      <c r="M4472">
        <v>0.99991909999999895</v>
      </c>
      <c r="N4472">
        <v>-9.7095889999999994E-3</v>
      </c>
      <c r="O4472">
        <v>8.2189210000000006E-3</v>
      </c>
      <c r="P4472">
        <v>0.98695390000000005</v>
      </c>
      <c r="Q4472">
        <v>1.8247369999999999E-2</v>
      </c>
      <c r="R4472">
        <v>0.15996669999999999</v>
      </c>
      <c r="S4472">
        <v>3.0073850000000002</v>
      </c>
      <c r="T4472">
        <v>-9.2492939999999996E-2</v>
      </c>
      <c r="U4472">
        <v>0.20739750000000001</v>
      </c>
      <c r="V4472">
        <v>-0.15194089999999999</v>
      </c>
      <c r="W4472">
        <v>2.733826E-2</v>
      </c>
      <c r="X4472">
        <v>0.98801139999999998</v>
      </c>
      <c r="Y4472">
        <v>-6.0561440000000001E-2</v>
      </c>
      <c r="Z4472">
        <v>1.051735E-3</v>
      </c>
      <c r="AA4472">
        <v>0.99816389999999999</v>
      </c>
      <c r="AB4472">
        <v>29</v>
      </c>
      <c r="AC4472">
        <v>35.9587</v>
      </c>
      <c r="AD4472">
        <v>-1.1105916579383901</v>
      </c>
      <c r="AE4472">
        <v>2.4886099999999902</v>
      </c>
      <c r="AF4472">
        <v>-2.1908903765649401</v>
      </c>
      <c r="AG4472">
        <v>-1.1105916579383901</v>
      </c>
      <c r="AH4472">
        <v>35.943816790878202</v>
      </c>
      <c r="AI4472">
        <v>91.766484945044198</v>
      </c>
      <c r="AJ4472">
        <v>93.488045235815505</v>
      </c>
      <c r="AK4472">
        <v>36.027647438724401</v>
      </c>
      <c r="AL4472">
        <v>88.433437861304697</v>
      </c>
      <c r="AM4472">
        <v>98.7427148494356</v>
      </c>
      <c r="AN4472">
        <v>0.99999997204129798</v>
      </c>
    </row>
    <row r="4473" spans="1:40" x14ac:dyDescent="0.25">
      <c r="A4473" t="str">
        <f>"20190305135721055"</f>
        <v>20190305135721055</v>
      </c>
      <c r="B4473" t="str">
        <f>"1551765441047213"</f>
        <v>1551765441047213</v>
      </c>
      <c r="C4473" t="s">
        <v>40</v>
      </c>
      <c r="D4473">
        <v>4.3148019999999896</v>
      </c>
      <c r="E4473">
        <v>0.53258309999999998</v>
      </c>
      <c r="F4473" t="s">
        <v>91</v>
      </c>
      <c r="G4473">
        <v>-232.51349999999999</v>
      </c>
      <c r="H4473" s="1">
        <v>-1.3875509999999999E-7</v>
      </c>
      <c r="I4473">
        <v>-59.97025</v>
      </c>
      <c r="J4473">
        <v>-267.11630000000002</v>
      </c>
      <c r="K4473">
        <v>1.110419</v>
      </c>
      <c r="L4473">
        <v>-62.437260000000002</v>
      </c>
      <c r="M4473">
        <v>0.99991050000000004</v>
      </c>
      <c r="N4473">
        <v>-9.6938159999999992E-3</v>
      </c>
      <c r="O4473">
        <v>9.225423E-3</v>
      </c>
      <c r="P4473">
        <v>0.9867494</v>
      </c>
      <c r="Q4473">
        <v>1.8950760000000001E-2</v>
      </c>
      <c r="R4473">
        <v>0.16114220000000001</v>
      </c>
      <c r="S4473">
        <v>3.0068359999999998</v>
      </c>
      <c r="T4473">
        <v>-9.5875619999999995E-2</v>
      </c>
      <c r="U4473">
        <v>0.21322630000000001</v>
      </c>
      <c r="V4473">
        <v>-0.15211350000000001</v>
      </c>
      <c r="W4473">
        <v>2.8091850000000002E-2</v>
      </c>
      <c r="X4473">
        <v>0.9879637</v>
      </c>
      <c r="Y4473">
        <v>-6.1492140000000001E-2</v>
      </c>
      <c r="Z4473">
        <v>1.0730360000000001E-3</v>
      </c>
      <c r="AA4473">
        <v>0.99810699999999997</v>
      </c>
      <c r="AB4473">
        <v>29</v>
      </c>
      <c r="AC4473">
        <v>34.602800000000002</v>
      </c>
      <c r="AD4473">
        <v>-1.1104191387550999</v>
      </c>
      <c r="AE4473">
        <v>2.4670099999999899</v>
      </c>
      <c r="AF4473">
        <v>-2.14546633309596</v>
      </c>
      <c r="AG4473">
        <v>-1.1104191387550999</v>
      </c>
      <c r="AH4473">
        <v>34.588648483891802</v>
      </c>
      <c r="AI4473">
        <v>91.835242887047798</v>
      </c>
      <c r="AJ4473">
        <v>93.5493979198651</v>
      </c>
      <c r="AK4473">
        <v>34.672909603787197</v>
      </c>
      <c r="AL4473">
        <v>88.390243738044703</v>
      </c>
      <c r="AM4473">
        <v>98.752908630674995</v>
      </c>
      <c r="AN4473">
        <v>0.99999997071818003</v>
      </c>
    </row>
    <row r="4474" spans="1:40" x14ac:dyDescent="0.25">
      <c r="A4474" t="str">
        <f>"20190305135721065"</f>
        <v>20190305135721065</v>
      </c>
      <c r="B4474" t="str">
        <f>"1551765441056974"</f>
        <v>1551765441056974</v>
      </c>
      <c r="C4474" t="s">
        <v>40</v>
      </c>
      <c r="D4474">
        <v>4.3134399999999999</v>
      </c>
      <c r="E4474">
        <v>0.53230149999999998</v>
      </c>
      <c r="F4474" t="s">
        <v>91</v>
      </c>
      <c r="G4474">
        <v>-234.1858</v>
      </c>
      <c r="H4474" s="1">
        <v>-8.492285E-7</v>
      </c>
      <c r="I4474">
        <v>-60.009410000000003</v>
      </c>
      <c r="J4474">
        <v>-266.96460000000002</v>
      </c>
      <c r="K4474">
        <v>1.110301</v>
      </c>
      <c r="L4474">
        <v>-62.435209999999998</v>
      </c>
      <c r="M4474">
        <v>0.9999053</v>
      </c>
      <c r="N4474">
        <v>-9.6840669999999993E-3</v>
      </c>
      <c r="O4474">
        <v>9.7979580000000007E-3</v>
      </c>
      <c r="P4474">
        <v>0.98666549999999997</v>
      </c>
      <c r="Q4474">
        <v>1.9276270000000002E-2</v>
      </c>
      <c r="R4474">
        <v>0.16161689999999901</v>
      </c>
      <c r="S4474">
        <v>3.0060419999999999</v>
      </c>
      <c r="T4474">
        <v>-0.10136390000000001</v>
      </c>
      <c r="U4474">
        <v>0.2216187</v>
      </c>
      <c r="V4474">
        <v>-0.15201529999999999</v>
      </c>
      <c r="W4474">
        <v>2.8451250000000001E-2</v>
      </c>
      <c r="X4474">
        <v>0.98796859999999997</v>
      </c>
      <c r="Y4474">
        <v>-6.3705849999999994E-2</v>
      </c>
      <c r="Z4474">
        <v>1.1462620000000001E-3</v>
      </c>
      <c r="AA4474">
        <v>0.99796810000000002</v>
      </c>
      <c r="AB4474">
        <v>29</v>
      </c>
      <c r="AC4474">
        <v>32.778799999999997</v>
      </c>
      <c r="AD4474">
        <v>-1.1103018492284999</v>
      </c>
      <c r="AE4474">
        <v>2.4258000000000002</v>
      </c>
      <c r="AF4474">
        <v>-2.1021045311903199</v>
      </c>
      <c r="AG4474">
        <v>-1.1103018492284999</v>
      </c>
      <c r="AH4474">
        <v>32.7636088512916</v>
      </c>
      <c r="AI4474">
        <v>91.936932252942</v>
      </c>
      <c r="AJ4474">
        <v>93.6710504110317</v>
      </c>
      <c r="AK4474">
        <v>32.849743965773698</v>
      </c>
      <c r="AL4474">
        <v>88.369643512498996</v>
      </c>
      <c r="AM4474">
        <v>98.747302720125404</v>
      </c>
      <c r="AN4474">
        <v>1.0000000398233</v>
      </c>
    </row>
    <row r="4475" spans="1:40" x14ac:dyDescent="0.25">
      <c r="A4475" t="str">
        <f>"20190305135721077"</f>
        <v>20190305135721077</v>
      </c>
      <c r="B4475" t="str">
        <f>"1551765441066734"</f>
        <v>1551765441066734</v>
      </c>
      <c r="C4475" t="s">
        <v>40</v>
      </c>
      <c r="D4475">
        <v>4.2984609999999996</v>
      </c>
      <c r="E4475">
        <v>0.53204490000000004</v>
      </c>
      <c r="F4475" t="s">
        <v>91</v>
      </c>
      <c r="G4475">
        <v>-234.78440000000001</v>
      </c>
      <c r="H4475" s="1">
        <v>-1.103595E-6</v>
      </c>
      <c r="I4475">
        <v>-60.02319</v>
      </c>
      <c r="J4475">
        <v>-266.82639999999998</v>
      </c>
      <c r="K4475">
        <v>1.1101989999999999</v>
      </c>
      <c r="L4475">
        <v>-62.433349999999997</v>
      </c>
      <c r="M4475">
        <v>0.99990080000000003</v>
      </c>
      <c r="N4475">
        <v>-9.6757260000000008E-3</v>
      </c>
      <c r="O4475">
        <v>1.023719E-2</v>
      </c>
      <c r="P4475">
        <v>0.98662000000000005</v>
      </c>
      <c r="Q4475">
        <v>1.9715369999999999E-2</v>
      </c>
      <c r="R4475">
        <v>0.16184029999999999</v>
      </c>
      <c r="S4475">
        <v>3.0056759999999998</v>
      </c>
      <c r="T4475">
        <v>-0.1037039</v>
      </c>
      <c r="U4475">
        <v>0.2252808</v>
      </c>
      <c r="V4475">
        <v>-0.1517994</v>
      </c>
      <c r="W4475">
        <v>2.8921209999999999E-2</v>
      </c>
      <c r="X4475">
        <v>0.98798810000000004</v>
      </c>
      <c r="Y4475">
        <v>-6.4483399999999996E-2</v>
      </c>
      <c r="Z4475">
        <v>1.1693949999999999E-3</v>
      </c>
      <c r="AA4475">
        <v>0.99791810000000003</v>
      </c>
      <c r="AB4475">
        <v>29</v>
      </c>
      <c r="AC4475">
        <v>32.041999999999902</v>
      </c>
      <c r="AD4475">
        <v>-1.110200103595</v>
      </c>
      <c r="AE4475">
        <v>2.4101599999999901</v>
      </c>
      <c r="AF4475">
        <v>-2.07951587952655</v>
      </c>
      <c r="AG4475">
        <v>-1.110200103595</v>
      </c>
      <c r="AH4475">
        <v>32.026763299197199</v>
      </c>
      <c r="AI4475">
        <v>91.981180963170402</v>
      </c>
      <c r="AJ4475">
        <v>93.715032437942696</v>
      </c>
      <c r="AK4475">
        <v>32.113400598286503</v>
      </c>
      <c r="AL4475">
        <v>88.342705620323699</v>
      </c>
      <c r="AM4475">
        <v>98.734901344369902</v>
      </c>
      <c r="AN4475">
        <v>0.99999998998491701</v>
      </c>
    </row>
    <row r="4476" spans="1:40" x14ac:dyDescent="0.25">
      <c r="A4476" t="str">
        <f>"20190305135721087"</f>
        <v>20190305135721087</v>
      </c>
      <c r="B4476" t="str">
        <f>"1551765441076494"</f>
        <v>1551765441076494</v>
      </c>
      <c r="C4476" t="s">
        <v>40</v>
      </c>
      <c r="D4476">
        <v>4.2918909999999997</v>
      </c>
      <c r="E4476">
        <v>0.53185579999999999</v>
      </c>
      <c r="F4476" t="s">
        <v>91</v>
      </c>
      <c r="G4476">
        <v>-235.37450000000001</v>
      </c>
      <c r="H4476" s="1">
        <v>-1.3524709999999901E-6</v>
      </c>
      <c r="I4476">
        <v>-60.047280000000001</v>
      </c>
      <c r="J4476">
        <v>-266.69069999999999</v>
      </c>
      <c r="K4476">
        <v>1.1101019999999999</v>
      </c>
      <c r="L4476">
        <v>-62.4315199999999</v>
      </c>
      <c r="M4476">
        <v>0.99989680000000003</v>
      </c>
      <c r="N4476">
        <v>-9.6678100000000006E-3</v>
      </c>
      <c r="O4476">
        <v>1.063327E-2</v>
      </c>
      <c r="P4476">
        <v>0.98662300000000003</v>
      </c>
      <c r="Q4476">
        <v>1.9521299999999998E-2</v>
      </c>
      <c r="R4476">
        <v>0.1618463</v>
      </c>
      <c r="S4476">
        <v>3.0054020000000001</v>
      </c>
      <c r="T4476">
        <v>-0.1060859</v>
      </c>
      <c r="U4476">
        <v>0.2279968</v>
      </c>
      <c r="V4476">
        <v>-0.15140619999999999</v>
      </c>
      <c r="W4476">
        <v>2.8757250000000002E-2</v>
      </c>
      <c r="X4476">
        <v>0.98805319999999996</v>
      </c>
      <c r="Y4476">
        <v>-6.4989580000000005E-2</v>
      </c>
      <c r="Z4476">
        <v>1.1877539999999901E-3</v>
      </c>
      <c r="AA4476">
        <v>0.99788520000000003</v>
      </c>
      <c r="AB4476">
        <v>29</v>
      </c>
      <c r="AC4476">
        <v>31.316199999999899</v>
      </c>
      <c r="AD4476">
        <v>-1.110103352471</v>
      </c>
      <c r="AE4476">
        <v>2.3842399999999802</v>
      </c>
      <c r="AF4476">
        <v>-2.0485367388961002</v>
      </c>
      <c r="AG4476">
        <v>-1.110103352471</v>
      </c>
      <c r="AH4476">
        <v>31.3006778238531</v>
      </c>
      <c r="AI4476">
        <v>92.026856336229699</v>
      </c>
      <c r="AJ4476">
        <v>93.744499023155399</v>
      </c>
      <c r="AK4476">
        <v>31.387278704220702</v>
      </c>
      <c r="AL4476">
        <v>88.352103714878098</v>
      </c>
      <c r="AM4476">
        <v>98.712058050960394</v>
      </c>
      <c r="AN4476">
        <v>0.99999997142812003</v>
      </c>
    </row>
    <row r="4477" spans="1:40" x14ac:dyDescent="0.25">
      <c r="A4477" t="str">
        <f>"20190305135721097"</f>
        <v>20190305135721097</v>
      </c>
      <c r="B4477" t="str">
        <f>"1551765441087230"</f>
        <v>1551765441087230</v>
      </c>
      <c r="C4477" t="s">
        <v>40</v>
      </c>
      <c r="D4477">
        <v>4.3457730000000003</v>
      </c>
      <c r="E4477">
        <v>0.5317151</v>
      </c>
      <c r="F4477" t="s">
        <v>91</v>
      </c>
      <c r="G4477">
        <v>-236.29759999999999</v>
      </c>
      <c r="H4477" s="1">
        <v>-1.7372620000000001E-6</v>
      </c>
      <c r="I4477">
        <v>-60.110489999999999</v>
      </c>
      <c r="J4477">
        <v>-266.55410000000001</v>
      </c>
      <c r="K4477">
        <v>1.1100049999999999</v>
      </c>
      <c r="L4477">
        <v>-62.429690000000001</v>
      </c>
      <c r="M4477">
        <v>0.99989340000000004</v>
      </c>
      <c r="N4477">
        <v>-9.6605179999999999E-3</v>
      </c>
      <c r="O4477">
        <v>1.0942260000000001E-2</v>
      </c>
      <c r="P4477">
        <v>0.98660510000000001</v>
      </c>
      <c r="Q4477">
        <v>1.9399340000000001E-2</v>
      </c>
      <c r="R4477">
        <v>0.16196959999999999</v>
      </c>
      <c r="S4477">
        <v>3.005188</v>
      </c>
      <c r="T4477">
        <v>-0.10976420000000001</v>
      </c>
      <c r="U4477">
        <v>0.22949220000000001</v>
      </c>
      <c r="V4477">
        <v>-0.1512172</v>
      </c>
      <c r="W4477">
        <v>2.86643E-2</v>
      </c>
      <c r="X4477">
        <v>0.98808490000000004</v>
      </c>
      <c r="Y4477">
        <v>-6.5177310000000002E-2</v>
      </c>
      <c r="Z4477">
        <v>1.210233E-3</v>
      </c>
      <c r="AA4477">
        <v>0.99787289999999995</v>
      </c>
      <c r="AB4477">
        <v>29</v>
      </c>
      <c r="AC4477">
        <v>30.256499999999999</v>
      </c>
      <c r="AD4477">
        <v>-1.1100067372619999</v>
      </c>
      <c r="AE4477">
        <v>2.3191999999999902</v>
      </c>
      <c r="AF4477">
        <v>-1.9853147452973301</v>
      </c>
      <c r="AG4477">
        <v>-1.1100067372619999</v>
      </c>
      <c r="AH4477">
        <v>30.2396050469128</v>
      </c>
      <c r="AI4477">
        <v>92.097703336794396</v>
      </c>
      <c r="AJ4477">
        <v>93.756237723407494</v>
      </c>
      <c r="AK4477">
        <v>30.325027666729898</v>
      </c>
      <c r="AL4477">
        <v>88.357431644795398</v>
      </c>
      <c r="AM4477">
        <v>98.701074469911006</v>
      </c>
      <c r="AN4477">
        <v>1.00000002663916</v>
      </c>
    </row>
    <row r="4478" spans="1:40" x14ac:dyDescent="0.25">
      <c r="A4478" t="str">
        <f>"20190305135721108"</f>
        <v>20190305135721108</v>
      </c>
      <c r="B4478" t="str">
        <f>"1551765441096989"</f>
        <v>1551765441096989</v>
      </c>
      <c r="C4478" t="s">
        <v>40</v>
      </c>
      <c r="D4478">
        <v>4.2795940000000003</v>
      </c>
      <c r="E4478">
        <v>0.53155289999999999</v>
      </c>
      <c r="F4478" t="s">
        <v>91</v>
      </c>
      <c r="G4478">
        <v>-237.0112</v>
      </c>
      <c r="H4478" s="1">
        <v>-2.0347350000000001E-6</v>
      </c>
      <c r="I4478">
        <v>-60.15936</v>
      </c>
      <c r="J4478">
        <v>-266.40600000000001</v>
      </c>
      <c r="K4478">
        <v>1.109899</v>
      </c>
      <c r="L4478">
        <v>-62.427700000000002</v>
      </c>
      <c r="M4478">
        <v>0.99989019999999995</v>
      </c>
      <c r="N4478">
        <v>-9.6528650000000001E-3</v>
      </c>
      <c r="O4478">
        <v>1.12499E-2</v>
      </c>
      <c r="P4478">
        <v>0.9866161</v>
      </c>
      <c r="Q4478">
        <v>1.9190550000000001E-2</v>
      </c>
      <c r="R4478">
        <v>0.1619274</v>
      </c>
      <c r="S4478">
        <v>3.0050349999999999</v>
      </c>
      <c r="T4478">
        <v>-0.1129073</v>
      </c>
      <c r="U4478">
        <v>0.23092650000000001</v>
      </c>
      <c r="V4478">
        <v>-0.1508632</v>
      </c>
      <c r="W4478">
        <v>2.848842E-2</v>
      </c>
      <c r="X4478">
        <v>0.98814400000000002</v>
      </c>
      <c r="Y4478">
        <v>-6.5345109999999998E-2</v>
      </c>
      <c r="Z4478">
        <v>1.227908E-3</v>
      </c>
      <c r="AA4478">
        <v>0.99786200000000003</v>
      </c>
      <c r="AB4478">
        <v>29</v>
      </c>
      <c r="AC4478">
        <v>29.3948</v>
      </c>
      <c r="AD4478">
        <v>-1.109901034735</v>
      </c>
      <c r="AE4478">
        <v>2.2683399999999998</v>
      </c>
      <c r="AF4478">
        <v>-1.9347504571254099</v>
      </c>
      <c r="AG4478">
        <v>-1.109901034735</v>
      </c>
      <c r="AH4478">
        <v>29.376824900724301</v>
      </c>
      <c r="AI4478">
        <v>92.159019518726296</v>
      </c>
      <c r="AJ4478">
        <v>93.768044250128099</v>
      </c>
      <c r="AK4478">
        <v>29.461381177501998</v>
      </c>
      <c r="AL4478">
        <v>88.367512785450799</v>
      </c>
      <c r="AM4478">
        <v>98.680504586656696</v>
      </c>
      <c r="AN4478">
        <v>0.99999992996216502</v>
      </c>
    </row>
    <row r="4479" spans="1:40" x14ac:dyDescent="0.25">
      <c r="A4479" t="str">
        <f>"20190305135721120"</f>
        <v>20190305135721120</v>
      </c>
      <c r="B4479" t="str">
        <f>"1551765441116511"</f>
        <v>1551765441116511</v>
      </c>
      <c r="C4479" t="s">
        <v>40</v>
      </c>
      <c r="D4479">
        <v>4.2866400000000002</v>
      </c>
      <c r="E4479">
        <v>0.53126209999999996</v>
      </c>
      <c r="F4479" t="s">
        <v>91</v>
      </c>
      <c r="G4479">
        <v>-237.6155</v>
      </c>
      <c r="H4479" s="1">
        <v>-2.28607E-6</v>
      </c>
      <c r="I4479">
        <v>-60.20393</v>
      </c>
      <c r="J4479">
        <v>-266.26240000000001</v>
      </c>
      <c r="K4479">
        <v>1.1097999999999999</v>
      </c>
      <c r="L4479">
        <v>-62.425809999999998</v>
      </c>
      <c r="M4479">
        <v>0.99988809999999995</v>
      </c>
      <c r="N4479">
        <v>-9.6462779999999995E-3</v>
      </c>
      <c r="O4479">
        <v>1.144272E-2</v>
      </c>
      <c r="P4479">
        <v>0.98667479999999996</v>
      </c>
      <c r="Q4479">
        <v>1.9266120000000001E-2</v>
      </c>
      <c r="R4479">
        <v>0.16156019999999999</v>
      </c>
      <c r="S4479">
        <v>3.0048219999999999</v>
      </c>
      <c r="T4479">
        <v>-0.115839</v>
      </c>
      <c r="U4479">
        <v>0.23208619999999999</v>
      </c>
      <c r="V4479">
        <v>-0.1502983</v>
      </c>
      <c r="W4479">
        <v>2.8595189999999999E-2</v>
      </c>
      <c r="X4479">
        <v>0.98822710000000002</v>
      </c>
      <c r="Y4479">
        <v>-6.5538429999999995E-2</v>
      </c>
      <c r="Z4479">
        <v>1.247614E-3</v>
      </c>
      <c r="AA4479">
        <v>0.99784930000000005</v>
      </c>
      <c r="AB4479">
        <v>29</v>
      </c>
      <c r="AC4479">
        <v>28.646899999999999</v>
      </c>
      <c r="AD4479">
        <v>-1.1098022860700001</v>
      </c>
      <c r="AE4479">
        <v>2.2218799999999899</v>
      </c>
      <c r="AF4479">
        <v>-1.8910995687305601</v>
      </c>
      <c r="AG4479">
        <v>-1.1098022860700001</v>
      </c>
      <c r="AH4479">
        <v>28.627740952268599</v>
      </c>
      <c r="AI4479">
        <v>92.215231867589495</v>
      </c>
      <c r="AJ4479">
        <v>93.779370168246203</v>
      </c>
      <c r="AK4479">
        <v>28.711591225900602</v>
      </c>
      <c r="AL4479">
        <v>88.361392989470005</v>
      </c>
      <c r="AM4479">
        <v>98.647776970703603</v>
      </c>
      <c r="AN4479">
        <v>1.00000003252421</v>
      </c>
    </row>
    <row r="4480" spans="1:40" x14ac:dyDescent="0.25">
      <c r="A4480" t="str">
        <f>"20190305135721132"</f>
        <v>20190305135721132</v>
      </c>
      <c r="B4480" t="str">
        <f>"1551765441127247"</f>
        <v>1551765441127247</v>
      </c>
      <c r="C4480" t="s">
        <v>40</v>
      </c>
      <c r="D4480">
        <v>4.2810129999999997</v>
      </c>
      <c r="E4480">
        <v>0.53113730000000003</v>
      </c>
      <c r="F4480" t="s">
        <v>91</v>
      </c>
      <c r="G4480">
        <v>-238.4358</v>
      </c>
      <c r="H4480" s="1">
        <v>-2.6268119999999999E-6</v>
      </c>
      <c r="I4480">
        <v>-60.26679</v>
      </c>
      <c r="J4480">
        <v>-266.10509999999999</v>
      </c>
      <c r="K4480">
        <v>1.109693</v>
      </c>
      <c r="L4480">
        <v>-62.423740000000002</v>
      </c>
      <c r="M4480">
        <v>0.99988589999999999</v>
      </c>
      <c r="N4480">
        <v>-9.6393610000000008E-3</v>
      </c>
      <c r="O4480">
        <v>1.1629530000000001E-2</v>
      </c>
      <c r="P4480">
        <v>0.98672219999999999</v>
      </c>
      <c r="Q4480">
        <v>1.9072180000000001E-2</v>
      </c>
      <c r="R4480">
        <v>0.1612944</v>
      </c>
      <c r="S4480">
        <v>3.0047000000000001</v>
      </c>
      <c r="T4480">
        <v>-0.1198359</v>
      </c>
      <c r="U4480">
        <v>0.23312379999999999</v>
      </c>
      <c r="V4480">
        <v>-0.14983949999999999</v>
      </c>
      <c r="W4480">
        <v>2.843408E-2</v>
      </c>
      <c r="X4480">
        <v>0.9883014</v>
      </c>
      <c r="Y4480">
        <v>-6.5694210000000003E-2</v>
      </c>
      <c r="Z4480">
        <v>1.273852E-3</v>
      </c>
      <c r="AA4480">
        <v>0.99783900000000003</v>
      </c>
      <c r="AB4480">
        <v>29</v>
      </c>
      <c r="AC4480">
        <v>27.6693</v>
      </c>
      <c r="AD4480">
        <v>-1.109695626812</v>
      </c>
      <c r="AE4480">
        <v>2.1569500000000001</v>
      </c>
      <c r="AF4480">
        <v>-1.8320791790286</v>
      </c>
      <c r="AG4480">
        <v>-1.109695626812</v>
      </c>
      <c r="AH4480">
        <v>27.648311459392001</v>
      </c>
      <c r="AI4480">
        <v>92.293371927608305</v>
      </c>
      <c r="AJ4480">
        <v>93.791087602980198</v>
      </c>
      <c r="AK4480">
        <v>27.731156936881401</v>
      </c>
      <c r="AL4480">
        <v>88.370627638630197</v>
      </c>
      <c r="AM4480">
        <v>98.621137653630697</v>
      </c>
      <c r="AN4480">
        <v>1.00000001495382</v>
      </c>
    </row>
    <row r="4481" spans="1:40" x14ac:dyDescent="0.25">
      <c r="A4481" t="str">
        <f>"20190305135721142"</f>
        <v>20190305135721142</v>
      </c>
      <c r="B4481" t="str">
        <f>"1551765441137006"</f>
        <v>1551765441137006</v>
      </c>
      <c r="C4481" t="s">
        <v>40</v>
      </c>
      <c r="D4481">
        <v>4.3803839999999896</v>
      </c>
      <c r="E4481">
        <v>0.53119249999999996</v>
      </c>
      <c r="F4481" t="s">
        <v>91</v>
      </c>
      <c r="G4481">
        <v>-238.84190000000001</v>
      </c>
      <c r="H4481" s="1">
        <v>-2.793866E-6</v>
      </c>
      <c r="I4481">
        <v>-60.307250000000003</v>
      </c>
      <c r="J4481">
        <v>-265.95920000000001</v>
      </c>
      <c r="K4481">
        <v>1.109604</v>
      </c>
      <c r="L4481">
        <v>-62.421840000000003</v>
      </c>
      <c r="M4481">
        <v>0.99988480000000002</v>
      </c>
      <c r="N4481">
        <v>-9.6337660000000002E-3</v>
      </c>
      <c r="O4481">
        <v>1.173222E-2</v>
      </c>
      <c r="P4481">
        <v>0.98678920000000003</v>
      </c>
      <c r="Q4481">
        <v>1.914623E-2</v>
      </c>
      <c r="R4481">
        <v>0.1608744</v>
      </c>
      <c r="S4481">
        <v>3.0046080000000002</v>
      </c>
      <c r="T4481">
        <v>-0.1222968</v>
      </c>
      <c r="U4481">
        <v>0.2332458</v>
      </c>
      <c r="V4481">
        <v>-0.14931120000000001</v>
      </c>
      <c r="W4481">
        <v>2.853609E-2</v>
      </c>
      <c r="X4481">
        <v>0.98837839999999999</v>
      </c>
      <c r="Y4481">
        <v>-6.5632380000000004E-2</v>
      </c>
      <c r="Z4481">
        <v>1.286227E-3</v>
      </c>
      <c r="AA4481">
        <v>0.99784300000000004</v>
      </c>
      <c r="AB4481">
        <v>30</v>
      </c>
      <c r="AC4481">
        <v>27.1173</v>
      </c>
      <c r="AD4481">
        <v>-1.1096067938659999</v>
      </c>
      <c r="AE4481">
        <v>2.1145900000000002</v>
      </c>
      <c r="AF4481">
        <v>-1.7932991108397001</v>
      </c>
      <c r="AG4481">
        <v>-1.1096067938659999</v>
      </c>
      <c r="AH4481">
        <v>27.095150995975501</v>
      </c>
      <c r="AI4481">
        <v>92.339965646439595</v>
      </c>
      <c r="AJ4481">
        <v>93.786612377391606</v>
      </c>
      <c r="AK4481">
        <v>27.177092494095898</v>
      </c>
      <c r="AL4481">
        <v>88.364780502782594</v>
      </c>
      <c r="AM4481">
        <v>98.590536513514493</v>
      </c>
      <c r="AN4481">
        <v>1.0000000022322399</v>
      </c>
    </row>
    <row r="4482" spans="1:40" x14ac:dyDescent="0.25">
      <c r="A4482" t="str">
        <f>"20190305135721154"</f>
        <v>20190305135721154</v>
      </c>
      <c r="B4482" t="str">
        <f>"1551765441146766"</f>
        <v>1551765441146766</v>
      </c>
      <c r="C4482" t="s">
        <v>40</v>
      </c>
      <c r="D4482">
        <v>4.2818160000000001</v>
      </c>
      <c r="E4482">
        <v>0.53109169999999895</v>
      </c>
      <c r="F4482" t="s">
        <v>91</v>
      </c>
      <c r="G4482">
        <v>-239.142</v>
      </c>
      <c r="H4482" s="1">
        <v>-2.9138139999999999E-6</v>
      </c>
      <c r="I4482">
        <v>-60.356740000000002</v>
      </c>
      <c r="J4482">
        <v>-265.80549999999999</v>
      </c>
      <c r="K4482">
        <v>1.1095170000000001</v>
      </c>
      <c r="L4482">
        <v>-62.419919999999998</v>
      </c>
      <c r="M4482">
        <v>0.99988410000000005</v>
      </c>
      <c r="N4482">
        <v>-9.6282329999999999E-3</v>
      </c>
      <c r="O4482">
        <v>1.1811790000000001E-2</v>
      </c>
      <c r="P4482">
        <v>0.98692659999999999</v>
      </c>
      <c r="Q4482">
        <v>1.896668E-2</v>
      </c>
      <c r="R4482">
        <v>0.16005169999999999</v>
      </c>
      <c r="S4482">
        <v>3.0048219999999999</v>
      </c>
      <c r="T4482">
        <v>-0.1243296</v>
      </c>
      <c r="U4482">
        <v>0.23138429999999999</v>
      </c>
      <c r="V4482">
        <v>-0.14840220000000001</v>
      </c>
      <c r="W4482">
        <v>2.8384510000000002E-2</v>
      </c>
      <c r="X4482">
        <v>0.9885197</v>
      </c>
      <c r="Y4482">
        <v>-6.4931989999999995E-2</v>
      </c>
      <c r="Z4482">
        <v>1.2798029999999999E-3</v>
      </c>
      <c r="AA4482">
        <v>0.99788889999999997</v>
      </c>
      <c r="AB4482">
        <v>30</v>
      </c>
      <c r="AC4482">
        <v>26.663499999999999</v>
      </c>
      <c r="AD4482">
        <v>-1.1095199138139999</v>
      </c>
      <c r="AE4482">
        <v>2.0631799999999898</v>
      </c>
      <c r="AF4482">
        <v>-1.7450741579772699</v>
      </c>
      <c r="AG4482">
        <v>-1.1095199138139999</v>
      </c>
      <c r="AH4482">
        <v>26.640156408229998</v>
      </c>
      <c r="AI4482">
        <v>92.379804818818897</v>
      </c>
      <c r="AJ4482">
        <v>93.747828605394901</v>
      </c>
      <c r="AK4482">
        <v>26.720296624681101</v>
      </c>
      <c r="AL4482">
        <v>88.373468986620693</v>
      </c>
      <c r="AM4482">
        <v>98.5378084025226</v>
      </c>
      <c r="AN4482">
        <v>1.0000000453304301</v>
      </c>
    </row>
    <row r="4483" spans="1:40" x14ac:dyDescent="0.25">
      <c r="A4483" t="str">
        <f>"20190305135721165"</f>
        <v>20190305135721165</v>
      </c>
      <c r="B4483" t="str">
        <f>"1551765441156526"</f>
        <v>1551765441156526</v>
      </c>
      <c r="C4483" t="s">
        <v>40</v>
      </c>
      <c r="D4483">
        <v>4.274095</v>
      </c>
      <c r="E4483">
        <v>0.53098990000000001</v>
      </c>
      <c r="F4483" t="s">
        <v>91</v>
      </c>
      <c r="G4483">
        <v>-239.50149999999999</v>
      </c>
      <c r="H4483" s="1">
        <v>-3.070381E-6</v>
      </c>
      <c r="I4483">
        <v>-60.410440000000001</v>
      </c>
      <c r="J4483">
        <v>-265.65809999999999</v>
      </c>
      <c r="K4483">
        <v>1.1094409999999999</v>
      </c>
      <c r="L4483">
        <v>-62.418059999999997</v>
      </c>
      <c r="M4483">
        <v>0.99988350000000004</v>
      </c>
      <c r="N4483">
        <v>-9.6233970000000005E-3</v>
      </c>
      <c r="O4483">
        <v>1.184987E-2</v>
      </c>
      <c r="P4483">
        <v>0.98702959999999995</v>
      </c>
      <c r="Q4483">
        <v>1.906878E-2</v>
      </c>
      <c r="R4483">
        <v>0.15940179999999901</v>
      </c>
      <c r="S4483">
        <v>3.0049440000000001</v>
      </c>
      <c r="T4483">
        <v>-0.12675029999999901</v>
      </c>
      <c r="U4483">
        <v>0.22955320000000001</v>
      </c>
      <c r="V4483">
        <v>-0.14770829999999999</v>
      </c>
      <c r="W4483">
        <v>2.850892E-2</v>
      </c>
      <c r="X4483">
        <v>0.98862000000000005</v>
      </c>
      <c r="Y4483">
        <v>-6.4284969999999997E-2</v>
      </c>
      <c r="Z4483">
        <v>1.27819E-3</v>
      </c>
      <c r="AA4483">
        <v>0.99793080000000001</v>
      </c>
      <c r="AB4483">
        <v>30</v>
      </c>
      <c r="AC4483">
        <v>26.156600000000001</v>
      </c>
      <c r="AD4483">
        <v>-1.10944407038099</v>
      </c>
      <c r="AE4483">
        <v>2.00761999999999</v>
      </c>
      <c r="AF4483">
        <v>-1.69448173269296</v>
      </c>
      <c r="AG4483">
        <v>-1.10944407038099</v>
      </c>
      <c r="AH4483">
        <v>26.131816806638898</v>
      </c>
      <c r="AI4483">
        <v>92.425982562473806</v>
      </c>
      <c r="AJ4483">
        <v>93.710071957368001</v>
      </c>
      <c r="AK4483">
        <v>26.210188555282599</v>
      </c>
      <c r="AL4483">
        <v>88.366337863000496</v>
      </c>
      <c r="AM4483">
        <v>98.497621935756797</v>
      </c>
      <c r="AN4483">
        <v>1.0000000024042199</v>
      </c>
    </row>
    <row r="4484" spans="1:40" x14ac:dyDescent="0.25">
      <c r="A4484" t="str">
        <f>"20190305135721176"</f>
        <v>20190305135721176</v>
      </c>
      <c r="B4484" t="str">
        <f>"1551765441167263"</f>
        <v>1551765441167263</v>
      </c>
      <c r="C4484" t="s">
        <v>40</v>
      </c>
      <c r="D4484">
        <v>4.2804699999999896</v>
      </c>
      <c r="E4484">
        <v>0.53091199999999905</v>
      </c>
      <c r="F4484" t="s">
        <v>91</v>
      </c>
      <c r="G4484">
        <v>-239.6</v>
      </c>
      <c r="H4484" s="1">
        <v>-3.1200350000000001E-6</v>
      </c>
      <c r="I4484">
        <v>-60.438270000000003</v>
      </c>
      <c r="J4484">
        <v>-265.51659999999998</v>
      </c>
      <c r="K4484">
        <v>1.109378</v>
      </c>
      <c r="L4484">
        <v>-62.416350000000001</v>
      </c>
      <c r="M4484">
        <v>0.99988350000000004</v>
      </c>
      <c r="N4484">
        <v>-9.6190939999999999E-3</v>
      </c>
      <c r="O4484">
        <v>1.1853570000000001E-2</v>
      </c>
      <c r="P4484">
        <v>0.98721519999999996</v>
      </c>
      <c r="Q4484">
        <v>1.8683910000000001E-2</v>
      </c>
      <c r="R4484">
        <v>0.1582942</v>
      </c>
      <c r="S4484">
        <v>3.0050349999999999</v>
      </c>
      <c r="T4484">
        <v>-0.12794140000000001</v>
      </c>
      <c r="U4484">
        <v>0.228302</v>
      </c>
      <c r="V4484">
        <v>-0.14659059999999999</v>
      </c>
      <c r="W4484">
        <v>2.8143809999999998E-2</v>
      </c>
      <c r="X4484">
        <v>0.98879680000000003</v>
      </c>
      <c r="Y4484">
        <v>-6.3865270000000002E-2</v>
      </c>
      <c r="Z4484">
        <v>1.2749459999999999E-3</v>
      </c>
      <c r="AA4484">
        <v>0.99795769999999995</v>
      </c>
      <c r="AB4484">
        <v>30</v>
      </c>
      <c r="AC4484">
        <v>25.916599999999899</v>
      </c>
      <c r="AD4484">
        <v>-1.1093811200349999</v>
      </c>
      <c r="AE4484">
        <v>1.9780800000000001</v>
      </c>
      <c r="AF4484">
        <v>-1.6676845139963401</v>
      </c>
      <c r="AG4484">
        <v>-1.1093811200349999</v>
      </c>
      <c r="AH4484">
        <v>25.891061030882501</v>
      </c>
      <c r="AI4484">
        <v>92.448443192516294</v>
      </c>
      <c r="AJ4484">
        <v>93.685421362679804</v>
      </c>
      <c r="AK4484">
        <v>25.968421966160999</v>
      </c>
      <c r="AL4484">
        <v>88.387265510654402</v>
      </c>
      <c r="AM4484">
        <v>98.432762885048206</v>
      </c>
      <c r="AN4484">
        <v>0.99999999486995805</v>
      </c>
    </row>
    <row r="4485" spans="1:40" x14ac:dyDescent="0.25">
      <c r="A4485" t="str">
        <f>"20190305135721186"</f>
        <v>20190305135721186</v>
      </c>
      <c r="B4485" t="str">
        <f>"1551765441177022"</f>
        <v>1551765441177022</v>
      </c>
      <c r="C4485" t="s">
        <v>40</v>
      </c>
      <c r="D4485">
        <v>4.278524</v>
      </c>
      <c r="E4485">
        <v>0.53088610000000003</v>
      </c>
      <c r="F4485" t="s">
        <v>91</v>
      </c>
      <c r="G4485">
        <v>-239.97900000000001</v>
      </c>
      <c r="H4485" s="1">
        <v>-3.2906030000000002E-6</v>
      </c>
      <c r="I4485">
        <v>-60.500059999999998</v>
      </c>
      <c r="J4485">
        <v>-265.37240000000003</v>
      </c>
      <c r="K4485">
        <v>1.1093200000000001</v>
      </c>
      <c r="L4485">
        <v>-62.414580000000001</v>
      </c>
      <c r="M4485">
        <v>0.99988370000000004</v>
      </c>
      <c r="N4485">
        <v>-9.6149129999999992E-3</v>
      </c>
      <c r="O4485">
        <v>1.183705E-2</v>
      </c>
      <c r="P4485">
        <v>0.98740019999999995</v>
      </c>
      <c r="Q4485">
        <v>1.8061790000000001E-2</v>
      </c>
      <c r="R4485">
        <v>0.15720870000000001</v>
      </c>
      <c r="S4485">
        <v>3.0051570000000001</v>
      </c>
      <c r="T4485">
        <v>-0.1305472</v>
      </c>
      <c r="U4485">
        <v>0.22549440000000001</v>
      </c>
      <c r="V4485">
        <v>-0.14551559999999999</v>
      </c>
      <c r="W4485">
        <v>2.7538940000000001E-2</v>
      </c>
      <c r="X4485">
        <v>0.98897259999999998</v>
      </c>
      <c r="Y4485">
        <v>-6.2950370000000005E-2</v>
      </c>
      <c r="Z4485">
        <v>1.2684339999999999E-3</v>
      </c>
      <c r="AA4485">
        <v>0.99801589999999996</v>
      </c>
      <c r="AB4485">
        <v>30</v>
      </c>
      <c r="AC4485">
        <v>25.3934</v>
      </c>
      <c r="AD4485">
        <v>-1.1093232906029999</v>
      </c>
      <c r="AE4485">
        <v>1.91452000000001</v>
      </c>
      <c r="AF4485">
        <v>-1.6107324280827</v>
      </c>
      <c r="AG4485">
        <v>-1.1093232906029999</v>
      </c>
      <c r="AH4485">
        <v>25.366148369574798</v>
      </c>
      <c r="AI4485">
        <v>92.499061225489498</v>
      </c>
      <c r="AJ4485">
        <v>93.633363162577197</v>
      </c>
      <c r="AK4485">
        <v>25.441433533219701</v>
      </c>
      <c r="AL4485">
        <v>88.421935446717001</v>
      </c>
      <c r="AM4485">
        <v>98.370335002881305</v>
      </c>
      <c r="AN4485">
        <v>0.99999999330522105</v>
      </c>
    </row>
    <row r="4486" spans="1:40" x14ac:dyDescent="0.25">
      <c r="A4486" t="str">
        <f>"20190305135721198"</f>
        <v>20190305135721198</v>
      </c>
      <c r="B4486" t="str">
        <f>"1551765441186783"</f>
        <v>1551765441186783</v>
      </c>
      <c r="C4486" t="s">
        <v>40</v>
      </c>
      <c r="D4486">
        <v>4.2698450000000001</v>
      </c>
      <c r="E4486">
        <v>0.53084109999999995</v>
      </c>
      <c r="F4486" t="s">
        <v>90</v>
      </c>
      <c r="G4486">
        <v>-240.4717</v>
      </c>
      <c r="H4486" s="1">
        <v>7.6033639999999996E-7</v>
      </c>
      <c r="I4486">
        <v>-60.572209999999998</v>
      </c>
      <c r="J4486">
        <v>-265.23059999999998</v>
      </c>
      <c r="K4486">
        <v>1.1092679999999999</v>
      </c>
      <c r="L4486">
        <v>-62.4129</v>
      </c>
      <c r="M4486">
        <v>0.99988440000000001</v>
      </c>
      <c r="N4486">
        <v>-9.6113210000000008E-3</v>
      </c>
      <c r="O4486">
        <v>1.178791E-2</v>
      </c>
      <c r="P4486">
        <v>0.98755590000000004</v>
      </c>
      <c r="Q4486">
        <v>1.7412360000000002E-2</v>
      </c>
      <c r="R4486">
        <v>0.1563021</v>
      </c>
      <c r="S4486">
        <v>3.0053100000000001</v>
      </c>
      <c r="T4486">
        <v>-0.13388549999999999</v>
      </c>
      <c r="U4486">
        <v>0.2223511</v>
      </c>
      <c r="V4486">
        <v>-0.1446527</v>
      </c>
      <c r="W4486">
        <v>2.6903549999999998E-2</v>
      </c>
      <c r="X4486">
        <v>0.98911669999999996</v>
      </c>
      <c r="Y4486">
        <v>-6.1955730000000001E-2</v>
      </c>
      <c r="Z4486">
        <v>1.26483E-3</v>
      </c>
      <c r="AA4486">
        <v>0.99807809999999997</v>
      </c>
      <c r="AB4486">
        <v>30</v>
      </c>
      <c r="AC4486">
        <v>24.758899999999901</v>
      </c>
      <c r="AD4486">
        <v>-1.1092672396636001</v>
      </c>
      <c r="AE4486">
        <v>1.8406899999999999</v>
      </c>
      <c r="AF4486">
        <v>-1.5456075264729101</v>
      </c>
      <c r="AG4486">
        <v>-1.1092672396636001</v>
      </c>
      <c r="AH4486">
        <v>24.729512087656801</v>
      </c>
      <c r="AI4486">
        <v>92.563343382516607</v>
      </c>
      <c r="AJ4486">
        <v>93.576364425937399</v>
      </c>
      <c r="AK4486">
        <v>24.802583424483199</v>
      </c>
      <c r="AL4486">
        <v>88.458354157985696</v>
      </c>
      <c r="AM4486">
        <v>98.320201092037095</v>
      </c>
      <c r="AN4486">
        <v>1.0000000254193899</v>
      </c>
    </row>
    <row r="4487" spans="1:40" x14ac:dyDescent="0.25">
      <c r="A4487" t="str">
        <f>"20190305135721211"</f>
        <v>20190305135721211</v>
      </c>
      <c r="B4487" t="str">
        <f>"1551765441207278"</f>
        <v>1551765441207278</v>
      </c>
      <c r="C4487" t="s">
        <v>40</v>
      </c>
      <c r="D4487">
        <v>4.2536069999999997</v>
      </c>
      <c r="E4487">
        <v>0.53075430000000001</v>
      </c>
      <c r="F4487" t="s">
        <v>90</v>
      </c>
      <c r="G4487">
        <v>-240.86449999999999</v>
      </c>
      <c r="H4487" s="1">
        <v>5.7630920000000001E-7</v>
      </c>
      <c r="I4487">
        <v>-60.630429999999997</v>
      </c>
      <c r="J4487">
        <v>-265.06909999999999</v>
      </c>
      <c r="K4487">
        <v>1.109218</v>
      </c>
      <c r="L4487">
        <v>-62.411009999999997</v>
      </c>
      <c r="M4487">
        <v>0.99988509999999997</v>
      </c>
      <c r="N4487">
        <v>-9.6074230000000004E-3</v>
      </c>
      <c r="O4487">
        <v>1.1720009999999999E-2</v>
      </c>
      <c r="P4487">
        <v>0.98773569999999999</v>
      </c>
      <c r="Q4487">
        <v>1.6386769999999998E-2</v>
      </c>
      <c r="R4487">
        <v>0.15527260000000001</v>
      </c>
      <c r="S4487">
        <v>3.0054020000000001</v>
      </c>
      <c r="T4487">
        <v>-0.136821</v>
      </c>
      <c r="U4487">
        <v>0.21984860000000001</v>
      </c>
      <c r="V4487">
        <v>-0.14368529999999999</v>
      </c>
      <c r="W4487">
        <v>2.589253E-2</v>
      </c>
      <c r="X4487">
        <v>0.98928459999999996</v>
      </c>
      <c r="Y4487">
        <v>-6.1193009999999999E-2</v>
      </c>
      <c r="Z4487">
        <v>1.2647859999999999E-3</v>
      </c>
      <c r="AA4487">
        <v>0.99812509999999999</v>
      </c>
      <c r="AB4487">
        <v>30</v>
      </c>
      <c r="AC4487">
        <v>24.204599999999999</v>
      </c>
      <c r="AD4487">
        <v>-1.1092174236907999</v>
      </c>
      <c r="AE4487">
        <v>1.7805799999999901</v>
      </c>
      <c r="AF4487">
        <v>-1.49364652481406</v>
      </c>
      <c r="AG4487">
        <v>-1.1092174236907999</v>
      </c>
      <c r="AH4487">
        <v>24.1733139690093</v>
      </c>
      <c r="AI4487">
        <v>92.622239080566303</v>
      </c>
      <c r="AJ4487">
        <v>93.535757641140293</v>
      </c>
      <c r="AK4487">
        <v>24.244802566290499</v>
      </c>
      <c r="AL4487">
        <v>88.516301426276797</v>
      </c>
      <c r="AM4487">
        <v>98.263945613844101</v>
      </c>
      <c r="AN4487">
        <v>0.99999995417152399</v>
      </c>
    </row>
    <row r="4488" spans="1:40" x14ac:dyDescent="0.25">
      <c r="A4488" t="str">
        <f>"20190305135721222"</f>
        <v>20190305135721222</v>
      </c>
      <c r="B4488" t="str">
        <f>"1551765441217038"</f>
        <v>1551765441217038</v>
      </c>
      <c r="C4488" t="s">
        <v>40</v>
      </c>
      <c r="D4488">
        <v>4.1564019999999999</v>
      </c>
      <c r="E4488">
        <v>0.53075430000000001</v>
      </c>
      <c r="F4488" t="s">
        <v>90</v>
      </c>
      <c r="G4488">
        <v>-241.6129</v>
      </c>
      <c r="H4488" s="1">
        <v>2.3270839999999999E-7</v>
      </c>
      <c r="I4488">
        <v>-60.715159999999997</v>
      </c>
      <c r="J4488">
        <v>-264.89350000000002</v>
      </c>
      <c r="K4488">
        <v>1.1091660000000001</v>
      </c>
      <c r="L4488">
        <v>-62.408999999999999</v>
      </c>
      <c r="M4488">
        <v>0.99988659999999996</v>
      </c>
      <c r="N4488">
        <v>-9.6040440000000008E-3</v>
      </c>
      <c r="O4488">
        <v>1.1611130000000001E-2</v>
      </c>
      <c r="P4488">
        <v>0.98788359999999997</v>
      </c>
      <c r="Q4488">
        <v>1.5679200000000001E-2</v>
      </c>
      <c r="R4488">
        <v>0.1544046</v>
      </c>
      <c r="S4488">
        <v>3.005493</v>
      </c>
      <c r="T4488">
        <v>-0.14212669999999999</v>
      </c>
      <c r="U4488">
        <v>0.21728520000000001</v>
      </c>
      <c r="V4488">
        <v>-0.1429212</v>
      </c>
      <c r="W4488">
        <v>2.5197049999999999E-2</v>
      </c>
      <c r="X4488">
        <v>0.98941330000000005</v>
      </c>
      <c r="Y4488">
        <v>-6.0448799999999997E-2</v>
      </c>
      <c r="Z4488">
        <v>1.2808240000000001E-3</v>
      </c>
      <c r="AA4488">
        <v>0.99817049999999996</v>
      </c>
      <c r="AB4488">
        <v>30</v>
      </c>
      <c r="AC4488">
        <v>23.2806</v>
      </c>
      <c r="AD4488">
        <v>-1.1091657672916</v>
      </c>
      <c r="AE4488">
        <v>1.69384</v>
      </c>
      <c r="AF4488">
        <v>-1.42019259712023</v>
      </c>
      <c r="AG4488">
        <v>-1.1091657672916</v>
      </c>
      <c r="AH4488">
        <v>23.246210322213699</v>
      </c>
      <c r="AI4488">
        <v>92.726653340413705</v>
      </c>
      <c r="AJ4488">
        <v>93.496055056232706</v>
      </c>
      <c r="AK4488">
        <v>23.315949263472799</v>
      </c>
      <c r="AL4488">
        <v>88.556162599478995</v>
      </c>
      <c r="AM4488">
        <v>98.219546512123301</v>
      </c>
      <c r="AN4488">
        <v>1.00000001947751</v>
      </c>
    </row>
    <row r="4489" spans="1:40" x14ac:dyDescent="0.25">
      <c r="A4489" t="str">
        <f>"20190305135721235"</f>
        <v>20190305135721235</v>
      </c>
      <c r="B4489" t="str">
        <f>"1551765441226797"</f>
        <v>1551765441226797</v>
      </c>
      <c r="C4489" t="s">
        <v>40</v>
      </c>
      <c r="D4489">
        <v>4.2677110000000003</v>
      </c>
      <c r="E4489">
        <v>0.53070390000000001</v>
      </c>
      <c r="F4489" t="s">
        <v>90</v>
      </c>
      <c r="G4489">
        <v>-241.77440000000001</v>
      </c>
      <c r="H4489" s="1">
        <v>1.519805E-7</v>
      </c>
      <c r="I4489">
        <v>-60.758209999999998</v>
      </c>
      <c r="J4489">
        <v>-264.7364</v>
      </c>
      <c r="K4489">
        <v>1.109129</v>
      </c>
      <c r="L4489">
        <v>-62.407260000000001</v>
      </c>
      <c r="M4489">
        <v>0.99988779999999999</v>
      </c>
      <c r="N4489">
        <v>-9.6013299999999999E-3</v>
      </c>
      <c r="O4489">
        <v>1.1505140000000001E-2</v>
      </c>
      <c r="P4489">
        <v>0.98799309999999996</v>
      </c>
      <c r="Q4489">
        <v>1.468555E-2</v>
      </c>
      <c r="R4489">
        <v>0.1538004</v>
      </c>
      <c r="S4489">
        <v>3.0055540000000001</v>
      </c>
      <c r="T4489">
        <v>-0.14419470000000001</v>
      </c>
      <c r="U4489">
        <v>0.2145996</v>
      </c>
      <c r="V4489">
        <v>-0.14241889999999999</v>
      </c>
      <c r="W4489">
        <v>2.421268E-2</v>
      </c>
      <c r="X4489">
        <v>0.98951029999999995</v>
      </c>
      <c r="Y4489">
        <v>-5.9664950000000001E-2</v>
      </c>
      <c r="Z4489">
        <v>1.2750070000000001E-3</v>
      </c>
      <c r="AA4489">
        <v>0.99821760000000004</v>
      </c>
      <c r="AB4489">
        <v>30</v>
      </c>
      <c r="AC4489">
        <v>22.9619999999999</v>
      </c>
      <c r="AD4489">
        <v>-1.1091288480194901</v>
      </c>
      <c r="AE4489">
        <v>1.6490499999999999</v>
      </c>
      <c r="AF4489">
        <v>-1.3815408482825</v>
      </c>
      <c r="AG4489">
        <v>-1.1091288480194901</v>
      </c>
      <c r="AH4489">
        <v>22.926237395083898</v>
      </c>
      <c r="AI4489">
        <v>92.764696755746101</v>
      </c>
      <c r="AJ4489">
        <v>93.448487997438804</v>
      </c>
      <c r="AK4489">
        <v>22.994590298866498</v>
      </c>
      <c r="AL4489">
        <v>88.612580060726998</v>
      </c>
      <c r="AM4489">
        <v>98.190259329781696</v>
      </c>
      <c r="AN4489">
        <v>1.00000001537804</v>
      </c>
    </row>
    <row r="4490" spans="1:40" x14ac:dyDescent="0.25">
      <c r="A4490" t="str">
        <f>"20190305135721248"</f>
        <v>20190305135721248</v>
      </c>
      <c r="B4490" t="str">
        <f>"1551765441236558"</f>
        <v>1551765441236558</v>
      </c>
      <c r="C4490" t="s">
        <v>40</v>
      </c>
      <c r="D4490">
        <v>4.2561039999999997</v>
      </c>
      <c r="E4490">
        <v>0.53066239999999998</v>
      </c>
      <c r="F4490" t="s">
        <v>90</v>
      </c>
      <c r="G4490">
        <v>-242.22739999999999</v>
      </c>
      <c r="H4490" s="1">
        <v>-5.678601E-8</v>
      </c>
      <c r="I4490">
        <v>-60.812359999999998</v>
      </c>
      <c r="J4490">
        <v>-264.56689999999998</v>
      </c>
      <c r="K4490">
        <v>1.1090949999999999</v>
      </c>
      <c r="L4490">
        <v>-62.4054</v>
      </c>
      <c r="M4490">
        <v>0.99988929999999998</v>
      </c>
      <c r="N4490">
        <v>-9.5988050000000002E-3</v>
      </c>
      <c r="O4490">
        <v>1.1380110000000001E-2</v>
      </c>
      <c r="P4490">
        <v>0.98810439999999999</v>
      </c>
      <c r="Q4490">
        <v>1.394777E-2</v>
      </c>
      <c r="R4490">
        <v>0.15315129999999999</v>
      </c>
      <c r="S4490">
        <v>3.0055239999999999</v>
      </c>
      <c r="T4490">
        <v>-0.14809749999999999</v>
      </c>
      <c r="U4490">
        <v>0.21295169999999999</v>
      </c>
      <c r="V4490">
        <v>-0.14189060000000001</v>
      </c>
      <c r="W4490">
        <v>2.3483799999999999E-2</v>
      </c>
      <c r="X4490">
        <v>0.98960380000000003</v>
      </c>
      <c r="Y4490">
        <v>-5.9242900000000001E-2</v>
      </c>
      <c r="Z4490">
        <v>1.2912010000000001E-3</v>
      </c>
      <c r="AA4490">
        <v>0.99824270000000004</v>
      </c>
      <c r="AB4490">
        <v>30</v>
      </c>
      <c r="AC4490">
        <v>22.339499999999902</v>
      </c>
      <c r="AD4490">
        <v>-1.1090950567860101</v>
      </c>
      <c r="AE4490">
        <v>1.59304</v>
      </c>
      <c r="AF4490">
        <v>-1.3354242172528601</v>
      </c>
      <c r="AG4490">
        <v>-1.1090950567860101</v>
      </c>
      <c r="AH4490">
        <v>22.301491331706501</v>
      </c>
      <c r="AI4490">
        <v>92.841998788149496</v>
      </c>
      <c r="AJ4490">
        <v>93.426807428171003</v>
      </c>
      <c r="AK4490">
        <v>22.3689509209349</v>
      </c>
      <c r="AL4490">
        <v>88.654353744419495</v>
      </c>
      <c r="AM4490">
        <v>98.159527043798604</v>
      </c>
      <c r="AN4490">
        <v>1.0000000561026099</v>
      </c>
    </row>
    <row r="4491" spans="1:40" x14ac:dyDescent="0.25">
      <c r="A4491" t="str">
        <f>"20190305135721259"</f>
        <v>20190305135721259</v>
      </c>
      <c r="B4491" t="str">
        <f>"1551765441257055"</f>
        <v>1551765441257055</v>
      </c>
      <c r="C4491" t="s">
        <v>40</v>
      </c>
      <c r="D4491">
        <v>4.2536350000000001</v>
      </c>
      <c r="E4491">
        <v>0.53057299999999996</v>
      </c>
      <c r="F4491" t="s">
        <v>90</v>
      </c>
      <c r="G4491">
        <v>-242.51439999999999</v>
      </c>
      <c r="H4491" s="1">
        <v>-1.9143720000000001E-7</v>
      </c>
      <c r="I4491">
        <v>-60.855829999999997</v>
      </c>
      <c r="J4491">
        <v>-264.41770000000002</v>
      </c>
      <c r="K4491">
        <v>1.1090690000000001</v>
      </c>
      <c r="L4491">
        <v>-62.403779999999998</v>
      </c>
      <c r="M4491">
        <v>0.99989050000000002</v>
      </c>
      <c r="N4491">
        <v>-9.5970529999999995E-3</v>
      </c>
      <c r="O4491">
        <v>1.1263230000000001E-2</v>
      </c>
      <c r="P4491">
        <v>0.9882088</v>
      </c>
      <c r="Q4491">
        <v>1.3358160000000001E-2</v>
      </c>
      <c r="R4491">
        <v>0.152529</v>
      </c>
      <c r="S4491">
        <v>3.0055239999999999</v>
      </c>
      <c r="T4491">
        <v>-0.15115799999999999</v>
      </c>
      <c r="U4491">
        <v>0.2111816</v>
      </c>
      <c r="V4491">
        <v>-0.14138139999999999</v>
      </c>
      <c r="W4491">
        <v>2.290031E-2</v>
      </c>
      <c r="X4491">
        <v>0.98969030000000002</v>
      </c>
      <c r="Y4491">
        <v>-5.8772390000000001E-2</v>
      </c>
      <c r="Z4491">
        <v>1.3003419999999999E-3</v>
      </c>
      <c r="AA4491">
        <v>0.99827060000000001</v>
      </c>
      <c r="AB4491">
        <v>30</v>
      </c>
      <c r="AC4491">
        <v>21.903300000000002</v>
      </c>
      <c r="AD4491">
        <v>-1.1090691914372</v>
      </c>
      <c r="AE4491">
        <v>1.5479499999999999</v>
      </c>
      <c r="AF4491">
        <v>-1.29782758930584</v>
      </c>
      <c r="AG4491">
        <v>-1.1090691914372</v>
      </c>
      <c r="AH4491">
        <v>21.863569167741701</v>
      </c>
      <c r="AI4491">
        <v>92.898849162543399</v>
      </c>
      <c r="AJ4491">
        <v>93.397107197343004</v>
      </c>
      <c r="AK4491">
        <v>21.930117365750299</v>
      </c>
      <c r="AL4491">
        <v>88.687794187766599</v>
      </c>
      <c r="AM4491">
        <v>98.129936202224002</v>
      </c>
      <c r="AN4491">
        <v>1.00000000718907</v>
      </c>
    </row>
    <row r="4492" spans="1:40" x14ac:dyDescent="0.25">
      <c r="A4492" t="str">
        <f>"20190305135721272"</f>
        <v>20190305135721272</v>
      </c>
      <c r="B4492" t="str">
        <f>"1551765441266814"</f>
        <v>1551765441266814</v>
      </c>
      <c r="C4492" t="s">
        <v>40</v>
      </c>
      <c r="D4492">
        <v>4.271979</v>
      </c>
      <c r="E4492">
        <v>0.53052940000000004</v>
      </c>
      <c r="F4492" t="s">
        <v>90</v>
      </c>
      <c r="G4492">
        <v>-242.8312</v>
      </c>
      <c r="H4492" s="1">
        <v>-3.3822680000000002E-7</v>
      </c>
      <c r="I4492">
        <v>-60.896599999999999</v>
      </c>
      <c r="J4492">
        <v>-264.24020000000002</v>
      </c>
      <c r="K4492">
        <v>1.109043</v>
      </c>
      <c r="L4492">
        <v>-62.401859999999999</v>
      </c>
      <c r="M4492">
        <v>0.99989220000000001</v>
      </c>
      <c r="N4492">
        <v>-9.5951820000000007E-3</v>
      </c>
      <c r="O4492">
        <v>1.112148E-2</v>
      </c>
      <c r="P4492">
        <v>0.98833530000000003</v>
      </c>
      <c r="Q4492">
        <v>1.2987439999999999E-2</v>
      </c>
      <c r="R4492">
        <v>0.15174000000000001</v>
      </c>
      <c r="S4492">
        <v>3.0055239999999999</v>
      </c>
      <c r="T4492">
        <v>-0.15441759999999999</v>
      </c>
      <c r="U4492">
        <v>0.20983889999999999</v>
      </c>
      <c r="V4492">
        <v>-0.14073079999999999</v>
      </c>
      <c r="W4492">
        <v>2.2535630000000001E-2</v>
      </c>
      <c r="X4492">
        <v>0.98979139999999999</v>
      </c>
      <c r="Y4492">
        <v>-5.8467419999999999E-2</v>
      </c>
      <c r="Z4492">
        <v>1.3165010000000001E-3</v>
      </c>
      <c r="AA4492">
        <v>0.99828850000000002</v>
      </c>
      <c r="AB4492">
        <v>30</v>
      </c>
      <c r="AC4492">
        <v>21.408999999999999</v>
      </c>
      <c r="AD4492">
        <v>-1.1090433382267999</v>
      </c>
      <c r="AE4492">
        <v>1.5052599999999901</v>
      </c>
      <c r="AF4492">
        <v>-1.26368176136076</v>
      </c>
      <c r="AG4492">
        <v>-1.1090433382267999</v>
      </c>
      <c r="AH4492">
        <v>21.3673597137992</v>
      </c>
      <c r="AI4492">
        <v>92.966019005394799</v>
      </c>
      <c r="AJ4492">
        <v>93.384573273192402</v>
      </c>
      <c r="AK4492">
        <v>21.433406865427401</v>
      </c>
      <c r="AL4492">
        <v>88.708694215542494</v>
      </c>
      <c r="AM4492">
        <v>98.092205436363699</v>
      </c>
      <c r="AN4492">
        <v>1.0000000141010399</v>
      </c>
    </row>
    <row r="4493" spans="1:40" x14ac:dyDescent="0.25">
      <c r="A4493" t="str">
        <f>"20190305135721287"</f>
        <v>20190305135721287</v>
      </c>
      <c r="B4493" t="str">
        <f>"1551765441276574"</f>
        <v>1551765441276574</v>
      </c>
      <c r="C4493" t="s">
        <v>40</v>
      </c>
      <c r="D4493">
        <v>4.2597889999999996</v>
      </c>
      <c r="E4493">
        <v>0.53049109999999999</v>
      </c>
      <c r="F4493" t="s">
        <v>90</v>
      </c>
      <c r="G4493">
        <v>-242.89490000000001</v>
      </c>
      <c r="H4493" s="1">
        <v>-3.7358809999999999E-7</v>
      </c>
      <c r="I4493">
        <v>-60.926929999999999</v>
      </c>
      <c r="J4493">
        <v>-264.03859999999997</v>
      </c>
      <c r="K4493">
        <v>1.1090150000000001</v>
      </c>
      <c r="L4493">
        <v>-62.399749999999997</v>
      </c>
      <c r="M4493">
        <v>0.99989399999999995</v>
      </c>
      <c r="N4493">
        <v>-9.5935819999999998E-3</v>
      </c>
      <c r="O4493">
        <v>1.0957959999999999E-2</v>
      </c>
      <c r="P4493">
        <v>0.98858650000000003</v>
      </c>
      <c r="Q4493">
        <v>1.243736E-2</v>
      </c>
      <c r="R4493">
        <v>0.1501411</v>
      </c>
      <c r="S4493">
        <v>3.005585</v>
      </c>
      <c r="T4493">
        <v>-0.15616179999999999</v>
      </c>
      <c r="U4493">
        <v>0.2076721</v>
      </c>
      <c r="V4493">
        <v>-0.13929049999999901</v>
      </c>
      <c r="W4493">
        <v>2.1991690000000001E-2</v>
      </c>
      <c r="X4493">
        <v>0.99000730000000003</v>
      </c>
      <c r="Y4493">
        <v>-5.7912140000000001E-2</v>
      </c>
      <c r="Z4493">
        <v>1.3167610000000001E-3</v>
      </c>
      <c r="AA4493">
        <v>0.99832080000000001</v>
      </c>
      <c r="AB4493">
        <v>30</v>
      </c>
      <c r="AC4493">
        <v>21.1436999999999</v>
      </c>
      <c r="AD4493">
        <v>-1.1090153735881001</v>
      </c>
      <c r="AE4493">
        <v>1.47281999999999</v>
      </c>
      <c r="AF4493">
        <v>-1.2376406115088301</v>
      </c>
      <c r="AG4493">
        <v>-1.1090153735881001</v>
      </c>
      <c r="AH4493">
        <v>21.100799255243299</v>
      </c>
      <c r="AI4493">
        <v>93.003429816987804</v>
      </c>
      <c r="AJ4493">
        <v>93.356765403946397</v>
      </c>
      <c r="AK4493">
        <v>21.1661380178857</v>
      </c>
      <c r="AL4493">
        <v>88.739867347866905</v>
      </c>
      <c r="AM4493">
        <v>98.008742500752007</v>
      </c>
      <c r="AN4493">
        <v>0.99999996593629703</v>
      </c>
    </row>
    <row r="4494" spans="1:40" x14ac:dyDescent="0.25">
      <c r="A4494" t="str">
        <f>"20190305135721298"</f>
        <v>20190305135721298</v>
      </c>
      <c r="B4494" t="str">
        <f>"1551765441287311"</f>
        <v>1551765441287311</v>
      </c>
      <c r="C4494" t="s">
        <v>40</v>
      </c>
      <c r="D4494">
        <v>4.2764810000000004</v>
      </c>
      <c r="E4494">
        <v>0.53041879999999997</v>
      </c>
      <c r="F4494" t="s">
        <v>90</v>
      </c>
      <c r="G4494">
        <v>-243.01390000000001</v>
      </c>
      <c r="H4494" s="1">
        <v>-4.3872899999999998E-7</v>
      </c>
      <c r="I4494">
        <v>-60.97974</v>
      </c>
      <c r="J4494">
        <v>-263.8888</v>
      </c>
      <c r="K4494">
        <v>1.1090040000000001</v>
      </c>
      <c r="L4494">
        <v>-62.398220000000002</v>
      </c>
      <c r="M4494">
        <v>0.99989530000000004</v>
      </c>
      <c r="N4494">
        <v>-9.5927449999999997E-3</v>
      </c>
      <c r="O4494">
        <v>1.0836139999999999E-2</v>
      </c>
      <c r="P4494">
        <v>0.98868999999999996</v>
      </c>
      <c r="Q4494">
        <v>1.2164299999999999E-2</v>
      </c>
      <c r="R4494">
        <v>0.14947969999999999</v>
      </c>
      <c r="S4494">
        <v>3.005798</v>
      </c>
      <c r="T4494">
        <v>-0.15855060000000001</v>
      </c>
      <c r="U4494">
        <v>0.20300289999999999</v>
      </c>
      <c r="V4494">
        <v>-0.13874790000000001</v>
      </c>
      <c r="W4494">
        <v>2.172139E-2</v>
      </c>
      <c r="X4494">
        <v>0.99008949999999996</v>
      </c>
      <c r="Y4494">
        <v>-5.6485229999999997E-2</v>
      </c>
      <c r="Z4494">
        <v>1.291787E-3</v>
      </c>
      <c r="AA4494">
        <v>0.99840260000000003</v>
      </c>
      <c r="AB4494">
        <v>30</v>
      </c>
      <c r="AC4494">
        <v>20.8749</v>
      </c>
      <c r="AD4494">
        <v>-1.1090044387289999</v>
      </c>
      <c r="AE4494">
        <v>1.41847999999999</v>
      </c>
      <c r="AF4494">
        <v>-1.1888430059717201</v>
      </c>
      <c r="AG4494">
        <v>-1.1090044387289999</v>
      </c>
      <c r="AH4494">
        <v>20.830524076293798</v>
      </c>
      <c r="AI4494">
        <v>93.042573488587607</v>
      </c>
      <c r="AJ4494">
        <v>93.266450450820599</v>
      </c>
      <c r="AK4494">
        <v>20.893874026398802</v>
      </c>
      <c r="AL4494">
        <v>88.7553581508203</v>
      </c>
      <c r="AM4494">
        <v>97.977293426001395</v>
      </c>
      <c r="AN4494">
        <v>1.0000000082740901</v>
      </c>
    </row>
    <row r="4495" spans="1:40" x14ac:dyDescent="0.25">
      <c r="A4495" t="str">
        <f>"20190305135721310"</f>
        <v>20190305135721310</v>
      </c>
      <c r="B4495" t="str">
        <f>"1551765441306645"</f>
        <v>1551765441306645</v>
      </c>
      <c r="C4495" t="s">
        <v>40</v>
      </c>
      <c r="D4495">
        <v>4.2077410000000004</v>
      </c>
      <c r="E4495">
        <v>0.53042060000000002</v>
      </c>
      <c r="F4495" t="s">
        <v>90</v>
      </c>
      <c r="G4495">
        <v>-242.9906</v>
      </c>
      <c r="H4495" s="1">
        <v>-4.3335650000000002E-7</v>
      </c>
      <c r="I4495">
        <v>-60.997160000000001</v>
      </c>
      <c r="J4495">
        <v>-263.74059999999997</v>
      </c>
      <c r="K4495">
        <v>1.109002</v>
      </c>
      <c r="L4495">
        <v>-62.396700000000003</v>
      </c>
      <c r="M4495">
        <v>0.99989660000000002</v>
      </c>
      <c r="N4495">
        <v>-9.5920109999999992E-3</v>
      </c>
      <c r="O4495">
        <v>1.071565E-2</v>
      </c>
      <c r="P4495">
        <v>0.98880319999999999</v>
      </c>
      <c r="Q4495">
        <v>1.227936E-2</v>
      </c>
      <c r="R4495">
        <v>0.1487203</v>
      </c>
      <c r="S4495">
        <v>3.005798</v>
      </c>
      <c r="T4495">
        <v>-0.15950880000000001</v>
      </c>
      <c r="U4495">
        <v>0.20150760000000001</v>
      </c>
      <c r="V4495">
        <v>-0.13810639999999999</v>
      </c>
      <c r="W4495">
        <v>2.1838659999999999E-2</v>
      </c>
      <c r="X4495">
        <v>0.99017659999999996</v>
      </c>
      <c r="Y4495">
        <v>-5.6110710000000001E-2</v>
      </c>
      <c r="Z4495">
        <v>1.290811E-3</v>
      </c>
      <c r="AA4495">
        <v>0.99842370000000003</v>
      </c>
      <c r="AB4495">
        <v>30</v>
      </c>
      <c r="AC4495">
        <v>20.749999999999901</v>
      </c>
      <c r="AD4495">
        <v>-1.1090024333565001</v>
      </c>
      <c r="AE4495">
        <v>1.39954</v>
      </c>
      <c r="AF4495">
        <v>-1.1737620509428099</v>
      </c>
      <c r="AG4495">
        <v>-1.1090024333565001</v>
      </c>
      <c r="AH4495">
        <v>20.704931153694702</v>
      </c>
      <c r="AI4495">
        <v>93.061054957243798</v>
      </c>
      <c r="AJ4495">
        <v>93.244623534740995</v>
      </c>
      <c r="AK4495">
        <v>20.767806283492298</v>
      </c>
      <c r="AL4495">
        <v>88.748637472713597</v>
      </c>
      <c r="AM4495">
        <v>97.940192428177895</v>
      </c>
      <c r="AN4495">
        <v>1.0000000019895501</v>
      </c>
    </row>
    <row r="4496" spans="1:40" x14ac:dyDescent="0.25">
      <c r="A4496" t="str">
        <f>"20190305135721321"</f>
        <v>20190305135721321</v>
      </c>
      <c r="B4496" t="str">
        <f>"1551765441317383"</f>
        <v>1551765441317383</v>
      </c>
      <c r="C4496" t="s">
        <v>40</v>
      </c>
      <c r="D4496">
        <v>4.4881840000000004</v>
      </c>
      <c r="E4496">
        <v>0.53042060000000002</v>
      </c>
      <c r="F4496" t="s">
        <v>90</v>
      </c>
      <c r="G4496">
        <v>-242.77010000000001</v>
      </c>
      <c r="H4496" s="1">
        <v>-3.4132110000000001E-7</v>
      </c>
      <c r="I4496">
        <v>-61.006839999999997</v>
      </c>
      <c r="J4496">
        <v>-263.58539999999999</v>
      </c>
      <c r="K4496">
        <v>1.1089960000000001</v>
      </c>
      <c r="L4496">
        <v>-62.395169999999901</v>
      </c>
      <c r="M4496">
        <v>0.99989790000000001</v>
      </c>
      <c r="N4496">
        <v>-9.5916390000000008E-3</v>
      </c>
      <c r="O4496">
        <v>1.0590840000000001E-2</v>
      </c>
      <c r="P4496">
        <v>0.98887559999999997</v>
      </c>
      <c r="Q4496">
        <v>1.212483E-2</v>
      </c>
      <c r="R4496">
        <v>0.14824989999999999</v>
      </c>
      <c r="S4496">
        <v>3.0059809999999998</v>
      </c>
      <c r="T4496">
        <v>-0.158968</v>
      </c>
      <c r="U4496">
        <v>0.1992188</v>
      </c>
      <c r="V4496">
        <v>-0.13775799999999999</v>
      </c>
      <c r="W4496">
        <v>2.1686110000000001E-2</v>
      </c>
      <c r="X4496">
        <v>0.99022849999999996</v>
      </c>
      <c r="Y4496">
        <v>-5.5475829999999997E-2</v>
      </c>
      <c r="Z4496">
        <v>1.2732329999999999E-3</v>
      </c>
      <c r="AA4496">
        <v>0.99845919999999999</v>
      </c>
      <c r="AB4496">
        <v>30</v>
      </c>
      <c r="AC4496">
        <v>20.815299999999901</v>
      </c>
      <c r="AD4496">
        <v>-1.1089963413210999</v>
      </c>
      <c r="AE4496">
        <v>1.3883299999999801</v>
      </c>
      <c r="AF4496">
        <v>-1.16449963487238</v>
      </c>
      <c r="AG4496">
        <v>-1.1089963413210999</v>
      </c>
      <c r="AH4496">
        <v>20.770140988992701</v>
      </c>
      <c r="AI4496">
        <v>93.051552741452994</v>
      </c>
      <c r="AJ4496">
        <v>93.208988119720999</v>
      </c>
      <c r="AK4496">
        <v>20.832299176694701</v>
      </c>
      <c r="AL4496">
        <v>88.757380034341494</v>
      </c>
      <c r="AM4496">
        <v>97.920006431353897</v>
      </c>
      <c r="AN4496">
        <v>1.00000001807159</v>
      </c>
    </row>
    <row r="4497" spans="1:40" x14ac:dyDescent="0.25">
      <c r="A4497" t="str">
        <f>"20190305135721332"</f>
        <v>20190305135721332</v>
      </c>
      <c r="B4497" t="str">
        <f>"1551765441327141"</f>
        <v>1551765441327141</v>
      </c>
      <c r="C4497" t="s">
        <v>40</v>
      </c>
      <c r="D4497">
        <v>4.3648790000000002</v>
      </c>
      <c r="E4497">
        <v>0.55664119999999995</v>
      </c>
      <c r="F4497" t="s">
        <v>90</v>
      </c>
      <c r="G4497">
        <v>-242.6754</v>
      </c>
      <c r="H4497" s="1">
        <v>-3.0403629999999999E-7</v>
      </c>
      <c r="I4497">
        <v>-61.019329999999997</v>
      </c>
      <c r="J4497">
        <v>-263.4316</v>
      </c>
      <c r="K4497">
        <v>1.1089910000000001</v>
      </c>
      <c r="L4497">
        <v>-62.393650000000001</v>
      </c>
      <c r="M4497">
        <v>0.99989930000000005</v>
      </c>
      <c r="N4497">
        <v>-9.5913730000000003E-3</v>
      </c>
      <c r="O4497">
        <v>1.0467529999999999E-2</v>
      </c>
      <c r="P4497">
        <v>0.98893249999999999</v>
      </c>
      <c r="Q4497">
        <v>1.213351E-2</v>
      </c>
      <c r="R4497">
        <v>0.14787049999999999</v>
      </c>
      <c r="S4497">
        <v>3.0060419999999999</v>
      </c>
      <c r="T4497">
        <v>-0.15943070000000001</v>
      </c>
      <c r="U4497">
        <v>0.1977844</v>
      </c>
      <c r="V4497">
        <v>-0.13750009999999999</v>
      </c>
      <c r="W4497">
        <v>2.1696119999999999E-2</v>
      </c>
      <c r="X4497">
        <v>0.99026409999999998</v>
      </c>
      <c r="Y4497">
        <v>-5.5123329999999998E-2</v>
      </c>
      <c r="Z4497">
        <v>1.2701679999999999E-3</v>
      </c>
      <c r="AA4497">
        <v>0.9984788</v>
      </c>
      <c r="AB4497">
        <v>30</v>
      </c>
      <c r="AC4497">
        <v>20.7562</v>
      </c>
      <c r="AD4497">
        <v>-1.1089913040363</v>
      </c>
      <c r="AE4497">
        <v>1.37431999999999</v>
      </c>
      <c r="AF4497">
        <v>-1.15368951523694</v>
      </c>
      <c r="AG4497">
        <v>-1.1089913040363</v>
      </c>
      <c r="AH4497">
        <v>20.7105846867385</v>
      </c>
      <c r="AI4497">
        <v>93.060358782157905</v>
      </c>
      <c r="AJ4497">
        <v>93.188383876567499</v>
      </c>
      <c r="AK4497">
        <v>20.772317619287499</v>
      </c>
      <c r="AL4497">
        <v>88.756806337995201</v>
      </c>
      <c r="AM4497">
        <v>97.905086230074303</v>
      </c>
      <c r="AN4497">
        <v>0.99999999343593704</v>
      </c>
    </row>
    <row r="4498" spans="1:40" x14ac:dyDescent="0.25">
      <c r="A4498" t="str">
        <f>"20190305135721343"</f>
        <v>20190305135721343</v>
      </c>
      <c r="B4498" t="str">
        <f>"1551765441336901"</f>
        <v>1551765441336901</v>
      </c>
      <c r="C4498" t="s">
        <v>40</v>
      </c>
      <c r="D4498">
        <v>4.3131320000000004</v>
      </c>
      <c r="E4498">
        <v>0.56575109999999995</v>
      </c>
      <c r="F4498" t="s">
        <v>90</v>
      </c>
      <c r="G4498">
        <v>-241.36099999999999</v>
      </c>
      <c r="H4498" s="1">
        <v>-1.253374E-7</v>
      </c>
      <c r="I4498">
        <v>-62.466999999999999</v>
      </c>
      <c r="J4498">
        <v>-263.27519999999998</v>
      </c>
      <c r="K4498">
        <v>1.108992</v>
      </c>
      <c r="L4498">
        <v>-62.392150000000001</v>
      </c>
      <c r="M4498">
        <v>0.99990049999999997</v>
      </c>
      <c r="N4498">
        <v>-9.5913590000000007E-3</v>
      </c>
      <c r="O4498">
        <v>1.0343939999999999E-2</v>
      </c>
      <c r="P4498">
        <v>0.98897429999999997</v>
      </c>
      <c r="Q4498">
        <v>1.1823760000000001E-2</v>
      </c>
      <c r="R4498">
        <v>0.14761540000000001</v>
      </c>
      <c r="S4498">
        <v>3.0369570000000001</v>
      </c>
      <c r="T4498">
        <v>-0.15259909999999999</v>
      </c>
      <c r="U4498">
        <v>-1.010132E-2</v>
      </c>
      <c r="V4498">
        <v>-0.1373674</v>
      </c>
      <c r="W4498">
        <v>2.1387199999999999E-2</v>
      </c>
      <c r="X4498">
        <v>0.99028930000000004</v>
      </c>
      <c r="Y4498">
        <v>1.3641250000000001E-2</v>
      </c>
      <c r="Z4498">
        <v>-8.2822869999999999E-4</v>
      </c>
      <c r="AA4498">
        <v>0.99990659999999998</v>
      </c>
      <c r="AB4498">
        <v>30</v>
      </c>
      <c r="AC4498">
        <v>21.914199999999902</v>
      </c>
      <c r="AD4498">
        <v>-1.10899212533739</v>
      </c>
      <c r="AE4498">
        <v>-7.4849999999997793E-2</v>
      </c>
      <c r="AF4498">
        <v>0.30076534811316702</v>
      </c>
      <c r="AG4498">
        <v>-1.10899212533739</v>
      </c>
      <c r="AH4498">
        <v>21.856280424291398</v>
      </c>
      <c r="AI4498">
        <v>92.904433937154096</v>
      </c>
      <c r="AJ4498">
        <v>89.211599727776999</v>
      </c>
      <c r="AK4498">
        <v>21.886464248798799</v>
      </c>
      <c r="AL4498">
        <v>88.774510335608696</v>
      </c>
      <c r="AM4498">
        <v>97.897354986165993</v>
      </c>
      <c r="AN4498">
        <v>1.00000005630054</v>
      </c>
    </row>
    <row r="4499" spans="1:40" x14ac:dyDescent="0.25">
      <c r="A4499" t="str">
        <f>"20190305135721355"</f>
        <v>20190305135721355</v>
      </c>
      <c r="B4499" t="str">
        <f>"1551765441346661"</f>
        <v>1551765441346661</v>
      </c>
      <c r="C4499" t="s">
        <v>40</v>
      </c>
      <c r="D4499">
        <v>4.3602059999999998</v>
      </c>
      <c r="E4499">
        <v>0.57047029999999999</v>
      </c>
      <c r="F4499" t="s">
        <v>91</v>
      </c>
      <c r="G4499">
        <v>-233.66079999999999</v>
      </c>
      <c r="H4499" s="1">
        <v>-1.30256E-6</v>
      </c>
      <c r="I4499">
        <v>-63.183439999999997</v>
      </c>
      <c r="J4499">
        <v>-263.12880000000001</v>
      </c>
      <c r="K4499">
        <v>1.1089880000000001</v>
      </c>
      <c r="L4499">
        <v>-62.390689999999999</v>
      </c>
      <c r="M4499">
        <v>0.9999017</v>
      </c>
      <c r="N4499">
        <v>-9.5914550000000005E-3</v>
      </c>
      <c r="O4499">
        <v>1.022936E-2</v>
      </c>
      <c r="P4499">
        <v>0.98902760000000001</v>
      </c>
      <c r="Q4499">
        <v>1.1773769999999999E-2</v>
      </c>
      <c r="R4499">
        <v>0.14726110000000001</v>
      </c>
      <c r="S4499">
        <v>3.046967</v>
      </c>
      <c r="T4499">
        <v>-0.11410190000000001</v>
      </c>
      <c r="U4499">
        <v>-8.1420899999999893E-2</v>
      </c>
      <c r="V4499">
        <v>-0.13712579999999999</v>
      </c>
      <c r="W4499">
        <v>2.1338579999999999E-2</v>
      </c>
      <c r="X4499">
        <v>0.99032379999999998</v>
      </c>
      <c r="Y4499">
        <v>3.6900759999999998E-2</v>
      </c>
      <c r="Z4499">
        <v>-1.1524389999999999E-3</v>
      </c>
      <c r="AA4499">
        <v>0.99931820000000005</v>
      </c>
      <c r="AB4499">
        <v>30</v>
      </c>
      <c r="AC4499">
        <v>29.468</v>
      </c>
      <c r="AD4499">
        <v>-1.1089893025599999</v>
      </c>
      <c r="AE4499">
        <v>-0.79275000000000495</v>
      </c>
      <c r="AF4499">
        <v>1.09261481406282</v>
      </c>
      <c r="AG4499">
        <v>-1.1089893025599999</v>
      </c>
      <c r="AH4499">
        <v>29.416715771600099</v>
      </c>
      <c r="AI4499">
        <v>92.157501492808294</v>
      </c>
      <c r="AJ4499">
        <v>87.872860669171004</v>
      </c>
      <c r="AK4499">
        <v>29.457882327014101</v>
      </c>
      <c r="AL4499">
        <v>88.777296653164697</v>
      </c>
      <c r="AM4499">
        <v>97.883368831091801</v>
      </c>
      <c r="AN4499">
        <v>1.00000002443424</v>
      </c>
    </row>
    <row r="4500" spans="1:40" x14ac:dyDescent="0.25">
      <c r="A4500" t="str">
        <f>"20190305135721367"</f>
        <v>20190305135721367</v>
      </c>
      <c r="B4500" t="str">
        <f>"1551765441357397"</f>
        <v>1551765441357397</v>
      </c>
      <c r="C4500" t="s">
        <v>40</v>
      </c>
      <c r="D4500">
        <v>4.298584</v>
      </c>
      <c r="E4500">
        <v>0.57371740000000004</v>
      </c>
      <c r="F4500" t="s">
        <v>92</v>
      </c>
      <c r="G4500">
        <v>-229.3554</v>
      </c>
      <c r="H4500" s="1">
        <v>-3.637198E-6</v>
      </c>
      <c r="I4500">
        <v>-63.711350000000003</v>
      </c>
      <c r="J4500">
        <v>-262.96859999999998</v>
      </c>
      <c r="K4500">
        <v>1.108986</v>
      </c>
      <c r="L4500">
        <v>-62.389189999999999</v>
      </c>
      <c r="M4500">
        <v>0.99990299999999999</v>
      </c>
      <c r="N4500">
        <v>-9.5916620000000008E-3</v>
      </c>
      <c r="O4500">
        <v>1.010489E-2</v>
      </c>
      <c r="P4500">
        <v>0.98904510000000001</v>
      </c>
      <c r="Q4500">
        <v>1.15312E-2</v>
      </c>
      <c r="R4500">
        <v>0.14716360000000001</v>
      </c>
      <c r="S4500">
        <v>3.0522459999999998</v>
      </c>
      <c r="T4500">
        <v>-0.1002241</v>
      </c>
      <c r="U4500">
        <v>-0.11935419999999999</v>
      </c>
      <c r="V4500">
        <v>-0.137152</v>
      </c>
      <c r="W4500">
        <v>2.109639E-2</v>
      </c>
      <c r="X4500">
        <v>0.99032529999999996</v>
      </c>
      <c r="Y4500">
        <v>4.9132629999999997E-2</v>
      </c>
      <c r="Z4500">
        <v>-1.2766850000000001E-3</v>
      </c>
      <c r="AA4500">
        <v>0.99879150000000005</v>
      </c>
      <c r="AB4500">
        <v>30</v>
      </c>
      <c r="AC4500">
        <v>33.6131999999999</v>
      </c>
      <c r="AD4500">
        <v>-1.1089896371979999</v>
      </c>
      <c r="AE4500">
        <v>-1.32216</v>
      </c>
      <c r="AF4500">
        <v>1.65996167843631</v>
      </c>
      <c r="AG4500">
        <v>-1.1089896371979999</v>
      </c>
      <c r="AH4500">
        <v>33.561646810877697</v>
      </c>
      <c r="AI4500">
        <v>91.890247602052398</v>
      </c>
      <c r="AJ4500">
        <v>87.168453692554294</v>
      </c>
      <c r="AK4500">
        <v>33.620967675654299</v>
      </c>
      <c r="AL4500">
        <v>88.791176169514202</v>
      </c>
      <c r="AM4500">
        <v>97.884844334281496</v>
      </c>
      <c r="AN4500">
        <v>0.99999996429756</v>
      </c>
    </row>
    <row r="4501" spans="1:40" x14ac:dyDescent="0.25">
      <c r="A4501" t="str">
        <f>"20190305135721378"</f>
        <v>20190305135721378</v>
      </c>
      <c r="B4501" t="str">
        <f>"1551765441367157"</f>
        <v>1551765441367157</v>
      </c>
      <c r="C4501" t="s">
        <v>40</v>
      </c>
      <c r="D4501">
        <v>4.2987000000000002</v>
      </c>
      <c r="E4501">
        <v>0.57558580000000004</v>
      </c>
      <c r="F4501" t="s">
        <v>91</v>
      </c>
      <c r="G4501">
        <v>-230.20070000000001</v>
      </c>
      <c r="H4501" s="1">
        <v>-2.1702820000000001E-8</v>
      </c>
      <c r="I4501">
        <v>-63.948320000000002</v>
      </c>
      <c r="J4501">
        <v>-262.81290000000001</v>
      </c>
      <c r="K4501">
        <v>1.1089819999999999</v>
      </c>
      <c r="L4501">
        <v>-62.387729999999998</v>
      </c>
      <c r="M4501">
        <v>0.99990420000000002</v>
      </c>
      <c r="N4501">
        <v>-9.5921619999999996E-3</v>
      </c>
      <c r="O4501">
        <v>9.9857910000000008E-3</v>
      </c>
      <c r="P4501">
        <v>0.98908390000000002</v>
      </c>
      <c r="Q4501">
        <v>1.1210390000000001E-2</v>
      </c>
      <c r="R4501">
        <v>0.14692749999999999</v>
      </c>
      <c r="S4501">
        <v>3.0560610000000001</v>
      </c>
      <c r="T4501">
        <v>-0.1034281</v>
      </c>
      <c r="U4501">
        <v>-0.145416299999999</v>
      </c>
      <c r="V4501">
        <v>-0.137033399999999</v>
      </c>
      <c r="W4501">
        <v>2.0776510000000002E-2</v>
      </c>
      <c r="X4501">
        <v>0.99034849999999996</v>
      </c>
      <c r="Y4501">
        <v>5.7456649999999998E-2</v>
      </c>
      <c r="Z4501">
        <v>-1.489247E-3</v>
      </c>
      <c r="AA4501">
        <v>0.99834690000000004</v>
      </c>
      <c r="AB4501">
        <v>30</v>
      </c>
      <c r="AC4501">
        <v>32.612200000000001</v>
      </c>
      <c r="AD4501">
        <v>-1.1089820217028199</v>
      </c>
      <c r="AE4501">
        <v>-1.5605899999999899</v>
      </c>
      <c r="AF4501">
        <v>1.8840121595056001</v>
      </c>
      <c r="AG4501">
        <v>-1.1089820217028199</v>
      </c>
      <c r="AH4501">
        <v>32.5574276626988</v>
      </c>
      <c r="AI4501">
        <v>91.947618112131593</v>
      </c>
      <c r="AJ4501">
        <v>86.688138339612607</v>
      </c>
      <c r="AK4501">
        <v>32.630743769541702</v>
      </c>
      <c r="AL4501">
        <v>88.809507985553296</v>
      </c>
      <c r="AM4501">
        <v>97.877929454581604</v>
      </c>
      <c r="AN4501">
        <v>0.99999998376779398</v>
      </c>
    </row>
    <row r="4502" spans="1:40" x14ac:dyDescent="0.25">
      <c r="A4502" t="str">
        <f>"20190305135721391"</f>
        <v>20190305135721391</v>
      </c>
      <c r="B4502" t="str">
        <f>"1551765441386677"</f>
        <v>1551765441386677</v>
      </c>
      <c r="C4502" t="s">
        <v>40</v>
      </c>
      <c r="D4502">
        <v>4.2767359999999996</v>
      </c>
      <c r="E4502">
        <v>0.57754839999999996</v>
      </c>
      <c r="F4502" t="s">
        <v>92</v>
      </c>
      <c r="G4502">
        <v>-229.74199999999999</v>
      </c>
      <c r="H4502" s="1">
        <v>-3.8244399999999996E-6</v>
      </c>
      <c r="I4502">
        <v>-64.127899999999997</v>
      </c>
      <c r="J4502">
        <v>-262.65589999999997</v>
      </c>
      <c r="K4502">
        <v>1.1089800000000001</v>
      </c>
      <c r="L4502">
        <v>-62.386229999999998</v>
      </c>
      <c r="M4502">
        <v>0.9999053</v>
      </c>
      <c r="N4502">
        <v>-9.5927570000000004E-3</v>
      </c>
      <c r="O4502">
        <v>9.8665139999999998E-3</v>
      </c>
      <c r="P4502">
        <v>0.98909720000000001</v>
      </c>
      <c r="Q4502">
        <v>1.115504E-2</v>
      </c>
      <c r="R4502">
        <v>0.14684169999999999</v>
      </c>
      <c r="S4502">
        <v>3.0581670000000001</v>
      </c>
      <c r="T4502">
        <v>-0.1025512</v>
      </c>
      <c r="U4502">
        <v>-0.16091920000000001</v>
      </c>
      <c r="V4502">
        <v>-0.1370652</v>
      </c>
      <c r="W4502">
        <v>2.072216E-2</v>
      </c>
      <c r="X4502">
        <v>0.99034520000000004</v>
      </c>
      <c r="Y4502">
        <v>6.2349790000000002E-2</v>
      </c>
      <c r="Z4502">
        <v>-1.5797599999999999E-3</v>
      </c>
      <c r="AA4502">
        <v>0.99805310000000003</v>
      </c>
      <c r="AB4502">
        <v>30</v>
      </c>
      <c r="AC4502">
        <v>32.913899999999899</v>
      </c>
      <c r="AD4502">
        <v>-1.1089838244400001</v>
      </c>
      <c r="AE4502">
        <v>-1.7416699999999901</v>
      </c>
      <c r="AF4502">
        <v>2.0640089928083301</v>
      </c>
      <c r="AG4502">
        <v>-1.1089838244400001</v>
      </c>
      <c r="AH4502">
        <v>32.857914948860298</v>
      </c>
      <c r="AI4502">
        <v>91.929250037424893</v>
      </c>
      <c r="AJ4502">
        <v>86.405620181817994</v>
      </c>
      <c r="AK4502">
        <v>32.941350200497297</v>
      </c>
      <c r="AL4502">
        <v>88.812622637011302</v>
      </c>
      <c r="AM4502">
        <v>97.879760573509103</v>
      </c>
      <c r="AN4502">
        <v>0.99999994606457099</v>
      </c>
    </row>
    <row r="4503" spans="1:40" x14ac:dyDescent="0.25">
      <c r="A4503" t="str">
        <f>"20190305135721401"</f>
        <v>20190305135721401</v>
      </c>
      <c r="B4503" t="str">
        <f>"1551765441397413"</f>
        <v>1551765441397413</v>
      </c>
      <c r="C4503" t="s">
        <v>40</v>
      </c>
      <c r="D4503">
        <v>4.2674399999999997</v>
      </c>
      <c r="E4503">
        <v>0.57820590000000005</v>
      </c>
      <c r="F4503" t="s">
        <v>91</v>
      </c>
      <c r="G4503">
        <v>-235.22489999999999</v>
      </c>
      <c r="H4503" s="1">
        <v>-2.1846849999999998E-6</v>
      </c>
      <c r="I4503">
        <v>-63.97683</v>
      </c>
      <c r="J4503">
        <v>-262.50599999999997</v>
      </c>
      <c r="K4503">
        <v>1.108981</v>
      </c>
      <c r="L4503">
        <v>-62.384889999999999</v>
      </c>
      <c r="M4503">
        <v>0.99990650000000003</v>
      </c>
      <c r="N4503">
        <v>-9.5935240000000008E-3</v>
      </c>
      <c r="O4503">
        <v>9.7536169999999991E-3</v>
      </c>
      <c r="P4503">
        <v>0.98913689999999999</v>
      </c>
      <c r="Q4503">
        <v>1.077168E-2</v>
      </c>
      <c r="R4503">
        <v>0.1466037</v>
      </c>
      <c r="S4503">
        <v>3.0608219999999999</v>
      </c>
      <c r="T4503">
        <v>-0.12374309999999999</v>
      </c>
      <c r="U4503">
        <v>-0.17749019999999999</v>
      </c>
      <c r="V4503">
        <v>-0.13693920000000001</v>
      </c>
      <c r="W4503">
        <v>2.0339820000000002E-2</v>
      </c>
      <c r="X4503">
        <v>0.99037059999999999</v>
      </c>
      <c r="Y4503">
        <v>6.7552760000000003E-2</v>
      </c>
      <c r="Z4503">
        <v>-1.98868E-3</v>
      </c>
      <c r="AA4503">
        <v>0.99771370000000004</v>
      </c>
      <c r="AB4503">
        <v>30</v>
      </c>
      <c r="AC4503">
        <v>27.281099999999899</v>
      </c>
      <c r="AD4503">
        <v>-1.108983184685</v>
      </c>
      <c r="AE4503">
        <v>-1.5919399999999999</v>
      </c>
      <c r="AF4503">
        <v>1.85491115998149</v>
      </c>
      <c r="AG4503">
        <v>-1.108983184685</v>
      </c>
      <c r="AH4503">
        <v>27.219448379530501</v>
      </c>
      <c r="AI4503">
        <v>92.327679429490701</v>
      </c>
      <c r="AJ4503">
        <v>86.101518342384097</v>
      </c>
      <c r="AK4503">
        <v>27.305107749306998</v>
      </c>
      <c r="AL4503">
        <v>88.834533775266607</v>
      </c>
      <c r="AM4503">
        <v>97.872408433289706</v>
      </c>
      <c r="AN4503">
        <v>0.99999998905931597</v>
      </c>
    </row>
    <row r="4504" spans="1:40" x14ac:dyDescent="0.25">
      <c r="A4504" t="str">
        <f>"20190305135721412"</f>
        <v>20190305135721412</v>
      </c>
      <c r="B4504" t="str">
        <f>"1551765441407174"</f>
        <v>1551765441407174</v>
      </c>
      <c r="C4504" t="s">
        <v>40</v>
      </c>
      <c r="D4504">
        <v>4.2656869999999998</v>
      </c>
      <c r="E4504">
        <v>0.57884849999999999</v>
      </c>
      <c r="F4504" t="s">
        <v>91</v>
      </c>
      <c r="G4504">
        <v>-237.71119999999999</v>
      </c>
      <c r="H4504" s="1">
        <v>-3.1172450000000002E-6</v>
      </c>
      <c r="I4504">
        <v>-63.873379999999997</v>
      </c>
      <c r="J4504">
        <v>-262.3784</v>
      </c>
      <c r="K4504">
        <v>1.108976</v>
      </c>
      <c r="L4504">
        <v>-62.38373</v>
      </c>
      <c r="M4504">
        <v>0.99990730000000005</v>
      </c>
      <c r="N4504">
        <v>-9.5942079999999999E-3</v>
      </c>
      <c r="O4504">
        <v>9.6579470000000001E-3</v>
      </c>
      <c r="P4504">
        <v>0.98915850000000005</v>
      </c>
      <c r="Q4504">
        <v>1.079051E-2</v>
      </c>
      <c r="R4504">
        <v>0.14645610000000001</v>
      </c>
      <c r="S4504">
        <v>3.0616759999999998</v>
      </c>
      <c r="T4504">
        <v>-0.1369377</v>
      </c>
      <c r="U4504">
        <v>-0.18380740000000001</v>
      </c>
      <c r="V4504">
        <v>-0.1368858</v>
      </c>
      <c r="W4504">
        <v>2.0358890000000001E-2</v>
      </c>
      <c r="X4504">
        <v>0.99037759999999997</v>
      </c>
      <c r="Y4504">
        <v>6.9475170000000003E-2</v>
      </c>
      <c r="Z4504">
        <v>-2.2241549999999998E-3</v>
      </c>
      <c r="AA4504">
        <v>0.99758119999999995</v>
      </c>
      <c r="AB4504">
        <v>30</v>
      </c>
      <c r="AC4504">
        <v>24.667200000000001</v>
      </c>
      <c r="AD4504">
        <v>-1.1089791172450001</v>
      </c>
      <c r="AE4504">
        <v>-1.4896499999999899</v>
      </c>
      <c r="AF4504">
        <v>1.72435342059244</v>
      </c>
      <c r="AG4504">
        <v>-1.1089791172450001</v>
      </c>
      <c r="AH4504">
        <v>24.6021169631275</v>
      </c>
      <c r="AI4504">
        <v>92.574642488570106</v>
      </c>
      <c r="AJ4504">
        <v>85.990716374318197</v>
      </c>
      <c r="AK4504">
        <v>24.687393310533999</v>
      </c>
      <c r="AL4504">
        <v>88.833440929588093</v>
      </c>
      <c r="AM4504">
        <v>97.869322100378</v>
      </c>
      <c r="AN4504">
        <v>0.99999999861271505</v>
      </c>
    </row>
    <row r="4505" spans="1:40" x14ac:dyDescent="0.25">
      <c r="A4505" t="str">
        <f>"20190305135721423"</f>
        <v>20190305135721423</v>
      </c>
      <c r="B4505" t="str">
        <f>"1551765441416933"</f>
        <v>1551765441416933</v>
      </c>
      <c r="C4505" t="s">
        <v>40</v>
      </c>
      <c r="D4505">
        <v>4.2557330000000002</v>
      </c>
      <c r="E4505">
        <v>0.57934890000000006</v>
      </c>
      <c r="F4505" t="s">
        <v>91</v>
      </c>
      <c r="G4505">
        <v>-238.96709999999999</v>
      </c>
      <c r="H4505" s="1">
        <v>-3.537401E-6</v>
      </c>
      <c r="I4505">
        <v>-63.832619999999999</v>
      </c>
      <c r="J4505">
        <v>-262.20530000000002</v>
      </c>
      <c r="K4505">
        <v>1.1089739999999999</v>
      </c>
      <c r="L4505">
        <v>-62.382170000000002</v>
      </c>
      <c r="M4505">
        <v>0.99990849999999998</v>
      </c>
      <c r="N4505">
        <v>-9.5953129999999994E-3</v>
      </c>
      <c r="O4505">
        <v>9.5289569999999994E-3</v>
      </c>
      <c r="P4505">
        <v>0.98919020000000002</v>
      </c>
      <c r="Q4505">
        <v>1.1038940000000001E-2</v>
      </c>
      <c r="R4505">
        <v>0.1462223</v>
      </c>
      <c r="S4505">
        <v>3.0625309999999999</v>
      </c>
      <c r="T4505">
        <v>-0.14507010000000001</v>
      </c>
      <c r="U4505">
        <v>-0.18954470000000001</v>
      </c>
      <c r="V4505">
        <v>-0.13677979999999901</v>
      </c>
      <c r="W4505">
        <v>2.0608700000000001E-2</v>
      </c>
      <c r="X4505">
        <v>0.99038709999999996</v>
      </c>
      <c r="Y4505">
        <v>7.1179259999999994E-2</v>
      </c>
      <c r="Z4505">
        <v>-2.3847859999999999E-3</v>
      </c>
      <c r="AA4505">
        <v>0.99746069999999998</v>
      </c>
      <c r="AB4505">
        <v>30</v>
      </c>
      <c r="AC4505">
        <v>23.238199999999999</v>
      </c>
      <c r="AD4505">
        <v>-1.10897753740099</v>
      </c>
      <c r="AE4505">
        <v>-1.45045</v>
      </c>
      <c r="AF4505">
        <v>1.66804608106467</v>
      </c>
      <c r="AG4505">
        <v>-1.10897753740099</v>
      </c>
      <c r="AH4505">
        <v>23.1707584895316</v>
      </c>
      <c r="AI4505">
        <v>92.733084795516305</v>
      </c>
      <c r="AJ4505">
        <v>85.882421683131597</v>
      </c>
      <c r="AK4505">
        <v>23.257176481405001</v>
      </c>
      <c r="AL4505">
        <v>88.8191248924159</v>
      </c>
      <c r="AM4505">
        <v>97.863230123580706</v>
      </c>
      <c r="AN4505">
        <v>1.0000000200250601</v>
      </c>
    </row>
    <row r="4506" spans="1:40" x14ac:dyDescent="0.25">
      <c r="A4506" t="str">
        <f>"20190305135721436"</f>
        <v>20190305135721436</v>
      </c>
      <c r="B4506" t="str">
        <f>"1551765441426694"</f>
        <v>1551765441426694</v>
      </c>
      <c r="C4506" t="s">
        <v>40</v>
      </c>
      <c r="D4506">
        <v>4.2537140000000004</v>
      </c>
      <c r="E4506">
        <v>0.57978999999999903</v>
      </c>
      <c r="F4506" t="s">
        <v>91</v>
      </c>
      <c r="G4506">
        <v>-239.64930000000001</v>
      </c>
      <c r="H4506" s="1">
        <v>-3.7662259999999999E-6</v>
      </c>
      <c r="I4506">
        <v>-63.813780000000001</v>
      </c>
      <c r="J4506">
        <v>-262.03739999999999</v>
      </c>
      <c r="K4506">
        <v>1.108973</v>
      </c>
      <c r="L4506">
        <v>-62.380710000000001</v>
      </c>
      <c r="M4506">
        <v>0.99990979999999996</v>
      </c>
      <c r="N4506">
        <v>-9.5964989999999997E-3</v>
      </c>
      <c r="O4506">
        <v>9.4024030000000001E-3</v>
      </c>
      <c r="P4506">
        <v>0.989236</v>
      </c>
      <c r="Q4506">
        <v>1.093148E-2</v>
      </c>
      <c r="R4506">
        <v>0.14592079999999999</v>
      </c>
      <c r="S4506">
        <v>3.063202</v>
      </c>
      <c r="T4506">
        <v>-0.15060409999999999</v>
      </c>
      <c r="U4506">
        <v>-0.1944275</v>
      </c>
      <c r="V4506">
        <v>-0.13660259999999999</v>
      </c>
      <c r="W4506">
        <v>2.0503339999999998E-2</v>
      </c>
      <c r="X4506">
        <v>0.99041369999999895</v>
      </c>
      <c r="Y4506">
        <v>7.2613839999999999E-2</v>
      </c>
      <c r="Z4506">
        <v>-2.5026810000000001E-3</v>
      </c>
      <c r="AA4506">
        <v>0.99735700000000005</v>
      </c>
      <c r="AB4506">
        <v>30</v>
      </c>
      <c r="AC4506">
        <v>22.388099999999898</v>
      </c>
      <c r="AD4506">
        <v>-1.1089767662259999</v>
      </c>
      <c r="AE4506">
        <v>-1.4330700000000001</v>
      </c>
      <c r="AF4506">
        <v>1.63951191556383</v>
      </c>
      <c r="AG4506">
        <v>-1.1089767662259999</v>
      </c>
      <c r="AH4506">
        <v>22.319095846817099</v>
      </c>
      <c r="AI4506">
        <v>92.836904989308195</v>
      </c>
      <c r="AJ4506">
        <v>85.798723403082306</v>
      </c>
      <c r="AK4506">
        <v>22.406692487038701</v>
      </c>
      <c r="AL4506">
        <v>88.825162801127206</v>
      </c>
      <c r="AM4506">
        <v>97.852962108877804</v>
      </c>
      <c r="AN4506">
        <v>0.99999997721280198</v>
      </c>
    </row>
    <row r="4507" spans="1:40" x14ac:dyDescent="0.25">
      <c r="A4507" t="str">
        <f>"20190305135721455"</f>
        <v>20190305135721455</v>
      </c>
      <c r="B4507" t="str">
        <f>"1551765441447190"</f>
        <v>1551765441447190</v>
      </c>
      <c r="C4507" t="s">
        <v>40</v>
      </c>
      <c r="D4507">
        <v>4.2250329999999998</v>
      </c>
      <c r="E4507">
        <v>0.5804087</v>
      </c>
      <c r="F4507" t="s">
        <v>90</v>
      </c>
      <c r="G4507">
        <v>-240.32320000000001</v>
      </c>
      <c r="H4507" s="1">
        <v>-3.2269330000000002E-8</v>
      </c>
      <c r="I4507">
        <v>-63.790460000000003</v>
      </c>
      <c r="J4507">
        <v>-261.7697</v>
      </c>
      <c r="K4507">
        <v>1.1089719999999901</v>
      </c>
      <c r="L4507">
        <v>-62.378390000000003</v>
      </c>
      <c r="M4507">
        <v>0.99991180000000002</v>
      </c>
      <c r="N4507">
        <v>-9.5986409999999998E-3</v>
      </c>
      <c r="O4507">
        <v>9.1956439999999993E-3</v>
      </c>
      <c r="P4507">
        <v>0.9892611</v>
      </c>
      <c r="Q4507">
        <v>1.0510200000000001E-2</v>
      </c>
      <c r="R4507">
        <v>0.14578199999999999</v>
      </c>
      <c r="S4507">
        <v>3.0636899999999998</v>
      </c>
      <c r="T4507">
        <v>-0.15646679999999999</v>
      </c>
      <c r="U4507">
        <v>-0.1989136</v>
      </c>
      <c r="V4507">
        <v>-0.13666889999999901</v>
      </c>
      <c r="W4507">
        <v>2.0085240000000001E-2</v>
      </c>
      <c r="X4507">
        <v>0.99041310000000005</v>
      </c>
      <c r="Y4507">
        <v>7.3841909999999997E-2</v>
      </c>
      <c r="Z4507">
        <v>-2.6181860000000002E-3</v>
      </c>
      <c r="AA4507">
        <v>0.99726649999999994</v>
      </c>
      <c r="AB4507">
        <v>30</v>
      </c>
      <c r="AC4507">
        <v>21.446499999999901</v>
      </c>
      <c r="AD4507">
        <v>-1.1089720322693299</v>
      </c>
      <c r="AE4507">
        <v>-1.4120699999999899</v>
      </c>
      <c r="AF4507">
        <v>1.6049609104334099</v>
      </c>
      <c r="AG4507">
        <v>-1.1089720322693299</v>
      </c>
      <c r="AH4507">
        <v>21.375700082100899</v>
      </c>
      <c r="AI4507">
        <v>92.961523185390604</v>
      </c>
      <c r="AJ4507">
        <v>85.706093173089698</v>
      </c>
      <c r="AK4507">
        <v>21.464535226561601</v>
      </c>
      <c r="AL4507">
        <v>88.849123078481298</v>
      </c>
      <c r="AM4507">
        <v>97.856730652056896</v>
      </c>
      <c r="AN4507">
        <v>0.999999956872337</v>
      </c>
    </row>
    <row r="4508" spans="1:40" x14ac:dyDescent="0.25">
      <c r="A4508" t="str">
        <f>"20190305135721466"</f>
        <v>20190305135721466</v>
      </c>
      <c r="B4508" t="str">
        <f>"1551765441456950"</f>
        <v>1551765441456950</v>
      </c>
      <c r="C4508" t="s">
        <v>40</v>
      </c>
      <c r="D4508">
        <v>4.2845750000000002</v>
      </c>
      <c r="E4508">
        <v>0.58058120000000002</v>
      </c>
      <c r="F4508" t="s">
        <v>90</v>
      </c>
      <c r="G4508">
        <v>-240.8999</v>
      </c>
      <c r="H4508" s="1">
        <v>-2.7407529999999997E-7</v>
      </c>
      <c r="I4508">
        <v>-63.769359999999999</v>
      </c>
      <c r="J4508">
        <v>-261.62569999999999</v>
      </c>
      <c r="K4508">
        <v>1.1089659999999999</v>
      </c>
      <c r="L4508">
        <v>-62.3771699999999</v>
      </c>
      <c r="M4508">
        <v>0.99991280000000005</v>
      </c>
      <c r="N4508">
        <v>-9.5999050000000006E-3</v>
      </c>
      <c r="O4508">
        <v>9.0806210000000005E-3</v>
      </c>
      <c r="P4508">
        <v>0.98924699999999999</v>
      </c>
      <c r="Q4508">
        <v>1.076294E-2</v>
      </c>
      <c r="R4508">
        <v>0.14585870000000001</v>
      </c>
      <c r="S4508">
        <v>3.0644230000000001</v>
      </c>
      <c r="T4508">
        <v>-0.16283639999999999</v>
      </c>
      <c r="U4508">
        <v>-0.2042542</v>
      </c>
      <c r="V4508">
        <v>-0.13685899999999901</v>
      </c>
      <c r="W4508">
        <v>2.0339820000000002E-2</v>
      </c>
      <c r="X4508">
        <v>0.99038170000000003</v>
      </c>
      <c r="Y4508">
        <v>7.5430250000000004E-2</v>
      </c>
      <c r="Z4508">
        <v>-2.7578989999999999E-3</v>
      </c>
      <c r="AA4508">
        <v>0.99714729999999996</v>
      </c>
      <c r="AB4508">
        <v>30</v>
      </c>
      <c r="AC4508">
        <v>20.7257999999999</v>
      </c>
      <c r="AD4508">
        <v>-1.1089662740752999</v>
      </c>
      <c r="AE4508">
        <v>-1.39219</v>
      </c>
      <c r="AF4508">
        <v>1.57585305509341</v>
      </c>
      <c r="AG4508">
        <v>-1.1089662740752999</v>
      </c>
      <c r="AH4508">
        <v>20.653438666648601</v>
      </c>
      <c r="AI4508">
        <v>93.064599147199402</v>
      </c>
      <c r="AJ4508">
        <v>85.636797913078198</v>
      </c>
      <c r="AK4508">
        <v>20.7431349560595</v>
      </c>
      <c r="AL4508">
        <v>88.8345337914308</v>
      </c>
      <c r="AM4508">
        <v>97.867768549411096</v>
      </c>
      <c r="AN4508">
        <v>1.0000000029267599</v>
      </c>
    </row>
    <row r="4509" spans="1:40" x14ac:dyDescent="0.25">
      <c r="A4509" t="str">
        <f>"20190305135721477"</f>
        <v>20190305135721477</v>
      </c>
      <c r="B4509" t="str">
        <f>"1551765441466710"</f>
        <v>1551765441466710</v>
      </c>
      <c r="C4509" t="s">
        <v>40</v>
      </c>
      <c r="D4509">
        <v>4.2710480000000004</v>
      </c>
      <c r="E4509">
        <v>0.58083249999999997</v>
      </c>
      <c r="F4509" t="s">
        <v>90</v>
      </c>
      <c r="G4509">
        <v>-241.40029999999999</v>
      </c>
      <c r="H4509" s="1">
        <v>-4.7909399999999898E-7</v>
      </c>
      <c r="I4509">
        <v>-63.7331199999999</v>
      </c>
      <c r="J4509">
        <v>-261.48840000000001</v>
      </c>
      <c r="K4509">
        <v>1.1089659999999999</v>
      </c>
      <c r="L4509">
        <v>-62.376069999999999</v>
      </c>
      <c r="M4509">
        <v>0.99991379999999996</v>
      </c>
      <c r="N4509">
        <v>-9.601198E-3</v>
      </c>
      <c r="O4509">
        <v>8.9658180000000004E-3</v>
      </c>
      <c r="P4509">
        <v>0.98926959999999997</v>
      </c>
      <c r="Q4509">
        <v>1.065521E-2</v>
      </c>
      <c r="R4509">
        <v>0.14571289999999901</v>
      </c>
      <c r="S4509">
        <v>3.0647280000000001</v>
      </c>
      <c r="T4509">
        <v>-0.1680402</v>
      </c>
      <c r="U4509">
        <v>-0.20547489999999999</v>
      </c>
      <c r="V4509">
        <v>-0.13682720000000001</v>
      </c>
      <c r="W4509">
        <v>2.0235409999999999E-2</v>
      </c>
      <c r="X4509">
        <v>0.99038820000000005</v>
      </c>
      <c r="Y4509">
        <v>7.5696089999999994E-2</v>
      </c>
      <c r="Z4509">
        <v>-2.8402499999999999E-3</v>
      </c>
      <c r="AA4509">
        <v>0.99712690000000004</v>
      </c>
      <c r="AB4509">
        <v>30</v>
      </c>
      <c r="AC4509">
        <v>20.088100000000001</v>
      </c>
      <c r="AD4509">
        <v>-1.1089664790939999</v>
      </c>
      <c r="AE4509">
        <v>-1.3570499999999901</v>
      </c>
      <c r="AF4509">
        <v>1.5324608616406801</v>
      </c>
      <c r="AG4509">
        <v>-1.1089664790939999</v>
      </c>
      <c r="AH4509">
        <v>20.014405922687601</v>
      </c>
      <c r="AI4509">
        <v>93.162188395654496</v>
      </c>
      <c r="AJ4509">
        <v>85.621526108332503</v>
      </c>
      <c r="AK4509">
        <v>20.103598866430001</v>
      </c>
      <c r="AL4509">
        <v>88.840517237743995</v>
      </c>
      <c r="AM4509">
        <v>97.865912334791901</v>
      </c>
      <c r="AN4509">
        <v>0.99999997058847301</v>
      </c>
    </row>
    <row r="4510" spans="1:40" x14ac:dyDescent="0.25">
      <c r="A4510" t="str">
        <f>"20190305135721487"</f>
        <v>20190305135721487</v>
      </c>
      <c r="B4510" t="str">
        <f>"1551765441477447"</f>
        <v>1551765441477447</v>
      </c>
      <c r="C4510" t="s">
        <v>40</v>
      </c>
      <c r="D4510">
        <v>4.2465580000000003</v>
      </c>
      <c r="E4510">
        <v>0.58100229999999997</v>
      </c>
      <c r="F4510" t="s">
        <v>90</v>
      </c>
      <c r="G4510">
        <v>-241.75020000000001</v>
      </c>
      <c r="H4510" s="1">
        <v>-6.2455649999999998E-7</v>
      </c>
      <c r="I4510">
        <v>-63.715710000000001</v>
      </c>
      <c r="J4510">
        <v>-261.34309999999999</v>
      </c>
      <c r="K4510">
        <v>1.1089610000000001</v>
      </c>
      <c r="L4510">
        <v>-62.374850000000002</v>
      </c>
      <c r="M4510">
        <v>0.999915</v>
      </c>
      <c r="N4510">
        <v>-9.6026010000000005E-3</v>
      </c>
      <c r="O4510">
        <v>8.8421819999999901E-3</v>
      </c>
      <c r="P4510">
        <v>0.98929370000000005</v>
      </c>
      <c r="Q4510">
        <v>1.0997649999999999E-2</v>
      </c>
      <c r="R4510">
        <v>0.14552470000000001</v>
      </c>
      <c r="S4510">
        <v>3.0650629999999999</v>
      </c>
      <c r="T4510">
        <v>-0.17220679999999999</v>
      </c>
      <c r="U4510">
        <v>-0.20803830000000001</v>
      </c>
      <c r="V4510">
        <v>-0.1367601</v>
      </c>
      <c r="W4510">
        <v>2.058105E-2</v>
      </c>
      <c r="X4510">
        <v>0.9903904</v>
      </c>
      <c r="Y4510">
        <v>7.6387819999999995E-2</v>
      </c>
      <c r="Z4510">
        <v>-2.920363E-3</v>
      </c>
      <c r="AA4510">
        <v>0.99707389999999996</v>
      </c>
      <c r="AB4510">
        <v>30</v>
      </c>
      <c r="AC4510">
        <v>19.592899999999901</v>
      </c>
      <c r="AD4510">
        <v>-1.1089616245564999</v>
      </c>
      <c r="AE4510">
        <v>-1.3408599999999899</v>
      </c>
      <c r="AF4510">
        <v>1.5092470632083399</v>
      </c>
      <c r="AG4510">
        <v>-1.1089616245564999</v>
      </c>
      <c r="AH4510">
        <v>19.518041188013999</v>
      </c>
      <c r="AI4510">
        <v>93.242235051340302</v>
      </c>
      <c r="AJ4510">
        <v>85.578359920676505</v>
      </c>
      <c r="AK4510">
        <v>19.6076912052274</v>
      </c>
      <c r="AL4510">
        <v>88.820709462037001</v>
      </c>
      <c r="AM4510">
        <v>97.862085900004899</v>
      </c>
      <c r="AN4510">
        <v>1.0000000244916301</v>
      </c>
    </row>
    <row r="4511" spans="1:40" x14ac:dyDescent="0.25">
      <c r="A4511" t="str">
        <f>"20190305135721499"</f>
        <v>20190305135721499</v>
      </c>
      <c r="B4511" t="str">
        <f>"1551765441496965"</f>
        <v>1551765441496965</v>
      </c>
      <c r="C4511" t="s">
        <v>40</v>
      </c>
      <c r="D4511">
        <v>4.2809290000000004</v>
      </c>
      <c r="E4511">
        <v>0.58142419999999995</v>
      </c>
      <c r="F4511" t="s">
        <v>90</v>
      </c>
      <c r="G4511">
        <v>-241.6412</v>
      </c>
      <c r="H4511" s="1">
        <v>-5.8010049999999997E-7</v>
      </c>
      <c r="I4511">
        <v>-63.724299999999999</v>
      </c>
      <c r="J4511">
        <v>-261.185</v>
      </c>
      <c r="K4511">
        <v>1.1089519999999999</v>
      </c>
      <c r="L4511">
        <v>-62.373570000000001</v>
      </c>
      <c r="M4511">
        <v>0.99991609999999997</v>
      </c>
      <c r="N4511">
        <v>-9.6041110000000002E-3</v>
      </c>
      <c r="O4511">
        <v>8.6978850000000007E-3</v>
      </c>
      <c r="P4511">
        <v>0.98929739999999999</v>
      </c>
      <c r="Q4511">
        <v>1.114162E-2</v>
      </c>
      <c r="R4511">
        <v>0.1454878</v>
      </c>
      <c r="S4511">
        <v>3.0652469999999998</v>
      </c>
      <c r="T4511">
        <v>-0.1725341</v>
      </c>
      <c r="U4511">
        <v>-0.20996090000000001</v>
      </c>
      <c r="V4511">
        <v>-0.13686589999999901</v>
      </c>
      <c r="W4511">
        <v>2.0729310000000001E-2</v>
      </c>
      <c r="X4511">
        <v>0.99037269999999999</v>
      </c>
      <c r="Y4511">
        <v>7.6861170000000006E-2</v>
      </c>
      <c r="Z4511">
        <v>-2.934061E-3</v>
      </c>
      <c r="AA4511">
        <v>0.99703750000000002</v>
      </c>
      <c r="AB4511">
        <v>30</v>
      </c>
      <c r="AC4511">
        <v>19.543800000000001</v>
      </c>
      <c r="AD4511">
        <v>-1.1089525801005</v>
      </c>
      <c r="AE4511">
        <v>-1.35073</v>
      </c>
      <c r="AF4511">
        <v>1.51581925925245</v>
      </c>
      <c r="AG4511">
        <v>-1.1089525801005</v>
      </c>
      <c r="AH4511">
        <v>19.468926571449501</v>
      </c>
      <c r="AI4511">
        <v>93.250237086996506</v>
      </c>
      <c r="AJ4511">
        <v>85.548024265433298</v>
      </c>
      <c r="AK4511">
        <v>19.559309438119801</v>
      </c>
      <c r="AL4511">
        <v>88.812212986107994</v>
      </c>
      <c r="AM4511">
        <v>97.868230855711801</v>
      </c>
      <c r="AN4511">
        <v>1.00000003189058</v>
      </c>
    </row>
    <row r="4512" spans="1:40" x14ac:dyDescent="0.25">
      <c r="A4512" t="str">
        <f>"20190305135721511"</f>
        <v>20190305135721511</v>
      </c>
      <c r="B4512" t="str">
        <f>"1551765441506726"</f>
        <v>1551765441506726</v>
      </c>
      <c r="C4512" t="s">
        <v>40</v>
      </c>
      <c r="D4512">
        <v>4.2585980000000001</v>
      </c>
      <c r="E4512">
        <v>0.58151980000000003</v>
      </c>
      <c r="F4512" t="s">
        <v>90</v>
      </c>
      <c r="G4512">
        <v>-241.97479999999999</v>
      </c>
      <c r="H4512" s="1">
        <v>-7.1979669999999997E-7</v>
      </c>
      <c r="I4512">
        <v>-63.711449999999999</v>
      </c>
      <c r="J4512">
        <v>-261.03089999999997</v>
      </c>
      <c r="K4512">
        <v>1.1089439999999999</v>
      </c>
      <c r="L4512">
        <v>-62.372340000000001</v>
      </c>
      <c r="M4512">
        <v>0.99991730000000001</v>
      </c>
      <c r="N4512">
        <v>-9.6056089999999993E-3</v>
      </c>
      <c r="O4512">
        <v>8.5539399999999995E-3</v>
      </c>
      <c r="P4512">
        <v>0.989313</v>
      </c>
      <c r="Q4512">
        <v>1.1467430000000001E-2</v>
      </c>
      <c r="R4512">
        <v>0.1453564</v>
      </c>
      <c r="S4512">
        <v>3.0658569999999998</v>
      </c>
      <c r="T4512">
        <v>-0.17698410000000001</v>
      </c>
      <c r="U4512">
        <v>-0.21353150000000001</v>
      </c>
      <c r="V4512">
        <v>-0.13687579999999999</v>
      </c>
      <c r="W4512">
        <v>2.1059689999999999E-2</v>
      </c>
      <c r="X4512">
        <v>0.99036429999999998</v>
      </c>
      <c r="Y4512">
        <v>7.7850589999999997E-2</v>
      </c>
      <c r="Z4512">
        <v>-3.0280189999999998E-3</v>
      </c>
      <c r="AA4512">
        <v>0.99696050000000003</v>
      </c>
      <c r="AB4512">
        <v>30</v>
      </c>
      <c r="AC4512">
        <v>19.056099999999901</v>
      </c>
      <c r="AD4512">
        <v>-1.1089447197967</v>
      </c>
      <c r="AE4512">
        <v>-1.33910999999999</v>
      </c>
      <c r="AF4512">
        <v>1.4970284734647299</v>
      </c>
      <c r="AG4512">
        <v>-1.1089447197967</v>
      </c>
      <c r="AH4512">
        <v>18.979987579006099</v>
      </c>
      <c r="AI4512">
        <v>93.333492495701293</v>
      </c>
      <c r="AJ4512">
        <v>85.490186429298703</v>
      </c>
      <c r="AK4512">
        <v>19.071202928529601</v>
      </c>
      <c r="AL4512">
        <v>88.793279399981898</v>
      </c>
      <c r="AM4512">
        <v>97.868858768645296</v>
      </c>
      <c r="AN4512">
        <v>0.99999997094151205</v>
      </c>
    </row>
    <row r="4513" spans="1:40" x14ac:dyDescent="0.25">
      <c r="A4513" t="str">
        <f>"20190305135721522"</f>
        <v>20190305135721522</v>
      </c>
      <c r="B4513" t="str">
        <f>"1551765441516485"</f>
        <v>1551765441516485</v>
      </c>
      <c r="C4513" t="s">
        <v>40</v>
      </c>
      <c r="D4513">
        <v>4.2630359999999996</v>
      </c>
      <c r="E4513">
        <v>0.58161439999999998</v>
      </c>
      <c r="F4513" t="s">
        <v>41</v>
      </c>
      <c r="G4513">
        <v>-260.04430000000002</v>
      </c>
      <c r="H4513">
        <v>1.051585</v>
      </c>
      <c r="I4513">
        <v>-62.441699999999997</v>
      </c>
      <c r="J4513">
        <v>-260.87720000000002</v>
      </c>
      <c r="K4513">
        <v>1.108935</v>
      </c>
      <c r="L4513">
        <v>-62.371189999999999</v>
      </c>
      <c r="M4513">
        <v>0.9999188</v>
      </c>
      <c r="N4513">
        <v>-9.6073089999999996E-3</v>
      </c>
      <c r="O4513">
        <v>8.3981650000000008E-3</v>
      </c>
      <c r="P4513">
        <v>0.98929469999999997</v>
      </c>
      <c r="Q4513">
        <v>1.1459199999999999E-2</v>
      </c>
      <c r="R4513">
        <v>0.145482</v>
      </c>
      <c r="S4513">
        <v>3.066071</v>
      </c>
      <c r="T4513">
        <v>-0.17820220000000001</v>
      </c>
      <c r="U4513">
        <v>-0.21487429999999999</v>
      </c>
      <c r="V4513">
        <v>-0.13715539999999901</v>
      </c>
      <c r="W4513">
        <v>2.1056829999999999E-2</v>
      </c>
      <c r="X4513">
        <v>0.99032569999999998</v>
      </c>
      <c r="Y4513">
        <v>7.8122540000000004E-2</v>
      </c>
      <c r="Z4513">
        <v>-3.0482980000000001E-3</v>
      </c>
      <c r="AA4513">
        <v>0.99693909999999997</v>
      </c>
      <c r="AB4513">
        <v>30</v>
      </c>
      <c r="AC4513">
        <v>0.83289999999999498</v>
      </c>
      <c r="AD4513">
        <v>-5.7349999999999998E-2</v>
      </c>
      <c r="AE4513">
        <v>-7.0509999999991593E-2</v>
      </c>
      <c r="AF4513">
        <v>7.7139540586569105E-2</v>
      </c>
      <c r="AG4513">
        <v>-5.7349999999999998E-2</v>
      </c>
      <c r="AH4513">
        <v>0.82837894386843403</v>
      </c>
      <c r="AI4513">
        <v>93.943352840723406</v>
      </c>
      <c r="AJ4513">
        <v>84.679897642475595</v>
      </c>
      <c r="AK4513">
        <v>0.83393717141430401</v>
      </c>
      <c r="AL4513">
        <v>88.793443328831401</v>
      </c>
      <c r="AM4513">
        <v>97.885034196302698</v>
      </c>
      <c r="AN4513">
        <v>0.99999999295964903</v>
      </c>
    </row>
    <row r="4514" spans="1:40" x14ac:dyDescent="0.25">
      <c r="A4514" t="str">
        <f>"20190305135721534"</f>
        <v>20190305135721534</v>
      </c>
      <c r="B4514" t="str">
        <f>"1551765441527222"</f>
        <v>1551765441527222</v>
      </c>
      <c r="C4514" t="s">
        <v>40</v>
      </c>
      <c r="D4514">
        <v>4.2776100000000001</v>
      </c>
      <c r="E4514">
        <v>0.58182089999999997</v>
      </c>
      <c r="F4514" t="s">
        <v>90</v>
      </c>
      <c r="G4514">
        <v>-242.04599999999999</v>
      </c>
      <c r="H4514" s="1">
        <v>-7.4566080000000001E-7</v>
      </c>
      <c r="I4514">
        <v>-63.693959999999997</v>
      </c>
      <c r="J4514">
        <v>-260.72300000000001</v>
      </c>
      <c r="K4514">
        <v>1.1089249999999999</v>
      </c>
      <c r="L4514">
        <v>-62.37003</v>
      </c>
      <c r="M4514">
        <v>0.99991989999999997</v>
      </c>
      <c r="N4514">
        <v>-9.6081429999999995E-3</v>
      </c>
      <c r="O4514">
        <v>8.2368449999999996E-3</v>
      </c>
      <c r="P4514">
        <v>0.98925510000000005</v>
      </c>
      <c r="Q4514">
        <v>1.140058E-2</v>
      </c>
      <c r="R4514">
        <v>0.1457561</v>
      </c>
      <c r="S4514">
        <v>3.0662229999999999</v>
      </c>
      <c r="T4514">
        <v>-0.1805639</v>
      </c>
      <c r="U4514">
        <v>-0.2153931</v>
      </c>
      <c r="V4514">
        <v>-0.1375895</v>
      </c>
      <c r="W4514">
        <v>2.1002960000000001E-2</v>
      </c>
      <c r="X4514">
        <v>0.9902666</v>
      </c>
      <c r="Y4514">
        <v>7.8122209999999997E-2</v>
      </c>
      <c r="Z4514">
        <v>-3.0766579999999999E-3</v>
      </c>
      <c r="AA4514">
        <v>0.99693909999999997</v>
      </c>
      <c r="AB4514">
        <v>30</v>
      </c>
      <c r="AC4514">
        <v>18.677</v>
      </c>
      <c r="AD4514">
        <v>-1.1089257456607999</v>
      </c>
      <c r="AE4514">
        <v>-1.3239299999999901</v>
      </c>
      <c r="AF4514">
        <v>1.47256652124839</v>
      </c>
      <c r="AG4514">
        <v>-1.1089257456607999</v>
      </c>
      <c r="AH4514">
        <v>18.600218138124301</v>
      </c>
      <c r="AI4514">
        <v>93.401259036718699</v>
      </c>
      <c r="AJ4514">
        <v>85.473373950942999</v>
      </c>
      <c r="AK4514">
        <v>18.691342467963601</v>
      </c>
      <c r="AL4514">
        <v>88.796530503942293</v>
      </c>
      <c r="AM4514">
        <v>97.910141212571702</v>
      </c>
      <c r="AN4514">
        <v>0.99999996695728499</v>
      </c>
    </row>
    <row r="4515" spans="1:40" x14ac:dyDescent="0.25">
      <c r="A4515" t="str">
        <f>"20190305135721544"</f>
        <v>20190305135721544</v>
      </c>
      <c r="B4515" t="str">
        <f>"1551765441536982"</f>
        <v>1551765441536982</v>
      </c>
      <c r="C4515" t="s">
        <v>40</v>
      </c>
      <c r="D4515">
        <v>4.2796279999999998</v>
      </c>
      <c r="E4515">
        <v>0.58193499999999998</v>
      </c>
      <c r="F4515" t="s">
        <v>41</v>
      </c>
      <c r="G4515">
        <v>-259.77199999999999</v>
      </c>
      <c r="H4515">
        <v>1.052543</v>
      </c>
      <c r="I4515">
        <v>-62.437289999999997</v>
      </c>
      <c r="J4515">
        <v>-260.56200000000001</v>
      </c>
      <c r="K4515">
        <v>1.1089119999999999</v>
      </c>
      <c r="L4515">
        <v>-62.368899999999996</v>
      </c>
      <c r="M4515">
        <v>0.99992139999999996</v>
      </c>
      <c r="N4515">
        <v>-9.6074360000000004E-3</v>
      </c>
      <c r="O4515">
        <v>8.0587100000000002E-3</v>
      </c>
      <c r="P4515">
        <v>0.98924080000000003</v>
      </c>
      <c r="Q4515">
        <v>1.1213870000000001E-2</v>
      </c>
      <c r="R4515">
        <v>0.14586679999999999</v>
      </c>
      <c r="S4515">
        <v>3.066589</v>
      </c>
      <c r="T4515">
        <v>-0.18172779999999999</v>
      </c>
      <c r="U4515">
        <v>-0.2162781</v>
      </c>
      <c r="V4515">
        <v>-0.1378762</v>
      </c>
      <c r="W4515">
        <v>2.0819890000000001E-2</v>
      </c>
      <c r="X4515">
        <v>0.99023059999999996</v>
      </c>
      <c r="Y4515">
        <v>7.8220590000000007E-2</v>
      </c>
      <c r="Z4515">
        <v>-3.0887240000000002E-3</v>
      </c>
      <c r="AA4515">
        <v>0.99693129999999996</v>
      </c>
      <c r="AB4515">
        <v>30</v>
      </c>
      <c r="AC4515">
        <v>0.79000000000002002</v>
      </c>
      <c r="AD4515">
        <v>-5.63690000000001E-2</v>
      </c>
      <c r="AE4515">
        <v>-6.8390000000007903E-2</v>
      </c>
      <c r="AF4515">
        <v>7.4378588675387297E-2</v>
      </c>
      <c r="AG4515">
        <v>-5.63690000000001E-2</v>
      </c>
      <c r="AH4515">
        <v>0.78545396924798905</v>
      </c>
      <c r="AI4515">
        <v>94.086639920868507</v>
      </c>
      <c r="AJ4515">
        <v>84.590505096235802</v>
      </c>
      <c r="AK4515">
        <v>0.79097887229796704</v>
      </c>
      <c r="AL4515">
        <v>88.807021949687893</v>
      </c>
      <c r="AM4515">
        <v>97.926699065461904</v>
      </c>
      <c r="AN4515">
        <v>0.99999997776120497</v>
      </c>
    </row>
    <row r="4516" spans="1:40" x14ac:dyDescent="0.25">
      <c r="A4516" t="str">
        <f>"20190305135721556"</f>
        <v>20190305135721556</v>
      </c>
      <c r="B4516" t="str">
        <f>"1551765441546742"</f>
        <v>1551765441546742</v>
      </c>
      <c r="C4516" t="s">
        <v>40</v>
      </c>
      <c r="D4516">
        <v>4.3180820000000004</v>
      </c>
      <c r="E4516">
        <v>0.58205929999999995</v>
      </c>
      <c r="F4516" t="s">
        <v>90</v>
      </c>
      <c r="G4516">
        <v>-242.07249999999999</v>
      </c>
      <c r="H4516" s="1">
        <v>-7.5256989999999998E-7</v>
      </c>
      <c r="I4516">
        <v>-63.677219999999998</v>
      </c>
      <c r="J4516">
        <v>-260.41730000000001</v>
      </c>
      <c r="K4516">
        <v>1.1089</v>
      </c>
      <c r="L4516">
        <v>-62.367890000000003</v>
      </c>
      <c r="M4516">
        <v>0.9999228</v>
      </c>
      <c r="N4516">
        <v>-9.6042309999999995E-3</v>
      </c>
      <c r="O4516">
        <v>7.8894810000000003E-3</v>
      </c>
      <c r="P4516">
        <v>0.989228</v>
      </c>
      <c r="Q4516">
        <v>1.071307E-2</v>
      </c>
      <c r="R4516">
        <v>0.14599100000000001</v>
      </c>
      <c r="S4516">
        <v>3.0667110000000002</v>
      </c>
      <c r="T4516">
        <v>-0.18392610000000001</v>
      </c>
      <c r="U4516">
        <v>-0.2170105</v>
      </c>
      <c r="V4516">
        <v>-0.1381675</v>
      </c>
      <c r="W4516">
        <v>2.0319799999999999E-2</v>
      </c>
      <c r="X4516">
        <v>0.99020039999999998</v>
      </c>
      <c r="Y4516">
        <v>7.8282240000000003E-2</v>
      </c>
      <c r="Z4516">
        <v>-3.11582E-3</v>
      </c>
      <c r="AA4516">
        <v>0.99692639999999999</v>
      </c>
      <c r="AB4516">
        <v>30</v>
      </c>
      <c r="AC4516">
        <v>18.344799999999999</v>
      </c>
      <c r="AD4516">
        <v>-1.1089007525699</v>
      </c>
      <c r="AE4516">
        <v>-1.3093299999999899</v>
      </c>
      <c r="AF4516">
        <v>1.44876003908131</v>
      </c>
      <c r="AG4516">
        <v>-1.1089007525699</v>
      </c>
      <c r="AH4516">
        <v>18.267488905420301</v>
      </c>
      <c r="AI4516">
        <v>93.462945490292697</v>
      </c>
      <c r="AJ4516">
        <v>85.465471118622503</v>
      </c>
      <c r="AK4516">
        <v>18.358369138884399</v>
      </c>
      <c r="AL4516">
        <v>88.8356810776082</v>
      </c>
      <c r="AM4516">
        <v>97.943471942585106</v>
      </c>
      <c r="AN4516">
        <v>0.99999999224422498</v>
      </c>
    </row>
    <row r="4517" spans="1:40" x14ac:dyDescent="0.25">
      <c r="A4517" t="str">
        <f>"20190305135721567"</f>
        <v>20190305135721567</v>
      </c>
      <c r="B4517" t="str">
        <f>"1551765441557478"</f>
        <v>1551765441557478</v>
      </c>
      <c r="C4517" t="s">
        <v>40</v>
      </c>
      <c r="D4517">
        <v>4.2620979999999999</v>
      </c>
      <c r="E4517">
        <v>0.58219359999999998</v>
      </c>
      <c r="F4517" t="s">
        <v>41</v>
      </c>
      <c r="G4517">
        <v>-259.49930000000001</v>
      </c>
      <c r="H4517">
        <v>1.053299</v>
      </c>
      <c r="I4517">
        <v>-62.433120000000002</v>
      </c>
      <c r="J4517">
        <v>-260.26620000000003</v>
      </c>
      <c r="K4517">
        <v>1.1088849999999999</v>
      </c>
      <c r="L4517">
        <v>-62.366819999999997</v>
      </c>
      <c r="M4517">
        <v>0.99992429999999999</v>
      </c>
      <c r="N4517">
        <v>-9.59928E-3</v>
      </c>
      <c r="O4517">
        <v>7.7071989999999996E-3</v>
      </c>
      <c r="P4517">
        <v>0.98920909999999995</v>
      </c>
      <c r="Q4517">
        <v>1.0789150000000001E-2</v>
      </c>
      <c r="R4517">
        <v>0.14611360000000001</v>
      </c>
      <c r="S4517">
        <v>3.0668329999999999</v>
      </c>
      <c r="T4517">
        <v>-0.18574570000000001</v>
      </c>
      <c r="U4517">
        <v>-0.2177124</v>
      </c>
      <c r="V4517">
        <v>-0.13847039999999999</v>
      </c>
      <c r="W4517">
        <v>2.039465E-2</v>
      </c>
      <c r="X4517">
        <v>0.99015649999999999</v>
      </c>
      <c r="Y4517">
        <v>7.8321680000000005E-2</v>
      </c>
      <c r="Z4517">
        <v>-3.135447E-3</v>
      </c>
      <c r="AA4517">
        <v>0.99692320000000001</v>
      </c>
      <c r="AB4517">
        <v>30</v>
      </c>
      <c r="AC4517">
        <v>0.76690000000002101</v>
      </c>
      <c r="AD4517">
        <v>-5.5586000000000101E-2</v>
      </c>
      <c r="AE4517">
        <v>-6.6299999999998194E-2</v>
      </c>
      <c r="AF4517">
        <v>7.18343672113467E-2</v>
      </c>
      <c r="AG4517">
        <v>-5.5586000000000101E-2</v>
      </c>
      <c r="AH4517">
        <v>0.76239066042750903</v>
      </c>
      <c r="AI4517">
        <v>94.151739939731698</v>
      </c>
      <c r="AJ4517">
        <v>84.617338764373898</v>
      </c>
      <c r="AK4517">
        <v>0.76778219490669897</v>
      </c>
      <c r="AL4517">
        <v>88.831391543134899</v>
      </c>
      <c r="AM4517">
        <v>97.961011563933198</v>
      </c>
      <c r="AN4517">
        <v>0.99999994395851399</v>
      </c>
    </row>
    <row r="4518" spans="1:40" x14ac:dyDescent="0.25">
      <c r="A4518" t="str">
        <f>"20190305135721577"</f>
        <v>20190305135721577</v>
      </c>
      <c r="B4518" t="str">
        <f>"1551765441567238"</f>
        <v>1551765441567238</v>
      </c>
      <c r="C4518" t="s">
        <v>40</v>
      </c>
      <c r="D4518">
        <v>4.2667419999999998</v>
      </c>
      <c r="E4518">
        <v>0.58226180000000005</v>
      </c>
      <c r="F4518" t="s">
        <v>90</v>
      </c>
      <c r="G4518">
        <v>-242.14760000000001</v>
      </c>
      <c r="H4518" s="1">
        <v>-7.7974329999999997E-7</v>
      </c>
      <c r="I4518">
        <v>-63.658290000000001</v>
      </c>
      <c r="J4518">
        <v>-260.12450000000001</v>
      </c>
      <c r="K4518">
        <v>1.1088720000000001</v>
      </c>
      <c r="L4518">
        <v>-62.36591</v>
      </c>
      <c r="M4518">
        <v>0.99992570000000003</v>
      </c>
      <c r="N4518">
        <v>-9.5856729999999994E-3</v>
      </c>
      <c r="O4518">
        <v>7.5250319999999897E-3</v>
      </c>
      <c r="P4518">
        <v>0.98918620000000002</v>
      </c>
      <c r="Q4518">
        <v>1.0806619999999999E-2</v>
      </c>
      <c r="R4518">
        <v>0.1462667</v>
      </c>
      <c r="S4518">
        <v>3.067078</v>
      </c>
      <c r="T4518">
        <v>-0.18770919999999999</v>
      </c>
      <c r="U4518">
        <v>-0.21862789999999999</v>
      </c>
      <c r="V4518">
        <v>-0.1388037</v>
      </c>
      <c r="W4518">
        <v>2.0402750000000001E-2</v>
      </c>
      <c r="X4518">
        <v>0.99010969999999998</v>
      </c>
      <c r="Y4518">
        <v>7.8427090000000005E-2</v>
      </c>
      <c r="Z4518">
        <v>-3.1590020000000002E-3</v>
      </c>
      <c r="AA4518">
        <v>0.99691490000000005</v>
      </c>
      <c r="AB4518">
        <v>30</v>
      </c>
      <c r="AC4518">
        <v>17.976900000000001</v>
      </c>
      <c r="AD4518">
        <v>-1.10887277974329</v>
      </c>
      <c r="AE4518">
        <v>-1.2923800000000001</v>
      </c>
      <c r="AF4518">
        <v>1.4222428231743101</v>
      </c>
      <c r="AG4518">
        <v>-1.10887277974329</v>
      </c>
      <c r="AH4518">
        <v>17.898913381422801</v>
      </c>
      <c r="AI4518">
        <v>93.533944677256699</v>
      </c>
      <c r="AJ4518">
        <v>85.456838400084393</v>
      </c>
      <c r="AK4518">
        <v>17.989537896382998</v>
      </c>
      <c r="AL4518">
        <v>88.830927391314404</v>
      </c>
      <c r="AM4518">
        <v>97.980299597197103</v>
      </c>
      <c r="AN4518">
        <v>0.99999997868766999</v>
      </c>
    </row>
    <row r="4519" spans="1:40" x14ac:dyDescent="0.25">
      <c r="A4519" t="str">
        <f>"20190305135721588"</f>
        <v>20190305135721588</v>
      </c>
      <c r="B4519" t="str">
        <f>"1551765441576998"</f>
        <v>1551765441576998</v>
      </c>
      <c r="C4519" t="s">
        <v>40</v>
      </c>
      <c r="D4519">
        <v>4.2727599999999999</v>
      </c>
      <c r="E4519">
        <v>0.58245179999999996</v>
      </c>
      <c r="F4519" t="s">
        <v>41</v>
      </c>
      <c r="G4519">
        <v>-259.22649999999999</v>
      </c>
      <c r="H4519">
        <v>1.053528</v>
      </c>
      <c r="I4519">
        <v>-62.430050000000001</v>
      </c>
      <c r="J4519">
        <v>-259.97230000000002</v>
      </c>
      <c r="K4519">
        <v>1.1088530000000001</v>
      </c>
      <c r="L4519">
        <v>-62.364960000000004</v>
      </c>
      <c r="M4519">
        <v>0.99992740000000002</v>
      </c>
      <c r="N4519">
        <v>-9.568432E-3</v>
      </c>
      <c r="O4519">
        <v>7.32576699999999E-3</v>
      </c>
      <c r="P4519">
        <v>0.98917630000000001</v>
      </c>
      <c r="Q4519">
        <v>1.138282E-2</v>
      </c>
      <c r="R4519">
        <v>0.14628959999999999</v>
      </c>
      <c r="S4519">
        <v>3.0672299999999999</v>
      </c>
      <c r="T4519">
        <v>-0.18902389999999999</v>
      </c>
      <c r="U4519">
        <v>-0.21881100000000001</v>
      </c>
      <c r="V4519">
        <v>-0.13902210000000001</v>
      </c>
      <c r="W4519">
        <v>2.0965770000000002E-2</v>
      </c>
      <c r="X4519">
        <v>0.99006729999999998</v>
      </c>
      <c r="Y4519">
        <v>7.8282389999999993E-2</v>
      </c>
      <c r="Z4519">
        <v>-3.1627690000000002E-3</v>
      </c>
      <c r="AA4519">
        <v>0.99692619999999998</v>
      </c>
      <c r="AB4519">
        <v>30</v>
      </c>
      <c r="AC4519">
        <v>0.74580000000003099</v>
      </c>
      <c r="AD4519">
        <v>-5.5324999999999999E-2</v>
      </c>
      <c r="AE4519">
        <v>-6.5090000000004894E-2</v>
      </c>
      <c r="AF4519">
        <v>7.0168841418678102E-2</v>
      </c>
      <c r="AG4519">
        <v>-5.5324999999999999E-2</v>
      </c>
      <c r="AH4519">
        <v>0.74125485317185702</v>
      </c>
      <c r="AI4519">
        <v>94.249540367216895</v>
      </c>
      <c r="AJ4519">
        <v>84.592367501431696</v>
      </c>
      <c r="AK4519">
        <v>0.74662124218499903</v>
      </c>
      <c r="AL4519">
        <v>88.798661822829999</v>
      </c>
      <c r="AM4519">
        <v>97.993031884671097</v>
      </c>
      <c r="AN4519">
        <v>0.99999998316469596</v>
      </c>
    </row>
    <row r="4520" spans="1:40" x14ac:dyDescent="0.25">
      <c r="A4520" t="str">
        <f>"20190305135721600"</f>
        <v>20190305135721600</v>
      </c>
      <c r="B4520" t="str">
        <f>"1551765441596518"</f>
        <v>1551765441596518</v>
      </c>
      <c r="C4520" t="s">
        <v>40</v>
      </c>
      <c r="D4520">
        <v>4.2918000000000003</v>
      </c>
      <c r="E4520">
        <v>0.58282009999999995</v>
      </c>
      <c r="F4520" t="s">
        <v>90</v>
      </c>
      <c r="G4520">
        <v>-241.7799</v>
      </c>
      <c r="H4520" s="1">
        <v>-6.2557549999999995E-7</v>
      </c>
      <c r="I4520">
        <v>-63.671619999999997</v>
      </c>
      <c r="J4520">
        <v>-259.82549999999998</v>
      </c>
      <c r="K4520">
        <v>1.1088370000000001</v>
      </c>
      <c r="L4520">
        <v>-62.364040000000003</v>
      </c>
      <c r="M4520">
        <v>0.99992919999999996</v>
      </c>
      <c r="N4520">
        <v>-9.5338239999999998E-3</v>
      </c>
      <c r="O4520">
        <v>7.121545E-3</v>
      </c>
      <c r="P4520">
        <v>0.98914590000000002</v>
      </c>
      <c r="Q4520">
        <v>1.199772E-2</v>
      </c>
      <c r="R4520">
        <v>0.1464471</v>
      </c>
      <c r="S4520">
        <v>3.0675659999999998</v>
      </c>
      <c r="T4520">
        <v>-0.18697330000000001</v>
      </c>
      <c r="U4520">
        <v>-0.2203369</v>
      </c>
      <c r="V4520">
        <v>-0.13938110000000001</v>
      </c>
      <c r="W4520">
        <v>2.1549769999999999E-2</v>
      </c>
      <c r="X4520">
        <v>0.99000429999999995</v>
      </c>
      <c r="Y4520">
        <v>7.856784E-2</v>
      </c>
      <c r="Z4520">
        <v>-3.1299320000000002E-3</v>
      </c>
      <c r="AA4520">
        <v>0.99690380000000001</v>
      </c>
      <c r="AB4520">
        <v>30</v>
      </c>
      <c r="AC4520">
        <v>18.045599999999901</v>
      </c>
      <c r="AD4520">
        <v>-1.1088376255754999</v>
      </c>
      <c r="AE4520">
        <v>-1.30757999999999</v>
      </c>
      <c r="AF4520">
        <v>1.4306916348257599</v>
      </c>
      <c r="AG4520">
        <v>-1.1088376255754999</v>
      </c>
      <c r="AH4520">
        <v>17.968341867796799</v>
      </c>
      <c r="AI4520">
        <v>93.520167542521605</v>
      </c>
      <c r="AJ4520">
        <v>85.4475477543903</v>
      </c>
      <c r="AK4520">
        <v>18.0592831782403</v>
      </c>
      <c r="AL4520">
        <v>88.765193542994396</v>
      </c>
      <c r="AM4520">
        <v>98.013908017281096</v>
      </c>
      <c r="AN4520">
        <v>0.99999999882137602</v>
      </c>
    </row>
    <row r="4521" spans="1:40" x14ac:dyDescent="0.25">
      <c r="A4521" t="str">
        <f>"20190305135721612"</f>
        <v>20190305135721612</v>
      </c>
      <c r="B4521" t="str">
        <f>"1551765441607254"</f>
        <v>1551765441607254</v>
      </c>
      <c r="C4521" t="s">
        <v>40</v>
      </c>
      <c r="D4521">
        <v>4.2554559999999997</v>
      </c>
      <c r="E4521">
        <v>0.5830398</v>
      </c>
      <c r="F4521" t="s">
        <v>41</v>
      </c>
      <c r="G4521">
        <v>-258.95190000000002</v>
      </c>
      <c r="H4521">
        <v>1.055185</v>
      </c>
      <c r="I4521">
        <v>-62.427439999999997</v>
      </c>
      <c r="J4521">
        <v>-259.65640000000002</v>
      </c>
      <c r="K4521">
        <v>1.108819</v>
      </c>
      <c r="L4521">
        <v>-62.363069999999901</v>
      </c>
      <c r="M4521">
        <v>0.99993140000000003</v>
      </c>
      <c r="N4521">
        <v>-9.4876679999999994E-3</v>
      </c>
      <c r="O4521">
        <v>6.8834550000000001E-3</v>
      </c>
      <c r="P4521">
        <v>0.98913810000000002</v>
      </c>
      <c r="Q4521">
        <v>1.2681329999999999E-2</v>
      </c>
      <c r="R4521">
        <v>0.14644199999999999</v>
      </c>
      <c r="S4521">
        <v>3.0682369999999999</v>
      </c>
      <c r="T4521">
        <v>-0.1884584</v>
      </c>
      <c r="U4521">
        <v>-0.22286990000000001</v>
      </c>
      <c r="V4521">
        <v>-0.1396114</v>
      </c>
      <c r="W4521">
        <v>2.219192E-2</v>
      </c>
      <c r="X4521">
        <v>0.98995770000000005</v>
      </c>
      <c r="Y4521">
        <v>7.9130199999999998E-2</v>
      </c>
      <c r="Z4521">
        <v>-3.1577010000000002E-3</v>
      </c>
      <c r="AA4521">
        <v>0.9968593</v>
      </c>
      <c r="AB4521">
        <v>30</v>
      </c>
      <c r="AC4521">
        <v>0.70449999999999502</v>
      </c>
      <c r="AD4521">
        <v>-5.3633999999999897E-2</v>
      </c>
      <c r="AE4521">
        <v>-6.4370000000010905E-2</v>
      </c>
      <c r="AF4521">
        <v>6.88225031455027E-2</v>
      </c>
      <c r="AG4521">
        <v>-5.3633999999999897E-2</v>
      </c>
      <c r="AH4521">
        <v>0.70001658821413504</v>
      </c>
      <c r="AI4521">
        <v>94.360397317079105</v>
      </c>
      <c r="AJ4521">
        <v>84.384980058090605</v>
      </c>
      <c r="AK4521">
        <v>0.70543346012942298</v>
      </c>
      <c r="AL4521">
        <v>88.728392302155399</v>
      </c>
      <c r="AM4521">
        <v>98.027349915831806</v>
      </c>
      <c r="AN4521">
        <v>1.00000003605626</v>
      </c>
    </row>
    <row r="4522" spans="1:40" x14ac:dyDescent="0.25">
      <c r="A4522" t="str">
        <f>"20190305135721625"</f>
        <v>20190305135721625</v>
      </c>
      <c r="B4522" t="str">
        <f>"1551765441617014"</f>
        <v>1551765441617014</v>
      </c>
      <c r="C4522" t="s">
        <v>40</v>
      </c>
      <c r="D4522">
        <v>4.1747239999999897</v>
      </c>
      <c r="E4522">
        <v>0.5830398</v>
      </c>
      <c r="F4522" t="s">
        <v>41</v>
      </c>
      <c r="G4522">
        <v>-258.68360000000001</v>
      </c>
      <c r="H4522">
        <v>1.0491839999999999</v>
      </c>
      <c r="I4522">
        <v>-62.434469999999997</v>
      </c>
      <c r="J4522">
        <v>-259.48039999999997</v>
      </c>
      <c r="K4522">
        <v>1.1087929999999999</v>
      </c>
      <c r="L4522">
        <v>-62.362090000000002</v>
      </c>
      <c r="M4522">
        <v>0.99993379999999998</v>
      </c>
      <c r="N4522">
        <v>-9.4190739999999995E-3</v>
      </c>
      <c r="O4522">
        <v>6.6262469999999896E-3</v>
      </c>
      <c r="P4522">
        <v>0.98913280000000003</v>
      </c>
      <c r="Q4522">
        <v>1.3052859999999999E-2</v>
      </c>
      <c r="R4522">
        <v>0.14644470000000001</v>
      </c>
      <c r="S4522">
        <v>3.0686040000000001</v>
      </c>
      <c r="T4522">
        <v>-0.18807180000000001</v>
      </c>
      <c r="U4522">
        <v>-0.2247314</v>
      </c>
      <c r="V4522">
        <v>-0.13986760000000001</v>
      </c>
      <c r="W4522">
        <v>2.2498440000000001E-2</v>
      </c>
      <c r="X4522">
        <v>0.98991459999999998</v>
      </c>
      <c r="Y4522">
        <v>7.946723E-2</v>
      </c>
      <c r="Z4522">
        <v>-3.1478140000000001E-3</v>
      </c>
      <c r="AA4522">
        <v>0.99683250000000001</v>
      </c>
      <c r="AB4522">
        <v>31</v>
      </c>
      <c r="AC4522">
        <v>0.79679999999996198</v>
      </c>
      <c r="AD4522">
        <v>-5.9609000000000002E-2</v>
      </c>
      <c r="AE4522">
        <v>-7.2379999999995406E-2</v>
      </c>
      <c r="AF4522">
        <v>7.7229750655242596E-2</v>
      </c>
      <c r="AG4522">
        <v>-5.9609000000000002E-2</v>
      </c>
      <c r="AH4522">
        <v>0.79190715319092697</v>
      </c>
      <c r="AI4522">
        <v>94.284440961737999</v>
      </c>
      <c r="AJ4522">
        <v>84.429915292348397</v>
      </c>
      <c r="AK4522">
        <v>0.79789385668911506</v>
      </c>
      <c r="AL4522">
        <v>88.710825593950702</v>
      </c>
      <c r="AM4522">
        <v>98.042233876277606</v>
      </c>
      <c r="AN4522">
        <v>1.00000002031267</v>
      </c>
    </row>
    <row r="4523" spans="1:40" x14ac:dyDescent="0.25">
      <c r="A4523" t="str">
        <f>"20190305135721757"</f>
        <v>20190305135721757</v>
      </c>
      <c r="B4523" t="str">
        <f>"1551765441747433"</f>
        <v>1551765441747433</v>
      </c>
      <c r="C4523" t="s">
        <v>40</v>
      </c>
      <c r="D4523">
        <v>4.0574050000000002</v>
      </c>
      <c r="E4523">
        <v>0.5830398</v>
      </c>
      <c r="F4523" t="s">
        <v>90</v>
      </c>
      <c r="G4523">
        <v>-241.25190000000001</v>
      </c>
      <c r="H4523" s="1">
        <v>-4.0594250000000001E-7</v>
      </c>
      <c r="I4523">
        <v>-63.697510000000001</v>
      </c>
      <c r="J4523">
        <v>-257.65410000000003</v>
      </c>
      <c r="K4523">
        <v>1.108511</v>
      </c>
      <c r="L4523">
        <v>-62.35483</v>
      </c>
      <c r="M4523">
        <v>0.99996010000000002</v>
      </c>
      <c r="N4523">
        <v>-8.0598389999999992E-3</v>
      </c>
      <c r="O4523">
        <v>3.8497319999999998E-3</v>
      </c>
      <c r="P4523">
        <v>0.98877499999999996</v>
      </c>
      <c r="Q4523">
        <v>1.3503859999999999E-2</v>
      </c>
      <c r="R4523">
        <v>0.14880019999999999</v>
      </c>
      <c r="S4523">
        <v>3.068695</v>
      </c>
      <c r="T4523">
        <v>-0.1866611</v>
      </c>
      <c r="U4523">
        <v>-0.224823</v>
      </c>
      <c r="V4523">
        <v>-0.14497270000000001</v>
      </c>
      <c r="W4523">
        <v>2.1614600000000001E-2</v>
      </c>
      <c r="X4523">
        <v>0.98919950000000001</v>
      </c>
      <c r="Y4523">
        <v>7.6741340000000005E-2</v>
      </c>
      <c r="Z4523">
        <v>-2.8414159999999998E-3</v>
      </c>
      <c r="AA4523">
        <v>0.99704700000000002</v>
      </c>
      <c r="AB4523">
        <v>31</v>
      </c>
      <c r="AC4523">
        <v>16.402200000000001</v>
      </c>
      <c r="AD4523">
        <v>-1.1085114059424901</v>
      </c>
      <c r="AE4523">
        <v>-1.3426799999999901</v>
      </c>
      <c r="AF4523">
        <v>1.3994666951858299</v>
      </c>
      <c r="AG4523">
        <v>-1.1085114059424901</v>
      </c>
      <c r="AH4523">
        <v>16.322851378828901</v>
      </c>
      <c r="AI4523">
        <v>93.8709266260623</v>
      </c>
      <c r="AJ4523">
        <v>85.099635168231103</v>
      </c>
      <c r="AK4523">
        <v>16.420194325992998</v>
      </c>
      <c r="AL4523">
        <v>88.761478147519497</v>
      </c>
      <c r="AM4523">
        <v>98.337660352024102</v>
      </c>
      <c r="AN4523">
        <v>0.99999996273934899</v>
      </c>
    </row>
    <row r="4524" spans="1:40" x14ac:dyDescent="0.25">
      <c r="A4524" t="str">
        <f>"20190305135721767"</f>
        <v>20190305135721767</v>
      </c>
      <c r="B4524" t="str">
        <f>"1551765441757193"</f>
        <v>1551765441757193</v>
      </c>
      <c r="C4524" t="s">
        <v>40</v>
      </c>
      <c r="D4524">
        <v>4.119853</v>
      </c>
      <c r="E4524">
        <v>0.53576259999999998</v>
      </c>
      <c r="F4524" t="s">
        <v>41</v>
      </c>
      <c r="G4524">
        <v>-256.74130000000002</v>
      </c>
      <c r="H4524">
        <v>1.054063</v>
      </c>
      <c r="I4524">
        <v>-62.419829999999997</v>
      </c>
      <c r="J4524">
        <v>-257.50130000000001</v>
      </c>
      <c r="K4524">
        <v>1.108493</v>
      </c>
      <c r="L4524">
        <v>-62.354430000000001</v>
      </c>
      <c r="M4524">
        <v>0.99996229999999997</v>
      </c>
      <c r="N4524">
        <v>-7.9192280000000004E-3</v>
      </c>
      <c r="O4524">
        <v>3.6284899999999998E-3</v>
      </c>
      <c r="P4524">
        <v>0.98881560000000002</v>
      </c>
      <c r="Q4524">
        <v>1.3532789999999999E-2</v>
      </c>
      <c r="R4524">
        <v>0.14852899999999999</v>
      </c>
      <c r="S4524">
        <v>3.0693969999999999</v>
      </c>
      <c r="T4524">
        <v>-0.18305170000000001</v>
      </c>
      <c r="U4524">
        <v>-0.21823119999999999</v>
      </c>
      <c r="V4524">
        <v>-0.14491970000000001</v>
      </c>
      <c r="W4524">
        <v>2.1503520000000002E-2</v>
      </c>
      <c r="X4524">
        <v>0.98920969999999997</v>
      </c>
      <c r="Y4524">
        <v>7.4385119999999999E-2</v>
      </c>
      <c r="Z4524">
        <v>-2.6957909999999999E-3</v>
      </c>
      <c r="AA4524">
        <v>0.9972259</v>
      </c>
      <c r="AB4524">
        <v>31</v>
      </c>
      <c r="AC4524">
        <v>0.75999999999999002</v>
      </c>
      <c r="AD4524">
        <v>-5.4429999999999902E-2</v>
      </c>
      <c r="AE4524">
        <v>-6.5399999999996794E-2</v>
      </c>
      <c r="AF4524">
        <v>6.7812042950884596E-2</v>
      </c>
      <c r="AG4524">
        <v>-5.4429999999999902E-2</v>
      </c>
      <c r="AH4524">
        <v>0.75590897887453401</v>
      </c>
      <c r="AI4524">
        <v>94.102116309035395</v>
      </c>
      <c r="AJ4524">
        <v>84.873759609804097</v>
      </c>
      <c r="AK4524">
        <v>0.76089387066286296</v>
      </c>
      <c r="AL4524">
        <v>88.767844058500899</v>
      </c>
      <c r="AM4524">
        <v>98.334570312398895</v>
      </c>
      <c r="AN4524">
        <v>0.99999997569728405</v>
      </c>
    </row>
    <row r="4525" spans="1:40" x14ac:dyDescent="0.25">
      <c r="A4525" t="str">
        <f>"20190305135721778"</f>
        <v>20190305135721778</v>
      </c>
      <c r="B4525" t="str">
        <f>"1551765441766953"</f>
        <v>1551765441766953</v>
      </c>
      <c r="C4525" t="s">
        <v>40</v>
      </c>
      <c r="D4525">
        <v>4.0886519999999997</v>
      </c>
      <c r="E4525">
        <v>0.54206259999999995</v>
      </c>
      <c r="F4525" t="s">
        <v>91</v>
      </c>
      <c r="G4525">
        <v>-237.96199999999999</v>
      </c>
      <c r="H4525" s="1">
        <v>-2.6605059999999999E-6</v>
      </c>
      <c r="I4525">
        <v>-61.352179999999997</v>
      </c>
      <c r="J4525">
        <v>-257.35059999999999</v>
      </c>
      <c r="K4525">
        <v>1.108482</v>
      </c>
      <c r="L4525">
        <v>-62.354059999999997</v>
      </c>
      <c r="M4525">
        <v>0.99996379999999996</v>
      </c>
      <c r="N4525">
        <v>-7.7820540000000001E-3</v>
      </c>
      <c r="O4525">
        <v>3.4240120000000001E-3</v>
      </c>
      <c r="P4525">
        <v>0.98882000000000003</v>
      </c>
      <c r="Q4525">
        <v>1.348445E-2</v>
      </c>
      <c r="R4525">
        <v>0.14850279999999999</v>
      </c>
      <c r="S4525">
        <v>3.0130309999999998</v>
      </c>
      <c r="T4525">
        <v>-0.170934</v>
      </c>
      <c r="U4525">
        <v>0.15454100000000001</v>
      </c>
      <c r="V4525">
        <v>-0.1450967</v>
      </c>
      <c r="W4525">
        <v>2.1317119999999998E-2</v>
      </c>
      <c r="X4525">
        <v>0.98918779999999995</v>
      </c>
      <c r="Y4525">
        <v>-4.7720650000000003E-2</v>
      </c>
      <c r="Z4525">
        <v>1.3702860000000001E-3</v>
      </c>
      <c r="AA4525">
        <v>0.99885979999999996</v>
      </c>
      <c r="AB4525">
        <v>31</v>
      </c>
      <c r="AC4525">
        <v>19.388599999999901</v>
      </c>
      <c r="AD4525">
        <v>-1.1084846605059999</v>
      </c>
      <c r="AE4525">
        <v>1.0018799999999899</v>
      </c>
      <c r="AF4525">
        <v>-0.93244560537982302</v>
      </c>
      <c r="AG4525">
        <v>-1.1084846605059999</v>
      </c>
      <c r="AH4525">
        <v>19.3289059956122</v>
      </c>
      <c r="AI4525">
        <v>93.278430326433195</v>
      </c>
      <c r="AJ4525">
        <v>92.761864122577606</v>
      </c>
      <c r="AK4525">
        <v>19.3831060471943</v>
      </c>
      <c r="AL4525">
        <v>88.778526455570102</v>
      </c>
      <c r="AM4525">
        <v>98.344788763793304</v>
      </c>
      <c r="AN4525">
        <v>0.99999998781241195</v>
      </c>
    </row>
    <row r="4526" spans="1:40" x14ac:dyDescent="0.25">
      <c r="A4526" t="str">
        <f>"20190305135721790"</f>
        <v>20190305135721790</v>
      </c>
      <c r="B4526" t="str">
        <f>"1551765441787449"</f>
        <v>1551765441787449</v>
      </c>
      <c r="C4526" t="s">
        <v>40</v>
      </c>
      <c r="D4526">
        <v>4.0694100000000004</v>
      </c>
      <c r="E4526">
        <v>0.54771639999999999</v>
      </c>
      <c r="F4526" t="s">
        <v>92</v>
      </c>
      <c r="G4526">
        <v>-221.90989999999999</v>
      </c>
      <c r="H4526" s="1">
        <v>-9.3948300000000005E-8</v>
      </c>
      <c r="I4526">
        <v>-61.087649999999996</v>
      </c>
      <c r="J4526">
        <v>-257.19420000000002</v>
      </c>
      <c r="K4526">
        <v>1.108471</v>
      </c>
      <c r="L4526">
        <v>-62.353700000000003</v>
      </c>
      <c r="M4526">
        <v>0.99996569999999996</v>
      </c>
      <c r="N4526">
        <v>-7.640043E-3</v>
      </c>
      <c r="O4526">
        <v>3.2144880000000002E-3</v>
      </c>
      <c r="P4526">
        <v>0.98888089999999995</v>
      </c>
      <c r="Q4526">
        <v>1.343566E-2</v>
      </c>
      <c r="R4526">
        <v>0.1481016</v>
      </c>
      <c r="S4526">
        <v>3.019012</v>
      </c>
      <c r="T4526">
        <v>-9.4426040000000003E-2</v>
      </c>
      <c r="U4526">
        <v>0.10787960000000001</v>
      </c>
      <c r="V4526">
        <v>-0.144903</v>
      </c>
      <c r="W4526">
        <v>2.1125000000000001E-2</v>
      </c>
      <c r="X4526">
        <v>0.98922030000000005</v>
      </c>
      <c r="Y4526">
        <v>-3.2479069999999999E-2</v>
      </c>
      <c r="Z4526">
        <v>5.5585529999999995E-4</v>
      </c>
      <c r="AA4526">
        <v>0.99947229999999998</v>
      </c>
      <c r="AB4526">
        <v>31</v>
      </c>
      <c r="AC4526">
        <v>35.284300000000002</v>
      </c>
      <c r="AD4526">
        <v>-1.1084710939483</v>
      </c>
      <c r="AE4526">
        <v>1.2660499999999999</v>
      </c>
      <c r="AF4526">
        <v>-1.1514842237663101</v>
      </c>
      <c r="AG4526">
        <v>-1.1084710939483</v>
      </c>
      <c r="AH4526">
        <v>35.253439624207097</v>
      </c>
      <c r="AI4526">
        <v>91.799993984023203</v>
      </c>
      <c r="AJ4526">
        <v>91.870788765923294</v>
      </c>
      <c r="AK4526">
        <v>35.289653291316299</v>
      </c>
      <c r="AL4526">
        <v>88.789536582930694</v>
      </c>
      <c r="AM4526">
        <v>98.333535312334504</v>
      </c>
      <c r="AN4526">
        <v>0.99999997348304404</v>
      </c>
    </row>
    <row r="4527" spans="1:40" x14ac:dyDescent="0.25">
      <c r="A4527" t="str">
        <f>"20190305135721801"</f>
        <v>20190305135721801</v>
      </c>
      <c r="B4527" t="str">
        <f>"1551765441797210"</f>
        <v>1551765441797210</v>
      </c>
      <c r="C4527" t="s">
        <v>40</v>
      </c>
      <c r="D4527">
        <v>4.1752019999999996</v>
      </c>
      <c r="E4527">
        <v>0.54591750000000006</v>
      </c>
      <c r="F4527" t="s">
        <v>78</v>
      </c>
      <c r="G4527">
        <v>-192.23840000000001</v>
      </c>
      <c r="H4527" s="1">
        <v>-8.9031999999999997E-6</v>
      </c>
      <c r="I4527">
        <v>-60.984059999999999</v>
      </c>
      <c r="J4527">
        <v>-257.0258</v>
      </c>
      <c r="K4527">
        <v>1.108468</v>
      </c>
      <c r="L4527">
        <v>-62.353360000000002</v>
      </c>
      <c r="M4527">
        <v>0.99996739999999995</v>
      </c>
      <c r="N4527">
        <v>-7.4922449999999998E-3</v>
      </c>
      <c r="O4527">
        <v>3.0161480000000002E-3</v>
      </c>
      <c r="P4527">
        <v>0.98895520000000003</v>
      </c>
      <c r="Q4527">
        <v>1.371344E-2</v>
      </c>
      <c r="R4527">
        <v>0.14757990000000001</v>
      </c>
      <c r="S4527">
        <v>3.0248870000000001</v>
      </c>
      <c r="T4527">
        <v>-5.162013E-2</v>
      </c>
      <c r="U4527">
        <v>6.3781740000000003E-2</v>
      </c>
      <c r="V4527">
        <v>-0.14457799999999901</v>
      </c>
      <c r="W4527">
        <v>2.1250379999999999E-2</v>
      </c>
      <c r="X4527">
        <v>0.98926519999999996</v>
      </c>
      <c r="Y4527">
        <v>-1.8061669999999998E-2</v>
      </c>
      <c r="Z4527">
        <v>1.928946E-4</v>
      </c>
      <c r="AA4527">
        <v>0.99983690000000003</v>
      </c>
      <c r="AB4527">
        <v>31</v>
      </c>
      <c r="AC4527">
        <v>64.787399999999906</v>
      </c>
      <c r="AD4527">
        <v>-1.1084769031999999</v>
      </c>
      <c r="AE4527">
        <v>1.36929999999999</v>
      </c>
      <c r="AF4527">
        <v>-1.1735365228449901</v>
      </c>
      <c r="AG4527">
        <v>-1.1084769031999999</v>
      </c>
      <c r="AH4527">
        <v>64.772282878945205</v>
      </c>
      <c r="AI4527">
        <v>90.980271621928694</v>
      </c>
      <c r="AJ4527">
        <v>91.037964560146506</v>
      </c>
      <c r="AK4527">
        <v>64.792395683177801</v>
      </c>
      <c r="AL4527">
        <v>88.782351264905202</v>
      </c>
      <c r="AM4527">
        <v>98.314733698360101</v>
      </c>
      <c r="AN4527">
        <v>1.00000000633259</v>
      </c>
    </row>
    <row r="4528" spans="1:40" x14ac:dyDescent="0.25">
      <c r="A4528" t="str">
        <f>"20190305135721812"</f>
        <v>20190305135721812</v>
      </c>
      <c r="B4528" t="str">
        <f>"1551765441806968"</f>
        <v>1551765441806968</v>
      </c>
      <c r="C4528" t="s">
        <v>40</v>
      </c>
      <c r="D4528">
        <v>4.1620929999999996</v>
      </c>
      <c r="E4528">
        <v>0.54482189999999997</v>
      </c>
      <c r="F4528" t="s">
        <v>78</v>
      </c>
      <c r="G4528">
        <v>-200.2456</v>
      </c>
      <c r="H4528" s="1">
        <v>-5.6089819999999999E-6</v>
      </c>
      <c r="I4528">
        <v>-60.924950000000003</v>
      </c>
      <c r="J4528">
        <v>-256.86579999999998</v>
      </c>
      <c r="K4528">
        <v>1.1084620000000001</v>
      </c>
      <c r="L4528">
        <v>-62.353059999999999</v>
      </c>
      <c r="M4528">
        <v>0.999969</v>
      </c>
      <c r="N4528">
        <v>-7.3537860000000002E-3</v>
      </c>
      <c r="O4528">
        <v>2.8365980000000001E-3</v>
      </c>
      <c r="P4528">
        <v>0.98898109999999995</v>
      </c>
      <c r="Q4528">
        <v>1.384141E-2</v>
      </c>
      <c r="R4528">
        <v>0.14739459999999999</v>
      </c>
      <c r="S4528">
        <v>3.0230100000000002</v>
      </c>
      <c r="T4528">
        <v>-5.9015749999999999E-2</v>
      </c>
      <c r="U4528">
        <v>7.6049800000000001E-2</v>
      </c>
      <c r="V4528">
        <v>-0.14457100000000001</v>
      </c>
      <c r="W4528">
        <v>2.1235130000000001E-2</v>
      </c>
      <c r="X4528">
        <v>0.9892666</v>
      </c>
      <c r="Y4528">
        <v>-2.2307509999999999E-2</v>
      </c>
      <c r="Z4528">
        <v>2.6523120000000001E-4</v>
      </c>
      <c r="AA4528">
        <v>0.99975119999999895</v>
      </c>
      <c r="AB4528">
        <v>31</v>
      </c>
      <c r="AC4528">
        <v>56.620199999999897</v>
      </c>
      <c r="AD4528">
        <v>-1.108467608982</v>
      </c>
      <c r="AE4528">
        <v>1.42810999999999</v>
      </c>
      <c r="AF4528">
        <v>-1.26700588048213</v>
      </c>
      <c r="AG4528">
        <v>-1.108467608982</v>
      </c>
      <c r="AH4528">
        <v>56.602343172155898</v>
      </c>
      <c r="AI4528">
        <v>91.121623167524106</v>
      </c>
      <c r="AJ4528">
        <v>91.282313849873105</v>
      </c>
      <c r="AK4528">
        <v>56.627371976102197</v>
      </c>
      <c r="AL4528">
        <v>88.7832252823776</v>
      </c>
      <c r="AM4528">
        <v>98.314325151788395</v>
      </c>
      <c r="AN4528">
        <v>1.00000005533133</v>
      </c>
    </row>
    <row r="4529" spans="1:40" x14ac:dyDescent="0.25">
      <c r="A4529" t="str">
        <f>"20190305135721824"</f>
        <v>20190305135721824</v>
      </c>
      <c r="B4529" t="str">
        <f>"1551765441816729"</f>
        <v>1551765441816729</v>
      </c>
      <c r="C4529" t="s">
        <v>40</v>
      </c>
      <c r="D4529">
        <v>4.2059939999999996</v>
      </c>
      <c r="E4529">
        <v>0.54422950000000003</v>
      </c>
      <c r="F4529" t="s">
        <v>78</v>
      </c>
      <c r="G4529">
        <v>-194.5548</v>
      </c>
      <c r="H4529" s="1">
        <v>-7.9382539999999906E-6</v>
      </c>
      <c r="I4529">
        <v>-60.614220000000003</v>
      </c>
      <c r="J4529">
        <v>-256.69549999999998</v>
      </c>
      <c r="K4529">
        <v>1.1084670000000001</v>
      </c>
      <c r="L4529">
        <v>-62.352719999999998</v>
      </c>
      <c r="M4529">
        <v>0.99997040000000004</v>
      </c>
      <c r="N4529">
        <v>-7.2113780000000001E-3</v>
      </c>
      <c r="O4529">
        <v>2.6678880000000002E-3</v>
      </c>
      <c r="P4529">
        <v>0.98905370000000004</v>
      </c>
      <c r="Q4529">
        <v>1.3717979999999999E-2</v>
      </c>
      <c r="R4529">
        <v>0.14691799999999999</v>
      </c>
      <c r="S4529">
        <v>3.0216059999999998</v>
      </c>
      <c r="T4529">
        <v>-5.3752300000000003E-2</v>
      </c>
      <c r="U4529">
        <v>8.4320069999999997E-2</v>
      </c>
      <c r="V4529">
        <v>-0.14426329999999901</v>
      </c>
      <c r="W4529">
        <v>2.0962910000000001E-2</v>
      </c>
      <c r="X4529">
        <v>0.98931720000000001</v>
      </c>
      <c r="Y4529">
        <v>-2.5222379999999999E-2</v>
      </c>
      <c r="Z4529">
        <v>2.8704460000000001E-4</v>
      </c>
      <c r="AA4529">
        <v>0.99968179999999995</v>
      </c>
      <c r="AB4529">
        <v>32</v>
      </c>
      <c r="AC4529">
        <v>62.140699999999903</v>
      </c>
      <c r="AD4529">
        <v>-1.108474938254</v>
      </c>
      <c r="AE4529">
        <v>1.7384999999999999</v>
      </c>
      <c r="AF4529">
        <v>-1.57220518388722</v>
      </c>
      <c r="AG4529">
        <v>-1.108474938254</v>
      </c>
      <c r="AH4529">
        <v>62.125364286572498</v>
      </c>
      <c r="AI4529">
        <v>91.021867261886001</v>
      </c>
      <c r="AJ4529">
        <v>91.449673566670995</v>
      </c>
      <c r="AK4529">
        <v>62.155140041418299</v>
      </c>
      <c r="AL4529">
        <v>88.798825664241207</v>
      </c>
      <c r="AM4529">
        <v>98.296457378925297</v>
      </c>
      <c r="AN4529">
        <v>0.99999993276919596</v>
      </c>
    </row>
    <row r="4530" spans="1:40" x14ac:dyDescent="0.25">
      <c r="A4530" t="str">
        <f>"20190305135721837"</f>
        <v>20190305135721837</v>
      </c>
      <c r="B4530" t="str">
        <f>"1551765441827465"</f>
        <v>1551765441827465</v>
      </c>
      <c r="C4530" t="s">
        <v>40</v>
      </c>
      <c r="D4530">
        <v>4.2408149999999996</v>
      </c>
      <c r="E4530">
        <v>0.54396659999999997</v>
      </c>
      <c r="F4530" t="s">
        <v>78</v>
      </c>
      <c r="G4530">
        <v>-199.3545</v>
      </c>
      <c r="H4530" s="1">
        <v>-5.9879639999999898E-6</v>
      </c>
      <c r="I4530">
        <v>-60.694339999999997</v>
      </c>
      <c r="J4530">
        <v>-256.52519999999998</v>
      </c>
      <c r="K4530">
        <v>1.1084750000000001</v>
      </c>
      <c r="L4530">
        <v>-62.352420000000002</v>
      </c>
      <c r="M4530">
        <v>0.99997190000000002</v>
      </c>
      <c r="N4530">
        <v>-7.0750889999999997E-3</v>
      </c>
      <c r="O4530">
        <v>2.5261239999999998E-3</v>
      </c>
      <c r="P4530">
        <v>0.98914460000000004</v>
      </c>
      <c r="Q4530">
        <v>1.3868210000000001E-2</v>
      </c>
      <c r="R4530">
        <v>0.14629039999999999</v>
      </c>
      <c r="S4530">
        <v>3.0209959999999998</v>
      </c>
      <c r="T4530">
        <v>-5.8399680000000002E-2</v>
      </c>
      <c r="U4530">
        <v>8.7371829999999998E-2</v>
      </c>
      <c r="V4530">
        <v>-0.14377690000000001</v>
      </c>
      <c r="W4530">
        <v>2.0968629999999999E-2</v>
      </c>
      <c r="X4530">
        <v>0.98938789999999999</v>
      </c>
      <c r="Y4530">
        <v>-2.6377680000000001E-2</v>
      </c>
      <c r="Z4530">
        <v>3.1727490000000002E-4</v>
      </c>
      <c r="AA4530">
        <v>0.99965199999999999</v>
      </c>
      <c r="AB4530">
        <v>32</v>
      </c>
      <c r="AC4530">
        <v>57.170699999999897</v>
      </c>
      <c r="AD4530">
        <v>-1.1084809879639901</v>
      </c>
      <c r="AE4530">
        <v>1.65807999999999</v>
      </c>
      <c r="AF4530">
        <v>-1.5130824961927201</v>
      </c>
      <c r="AG4530">
        <v>-1.1084809879639901</v>
      </c>
      <c r="AH4530">
        <v>57.153238515717497</v>
      </c>
      <c r="AI4530">
        <v>91.110717176942998</v>
      </c>
      <c r="AJ4530">
        <v>91.516501916681705</v>
      </c>
      <c r="AK4530">
        <v>57.184008442705903</v>
      </c>
      <c r="AL4530">
        <v>88.798497879261006</v>
      </c>
      <c r="AM4530">
        <v>98.268289657736801</v>
      </c>
      <c r="AN4530">
        <v>0.99999994854204699</v>
      </c>
    </row>
    <row r="4531" spans="1:40" x14ac:dyDescent="0.25">
      <c r="A4531" t="str">
        <f>"20190305135721849"</f>
        <v>20190305135721849</v>
      </c>
      <c r="B4531" t="str">
        <f>"1551765441837225"</f>
        <v>1551765441837225</v>
      </c>
      <c r="C4531" t="s">
        <v>40</v>
      </c>
      <c r="D4531">
        <v>4.1860309999999998</v>
      </c>
      <c r="E4531">
        <v>0.54371599999999998</v>
      </c>
      <c r="F4531" t="s">
        <v>78</v>
      </c>
      <c r="G4531">
        <v>-201.33940000000001</v>
      </c>
      <c r="H4531" s="1">
        <v>-5.0417399999999998E-6</v>
      </c>
      <c r="I4531">
        <v>-60.754060000000003</v>
      </c>
      <c r="J4531">
        <v>-256.34789999999998</v>
      </c>
      <c r="K4531">
        <v>1.1084889999999901</v>
      </c>
      <c r="L4531">
        <v>-62.352110000000003</v>
      </c>
      <c r="M4531">
        <v>0.99997309999999995</v>
      </c>
      <c r="N4531">
        <v>-6.9370680000000002E-3</v>
      </c>
      <c r="O4531">
        <v>2.3955909999999999E-3</v>
      </c>
      <c r="P4531">
        <v>0.98920969999999997</v>
      </c>
      <c r="Q4531">
        <v>1.39928E-2</v>
      </c>
      <c r="R4531">
        <v>0.1458381</v>
      </c>
      <c r="S4531">
        <v>3.0208590000000002</v>
      </c>
      <c r="T4531">
        <v>-6.0678009999999998E-2</v>
      </c>
      <c r="U4531">
        <v>8.7493899999999999E-2</v>
      </c>
      <c r="V4531">
        <v>-0.1434552</v>
      </c>
      <c r="W4531">
        <v>2.0945269999999998E-2</v>
      </c>
      <c r="X4531">
        <v>0.98943510000000001</v>
      </c>
      <c r="Y4531">
        <v>-2.6549389999999999E-2</v>
      </c>
      <c r="Z4531">
        <v>3.271886E-4</v>
      </c>
      <c r="AA4531">
        <v>0.99964739999999996</v>
      </c>
      <c r="AB4531">
        <v>32</v>
      </c>
      <c r="AC4531">
        <v>55.008499999999898</v>
      </c>
      <c r="AD4531">
        <v>-1.10849404173999</v>
      </c>
      <c r="AE4531">
        <v>1.59805</v>
      </c>
      <c r="AF4531">
        <v>-1.4656697088570401</v>
      </c>
      <c r="AG4531">
        <v>-1.10849404173999</v>
      </c>
      <c r="AH4531">
        <v>54.9898592934451</v>
      </c>
      <c r="AI4531">
        <v>91.154410865471405</v>
      </c>
      <c r="AJ4531">
        <v>91.526768974549995</v>
      </c>
      <c r="AK4531">
        <v>55.0205559027617</v>
      </c>
      <c r="AL4531">
        <v>88.799836614016499</v>
      </c>
      <c r="AM4531">
        <v>98.249656197865207</v>
      </c>
      <c r="AN4531">
        <v>0.99999995792720997</v>
      </c>
    </row>
    <row r="4532" spans="1:40" x14ac:dyDescent="0.25">
      <c r="A4532" t="str">
        <f>"20190305135721862"</f>
        <v>20190305135721862</v>
      </c>
      <c r="B4532" t="str">
        <f>"1551765441856746"</f>
        <v>1551765441856746</v>
      </c>
      <c r="C4532" t="s">
        <v>40</v>
      </c>
      <c r="D4532">
        <v>4.4359349999999997</v>
      </c>
      <c r="E4532">
        <v>0.5417052</v>
      </c>
      <c r="F4532" t="s">
        <v>78</v>
      </c>
      <c r="G4532">
        <v>-202.08609999999999</v>
      </c>
      <c r="H4532" s="1">
        <v>-4.6622430000000001E-6</v>
      </c>
      <c r="I4532">
        <v>-60.770499999999998</v>
      </c>
      <c r="J4532">
        <v>-256.16520000000003</v>
      </c>
      <c r="K4532">
        <v>1.108509</v>
      </c>
      <c r="L4532">
        <v>-62.351779999999998</v>
      </c>
      <c r="M4532">
        <v>0.99997409999999998</v>
      </c>
      <c r="N4532">
        <v>-6.8070509999999997E-3</v>
      </c>
      <c r="O4532">
        <v>2.3047979999999998E-3</v>
      </c>
      <c r="P4532">
        <v>0.98929489999999998</v>
      </c>
      <c r="Q4532">
        <v>1.3838639999999999E-2</v>
      </c>
      <c r="R4532">
        <v>0.14527200000000001</v>
      </c>
      <c r="S4532">
        <v>3.0206149999999998</v>
      </c>
      <c r="T4532">
        <v>-6.1706900000000002E-2</v>
      </c>
      <c r="U4532">
        <v>8.8043209999999997E-2</v>
      </c>
      <c r="V4532">
        <v>-0.142981</v>
      </c>
      <c r="W4532">
        <v>2.06497E-2</v>
      </c>
      <c r="X4532">
        <v>0.98951</v>
      </c>
      <c r="Y4532">
        <v>-2.6823880000000001E-2</v>
      </c>
      <c r="Z4532">
        <v>3.3384559999999997E-4</v>
      </c>
      <c r="AA4532">
        <v>0.99964010000000003</v>
      </c>
      <c r="AB4532">
        <v>32</v>
      </c>
      <c r="AC4532">
        <v>54.079099999999997</v>
      </c>
      <c r="AD4532">
        <v>-1.1085136622430001</v>
      </c>
      <c r="AE4532">
        <v>1.58128</v>
      </c>
      <c r="AF4532">
        <v>-1.4560202502950099</v>
      </c>
      <c r="AG4532">
        <v>-1.1085136622430001</v>
      </c>
      <c r="AH4532">
        <v>54.059906122029901</v>
      </c>
      <c r="AI4532">
        <v>91.174275818803395</v>
      </c>
      <c r="AJ4532">
        <v>91.542800529927007</v>
      </c>
      <c r="AK4532">
        <v>54.090870277999201</v>
      </c>
      <c r="AL4532">
        <v>88.816775251598798</v>
      </c>
      <c r="AM4532">
        <v>98.222146050871899</v>
      </c>
      <c r="AN4532">
        <v>1.00000000828554</v>
      </c>
    </row>
    <row r="4533" spans="1:40" x14ac:dyDescent="0.25">
      <c r="A4533" t="str">
        <f>"20190305135721874"</f>
        <v>20190305135721874</v>
      </c>
      <c r="B4533" t="str">
        <f>"1551765441866504"</f>
        <v>1551765441866504</v>
      </c>
      <c r="C4533" t="s">
        <v>40</v>
      </c>
      <c r="D4533">
        <v>4.2395139999999998</v>
      </c>
      <c r="E4533">
        <v>0.54101849999999996</v>
      </c>
      <c r="F4533" t="s">
        <v>93</v>
      </c>
      <c r="G4533">
        <v>-210.77850000000001</v>
      </c>
      <c r="H4533" s="1">
        <v>5.8075100000000004E-7</v>
      </c>
      <c r="I4533">
        <v>-60.820509999999999</v>
      </c>
      <c r="J4533">
        <v>-255.9992</v>
      </c>
      <c r="K4533">
        <v>1.10853</v>
      </c>
      <c r="L4533">
        <v>-62.3514699999999</v>
      </c>
      <c r="M4533">
        <v>0.99997510000000001</v>
      </c>
      <c r="N4533">
        <v>-6.6935750000000002E-3</v>
      </c>
      <c r="O4533">
        <v>2.2385130000000001E-3</v>
      </c>
      <c r="P4533">
        <v>0.98939480000000002</v>
      </c>
      <c r="Q4533">
        <v>1.346346E-2</v>
      </c>
      <c r="R4533">
        <v>0.144626799999999</v>
      </c>
      <c r="S4533">
        <v>3.01857</v>
      </c>
      <c r="T4533">
        <v>-7.3724509999999993E-2</v>
      </c>
      <c r="U4533">
        <v>0.1018372</v>
      </c>
      <c r="V4533">
        <v>-0.14240249999999999</v>
      </c>
      <c r="W4533">
        <v>2.015103E-2</v>
      </c>
      <c r="X4533">
        <v>0.98960369999999998</v>
      </c>
      <c r="Y4533">
        <v>-3.146873E-2</v>
      </c>
      <c r="Z4533">
        <v>4.4982410000000002E-4</v>
      </c>
      <c r="AA4533">
        <v>0.99950459999999997</v>
      </c>
      <c r="AB4533">
        <v>32</v>
      </c>
      <c r="AC4533">
        <v>45.220700000000001</v>
      </c>
      <c r="AD4533">
        <v>-1.1085294192490001</v>
      </c>
      <c r="AE4533">
        <v>1.5309599999999901</v>
      </c>
      <c r="AF4533">
        <v>-1.42886911287718</v>
      </c>
      <c r="AG4533">
        <v>-1.1085294192490001</v>
      </c>
      <c r="AH4533">
        <v>45.196885026878199</v>
      </c>
      <c r="AI4533">
        <v>91.404292103805105</v>
      </c>
      <c r="AJ4533">
        <v>91.810764417315198</v>
      </c>
      <c r="AK4533">
        <v>45.233051196530198</v>
      </c>
      <c r="AL4533">
        <v>88.845352886736904</v>
      </c>
      <c r="AM4533">
        <v>98.188566551623694</v>
      </c>
      <c r="AN4533">
        <v>1.0000000095349999</v>
      </c>
    </row>
    <row r="4534" spans="1:40" x14ac:dyDescent="0.25">
      <c r="A4534" t="str">
        <f>"20190305135721886"</f>
        <v>20190305135721886</v>
      </c>
      <c r="B4534" t="str">
        <f>"1551765441877241"</f>
        <v>1551765441877241</v>
      </c>
      <c r="C4534" t="s">
        <v>40</v>
      </c>
      <c r="D4534">
        <v>4.2282640000000002</v>
      </c>
      <c r="E4534">
        <v>0.54044879999999995</v>
      </c>
      <c r="F4534" t="s">
        <v>78</v>
      </c>
      <c r="G4534">
        <v>-208.9751</v>
      </c>
      <c r="H4534" s="1">
        <v>-6.6827019999999897E-7</v>
      </c>
      <c r="I4534">
        <v>-60.708449999999999</v>
      </c>
      <c r="J4534">
        <v>-255.8271</v>
      </c>
      <c r="K4534">
        <v>1.1085510000000001</v>
      </c>
      <c r="L4534">
        <v>-62.351140000000001</v>
      </c>
      <c r="M4534">
        <v>0.99997610000000003</v>
      </c>
      <c r="N4534">
        <v>-6.5832699999999996E-3</v>
      </c>
      <c r="O4534">
        <v>2.1965940000000001E-3</v>
      </c>
      <c r="P4534">
        <v>0.98949450000000005</v>
      </c>
      <c r="Q4534">
        <v>1.319615E-2</v>
      </c>
      <c r="R4534">
        <v>0.14396800000000001</v>
      </c>
      <c r="S4534">
        <v>3.0177</v>
      </c>
      <c r="T4534">
        <v>-7.1138140000000002E-2</v>
      </c>
      <c r="U4534">
        <v>0.1054382</v>
      </c>
      <c r="V4534">
        <v>-0.14178679999999999</v>
      </c>
      <c r="W4534">
        <v>1.976201E-2</v>
      </c>
      <c r="X4534">
        <v>0.98970000000000002</v>
      </c>
      <c r="Y4534">
        <v>-3.2711949999999997E-2</v>
      </c>
      <c r="Z4534">
        <v>4.5582439999999999E-4</v>
      </c>
      <c r="AA4534">
        <v>0.99946469999999998</v>
      </c>
      <c r="AB4534">
        <v>32</v>
      </c>
      <c r="AC4534">
        <v>46.851999999999997</v>
      </c>
      <c r="AD4534">
        <v>-1.1085516682701999</v>
      </c>
      <c r="AE4534">
        <v>1.64269</v>
      </c>
      <c r="AF4534">
        <v>-1.53890853501025</v>
      </c>
      <c r="AG4534">
        <v>-1.1085516682701999</v>
      </c>
      <c r="AH4534">
        <v>46.829311132934897</v>
      </c>
      <c r="AI4534">
        <v>91.3553311304684</v>
      </c>
      <c r="AJ4534">
        <v>91.882181111030405</v>
      </c>
      <c r="AK4534">
        <v>46.867702178211999</v>
      </c>
      <c r="AL4534">
        <v>88.867646589859703</v>
      </c>
      <c r="AM4534">
        <v>98.152856349722498</v>
      </c>
      <c r="AN4534">
        <v>1.00000006184673</v>
      </c>
    </row>
    <row r="4535" spans="1:40" x14ac:dyDescent="0.25">
      <c r="A4535" t="str">
        <f>"20190305135721898"</f>
        <v>20190305135721898</v>
      </c>
      <c r="B4535" t="str">
        <f>"1551765441887002"</f>
        <v>1551765441887002</v>
      </c>
      <c r="C4535" t="s">
        <v>40</v>
      </c>
      <c r="D4535">
        <v>4.2330379999999996</v>
      </c>
      <c r="E4535">
        <v>0.53992019999999996</v>
      </c>
      <c r="F4535" t="s">
        <v>93</v>
      </c>
      <c r="G4535">
        <v>-211.83869999999999</v>
      </c>
      <c r="H4535" s="1">
        <v>1.3679619999999999E-7</v>
      </c>
      <c r="I4535">
        <v>-60.779609999999998</v>
      </c>
      <c r="J4535">
        <v>-255.65690000000001</v>
      </c>
      <c r="K4535">
        <v>1.108579</v>
      </c>
      <c r="L4535">
        <v>-62.350769999999997</v>
      </c>
      <c r="M4535">
        <v>0.99997659999999999</v>
      </c>
      <c r="N4535">
        <v>-6.4825409999999997E-3</v>
      </c>
      <c r="O4535">
        <v>2.1925500000000001E-3</v>
      </c>
      <c r="P4535">
        <v>0.98957139999999999</v>
      </c>
      <c r="Q4535">
        <v>1.2814519999999999E-2</v>
      </c>
      <c r="R4535">
        <v>0.1434734</v>
      </c>
      <c r="S4535">
        <v>3.0171809999999999</v>
      </c>
      <c r="T4535">
        <v>-7.6036099999999995E-2</v>
      </c>
      <c r="U4535">
        <v>0.1077881</v>
      </c>
      <c r="V4535">
        <v>-0.141298799999999</v>
      </c>
      <c r="W4535">
        <v>1.92681E-2</v>
      </c>
      <c r="X4535">
        <v>0.98977950000000003</v>
      </c>
      <c r="Y4535">
        <v>-3.3497720000000002E-2</v>
      </c>
      <c r="Z4535">
        <v>4.8949949999999996E-4</v>
      </c>
      <c r="AA4535">
        <v>0.99943870000000001</v>
      </c>
      <c r="AB4535">
        <v>32</v>
      </c>
      <c r="AC4535">
        <v>43.818199999999997</v>
      </c>
      <c r="AD4535">
        <v>-1.1085788632038001</v>
      </c>
      <c r="AE4535">
        <v>1.5711599999999899</v>
      </c>
      <c r="AF4535">
        <v>-1.47413827882236</v>
      </c>
      <c r="AG4535">
        <v>-1.1085788632038001</v>
      </c>
      <c r="AH4535">
        <v>43.793544865764297</v>
      </c>
      <c r="AI4535">
        <v>91.449240925307606</v>
      </c>
      <c r="AJ4535">
        <v>91.927910228420899</v>
      </c>
      <c r="AK4535">
        <v>43.832369348128303</v>
      </c>
      <c r="AL4535">
        <v>88.895950906949096</v>
      </c>
      <c r="AM4535">
        <v>98.124527371015802</v>
      </c>
      <c r="AN4535">
        <v>1.00000003458964</v>
      </c>
    </row>
    <row r="4536" spans="1:40" x14ac:dyDescent="0.25">
      <c r="A4536" t="str">
        <f>"20190305135721916"</f>
        <v>20190305135721916</v>
      </c>
      <c r="B4536" t="str">
        <f>"1551765441906520"</f>
        <v>1551765441906520</v>
      </c>
      <c r="C4536" t="s">
        <v>40</v>
      </c>
      <c r="D4536">
        <v>4.2535040000000004</v>
      </c>
      <c r="E4536">
        <v>0.5391669</v>
      </c>
      <c r="F4536" t="s">
        <v>93</v>
      </c>
      <c r="G4536">
        <v>-211.69980000000001</v>
      </c>
      <c r="H4536" s="1">
        <v>2.0719339999999999E-7</v>
      </c>
      <c r="I4536">
        <v>-60.739130000000003</v>
      </c>
      <c r="J4536">
        <v>-255.41579999999999</v>
      </c>
      <c r="K4536">
        <v>1.108622</v>
      </c>
      <c r="L4536">
        <v>-62.350250000000003</v>
      </c>
      <c r="M4536">
        <v>0.99997740000000002</v>
      </c>
      <c r="N4536">
        <v>-6.3494519999999898E-3</v>
      </c>
      <c r="O4536">
        <v>2.2336919999999998E-3</v>
      </c>
      <c r="P4536">
        <v>0.98967110000000003</v>
      </c>
      <c r="Q4536">
        <v>1.224979E-2</v>
      </c>
      <c r="R4536">
        <v>0.14283360000000001</v>
      </c>
      <c r="S4536">
        <v>3.0165860000000002</v>
      </c>
      <c r="T4536">
        <v>-7.6076870000000005E-2</v>
      </c>
      <c r="U4536">
        <v>0.11059570000000001</v>
      </c>
      <c r="V4536">
        <v>-0.14062060000000001</v>
      </c>
      <c r="W4536">
        <v>1.8552019999999999E-2</v>
      </c>
      <c r="X4536">
        <v>0.98988969999999998</v>
      </c>
      <c r="Y4536">
        <v>-3.4392310000000002E-2</v>
      </c>
      <c r="Z4536">
        <v>5.0058239999999999E-4</v>
      </c>
      <c r="AA4536">
        <v>0.99940830000000003</v>
      </c>
      <c r="AB4536">
        <v>32</v>
      </c>
      <c r="AC4536">
        <v>43.715999999999902</v>
      </c>
      <c r="AD4536">
        <v>-1.1086217928066</v>
      </c>
      <c r="AE4536">
        <v>1.6111199999999899</v>
      </c>
      <c r="AF4536">
        <v>-1.5124945552043001</v>
      </c>
      <c r="AG4536">
        <v>-1.1086217928066</v>
      </c>
      <c r="AH4536">
        <v>43.691429426210497</v>
      </c>
      <c r="AI4536">
        <v>91.452635501558902</v>
      </c>
      <c r="AJ4536">
        <v>91.982653428482607</v>
      </c>
      <c r="AK4536">
        <v>43.731655438189598</v>
      </c>
      <c r="AL4536">
        <v>88.936986541829597</v>
      </c>
      <c r="AM4536">
        <v>98.085160276524903</v>
      </c>
      <c r="AN4536">
        <v>0.99999997437826404</v>
      </c>
    </row>
    <row r="4537" spans="1:40" x14ac:dyDescent="0.25">
      <c r="A4537" t="str">
        <f>"20190305135721936"</f>
        <v>20190305135721936</v>
      </c>
      <c r="B4537" t="str">
        <f>"1551765441926760"</f>
        <v>1551765441926760</v>
      </c>
      <c r="C4537" t="s">
        <v>40</v>
      </c>
      <c r="D4537">
        <v>4.1953239999999896</v>
      </c>
      <c r="E4537">
        <v>0.53843960000000002</v>
      </c>
      <c r="F4537" t="s">
        <v>93</v>
      </c>
      <c r="G4537">
        <v>-211.04220000000001</v>
      </c>
      <c r="H4537" s="1">
        <v>5.0963149999999998E-7</v>
      </c>
      <c r="I4537">
        <v>-60.662700000000001</v>
      </c>
      <c r="J4537">
        <v>-255.0994</v>
      </c>
      <c r="K4537">
        <v>1.1086910000000001</v>
      </c>
      <c r="L4537">
        <v>-62.349429999999998</v>
      </c>
      <c r="M4537">
        <v>0.99997809999999998</v>
      </c>
      <c r="N4537">
        <v>-6.1954489999999996E-3</v>
      </c>
      <c r="O4537">
        <v>2.3949750000000001E-3</v>
      </c>
      <c r="P4537">
        <v>0.98972369999999998</v>
      </c>
      <c r="Q4537">
        <v>1.144741E-2</v>
      </c>
      <c r="R4537">
        <v>0.14253569999999999</v>
      </c>
      <c r="S4537">
        <v>3.015717</v>
      </c>
      <c r="T4537">
        <v>-7.5344090000000002E-2</v>
      </c>
      <c r="U4537">
        <v>0.1146851</v>
      </c>
      <c r="V4537">
        <v>-0.14016609999999999</v>
      </c>
      <c r="W4537">
        <v>1.7568940000000002E-2</v>
      </c>
      <c r="X4537">
        <v>0.98997210000000002</v>
      </c>
      <c r="Y4537">
        <v>-3.5594830000000001E-2</v>
      </c>
      <c r="Z4537">
        <v>5.0976989999999996E-4</v>
      </c>
      <c r="AA4537">
        <v>0.99936619999999998</v>
      </c>
      <c r="AB4537">
        <v>32</v>
      </c>
      <c r="AC4537">
        <v>44.057200000000002</v>
      </c>
      <c r="AD4537">
        <v>-1.1086904903685</v>
      </c>
      <c r="AE4537">
        <v>1.6867300000000001</v>
      </c>
      <c r="AF4537">
        <v>-1.58020803256737</v>
      </c>
      <c r="AG4537">
        <v>-1.1086904903685</v>
      </c>
      <c r="AH4537">
        <v>44.033269389664</v>
      </c>
      <c r="AI4537">
        <v>91.441388050449703</v>
      </c>
      <c r="AJ4537">
        <v>92.055273550281697</v>
      </c>
      <c r="AK4537">
        <v>44.075560860553402</v>
      </c>
      <c r="AL4537">
        <v>88.993322075681903</v>
      </c>
      <c r="AM4537">
        <v>98.0587100962383</v>
      </c>
      <c r="AN4537">
        <v>0.99999998101017096</v>
      </c>
    </row>
    <row r="4538" spans="1:40" x14ac:dyDescent="0.25">
      <c r="A4538" t="str">
        <f>"20190305135721948"</f>
        <v>20190305135721948</v>
      </c>
      <c r="B4538" t="str">
        <f>"1551765441937497"</f>
        <v>1551765441937497</v>
      </c>
      <c r="C4538" t="s">
        <v>40</v>
      </c>
      <c r="D4538">
        <v>4.175338</v>
      </c>
      <c r="E4538">
        <v>0.53813750000000005</v>
      </c>
      <c r="F4538" t="s">
        <v>93</v>
      </c>
      <c r="G4538">
        <v>-215.12459999999999</v>
      </c>
      <c r="H4538" s="1">
        <v>-1.269979E-6</v>
      </c>
      <c r="I4538">
        <v>-60.768880000000003</v>
      </c>
      <c r="J4538">
        <v>-254.92410000000001</v>
      </c>
      <c r="K4538">
        <v>1.108733</v>
      </c>
      <c r="L4538">
        <v>-62.348909999999997</v>
      </c>
      <c r="M4538">
        <v>0.99997820000000004</v>
      </c>
      <c r="N4538">
        <v>-6.1172500000000003E-3</v>
      </c>
      <c r="O4538">
        <v>2.5216819999999999E-3</v>
      </c>
      <c r="P4538">
        <v>0.98974079999999998</v>
      </c>
      <c r="Q4538">
        <v>1.119876E-2</v>
      </c>
      <c r="R4538">
        <v>0.1424366</v>
      </c>
      <c r="S4538">
        <v>3.0149379999999999</v>
      </c>
      <c r="T4538">
        <v>-8.3618639999999994E-2</v>
      </c>
      <c r="U4538">
        <v>0.11920169999999999</v>
      </c>
      <c r="V4538">
        <v>-0.13994419999999999</v>
      </c>
      <c r="W4538">
        <v>1.7227099999999999E-2</v>
      </c>
      <c r="X4538">
        <v>0.99000949999999999</v>
      </c>
      <c r="Y4538">
        <v>-3.6969519999999999E-2</v>
      </c>
      <c r="Z4538">
        <v>5.7104080000000004E-4</v>
      </c>
      <c r="AA4538">
        <v>0.99931619999999999</v>
      </c>
      <c r="AB4538">
        <v>32</v>
      </c>
      <c r="AC4538">
        <v>39.799500000000002</v>
      </c>
      <c r="AD4538">
        <v>-1.1087342699789999</v>
      </c>
      <c r="AE4538">
        <v>1.5800299999999901</v>
      </c>
      <c r="AF4538">
        <v>-1.4785158015705</v>
      </c>
      <c r="AG4538">
        <v>-1.1087342699789999</v>
      </c>
      <c r="AH4538">
        <v>39.772540241992402</v>
      </c>
      <c r="AI4538">
        <v>91.595712299703806</v>
      </c>
      <c r="AJ4538">
        <v>92.128949393298498</v>
      </c>
      <c r="AK4538">
        <v>39.815452502236099</v>
      </c>
      <c r="AL4538">
        <v>89.012911030421606</v>
      </c>
      <c r="AM4538">
        <v>98.045819397312997</v>
      </c>
      <c r="AN4538">
        <v>0.999999981089149</v>
      </c>
    </row>
    <row r="4539" spans="1:40" x14ac:dyDescent="0.25">
      <c r="A4539" t="str">
        <f>"20190305135721961"</f>
        <v>20190305135721961</v>
      </c>
      <c r="B4539" t="str">
        <f>"1551765441957017"</f>
        <v>1551765441957017</v>
      </c>
      <c r="C4539" t="s">
        <v>40</v>
      </c>
      <c r="D4539">
        <v>4.2293520000000004</v>
      </c>
      <c r="E4539">
        <v>0.53752819999999901</v>
      </c>
      <c r="F4539" t="s">
        <v>93</v>
      </c>
      <c r="G4539">
        <v>-216.49420000000001</v>
      </c>
      <c r="H4539" s="1">
        <v>-1.866983E-6</v>
      </c>
      <c r="I4539">
        <v>-60.804389999999998</v>
      </c>
      <c r="J4539">
        <v>-254.74119999999999</v>
      </c>
      <c r="K4539">
        <v>1.108779</v>
      </c>
      <c r="L4539">
        <v>-62.348329999999997</v>
      </c>
      <c r="M4539">
        <v>0.99997809999999998</v>
      </c>
      <c r="N4539">
        <v>-6.0453700000000004E-3</v>
      </c>
      <c r="O4539">
        <v>2.7025389999999999E-3</v>
      </c>
      <c r="P4539">
        <v>0.98969620000000003</v>
      </c>
      <c r="Q4539">
        <v>1.1069270000000001E-2</v>
      </c>
      <c r="R4539">
        <v>0.1427552</v>
      </c>
      <c r="S4539">
        <v>3.0146480000000002</v>
      </c>
      <c r="T4539">
        <v>-8.69751E-2</v>
      </c>
      <c r="U4539">
        <v>0.12115480000000001</v>
      </c>
      <c r="V4539">
        <v>-0.1400854</v>
      </c>
      <c r="W4539">
        <v>1.7009699999999999E-2</v>
      </c>
      <c r="X4539">
        <v>0.98999329999999996</v>
      </c>
      <c r="Y4539">
        <v>-3.7437610000000003E-2</v>
      </c>
      <c r="Z4539">
        <v>5.9136740000000001E-4</v>
      </c>
      <c r="AA4539">
        <v>0.99929880000000004</v>
      </c>
      <c r="AB4539">
        <v>32</v>
      </c>
      <c r="AC4539">
        <v>38.2469999999999</v>
      </c>
      <c r="AD4539">
        <v>-1.1087808669829999</v>
      </c>
      <c r="AE4539">
        <v>1.5439399999999901</v>
      </c>
      <c r="AF4539">
        <v>-1.4393607657196199</v>
      </c>
      <c r="AG4539">
        <v>-1.1087808669829999</v>
      </c>
      <c r="AH4539">
        <v>38.2189652059457</v>
      </c>
      <c r="AI4539">
        <v>91.660580887827095</v>
      </c>
      <c r="AJ4539">
        <v>92.156791525893198</v>
      </c>
      <c r="AK4539">
        <v>38.262128218881998</v>
      </c>
      <c r="AL4539">
        <v>89.025368968875796</v>
      </c>
      <c r="AM4539">
        <v>98.053961017794194</v>
      </c>
      <c r="AN4539">
        <v>0.99999999161606901</v>
      </c>
    </row>
    <row r="4540" spans="1:40" x14ac:dyDescent="0.25">
      <c r="A4540" t="str">
        <f>"20190305135721973"</f>
        <v>20190305135721973</v>
      </c>
      <c r="B4540" t="str">
        <f>"1551765441966777"</f>
        <v>1551765441966777</v>
      </c>
      <c r="C4540" t="s">
        <v>40</v>
      </c>
      <c r="D4540">
        <v>4.1764929999999998</v>
      </c>
      <c r="E4540">
        <v>0.53728699999999996</v>
      </c>
      <c r="F4540" t="s">
        <v>93</v>
      </c>
      <c r="G4540">
        <v>-218.30959999999999</v>
      </c>
      <c r="H4540" s="1">
        <v>-2.64894E-6</v>
      </c>
      <c r="I4540">
        <v>-60.816299999999998</v>
      </c>
      <c r="J4540">
        <v>-254.5667</v>
      </c>
      <c r="K4540">
        <v>1.1088260000000001</v>
      </c>
      <c r="L4540">
        <v>-62.347720000000002</v>
      </c>
      <c r="M4540">
        <v>0.99997800000000003</v>
      </c>
      <c r="N4540">
        <v>-5.9802769999999896E-3</v>
      </c>
      <c r="O4540">
        <v>2.893592E-3</v>
      </c>
      <c r="P4540">
        <v>0.98970979999999997</v>
      </c>
      <c r="Q4540">
        <v>1.1290130000000001E-2</v>
      </c>
      <c r="R4540">
        <v>0.14264350000000001</v>
      </c>
      <c r="S4540">
        <v>3.013992</v>
      </c>
      <c r="T4540">
        <v>-9.1729759999999994E-2</v>
      </c>
      <c r="U4540">
        <v>0.1267395</v>
      </c>
      <c r="V4540">
        <v>-0.13978670000000001</v>
      </c>
      <c r="W4540">
        <v>1.7150809999999999E-2</v>
      </c>
      <c r="X4540">
        <v>0.9900331</v>
      </c>
      <c r="Y4540">
        <v>-3.9101219999999999E-2</v>
      </c>
      <c r="Z4540">
        <v>6.4090800000000004E-4</v>
      </c>
      <c r="AA4540">
        <v>0.99923499999999998</v>
      </c>
      <c r="AB4540">
        <v>32</v>
      </c>
      <c r="AC4540">
        <v>36.257100000000001</v>
      </c>
      <c r="AD4540">
        <v>-1.1088286489399899</v>
      </c>
      <c r="AE4540">
        <v>1.53141999999999</v>
      </c>
      <c r="AF4540">
        <v>-1.4251679045047601</v>
      </c>
      <c r="AG4540">
        <v>-1.1088286489399899</v>
      </c>
      <c r="AH4540">
        <v>36.227556935175599</v>
      </c>
      <c r="AI4540">
        <v>91.751769162655805</v>
      </c>
      <c r="AJ4540">
        <v>92.252816054901004</v>
      </c>
      <c r="AK4540">
        <v>36.2725307363593</v>
      </c>
      <c r="AL4540">
        <v>89.017282795340293</v>
      </c>
      <c r="AM4540">
        <v>98.036693540857797</v>
      </c>
      <c r="AN4540">
        <v>1.00000000543807</v>
      </c>
    </row>
    <row r="4541" spans="1:40" x14ac:dyDescent="0.25">
      <c r="A4541" t="str">
        <f>"20190305135721984"</f>
        <v>20190305135721984</v>
      </c>
      <c r="B4541" t="str">
        <f>"1551765441977513"</f>
        <v>1551765441977513</v>
      </c>
      <c r="C4541" t="s">
        <v>40</v>
      </c>
      <c r="D4541">
        <v>4.1836859999999998</v>
      </c>
      <c r="E4541">
        <v>0.5370625</v>
      </c>
      <c r="F4541" t="s">
        <v>93</v>
      </c>
      <c r="G4541">
        <v>-218.79499999999999</v>
      </c>
      <c r="H4541" s="1">
        <v>-2.8595279999999998E-6</v>
      </c>
      <c r="I4541">
        <v>-60.825220000000002</v>
      </c>
      <c r="J4541">
        <v>-254.3973</v>
      </c>
      <c r="K4541">
        <v>1.108867</v>
      </c>
      <c r="L4541">
        <v>-62.347050000000003</v>
      </c>
      <c r="M4541">
        <v>0.99997760000000002</v>
      </c>
      <c r="N4541">
        <v>-5.9228639999999999E-3</v>
      </c>
      <c r="O4541">
        <v>3.1108809999999998E-3</v>
      </c>
      <c r="P4541">
        <v>0.98970959999999997</v>
      </c>
      <c r="Q4541">
        <v>1.1273439999999999E-2</v>
      </c>
      <c r="R4541">
        <v>0.14264660000000001</v>
      </c>
      <c r="S4541">
        <v>3.013779</v>
      </c>
      <c r="T4541">
        <v>-9.3419080000000002E-2</v>
      </c>
      <c r="U4541">
        <v>0.1282654</v>
      </c>
      <c r="V4541">
        <v>-0.13957629999999999</v>
      </c>
      <c r="W4541">
        <v>1.7062609999999999E-2</v>
      </c>
      <c r="X4541">
        <v>0.99006430000000001</v>
      </c>
      <c r="Y4541">
        <v>-3.9391309999999999E-2</v>
      </c>
      <c r="Z4541">
        <v>6.4888529999999997E-4</v>
      </c>
      <c r="AA4541">
        <v>0.99922359999999999</v>
      </c>
      <c r="AB4541">
        <v>32</v>
      </c>
      <c r="AC4541">
        <v>35.6023</v>
      </c>
      <c r="AD4541">
        <v>-1.108869859528</v>
      </c>
      <c r="AE4541">
        <v>1.52183</v>
      </c>
      <c r="AF4541">
        <v>-1.4097011513745701</v>
      </c>
      <c r="AG4541">
        <v>-1.108869859528</v>
      </c>
      <c r="AH4541">
        <v>35.572417081608499</v>
      </c>
      <c r="AI4541">
        <v>91.784056863587693</v>
      </c>
      <c r="AJ4541">
        <v>92.2693899021248</v>
      </c>
      <c r="AK4541">
        <v>35.617603888098202</v>
      </c>
      <c r="AL4541">
        <v>89.022337014559099</v>
      </c>
      <c r="AM4541">
        <v>98.024505206610698</v>
      </c>
      <c r="AN4541">
        <v>0.99999999715809595</v>
      </c>
    </row>
    <row r="4542" spans="1:40" x14ac:dyDescent="0.25">
      <c r="A4542" t="str">
        <f>"20190305135721996"</f>
        <v>20190305135721996</v>
      </c>
      <c r="B4542" t="str">
        <f>"1551765441987273"</f>
        <v>1551765441987273</v>
      </c>
      <c r="C4542" t="s">
        <v>40</v>
      </c>
      <c r="D4542">
        <v>4.2076169999999999</v>
      </c>
      <c r="E4542">
        <v>0.53687530000000006</v>
      </c>
      <c r="F4542" t="s">
        <v>93</v>
      </c>
      <c r="G4542">
        <v>-219.52099999999999</v>
      </c>
      <c r="H4542" s="1">
        <v>-3.1756390000000002E-6</v>
      </c>
      <c r="I4542">
        <v>-60.842750000000002</v>
      </c>
      <c r="J4542">
        <v>-254.2413</v>
      </c>
      <c r="K4542">
        <v>1.1089070000000001</v>
      </c>
      <c r="L4542">
        <v>-62.346409999999999</v>
      </c>
      <c r="M4542">
        <v>0.99997740000000002</v>
      </c>
      <c r="N4542">
        <v>-5.8741679999999999E-3</v>
      </c>
      <c r="O4542">
        <v>3.33227E-3</v>
      </c>
      <c r="P4542">
        <v>0.98969629999999997</v>
      </c>
      <c r="Q4542">
        <v>1.2150350000000001E-2</v>
      </c>
      <c r="R4542">
        <v>0.14266789999999999</v>
      </c>
      <c r="S4542">
        <v>3.0135350000000001</v>
      </c>
      <c r="T4542">
        <v>-9.5813270000000006E-2</v>
      </c>
      <c r="U4542">
        <v>0.12997439999999999</v>
      </c>
      <c r="V4542">
        <v>-0.13938029999999901</v>
      </c>
      <c r="W4542">
        <v>1.7878359999999999E-2</v>
      </c>
      <c r="X4542">
        <v>0.99007750000000005</v>
      </c>
      <c r="Y4542">
        <v>-3.9738040000000002E-2</v>
      </c>
      <c r="Z4542">
        <v>6.6176570000000005E-4</v>
      </c>
      <c r="AA4542">
        <v>0.99920989999999998</v>
      </c>
      <c r="AB4542">
        <v>32</v>
      </c>
      <c r="AC4542">
        <v>34.720300000000002</v>
      </c>
      <c r="AD4542">
        <v>-1.1089101756390001</v>
      </c>
      <c r="AE4542">
        <v>1.50365999999999</v>
      </c>
      <c r="AF4542">
        <v>-1.38654055776706</v>
      </c>
      <c r="AG4542">
        <v>-1.1089101756390001</v>
      </c>
      <c r="AH4542">
        <v>34.689798473372903</v>
      </c>
      <c r="AI4542">
        <v>91.829460193735102</v>
      </c>
      <c r="AJ4542">
        <v>92.288876289505197</v>
      </c>
      <c r="AK4542">
        <v>34.7352025273957</v>
      </c>
      <c r="AL4542">
        <v>88.975590828878097</v>
      </c>
      <c r="AM4542">
        <v>98.013277820315196</v>
      </c>
      <c r="AN4542">
        <v>0.99999997989531397</v>
      </c>
    </row>
    <row r="4543" spans="1:40" x14ac:dyDescent="0.25">
      <c r="A4543" t="str">
        <f>"20190305135722005"</f>
        <v>20190305135722005</v>
      </c>
      <c r="B4543" t="str">
        <f>"1551765441997032"</f>
        <v>1551765441997032</v>
      </c>
      <c r="C4543" t="s">
        <v>40</v>
      </c>
      <c r="D4543">
        <v>4.2171820000000002</v>
      </c>
      <c r="E4543">
        <v>0.5367073</v>
      </c>
      <c r="F4543" t="s">
        <v>93</v>
      </c>
      <c r="G4543">
        <v>-219.071</v>
      </c>
      <c r="H4543" s="1">
        <v>-2.9745129999999998E-6</v>
      </c>
      <c r="I4543">
        <v>-60.812309999999997</v>
      </c>
      <c r="J4543">
        <v>-254.09059999999999</v>
      </c>
      <c r="K4543">
        <v>1.10894</v>
      </c>
      <c r="L4543">
        <v>-62.345700000000001</v>
      </c>
      <c r="M4543">
        <v>0.9999768</v>
      </c>
      <c r="N4543">
        <v>-5.8299789999999999E-3</v>
      </c>
      <c r="O4543">
        <v>3.5604740000000001E-3</v>
      </c>
      <c r="P4543">
        <v>0.98971149999999997</v>
      </c>
      <c r="Q4543">
        <v>1.278048E-2</v>
      </c>
      <c r="R4543">
        <v>0.1425061</v>
      </c>
      <c r="S4543">
        <v>3.013458</v>
      </c>
      <c r="T4543">
        <v>-9.5013619999999993E-2</v>
      </c>
      <c r="U4543">
        <v>0.13143920000000001</v>
      </c>
      <c r="V4543">
        <v>-0.13899500000000001</v>
      </c>
      <c r="W4543">
        <v>1.8453810000000001E-2</v>
      </c>
      <c r="X4543">
        <v>0.99012109999999998</v>
      </c>
      <c r="Y4543">
        <v>-3.9996200000000003E-2</v>
      </c>
      <c r="Z4543">
        <v>6.5532519999999996E-4</v>
      </c>
      <c r="AA4543">
        <v>0.99919959999999997</v>
      </c>
      <c r="AB4543">
        <v>33</v>
      </c>
      <c r="AC4543">
        <v>35.019599999999997</v>
      </c>
      <c r="AD4543">
        <v>-1.1089429745129999</v>
      </c>
      <c r="AE4543">
        <v>1.53339</v>
      </c>
      <c r="AF4543">
        <v>-1.4072833385622101</v>
      </c>
      <c r="AG4543">
        <v>-1.1089429745129999</v>
      </c>
      <c r="AH4543">
        <v>34.989818534157202</v>
      </c>
      <c r="AI4543">
        <v>91.813819481867498</v>
      </c>
      <c r="AJ4543">
        <v>92.303183157196699</v>
      </c>
      <c r="AK4543">
        <v>35.035661860010102</v>
      </c>
      <c r="AL4543">
        <v>88.942614522389903</v>
      </c>
      <c r="AM4543">
        <v>97.991065287115802</v>
      </c>
      <c r="AN4543">
        <v>0.99999997289686204</v>
      </c>
    </row>
    <row r="4544" spans="1:40" x14ac:dyDescent="0.25">
      <c r="A4544" t="str">
        <f>"20190305135722016"</f>
        <v>20190305135722016</v>
      </c>
      <c r="B4544" t="str">
        <f>"1551765442006793"</f>
        <v>1551765442006793</v>
      </c>
      <c r="C4544" t="s">
        <v>40</v>
      </c>
      <c r="D4544">
        <v>4.2196910000000001</v>
      </c>
      <c r="E4544">
        <v>0.5365105</v>
      </c>
      <c r="F4544" t="s">
        <v>93</v>
      </c>
      <c r="G4544">
        <v>-218.84139999999999</v>
      </c>
      <c r="H4544" s="1">
        <v>-2.8722339999999999E-6</v>
      </c>
      <c r="I4544">
        <v>-60.79813</v>
      </c>
      <c r="J4544">
        <v>-253.94220000000001</v>
      </c>
      <c r="K4544">
        <v>1.10897</v>
      </c>
      <c r="L4544">
        <v>-62.344999999999999</v>
      </c>
      <c r="M4544">
        <v>0.99997610000000003</v>
      </c>
      <c r="N4544">
        <v>-5.7905209999999999E-3</v>
      </c>
      <c r="O4544">
        <v>3.8028789999999999E-3</v>
      </c>
      <c r="P4544">
        <v>0.98968040000000002</v>
      </c>
      <c r="Q4544">
        <v>1.341465E-2</v>
      </c>
      <c r="R4544">
        <v>0.1426635</v>
      </c>
      <c r="S4544">
        <v>3.013382</v>
      </c>
      <c r="T4544">
        <v>-9.4801189999999994E-2</v>
      </c>
      <c r="U4544">
        <v>0.13229369999999999</v>
      </c>
      <c r="V4544">
        <v>-0.1389137</v>
      </c>
      <c r="W4544">
        <v>1.9038309999999999E-2</v>
      </c>
      <c r="X4544">
        <v>0.99012149999999999</v>
      </c>
      <c r="Y4544">
        <v>-4.003806E-2</v>
      </c>
      <c r="Z4544">
        <v>6.4780980000000001E-4</v>
      </c>
      <c r="AA4544">
        <v>0.99919800000000003</v>
      </c>
      <c r="AB4544">
        <v>33</v>
      </c>
      <c r="AC4544">
        <v>35.1008</v>
      </c>
      <c r="AD4544">
        <v>-1.108972872234</v>
      </c>
      <c r="AE4544">
        <v>1.54686999999999</v>
      </c>
      <c r="AF4544">
        <v>-1.4119658332167699</v>
      </c>
      <c r="AG4544">
        <v>-1.108972872234</v>
      </c>
      <c r="AH4544">
        <v>35.0714891184289</v>
      </c>
      <c r="AI4544">
        <v>91.809644332178905</v>
      </c>
      <c r="AJ4544">
        <v>92.305462901277906</v>
      </c>
      <c r="AK4544">
        <v>35.117414730153399</v>
      </c>
      <c r="AL4544">
        <v>88.909119313236303</v>
      </c>
      <c r="AM4544">
        <v>97.986448349226904</v>
      </c>
      <c r="AN4544">
        <v>1.00000002902879</v>
      </c>
    </row>
    <row r="4545" spans="1:40" x14ac:dyDescent="0.25">
      <c r="A4545" t="str">
        <f>"20190305135722025"</f>
        <v>20190305135722025</v>
      </c>
      <c r="B4545" t="str">
        <f>"1551765442017214"</f>
        <v>1551765442017214</v>
      </c>
      <c r="C4545" t="s">
        <v>40</v>
      </c>
      <c r="D4545">
        <v>4.2500439999999999</v>
      </c>
      <c r="E4545">
        <v>0.53631719999999905</v>
      </c>
      <c r="F4545" t="s">
        <v>93</v>
      </c>
      <c r="G4545">
        <v>-218.50380000000001</v>
      </c>
      <c r="H4545" s="1">
        <v>-2.7188940000000002E-6</v>
      </c>
      <c r="I4545">
        <v>-60.766060000000003</v>
      </c>
      <c r="J4545">
        <v>-253.7893</v>
      </c>
      <c r="K4545">
        <v>1.109</v>
      </c>
      <c r="L4545">
        <v>-62.344239999999999</v>
      </c>
      <c r="M4545">
        <v>0.99997530000000001</v>
      </c>
      <c r="N4545">
        <v>-5.7519379999999998E-3</v>
      </c>
      <c r="O4545">
        <v>4.0617789999999997E-3</v>
      </c>
      <c r="P4545">
        <v>0.9896604</v>
      </c>
      <c r="Q4545">
        <v>1.358735E-2</v>
      </c>
      <c r="R4545">
        <v>0.14278579999999999</v>
      </c>
      <c r="S4545">
        <v>3.0131990000000002</v>
      </c>
      <c r="T4545">
        <v>-9.4291929999999996E-2</v>
      </c>
      <c r="U4545">
        <v>0.134246799999999</v>
      </c>
      <c r="V4545">
        <v>-0.1387816</v>
      </c>
      <c r="W4545">
        <v>1.916226E-2</v>
      </c>
      <c r="X4545">
        <v>0.99013759999999995</v>
      </c>
      <c r="Y4545">
        <v>-4.0428520000000003E-2</v>
      </c>
      <c r="Z4545">
        <v>6.4479909999999997E-4</v>
      </c>
      <c r="AA4545">
        <v>0.99918220000000002</v>
      </c>
      <c r="AB4545">
        <v>33</v>
      </c>
      <c r="AC4545">
        <v>35.2854999999999</v>
      </c>
      <c r="AD4545">
        <v>-1.1090027188939999</v>
      </c>
      <c r="AE4545">
        <v>1.5781799999999999</v>
      </c>
      <c r="AF4545">
        <v>-1.4334295935641601</v>
      </c>
      <c r="AG4545">
        <v>-1.1090027188939999</v>
      </c>
      <c r="AH4545">
        <v>35.256861750982502</v>
      </c>
      <c r="AI4545">
        <v>91.800155467770793</v>
      </c>
      <c r="AJ4545">
        <v>92.328178236225497</v>
      </c>
      <c r="AK4545">
        <v>35.303412129114598</v>
      </c>
      <c r="AL4545">
        <v>88.902016169301405</v>
      </c>
      <c r="AM4545">
        <v>97.978823420660106</v>
      </c>
      <c r="AN4545">
        <v>0.99999999582031296</v>
      </c>
    </row>
    <row r="4546" spans="1:40" x14ac:dyDescent="0.25">
      <c r="A4546" t="str">
        <f>"20190305135722038"</f>
        <v>20190305135722038</v>
      </c>
      <c r="B4546" t="str">
        <f>"1551765442026952"</f>
        <v>1551765442026952</v>
      </c>
      <c r="C4546" t="s">
        <v>40</v>
      </c>
      <c r="D4546">
        <v>4.1958780000000004</v>
      </c>
      <c r="E4546">
        <v>0.53616989999999998</v>
      </c>
      <c r="F4546" t="s">
        <v>93</v>
      </c>
      <c r="G4546">
        <v>-218.7139</v>
      </c>
      <c r="H4546" s="1">
        <v>-2.8073280000000001E-6</v>
      </c>
      <c r="I4546">
        <v>-60.759689999999999</v>
      </c>
      <c r="J4546">
        <v>-253.61699999999999</v>
      </c>
      <c r="K4546">
        <v>1.1090249999999999</v>
      </c>
      <c r="L4546">
        <v>-62.343260000000001</v>
      </c>
      <c r="M4546">
        <v>0.99997429999999998</v>
      </c>
      <c r="N4546">
        <v>-5.7132199999999998E-3</v>
      </c>
      <c r="O4546">
        <v>4.3697179999999999E-3</v>
      </c>
      <c r="P4546">
        <v>0.98961889999999997</v>
      </c>
      <c r="Q4546">
        <v>1.390126E-2</v>
      </c>
      <c r="R4546">
        <v>0.14304410000000001</v>
      </c>
      <c r="S4546">
        <v>3.0129999999999999</v>
      </c>
      <c r="T4546">
        <v>-9.5264199999999993E-2</v>
      </c>
      <c r="U4546">
        <v>0.13610839999999999</v>
      </c>
      <c r="V4546">
        <v>-0.13873650000000001</v>
      </c>
      <c r="W4546">
        <v>1.942876E-2</v>
      </c>
      <c r="X4546">
        <v>0.99013870000000004</v>
      </c>
      <c r="Y4546">
        <v>-4.073939E-2</v>
      </c>
      <c r="Z4546">
        <v>6.4692190000000004E-4</v>
      </c>
      <c r="AA4546">
        <v>0.99916959999999999</v>
      </c>
      <c r="AB4546">
        <v>33</v>
      </c>
      <c r="AC4546">
        <v>34.903100000000002</v>
      </c>
      <c r="AD4546">
        <v>-1.109027807328</v>
      </c>
      <c r="AE4546">
        <v>1.5835699999999999</v>
      </c>
      <c r="AF4546">
        <v>-1.4295953333778699</v>
      </c>
      <c r="AG4546">
        <v>-1.109027807328</v>
      </c>
      <c r="AH4546">
        <v>34.874549001486002</v>
      </c>
      <c r="AI4546">
        <v>91.819892754921497</v>
      </c>
      <c r="AJ4546">
        <v>92.347383623476802</v>
      </c>
      <c r="AK4546">
        <v>34.9214526265974</v>
      </c>
      <c r="AL4546">
        <v>88.886743970998296</v>
      </c>
      <c r="AM4546">
        <v>97.9762551627351</v>
      </c>
      <c r="AN4546">
        <v>0.99999996919253797</v>
      </c>
    </row>
    <row r="4547" spans="1:40" x14ac:dyDescent="0.25">
      <c r="A4547" t="str">
        <f>"20190305135722052"</f>
        <v>20190305135722052</v>
      </c>
      <c r="B4547" t="str">
        <f>"1551765442047448"</f>
        <v>1551765442047448</v>
      </c>
      <c r="C4547" t="s">
        <v>40</v>
      </c>
      <c r="D4547">
        <v>4.2684899999999999</v>
      </c>
      <c r="E4547">
        <v>0.53587850000000004</v>
      </c>
      <c r="F4547" t="s">
        <v>93</v>
      </c>
      <c r="G4547">
        <v>-218.476</v>
      </c>
      <c r="H4547" s="1">
        <v>-2.698399E-6</v>
      </c>
      <c r="I4547">
        <v>-60.73395</v>
      </c>
      <c r="J4547">
        <v>-253.4144</v>
      </c>
      <c r="K4547">
        <v>1.1090530000000001</v>
      </c>
      <c r="L4547">
        <v>-62.342100000000002</v>
      </c>
      <c r="M4547">
        <v>0.99997270000000005</v>
      </c>
      <c r="N4547">
        <v>-5.6707199999999998E-3</v>
      </c>
      <c r="O4547">
        <v>4.7412080000000002E-3</v>
      </c>
      <c r="P4547">
        <v>0.98953650000000004</v>
      </c>
      <c r="Q4547">
        <v>1.3471240000000001E-2</v>
      </c>
      <c r="R4547">
        <v>0.14365320000000001</v>
      </c>
      <c r="S4547">
        <v>3.012848</v>
      </c>
      <c r="T4547">
        <v>-9.5083479999999998E-2</v>
      </c>
      <c r="U4547">
        <v>0.13797000000000001</v>
      </c>
      <c r="V4547">
        <v>-0.13897960000000001</v>
      </c>
      <c r="W4547">
        <v>1.8945819999999999E-2</v>
      </c>
      <c r="X4547">
        <v>0.99011400000000005</v>
      </c>
      <c r="Y4547">
        <v>-4.0986649999999999E-2</v>
      </c>
      <c r="Z4547">
        <v>6.3992239999999896E-4</v>
      </c>
      <c r="AA4547">
        <v>0.99915949999999998</v>
      </c>
      <c r="AB4547">
        <v>33</v>
      </c>
      <c r="AC4547">
        <v>34.938400000000001</v>
      </c>
      <c r="AD4547">
        <v>-1.1090556983990001</v>
      </c>
      <c r="AE4547">
        <v>1.60815</v>
      </c>
      <c r="AF4547">
        <v>-1.44103008839025</v>
      </c>
      <c r="AG4547">
        <v>-1.1090556983990001</v>
      </c>
      <c r="AH4547">
        <v>34.910529493534099</v>
      </c>
      <c r="AI4547">
        <v>91.818042749286604</v>
      </c>
      <c r="AJ4547">
        <v>92.363702250689897</v>
      </c>
      <c r="AK4547">
        <v>34.957855222778001</v>
      </c>
      <c r="AL4547">
        <v>88.914419527619799</v>
      </c>
      <c r="AM4547">
        <v>97.9902479060855</v>
      </c>
      <c r="AN4547">
        <v>1.0000000031538101</v>
      </c>
    </row>
    <row r="4548" spans="1:40" x14ac:dyDescent="0.25">
      <c r="A4548" t="str">
        <f>"20190305135722065"</f>
        <v>20190305135722065</v>
      </c>
      <c r="B4548" t="str">
        <f>"1551765442057208"</f>
        <v>1551765442057208</v>
      </c>
      <c r="C4548" t="s">
        <v>40</v>
      </c>
      <c r="D4548">
        <v>4.2769949999999897</v>
      </c>
      <c r="E4548">
        <v>0.53571089999999999</v>
      </c>
      <c r="F4548" t="s">
        <v>93</v>
      </c>
      <c r="G4548">
        <v>-219.4648</v>
      </c>
      <c r="H4548" s="1">
        <v>-3.1247400000000002E-6</v>
      </c>
      <c r="I4548">
        <v>-60.742089999999997</v>
      </c>
      <c r="J4548">
        <v>-253.21879999999999</v>
      </c>
      <c r="K4548">
        <v>1.1090679999999999</v>
      </c>
      <c r="L4548">
        <v>-62.340850000000003</v>
      </c>
      <c r="M4548">
        <v>0.99997119999999995</v>
      </c>
      <c r="N4548">
        <v>-5.6348369999999898E-3</v>
      </c>
      <c r="O4548">
        <v>5.1129340000000004E-3</v>
      </c>
      <c r="P4548">
        <v>0.98945939999999999</v>
      </c>
      <c r="Q4548">
        <v>1.34057E-2</v>
      </c>
      <c r="R4548">
        <v>0.14418989999999901</v>
      </c>
      <c r="S4548">
        <v>3.012451</v>
      </c>
      <c r="T4548">
        <v>-9.8409650000000001E-2</v>
      </c>
      <c r="U4548">
        <v>0.14196779999999901</v>
      </c>
      <c r="V4548">
        <v>-0.13914889999999999</v>
      </c>
      <c r="W4548">
        <v>1.8836640000000002E-2</v>
      </c>
      <c r="X4548">
        <v>0.99009230000000004</v>
      </c>
      <c r="Y4548">
        <v>-4.1942460000000001E-2</v>
      </c>
      <c r="Z4548">
        <v>6.646957E-4</v>
      </c>
      <c r="AA4548">
        <v>0.9991198</v>
      </c>
      <c r="AB4548">
        <v>33</v>
      </c>
      <c r="AC4548">
        <v>33.753999999999898</v>
      </c>
      <c r="AD4548">
        <v>-1.10907112474</v>
      </c>
      <c r="AE4548">
        <v>1.59875999999999</v>
      </c>
      <c r="AF4548">
        <v>-1.4246198169834401</v>
      </c>
      <c r="AG4548">
        <v>-1.10907112474</v>
      </c>
      <c r="AH4548">
        <v>33.725404366373702</v>
      </c>
      <c r="AI4548">
        <v>91.881834981186898</v>
      </c>
      <c r="AJ4548">
        <v>92.418835502626706</v>
      </c>
      <c r="AK4548">
        <v>33.773695090381999</v>
      </c>
      <c r="AL4548">
        <v>88.920676192806297</v>
      </c>
      <c r="AM4548">
        <v>98.000028472048896</v>
      </c>
      <c r="AN4548">
        <v>0.99999999894849401</v>
      </c>
    </row>
    <row r="4549" spans="1:40" x14ac:dyDescent="0.25">
      <c r="A4549" t="str">
        <f>"20190305135722081"</f>
        <v>20190305135722081</v>
      </c>
      <c r="B4549" t="str">
        <f>"1551765442076728"</f>
        <v>1551765442076728</v>
      </c>
      <c r="C4549" t="s">
        <v>40</v>
      </c>
      <c r="D4549">
        <v>4.2857409999999998</v>
      </c>
      <c r="E4549">
        <v>0.53544849999999999</v>
      </c>
      <c r="F4549" t="s">
        <v>93</v>
      </c>
      <c r="G4549">
        <v>-219.66929999999999</v>
      </c>
      <c r="H4549" s="1">
        <v>-3.2084640000000001E-6</v>
      </c>
      <c r="I4549">
        <v>-60.726950000000002</v>
      </c>
      <c r="J4549">
        <v>-252.9864</v>
      </c>
      <c r="K4549">
        <v>1.109075</v>
      </c>
      <c r="L4549">
        <v>-62.339289999999998</v>
      </c>
      <c r="M4549">
        <v>0.99996910000000006</v>
      </c>
      <c r="N4549">
        <v>-5.5972110000000004E-3</v>
      </c>
      <c r="O4549">
        <v>5.5629149999999999E-3</v>
      </c>
      <c r="P4549">
        <v>0.98927120000000002</v>
      </c>
      <c r="Q4549">
        <v>1.2410239999999999E-2</v>
      </c>
      <c r="R4549">
        <v>0.14556359999999999</v>
      </c>
      <c r="S4549">
        <v>3.0122070000000001</v>
      </c>
      <c r="T4549">
        <v>-9.9576949999999997E-2</v>
      </c>
      <c r="U4549">
        <v>0.14489749999999901</v>
      </c>
      <c r="V4549">
        <v>-0.14007820000000001</v>
      </c>
      <c r="W4549">
        <v>1.7794919999999999E-2</v>
      </c>
      <c r="X4549">
        <v>0.98998050000000004</v>
      </c>
      <c r="Y4549">
        <v>-4.2465570000000001E-2</v>
      </c>
      <c r="Z4549">
        <v>6.6764289999999996E-4</v>
      </c>
      <c r="AA4549">
        <v>0.99909769999999998</v>
      </c>
      <c r="AB4549">
        <v>33</v>
      </c>
      <c r="AC4549">
        <v>33.317100000000003</v>
      </c>
      <c r="AD4549">
        <v>-1.1090782084639901</v>
      </c>
      <c r="AE4549">
        <v>1.6123400000000001</v>
      </c>
      <c r="AF4549">
        <v>-1.42539616572926</v>
      </c>
      <c r="AG4549">
        <v>-1.1090782084639901</v>
      </c>
      <c r="AH4549">
        <v>33.288751900987201</v>
      </c>
      <c r="AI4549">
        <v>91.906466601171402</v>
      </c>
      <c r="AJ4549">
        <v>92.451859011554504</v>
      </c>
      <c r="AK4549">
        <v>33.337708556936597</v>
      </c>
      <c r="AL4549">
        <v>88.980372345350105</v>
      </c>
      <c r="AM4549">
        <v>98.053655260257003</v>
      </c>
      <c r="AN4549">
        <v>0.99999997583664701</v>
      </c>
    </row>
    <row r="4550" spans="1:40" x14ac:dyDescent="0.25">
      <c r="A4550" t="str">
        <f>"20190305135722092"</f>
        <v>20190305135722092</v>
      </c>
      <c r="B4550" t="str">
        <f>"1551765442087463"</f>
        <v>1551765442087463</v>
      </c>
      <c r="C4550" t="s">
        <v>40</v>
      </c>
      <c r="D4550">
        <v>4.2732710000000003</v>
      </c>
      <c r="E4550">
        <v>0.53533769999999903</v>
      </c>
      <c r="F4550" t="s">
        <v>92</v>
      </c>
      <c r="G4550">
        <v>-220.98509999999999</v>
      </c>
      <c r="H4550" s="1">
        <v>3.815808E-7</v>
      </c>
      <c r="I4550">
        <v>-60.733469999999997</v>
      </c>
      <c r="J4550">
        <v>-252.8278</v>
      </c>
      <c r="K4550">
        <v>1.1090799999999901</v>
      </c>
      <c r="L4550">
        <v>-62.338169999999998</v>
      </c>
      <c r="M4550">
        <v>0.9999673</v>
      </c>
      <c r="N4550">
        <v>-5.5740199999999998E-3</v>
      </c>
      <c r="O4550">
        <v>5.8728620000000004E-3</v>
      </c>
      <c r="P4550">
        <v>0.98913099999999998</v>
      </c>
      <c r="Q4550">
        <v>1.1985839999999999E-2</v>
      </c>
      <c r="R4550">
        <v>0.14654890000000001</v>
      </c>
      <c r="S4550">
        <v>3.0116269999999998</v>
      </c>
      <c r="T4550">
        <v>-0.1043745</v>
      </c>
      <c r="U4550">
        <v>0.15112300000000001</v>
      </c>
      <c r="V4550">
        <v>-0.1407572</v>
      </c>
      <c r="W4550">
        <v>1.7341519999999999E-2</v>
      </c>
      <c r="X4550">
        <v>0.9898922</v>
      </c>
      <c r="Y4550">
        <v>-4.4222110000000002E-2</v>
      </c>
      <c r="Z4550">
        <v>7.1833300000000004E-4</v>
      </c>
      <c r="AA4550">
        <v>0.99902150000000001</v>
      </c>
      <c r="AB4550">
        <v>33</v>
      </c>
      <c r="AC4550">
        <v>31.842700000000001</v>
      </c>
      <c r="AD4550">
        <v>-1.10907961841919</v>
      </c>
      <c r="AE4550">
        <v>1.6047</v>
      </c>
      <c r="AF4550">
        <v>-1.41594828106439</v>
      </c>
      <c r="AG4550">
        <v>-1.10907961841919</v>
      </c>
      <c r="AH4550">
        <v>31.813079680438602</v>
      </c>
      <c r="AI4550">
        <v>91.994685343012094</v>
      </c>
      <c r="AJ4550">
        <v>92.5484597411061</v>
      </c>
      <c r="AK4550">
        <v>31.863882467279101</v>
      </c>
      <c r="AL4550">
        <v>89.006354229516802</v>
      </c>
      <c r="AM4550">
        <v>98.092890101451005</v>
      </c>
      <c r="AN4550">
        <v>0.99999994264429304</v>
      </c>
    </row>
    <row r="4551" spans="1:40" x14ac:dyDescent="0.25">
      <c r="A4551" t="str">
        <f>"20190305135722103"</f>
        <v>20190305135722103</v>
      </c>
      <c r="B4551" t="str">
        <f>"1551765442097224"</f>
        <v>1551765442097224</v>
      </c>
      <c r="C4551" t="s">
        <v>40</v>
      </c>
      <c r="D4551">
        <v>4.2827330000000003</v>
      </c>
      <c r="E4551">
        <v>0.53523580000000004</v>
      </c>
      <c r="F4551" t="s">
        <v>92</v>
      </c>
      <c r="G4551">
        <v>-221.52510000000001</v>
      </c>
      <c r="H4551" s="1">
        <v>1.51289E-7</v>
      </c>
      <c r="I4551">
        <v>-60.727249999999998</v>
      </c>
      <c r="J4551">
        <v>-252.65190000000001</v>
      </c>
      <c r="K4551">
        <v>1.1090850000000001</v>
      </c>
      <c r="L4551">
        <v>-62.336849999999998</v>
      </c>
      <c r="M4551">
        <v>0.99996529999999995</v>
      </c>
      <c r="N4551">
        <v>-5.5533869999999999E-3</v>
      </c>
      <c r="O4551">
        <v>6.2195100000000001E-3</v>
      </c>
      <c r="P4551">
        <v>0.98901779999999995</v>
      </c>
      <c r="Q4551">
        <v>1.139926E-2</v>
      </c>
      <c r="R4551">
        <v>0.1473566</v>
      </c>
      <c r="S4551">
        <v>3.0112920000000001</v>
      </c>
      <c r="T4551">
        <v>-0.1066926</v>
      </c>
      <c r="U4551">
        <v>0.1549683</v>
      </c>
      <c r="V4551">
        <v>-0.14122219999999999</v>
      </c>
      <c r="W4551">
        <v>1.6729830000000001E-2</v>
      </c>
      <c r="X4551">
        <v>0.98983659999999996</v>
      </c>
      <c r="Y4551">
        <v>-4.5152070000000002E-2</v>
      </c>
      <c r="Z4551">
        <v>7.3898259999999999E-4</v>
      </c>
      <c r="AA4551">
        <v>0.99897990000000003</v>
      </c>
      <c r="AB4551">
        <v>33</v>
      </c>
      <c r="AC4551">
        <v>31.126799999999999</v>
      </c>
      <c r="AD4551">
        <v>-1.1090848487109899</v>
      </c>
      <c r="AE4551">
        <v>1.6095999999999999</v>
      </c>
      <c r="AF4551">
        <v>-1.4141818191276401</v>
      </c>
      <c r="AG4551">
        <v>-1.1090848487109899</v>
      </c>
      <c r="AH4551">
        <v>31.0968343473753</v>
      </c>
      <c r="AI4551">
        <v>92.040510976346397</v>
      </c>
      <c r="AJ4551">
        <v>92.603829704512506</v>
      </c>
      <c r="AK4551">
        <v>31.148725268416602</v>
      </c>
      <c r="AL4551">
        <v>89.041406673092396</v>
      </c>
      <c r="AM4551">
        <v>98.119719534085903</v>
      </c>
      <c r="AN4551">
        <v>1.0000000458421101</v>
      </c>
    </row>
    <row r="4552" spans="1:40" x14ac:dyDescent="0.25">
      <c r="A4552" t="str">
        <f>"20190305135722114"</f>
        <v>20190305135722114</v>
      </c>
      <c r="B4552" t="str">
        <f>"1551765442106984"</f>
        <v>1551765442106984</v>
      </c>
      <c r="C4552" t="s">
        <v>40</v>
      </c>
      <c r="D4552">
        <v>4.2746820000000003</v>
      </c>
      <c r="E4552">
        <v>0.53513500000000003</v>
      </c>
      <c r="F4552" t="s">
        <v>92</v>
      </c>
      <c r="G4552">
        <v>-222.08269999999999</v>
      </c>
      <c r="H4552" s="1">
        <v>-8.8699489999999996E-8</v>
      </c>
      <c r="I4552">
        <v>-60.730699999999999</v>
      </c>
      <c r="J4552">
        <v>-252.48910000000001</v>
      </c>
      <c r="K4552">
        <v>1.1090850000000001</v>
      </c>
      <c r="L4552">
        <v>-62.335569999999997</v>
      </c>
      <c r="M4552">
        <v>0.99996339999999995</v>
      </c>
      <c r="N4552">
        <v>-5.5368730000000003E-3</v>
      </c>
      <c r="O4552">
        <v>6.5409269999999898E-3</v>
      </c>
      <c r="P4552">
        <v>0.98891689999999999</v>
      </c>
      <c r="Q4552">
        <v>1.1122480000000001E-2</v>
      </c>
      <c r="R4552">
        <v>0.1480542</v>
      </c>
      <c r="S4552">
        <v>3.011002</v>
      </c>
      <c r="T4552">
        <v>-0.1092426</v>
      </c>
      <c r="U4552">
        <v>0.15820310000000001</v>
      </c>
      <c r="V4552">
        <v>-0.14160239999999999</v>
      </c>
      <c r="W4552">
        <v>1.6431850000000001E-2</v>
      </c>
      <c r="X4552">
        <v>0.98978719999999998</v>
      </c>
      <c r="Y4552">
        <v>-4.5904540000000001E-2</v>
      </c>
      <c r="Z4552">
        <v>7.5823169999999997E-4</v>
      </c>
      <c r="AA4552">
        <v>0.99894550000000004</v>
      </c>
      <c r="AB4552">
        <v>33</v>
      </c>
      <c r="AC4552">
        <v>30.406400000000001</v>
      </c>
      <c r="AD4552">
        <v>-1.1090850886994901</v>
      </c>
      <c r="AE4552">
        <v>1.60486999999999</v>
      </c>
      <c r="AF4552">
        <v>-1.40408372147604</v>
      </c>
      <c r="AG4552">
        <v>-1.1090850886994901</v>
      </c>
      <c r="AH4552">
        <v>30.375945507555599</v>
      </c>
      <c r="AI4552">
        <v>92.088823580870695</v>
      </c>
      <c r="AJ4552">
        <v>92.646529936248996</v>
      </c>
      <c r="AK4552">
        <v>30.4285981653588</v>
      </c>
      <c r="AL4552">
        <v>89.058481947850694</v>
      </c>
      <c r="AM4552">
        <v>98.141687748560898</v>
      </c>
      <c r="AN4552">
        <v>0.99999997333200996</v>
      </c>
    </row>
    <row r="4553" spans="1:40" x14ac:dyDescent="0.25">
      <c r="A4553" t="str">
        <f>"20190305135722125"</f>
        <v>20190305135722125</v>
      </c>
      <c r="B4553" t="str">
        <f>"1551765442117361"</f>
        <v>1551765442117361</v>
      </c>
      <c r="C4553" t="s">
        <v>40</v>
      </c>
      <c r="D4553">
        <v>4.3032919999999999</v>
      </c>
      <c r="E4553">
        <v>0.53501869999999996</v>
      </c>
      <c r="F4553" t="s">
        <v>92</v>
      </c>
      <c r="G4553">
        <v>-222.4041</v>
      </c>
      <c r="H4553" s="1">
        <v>-2.2548870000000001E-7</v>
      </c>
      <c r="I4553">
        <v>-60.725769999999997</v>
      </c>
      <c r="J4553">
        <v>-252.3246</v>
      </c>
      <c r="K4553">
        <v>1.109089</v>
      </c>
      <c r="L4553">
        <v>-62.334229999999998</v>
      </c>
      <c r="M4553">
        <v>0.99996130000000005</v>
      </c>
      <c r="N4553">
        <v>-5.5230870000000003E-3</v>
      </c>
      <c r="O4553">
        <v>6.8662649999999999E-3</v>
      </c>
      <c r="P4553">
        <v>0.98878840000000001</v>
      </c>
      <c r="Q4553">
        <v>1.046251E-2</v>
      </c>
      <c r="R4553">
        <v>0.14895739999999999</v>
      </c>
      <c r="S4553">
        <v>3.0107729999999999</v>
      </c>
      <c r="T4553">
        <v>-0.1109924</v>
      </c>
      <c r="U4553">
        <v>0.1611023</v>
      </c>
      <c r="V4553">
        <v>-0.142184</v>
      </c>
      <c r="W4553">
        <v>1.5754830000000001E-2</v>
      </c>
      <c r="X4553">
        <v>0.98971489999999995</v>
      </c>
      <c r="Y4553">
        <v>-4.654146E-2</v>
      </c>
      <c r="Z4553">
        <v>7.7068479999999897E-4</v>
      </c>
      <c r="AA4553">
        <v>0.99891609999999997</v>
      </c>
      <c r="AB4553">
        <v>33</v>
      </c>
      <c r="AC4553">
        <v>29.920500000000001</v>
      </c>
      <c r="AD4553">
        <v>-1.1090892254886999</v>
      </c>
      <c r="AE4553">
        <v>1.60846</v>
      </c>
      <c r="AF4553">
        <v>-1.4010573494986001</v>
      </c>
      <c r="AG4553">
        <v>-1.1090892254886999</v>
      </c>
      <c r="AH4553">
        <v>29.889887770930802</v>
      </c>
      <c r="AI4553">
        <v>92.122704231015803</v>
      </c>
      <c r="AJ4553">
        <v>92.683715598676201</v>
      </c>
      <c r="AK4553">
        <v>29.943253523381799</v>
      </c>
      <c r="AL4553">
        <v>89.097277426230505</v>
      </c>
      <c r="AM4553">
        <v>98.175265938083299</v>
      </c>
      <c r="AN4553">
        <v>1.00000004390316</v>
      </c>
    </row>
    <row r="4554" spans="1:40" x14ac:dyDescent="0.25">
      <c r="A4554" t="str">
        <f>"20190305135722136"</f>
        <v>20190305135722136</v>
      </c>
      <c r="B4554" t="str">
        <f>"1551765442127102"</f>
        <v>1551765442127102</v>
      </c>
      <c r="C4554" t="s">
        <v>40</v>
      </c>
      <c r="D4554">
        <v>4.2952940000000002</v>
      </c>
      <c r="E4554">
        <v>0.53490199999999999</v>
      </c>
      <c r="F4554" t="s">
        <v>92</v>
      </c>
      <c r="G4554">
        <v>-222.96979999999999</v>
      </c>
      <c r="H4554" s="1">
        <v>-4.684762E-7</v>
      </c>
      <c r="I4554">
        <v>-60.72728</v>
      </c>
      <c r="J4554">
        <v>-252.1585</v>
      </c>
      <c r="K4554">
        <v>1.1090899999999999</v>
      </c>
      <c r="L4554">
        <v>-62.332819999999998</v>
      </c>
      <c r="M4554">
        <v>0.99995889999999998</v>
      </c>
      <c r="N4554">
        <v>-5.5117569999999999E-3</v>
      </c>
      <c r="O4554">
        <v>7.194453E-3</v>
      </c>
      <c r="P4554">
        <v>0.98870690000000006</v>
      </c>
      <c r="Q4554">
        <v>9.8826910000000007E-3</v>
      </c>
      <c r="R4554">
        <v>0.14953620000000001</v>
      </c>
      <c r="S4554">
        <v>3.0103909999999998</v>
      </c>
      <c r="T4554">
        <v>-0.1137389</v>
      </c>
      <c r="U4554">
        <v>0.16479489999999999</v>
      </c>
      <c r="V4554">
        <v>-0.14243819999999999</v>
      </c>
      <c r="W4554">
        <v>1.516028E-2</v>
      </c>
      <c r="X4554">
        <v>0.9896876</v>
      </c>
      <c r="Y4554">
        <v>-4.7440019999999999E-2</v>
      </c>
      <c r="Z4554">
        <v>7.942022E-4</v>
      </c>
      <c r="AA4554">
        <v>0.99887380000000003</v>
      </c>
      <c r="AB4554">
        <v>33</v>
      </c>
      <c r="AC4554">
        <v>29.188700000000001</v>
      </c>
      <c r="AD4554">
        <v>-1.1090904684762</v>
      </c>
      <c r="AE4554">
        <v>1.60553999999999</v>
      </c>
      <c r="AF4554">
        <v>-1.39349267659219</v>
      </c>
      <c r="AG4554">
        <v>-1.1090904684762</v>
      </c>
      <c r="AH4554">
        <v>29.1575253220002</v>
      </c>
      <c r="AI4554">
        <v>92.175878706286099</v>
      </c>
      <c r="AJ4554">
        <v>92.736190536119494</v>
      </c>
      <c r="AK4554">
        <v>29.211867218821599</v>
      </c>
      <c r="AL4554">
        <v>89.131346672143707</v>
      </c>
      <c r="AM4554">
        <v>98.189906626475803</v>
      </c>
      <c r="AN4554">
        <v>1.00000001025133</v>
      </c>
    </row>
    <row r="4555" spans="1:40" x14ac:dyDescent="0.25">
      <c r="A4555" t="str">
        <f>"20190305135722147"</f>
        <v>20190305135722147</v>
      </c>
      <c r="B4555" t="str">
        <f>"1551765442136863"</f>
        <v>1551765442136863</v>
      </c>
      <c r="C4555" t="s">
        <v>40</v>
      </c>
      <c r="D4555">
        <v>4.3376239999999999</v>
      </c>
      <c r="E4555">
        <v>0.53478459999999906</v>
      </c>
      <c r="F4555" t="s">
        <v>92</v>
      </c>
      <c r="G4555">
        <v>-223.47810000000001</v>
      </c>
      <c r="H4555" s="1">
        <v>-6.888409E-7</v>
      </c>
      <c r="I4555">
        <v>-60.737639999999999</v>
      </c>
      <c r="J4555">
        <v>-251.99170000000001</v>
      </c>
      <c r="K4555">
        <v>1.1090960000000001</v>
      </c>
      <c r="L4555">
        <v>-62.331359999999997</v>
      </c>
      <c r="M4555">
        <v>0.99995659999999997</v>
      </c>
      <c r="N4555">
        <v>-5.5017119999999997E-3</v>
      </c>
      <c r="O4555">
        <v>7.523531E-3</v>
      </c>
      <c r="P4555">
        <v>0.98862000000000005</v>
      </c>
      <c r="Q4555">
        <v>9.1068859999999998E-3</v>
      </c>
      <c r="R4555">
        <v>0.15015899999999999</v>
      </c>
      <c r="S4555">
        <v>3.0101010000000001</v>
      </c>
      <c r="T4555">
        <v>-0.11640259999999999</v>
      </c>
      <c r="U4555">
        <v>0.1674194</v>
      </c>
      <c r="V4555">
        <v>-0.14273529999999901</v>
      </c>
      <c r="W4555">
        <v>1.4371200000000001E-2</v>
      </c>
      <c r="X4555">
        <v>0.9896566</v>
      </c>
      <c r="Y4555">
        <v>-4.7983049999999999E-2</v>
      </c>
      <c r="Z4555">
        <v>8.096202E-4</v>
      </c>
      <c r="AA4555">
        <v>0.99884779999999995</v>
      </c>
      <c r="AB4555">
        <v>33</v>
      </c>
      <c r="AC4555">
        <v>28.5136</v>
      </c>
      <c r="AD4555">
        <v>-1.1090966888409</v>
      </c>
      <c r="AE4555">
        <v>1.59371999999999</v>
      </c>
      <c r="AF4555">
        <v>-1.3770717000358299</v>
      </c>
      <c r="AG4555">
        <v>-1.1090966888409</v>
      </c>
      <c r="AH4555">
        <v>28.4818251836044</v>
      </c>
      <c r="AI4555">
        <v>92.227400662502106</v>
      </c>
      <c r="AJ4555">
        <v>92.768046003348999</v>
      </c>
      <c r="AK4555">
        <v>28.536656912147901</v>
      </c>
      <c r="AL4555">
        <v>89.176562581771293</v>
      </c>
      <c r="AM4555">
        <v>98.207010384407397</v>
      </c>
      <c r="AN4555">
        <v>1.00000004158954</v>
      </c>
    </row>
    <row r="4556" spans="1:40" x14ac:dyDescent="0.25">
      <c r="A4556" t="str">
        <f>"20190305135722159"</f>
        <v>20190305135722159</v>
      </c>
      <c r="B4556" t="str">
        <f>"1551765442146623"</f>
        <v>1551765442146623</v>
      </c>
      <c r="C4556" t="s">
        <v>40</v>
      </c>
      <c r="D4556">
        <v>4.3299459999999996</v>
      </c>
      <c r="E4556">
        <v>0.53467719999999996</v>
      </c>
      <c r="F4556" t="s">
        <v>92</v>
      </c>
      <c r="G4556">
        <v>-224.23910000000001</v>
      </c>
      <c r="H4556" s="1">
        <v>-1.0207579999999999E-6</v>
      </c>
      <c r="I4556">
        <v>-60.762039999999999</v>
      </c>
      <c r="J4556">
        <v>-251.83170000000001</v>
      </c>
      <c r="K4556">
        <v>1.1090949999999999</v>
      </c>
      <c r="L4556">
        <v>-62.329900000000002</v>
      </c>
      <c r="M4556">
        <v>0.99995429999999996</v>
      </c>
      <c r="N4556">
        <v>-5.4945940000000002E-3</v>
      </c>
      <c r="O4556">
        <v>7.8381119999999995E-3</v>
      </c>
      <c r="P4556">
        <v>0.9885311</v>
      </c>
      <c r="Q4556">
        <v>8.6706419999999992E-3</v>
      </c>
      <c r="R4556">
        <v>0.15076970000000001</v>
      </c>
      <c r="S4556">
        <v>3.009827</v>
      </c>
      <c r="T4556">
        <v>-0.12028419999999999</v>
      </c>
      <c r="U4556">
        <v>0.1701965</v>
      </c>
      <c r="V4556">
        <v>-0.14303489999999999</v>
      </c>
      <c r="W4556">
        <v>1.392493E-2</v>
      </c>
      <c r="X4556">
        <v>0.98961969999999999</v>
      </c>
      <c r="Y4556">
        <v>-4.858995E-2</v>
      </c>
      <c r="Z4556">
        <v>8.3359259999999996E-4</v>
      </c>
      <c r="AA4556">
        <v>0.99881850000000005</v>
      </c>
      <c r="AB4556">
        <v>33</v>
      </c>
      <c r="AC4556">
        <v>27.592600000000001</v>
      </c>
      <c r="AD4556">
        <v>-1.1090960207580001</v>
      </c>
      <c r="AE4556">
        <v>1.56786</v>
      </c>
      <c r="AF4556">
        <v>-1.3493615984264999</v>
      </c>
      <c r="AG4556">
        <v>-1.1090960207580001</v>
      </c>
      <c r="AH4556">
        <v>27.5596575705937</v>
      </c>
      <c r="AI4556">
        <v>92.301782620509698</v>
      </c>
      <c r="AJ4556">
        <v>92.803047695102407</v>
      </c>
      <c r="AK4556">
        <v>27.614952401098801</v>
      </c>
      <c r="AL4556">
        <v>89.202134509456002</v>
      </c>
      <c r="AM4556">
        <v>98.224303881745996</v>
      </c>
      <c r="AN4556">
        <v>1.0000000184608</v>
      </c>
    </row>
    <row r="4557" spans="1:40" x14ac:dyDescent="0.25">
      <c r="A4557" t="str">
        <f>"20190305135722171"</f>
        <v>20190305135722171</v>
      </c>
      <c r="B4557" t="str">
        <f>"1551765442167118"</f>
        <v>1551765442167118</v>
      </c>
      <c r="C4557" t="s">
        <v>40</v>
      </c>
      <c r="D4557">
        <v>4.4126599999999998</v>
      </c>
      <c r="E4557">
        <v>0.53433469999999905</v>
      </c>
      <c r="F4557" t="s">
        <v>92</v>
      </c>
      <c r="G4557">
        <v>-224.69</v>
      </c>
      <c r="H4557" s="1">
        <v>-1.216227E-6</v>
      </c>
      <c r="I4557">
        <v>-60.771279999999997</v>
      </c>
      <c r="J4557">
        <v>-251.64930000000001</v>
      </c>
      <c r="K4557">
        <v>1.1090960000000001</v>
      </c>
      <c r="L4557">
        <v>-62.328189999999999</v>
      </c>
      <c r="M4557">
        <v>0.99995140000000005</v>
      </c>
      <c r="N4557">
        <v>-5.4872360000000004E-3</v>
      </c>
      <c r="O4557">
        <v>8.1966850000000004E-3</v>
      </c>
      <c r="P4557">
        <v>0.98844920000000003</v>
      </c>
      <c r="Q4557">
        <v>7.9558570000000002E-3</v>
      </c>
      <c r="R4557">
        <v>0.15134300000000001</v>
      </c>
      <c r="S4557">
        <v>3.009506</v>
      </c>
      <c r="T4557">
        <v>-0.1229779</v>
      </c>
      <c r="U4557">
        <v>0.172821</v>
      </c>
      <c r="V4557">
        <v>-0.14325289999999999</v>
      </c>
      <c r="W4557">
        <v>1.319972E-2</v>
      </c>
      <c r="X4557">
        <v>0.98959810000000004</v>
      </c>
      <c r="Y4557">
        <v>-4.9104109999999999E-2</v>
      </c>
      <c r="Z4557">
        <v>8.47352E-4</v>
      </c>
      <c r="AA4557">
        <v>0.9987933</v>
      </c>
      <c r="AB4557">
        <v>33</v>
      </c>
      <c r="AC4557">
        <v>26.959299999999999</v>
      </c>
      <c r="AD4557">
        <v>-1.1090972162270001</v>
      </c>
      <c r="AE4557">
        <v>1.55690999999999</v>
      </c>
      <c r="AF4557">
        <v>-1.3336278628340901</v>
      </c>
      <c r="AG4557">
        <v>-1.1090972162270001</v>
      </c>
      <c r="AH4557">
        <v>26.925736381370101</v>
      </c>
      <c r="AI4557">
        <v>92.355850690232899</v>
      </c>
      <c r="AJ4557">
        <v>92.835534542716204</v>
      </c>
      <c r="AK4557">
        <v>26.981548131836401</v>
      </c>
      <c r="AL4557">
        <v>89.243689799484301</v>
      </c>
      <c r="AM4557">
        <v>98.236844033098293</v>
      </c>
      <c r="AN4557">
        <v>1.0000000127450399</v>
      </c>
    </row>
    <row r="4558" spans="1:40" x14ac:dyDescent="0.25">
      <c r="A4558" t="str">
        <f>"20190305135722181"</f>
        <v>20190305135722181</v>
      </c>
      <c r="B4558" t="str">
        <f>"1551765442176879"</f>
        <v>1551765442176879</v>
      </c>
      <c r="C4558" t="s">
        <v>40</v>
      </c>
      <c r="D4558">
        <v>4.4125040000000002</v>
      </c>
      <c r="E4558">
        <v>0.53411319999999995</v>
      </c>
      <c r="F4558" t="s">
        <v>92</v>
      </c>
      <c r="G4558">
        <v>-225.68700000000001</v>
      </c>
      <c r="H4558" s="1">
        <v>-1.6504380000000001E-6</v>
      </c>
      <c r="I4558">
        <v>-60.800449999999998</v>
      </c>
      <c r="J4558">
        <v>-251.4802</v>
      </c>
      <c r="K4558">
        <v>1.1090990000000001</v>
      </c>
      <c r="L4558">
        <v>-62.326509999999999</v>
      </c>
      <c r="M4558">
        <v>0.99994870000000002</v>
      </c>
      <c r="N4558">
        <v>-5.4826759999999997E-3</v>
      </c>
      <c r="O4558">
        <v>8.5277679999999998E-3</v>
      </c>
      <c r="P4558">
        <v>0.9883653</v>
      </c>
      <c r="Q4558">
        <v>7.5316649999999999E-3</v>
      </c>
      <c r="R4558">
        <v>0.15191399999999999</v>
      </c>
      <c r="S4558">
        <v>3.0090029999999999</v>
      </c>
      <c r="T4558">
        <v>-0.1285434</v>
      </c>
      <c r="U4558">
        <v>0.177063</v>
      </c>
      <c r="V4558">
        <v>-0.1434967</v>
      </c>
      <c r="W4558">
        <v>1.2768699999999999E-2</v>
      </c>
      <c r="X4558">
        <v>0.98956840000000001</v>
      </c>
      <c r="Y4558">
        <v>-5.0181900000000002E-2</v>
      </c>
      <c r="Z4558">
        <v>8.9112139999999996E-4</v>
      </c>
      <c r="AA4558">
        <v>0.99873970000000001</v>
      </c>
      <c r="AB4558">
        <v>34</v>
      </c>
      <c r="AC4558">
        <v>25.793199999999899</v>
      </c>
      <c r="AD4558">
        <v>-1.1091006504379901</v>
      </c>
      <c r="AE4558">
        <v>1.52606</v>
      </c>
      <c r="AF4558">
        <v>-1.30364080299694</v>
      </c>
      <c r="AG4558">
        <v>-1.1091006504379901</v>
      </c>
      <c r="AH4558">
        <v>25.757816684450798</v>
      </c>
      <c r="AI4558">
        <v>92.462416575087801</v>
      </c>
      <c r="AJ4558">
        <v>92.897351075583401</v>
      </c>
      <c r="AK4558">
        <v>25.814621902050199</v>
      </c>
      <c r="AL4558">
        <v>89.268387484591301</v>
      </c>
      <c r="AM4558">
        <v>98.250913587142307</v>
      </c>
      <c r="AN4558">
        <v>0.99999998044456895</v>
      </c>
    </row>
    <row r="4559" spans="1:40" x14ac:dyDescent="0.25">
      <c r="A4559" t="str">
        <f>"20190305135722193"</f>
        <v>20190305135722193</v>
      </c>
      <c r="B4559" t="str">
        <f>"1551765442187614"</f>
        <v>1551765442187614</v>
      </c>
      <c r="C4559" t="s">
        <v>40</v>
      </c>
      <c r="D4559">
        <v>4.4328659999999998</v>
      </c>
      <c r="E4559">
        <v>0.53396929999999998</v>
      </c>
      <c r="F4559" t="s">
        <v>92</v>
      </c>
      <c r="G4559">
        <v>-226.1217</v>
      </c>
      <c r="H4559" s="1">
        <v>-1.837967E-6</v>
      </c>
      <c r="I4559">
        <v>-60.805269999999901</v>
      </c>
      <c r="J4559">
        <v>-251.3184</v>
      </c>
      <c r="K4559">
        <v>1.1091</v>
      </c>
      <c r="L4559">
        <v>-62.324919999999999</v>
      </c>
      <c r="M4559">
        <v>0.999946</v>
      </c>
      <c r="N4559">
        <v>-5.4788889999999998E-3</v>
      </c>
      <c r="O4559">
        <v>8.8441839999999997E-3</v>
      </c>
      <c r="P4559">
        <v>0.9883132</v>
      </c>
      <c r="Q4559">
        <v>7.3088629999999996E-3</v>
      </c>
      <c r="R4559">
        <v>0.15226229999999999</v>
      </c>
      <c r="S4559">
        <v>3.0085600000000001</v>
      </c>
      <c r="T4559">
        <v>-0.1315848</v>
      </c>
      <c r="U4559">
        <v>0.180481</v>
      </c>
      <c r="V4559">
        <v>-0.14353199999999999</v>
      </c>
      <c r="W4559">
        <v>1.253984E-2</v>
      </c>
      <c r="X4559">
        <v>0.98956619999999995</v>
      </c>
      <c r="Y4559">
        <v>-5.1002470000000001E-2</v>
      </c>
      <c r="Z4559">
        <v>9.1587090000000003E-4</v>
      </c>
      <c r="AA4559">
        <v>0.99869810000000003</v>
      </c>
      <c r="AB4559">
        <v>34</v>
      </c>
      <c r="AC4559">
        <v>25.1967</v>
      </c>
      <c r="AD4559">
        <v>-1.1091018379669999</v>
      </c>
      <c r="AE4559">
        <v>1.5196499999999999</v>
      </c>
      <c r="AF4559">
        <v>-1.29424440521637</v>
      </c>
      <c r="AG4559">
        <v>-1.1091018379669999</v>
      </c>
      <c r="AH4559">
        <v>25.160581286469601</v>
      </c>
      <c r="AI4559">
        <v>92.520688925617904</v>
      </c>
      <c r="AJ4559">
        <v>92.944663327909794</v>
      </c>
      <c r="AK4559">
        <v>25.218247880066102</v>
      </c>
      <c r="AL4559">
        <v>89.281501241910703</v>
      </c>
      <c r="AM4559">
        <v>98.252933441242305</v>
      </c>
      <c r="AN4559">
        <v>0.999999973396832</v>
      </c>
    </row>
    <row r="4560" spans="1:40" x14ac:dyDescent="0.25">
      <c r="A4560" t="str">
        <f>"20190305135722204"</f>
        <v>20190305135722204</v>
      </c>
      <c r="B4560" t="str">
        <f>"1551765442197374"</f>
        <v>1551765442197374</v>
      </c>
      <c r="C4560" t="s">
        <v>40</v>
      </c>
      <c r="D4560">
        <v>4.3474760000000003</v>
      </c>
      <c r="E4560">
        <v>0.53389569999999997</v>
      </c>
      <c r="F4560" t="s">
        <v>92</v>
      </c>
      <c r="G4560">
        <v>-226.47550000000001</v>
      </c>
      <c r="H4560" s="1">
        <v>-1.992569E-6</v>
      </c>
      <c r="I4560">
        <v>-60.8178699999999</v>
      </c>
      <c r="J4560">
        <v>-251.14269999999999</v>
      </c>
      <c r="K4560">
        <v>1.109103</v>
      </c>
      <c r="L4560">
        <v>-62.323059999999998</v>
      </c>
      <c r="M4560">
        <v>0.99994280000000002</v>
      </c>
      <c r="N4560">
        <v>-5.4761799999999998E-3</v>
      </c>
      <c r="O4560">
        <v>9.1875959999999993E-3</v>
      </c>
      <c r="P4560">
        <v>0.98827670000000001</v>
      </c>
      <c r="Q4560">
        <v>7.1406229999999996E-3</v>
      </c>
      <c r="R4560">
        <v>0.15250639999999999</v>
      </c>
      <c r="S4560">
        <v>3.0083470000000001</v>
      </c>
      <c r="T4560">
        <v>-0.13430639999999999</v>
      </c>
      <c r="U4560">
        <v>0.18249509999999999</v>
      </c>
      <c r="V4560">
        <v>-0.14343699999999901</v>
      </c>
      <c r="W4560">
        <v>1.236724E-2</v>
      </c>
      <c r="X4560">
        <v>0.98958219999999997</v>
      </c>
      <c r="Y4560">
        <v>-5.1327999999999999E-2</v>
      </c>
      <c r="Z4560">
        <v>9.2557320000000002E-4</v>
      </c>
      <c r="AA4560">
        <v>0.99868140000000005</v>
      </c>
      <c r="AB4560">
        <v>34</v>
      </c>
      <c r="AC4560">
        <v>24.667199999999902</v>
      </c>
      <c r="AD4560">
        <v>-1.109104992569</v>
      </c>
      <c r="AE4560">
        <v>1.50519</v>
      </c>
      <c r="AF4560">
        <v>-1.2759209083243599</v>
      </c>
      <c r="AG4560">
        <v>-1.109104992569</v>
      </c>
      <c r="AH4560">
        <v>24.630378881144601</v>
      </c>
      <c r="AI4560">
        <v>92.574837132496398</v>
      </c>
      <c r="AJ4560">
        <v>92.965427190622606</v>
      </c>
      <c r="AK4560">
        <v>24.688330277229699</v>
      </c>
      <c r="AL4560">
        <v>89.2913912980151</v>
      </c>
      <c r="AM4560">
        <v>98.247414697992198</v>
      </c>
      <c r="AN4560">
        <v>1.00000002607552</v>
      </c>
    </row>
    <row r="4561" spans="1:40" x14ac:dyDescent="0.25">
      <c r="A4561" t="str">
        <f>"20190305135722215"</f>
        <v>20190305135722215</v>
      </c>
      <c r="B4561" t="str">
        <f>"1551765442207135"</f>
        <v>1551765442207135</v>
      </c>
      <c r="C4561" t="s">
        <v>40</v>
      </c>
      <c r="D4561">
        <v>4.3567839999999904</v>
      </c>
      <c r="E4561">
        <v>0.533829</v>
      </c>
      <c r="F4561" t="s">
        <v>92</v>
      </c>
      <c r="G4561">
        <v>-226.57339999999999</v>
      </c>
      <c r="H4561" s="1">
        <v>-2.0354809999999999E-6</v>
      </c>
      <c r="I4561">
        <v>-60.822069999999997</v>
      </c>
      <c r="J4561">
        <v>-250.97329999999999</v>
      </c>
      <c r="K4561">
        <v>1.1091070000000001</v>
      </c>
      <c r="L4561">
        <v>-62.321260000000002</v>
      </c>
      <c r="M4561">
        <v>0.99993980000000005</v>
      </c>
      <c r="N4561">
        <v>-5.4745840000000002E-3</v>
      </c>
      <c r="O4561">
        <v>9.5180109999999998E-3</v>
      </c>
      <c r="P4561">
        <v>0.98820889999999995</v>
      </c>
      <c r="Q4561">
        <v>7.2573009999999999E-3</v>
      </c>
      <c r="R4561">
        <v>0.1529394</v>
      </c>
      <c r="S4561">
        <v>3.0082089999999999</v>
      </c>
      <c r="T4561">
        <v>-0.13579620000000001</v>
      </c>
      <c r="U4561">
        <v>0.18377689999999999</v>
      </c>
      <c r="V4561">
        <v>-0.14354349999999999</v>
      </c>
      <c r="W4561">
        <v>1.248024E-2</v>
      </c>
      <c r="X4561">
        <v>0.98956529999999998</v>
      </c>
      <c r="Y4561">
        <v>-5.1423829999999997E-2</v>
      </c>
      <c r="Z4561">
        <v>9.2302219999999997E-4</v>
      </c>
      <c r="AA4561">
        <v>0.99867649999999997</v>
      </c>
      <c r="AB4561">
        <v>34</v>
      </c>
      <c r="AC4561">
        <v>24.399899999999999</v>
      </c>
      <c r="AD4561">
        <v>-1.109109035481</v>
      </c>
      <c r="AE4561">
        <v>1.49918999999999</v>
      </c>
      <c r="AF4561">
        <v>-1.2642776850965101</v>
      </c>
      <c r="AG4561">
        <v>-1.109109035481</v>
      </c>
      <c r="AH4561">
        <v>24.362914900791001</v>
      </c>
      <c r="AI4561">
        <v>92.603063129533197</v>
      </c>
      <c r="AJ4561">
        <v>92.9706156734823</v>
      </c>
      <c r="AK4561">
        <v>24.420895630193499</v>
      </c>
      <c r="AL4561">
        <v>89.284916348057195</v>
      </c>
      <c r="AM4561">
        <v>98.253592972504194</v>
      </c>
      <c r="AN4561">
        <v>0.99999998787339806</v>
      </c>
    </row>
    <row r="4562" spans="1:40" x14ac:dyDescent="0.25">
      <c r="A4562" t="str">
        <f>"20190305135722226"</f>
        <v>20190305135722226</v>
      </c>
      <c r="B4562" t="str">
        <f>"1551765442217622"</f>
        <v>1551765442217622</v>
      </c>
      <c r="C4562" t="s">
        <v>40</v>
      </c>
      <c r="D4562">
        <v>4.357113</v>
      </c>
      <c r="E4562">
        <v>0.53374080000000002</v>
      </c>
      <c r="F4562" t="s">
        <v>92</v>
      </c>
      <c r="G4562">
        <v>-226.50720000000001</v>
      </c>
      <c r="H4562" s="1">
        <v>-2.0047160000000001E-6</v>
      </c>
      <c r="I4562">
        <v>-60.811369999999997</v>
      </c>
      <c r="J4562">
        <v>-250.80619999999999</v>
      </c>
      <c r="K4562">
        <v>1.10911</v>
      </c>
      <c r="L4562">
        <v>-62.319400000000002</v>
      </c>
      <c r="M4562">
        <v>0.99993670000000001</v>
      </c>
      <c r="N4562">
        <v>-5.473833E-3</v>
      </c>
      <c r="O4562">
        <v>9.8440100000000003E-3</v>
      </c>
      <c r="P4562">
        <v>0.98817279999999996</v>
      </c>
      <c r="Q4562">
        <v>7.3648580000000002E-3</v>
      </c>
      <c r="R4562">
        <v>0.15316779999999999</v>
      </c>
      <c r="S4562">
        <v>3.008057</v>
      </c>
      <c r="T4562">
        <v>-0.13636280000000001</v>
      </c>
      <c r="U4562">
        <v>0.18563840000000001</v>
      </c>
      <c r="V4562">
        <v>-0.14344989999999999</v>
      </c>
      <c r="W4562">
        <v>1.2585610000000001E-2</v>
      </c>
      <c r="X4562">
        <v>0.9895775</v>
      </c>
      <c r="Y4562">
        <v>-5.1716570000000003E-2</v>
      </c>
      <c r="Z4562">
        <v>9.2052029999999997E-4</v>
      </c>
      <c r="AA4562">
        <v>0.99866140000000003</v>
      </c>
      <c r="AB4562">
        <v>34</v>
      </c>
      <c r="AC4562">
        <v>24.2989999999999</v>
      </c>
      <c r="AD4562">
        <v>-1.1091120047159999</v>
      </c>
      <c r="AE4562">
        <v>1.50803</v>
      </c>
      <c r="AF4562">
        <v>-1.2661260442531099</v>
      </c>
      <c r="AG4562">
        <v>-1.1091120047159999</v>
      </c>
      <c r="AH4562">
        <v>24.2623135620357</v>
      </c>
      <c r="AI4562">
        <v>92.613809060288304</v>
      </c>
      <c r="AJ4562">
        <v>92.987263933103407</v>
      </c>
      <c r="AK4562">
        <v>24.32063041908</v>
      </c>
      <c r="AL4562">
        <v>89.278878590138902</v>
      </c>
      <c r="AM4562">
        <v>98.248184859675106</v>
      </c>
      <c r="AN4562">
        <v>0.99999994994766395</v>
      </c>
    </row>
    <row r="4563" spans="1:40" x14ac:dyDescent="0.25">
      <c r="A4563" t="str">
        <f>"20190305135722238"</f>
        <v>20190305135722238</v>
      </c>
      <c r="B4563" t="str">
        <f>"1551765442227385"</f>
        <v>1551765442227385</v>
      </c>
      <c r="C4563" t="s">
        <v>40</v>
      </c>
      <c r="D4563">
        <v>4.3761539999999997</v>
      </c>
      <c r="E4563">
        <v>0.53367189999999998</v>
      </c>
      <c r="F4563" t="s">
        <v>92</v>
      </c>
      <c r="G4563">
        <v>-226.37639999999999</v>
      </c>
      <c r="H4563" s="1">
        <v>-1.9464020000000002E-6</v>
      </c>
      <c r="I4563">
        <v>-60.801540000000003</v>
      </c>
      <c r="J4563">
        <v>-250.64179999999999</v>
      </c>
      <c r="K4563">
        <v>1.109111</v>
      </c>
      <c r="L4563">
        <v>-62.317469999999901</v>
      </c>
      <c r="M4563">
        <v>0.99993350000000003</v>
      </c>
      <c r="N4563">
        <v>-5.4741779999999997E-3</v>
      </c>
      <c r="O4563">
        <v>1.0164400000000001E-2</v>
      </c>
      <c r="P4563">
        <v>0.98812639999999996</v>
      </c>
      <c r="Q4563">
        <v>7.4428119999999896E-3</v>
      </c>
      <c r="R4563">
        <v>0.1534635</v>
      </c>
      <c r="S4563">
        <v>3.007965</v>
      </c>
      <c r="T4563">
        <v>-0.1365614</v>
      </c>
      <c r="U4563">
        <v>0.18688959999999999</v>
      </c>
      <c r="V4563">
        <v>-0.14342939999999901</v>
      </c>
      <c r="W4563">
        <v>1.266285E-2</v>
      </c>
      <c r="X4563">
        <v>0.9895796</v>
      </c>
      <c r="Y4563">
        <v>-5.1812280000000002E-2</v>
      </c>
      <c r="Z4563">
        <v>9.1126390000000003E-4</v>
      </c>
      <c r="AA4563">
        <v>0.99865649999999995</v>
      </c>
      <c r="AB4563">
        <v>34</v>
      </c>
      <c r="AC4563">
        <v>24.2654</v>
      </c>
      <c r="AD4563">
        <v>-1.109112946402</v>
      </c>
      <c r="AE4563">
        <v>1.51592999999999</v>
      </c>
      <c r="AF4563">
        <v>-1.2665689862343801</v>
      </c>
      <c r="AG4563">
        <v>-1.109112946402</v>
      </c>
      <c r="AH4563">
        <v>24.229132868435499</v>
      </c>
      <c r="AI4563">
        <v>92.617373579112396</v>
      </c>
      <c r="AJ4563">
        <v>92.992392022565895</v>
      </c>
      <c r="AK4563">
        <v>24.2875525337789</v>
      </c>
      <c r="AL4563">
        <v>89.274452792985599</v>
      </c>
      <c r="AM4563">
        <v>98.247005090019599</v>
      </c>
      <c r="AN4563">
        <v>1.0000000626453101</v>
      </c>
    </row>
    <row r="4564" spans="1:40" x14ac:dyDescent="0.25">
      <c r="A4564" t="str">
        <f>"20190305135722251"</f>
        <v>20190305135722251</v>
      </c>
      <c r="B4564" t="str">
        <f>"1551765442246905"</f>
        <v>1551765442246905</v>
      </c>
      <c r="C4564" t="s">
        <v>40</v>
      </c>
      <c r="D4564">
        <v>4.3691559999999896</v>
      </c>
      <c r="E4564">
        <v>0.53359400000000001</v>
      </c>
      <c r="F4564" t="s">
        <v>92</v>
      </c>
      <c r="G4564">
        <v>-226.31909999999999</v>
      </c>
      <c r="H4564" s="1">
        <v>-1.9203890000000002E-6</v>
      </c>
      <c r="I4564">
        <v>-60.795099999999998</v>
      </c>
      <c r="J4564">
        <v>-250.4366</v>
      </c>
      <c r="K4564">
        <v>1.109111</v>
      </c>
      <c r="L4564">
        <v>-62.315089999999998</v>
      </c>
      <c r="M4564">
        <v>0.99992919999999996</v>
      </c>
      <c r="N4564">
        <v>-5.4752589999999997E-3</v>
      </c>
      <c r="O4564">
        <v>1.056443E-2</v>
      </c>
      <c r="P4564">
        <v>0.98804530000000002</v>
      </c>
      <c r="Q4564">
        <v>7.3445400000000001E-3</v>
      </c>
      <c r="R4564">
        <v>0.153989299999999</v>
      </c>
      <c r="S4564">
        <v>3.0078580000000001</v>
      </c>
      <c r="T4564">
        <v>-0.1371578</v>
      </c>
      <c r="U4564">
        <v>0.18826290000000001</v>
      </c>
      <c r="V4564">
        <v>-0.14355979999999999</v>
      </c>
      <c r="W4564">
        <v>1.256415E-2</v>
      </c>
      <c r="X4564">
        <v>0.98956189999999999</v>
      </c>
      <c r="Y4564">
        <v>-5.1868999999999998E-2</v>
      </c>
      <c r="Z4564">
        <v>8.9985770000000002E-4</v>
      </c>
      <c r="AA4564">
        <v>0.99865349999999997</v>
      </c>
      <c r="AB4564">
        <v>34</v>
      </c>
      <c r="AC4564">
        <v>24.1175</v>
      </c>
      <c r="AD4564">
        <v>-1.109112920389</v>
      </c>
      <c r="AE4564">
        <v>1.51999</v>
      </c>
      <c r="AF4564">
        <v>-1.26245432963489</v>
      </c>
      <c r="AG4564">
        <v>-1.109112920389</v>
      </c>
      <c r="AH4564">
        <v>24.0814840506801</v>
      </c>
      <c r="AI4564">
        <v>92.633378138515098</v>
      </c>
      <c r="AJ4564">
        <v>93.000942515369303</v>
      </c>
      <c r="AK4564">
        <v>24.140045494732401</v>
      </c>
      <c r="AL4564">
        <v>89.280108300958005</v>
      </c>
      <c r="AM4564">
        <v>98.254545260931394</v>
      </c>
      <c r="AN4564">
        <v>1.00000001398643</v>
      </c>
    </row>
    <row r="4565" spans="1:40" x14ac:dyDescent="0.25">
      <c r="A4565" t="str">
        <f>"20190305135722266"</f>
        <v>20190305135722266</v>
      </c>
      <c r="B4565" t="str">
        <f>"1551765442256664"</f>
        <v>1551765442256664</v>
      </c>
      <c r="C4565" t="s">
        <v>40</v>
      </c>
      <c r="D4565">
        <v>4.4109179999999997</v>
      </c>
      <c r="E4565">
        <v>0.53357919999999903</v>
      </c>
      <c r="F4565" t="s">
        <v>92</v>
      </c>
      <c r="G4565">
        <v>-226.35900000000001</v>
      </c>
      <c r="H4565" s="1">
        <v>-1.9366199999999999E-6</v>
      </c>
      <c r="I4565">
        <v>-60.791110000000003</v>
      </c>
      <c r="J4565">
        <v>-250.20670000000001</v>
      </c>
      <c r="K4565">
        <v>1.1091120000000001</v>
      </c>
      <c r="L4565">
        <v>-62.312289999999997</v>
      </c>
      <c r="M4565">
        <v>0.99992440000000005</v>
      </c>
      <c r="N4565">
        <v>-5.4780489999999996E-3</v>
      </c>
      <c r="O4565">
        <v>1.1012310000000001E-2</v>
      </c>
      <c r="P4565">
        <v>0.9879966</v>
      </c>
      <c r="Q4565">
        <v>7.4113629999999998E-3</v>
      </c>
      <c r="R4565">
        <v>0.1542984</v>
      </c>
      <c r="S4565">
        <v>3.00766</v>
      </c>
      <c r="T4565">
        <v>-0.13854520000000001</v>
      </c>
      <c r="U4565">
        <v>0.1903687</v>
      </c>
      <c r="V4565">
        <v>-0.1434271</v>
      </c>
      <c r="W4565">
        <v>1.2632340000000001E-2</v>
      </c>
      <c r="X4565">
        <v>0.98958029999999997</v>
      </c>
      <c r="Y4565">
        <v>-5.2121290000000001E-2</v>
      </c>
      <c r="Z4565">
        <v>8.9541519999999995E-4</v>
      </c>
      <c r="AA4565">
        <v>0.99864039999999998</v>
      </c>
      <c r="AB4565">
        <v>34</v>
      </c>
      <c r="AC4565">
        <v>23.8477</v>
      </c>
      <c r="AD4565">
        <v>-1.10911393662</v>
      </c>
      <c r="AE4565">
        <v>1.52118</v>
      </c>
      <c r="AF4565">
        <v>-1.25576034235175</v>
      </c>
      <c r="AG4565">
        <v>-1.10911393662</v>
      </c>
      <c r="AH4565">
        <v>23.8117095073912</v>
      </c>
      <c r="AI4565">
        <v>92.663129074727493</v>
      </c>
      <c r="AJ4565">
        <v>93.0188162889349</v>
      </c>
      <c r="AK4565">
        <v>23.870579746336499</v>
      </c>
      <c r="AL4565">
        <v>89.276201010250304</v>
      </c>
      <c r="AM4565">
        <v>98.246868908630702</v>
      </c>
      <c r="AN4565">
        <v>1.0000000395881801</v>
      </c>
    </row>
    <row r="4566" spans="1:40" x14ac:dyDescent="0.25">
      <c r="A4566" t="str">
        <f>"20190305135722280"</f>
        <v>20190305135722280</v>
      </c>
      <c r="B4566" t="str">
        <f>"1551765442267400"</f>
        <v>1551765442267400</v>
      </c>
      <c r="C4566" t="s">
        <v>40</v>
      </c>
      <c r="D4566">
        <v>4.3905779999999996</v>
      </c>
      <c r="E4566">
        <v>0.53356169999999903</v>
      </c>
      <c r="F4566" t="s">
        <v>92</v>
      </c>
      <c r="G4566">
        <v>-226.16489999999999</v>
      </c>
      <c r="H4566" s="1">
        <v>-1.851509E-6</v>
      </c>
      <c r="I4566">
        <v>-60.78275</v>
      </c>
      <c r="J4566">
        <v>-249.99860000000001</v>
      </c>
      <c r="K4566">
        <v>1.1091139999999999</v>
      </c>
      <c r="L4566">
        <v>-62.309629999999999</v>
      </c>
      <c r="M4566">
        <v>0.99991980000000003</v>
      </c>
      <c r="N4566">
        <v>-5.4832639999999998E-3</v>
      </c>
      <c r="O4566">
        <v>1.141733E-2</v>
      </c>
      <c r="P4566">
        <v>0.98794919999999997</v>
      </c>
      <c r="Q4566">
        <v>7.6148159999999999E-3</v>
      </c>
      <c r="R4566">
        <v>0.1545918</v>
      </c>
      <c r="S4566">
        <v>3.0076139999999998</v>
      </c>
      <c r="T4566">
        <v>-0.1387497</v>
      </c>
      <c r="U4566">
        <v>0.19134519999999999</v>
      </c>
      <c r="V4566">
        <v>-0.14332010000000001</v>
      </c>
      <c r="W4566">
        <v>1.2839740000000001E-2</v>
      </c>
      <c r="X4566">
        <v>0.9895931</v>
      </c>
      <c r="Y4566">
        <v>-5.2040990000000002E-2</v>
      </c>
      <c r="Z4566">
        <v>8.7813039999999902E-4</v>
      </c>
      <c r="AA4566">
        <v>0.99864459999999999</v>
      </c>
      <c r="AB4566">
        <v>34</v>
      </c>
      <c r="AC4566">
        <v>23.8337</v>
      </c>
      <c r="AD4566">
        <v>-1.1091158515089901</v>
      </c>
      <c r="AE4566">
        <v>1.52688</v>
      </c>
      <c r="AF4566">
        <v>-1.2519590553169</v>
      </c>
      <c r="AG4566">
        <v>-1.1091158515089901</v>
      </c>
      <c r="AH4566">
        <v>23.7982536573023</v>
      </c>
      <c r="AI4566">
        <v>92.664655424420204</v>
      </c>
      <c r="AJ4566">
        <v>93.011393507042101</v>
      </c>
      <c r="AK4566">
        <v>23.856957404194699</v>
      </c>
      <c r="AL4566">
        <v>89.2643168780087</v>
      </c>
      <c r="AM4566">
        <v>98.240695951228702</v>
      </c>
      <c r="AN4566">
        <v>1.0000000067774399</v>
      </c>
    </row>
    <row r="4567" spans="1:40" x14ac:dyDescent="0.25">
      <c r="A4567" t="str">
        <f>"20190305135722294"</f>
        <v>20190305135722294</v>
      </c>
      <c r="B4567" t="str">
        <f>"1551765442286920"</f>
        <v>1551765442286920</v>
      </c>
      <c r="C4567" t="s">
        <v>40</v>
      </c>
      <c r="D4567">
        <v>4.3728099999999896</v>
      </c>
      <c r="E4567">
        <v>0.53347349999999905</v>
      </c>
      <c r="F4567" t="s">
        <v>92</v>
      </c>
      <c r="G4567">
        <v>-225.8999</v>
      </c>
      <c r="H4567" s="1">
        <v>-1.734612E-6</v>
      </c>
      <c r="I4567">
        <v>-60.768369999999997</v>
      </c>
      <c r="J4567">
        <v>-249.77510000000001</v>
      </c>
      <c r="K4567">
        <v>1.1091200000000001</v>
      </c>
      <c r="L4567">
        <v>-62.306699999999999</v>
      </c>
      <c r="M4567">
        <v>0.99991459999999999</v>
      </c>
      <c r="N4567">
        <v>-5.4909570000000003E-3</v>
      </c>
      <c r="O4567">
        <v>1.1852440000000001E-2</v>
      </c>
      <c r="P4567">
        <v>0.987846</v>
      </c>
      <c r="Q4567">
        <v>7.9510789999999998E-3</v>
      </c>
      <c r="R4567">
        <v>0.15523299999999901</v>
      </c>
      <c r="S4567">
        <v>3.007568</v>
      </c>
      <c r="T4567">
        <v>-0.13841989999999901</v>
      </c>
      <c r="U4567">
        <v>0.1923523</v>
      </c>
      <c r="V4567">
        <v>-0.143532299999999</v>
      </c>
      <c r="W4567">
        <v>1.318161E-2</v>
      </c>
      <c r="X4567">
        <v>0.98955789999999999</v>
      </c>
      <c r="Y4567">
        <v>-5.1941130000000002E-2</v>
      </c>
      <c r="Z4567">
        <v>8.5665239999999998E-4</v>
      </c>
      <c r="AA4567">
        <v>0.99864980000000003</v>
      </c>
      <c r="AB4567">
        <v>34</v>
      </c>
      <c r="AC4567">
        <v>23.8752</v>
      </c>
      <c r="AD4567">
        <v>-1.1091217346119999</v>
      </c>
      <c r="AE4567">
        <v>1.53833</v>
      </c>
      <c r="AF4567">
        <v>-1.2525463756127899</v>
      </c>
      <c r="AG4567">
        <v>-1.1091217346119999</v>
      </c>
      <c r="AH4567">
        <v>23.840519465889901</v>
      </c>
      <c r="AI4567">
        <v>92.659961810718897</v>
      </c>
      <c r="AJ4567">
        <v>93.0074721601395</v>
      </c>
      <c r="AK4567">
        <v>23.899150441986901</v>
      </c>
      <c r="AL4567">
        <v>89.244727549534204</v>
      </c>
      <c r="AM4567">
        <v>98.253018722099895</v>
      </c>
      <c r="AN4567">
        <v>1.00000005671894</v>
      </c>
    </row>
    <row r="4568" spans="1:40" x14ac:dyDescent="0.25">
      <c r="A4568" t="str">
        <f>"20190305135722305"</f>
        <v>20190305135722305</v>
      </c>
      <c r="B4568" t="str">
        <f>"1551765442296681"</f>
        <v>1551765442296681</v>
      </c>
      <c r="C4568" t="s">
        <v>40</v>
      </c>
      <c r="D4568">
        <v>4.487825</v>
      </c>
      <c r="E4568">
        <v>0.53334059999999905</v>
      </c>
      <c r="F4568" t="s">
        <v>92</v>
      </c>
      <c r="G4568">
        <v>-225.69929999999999</v>
      </c>
      <c r="H4568" s="1">
        <v>-1.643722E-6</v>
      </c>
      <c r="I4568">
        <v>-60.74653</v>
      </c>
      <c r="J4568">
        <v>-249.6053</v>
      </c>
      <c r="K4568">
        <v>1.109121</v>
      </c>
      <c r="L4568">
        <v>-62.304409999999997</v>
      </c>
      <c r="M4568">
        <v>0.99991070000000004</v>
      </c>
      <c r="N4568">
        <v>-5.4985590000000001E-3</v>
      </c>
      <c r="O4568">
        <v>1.218288E-2</v>
      </c>
      <c r="P4568">
        <v>0.98777199999999998</v>
      </c>
      <c r="Q4568">
        <v>8.0892519999999999E-3</v>
      </c>
      <c r="R4568">
        <v>0.15569620000000001</v>
      </c>
      <c r="S4568">
        <v>3.0073850000000002</v>
      </c>
      <c r="T4568">
        <v>-0.13854369999999999</v>
      </c>
      <c r="U4568">
        <v>0.19488530000000001</v>
      </c>
      <c r="V4568">
        <v>-0.14366979999999999</v>
      </c>
      <c r="W4568">
        <v>1.3326080000000001E-2</v>
      </c>
      <c r="X4568">
        <v>0.98953599999999997</v>
      </c>
      <c r="Y4568">
        <v>-5.2452180000000001E-2</v>
      </c>
      <c r="Z4568">
        <v>8.5732500000000004E-4</v>
      </c>
      <c r="AA4568">
        <v>0.99862309999999999</v>
      </c>
      <c r="AB4568">
        <v>34</v>
      </c>
      <c r="AC4568">
        <v>23.905999999999999</v>
      </c>
      <c r="AD4568">
        <v>-1.1091226437219901</v>
      </c>
      <c r="AE4568">
        <v>1.5578799999999899</v>
      </c>
      <c r="AF4568">
        <v>-1.2638072025036999</v>
      </c>
      <c r="AG4568">
        <v>-1.1091226437219901</v>
      </c>
      <c r="AH4568">
        <v>23.872038014927899</v>
      </c>
      <c r="AI4568">
        <v>92.656400906450699</v>
      </c>
      <c r="AJ4568">
        <v>93.030461109752295</v>
      </c>
      <c r="AK4568">
        <v>23.931183854337</v>
      </c>
      <c r="AL4568">
        <v>89.236449293086906</v>
      </c>
      <c r="AM4568">
        <v>98.260996128855894</v>
      </c>
      <c r="AN4568">
        <v>1.0000000455681</v>
      </c>
    </row>
    <row r="4569" spans="1:40" x14ac:dyDescent="0.25">
      <c r="A4569" t="str">
        <f>"20190305135722316"</f>
        <v>20190305135722316</v>
      </c>
      <c r="B4569" t="str">
        <f>"1551765442307417"</f>
        <v>1551765442307417</v>
      </c>
      <c r="C4569" t="s">
        <v>40</v>
      </c>
      <c r="D4569">
        <v>4.4859330000000002</v>
      </c>
      <c r="E4569">
        <v>0.53321109999999905</v>
      </c>
      <c r="F4569" t="s">
        <v>92</v>
      </c>
      <c r="G4569">
        <v>-225.68979999999999</v>
      </c>
      <c r="H4569" s="1">
        <v>-1.6373960000000001E-6</v>
      </c>
      <c r="I4569">
        <v>-60.736339999999998</v>
      </c>
      <c r="J4569">
        <v>-249.4402</v>
      </c>
      <c r="K4569">
        <v>1.1091219999999999</v>
      </c>
      <c r="L4569">
        <v>-62.302120000000002</v>
      </c>
      <c r="M4569">
        <v>0.99990679999999998</v>
      </c>
      <c r="N4569">
        <v>-5.5067429999999997E-3</v>
      </c>
      <c r="O4569">
        <v>1.2504380000000001E-2</v>
      </c>
      <c r="P4569">
        <v>0.98764909999999995</v>
      </c>
      <c r="Q4569">
        <v>8.0918220000000003E-3</v>
      </c>
      <c r="R4569">
        <v>0.156474</v>
      </c>
      <c r="S4569">
        <v>3.0072019999999999</v>
      </c>
      <c r="T4569">
        <v>-0.13946430000000001</v>
      </c>
      <c r="U4569">
        <v>0.19717409999999999</v>
      </c>
      <c r="V4569">
        <v>-0.1441307</v>
      </c>
      <c r="W4569">
        <v>1.3335130000000001E-2</v>
      </c>
      <c r="X4569">
        <v>0.98946880000000004</v>
      </c>
      <c r="Y4569">
        <v>-5.2890960000000001E-2</v>
      </c>
      <c r="Z4569">
        <v>8.6020789999999997E-4</v>
      </c>
      <c r="AA4569">
        <v>0.99859989999999998</v>
      </c>
      <c r="AB4569">
        <v>34</v>
      </c>
      <c r="AC4569">
        <v>23.750399999999999</v>
      </c>
      <c r="AD4569">
        <v>-1.1091236373959901</v>
      </c>
      <c r="AE4569">
        <v>1.56577999999998</v>
      </c>
      <c r="AF4569">
        <v>-1.2659203067864799</v>
      </c>
      <c r="AG4569">
        <v>-1.1091236373959901</v>
      </c>
      <c r="AH4569">
        <v>23.7166248168311</v>
      </c>
      <c r="AI4569">
        <v>92.673723599500207</v>
      </c>
      <c r="AJ4569">
        <v>93.055372568024296</v>
      </c>
      <c r="AK4569">
        <v>23.776269727787302</v>
      </c>
      <c r="AL4569">
        <v>89.235930681797001</v>
      </c>
      <c r="AM4569">
        <v>98.287685335367499</v>
      </c>
      <c r="AN4569">
        <v>0.99999999527402295</v>
      </c>
    </row>
    <row r="4570" spans="1:40" x14ac:dyDescent="0.25">
      <c r="A4570" t="str">
        <f>"20190305135722326"</f>
        <v>20190305135722326</v>
      </c>
      <c r="B4570" t="str">
        <f>"1551765442317177"</f>
        <v>1551765442317177</v>
      </c>
      <c r="C4570" t="s">
        <v>40</v>
      </c>
      <c r="D4570">
        <v>4.4871230000000004</v>
      </c>
      <c r="E4570">
        <v>0.53310819999999903</v>
      </c>
      <c r="F4570" t="s">
        <v>92</v>
      </c>
      <c r="G4570">
        <v>-225.7637</v>
      </c>
      <c r="H4570" s="1">
        <v>-1.666184E-6</v>
      </c>
      <c r="I4570">
        <v>-60.72336</v>
      </c>
      <c r="J4570">
        <v>-249.2627</v>
      </c>
      <c r="K4570">
        <v>1.1091230000000001</v>
      </c>
      <c r="L4570">
        <v>-62.299680000000002</v>
      </c>
      <c r="M4570">
        <v>0.99990219999999996</v>
      </c>
      <c r="N4570">
        <v>-5.5160720000000003E-3</v>
      </c>
      <c r="O4570">
        <v>1.284978E-2</v>
      </c>
      <c r="P4570">
        <v>0.98753080000000004</v>
      </c>
      <c r="Q4570">
        <v>8.0256779999999996E-3</v>
      </c>
      <c r="R4570">
        <v>0.15722169999999999</v>
      </c>
      <c r="S4570">
        <v>3.0068820000000001</v>
      </c>
      <c r="T4570">
        <v>-0.14085699999999901</v>
      </c>
      <c r="U4570">
        <v>0.2005005</v>
      </c>
      <c r="V4570">
        <v>-0.14453849999999999</v>
      </c>
      <c r="W4570">
        <v>1.327649E-2</v>
      </c>
      <c r="X4570">
        <v>0.98941009999999996</v>
      </c>
      <c r="Y4570">
        <v>-5.3651209999999998E-2</v>
      </c>
      <c r="Z4570">
        <v>8.7269369999999895E-4</v>
      </c>
      <c r="AA4570">
        <v>0.99855939999999999</v>
      </c>
      <c r="AB4570">
        <v>34</v>
      </c>
      <c r="AC4570">
        <v>23.498999999999899</v>
      </c>
      <c r="AD4570">
        <v>-1.109124666184</v>
      </c>
      <c r="AE4570">
        <v>1.5763199999999999</v>
      </c>
      <c r="AF4570">
        <v>-1.2714086075534401</v>
      </c>
      <c r="AG4570">
        <v>-1.109124666184</v>
      </c>
      <c r="AH4570">
        <v>23.465275435137201</v>
      </c>
      <c r="AI4570">
        <v>92.702207016640799</v>
      </c>
      <c r="AJ4570">
        <v>93.101399195078599</v>
      </c>
      <c r="AK4570">
        <v>23.525853621481001</v>
      </c>
      <c r="AL4570">
        <v>89.239290803251393</v>
      </c>
      <c r="AM4570">
        <v>98.3112934204146</v>
      </c>
      <c r="AN4570">
        <v>0.99999999457549005</v>
      </c>
    </row>
    <row r="4571" spans="1:40" x14ac:dyDescent="0.25">
      <c r="A4571" t="str">
        <f>"20190305135722338"</f>
        <v>20190305135722338</v>
      </c>
      <c r="B4571" t="str">
        <f>"1551765442326937"</f>
        <v>1551765442326937</v>
      </c>
      <c r="C4571" t="s">
        <v>40</v>
      </c>
      <c r="D4571">
        <v>4.4922279999999999</v>
      </c>
      <c r="E4571">
        <v>0.53300199999999998</v>
      </c>
      <c r="F4571" t="s">
        <v>92</v>
      </c>
      <c r="G4571">
        <v>-225.80350000000001</v>
      </c>
      <c r="H4571" s="1">
        <v>-1.680666E-6</v>
      </c>
      <c r="I4571">
        <v>-60.711709999999997</v>
      </c>
      <c r="J4571">
        <v>-249.10169999999999</v>
      </c>
      <c r="K4571">
        <v>1.109124</v>
      </c>
      <c r="L4571">
        <v>-62.297330000000002</v>
      </c>
      <c r="M4571">
        <v>0.99989819999999996</v>
      </c>
      <c r="N4571">
        <v>-5.525065E-3</v>
      </c>
      <c r="O4571">
        <v>1.3162989999999999E-2</v>
      </c>
      <c r="P4571">
        <v>0.98738490000000001</v>
      </c>
      <c r="Q4571">
        <v>8.2387980000000003E-3</v>
      </c>
      <c r="R4571">
        <v>0.1581246</v>
      </c>
      <c r="S4571">
        <v>3.0066380000000001</v>
      </c>
      <c r="T4571">
        <v>-0.14215039999999901</v>
      </c>
      <c r="U4571">
        <v>0.2035217</v>
      </c>
      <c r="V4571">
        <v>-0.1451334</v>
      </c>
      <c r="W4571">
        <v>1.349581E-2</v>
      </c>
      <c r="X4571">
        <v>0.98931999999999998</v>
      </c>
      <c r="Y4571">
        <v>-5.4341180000000003E-2</v>
      </c>
      <c r="Z4571">
        <v>8.8422380000000001E-4</v>
      </c>
      <c r="AA4571">
        <v>0.99852200000000002</v>
      </c>
      <c r="AB4571">
        <v>34</v>
      </c>
      <c r="AC4571">
        <v>23.298199999999898</v>
      </c>
      <c r="AD4571">
        <v>-1.1091256806659999</v>
      </c>
      <c r="AE4571">
        <v>1.58562</v>
      </c>
      <c r="AF4571">
        <v>-1.27592570595472</v>
      </c>
      <c r="AG4571">
        <v>-1.1091256806659999</v>
      </c>
      <c r="AH4571">
        <v>23.2645719551623</v>
      </c>
      <c r="AI4571">
        <v>92.725388591187894</v>
      </c>
      <c r="AJ4571">
        <v>93.139193485206405</v>
      </c>
      <c r="AK4571">
        <v>23.325918083530102</v>
      </c>
      <c r="AL4571">
        <v>89.226723533510295</v>
      </c>
      <c r="AM4571">
        <v>98.345770060634905</v>
      </c>
      <c r="AN4571">
        <v>0.99999995154155596</v>
      </c>
    </row>
    <row r="4572" spans="1:40" x14ac:dyDescent="0.25">
      <c r="A4572" t="str">
        <f>"20190305135722351"</f>
        <v>20190305135722351</v>
      </c>
      <c r="B4572" t="str">
        <f>"1551765442347433"</f>
        <v>1551765442347433</v>
      </c>
      <c r="C4572" t="s">
        <v>40</v>
      </c>
      <c r="D4572">
        <v>4.5042629999999999</v>
      </c>
      <c r="E4572">
        <v>0.53280249999999996</v>
      </c>
      <c r="F4572" t="s">
        <v>92</v>
      </c>
      <c r="G4572">
        <v>-225.7191</v>
      </c>
      <c r="H4572" s="1">
        <v>-1.639103E-6</v>
      </c>
      <c r="I4572">
        <v>-60.68759</v>
      </c>
      <c r="J4572">
        <v>-248.91370000000001</v>
      </c>
      <c r="K4572">
        <v>1.1091219999999999</v>
      </c>
      <c r="L4572">
        <v>-62.294589999999999</v>
      </c>
      <c r="M4572">
        <v>0.99989309999999998</v>
      </c>
      <c r="N4572">
        <v>-5.5358569999999999E-3</v>
      </c>
      <c r="O4572">
        <v>1.352884E-2</v>
      </c>
      <c r="P4572">
        <v>0.98722589999999999</v>
      </c>
      <c r="Q4572">
        <v>8.4186869999999994E-3</v>
      </c>
      <c r="R4572">
        <v>0.159104</v>
      </c>
      <c r="S4572">
        <v>3.0063780000000002</v>
      </c>
      <c r="T4572">
        <v>-0.142603799999999</v>
      </c>
      <c r="U4572">
        <v>0.20697019999999999</v>
      </c>
      <c r="V4572">
        <v>-0.14575339999999901</v>
      </c>
      <c r="W4572">
        <v>1.368463E-2</v>
      </c>
      <c r="X4572">
        <v>0.9892263</v>
      </c>
      <c r="Y4572">
        <v>-5.5120669999999997E-2</v>
      </c>
      <c r="Z4572">
        <v>8.9212280000000002E-4</v>
      </c>
      <c r="AA4572">
        <v>0.99847929999999996</v>
      </c>
      <c r="AB4572">
        <v>34</v>
      </c>
      <c r="AC4572">
        <v>23.194600000000001</v>
      </c>
      <c r="AD4572">
        <v>-1.1091236391029999</v>
      </c>
      <c r="AE4572">
        <v>1.60699999999999</v>
      </c>
      <c r="AF4572">
        <v>-1.2901162065869101</v>
      </c>
      <c r="AG4572">
        <v>-1.1091236391029999</v>
      </c>
      <c r="AH4572">
        <v>23.161510759391501</v>
      </c>
      <c r="AI4572">
        <v>92.737363213710495</v>
      </c>
      <c r="AJ4572">
        <v>93.188130109302705</v>
      </c>
      <c r="AK4572">
        <v>23.223913015052499</v>
      </c>
      <c r="AL4572">
        <v>89.215903980843194</v>
      </c>
      <c r="AM4572">
        <v>98.381699860002101</v>
      </c>
      <c r="AN4572">
        <v>0.99999999766074299</v>
      </c>
    </row>
    <row r="4573" spans="1:40" x14ac:dyDescent="0.25">
      <c r="A4573" t="str">
        <f>"20190305135722363"</f>
        <v>20190305135722363</v>
      </c>
      <c r="B4573" t="str">
        <f>"1551765442357193"</f>
        <v>1551765442357193</v>
      </c>
      <c r="C4573" t="s">
        <v>40</v>
      </c>
      <c r="D4573">
        <v>4.4650119999999998</v>
      </c>
      <c r="E4573">
        <v>0.53269319999999998</v>
      </c>
      <c r="F4573" t="s">
        <v>92</v>
      </c>
      <c r="G4573">
        <v>-225.8228</v>
      </c>
      <c r="H4573" s="1">
        <v>-1.679694E-6</v>
      </c>
      <c r="I4573">
        <v>-60.670009999999998</v>
      </c>
      <c r="J4573">
        <v>-248.71940000000001</v>
      </c>
      <c r="K4573">
        <v>1.1091200000000001</v>
      </c>
      <c r="L4573">
        <v>-62.291600000000003</v>
      </c>
      <c r="M4573">
        <v>0.99988809999999995</v>
      </c>
      <c r="N4573">
        <v>-5.5494969999999996E-3</v>
      </c>
      <c r="O4573">
        <v>1.390623E-2</v>
      </c>
      <c r="P4573">
        <v>0.98711570000000004</v>
      </c>
      <c r="Q4573">
        <v>8.5897709999999995E-3</v>
      </c>
      <c r="R4573">
        <v>0.15977759999999999</v>
      </c>
      <c r="S4573">
        <v>3.0059659999999999</v>
      </c>
      <c r="T4573">
        <v>-0.14438580000000001</v>
      </c>
      <c r="U4573">
        <v>0.2114868</v>
      </c>
      <c r="V4573">
        <v>-0.146055399999999</v>
      </c>
      <c r="W4573">
        <v>1.386771E-2</v>
      </c>
      <c r="X4573">
        <v>0.98917920000000004</v>
      </c>
      <c r="Y4573">
        <v>-5.6243750000000002E-2</v>
      </c>
      <c r="Z4573">
        <v>9.1509019999999998E-4</v>
      </c>
      <c r="AA4573">
        <v>0.99841670000000005</v>
      </c>
      <c r="AB4573">
        <v>35</v>
      </c>
      <c r="AC4573">
        <v>22.896599999999999</v>
      </c>
      <c r="AD4573">
        <v>-1.109121679694</v>
      </c>
      <c r="AE4573">
        <v>1.6215900000000001</v>
      </c>
      <c r="AF4573">
        <v>-1.2999877987983499</v>
      </c>
      <c r="AG4573">
        <v>-1.109121679694</v>
      </c>
      <c r="AH4573">
        <v>22.8635553930682</v>
      </c>
      <c r="AI4573">
        <v>92.772796212241104</v>
      </c>
      <c r="AJ4573">
        <v>93.254249058678496</v>
      </c>
      <c r="AK4573">
        <v>22.927326150017802</v>
      </c>
      <c r="AL4573">
        <v>89.205413269054901</v>
      </c>
      <c r="AM4573">
        <v>98.399213423636894</v>
      </c>
      <c r="AN4573">
        <v>0.99999999148122198</v>
      </c>
    </row>
    <row r="4574" spans="1:40" x14ac:dyDescent="0.25">
      <c r="A4574" t="str">
        <f>"20190305135722374"</f>
        <v>20190305135722374</v>
      </c>
      <c r="B4574" t="str">
        <f>"1551765442366953"</f>
        <v>1551765442366953</v>
      </c>
      <c r="C4574" t="s">
        <v>40</v>
      </c>
      <c r="D4574">
        <v>4.4942140000000004</v>
      </c>
      <c r="E4574">
        <v>0.53261879999999995</v>
      </c>
      <c r="F4574" t="s">
        <v>92</v>
      </c>
      <c r="G4574">
        <v>-225.74979999999999</v>
      </c>
      <c r="H4574" s="1">
        <v>-1.6445519999999901E-6</v>
      </c>
      <c r="I4574">
        <v>-60.652790000000003</v>
      </c>
      <c r="J4574">
        <v>-248.53389999999999</v>
      </c>
      <c r="K4574">
        <v>1.1091200000000001</v>
      </c>
      <c r="L4574">
        <v>-62.288730000000001</v>
      </c>
      <c r="M4574">
        <v>0.99988279999999996</v>
      </c>
      <c r="N4574">
        <v>-5.5633749999999997E-3</v>
      </c>
      <c r="O4574">
        <v>1.426592E-2</v>
      </c>
      <c r="P4574">
        <v>0.98695849999999996</v>
      </c>
      <c r="Q4574">
        <v>8.7361039999999997E-3</v>
      </c>
      <c r="R4574">
        <v>0.16073870000000001</v>
      </c>
      <c r="S4574">
        <v>3.0056919999999998</v>
      </c>
      <c r="T4574">
        <v>-0.14513489999999901</v>
      </c>
      <c r="U4574">
        <v>0.214447</v>
      </c>
      <c r="V4574">
        <v>-0.14666299999999999</v>
      </c>
      <c r="W4574">
        <v>1.402553E-2</v>
      </c>
      <c r="X4574">
        <v>0.9890871</v>
      </c>
      <c r="Y4574">
        <v>-5.6868269999999999E-2</v>
      </c>
      <c r="Z4574">
        <v>9.2070819999999997E-4</v>
      </c>
      <c r="AA4574">
        <v>0.99838130000000003</v>
      </c>
      <c r="AB4574">
        <v>35</v>
      </c>
      <c r="AC4574">
        <v>22.784099999999899</v>
      </c>
      <c r="AD4574">
        <v>-1.109121644552</v>
      </c>
      <c r="AE4574">
        <v>1.6359399999999999</v>
      </c>
      <c r="AF4574">
        <v>-1.3076494989437</v>
      </c>
      <c r="AG4574">
        <v>-1.109121644552</v>
      </c>
      <c r="AH4574">
        <v>22.7514820792641</v>
      </c>
      <c r="AI4574">
        <v>92.786335603953006</v>
      </c>
      <c r="AJ4574">
        <v>93.289476256864901</v>
      </c>
      <c r="AK4574">
        <v>22.8160039191261</v>
      </c>
      <c r="AL4574">
        <v>89.196369993408297</v>
      </c>
      <c r="AM4574">
        <v>98.434427212802404</v>
      </c>
      <c r="AN4574">
        <v>1.00000002122359</v>
      </c>
    </row>
    <row r="4575" spans="1:40" x14ac:dyDescent="0.25">
      <c r="A4575" t="str">
        <f>"20190305135722385"</f>
        <v>20190305135722385</v>
      </c>
      <c r="B4575" t="str">
        <f>"1551765442376713"</f>
        <v>1551765442376713</v>
      </c>
      <c r="C4575" t="s">
        <v>40</v>
      </c>
      <c r="D4575">
        <v>4.5030260000000002</v>
      </c>
      <c r="E4575">
        <v>0.53256020000000004</v>
      </c>
      <c r="F4575" t="s">
        <v>92</v>
      </c>
      <c r="G4575">
        <v>-225.69149999999999</v>
      </c>
      <c r="H4575" s="1">
        <v>-1.6150889999999999E-6</v>
      </c>
      <c r="I4575">
        <v>-60.63288</v>
      </c>
      <c r="J4575">
        <v>-248.35339999999999</v>
      </c>
      <c r="K4575">
        <v>1.1091139999999999</v>
      </c>
      <c r="L4575">
        <v>-62.28586</v>
      </c>
      <c r="M4575">
        <v>0.99987780000000004</v>
      </c>
      <c r="N4575">
        <v>-5.5779760000000001E-3</v>
      </c>
      <c r="O4575">
        <v>1.461554E-2</v>
      </c>
      <c r="P4575">
        <v>0.98684039999999995</v>
      </c>
      <c r="Q4575">
        <v>8.499118E-3</v>
      </c>
      <c r="R4575">
        <v>0.16147439999999999</v>
      </c>
      <c r="S4575">
        <v>3.0054470000000002</v>
      </c>
      <c r="T4575">
        <v>-0.14593030000000001</v>
      </c>
      <c r="U4575">
        <v>0.217865</v>
      </c>
      <c r="V4575">
        <v>-0.147054399999999</v>
      </c>
      <c r="W4575">
        <v>1.3801920000000001E-2</v>
      </c>
      <c r="X4575">
        <v>0.98903209999999997</v>
      </c>
      <c r="Y4575">
        <v>-5.765315E-2</v>
      </c>
      <c r="Z4575">
        <v>9.3132529999999999E-4</v>
      </c>
      <c r="AA4575">
        <v>0.99833629999999995</v>
      </c>
      <c r="AB4575">
        <v>35</v>
      </c>
      <c r="AC4575">
        <v>22.661899999999999</v>
      </c>
      <c r="AD4575">
        <v>-1.109115615089</v>
      </c>
      <c r="AE4575">
        <v>1.6529799999999899</v>
      </c>
      <c r="AF4575">
        <v>-1.31844107670869</v>
      </c>
      <c r="AG4575">
        <v>-1.109115615089</v>
      </c>
      <c r="AH4575">
        <v>22.629720673421598</v>
      </c>
      <c r="AI4575">
        <v>92.801161926194197</v>
      </c>
      <c r="AJ4575">
        <v>93.334367742332603</v>
      </c>
      <c r="AK4575">
        <v>22.695212756823199</v>
      </c>
      <c r="AL4575">
        <v>89.209183119780405</v>
      </c>
      <c r="AM4575">
        <v>98.457074612240305</v>
      </c>
      <c r="AN4575">
        <v>0.99999999219272795</v>
      </c>
    </row>
    <row r="4576" spans="1:40" x14ac:dyDescent="0.25">
      <c r="A4576" t="str">
        <f>"20190305135722397"</f>
        <v>20190305135722397</v>
      </c>
      <c r="B4576" t="str">
        <f>"1551765442387449"</f>
        <v>1551765442387449</v>
      </c>
      <c r="C4576" t="s">
        <v>40</v>
      </c>
      <c r="D4576">
        <v>4.4937860000000001</v>
      </c>
      <c r="E4576">
        <v>0.53248229999999996</v>
      </c>
      <c r="F4576" t="s">
        <v>92</v>
      </c>
      <c r="G4576">
        <v>-225.8134</v>
      </c>
      <c r="H4576" s="1">
        <v>-1.66719E-6</v>
      </c>
      <c r="I4576">
        <v>-60.6318699999999</v>
      </c>
      <c r="J4576">
        <v>-248.17779999999999</v>
      </c>
      <c r="K4576">
        <v>1.109113</v>
      </c>
      <c r="L4576">
        <v>-62.283050000000003</v>
      </c>
      <c r="M4576">
        <v>0.9998726</v>
      </c>
      <c r="N4576">
        <v>-5.594155E-3</v>
      </c>
      <c r="O4576">
        <v>1.4953889999999999E-2</v>
      </c>
      <c r="P4576">
        <v>0.98672009999999999</v>
      </c>
      <c r="Q4576">
        <v>8.3317700000000005E-3</v>
      </c>
      <c r="R4576">
        <v>0.1622162</v>
      </c>
      <c r="S4576">
        <v>3.0051730000000001</v>
      </c>
      <c r="T4576">
        <v>-0.147874799999999</v>
      </c>
      <c r="U4576">
        <v>0.22051999999999999</v>
      </c>
      <c r="V4576">
        <v>-0.1474627</v>
      </c>
      <c r="W4576">
        <v>1.3648860000000001E-2</v>
      </c>
      <c r="X4576">
        <v>0.9889734</v>
      </c>
      <c r="Y4576">
        <v>-5.8197289999999999E-2</v>
      </c>
      <c r="Z4576">
        <v>9.4140900000000004E-4</v>
      </c>
      <c r="AA4576">
        <v>0.99830469999999905</v>
      </c>
      <c r="AB4576">
        <v>35</v>
      </c>
      <c r="AC4576">
        <v>22.3643999999999</v>
      </c>
      <c r="AD4576">
        <v>-1.1091146671900001</v>
      </c>
      <c r="AE4576">
        <v>1.6511800000000101</v>
      </c>
      <c r="AF4576">
        <v>-1.3133427853998101</v>
      </c>
      <c r="AG4576">
        <v>-1.1091146671900001</v>
      </c>
      <c r="AH4576">
        <v>22.331964548796901</v>
      </c>
      <c r="AI4576">
        <v>92.838356551028298</v>
      </c>
      <c r="AJ4576">
        <v>93.365688030540994</v>
      </c>
      <c r="AK4576">
        <v>22.398027708386699</v>
      </c>
      <c r="AL4576">
        <v>89.217953614878695</v>
      </c>
      <c r="AM4576">
        <v>98.480710934575001</v>
      </c>
      <c r="AN4576">
        <v>0.99999996258907398</v>
      </c>
    </row>
    <row r="4577" spans="1:40" x14ac:dyDescent="0.25">
      <c r="A4577" t="str">
        <f>"20190305135722407"</f>
        <v>20190305135722407</v>
      </c>
      <c r="B4577" t="str">
        <f>"1551765442397208"</f>
        <v>1551765442397208</v>
      </c>
      <c r="C4577" t="s">
        <v>40</v>
      </c>
      <c r="D4577">
        <v>4.5102310000000001</v>
      </c>
      <c r="E4577">
        <v>0.53246070000000001</v>
      </c>
      <c r="F4577" t="s">
        <v>92</v>
      </c>
      <c r="G4577">
        <v>-225.91210000000001</v>
      </c>
      <c r="H4577" s="1">
        <v>-1.7087710000000001E-6</v>
      </c>
      <c r="I4577">
        <v>-60.628480000000003</v>
      </c>
      <c r="J4577">
        <v>-248.01740000000001</v>
      </c>
      <c r="K4577">
        <v>1.109113</v>
      </c>
      <c r="L4577">
        <v>-62.2804</v>
      </c>
      <c r="M4577">
        <v>0.99986790000000003</v>
      </c>
      <c r="N4577">
        <v>-5.6096430000000001E-3</v>
      </c>
      <c r="O4577">
        <v>1.5262370000000001E-2</v>
      </c>
      <c r="P4577">
        <v>0.98661849999999995</v>
      </c>
      <c r="Q4577">
        <v>8.1491989999999993E-3</v>
      </c>
      <c r="R4577">
        <v>0.16284360000000001</v>
      </c>
      <c r="S4577">
        <v>3.0049290000000002</v>
      </c>
      <c r="T4577">
        <v>-0.14968380000000001</v>
      </c>
      <c r="U4577">
        <v>0.2232971</v>
      </c>
      <c r="V4577">
        <v>-0.14778649999999999</v>
      </c>
      <c r="W4577">
        <v>1.3480560000000001E-2</v>
      </c>
      <c r="X4577">
        <v>0.98892740000000001</v>
      </c>
      <c r="Y4577">
        <v>-5.8810800000000003E-2</v>
      </c>
      <c r="Z4577">
        <v>9.5399150000000002E-4</v>
      </c>
      <c r="AA4577">
        <v>0.99826870000000001</v>
      </c>
      <c r="AB4577">
        <v>35</v>
      </c>
      <c r="AC4577">
        <v>22.1053</v>
      </c>
      <c r="AD4577">
        <v>-1.109114708771</v>
      </c>
      <c r="AE4577">
        <v>1.6519199999999901</v>
      </c>
      <c r="AF4577">
        <v>-1.31106085074291</v>
      </c>
      <c r="AG4577">
        <v>-1.109114708771</v>
      </c>
      <c r="AH4577">
        <v>22.072679592841801</v>
      </c>
      <c r="AI4577">
        <v>92.871543796816496</v>
      </c>
      <c r="AJ4577">
        <v>93.399229312342399</v>
      </c>
      <c r="AK4577">
        <v>22.139381210860801</v>
      </c>
      <c r="AL4577">
        <v>89.227597402444502</v>
      </c>
      <c r="AM4577">
        <v>98.499450841483196</v>
      </c>
      <c r="AN4577">
        <v>0.99999998877546104</v>
      </c>
    </row>
    <row r="4578" spans="1:40" x14ac:dyDescent="0.25">
      <c r="A4578" t="str">
        <f>"20190305135722419"</f>
        <v>20190305135722419</v>
      </c>
      <c r="B4578" t="str">
        <f>"1551765442406968"</f>
        <v>1551765442406968</v>
      </c>
      <c r="C4578" t="s">
        <v>40</v>
      </c>
      <c r="D4578">
        <v>4.4840730000000004</v>
      </c>
      <c r="E4578">
        <v>0.53241879999999997</v>
      </c>
      <c r="F4578" t="s">
        <v>92</v>
      </c>
      <c r="G4578">
        <v>-226.0034</v>
      </c>
      <c r="H4578" s="1">
        <v>-1.7481780000000001E-6</v>
      </c>
      <c r="I4578">
        <v>-60.62968</v>
      </c>
      <c r="J4578">
        <v>-247.8467</v>
      </c>
      <c r="K4578">
        <v>1.1091089999999999</v>
      </c>
      <c r="L4578">
        <v>-62.277529999999999</v>
      </c>
      <c r="M4578">
        <v>0.99986269999999999</v>
      </c>
      <c r="N4578">
        <v>-5.6276440000000002E-3</v>
      </c>
      <c r="O4578">
        <v>1.5586340000000001E-2</v>
      </c>
      <c r="P4578">
        <v>0.98647359999999995</v>
      </c>
      <c r="Q4578">
        <v>7.5679700000000003E-3</v>
      </c>
      <c r="R4578">
        <v>0.16374540000000001</v>
      </c>
      <c r="S4578">
        <v>3.0047609999999998</v>
      </c>
      <c r="T4578">
        <v>-0.15138660000000001</v>
      </c>
      <c r="U4578">
        <v>0.22531129999999999</v>
      </c>
      <c r="V4578">
        <v>-0.148369</v>
      </c>
      <c r="W4578">
        <v>1.291603E-2</v>
      </c>
      <c r="X4578">
        <v>0.9888477</v>
      </c>
      <c r="Y4578">
        <v>-5.9155350000000002E-2</v>
      </c>
      <c r="Z4578">
        <v>9.5798330000000003E-4</v>
      </c>
      <c r="AA4578">
        <v>0.99824829999999998</v>
      </c>
      <c r="AB4578">
        <v>35</v>
      </c>
      <c r="AC4578">
        <v>21.843299999999999</v>
      </c>
      <c r="AD4578">
        <v>-1.109110748178</v>
      </c>
      <c r="AE4578">
        <v>1.64784999999999</v>
      </c>
      <c r="AF4578">
        <v>-1.3038448096505699</v>
      </c>
      <c r="AG4578">
        <v>-1.109110748178</v>
      </c>
      <c r="AH4578">
        <v>21.810417884838099</v>
      </c>
      <c r="AI4578">
        <v>92.905937748779493</v>
      </c>
      <c r="AJ4578">
        <v>93.421117533493302</v>
      </c>
      <c r="AK4578">
        <v>21.877487658564601</v>
      </c>
      <c r="AL4578">
        <v>89.259945399885396</v>
      </c>
      <c r="AM4578">
        <v>98.533136824130807</v>
      </c>
      <c r="AN4578">
        <v>0.99999997889362502</v>
      </c>
    </row>
    <row r="4579" spans="1:40" x14ac:dyDescent="0.25">
      <c r="A4579" t="str">
        <f>"20190305135722431"</f>
        <v>20190305135722431</v>
      </c>
      <c r="B4579" t="str">
        <f>"1551765442427465"</f>
        <v>1551765442427465</v>
      </c>
      <c r="C4579" t="s">
        <v>40</v>
      </c>
      <c r="D4579">
        <v>4.4345780000000001</v>
      </c>
      <c r="E4579">
        <v>0.53253969999999995</v>
      </c>
      <c r="F4579" t="s">
        <v>92</v>
      </c>
      <c r="G4579">
        <v>-226.22970000000001</v>
      </c>
      <c r="H4579" s="1">
        <v>-1.846616E-6</v>
      </c>
      <c r="I4579">
        <v>-60.635770000000001</v>
      </c>
      <c r="J4579">
        <v>-247.6516</v>
      </c>
      <c r="K4579">
        <v>1.109105</v>
      </c>
      <c r="L4579">
        <v>-62.274169999999998</v>
      </c>
      <c r="M4579">
        <v>0.99985679999999999</v>
      </c>
      <c r="N4579">
        <v>-5.649233E-3</v>
      </c>
      <c r="O4579">
        <v>1.5954039999999999E-2</v>
      </c>
      <c r="P4579">
        <v>0.98637850000000005</v>
      </c>
      <c r="Q4579">
        <v>7.3411259999999999E-3</v>
      </c>
      <c r="R4579">
        <v>0.16432759999999999</v>
      </c>
      <c r="S4579">
        <v>3.0044400000000002</v>
      </c>
      <c r="T4579">
        <v>-0.15414949999999999</v>
      </c>
      <c r="U4579">
        <v>0.22817989999999999</v>
      </c>
      <c r="V4579">
        <v>-0.14858869999999999</v>
      </c>
      <c r="W4579">
        <v>1.2710529999999999E-2</v>
      </c>
      <c r="X4579">
        <v>0.98881739999999996</v>
      </c>
      <c r="Y4579">
        <v>-5.974111E-2</v>
      </c>
      <c r="Z4579">
        <v>9.7174969999999996E-4</v>
      </c>
      <c r="AA4579">
        <v>0.99821340000000003</v>
      </c>
      <c r="AB4579">
        <v>35</v>
      </c>
      <c r="AC4579">
        <v>21.421899999999901</v>
      </c>
      <c r="AD4579">
        <v>-1.1091068466159999</v>
      </c>
      <c r="AE4579">
        <v>1.6384000000000001</v>
      </c>
      <c r="AF4579">
        <v>-1.2929743949468699</v>
      </c>
      <c r="AG4579">
        <v>-1.1091068466159999</v>
      </c>
      <c r="AH4579">
        <v>21.388313055617001</v>
      </c>
      <c r="AI4579">
        <v>92.9630567019327</v>
      </c>
      <c r="AJ4579">
        <v>93.459456062324605</v>
      </c>
      <c r="AK4579">
        <v>21.456044280068799</v>
      </c>
      <c r="AL4579">
        <v>89.271720668486694</v>
      </c>
      <c r="AM4579">
        <v>98.545843987553198</v>
      </c>
      <c r="AN4579">
        <v>1.00000000494166</v>
      </c>
    </row>
    <row r="4580" spans="1:40" x14ac:dyDescent="0.25">
      <c r="A4580" t="str">
        <f>"20190305135722443"</f>
        <v>20190305135722443</v>
      </c>
      <c r="B4580" t="str">
        <f>"1551765442437225"</f>
        <v>1551765442437225</v>
      </c>
      <c r="C4580" t="s">
        <v>40</v>
      </c>
      <c r="D4580">
        <v>4.4292639999999999</v>
      </c>
      <c r="E4580">
        <v>0.53254179999999995</v>
      </c>
      <c r="F4580" t="s">
        <v>92</v>
      </c>
      <c r="G4580">
        <v>-226.1617</v>
      </c>
      <c r="H4580" s="1">
        <v>-1.817686E-6</v>
      </c>
      <c r="I4580">
        <v>-60.636830000000003</v>
      </c>
      <c r="J4580">
        <v>-247.47210000000001</v>
      </c>
      <c r="K4580">
        <v>1.1090960000000001</v>
      </c>
      <c r="L4580">
        <v>-62.271030000000003</v>
      </c>
      <c r="M4580">
        <v>0.9998515</v>
      </c>
      <c r="N4580">
        <v>-5.6728419999999896E-3</v>
      </c>
      <c r="O4580">
        <v>1.6282379999999999E-2</v>
      </c>
      <c r="P4580">
        <v>0.98624599999999996</v>
      </c>
      <c r="Q4580">
        <v>7.1882869999999998E-3</v>
      </c>
      <c r="R4580">
        <v>0.16512879999999899</v>
      </c>
      <c r="S4580">
        <v>3.0044400000000002</v>
      </c>
      <c r="T4580">
        <v>-0.1550609</v>
      </c>
      <c r="U4580">
        <v>0.22891239999999999</v>
      </c>
      <c r="V4580">
        <v>-0.14906649999999999</v>
      </c>
      <c r="W4580">
        <v>1.258132E-2</v>
      </c>
      <c r="X4580">
        <v>0.98874709999999999</v>
      </c>
      <c r="Y4580">
        <v>-5.965492E-2</v>
      </c>
      <c r="Z4580">
        <v>9.5952730000000005E-4</v>
      </c>
      <c r="AA4580">
        <v>0.99821859999999996</v>
      </c>
      <c r="AB4580">
        <v>35</v>
      </c>
      <c r="AC4580">
        <v>21.310400000000001</v>
      </c>
      <c r="AD4580">
        <v>-1.10909781768599</v>
      </c>
      <c r="AE4580">
        <v>1.6342000000000001</v>
      </c>
      <c r="AF4580">
        <v>-1.2835374369971599</v>
      </c>
      <c r="AG4580">
        <v>-1.10909781768599</v>
      </c>
      <c r="AH4580">
        <v>21.276888760079601</v>
      </c>
      <c r="AI4580">
        <v>92.978544481807305</v>
      </c>
      <c r="AJ4580">
        <v>93.4522088107462</v>
      </c>
      <c r="AK4580">
        <v>21.344403520130701</v>
      </c>
      <c r="AL4580">
        <v>89.279124422529094</v>
      </c>
      <c r="AM4580">
        <v>98.573516703738207</v>
      </c>
      <c r="AN4580">
        <v>0.99999996939680003</v>
      </c>
    </row>
    <row r="4581" spans="1:40" x14ac:dyDescent="0.25">
      <c r="A4581" t="str">
        <f>"20190305135722457"</f>
        <v>20190305135722457</v>
      </c>
      <c r="B4581" t="str">
        <f>"1551765442446985"</f>
        <v>1551765442446985</v>
      </c>
      <c r="C4581" t="s">
        <v>40</v>
      </c>
      <c r="D4581">
        <v>4.4803879999999996</v>
      </c>
      <c r="E4581">
        <v>0.5324489</v>
      </c>
      <c r="F4581" t="s">
        <v>92</v>
      </c>
      <c r="G4581">
        <v>-226.1053</v>
      </c>
      <c r="H4581" s="1">
        <v>-1.791035E-6</v>
      </c>
      <c r="I4581">
        <v>-60.625819999999997</v>
      </c>
      <c r="J4581">
        <v>-247.2424</v>
      </c>
      <c r="K4581">
        <v>1.1090899999999999</v>
      </c>
      <c r="L4581">
        <v>-62.266939999999998</v>
      </c>
      <c r="M4581">
        <v>0.99984439999999997</v>
      </c>
      <c r="N4581">
        <v>-5.7052880000000002E-3</v>
      </c>
      <c r="O4581">
        <v>1.6693059999999999E-2</v>
      </c>
      <c r="P4581">
        <v>0.98614840000000004</v>
      </c>
      <c r="Q4581">
        <v>6.8826449999999997E-3</v>
      </c>
      <c r="R4581">
        <v>0.1657235</v>
      </c>
      <c r="S4581">
        <v>3.004257</v>
      </c>
      <c r="T4581">
        <v>-0.15594340000000001</v>
      </c>
      <c r="U4581">
        <v>0.23132320000000001</v>
      </c>
      <c r="V4581">
        <v>-0.1492561</v>
      </c>
      <c r="W4581">
        <v>1.2310969999999999E-2</v>
      </c>
      <c r="X4581">
        <v>0.98872190000000004</v>
      </c>
      <c r="Y4581">
        <v>-6.004495E-2</v>
      </c>
      <c r="Z4581">
        <v>9.5730900000000005E-4</v>
      </c>
      <c r="AA4581">
        <v>0.99819519999999995</v>
      </c>
      <c r="AB4581">
        <v>35</v>
      </c>
      <c r="AC4581">
        <v>21.1371</v>
      </c>
      <c r="AD4581">
        <v>-1.109091791035</v>
      </c>
      <c r="AE4581">
        <v>1.6411199999999999</v>
      </c>
      <c r="AF4581">
        <v>-1.2845272843567499</v>
      </c>
      <c r="AG4581">
        <v>-1.109091791035</v>
      </c>
      <c r="AH4581">
        <v>21.103794783589699</v>
      </c>
      <c r="AI4581">
        <v>93.002815747960994</v>
      </c>
      <c r="AJ4581">
        <v>93.483132087863794</v>
      </c>
      <c r="AK4581">
        <v>21.1719212452027</v>
      </c>
      <c r="AL4581">
        <v>89.294615536966305</v>
      </c>
      <c r="AM4581">
        <v>98.584474668739304</v>
      </c>
      <c r="AN4581">
        <v>0.99999996945458003</v>
      </c>
    </row>
    <row r="4582" spans="1:40" x14ac:dyDescent="0.25">
      <c r="A4582" t="str">
        <f>"20190305135722473"</f>
        <v>20190305135722473</v>
      </c>
      <c r="B4582" t="str">
        <f>"1551765442467483"</f>
        <v>1551765442467483</v>
      </c>
      <c r="C4582" t="s">
        <v>40</v>
      </c>
      <c r="D4582">
        <v>4.4572849999999997</v>
      </c>
      <c r="E4582">
        <v>0.53223949999999998</v>
      </c>
      <c r="F4582" t="s">
        <v>92</v>
      </c>
      <c r="G4582">
        <v>-226.10239999999999</v>
      </c>
      <c r="H4582" s="1">
        <v>-1.788809E-6</v>
      </c>
      <c r="I4582">
        <v>-60.621400000000001</v>
      </c>
      <c r="J4582">
        <v>-246.99969999999999</v>
      </c>
      <c r="K4582">
        <v>1.1090819999999999</v>
      </c>
      <c r="L4582">
        <v>-62.262509999999999</v>
      </c>
      <c r="M4582">
        <v>0.99983719999999998</v>
      </c>
      <c r="N4582">
        <v>-5.7418230000000001E-3</v>
      </c>
      <c r="O4582">
        <v>1.7111990000000001E-2</v>
      </c>
      <c r="P4582">
        <v>0.98593450000000005</v>
      </c>
      <c r="Q4582">
        <v>6.9455259999999996E-3</v>
      </c>
      <c r="R4582">
        <v>0.16698760000000001</v>
      </c>
      <c r="S4582">
        <v>3.0039370000000001</v>
      </c>
      <c r="T4582">
        <v>-0.1575985</v>
      </c>
      <c r="U4582">
        <v>0.2338257</v>
      </c>
      <c r="V4582">
        <v>-0.1501092</v>
      </c>
      <c r="W4582">
        <v>1.241253E-2</v>
      </c>
      <c r="X4582">
        <v>0.98859149999999996</v>
      </c>
      <c r="Y4582">
        <v>-6.0459800000000001E-2</v>
      </c>
      <c r="Z4582">
        <v>9.5892660000000002E-4</v>
      </c>
      <c r="AA4582">
        <v>0.99817020000000001</v>
      </c>
      <c r="AB4582">
        <v>35</v>
      </c>
      <c r="AC4582">
        <v>20.897300000000001</v>
      </c>
      <c r="AD4582">
        <v>-1.1090837888089999</v>
      </c>
      <c r="AE4582">
        <v>1.6411099999999901</v>
      </c>
      <c r="AF4582">
        <v>-1.2796869898199399</v>
      </c>
      <c r="AG4582">
        <v>-1.1090837888089999</v>
      </c>
      <c r="AH4582">
        <v>20.863914998490699</v>
      </c>
      <c r="AI4582">
        <v>93.037167699039102</v>
      </c>
      <c r="AJ4582">
        <v>93.5098363417017</v>
      </c>
      <c r="AK4582">
        <v>20.932525282601599</v>
      </c>
      <c r="AL4582">
        <v>89.288796153312603</v>
      </c>
      <c r="AM4582">
        <v>98.633925147681893</v>
      </c>
      <c r="AN4582">
        <v>0.99999999834894504</v>
      </c>
    </row>
    <row r="4583" spans="1:40" x14ac:dyDescent="0.25">
      <c r="A4583" t="str">
        <f>"20190305135722487"</f>
        <v>20190305135722487</v>
      </c>
      <c r="B4583" t="str">
        <f>"1551765442477242"</f>
        <v>1551765442477242</v>
      </c>
      <c r="C4583" t="s">
        <v>40</v>
      </c>
      <c r="D4583">
        <v>4.4454989999999999</v>
      </c>
      <c r="E4583">
        <v>0.53214340000000004</v>
      </c>
      <c r="F4583" t="s">
        <v>92</v>
      </c>
      <c r="G4583">
        <v>-225.98320000000001</v>
      </c>
      <c r="H4583" s="1">
        <v>-1.7303899999999999E-6</v>
      </c>
      <c r="I4583">
        <v>-60.588520000000003</v>
      </c>
      <c r="J4583">
        <v>-246.77510000000001</v>
      </c>
      <c r="K4583">
        <v>1.109073</v>
      </c>
      <c r="L4583">
        <v>-62.258360000000003</v>
      </c>
      <c r="M4583">
        <v>0.99983069999999996</v>
      </c>
      <c r="N4583">
        <v>-5.7764330000000001E-3</v>
      </c>
      <c r="O4583">
        <v>1.7477960000000001E-2</v>
      </c>
      <c r="P4583">
        <v>0.98583319999999997</v>
      </c>
      <c r="Q4583">
        <v>7.4108000000000004E-3</v>
      </c>
      <c r="R4583">
        <v>0.16756650000000001</v>
      </c>
      <c r="S4583">
        <v>3.0034179999999999</v>
      </c>
      <c r="T4583">
        <v>-0.1584969</v>
      </c>
      <c r="U4583">
        <v>0.2392273</v>
      </c>
      <c r="V4583">
        <v>-0.1503283</v>
      </c>
      <c r="W4583">
        <v>1.2917939999999999E-2</v>
      </c>
      <c r="X4583">
        <v>0.98855170000000003</v>
      </c>
      <c r="Y4583">
        <v>-6.1889199999999901E-2</v>
      </c>
      <c r="Z4583">
        <v>9.8917550000000008E-4</v>
      </c>
      <c r="AA4583">
        <v>0.99808249999999998</v>
      </c>
      <c r="AB4583">
        <v>35</v>
      </c>
      <c r="AC4583">
        <v>20.791899999999998</v>
      </c>
      <c r="AD4583">
        <v>-1.1090747303899999</v>
      </c>
      <c r="AE4583">
        <v>1.66984</v>
      </c>
      <c r="AF4583">
        <v>-1.3024966247556899</v>
      </c>
      <c r="AG4583">
        <v>-1.1090747303899999</v>
      </c>
      <c r="AH4583">
        <v>20.759221408076598</v>
      </c>
      <c r="AI4583">
        <v>93.052165951003403</v>
      </c>
      <c r="AJ4583">
        <v>93.590205052948207</v>
      </c>
      <c r="AK4583">
        <v>20.829589954788698</v>
      </c>
      <c r="AL4583">
        <v>89.259835947205104</v>
      </c>
      <c r="AM4583">
        <v>98.646679788435804</v>
      </c>
      <c r="AN4583">
        <v>0.99999996726381102</v>
      </c>
    </row>
    <row r="4584" spans="1:40" x14ac:dyDescent="0.25">
      <c r="A4584" t="str">
        <f>"20190305135722497"</f>
        <v>20190305135722497</v>
      </c>
      <c r="B4584" t="str">
        <f>"1551765442487001"</f>
        <v>1551765442487001</v>
      </c>
      <c r="C4584" t="s">
        <v>40</v>
      </c>
      <c r="D4584">
        <v>4.4534269999999996</v>
      </c>
      <c r="E4584">
        <v>0.53204419999999897</v>
      </c>
      <c r="F4584" t="s">
        <v>92</v>
      </c>
      <c r="G4584">
        <v>-225.6807</v>
      </c>
      <c r="H4584" s="1">
        <v>-1.594424E-6</v>
      </c>
      <c r="I4584">
        <v>-60.560679999999998</v>
      </c>
      <c r="J4584">
        <v>-246.6011</v>
      </c>
      <c r="K4584">
        <v>1.1090580000000001</v>
      </c>
      <c r="L4584">
        <v>-62.255099999999999</v>
      </c>
      <c r="M4584">
        <v>0.99982579999999999</v>
      </c>
      <c r="N4584">
        <v>-5.8042340000000001E-3</v>
      </c>
      <c r="O4584">
        <v>1.774065E-2</v>
      </c>
      <c r="P4584">
        <v>0.98569580000000001</v>
      </c>
      <c r="Q4584">
        <v>7.4484699999999996E-3</v>
      </c>
      <c r="R4584">
        <v>0.16836999999999999</v>
      </c>
      <c r="S4584">
        <v>3.0032040000000002</v>
      </c>
      <c r="T4584">
        <v>-0.15789929999999999</v>
      </c>
      <c r="U4584">
        <v>0.2416992</v>
      </c>
      <c r="V4584">
        <v>-0.1508736</v>
      </c>
      <c r="W4584">
        <v>1.2988980000000001E-2</v>
      </c>
      <c r="X4584">
        <v>0.98846780000000001</v>
      </c>
      <c r="Y4584">
        <v>-6.2448730000000001E-2</v>
      </c>
      <c r="Z4584">
        <v>9.91935E-4</v>
      </c>
      <c r="AA4584">
        <v>0.99804769999999998</v>
      </c>
      <c r="AB4584">
        <v>35</v>
      </c>
      <c r="AC4584">
        <v>20.920400000000001</v>
      </c>
      <c r="AD4584">
        <v>-1.109059594424</v>
      </c>
      <c r="AE4584">
        <v>1.69441999999999</v>
      </c>
      <c r="AF4584">
        <v>-1.31932191853755</v>
      </c>
      <c r="AG4584">
        <v>-1.109059594424</v>
      </c>
      <c r="AH4584">
        <v>20.8888444707029</v>
      </c>
      <c r="AI4584">
        <v>93.033141289697198</v>
      </c>
      <c r="AJ4584">
        <v>93.613953090433</v>
      </c>
      <c r="AK4584">
        <v>20.959829360706401</v>
      </c>
      <c r="AL4584">
        <v>89.2557653929656</v>
      </c>
      <c r="AM4584">
        <v>98.678293443735299</v>
      </c>
      <c r="AN4584">
        <v>1.0000000742076101</v>
      </c>
    </row>
    <row r="4585" spans="1:40" x14ac:dyDescent="0.25">
      <c r="A4585" t="str">
        <f>"20190305135722508"</f>
        <v>20190305135722508</v>
      </c>
      <c r="B4585" t="str">
        <f>"1551765442496761"</f>
        <v>1551765442496761</v>
      </c>
      <c r="C4585" t="s">
        <v>40</v>
      </c>
      <c r="D4585">
        <v>4.4701769999999996</v>
      </c>
      <c r="E4585">
        <v>0.53196169999999998</v>
      </c>
      <c r="F4585" t="s">
        <v>92</v>
      </c>
      <c r="G4585">
        <v>-225.5881</v>
      </c>
      <c r="H4585" s="1">
        <v>-1.5503819999999999E-6</v>
      </c>
      <c r="I4585">
        <v>-60.541359999999997</v>
      </c>
      <c r="J4585">
        <v>-246.4271</v>
      </c>
      <c r="K4585">
        <v>1.1090439999999999</v>
      </c>
      <c r="L4585">
        <v>-62.251829999999998</v>
      </c>
      <c r="M4585">
        <v>0.99982110000000002</v>
      </c>
      <c r="N4585">
        <v>-5.8323409999999996E-3</v>
      </c>
      <c r="O4585">
        <v>1.7997429999999998E-2</v>
      </c>
      <c r="P4585">
        <v>0.98557649999999997</v>
      </c>
      <c r="Q4585">
        <v>7.4574239999999998E-3</v>
      </c>
      <c r="R4585">
        <v>0.1690671</v>
      </c>
      <c r="S4585">
        <v>3.0028990000000002</v>
      </c>
      <c r="T4585">
        <v>-0.15849170000000001</v>
      </c>
      <c r="U4585">
        <v>0.2449036</v>
      </c>
      <c r="V4585">
        <v>-0.15131839999999999</v>
      </c>
      <c r="W4585">
        <v>1.303142E-2</v>
      </c>
      <c r="X4585">
        <v>0.98839909999999997</v>
      </c>
      <c r="Y4585">
        <v>-6.3257010000000002E-2</v>
      </c>
      <c r="Z4585">
        <v>1.007635E-3</v>
      </c>
      <c r="AA4585">
        <v>0.99799669999999896</v>
      </c>
      <c r="AB4585">
        <v>35</v>
      </c>
      <c r="AC4585">
        <v>20.838999999999999</v>
      </c>
      <c r="AD4585">
        <v>-1.109045550382</v>
      </c>
      <c r="AE4585">
        <v>1.7104699999999999</v>
      </c>
      <c r="AF4585">
        <v>-1.33139244020991</v>
      </c>
      <c r="AG4585">
        <v>-1.109045550382</v>
      </c>
      <c r="AH4585">
        <v>20.807868731637299</v>
      </c>
      <c r="AI4585">
        <v>93.044725465180306</v>
      </c>
      <c r="AJ4585">
        <v>93.661082274942402</v>
      </c>
      <c r="AK4585">
        <v>20.879894372714599</v>
      </c>
      <c r="AL4585">
        <v>89.253333445628101</v>
      </c>
      <c r="AM4585">
        <v>98.704082944239403</v>
      </c>
      <c r="AN4585">
        <v>0.99999992848329</v>
      </c>
    </row>
    <row r="4586" spans="1:40" x14ac:dyDescent="0.25">
      <c r="A4586" t="str">
        <f>"20190305135722521"</f>
        <v>20190305135722521</v>
      </c>
      <c r="B4586" t="str">
        <f>"1551765442517257"</f>
        <v>1551765442517257</v>
      </c>
      <c r="C4586" t="s">
        <v>40</v>
      </c>
      <c r="D4586">
        <v>4.4434110000000002</v>
      </c>
      <c r="E4586">
        <v>0.53179829999999995</v>
      </c>
      <c r="F4586" t="s">
        <v>92</v>
      </c>
      <c r="G4586">
        <v>-225.49449999999999</v>
      </c>
      <c r="H4586" s="1">
        <v>-1.5067079999999999E-6</v>
      </c>
      <c r="I4586">
        <v>-60.525559999999999</v>
      </c>
      <c r="J4586">
        <v>-246.2533</v>
      </c>
      <c r="K4586">
        <v>1.10902099999999</v>
      </c>
      <c r="L4586">
        <v>-62.248469999999998</v>
      </c>
      <c r="M4586">
        <v>0.99981699999999996</v>
      </c>
      <c r="N4586">
        <v>-5.8629190000000003E-3</v>
      </c>
      <c r="O4586">
        <v>1.8215240000000001E-2</v>
      </c>
      <c r="P4586">
        <v>0.98544900000000002</v>
      </c>
      <c r="Q4586">
        <v>7.7434979999999997E-3</v>
      </c>
      <c r="R4586">
        <v>0.16979530000000001</v>
      </c>
      <c r="S4586">
        <v>3.0026250000000001</v>
      </c>
      <c r="T4586">
        <v>-0.1590838</v>
      </c>
      <c r="U4586">
        <v>0.2476196</v>
      </c>
      <c r="V4586">
        <v>-0.15183289999999999</v>
      </c>
      <c r="W4586">
        <v>1.3357539999999999E-2</v>
      </c>
      <c r="X4586">
        <v>0.98831590000000002</v>
      </c>
      <c r="Y4586">
        <v>-6.3942260000000001E-2</v>
      </c>
      <c r="Z4586">
        <v>1.0217679999999999E-3</v>
      </c>
      <c r="AA4586">
        <v>0.99795310000000004</v>
      </c>
      <c r="AB4586">
        <v>35</v>
      </c>
      <c r="AC4586">
        <v>20.758800000000001</v>
      </c>
      <c r="AD4586">
        <v>-1.10902250670799</v>
      </c>
      <c r="AE4586">
        <v>1.7229099999999899</v>
      </c>
      <c r="AF4586">
        <v>-1.34069080598945</v>
      </c>
      <c r="AG4586">
        <v>-1.10902250670799</v>
      </c>
      <c r="AH4586">
        <v>20.727983558474701</v>
      </c>
      <c r="AI4586">
        <v>93.056238308765103</v>
      </c>
      <c r="AJ4586">
        <v>93.700749377920204</v>
      </c>
      <c r="AK4586">
        <v>20.8008818360676</v>
      </c>
      <c r="AL4586">
        <v>89.234646561745606</v>
      </c>
      <c r="AM4586">
        <v>98.733946183475496</v>
      </c>
      <c r="AN4586">
        <v>0.99999998579503502</v>
      </c>
    </row>
    <row r="4587" spans="1:40" x14ac:dyDescent="0.25">
      <c r="A4587" t="str">
        <f>"20190305135722532"</f>
        <v>20190305135722532</v>
      </c>
      <c r="B4587" t="str">
        <f>"1551765442527017"</f>
        <v>1551765442527017</v>
      </c>
      <c r="C4587" t="s">
        <v>40</v>
      </c>
      <c r="D4587">
        <v>4.5129339999999996</v>
      </c>
      <c r="E4587">
        <v>0.53167969999999998</v>
      </c>
      <c r="F4587" t="s">
        <v>92</v>
      </c>
      <c r="G4587">
        <v>-225.36359999999999</v>
      </c>
      <c r="H4587" s="1">
        <v>-1.445247E-6</v>
      </c>
      <c r="I4587">
        <v>-60.501570000000001</v>
      </c>
      <c r="J4587">
        <v>-246.06299999999999</v>
      </c>
      <c r="K4587">
        <v>1.1089910000000001</v>
      </c>
      <c r="L4587">
        <v>-62.244840000000003</v>
      </c>
      <c r="M4587">
        <v>0.99981260000000005</v>
      </c>
      <c r="N4587">
        <v>-5.8967619999999998E-3</v>
      </c>
      <c r="O4587">
        <v>1.843991E-2</v>
      </c>
      <c r="P4587">
        <v>0.98533170000000003</v>
      </c>
      <c r="Q4587">
        <v>7.8779939999999993E-3</v>
      </c>
      <c r="R4587">
        <v>0.17046939999999999</v>
      </c>
      <c r="S4587">
        <v>3.0022890000000002</v>
      </c>
      <c r="T4587">
        <v>-0.15939039999999999</v>
      </c>
      <c r="U4587">
        <v>0.25106810000000002</v>
      </c>
      <c r="V4587">
        <v>-0.1522859</v>
      </c>
      <c r="W4587">
        <v>1.3536350000000001E-2</v>
      </c>
      <c r="X4587">
        <v>0.98824380000000001</v>
      </c>
      <c r="Y4587">
        <v>-6.4863989999999996E-2</v>
      </c>
      <c r="Z4587">
        <v>1.0414829999999999E-3</v>
      </c>
      <c r="AA4587">
        <v>0.99789360000000005</v>
      </c>
      <c r="AB4587">
        <v>35</v>
      </c>
      <c r="AC4587">
        <v>20.699400000000001</v>
      </c>
      <c r="AD4587">
        <v>-1.1089924452469999</v>
      </c>
      <c r="AE4587">
        <v>1.7432700000000001</v>
      </c>
      <c r="AF4587">
        <v>-1.3574030377873401</v>
      </c>
      <c r="AG4587">
        <v>-1.1089924452469999</v>
      </c>
      <c r="AH4587">
        <v>20.669115978639802</v>
      </c>
      <c r="AI4587">
        <v>93.064646178038203</v>
      </c>
      <c r="AJ4587">
        <v>93.757390631826198</v>
      </c>
      <c r="AK4587">
        <v>20.743306452662601</v>
      </c>
      <c r="AL4587">
        <v>89.224400601983504</v>
      </c>
      <c r="AM4587">
        <v>98.760229890186693</v>
      </c>
      <c r="AN4587">
        <v>1.0000000181742801</v>
      </c>
    </row>
    <row r="4588" spans="1:40" x14ac:dyDescent="0.25">
      <c r="A4588" t="str">
        <f>"20190305135722543"</f>
        <v>20190305135722543</v>
      </c>
      <c r="B4588" t="str">
        <f>"1551765442536778"</f>
        <v>1551765442536778</v>
      </c>
      <c r="C4588" t="s">
        <v>40</v>
      </c>
      <c r="D4588">
        <v>4.4995760000000002</v>
      </c>
      <c r="E4588">
        <v>0.53155719999999995</v>
      </c>
      <c r="F4588" t="s">
        <v>92</v>
      </c>
      <c r="G4588">
        <v>-225.22370000000001</v>
      </c>
      <c r="H4588" s="1">
        <v>-1.3809509999999999E-6</v>
      </c>
      <c r="I4588">
        <v>-60.482480000000002</v>
      </c>
      <c r="J4588">
        <v>-245.88159999999999</v>
      </c>
      <c r="K4588">
        <v>1.108957</v>
      </c>
      <c r="L4588">
        <v>-62.241329999999998</v>
      </c>
      <c r="M4588">
        <v>0.99980919999999895</v>
      </c>
      <c r="N4588">
        <v>-5.9300239999999999E-3</v>
      </c>
      <c r="O4588">
        <v>1.8613810000000001E-2</v>
      </c>
      <c r="P4588">
        <v>0.98523179999999999</v>
      </c>
      <c r="Q4588">
        <v>8.05114E-3</v>
      </c>
      <c r="R4588">
        <v>0.17103670000000001</v>
      </c>
      <c r="S4588">
        <v>3.0019990000000001</v>
      </c>
      <c r="T4588">
        <v>-0.15975510000000001</v>
      </c>
      <c r="U4588">
        <v>0.25387569999999998</v>
      </c>
      <c r="V4588">
        <v>-0.15268219999999999</v>
      </c>
      <c r="W4588">
        <v>1.3756620000000001E-2</v>
      </c>
      <c r="X4588">
        <v>0.98817960000000005</v>
      </c>
      <c r="Y4588">
        <v>-6.5623689999999998E-2</v>
      </c>
      <c r="Z4588">
        <v>1.0591439999999999E-3</v>
      </c>
      <c r="AA4588">
        <v>0.99784390000000001</v>
      </c>
      <c r="AB4588">
        <v>35</v>
      </c>
      <c r="AC4588">
        <v>20.657899999999898</v>
      </c>
      <c r="AD4588">
        <v>-1.108958380951</v>
      </c>
      <c r="AE4588">
        <v>1.75885</v>
      </c>
      <c r="AF4588">
        <v>-1.37009641639671</v>
      </c>
      <c r="AG4588">
        <v>-1.108958380951</v>
      </c>
      <c r="AH4588">
        <v>20.628043033644101</v>
      </c>
      <c r="AI4588">
        <v>93.070492088889594</v>
      </c>
      <c r="AJ4588">
        <v>93.799953845540401</v>
      </c>
      <c r="AK4588">
        <v>20.703215022763398</v>
      </c>
      <c r="AL4588">
        <v>89.211778879341296</v>
      </c>
      <c r="AM4588">
        <v>98.783233718550207</v>
      </c>
      <c r="AN4588">
        <v>1.0000000103234099</v>
      </c>
    </row>
    <row r="4589" spans="1:40" x14ac:dyDescent="0.25">
      <c r="A4589" t="str">
        <f>"20190305135722554"</f>
        <v>20190305135722554</v>
      </c>
      <c r="B4589" t="str">
        <f>"1551765442547513"</f>
        <v>1551765442547513</v>
      </c>
      <c r="C4589" t="s">
        <v>40</v>
      </c>
      <c r="D4589">
        <v>4.4973409999999996</v>
      </c>
      <c r="E4589">
        <v>0.53144469999999899</v>
      </c>
      <c r="F4589" t="s">
        <v>92</v>
      </c>
      <c r="G4589">
        <v>-225.0891</v>
      </c>
      <c r="H4589" s="1">
        <v>-1.3192779999999901E-6</v>
      </c>
      <c r="I4589">
        <v>-60.464829999999999</v>
      </c>
      <c r="J4589">
        <v>-245.70230000000001</v>
      </c>
      <c r="K4589">
        <v>1.108924</v>
      </c>
      <c r="L4589">
        <v>-62.237850000000002</v>
      </c>
      <c r="M4589">
        <v>0.99980619999999998</v>
      </c>
      <c r="N4589">
        <v>-5.963599E-3</v>
      </c>
      <c r="O4589">
        <v>1.876309E-2</v>
      </c>
      <c r="P4589">
        <v>0.98508410000000002</v>
      </c>
      <c r="Q4589">
        <v>8.1084050000000008E-3</v>
      </c>
      <c r="R4589">
        <v>0.17188239999999999</v>
      </c>
      <c r="S4589">
        <v>3.00177</v>
      </c>
      <c r="T4589">
        <v>-0.16009770000000001</v>
      </c>
      <c r="U4589">
        <v>0.25646970000000002</v>
      </c>
      <c r="V4589">
        <v>-0.15338160000000001</v>
      </c>
      <c r="W4589">
        <v>1.386104E-2</v>
      </c>
      <c r="X4589">
        <v>0.9880698</v>
      </c>
      <c r="Y4589">
        <v>-6.6335820000000004E-2</v>
      </c>
      <c r="Z4589">
        <v>1.0765449999999999E-3</v>
      </c>
      <c r="AA4589">
        <v>0.99779680000000004</v>
      </c>
      <c r="AB4589">
        <v>35</v>
      </c>
      <c r="AC4589">
        <v>20.613199999999999</v>
      </c>
      <c r="AD4589">
        <v>-1.108925319278</v>
      </c>
      <c r="AE4589">
        <v>1.77301999999999</v>
      </c>
      <c r="AF4589">
        <v>-1.3819634987574001</v>
      </c>
      <c r="AG4589">
        <v>-1.108925319278</v>
      </c>
      <c r="AH4589">
        <v>20.583705162640399</v>
      </c>
      <c r="AI4589">
        <v>93.076854836313402</v>
      </c>
      <c r="AJ4589">
        <v>93.841000647908501</v>
      </c>
      <c r="AK4589">
        <v>20.659827121690601</v>
      </c>
      <c r="AL4589">
        <v>89.205795464813505</v>
      </c>
      <c r="AM4589">
        <v>98.823800986330895</v>
      </c>
      <c r="AN4589">
        <v>0.99999998666024004</v>
      </c>
    </row>
    <row r="4590" spans="1:40" x14ac:dyDescent="0.25">
      <c r="A4590" t="str">
        <f>"20190305135722564"</f>
        <v>20190305135722564</v>
      </c>
      <c r="B4590" t="str">
        <f>"1551765442557273"</f>
        <v>1551765442557273</v>
      </c>
      <c r="C4590" t="s">
        <v>40</v>
      </c>
      <c r="D4590">
        <v>4.4769329999999998</v>
      </c>
      <c r="E4590">
        <v>0.5313177</v>
      </c>
      <c r="F4590" t="s">
        <v>92</v>
      </c>
      <c r="G4590">
        <v>-225.00550000000001</v>
      </c>
      <c r="H4590" s="1">
        <v>-1.2790360000000001E-6</v>
      </c>
      <c r="I4590">
        <v>-60.44511</v>
      </c>
      <c r="J4590">
        <v>-245.54140000000001</v>
      </c>
      <c r="K4590">
        <v>1.1088899999999999</v>
      </c>
      <c r="L4590">
        <v>-62.234769999999997</v>
      </c>
      <c r="M4590">
        <v>0.99980380000000002</v>
      </c>
      <c r="N4590">
        <v>-5.9944200000000003E-3</v>
      </c>
      <c r="O4590">
        <v>1.8874169999999999E-2</v>
      </c>
      <c r="P4590">
        <v>0.98497959999999996</v>
      </c>
      <c r="Q4590">
        <v>8.442003E-3</v>
      </c>
      <c r="R4590">
        <v>0.17246449999999999</v>
      </c>
      <c r="S4590">
        <v>3.0013890000000001</v>
      </c>
      <c r="T4590">
        <v>-0.16081300000000001</v>
      </c>
      <c r="U4590">
        <v>0.25997920000000002</v>
      </c>
      <c r="V4590">
        <v>-0.15385480000000001</v>
      </c>
      <c r="W4590">
        <v>1.423866E-2</v>
      </c>
      <c r="X4590">
        <v>0.98799090000000001</v>
      </c>
      <c r="Y4590">
        <v>-6.7391530000000005E-2</v>
      </c>
      <c r="Z4590">
        <v>1.1077470000000001E-3</v>
      </c>
      <c r="AA4590">
        <v>0.997726</v>
      </c>
      <c r="AB4590">
        <v>36</v>
      </c>
      <c r="AC4590">
        <v>20.535900000000002</v>
      </c>
      <c r="AD4590">
        <v>-1.1088912790359999</v>
      </c>
      <c r="AE4590">
        <v>1.78965999999999</v>
      </c>
      <c r="AF4590">
        <v>-1.3976915187579</v>
      </c>
      <c r="AG4590">
        <v>-1.1088912790359999</v>
      </c>
      <c r="AH4590">
        <v>20.506679016011098</v>
      </c>
      <c r="AI4590">
        <v>93.0880834794484</v>
      </c>
      <c r="AJ4590">
        <v>93.899127837939204</v>
      </c>
      <c r="AK4590">
        <v>20.584145979759299</v>
      </c>
      <c r="AL4590">
        <v>89.184157330664306</v>
      </c>
      <c r="AM4590">
        <v>98.851288703462004</v>
      </c>
      <c r="AN4590">
        <v>1.0000000287022199</v>
      </c>
    </row>
    <row r="4591" spans="1:40" x14ac:dyDescent="0.25">
      <c r="A4591" t="str">
        <f>"20190305135722584"</f>
        <v>20190305135722584</v>
      </c>
      <c r="B4591" t="str">
        <f>"1551765442576794"</f>
        <v>1551765442576794</v>
      </c>
      <c r="C4591" t="s">
        <v>40</v>
      </c>
      <c r="D4591">
        <v>4.5227040000000001</v>
      </c>
      <c r="E4591">
        <v>0.5310684</v>
      </c>
      <c r="F4591" t="s">
        <v>92</v>
      </c>
      <c r="G4591">
        <v>-224.8374</v>
      </c>
      <c r="H4591" s="1">
        <v>-1.201957E-6</v>
      </c>
      <c r="I4591">
        <v>-60.422710000000002</v>
      </c>
      <c r="J4591">
        <v>-245.23159999999999</v>
      </c>
      <c r="K4591">
        <v>1.108816</v>
      </c>
      <c r="L4591">
        <v>-62.228760000000001</v>
      </c>
      <c r="M4591">
        <v>0.99980069999999999</v>
      </c>
      <c r="N4591">
        <v>-6.0541359999999999E-3</v>
      </c>
      <c r="O4591">
        <v>1.9032859999999999E-2</v>
      </c>
      <c r="P4591">
        <v>0.98479459999999996</v>
      </c>
      <c r="Q4591">
        <v>8.7952129999999996E-3</v>
      </c>
      <c r="R4591">
        <v>0.17350119999999999</v>
      </c>
      <c r="S4591">
        <v>3.0011290000000002</v>
      </c>
      <c r="T4591">
        <v>-0.16073799999999999</v>
      </c>
      <c r="U4591">
        <v>0.26266479999999998</v>
      </c>
      <c r="V4591">
        <v>-0.1547357</v>
      </c>
      <c r="W4591">
        <v>1.4676349999999999E-2</v>
      </c>
      <c r="X4591">
        <v>0.98784689999999997</v>
      </c>
      <c r="Y4591">
        <v>-6.8125569999999996E-2</v>
      </c>
      <c r="Z4591">
        <v>1.124884E-3</v>
      </c>
      <c r="AA4591">
        <v>0.99767609999999995</v>
      </c>
      <c r="AB4591">
        <v>36</v>
      </c>
      <c r="AC4591">
        <v>20.394199999999898</v>
      </c>
      <c r="AD4591">
        <v>-1.108817201957</v>
      </c>
      <c r="AE4591">
        <v>1.8060499999999999</v>
      </c>
      <c r="AF4591">
        <v>-1.4134102866882301</v>
      </c>
      <c r="AG4591">
        <v>-1.108817201957</v>
      </c>
      <c r="AH4591">
        <v>20.3651493115118</v>
      </c>
      <c r="AI4591">
        <v>93.109030568088698</v>
      </c>
      <c r="AJ4591">
        <v>93.970154659574703</v>
      </c>
      <c r="AK4591">
        <v>20.444229276400701</v>
      </c>
      <c r="AL4591">
        <v>89.159076908617905</v>
      </c>
      <c r="AM4591">
        <v>98.902434524815106</v>
      </c>
      <c r="AN4591">
        <v>1.0000000149717101</v>
      </c>
    </row>
    <row r="4592" spans="1:40" x14ac:dyDescent="0.25">
      <c r="A4592" t="str">
        <f>"20190305135722596"</f>
        <v>20190305135722596</v>
      </c>
      <c r="B4592" t="str">
        <f>"1551765442587530"</f>
        <v>1551765442587530</v>
      </c>
      <c r="C4592" t="s">
        <v>40</v>
      </c>
      <c r="D4592">
        <v>4.5081300000000004</v>
      </c>
      <c r="E4592">
        <v>0.53095139999999996</v>
      </c>
      <c r="F4592" t="s">
        <v>92</v>
      </c>
      <c r="G4592">
        <v>-224.6474</v>
      </c>
      <c r="H4592" s="1">
        <v>-1.113622E-6</v>
      </c>
      <c r="I4592">
        <v>-60.391919999999899</v>
      </c>
      <c r="J4592">
        <v>-245.04910000000001</v>
      </c>
      <c r="K4592">
        <v>1.1087800000000001</v>
      </c>
      <c r="L4592">
        <v>-62.225219999999901</v>
      </c>
      <c r="M4592">
        <v>0.9997992</v>
      </c>
      <c r="N4592">
        <v>-6.0898669999999997E-3</v>
      </c>
      <c r="O4592">
        <v>1.9092270000000001E-2</v>
      </c>
      <c r="P4592">
        <v>0.98471010000000003</v>
      </c>
      <c r="Q4592">
        <v>8.6113070000000003E-3</v>
      </c>
      <c r="R4592">
        <v>0.17398810000000001</v>
      </c>
      <c r="S4592">
        <v>3.0005950000000001</v>
      </c>
      <c r="T4592">
        <v>-0.1616349</v>
      </c>
      <c r="U4592">
        <v>0.26776119999999998</v>
      </c>
      <c r="V4592">
        <v>-0.15516369999999999</v>
      </c>
      <c r="W4592">
        <v>1.4542370000000001E-2</v>
      </c>
      <c r="X4592">
        <v>0.98778180000000004</v>
      </c>
      <c r="Y4592">
        <v>-6.9759470000000004E-2</v>
      </c>
      <c r="Z4592">
        <v>1.1774019999999999E-3</v>
      </c>
      <c r="AA4592">
        <v>0.99756310000000004</v>
      </c>
      <c r="AB4592">
        <v>36</v>
      </c>
      <c r="AC4592">
        <v>20.401700000000002</v>
      </c>
      <c r="AD4592">
        <v>-1.1087811136219901</v>
      </c>
      <c r="AE4592">
        <v>1.8332999999999999</v>
      </c>
      <c r="AF4592">
        <v>-1.43922692429391</v>
      </c>
      <c r="AG4592">
        <v>-1.1087811136219901</v>
      </c>
      <c r="AH4592">
        <v>20.373290132234999</v>
      </c>
      <c r="AI4592">
        <v>93.107421875257799</v>
      </c>
      <c r="AJ4592">
        <v>94.040823294581301</v>
      </c>
      <c r="AK4592">
        <v>20.454137002322</v>
      </c>
      <c r="AL4592">
        <v>89.166754261716406</v>
      </c>
      <c r="AM4592">
        <v>98.927241543590497</v>
      </c>
      <c r="AN4592">
        <v>1.0000000693670701</v>
      </c>
    </row>
    <row r="4593" spans="1:40" x14ac:dyDescent="0.25">
      <c r="A4593" t="str">
        <f>"20190305135722607"</f>
        <v>20190305135722607</v>
      </c>
      <c r="B4593" t="str">
        <f>"1551765442597290"</f>
        <v>1551765442597290</v>
      </c>
      <c r="C4593" t="s">
        <v>40</v>
      </c>
      <c r="D4593">
        <v>4.480111</v>
      </c>
      <c r="E4593">
        <v>0.53084209999999998</v>
      </c>
      <c r="F4593" t="s">
        <v>92</v>
      </c>
      <c r="G4593">
        <v>-224.6679</v>
      </c>
      <c r="H4593" s="1">
        <v>-1.1221799999999999E-6</v>
      </c>
      <c r="I4593">
        <v>-60.390940000000001</v>
      </c>
      <c r="J4593">
        <v>-244.8664</v>
      </c>
      <c r="K4593">
        <v>1.108741</v>
      </c>
      <c r="L4593">
        <v>-62.221710000000002</v>
      </c>
      <c r="M4593">
        <v>0.99979830000000003</v>
      </c>
      <c r="N4593">
        <v>-6.1261010000000001E-3</v>
      </c>
      <c r="O4593">
        <v>1.913111E-2</v>
      </c>
      <c r="P4593">
        <v>0.98464079999999998</v>
      </c>
      <c r="Q4593">
        <v>8.6531509999999996E-3</v>
      </c>
      <c r="R4593">
        <v>0.17437859999999999</v>
      </c>
      <c r="S4593">
        <v>3.0002749999999998</v>
      </c>
      <c r="T4593">
        <v>-0.16322110000000001</v>
      </c>
      <c r="U4593">
        <v>0.27001950000000002</v>
      </c>
      <c r="V4593">
        <v>-0.15551579999999901</v>
      </c>
      <c r="W4593">
        <v>1.4634869999999999E-2</v>
      </c>
      <c r="X4593">
        <v>0.98772499999999996</v>
      </c>
      <c r="Y4593">
        <v>-7.0472149999999997E-2</v>
      </c>
      <c r="Z4593">
        <v>1.2073959999999999E-3</v>
      </c>
      <c r="AA4593">
        <v>0.99751299999999998</v>
      </c>
      <c r="AB4593">
        <v>36</v>
      </c>
      <c r="AC4593">
        <v>20.198499999999999</v>
      </c>
      <c r="AD4593">
        <v>-1.10874212218</v>
      </c>
      <c r="AE4593">
        <v>1.83076999999999</v>
      </c>
      <c r="AF4593">
        <v>-1.4397052623234301</v>
      </c>
      <c r="AG4593">
        <v>-1.10874212218</v>
      </c>
      <c r="AH4593">
        <v>20.169549564645799</v>
      </c>
      <c r="AI4593">
        <v>93.1384753872251</v>
      </c>
      <c r="AJ4593">
        <v>94.082855913500197</v>
      </c>
      <c r="AK4593">
        <v>20.2512416897473</v>
      </c>
      <c r="AL4593">
        <v>89.161453788243193</v>
      </c>
      <c r="AM4593">
        <v>98.947678212641094</v>
      </c>
      <c r="AN4593">
        <v>1.0000000095472701</v>
      </c>
    </row>
    <row r="4594" spans="1:40" x14ac:dyDescent="0.25">
      <c r="A4594" t="str">
        <f>"20190305135722617"</f>
        <v>20190305135722617</v>
      </c>
      <c r="B4594" t="str">
        <f>"1551765442607049"</f>
        <v>1551765442607049</v>
      </c>
      <c r="C4594" t="s">
        <v>40</v>
      </c>
      <c r="D4594">
        <v>4.5150839999999999</v>
      </c>
      <c r="E4594">
        <v>0.53084209999999998</v>
      </c>
      <c r="F4594" t="s">
        <v>92</v>
      </c>
      <c r="G4594">
        <v>-224.57329999999999</v>
      </c>
      <c r="H4594" s="1">
        <v>-1.0804719999999999E-6</v>
      </c>
      <c r="I4594">
        <v>-60.381399999999999</v>
      </c>
      <c r="J4594">
        <v>-244.69479999999999</v>
      </c>
      <c r="K4594">
        <v>1.1087100000000001</v>
      </c>
      <c r="L4594">
        <v>-62.218409999999999</v>
      </c>
      <c r="M4594">
        <v>0.99979810000000002</v>
      </c>
      <c r="N4594">
        <v>-6.1600860000000004E-3</v>
      </c>
      <c r="O4594">
        <v>1.9134089999999999E-2</v>
      </c>
      <c r="P4594">
        <v>0.98458849999999998</v>
      </c>
      <c r="Q4594">
        <v>8.5993259999999992E-3</v>
      </c>
      <c r="R4594">
        <v>0.17467650000000001</v>
      </c>
      <c r="S4594">
        <v>3.0000610000000001</v>
      </c>
      <c r="T4594">
        <v>-0.16391269999999999</v>
      </c>
      <c r="U4594">
        <v>0.27206419999999998</v>
      </c>
      <c r="V4594">
        <v>-0.15581010000000001</v>
      </c>
      <c r="W4594">
        <v>1.4628189999999999E-2</v>
      </c>
      <c r="X4594">
        <v>0.98767870000000002</v>
      </c>
      <c r="Y4594">
        <v>-7.1147929999999998E-2</v>
      </c>
      <c r="Z4594">
        <v>1.2333369999999999E-3</v>
      </c>
      <c r="AA4594">
        <v>0.99746500000000005</v>
      </c>
      <c r="AB4594">
        <v>36</v>
      </c>
      <c r="AC4594">
        <v>20.121500000000001</v>
      </c>
      <c r="AD4594">
        <v>-1.108711080472</v>
      </c>
      <c r="AE4594">
        <v>1.83700999999999</v>
      </c>
      <c r="AF4594">
        <v>-1.4473020091189499</v>
      </c>
      <c r="AG4594">
        <v>-1.108711080472</v>
      </c>
      <c r="AH4594">
        <v>20.092467834835901</v>
      </c>
      <c r="AI4594">
        <v>93.150257219281499</v>
      </c>
      <c r="AJ4594">
        <v>94.120017584386702</v>
      </c>
      <c r="AK4594">
        <v>20.175013929598101</v>
      </c>
      <c r="AL4594">
        <v>89.161836550999794</v>
      </c>
      <c r="AM4594">
        <v>98.964749584039296</v>
      </c>
      <c r="AN4594">
        <v>0.99999999281918805</v>
      </c>
    </row>
    <row r="4595" spans="1:40" x14ac:dyDescent="0.25">
      <c r="A4595" t="str">
        <f>"20190305135722628"</f>
        <v>20190305135722628</v>
      </c>
      <c r="B4595" t="str">
        <f>"1551765442616809"</f>
        <v>1551765442616809</v>
      </c>
      <c r="C4595" t="s">
        <v>40</v>
      </c>
      <c r="D4595">
        <v>4.5566309999999897</v>
      </c>
      <c r="E4595">
        <v>0.5307828</v>
      </c>
      <c r="F4595" t="s">
        <v>92</v>
      </c>
      <c r="G4595">
        <v>-224.4229</v>
      </c>
      <c r="H4595" s="1">
        <v>-1.0175499999999999E-6</v>
      </c>
      <c r="I4595">
        <v>-60.374200000000002</v>
      </c>
      <c r="J4595">
        <v>-244.51920000000001</v>
      </c>
      <c r="K4595">
        <v>1.108671</v>
      </c>
      <c r="L4595">
        <v>-62.215029999999999</v>
      </c>
      <c r="M4595">
        <v>0.99979799999999996</v>
      </c>
      <c r="N4595">
        <v>-6.1948749999999999E-3</v>
      </c>
      <c r="O4595">
        <v>1.912734E-2</v>
      </c>
      <c r="P4595">
        <v>0.98454589999999997</v>
      </c>
      <c r="Q4595">
        <v>8.4797220000000003E-3</v>
      </c>
      <c r="R4595">
        <v>0.17492179999999999</v>
      </c>
      <c r="S4595">
        <v>2.9999690000000001</v>
      </c>
      <c r="T4595">
        <v>-0.1640741</v>
      </c>
      <c r="U4595">
        <v>0.27291870000000001</v>
      </c>
      <c r="V4595">
        <v>-0.15606129999999999</v>
      </c>
      <c r="W4595">
        <v>1.4556670000000001E-2</v>
      </c>
      <c r="X4595">
        <v>0.98764010000000002</v>
      </c>
      <c r="Y4595">
        <v>-7.1438429999999997E-2</v>
      </c>
      <c r="Z4595">
        <v>1.2452920000000001E-3</v>
      </c>
      <c r="AA4595">
        <v>0.9974442</v>
      </c>
      <c r="AB4595">
        <v>36</v>
      </c>
      <c r="AC4595">
        <v>20.096299999999999</v>
      </c>
      <c r="AD4595">
        <v>-1.10867201755</v>
      </c>
      <c r="AE4595">
        <v>1.84083</v>
      </c>
      <c r="AF4595">
        <v>-1.4517155922157801</v>
      </c>
      <c r="AG4595">
        <v>-1.10867201755</v>
      </c>
      <c r="AH4595">
        <v>20.067267580201701</v>
      </c>
      <c r="AI4595">
        <v>93.154024224109605</v>
      </c>
      <c r="AJ4595">
        <v>94.137709799317804</v>
      </c>
      <c r="AK4595">
        <v>20.150232255202301</v>
      </c>
      <c r="AL4595">
        <v>89.165934784664003</v>
      </c>
      <c r="AM4595">
        <v>98.979312640733596</v>
      </c>
      <c r="AN4595">
        <v>0.99999999656359395</v>
      </c>
    </row>
    <row r="4596" spans="1:40" x14ac:dyDescent="0.25">
      <c r="A4596" t="str">
        <f>"20190305135722640"</f>
        <v>20190305135722640</v>
      </c>
      <c r="B4596" t="str">
        <f>"1551765442627547"</f>
        <v>1551765442627547</v>
      </c>
      <c r="C4596" t="s">
        <v>40</v>
      </c>
      <c r="D4596">
        <v>4.5201399999999996</v>
      </c>
      <c r="E4596">
        <v>0.53068919999999997</v>
      </c>
      <c r="F4596" t="s">
        <v>92</v>
      </c>
      <c r="G4596">
        <v>-224.23150000000001</v>
      </c>
      <c r="H4596" s="1">
        <v>-9.383153E-7</v>
      </c>
      <c r="I4596">
        <v>-60.361220000000003</v>
      </c>
      <c r="J4596">
        <v>-244.34010000000001</v>
      </c>
      <c r="K4596">
        <v>1.108633</v>
      </c>
      <c r="L4596">
        <v>-62.211669999999998</v>
      </c>
      <c r="M4596">
        <v>0.99979870000000004</v>
      </c>
      <c r="N4596">
        <v>-6.2310319999999897E-3</v>
      </c>
      <c r="O4596">
        <v>1.9078540000000001E-2</v>
      </c>
      <c r="P4596">
        <v>0.98456619999999995</v>
      </c>
      <c r="Q4596">
        <v>8.5658230000000002E-3</v>
      </c>
      <c r="R4596">
        <v>0.17480379999999901</v>
      </c>
      <c r="S4596">
        <v>2.9998019999999999</v>
      </c>
      <c r="T4596">
        <v>-0.16393160000000001</v>
      </c>
      <c r="U4596">
        <v>0.27410889999999999</v>
      </c>
      <c r="V4596">
        <v>-0.15598989999999999</v>
      </c>
      <c r="W4596">
        <v>1.4693990000000001E-2</v>
      </c>
      <c r="X4596">
        <v>0.98764940000000001</v>
      </c>
      <c r="Y4596">
        <v>-7.1883859999999994E-2</v>
      </c>
      <c r="Z4596">
        <v>1.2624120000000001E-3</v>
      </c>
      <c r="AA4596">
        <v>0.99741219999999997</v>
      </c>
      <c r="AB4596">
        <v>36</v>
      </c>
      <c r="AC4596">
        <v>20.108599999999999</v>
      </c>
      <c r="AD4596">
        <v>-1.1086339383153001</v>
      </c>
      <c r="AE4596">
        <v>1.8504499999999999</v>
      </c>
      <c r="AF4596">
        <v>-1.46205634408899</v>
      </c>
      <c r="AG4596">
        <v>-1.1086339383153001</v>
      </c>
      <c r="AH4596">
        <v>20.079723128692599</v>
      </c>
      <c r="AI4596">
        <v>93.151856906913807</v>
      </c>
      <c r="AJ4596">
        <v>94.164504002653501</v>
      </c>
      <c r="AK4596">
        <v>20.163381633233801</v>
      </c>
      <c r="AL4596">
        <v>89.158066131394506</v>
      </c>
      <c r="AM4596">
        <v>98.975188246000201</v>
      </c>
      <c r="AN4596">
        <v>1.0000000497822401</v>
      </c>
    </row>
    <row r="4597" spans="1:40" x14ac:dyDescent="0.25">
      <c r="A4597" t="str">
        <f>"20190305135722654"</f>
        <v>20190305135722654</v>
      </c>
      <c r="B4597" t="str">
        <f>"1551765442647064"</f>
        <v>1551765442647064</v>
      </c>
      <c r="C4597" t="s">
        <v>40</v>
      </c>
      <c r="D4597">
        <v>4.537477</v>
      </c>
      <c r="E4597">
        <v>0.53057889999999996</v>
      </c>
      <c r="F4597" t="s">
        <v>92</v>
      </c>
      <c r="G4597">
        <v>-223.99299999999999</v>
      </c>
      <c r="H4597" s="1">
        <v>-8.3849219999999902E-7</v>
      </c>
      <c r="I4597">
        <v>-60.349890000000002</v>
      </c>
      <c r="J4597">
        <v>-244.10589999999999</v>
      </c>
      <c r="K4597">
        <v>1.108582</v>
      </c>
      <c r="L4597">
        <v>-62.207210000000003</v>
      </c>
      <c r="M4597">
        <v>0.99979989999999996</v>
      </c>
      <c r="N4597">
        <v>-6.2782760000000002E-3</v>
      </c>
      <c r="O4597">
        <v>1.899319E-2</v>
      </c>
      <c r="P4597">
        <v>0.98453610000000003</v>
      </c>
      <c r="Q4597">
        <v>8.5407050000000009E-3</v>
      </c>
      <c r="R4597">
        <v>0.1749742</v>
      </c>
      <c r="S4597">
        <v>2.999695</v>
      </c>
      <c r="T4597">
        <v>-0.163441899999999</v>
      </c>
      <c r="U4597">
        <v>0.27447510000000003</v>
      </c>
      <c r="V4597">
        <v>-0.15624360000000001</v>
      </c>
      <c r="W4597">
        <v>1.473404E-2</v>
      </c>
      <c r="X4597">
        <v>0.98760870000000001</v>
      </c>
      <c r="Y4597">
        <v>-7.2092890000000007E-2</v>
      </c>
      <c r="Z4597">
        <v>1.2727369999999999E-3</v>
      </c>
      <c r="AA4597">
        <v>0.99739710000000004</v>
      </c>
      <c r="AB4597">
        <v>36</v>
      </c>
      <c r="AC4597">
        <v>20.1129</v>
      </c>
      <c r="AD4597">
        <v>-1.1085828384922001</v>
      </c>
      <c r="AE4597">
        <v>1.8573199999999901</v>
      </c>
      <c r="AF4597">
        <v>-1.4705395742681699</v>
      </c>
      <c r="AG4597">
        <v>-1.1085828384922001</v>
      </c>
      <c r="AH4597">
        <v>20.084049568498401</v>
      </c>
      <c r="AI4597">
        <v>93.150941472451194</v>
      </c>
      <c r="AJ4597">
        <v>94.187682702548301</v>
      </c>
      <c r="AK4597">
        <v>20.1683040838636</v>
      </c>
      <c r="AL4597">
        <v>89.155771186769002</v>
      </c>
      <c r="AM4597">
        <v>98.989911602849304</v>
      </c>
      <c r="AN4597">
        <v>1.00000004939568</v>
      </c>
    </row>
    <row r="4598" spans="1:40" x14ac:dyDescent="0.25">
      <c r="A4598" t="str">
        <f>"20190305135722666"</f>
        <v>20190305135722666</v>
      </c>
      <c r="B4598" t="str">
        <f>"1551765442656825"</f>
        <v>1551765442656825</v>
      </c>
      <c r="C4598" t="s">
        <v>40</v>
      </c>
      <c r="D4598">
        <v>4.5358289999999997</v>
      </c>
      <c r="E4598">
        <v>0.53053249999999996</v>
      </c>
      <c r="F4598" t="s">
        <v>92</v>
      </c>
      <c r="G4598">
        <v>-223.71709999999999</v>
      </c>
      <c r="H4598" s="1">
        <v>-7.2406940000000004E-7</v>
      </c>
      <c r="I4598">
        <v>-60.332180000000001</v>
      </c>
      <c r="J4598">
        <v>-243.90280000000001</v>
      </c>
      <c r="K4598">
        <v>1.1085389999999999</v>
      </c>
      <c r="L4598">
        <v>-62.203429999999997</v>
      </c>
      <c r="M4598">
        <v>0.99980170000000002</v>
      </c>
      <c r="N4598">
        <v>-6.3191139999999998E-3</v>
      </c>
      <c r="O4598">
        <v>1.8888530000000001E-2</v>
      </c>
      <c r="P4598">
        <v>0.98452379999999995</v>
      </c>
      <c r="Q4598">
        <v>8.4097570000000003E-3</v>
      </c>
      <c r="R4598">
        <v>0.1750496</v>
      </c>
      <c r="S4598">
        <v>2.9995120000000002</v>
      </c>
      <c r="T4598">
        <v>-0.1630905</v>
      </c>
      <c r="U4598">
        <v>0.27584839999999999</v>
      </c>
      <c r="V4598">
        <v>-0.1564208</v>
      </c>
      <c r="W4598">
        <v>1.4660609999999999E-2</v>
      </c>
      <c r="X4598">
        <v>0.98758170000000001</v>
      </c>
      <c r="Y4598">
        <v>-7.2654869999999996E-2</v>
      </c>
      <c r="Z4598">
        <v>1.2950640000000001E-3</v>
      </c>
      <c r="AA4598">
        <v>0.99735629999999997</v>
      </c>
      <c r="AB4598">
        <v>36</v>
      </c>
      <c r="AC4598">
        <v>20.185700000000001</v>
      </c>
      <c r="AD4598">
        <v>-1.1085397240693999</v>
      </c>
      <c r="AE4598">
        <v>1.8712499999999901</v>
      </c>
      <c r="AF4598">
        <v>-1.4851893659243101</v>
      </c>
      <c r="AG4598">
        <v>-1.1085397240693999</v>
      </c>
      <c r="AH4598">
        <v>20.157170752576501</v>
      </c>
      <c r="AI4598">
        <v>93.139306761743796</v>
      </c>
      <c r="AJ4598">
        <v>94.213964094264796</v>
      </c>
      <c r="AK4598">
        <v>20.242188135698701</v>
      </c>
      <c r="AL4598">
        <v>89.159978834654098</v>
      </c>
      <c r="AM4598">
        <v>99.000182533232703</v>
      </c>
      <c r="AN4598">
        <v>1.00000000716655</v>
      </c>
    </row>
    <row r="4599" spans="1:40" x14ac:dyDescent="0.25">
      <c r="A4599" t="str">
        <f>"20190305135722679"</f>
        <v>20190305135722679</v>
      </c>
      <c r="B4599" t="str">
        <f>"1551765442666586"</f>
        <v>1551765442666586</v>
      </c>
      <c r="C4599" t="s">
        <v>40</v>
      </c>
      <c r="D4599">
        <v>4.486084</v>
      </c>
      <c r="E4599">
        <v>0.53048219999999902</v>
      </c>
      <c r="F4599" t="s">
        <v>92</v>
      </c>
      <c r="G4599">
        <v>-223.5266</v>
      </c>
      <c r="H4599" s="1">
        <v>-6.4376819999999898E-7</v>
      </c>
      <c r="I4599">
        <v>-60.32573</v>
      </c>
      <c r="J4599">
        <v>-243.70869999999999</v>
      </c>
      <c r="K4599">
        <v>1.1085</v>
      </c>
      <c r="L4599">
        <v>-62.199860000000001</v>
      </c>
      <c r="M4599">
        <v>0.99980380000000002</v>
      </c>
      <c r="N4599">
        <v>-6.3570049999999998E-3</v>
      </c>
      <c r="O4599">
        <v>1.8760829999999999E-2</v>
      </c>
      <c r="P4599">
        <v>0.98456440000000001</v>
      </c>
      <c r="Q4599">
        <v>8.0379010000000001E-3</v>
      </c>
      <c r="R4599">
        <v>0.17483879999999999</v>
      </c>
      <c r="S4599">
        <v>2.99939</v>
      </c>
      <c r="T4599">
        <v>-0.16317760000000001</v>
      </c>
      <c r="U4599">
        <v>0.27639770000000002</v>
      </c>
      <c r="V4599">
        <v>-0.15633449999999999</v>
      </c>
      <c r="W4599">
        <v>1.4341639999999999E-2</v>
      </c>
      <c r="X4599">
        <v>0.98760000000000003</v>
      </c>
      <c r="Y4599">
        <v>-7.2966230000000007E-2</v>
      </c>
      <c r="Z4599">
        <v>1.313247E-3</v>
      </c>
      <c r="AA4599">
        <v>0.99733349999999998</v>
      </c>
      <c r="AB4599">
        <v>36</v>
      </c>
      <c r="AC4599">
        <v>20.182099999999899</v>
      </c>
      <c r="AD4599">
        <v>-1.1085006437681999</v>
      </c>
      <c r="AE4599">
        <v>1.8741299999999901</v>
      </c>
      <c r="AF4599">
        <v>-1.49070092244762</v>
      </c>
      <c r="AG4599">
        <v>-1.1085006437681999</v>
      </c>
      <c r="AH4599">
        <v>20.1534306979303</v>
      </c>
      <c r="AI4599">
        <v>93.139711648378594</v>
      </c>
      <c r="AJ4599">
        <v>94.230327589166194</v>
      </c>
      <c r="AK4599">
        <v>20.2388668609115</v>
      </c>
      <c r="AL4599">
        <v>89.178256351852994</v>
      </c>
      <c r="AM4599">
        <v>98.995134240228694</v>
      </c>
      <c r="AN4599">
        <v>0.99999995926406904</v>
      </c>
    </row>
    <row r="4600" spans="1:40" x14ac:dyDescent="0.25">
      <c r="A4600" t="str">
        <f>"20190305135722695"</f>
        <v>20190305135722695</v>
      </c>
      <c r="B4600" t="str">
        <f>"1551765442687080"</f>
        <v>1551765442687080</v>
      </c>
      <c r="C4600" t="s">
        <v>40</v>
      </c>
      <c r="D4600">
        <v>4.4743050000000002</v>
      </c>
      <c r="E4600">
        <v>0.53034969999999904</v>
      </c>
      <c r="F4600" t="s">
        <v>92</v>
      </c>
      <c r="G4600">
        <v>-223.43680000000001</v>
      </c>
      <c r="H4600" s="1">
        <v>-6.0333249999999995E-7</v>
      </c>
      <c r="I4600">
        <v>-60.334229999999998</v>
      </c>
      <c r="J4600">
        <v>-243.43940000000001</v>
      </c>
      <c r="K4600">
        <v>1.1084459999999901</v>
      </c>
      <c r="L4600">
        <v>-62.194920000000003</v>
      </c>
      <c r="M4600">
        <v>0.99980720000000001</v>
      </c>
      <c r="N4600">
        <v>-6.4079769999999996E-3</v>
      </c>
      <c r="O4600">
        <v>1.8559010000000001E-2</v>
      </c>
      <c r="P4600">
        <v>0.98456250000000001</v>
      </c>
      <c r="Q4600">
        <v>7.7413250000000003E-3</v>
      </c>
      <c r="R4600">
        <v>0.17486289999999999</v>
      </c>
      <c r="S4600">
        <v>2.9993590000000001</v>
      </c>
      <c r="T4600">
        <v>-0.16400979999999901</v>
      </c>
      <c r="U4600">
        <v>0.27603149999999999</v>
      </c>
      <c r="V4600">
        <v>-0.15655579999999999</v>
      </c>
      <c r="W4600">
        <v>1.4116119999999999E-2</v>
      </c>
      <c r="X4600">
        <v>0.98756829999999995</v>
      </c>
      <c r="Y4600">
        <v>-7.304629E-2</v>
      </c>
      <c r="Z4600">
        <v>1.3331269999999999E-3</v>
      </c>
      <c r="AA4600">
        <v>0.99732770000000004</v>
      </c>
      <c r="AB4600">
        <v>36</v>
      </c>
      <c r="AC4600">
        <v>20.002600000000001</v>
      </c>
      <c r="AD4600">
        <v>-1.10844660333249</v>
      </c>
      <c r="AE4600">
        <v>1.86068999999999</v>
      </c>
      <c r="AF4600">
        <v>-1.48461353329071</v>
      </c>
      <c r="AG4600">
        <v>-1.10844660333249</v>
      </c>
      <c r="AH4600">
        <v>19.972880749834001</v>
      </c>
      <c r="AI4600">
        <v>93.167797358011597</v>
      </c>
      <c r="AJ4600">
        <v>94.251061591111196</v>
      </c>
      <c r="AK4600">
        <v>20.058631475321501</v>
      </c>
      <c r="AL4600">
        <v>89.191179090573996</v>
      </c>
      <c r="AM4600">
        <v>99.007943109625998</v>
      </c>
      <c r="AN4600">
        <v>1.00000006526119</v>
      </c>
    </row>
    <row r="4601" spans="1:40" x14ac:dyDescent="0.25">
      <c r="A4601" t="str">
        <f>"20190305135722705"</f>
        <v>20190305135722705</v>
      </c>
      <c r="B4601" t="str">
        <f>"1551765442696841"</f>
        <v>1551765442696841</v>
      </c>
      <c r="C4601" t="s">
        <v>40</v>
      </c>
      <c r="D4601">
        <v>4.4951930000000004</v>
      </c>
      <c r="E4601">
        <v>0.53029789999999999</v>
      </c>
      <c r="F4601" t="s">
        <v>92</v>
      </c>
      <c r="G4601">
        <v>-223.5154</v>
      </c>
      <c r="H4601" s="1">
        <v>-6.3254750000000002E-7</v>
      </c>
      <c r="I4601">
        <v>-60.354689999999998</v>
      </c>
      <c r="J4601">
        <v>-243.26660000000001</v>
      </c>
      <c r="K4601">
        <v>1.1084149999999999</v>
      </c>
      <c r="L4601">
        <v>-62.191830000000003</v>
      </c>
      <c r="M4601">
        <v>0.99980990000000003</v>
      </c>
      <c r="N4601">
        <v>-6.4394279999999996E-3</v>
      </c>
      <c r="O4601">
        <v>1.8413499999999999E-2</v>
      </c>
      <c r="P4601">
        <v>0.98456060000000001</v>
      </c>
      <c r="Q4601">
        <v>7.8063940000000004E-3</v>
      </c>
      <c r="R4601">
        <v>0.17487039999999901</v>
      </c>
      <c r="S4601">
        <v>2.999161</v>
      </c>
      <c r="T4601">
        <v>-0.16685440000000001</v>
      </c>
      <c r="U4601">
        <v>0.27700809999999998</v>
      </c>
      <c r="V4601">
        <v>-0.15670580000000001</v>
      </c>
      <c r="W4601">
        <v>1.422435E-2</v>
      </c>
      <c r="X4601">
        <v>0.9875429</v>
      </c>
      <c r="Y4601">
        <v>-7.3515209999999998E-2</v>
      </c>
      <c r="Z4601">
        <v>1.373539E-3</v>
      </c>
      <c r="AA4601">
        <v>0.99729319999999999</v>
      </c>
      <c r="AB4601">
        <v>36</v>
      </c>
      <c r="AC4601">
        <v>19.751200000000001</v>
      </c>
      <c r="AD4601">
        <v>-1.1084156325475001</v>
      </c>
      <c r="AE4601">
        <v>1.83713999999999</v>
      </c>
      <c r="AF4601">
        <v>-1.4685470459937799</v>
      </c>
      <c r="AG4601">
        <v>-1.1084156325475001</v>
      </c>
      <c r="AH4601">
        <v>19.720107614874198</v>
      </c>
      <c r="AI4601">
        <v>93.208195863237606</v>
      </c>
      <c r="AJ4601">
        <v>94.258928164019494</v>
      </c>
      <c r="AK4601">
        <v>19.805753204132198</v>
      </c>
      <c r="AL4601">
        <v>89.184977300729201</v>
      </c>
      <c r="AM4601">
        <v>99.016660221384996</v>
      </c>
      <c r="AN4601">
        <v>1.00000000961348</v>
      </c>
    </row>
    <row r="4602" spans="1:40" x14ac:dyDescent="0.25">
      <c r="A4602" t="str">
        <f>"20190305135722717"</f>
        <v>20190305135722717</v>
      </c>
      <c r="B4602" t="str">
        <f>"1551765442707578"</f>
        <v>1551765442707578</v>
      </c>
      <c r="C4602" t="s">
        <v>40</v>
      </c>
      <c r="D4602">
        <v>4.4933519999999998</v>
      </c>
      <c r="E4602">
        <v>0.53023969999999998</v>
      </c>
      <c r="F4602" t="s">
        <v>92</v>
      </c>
      <c r="G4602">
        <v>-223.40899999999999</v>
      </c>
      <c r="H4602" s="1">
        <v>-5.8662230000000003E-7</v>
      </c>
      <c r="I4602">
        <v>-60.355910000000002</v>
      </c>
      <c r="J4602">
        <v>-243.09049999999999</v>
      </c>
      <c r="K4602">
        <v>1.1083879999999999</v>
      </c>
      <c r="L4602">
        <v>-62.188690000000001</v>
      </c>
      <c r="M4602">
        <v>0.99981249999999999</v>
      </c>
      <c r="N4602">
        <v>-6.4699819999999896E-3</v>
      </c>
      <c r="O4602">
        <v>1.825191E-2</v>
      </c>
      <c r="P4602">
        <v>0.98454299999999995</v>
      </c>
      <c r="Q4602">
        <v>7.9496480000000001E-3</v>
      </c>
      <c r="R4602">
        <v>0.1749636</v>
      </c>
      <c r="S4602">
        <v>2.9991300000000001</v>
      </c>
      <c r="T4602">
        <v>-0.16740569999999999</v>
      </c>
      <c r="U4602">
        <v>0.27728269999999999</v>
      </c>
      <c r="V4602">
        <v>-0.15695780000000001</v>
      </c>
      <c r="W4602">
        <v>1.4408870000000001E-2</v>
      </c>
      <c r="X4602">
        <v>0.98750020000000005</v>
      </c>
      <c r="Y4602">
        <v>-7.3766529999999997E-2</v>
      </c>
      <c r="Z4602">
        <v>1.3943460000000001E-3</v>
      </c>
      <c r="AA4602">
        <v>0.99727460000000001</v>
      </c>
      <c r="AB4602">
        <v>36</v>
      </c>
      <c r="AC4602">
        <v>19.6814999999999</v>
      </c>
      <c r="AD4602">
        <v>-1.1083885866223</v>
      </c>
      <c r="AE4602">
        <v>1.8327800000000001</v>
      </c>
      <c r="AF4602">
        <v>-1.46862447125475</v>
      </c>
      <c r="AG4602">
        <v>-1.1083885866223</v>
      </c>
      <c r="AH4602">
        <v>19.6498894761142</v>
      </c>
      <c r="AI4602">
        <v>93.219493388780606</v>
      </c>
      <c r="AJ4602">
        <v>94.274315490857205</v>
      </c>
      <c r="AK4602">
        <v>19.735844028569598</v>
      </c>
      <c r="AL4602">
        <v>89.1744039967611</v>
      </c>
      <c r="AM4602">
        <v>99.031305282725995</v>
      </c>
      <c r="AN4602">
        <v>1.00000000575777</v>
      </c>
    </row>
    <row r="4603" spans="1:40" x14ac:dyDescent="0.25">
      <c r="A4603" t="str">
        <f>"20190305135722727"</f>
        <v>20190305135722727</v>
      </c>
      <c r="B4603" t="str">
        <f>"1551765442717337"</f>
        <v>1551765442717337</v>
      </c>
      <c r="C4603" t="s">
        <v>40</v>
      </c>
      <c r="D4603">
        <v>4.4685030000000001</v>
      </c>
      <c r="E4603">
        <v>0.53017380000000003</v>
      </c>
      <c r="F4603" t="s">
        <v>92</v>
      </c>
      <c r="G4603">
        <v>-223.2724</v>
      </c>
      <c r="H4603" s="1">
        <v>-5.2882819999999898E-7</v>
      </c>
      <c r="I4603">
        <v>-60.352359999999997</v>
      </c>
      <c r="J4603">
        <v>-242.91630000000001</v>
      </c>
      <c r="K4603">
        <v>1.108365</v>
      </c>
      <c r="L4603">
        <v>-62.185609999999997</v>
      </c>
      <c r="M4603">
        <v>0.99981529999999996</v>
      </c>
      <c r="N4603">
        <v>-6.4995570000000004E-3</v>
      </c>
      <c r="O4603">
        <v>1.8086049999999999E-2</v>
      </c>
      <c r="P4603">
        <v>0.98456759999999999</v>
      </c>
      <c r="Q4603">
        <v>8.1316180000000002E-3</v>
      </c>
      <c r="R4603">
        <v>0.17481650000000001</v>
      </c>
      <c r="S4603">
        <v>2.999069</v>
      </c>
      <c r="T4603">
        <v>-0.167732399999999</v>
      </c>
      <c r="U4603">
        <v>0.277893099999999</v>
      </c>
      <c r="V4603">
        <v>-0.15697329999999901</v>
      </c>
      <c r="W4603">
        <v>1.4630570000000001E-2</v>
      </c>
      <c r="X4603">
        <v>0.98749450000000005</v>
      </c>
      <c r="Y4603">
        <v>-7.4133749999999998E-2</v>
      </c>
      <c r="Z4603">
        <v>1.4176179999999901E-3</v>
      </c>
      <c r="AA4603">
        <v>0.99724729999999995</v>
      </c>
      <c r="AB4603">
        <v>36</v>
      </c>
      <c r="AC4603">
        <v>19.643899999999999</v>
      </c>
      <c r="AD4603">
        <v>-1.1083655288281999</v>
      </c>
      <c r="AE4603">
        <v>1.83325</v>
      </c>
      <c r="AF4603">
        <v>-1.47301315482698</v>
      </c>
      <c r="AG4603">
        <v>-1.1083655288281999</v>
      </c>
      <c r="AH4603">
        <v>19.611947362991199</v>
      </c>
      <c r="AI4603">
        <v>93.225553513838804</v>
      </c>
      <c r="AJ4603">
        <v>94.295303741540096</v>
      </c>
      <c r="AK4603">
        <v>19.698393875352501</v>
      </c>
      <c r="AL4603">
        <v>89.161700202790598</v>
      </c>
      <c r="AM4603">
        <v>99.032233722354903</v>
      </c>
      <c r="AN4603">
        <v>1.00000002901083</v>
      </c>
    </row>
    <row r="4604" spans="1:40" x14ac:dyDescent="0.25">
      <c r="A4604" t="str">
        <f>"20190305135722751"</f>
        <v>20190305135722751</v>
      </c>
      <c r="B4604" t="str">
        <f>"1551765442747593"</f>
        <v>1551765442747593</v>
      </c>
      <c r="C4604" t="s">
        <v>40</v>
      </c>
      <c r="D4604">
        <v>4.4794150000000004</v>
      </c>
      <c r="E4604">
        <v>0.53000709999999995</v>
      </c>
      <c r="F4604" t="s">
        <v>92</v>
      </c>
      <c r="G4604">
        <v>-223.1165</v>
      </c>
      <c r="H4604" s="1">
        <v>-4.6202489999999999E-7</v>
      </c>
      <c r="I4604">
        <v>-60.351970000000001</v>
      </c>
      <c r="J4604">
        <v>-242.54730000000001</v>
      </c>
      <c r="K4604">
        <v>1.1083149999999999</v>
      </c>
      <c r="L4604">
        <v>-62.179259999999999</v>
      </c>
      <c r="M4604">
        <v>0.99982179999999998</v>
      </c>
      <c r="N4604">
        <v>-6.5578829999999996E-3</v>
      </c>
      <c r="O4604">
        <v>1.7707359999999998E-2</v>
      </c>
      <c r="P4604">
        <v>0.98466580000000004</v>
      </c>
      <c r="Q4604">
        <v>8.7101069999999999E-3</v>
      </c>
      <c r="R4604">
        <v>0.174234</v>
      </c>
      <c r="S4604">
        <v>2.999069</v>
      </c>
      <c r="T4604">
        <v>-0.16788420000000001</v>
      </c>
      <c r="U4604">
        <v>0.2777405</v>
      </c>
      <c r="V4604">
        <v>-0.15676129999999999</v>
      </c>
      <c r="W4604">
        <v>1.528472E-2</v>
      </c>
      <c r="X4604">
        <v>0.98751829999999996</v>
      </c>
      <c r="Y4604">
        <v>-7.4459780000000003E-2</v>
      </c>
      <c r="Z4604">
        <v>1.4506180000000001E-3</v>
      </c>
      <c r="AA4604">
        <v>0.99722299999999997</v>
      </c>
      <c r="AB4604">
        <v>36</v>
      </c>
      <c r="AC4604">
        <v>19.430800000000001</v>
      </c>
      <c r="AD4604">
        <v>-1.1083154620248901</v>
      </c>
      <c r="AE4604">
        <v>1.8272900000000001</v>
      </c>
      <c r="AF4604">
        <v>-1.47816097496779</v>
      </c>
      <c r="AG4604">
        <v>-1.1083154620248901</v>
      </c>
      <c r="AH4604">
        <v>19.397554600602302</v>
      </c>
      <c r="AI4604">
        <v>93.260712490378495</v>
      </c>
      <c r="AJ4604">
        <v>94.357715213100505</v>
      </c>
      <c r="AK4604">
        <v>19.485339296882302</v>
      </c>
      <c r="AL4604">
        <v>89.124216003050705</v>
      </c>
      <c r="AM4604">
        <v>99.0200221302984</v>
      </c>
      <c r="AN4604">
        <v>1.00000006033902</v>
      </c>
    </row>
    <row r="4605" spans="1:40" x14ac:dyDescent="0.25">
      <c r="A4605" t="str">
        <f>"20190305135722761"</f>
        <v>20190305135722761</v>
      </c>
      <c r="B4605" t="str">
        <f>"1551765442757353"</f>
        <v>1551765442757353</v>
      </c>
      <c r="C4605" t="s">
        <v>40</v>
      </c>
      <c r="D4605">
        <v>4.4562359999999996</v>
      </c>
      <c r="E4605">
        <v>0.52995000000000003</v>
      </c>
      <c r="F4605" t="s">
        <v>92</v>
      </c>
      <c r="G4605">
        <v>-222.8339</v>
      </c>
      <c r="H4605" s="1">
        <v>-3.3932819999999999E-7</v>
      </c>
      <c r="I4605">
        <v>-60.358499999999999</v>
      </c>
      <c r="J4605">
        <v>-242.3655</v>
      </c>
      <c r="K4605">
        <v>1.108298</v>
      </c>
      <c r="L4605">
        <v>-62.176180000000002</v>
      </c>
      <c r="M4605">
        <v>0.99982519999999997</v>
      </c>
      <c r="N4605">
        <v>-6.5844989999999997E-3</v>
      </c>
      <c r="O4605">
        <v>1.750993E-2</v>
      </c>
      <c r="P4605">
        <v>0.98470049999999998</v>
      </c>
      <c r="Q4605">
        <v>8.7761209999999996E-3</v>
      </c>
      <c r="R4605">
        <v>0.17403479999999999</v>
      </c>
      <c r="S4605">
        <v>2.9991759999999998</v>
      </c>
      <c r="T4605">
        <v>-0.1686174</v>
      </c>
      <c r="U4605">
        <v>0.27700809999999998</v>
      </c>
      <c r="V4605">
        <v>-0.15675539999999999</v>
      </c>
      <c r="W4605">
        <v>1.538437E-2</v>
      </c>
      <c r="X4605">
        <v>0.98751770000000005</v>
      </c>
      <c r="Y4605">
        <v>-7.4410870000000004E-2</v>
      </c>
      <c r="Z4605">
        <v>1.4650380000000001E-3</v>
      </c>
      <c r="AA4605">
        <v>0.99722659999999996</v>
      </c>
      <c r="AB4605">
        <v>36</v>
      </c>
      <c r="AC4605">
        <v>19.531600000000001</v>
      </c>
      <c r="AD4605">
        <v>-1.1082983393282</v>
      </c>
      <c r="AE4605">
        <v>1.81768</v>
      </c>
      <c r="AF4605">
        <v>-1.4707022189364101</v>
      </c>
      <c r="AG4605">
        <v>-1.1082983393282</v>
      </c>
      <c r="AH4605">
        <v>19.498191123413601</v>
      </c>
      <c r="AI4605">
        <v>93.244058233506195</v>
      </c>
      <c r="AJ4605">
        <v>94.313516524614698</v>
      </c>
      <c r="AK4605">
        <v>19.5849622749421</v>
      </c>
      <c r="AL4605">
        <v>89.118505816988403</v>
      </c>
      <c r="AM4605">
        <v>99.019693616426196</v>
      </c>
      <c r="AN4605">
        <v>1.0000000710413699</v>
      </c>
    </row>
    <row r="4606" spans="1:40" x14ac:dyDescent="0.25">
      <c r="A4606" t="str">
        <f>"20190305135722773"</f>
        <v>20190305135722773</v>
      </c>
      <c r="B4606" t="str">
        <f>"1551765442767113"</f>
        <v>1551765442767113</v>
      </c>
      <c r="C4606" t="s">
        <v>40</v>
      </c>
      <c r="D4606">
        <v>4.4936949999999998</v>
      </c>
      <c r="E4606">
        <v>0.52991880000000002</v>
      </c>
      <c r="F4606" t="s">
        <v>92</v>
      </c>
      <c r="G4606">
        <v>-222.7337</v>
      </c>
      <c r="H4606" s="1">
        <v>-2.9497559999999999E-7</v>
      </c>
      <c r="I4606">
        <v>-60.364769999999901</v>
      </c>
      <c r="J4606">
        <v>-242.1678</v>
      </c>
      <c r="K4606">
        <v>1.108279</v>
      </c>
      <c r="L4606">
        <v>-62.172849999999997</v>
      </c>
      <c r="M4606">
        <v>0.99982859999999996</v>
      </c>
      <c r="N4606">
        <v>-6.6126969999999998E-3</v>
      </c>
      <c r="O4606">
        <v>1.729342E-2</v>
      </c>
      <c r="P4606">
        <v>0.98472740000000003</v>
      </c>
      <c r="Q4606">
        <v>8.5483769999999994E-3</v>
      </c>
      <c r="R4606">
        <v>0.1738942</v>
      </c>
      <c r="S4606">
        <v>2.9991910000000002</v>
      </c>
      <c r="T4606">
        <v>-0.16931749999999901</v>
      </c>
      <c r="U4606">
        <v>0.27673340000000002</v>
      </c>
      <c r="V4606">
        <v>-0.15682789999999999</v>
      </c>
      <c r="W4606">
        <v>1.519175E-2</v>
      </c>
      <c r="X4606">
        <v>0.98750910000000003</v>
      </c>
      <c r="Y4606">
        <v>-7.4534420000000004E-2</v>
      </c>
      <c r="Z4606">
        <v>1.48579999999999E-3</v>
      </c>
      <c r="AA4606">
        <v>0.99721740000000003</v>
      </c>
      <c r="AB4606">
        <v>36</v>
      </c>
      <c r="AC4606">
        <v>19.434100000000001</v>
      </c>
      <c r="AD4606">
        <v>-1.1082792949756</v>
      </c>
      <c r="AE4606">
        <v>1.8080799999999999</v>
      </c>
      <c r="AF4606">
        <v>-1.4669902846202401</v>
      </c>
      <c r="AG4606">
        <v>-1.1082792949756</v>
      </c>
      <c r="AH4606">
        <v>19.399912359491498</v>
      </c>
      <c r="AI4606">
        <v>93.260354553678695</v>
      </c>
      <c r="AJ4606">
        <v>94.324385079573304</v>
      </c>
      <c r="AK4606">
        <v>19.4868402530218</v>
      </c>
      <c r="AL4606">
        <v>89.129543358284593</v>
      </c>
      <c r="AM4606">
        <v>99.023873926685198</v>
      </c>
      <c r="AN4606">
        <v>1.0000000010346399</v>
      </c>
    </row>
    <row r="4607" spans="1:40" x14ac:dyDescent="0.25">
      <c r="A4607" t="str">
        <f>"20190305135722784"</f>
        <v>20190305135722784</v>
      </c>
      <c r="B4607" t="str">
        <f>"1551765442776873"</f>
        <v>1551765442776873</v>
      </c>
      <c r="C4607" t="s">
        <v>40</v>
      </c>
      <c r="D4607">
        <v>4.4735490000000002</v>
      </c>
      <c r="E4607">
        <v>0.52989390000000003</v>
      </c>
      <c r="F4607" t="s">
        <v>92</v>
      </c>
      <c r="G4607">
        <v>-222.52629999999999</v>
      </c>
      <c r="H4607" s="1">
        <v>-2.06542E-7</v>
      </c>
      <c r="I4607">
        <v>-60.362340000000003</v>
      </c>
      <c r="J4607">
        <v>-241.97450000000001</v>
      </c>
      <c r="K4607">
        <v>1.1082689999999999</v>
      </c>
      <c r="L4607">
        <v>-62.169649999999997</v>
      </c>
      <c r="M4607">
        <v>0.99983219999999995</v>
      </c>
      <c r="N4607">
        <v>-6.6388970000000004E-3</v>
      </c>
      <c r="O4607">
        <v>1.707724E-2</v>
      </c>
      <c r="P4607">
        <v>0.98475429999999997</v>
      </c>
      <c r="Q4607">
        <v>8.4410509999999998E-3</v>
      </c>
      <c r="R4607">
        <v>0.17374609999999999</v>
      </c>
      <c r="S4607">
        <v>2.9991910000000002</v>
      </c>
      <c r="T4607">
        <v>-0.1692303</v>
      </c>
      <c r="U4607">
        <v>0.2764587</v>
      </c>
      <c r="V4607">
        <v>-0.15689210000000001</v>
      </c>
      <c r="W4607">
        <v>1.511594E-2</v>
      </c>
      <c r="X4607">
        <v>0.98750009999999999</v>
      </c>
      <c r="Y4607">
        <v>-7.4659000000000003E-2</v>
      </c>
      <c r="Z4607">
        <v>1.5013019999999999E-3</v>
      </c>
      <c r="AA4607">
        <v>0.99720799999999998</v>
      </c>
      <c r="AB4607">
        <v>37</v>
      </c>
      <c r="AC4607">
        <v>19.4482</v>
      </c>
      <c r="AD4607">
        <v>-1.1082692065419999</v>
      </c>
      <c r="AE4607">
        <v>1.80730999999999</v>
      </c>
      <c r="AF4607">
        <v>-1.4701842038127999</v>
      </c>
      <c r="AG4607">
        <v>-1.1082692065419999</v>
      </c>
      <c r="AH4607">
        <v>19.413724590858099</v>
      </c>
      <c r="AI4607">
        <v>93.257983240104593</v>
      </c>
      <c r="AJ4607">
        <v>94.3306926674979</v>
      </c>
      <c r="AK4607">
        <v>19.5008308724782</v>
      </c>
      <c r="AL4607">
        <v>89.133887479641103</v>
      </c>
      <c r="AM4607">
        <v>99.027588092322404</v>
      </c>
      <c r="AN4607">
        <v>1.00000003509225</v>
      </c>
    </row>
    <row r="4608" spans="1:40" x14ac:dyDescent="0.25">
      <c r="A4608" t="str">
        <f>"20190305135722796"</f>
        <v>20190305135722796</v>
      </c>
      <c r="B4608" t="str">
        <f>"1551765442787610"</f>
        <v>1551765442787610</v>
      </c>
      <c r="C4608" t="s">
        <v>40</v>
      </c>
      <c r="D4608">
        <v>4.4647739999999896</v>
      </c>
      <c r="E4608">
        <v>0.52989390000000003</v>
      </c>
      <c r="F4608" t="s">
        <v>92</v>
      </c>
      <c r="G4608">
        <v>-222.27670000000001</v>
      </c>
      <c r="H4608" s="1">
        <v>-1.0082330000000001E-7</v>
      </c>
      <c r="I4608">
        <v>-60.356140000000003</v>
      </c>
      <c r="J4608">
        <v>-241.7971</v>
      </c>
      <c r="K4608">
        <v>1.108258</v>
      </c>
      <c r="L4608">
        <v>-62.166780000000003</v>
      </c>
      <c r="M4608">
        <v>0.99983549999999999</v>
      </c>
      <c r="N4608">
        <v>-6.6618629999999996E-3</v>
      </c>
      <c r="O4608">
        <v>1.6876829999999999E-2</v>
      </c>
      <c r="P4608">
        <v>0.98475109999999999</v>
      </c>
      <c r="Q4608">
        <v>8.2415730000000003E-3</v>
      </c>
      <c r="R4608">
        <v>0.17377490000000001</v>
      </c>
      <c r="S4608">
        <v>2.9991759999999998</v>
      </c>
      <c r="T4608">
        <v>-0.16874420000000001</v>
      </c>
      <c r="U4608">
        <v>0.27612300000000001</v>
      </c>
      <c r="V4608">
        <v>-0.15711849999999999</v>
      </c>
      <c r="W4608">
        <v>1.4944300000000001E-2</v>
      </c>
      <c r="X4608">
        <v>0.98746670000000003</v>
      </c>
      <c r="Y4608">
        <v>-7.4748780000000001E-2</v>
      </c>
      <c r="Z4608">
        <v>1.512018E-3</v>
      </c>
      <c r="AA4608">
        <v>0.99720129999999996</v>
      </c>
      <c r="AB4608">
        <v>37</v>
      </c>
      <c r="AC4608">
        <v>19.520399999999899</v>
      </c>
      <c r="AD4608">
        <v>-1.1082581008232999</v>
      </c>
      <c r="AE4608">
        <v>1.81064</v>
      </c>
      <c r="AF4608">
        <v>-1.4762146332407</v>
      </c>
      <c r="AG4608">
        <v>-1.1082581008232999</v>
      </c>
      <c r="AH4608">
        <v>19.485904582986201</v>
      </c>
      <c r="AI4608">
        <v>93.245901299494804</v>
      </c>
      <c r="AJ4608">
        <v>94.332342460693496</v>
      </c>
      <c r="AK4608">
        <v>19.573142902423101</v>
      </c>
      <c r="AL4608">
        <v>89.143722824434505</v>
      </c>
      <c r="AM4608">
        <v>99.0407009139102</v>
      </c>
      <c r="AN4608">
        <v>1.0000000193768099</v>
      </c>
    </row>
    <row r="4609" spans="1:40" x14ac:dyDescent="0.25">
      <c r="A4609" t="str">
        <f>"20190305135722807"</f>
        <v>20190305135722807</v>
      </c>
      <c r="B4609" t="str">
        <f>"1551765442797369"</f>
        <v>1551765442797369</v>
      </c>
      <c r="C4609" t="s">
        <v>40</v>
      </c>
      <c r="D4609">
        <v>4.2922399999999996</v>
      </c>
      <c r="E4609">
        <v>0.52993020000000002</v>
      </c>
      <c r="F4609" t="s">
        <v>92</v>
      </c>
      <c r="G4609">
        <v>-222.14660000000001</v>
      </c>
      <c r="H4609" s="1">
        <v>-4.4511810000000001E-8</v>
      </c>
      <c r="I4609">
        <v>-60.358409999999999</v>
      </c>
      <c r="J4609">
        <v>-241.61500000000001</v>
      </c>
      <c r="K4609">
        <v>1.1082479999999999</v>
      </c>
      <c r="L4609">
        <v>-62.163820000000001</v>
      </c>
      <c r="M4609">
        <v>0.99983880000000003</v>
      </c>
      <c r="N4609">
        <v>-6.6847549999999997E-3</v>
      </c>
      <c r="O4609">
        <v>1.6670170000000002E-2</v>
      </c>
      <c r="P4609">
        <v>0.9847496</v>
      </c>
      <c r="Q4609">
        <v>8.0845340000000009E-3</v>
      </c>
      <c r="R4609">
        <v>0.1737901</v>
      </c>
      <c r="S4609">
        <v>2.9991460000000001</v>
      </c>
      <c r="T4609">
        <v>-0.16914689999999999</v>
      </c>
      <c r="U4609">
        <v>0.276001</v>
      </c>
      <c r="V4609">
        <v>-0.1573378</v>
      </c>
      <c r="W4609">
        <v>1.481414E-2</v>
      </c>
      <c r="X4609">
        <v>0.98743369999999997</v>
      </c>
      <c r="Y4609">
        <v>-7.491449E-2</v>
      </c>
      <c r="Z4609">
        <v>1.53146799999999E-3</v>
      </c>
      <c r="AA4609">
        <v>0.99718879999999999</v>
      </c>
      <c r="AB4609">
        <v>37</v>
      </c>
      <c r="AC4609">
        <v>19.468399999999999</v>
      </c>
      <c r="AD4609">
        <v>-1.1082480445118099</v>
      </c>
      <c r="AE4609">
        <v>1.80540999999999</v>
      </c>
      <c r="AF4609">
        <v>-1.47586857019092</v>
      </c>
      <c r="AG4609">
        <v>-1.1082480445118099</v>
      </c>
      <c r="AH4609">
        <v>19.433354731883998</v>
      </c>
      <c r="AI4609">
        <v>93.254584433905194</v>
      </c>
      <c r="AJ4609">
        <v>94.342998338441006</v>
      </c>
      <c r="AK4609">
        <v>19.520801159273201</v>
      </c>
      <c r="AL4609">
        <v>89.151181232624495</v>
      </c>
      <c r="AM4609">
        <v>99.053408284881698</v>
      </c>
      <c r="AN4609">
        <v>0.99999997697423404</v>
      </c>
    </row>
    <row r="4610" spans="1:40" x14ac:dyDescent="0.25">
      <c r="A4610" t="str">
        <f>"20190305135722818"</f>
        <v>20190305135722818</v>
      </c>
      <c r="B4610" t="str">
        <f>"1551765442807129"</f>
        <v>1551765442807129</v>
      </c>
      <c r="C4610" t="s">
        <v>40</v>
      </c>
      <c r="D4610">
        <v>4.4045500000000004</v>
      </c>
      <c r="E4610">
        <v>0.52990979999999999</v>
      </c>
      <c r="F4610" t="s">
        <v>92</v>
      </c>
      <c r="G4610">
        <v>-222.02289999999999</v>
      </c>
      <c r="H4610" s="1">
        <v>9.6215440000000003E-9</v>
      </c>
      <c r="I4610">
        <v>-60.363259999999997</v>
      </c>
      <c r="J4610">
        <v>-241.4342</v>
      </c>
      <c r="K4610">
        <v>1.1082379999999901</v>
      </c>
      <c r="L4610">
        <v>-62.16095</v>
      </c>
      <c r="M4610">
        <v>0.99984200000000001</v>
      </c>
      <c r="N4610">
        <v>-6.706198E-3</v>
      </c>
      <c r="O4610">
        <v>1.6463519999999999E-2</v>
      </c>
      <c r="P4610">
        <v>0.98470250000000004</v>
      </c>
      <c r="Q4610">
        <v>8.4302560000000006E-3</v>
      </c>
      <c r="R4610">
        <v>0.17403979999999999</v>
      </c>
      <c r="S4610">
        <v>2.9992070000000002</v>
      </c>
      <c r="T4610">
        <v>-0.16965350000000001</v>
      </c>
      <c r="U4610">
        <v>0.27563480000000001</v>
      </c>
      <c r="V4610">
        <v>-0.15779119999999999</v>
      </c>
      <c r="W4610">
        <v>1.5184599999999999E-2</v>
      </c>
      <c r="X4610">
        <v>0.98735569999999895</v>
      </c>
      <c r="Y4610">
        <v>-7.4996919999999995E-2</v>
      </c>
      <c r="Z4610">
        <v>1.548979E-3</v>
      </c>
      <c r="AA4610">
        <v>0.99718249999999997</v>
      </c>
      <c r="AB4610">
        <v>37</v>
      </c>
      <c r="AC4610">
        <v>19.411300000000001</v>
      </c>
      <c r="AD4610">
        <v>-1.1082379903784501</v>
      </c>
      <c r="AE4610">
        <v>1.79769</v>
      </c>
      <c r="AF4610">
        <v>-1.4731000357715001</v>
      </c>
      <c r="AG4610">
        <v>-1.1082379903784501</v>
      </c>
      <c r="AH4610">
        <v>19.375647272263802</v>
      </c>
      <c r="AI4610">
        <v>93.264206746074194</v>
      </c>
      <c r="AJ4610">
        <v>94.347743896206396</v>
      </c>
      <c r="AK4610">
        <v>19.4631426644798</v>
      </c>
      <c r="AL4610">
        <v>89.1299530317022</v>
      </c>
      <c r="AM4610">
        <v>99.079768833126195</v>
      </c>
      <c r="AN4610">
        <v>0.99999995659854302</v>
      </c>
    </row>
    <row r="4611" spans="1:40" x14ac:dyDescent="0.25">
      <c r="A4611" t="str">
        <f>"20190305135722829"</f>
        <v>20190305135722829</v>
      </c>
      <c r="B4611" t="str">
        <f>"1551765442816889"</f>
        <v>1551765442816889</v>
      </c>
      <c r="C4611" t="s">
        <v>40</v>
      </c>
      <c r="D4611">
        <v>4.428242</v>
      </c>
      <c r="E4611">
        <v>0.52987810000000002</v>
      </c>
      <c r="F4611" t="s">
        <v>92</v>
      </c>
      <c r="G4611">
        <v>-221.8134</v>
      </c>
      <c r="H4611" s="1">
        <v>9.7182859999999999E-8</v>
      </c>
      <c r="I4611">
        <v>-60.352760000000004</v>
      </c>
      <c r="J4611">
        <v>-241.2543</v>
      </c>
      <c r="K4611">
        <v>1.108231</v>
      </c>
      <c r="L4611">
        <v>-62.158110000000001</v>
      </c>
      <c r="M4611">
        <v>0.99984530000000005</v>
      </c>
      <c r="N4611">
        <v>-6.7272069999999998E-3</v>
      </c>
      <c r="O4611">
        <v>1.6257529999999999E-2</v>
      </c>
      <c r="P4611">
        <v>0.98467930000000004</v>
      </c>
      <c r="Q4611">
        <v>8.7677869999999904E-3</v>
      </c>
      <c r="R4611">
        <v>0.174155</v>
      </c>
      <c r="S4611">
        <v>2.9992070000000002</v>
      </c>
      <c r="T4611">
        <v>-0.16940369999999999</v>
      </c>
      <c r="U4611">
        <v>0.27639770000000002</v>
      </c>
      <c r="V4611">
        <v>-0.15810959999999999</v>
      </c>
      <c r="W4611">
        <v>1.554695E-2</v>
      </c>
      <c r="X4611">
        <v>0.98729920000000004</v>
      </c>
      <c r="Y4611">
        <v>-7.5453049999999994E-2</v>
      </c>
      <c r="Z4611">
        <v>1.572953E-3</v>
      </c>
      <c r="AA4611">
        <v>0.99714809999999998</v>
      </c>
      <c r="AB4611">
        <v>37</v>
      </c>
      <c r="AC4611">
        <v>19.440899999999999</v>
      </c>
      <c r="AD4611">
        <v>-1.10823090281714</v>
      </c>
      <c r="AE4611">
        <v>1.80535</v>
      </c>
      <c r="AF4611">
        <v>-1.48426125881152</v>
      </c>
      <c r="AG4611">
        <v>-1.10823090281714</v>
      </c>
      <c r="AH4611">
        <v>19.405162161198</v>
      </c>
      <c r="AI4611">
        <v>93.259118555112394</v>
      </c>
      <c r="AJ4611">
        <v>94.373920793215405</v>
      </c>
      <c r="AK4611">
        <v>19.4933713277298</v>
      </c>
      <c r="AL4611">
        <v>89.109189520612404</v>
      </c>
      <c r="AM4611">
        <v>99.0982963187693</v>
      </c>
      <c r="AN4611">
        <v>1.00000003179355</v>
      </c>
    </row>
    <row r="4612" spans="1:40" x14ac:dyDescent="0.25">
      <c r="A4612" t="str">
        <f>"20190305135722840"</f>
        <v>20190305135722840</v>
      </c>
      <c r="B4612" t="str">
        <f>"1551765442837384"</f>
        <v>1551765442837384</v>
      </c>
      <c r="C4612" t="s">
        <v>40</v>
      </c>
      <c r="D4612">
        <v>4.2705469999999996</v>
      </c>
      <c r="E4612">
        <v>0.53001469999999995</v>
      </c>
      <c r="F4612" t="s">
        <v>92</v>
      </c>
      <c r="G4612">
        <v>-221.61109999999999</v>
      </c>
      <c r="H4612" s="1">
        <v>1.81983E-7</v>
      </c>
      <c r="I4612">
        <v>-60.343850000000003</v>
      </c>
      <c r="J4612">
        <v>-241.0746</v>
      </c>
      <c r="K4612">
        <v>1.108225</v>
      </c>
      <c r="L4612">
        <v>-62.155360000000002</v>
      </c>
      <c r="M4612">
        <v>0.99984850000000003</v>
      </c>
      <c r="N4612">
        <v>-6.7466369999999998E-3</v>
      </c>
      <c r="O4612">
        <v>1.60477999999999E-2</v>
      </c>
      <c r="P4612">
        <v>0.98462430000000001</v>
      </c>
      <c r="Q4612">
        <v>9.2384140000000003E-3</v>
      </c>
      <c r="R4612">
        <v>0.17444200000000001</v>
      </c>
      <c r="S4612">
        <v>2.9991910000000002</v>
      </c>
      <c r="T4612">
        <v>-0.16920859999999999</v>
      </c>
      <c r="U4612">
        <v>0.27700809999999998</v>
      </c>
      <c r="V4612">
        <v>-0.15860360000000001</v>
      </c>
      <c r="W4612">
        <v>1.604042E-2</v>
      </c>
      <c r="X4612">
        <v>0.98721210000000004</v>
      </c>
      <c r="Y4612">
        <v>-7.5863089999999994E-2</v>
      </c>
      <c r="Z4612">
        <v>1.5959119999999999E-3</v>
      </c>
      <c r="AA4612">
        <v>0.99711700000000003</v>
      </c>
      <c r="AB4612">
        <v>37</v>
      </c>
      <c r="AC4612">
        <v>19.4635</v>
      </c>
      <c r="AD4612">
        <v>-1.108224818017</v>
      </c>
      <c r="AE4612">
        <v>1.81150999999999</v>
      </c>
      <c r="AF4612">
        <v>-1.4941209112109299</v>
      </c>
      <c r="AG4612">
        <v>-1.108224818017</v>
      </c>
      <c r="AH4612">
        <v>19.4276213400884</v>
      </c>
      <c r="AI4612">
        <v>93.255237346246105</v>
      </c>
      <c r="AJ4612">
        <v>94.397792085897905</v>
      </c>
      <c r="AK4612">
        <v>19.516480996287299</v>
      </c>
      <c r="AL4612">
        <v>89.080912275263699</v>
      </c>
      <c r="AM4612">
        <v>99.127037158297199</v>
      </c>
      <c r="AN4612">
        <v>1.00000006369657</v>
      </c>
    </row>
    <row r="4613" spans="1:40" x14ac:dyDescent="0.25">
      <c r="A4613" t="str">
        <f>"20190305135722853"</f>
        <v>20190305135722853</v>
      </c>
      <c r="B4613" t="str">
        <f>"1551765442847145"</f>
        <v>1551765442847145</v>
      </c>
      <c r="C4613" t="s">
        <v>40</v>
      </c>
      <c r="D4613">
        <v>4.4342560000000004</v>
      </c>
      <c r="E4613">
        <v>0.52996759999999998</v>
      </c>
      <c r="F4613" t="s">
        <v>92</v>
      </c>
      <c r="G4613">
        <v>-221.09700000000001</v>
      </c>
      <c r="H4613" s="1">
        <v>3.9539359999999903E-7</v>
      </c>
      <c r="I4613">
        <v>-60.311549999999997</v>
      </c>
      <c r="J4613">
        <v>-240.85489999999999</v>
      </c>
      <c r="K4613">
        <v>1.108214</v>
      </c>
      <c r="L4613">
        <v>-62.15204</v>
      </c>
      <c r="M4613">
        <v>0.99985250000000003</v>
      </c>
      <c r="N4613">
        <v>-6.7698879999999999E-3</v>
      </c>
      <c r="O4613">
        <v>1.578854E-2</v>
      </c>
      <c r="P4613">
        <v>0.98461350000000003</v>
      </c>
      <c r="Q4613">
        <v>9.6839179999999997E-3</v>
      </c>
      <c r="R4613">
        <v>0.1744782</v>
      </c>
      <c r="S4613">
        <v>2.999374</v>
      </c>
      <c r="T4613">
        <v>-0.16638549999999999</v>
      </c>
      <c r="U4613">
        <v>0.27682499999999999</v>
      </c>
      <c r="V4613">
        <v>-0.1588956</v>
      </c>
      <c r="W4613">
        <v>1.6514330000000001E-2</v>
      </c>
      <c r="X4613">
        <v>0.98715730000000002</v>
      </c>
      <c r="Y4613">
        <v>-7.6058470000000003E-2</v>
      </c>
      <c r="Z4613">
        <v>1.595232E-3</v>
      </c>
      <c r="AA4613">
        <v>0.99710209999999999</v>
      </c>
      <c r="AB4613">
        <v>37</v>
      </c>
      <c r="AC4613">
        <v>19.7578999999999</v>
      </c>
      <c r="AD4613">
        <v>-1.10821360460639</v>
      </c>
      <c r="AE4613">
        <v>1.84049</v>
      </c>
      <c r="AF4613">
        <v>-1.5235531179511199</v>
      </c>
      <c r="AG4613">
        <v>-1.10821360460639</v>
      </c>
      <c r="AH4613">
        <v>19.722980783298802</v>
      </c>
      <c r="AI4613">
        <v>93.206475500150702</v>
      </c>
      <c r="AJ4613">
        <v>94.417189864736201</v>
      </c>
      <c r="AK4613">
        <v>19.812756559222901</v>
      </c>
      <c r="AL4613">
        <v>89.053755608735898</v>
      </c>
      <c r="AM4613">
        <v>99.144056073353198</v>
      </c>
      <c r="AN4613">
        <v>1.0000000348689899</v>
      </c>
    </row>
    <row r="4614" spans="1:40" x14ac:dyDescent="0.25">
      <c r="A4614" t="str">
        <f>"20190305135722865"</f>
        <v>20190305135722865</v>
      </c>
      <c r="B4614" t="str">
        <f>"1551765442856905"</f>
        <v>1551765442856905</v>
      </c>
      <c r="C4614" t="s">
        <v>40</v>
      </c>
      <c r="D4614">
        <v>4.2772800000000002</v>
      </c>
      <c r="E4614">
        <v>0.53002700000000003</v>
      </c>
      <c r="F4614" t="s">
        <v>92</v>
      </c>
      <c r="G4614">
        <v>-220.83029999999999</v>
      </c>
      <c r="H4614" s="1">
        <v>5.0749060000000001E-7</v>
      </c>
      <c r="I4614">
        <v>-60.30104</v>
      </c>
      <c r="J4614">
        <v>-240.6447</v>
      </c>
      <c r="K4614">
        <v>1.1082050000000001</v>
      </c>
      <c r="L4614">
        <v>-62.148899999999998</v>
      </c>
      <c r="M4614">
        <v>0.99985639999999998</v>
      </c>
      <c r="N4614">
        <v>-6.7911369999999896E-3</v>
      </c>
      <c r="O4614">
        <v>1.553393E-2</v>
      </c>
      <c r="P4614">
        <v>0.98454730000000001</v>
      </c>
      <c r="Q4614">
        <v>1.050248E-2</v>
      </c>
      <c r="R4614">
        <v>0.1748045</v>
      </c>
      <c r="S4614">
        <v>2.9994049999999999</v>
      </c>
      <c r="T4614">
        <v>-0.16599439999999999</v>
      </c>
      <c r="U4614">
        <v>0.2772522</v>
      </c>
      <c r="V4614">
        <v>-0.1594727</v>
      </c>
      <c r="W4614">
        <v>1.7359159999999998E-2</v>
      </c>
      <c r="X4614">
        <v>0.98704970000000003</v>
      </c>
      <c r="Y4614">
        <v>-7.6451710000000006E-2</v>
      </c>
      <c r="Z4614">
        <v>1.617978E-3</v>
      </c>
      <c r="AA4614">
        <v>0.99707199999999996</v>
      </c>
      <c r="AB4614">
        <v>37</v>
      </c>
      <c r="AC4614">
        <v>19.814399999999999</v>
      </c>
      <c r="AD4614">
        <v>-1.1082044925093999</v>
      </c>
      <c r="AE4614">
        <v>1.8478599999999901</v>
      </c>
      <c r="AF4614">
        <v>-1.53507403269647</v>
      </c>
      <c r="AG4614">
        <v>-1.1082044925093999</v>
      </c>
      <c r="AH4614">
        <v>19.7793762737534</v>
      </c>
      <c r="AI4614">
        <v>93.197236918735797</v>
      </c>
      <c r="AJ4614">
        <v>94.437819895946205</v>
      </c>
      <c r="AK4614">
        <v>19.869783472946999</v>
      </c>
      <c r="AL4614">
        <v>89.005343433196103</v>
      </c>
      <c r="AM4614">
        <v>99.177686068015504</v>
      </c>
      <c r="AN4614">
        <v>0.99999999637564196</v>
      </c>
    </row>
    <row r="4615" spans="1:40" x14ac:dyDescent="0.25">
      <c r="A4615" t="str">
        <f>"20190305135722879"</f>
        <v>20190305135722879</v>
      </c>
      <c r="B4615" t="str">
        <f>"1551765442866665"</f>
        <v>1551765442866665</v>
      </c>
      <c r="C4615" t="s">
        <v>40</v>
      </c>
      <c r="D4615">
        <v>4.2766060000000001</v>
      </c>
      <c r="E4615">
        <v>0.53009499999999998</v>
      </c>
      <c r="F4615" t="s">
        <v>92</v>
      </c>
      <c r="G4615">
        <v>-220.23439999999999</v>
      </c>
      <c r="H4615" s="1">
        <v>7.5363979999999897E-7</v>
      </c>
      <c r="I4615">
        <v>-60.258150000000001</v>
      </c>
      <c r="J4615">
        <v>-240.44229999999999</v>
      </c>
      <c r="K4615">
        <v>1.1081939999999999</v>
      </c>
      <c r="L4615">
        <v>-62.145940000000003</v>
      </c>
      <c r="M4615">
        <v>0.99986010000000003</v>
      </c>
      <c r="N4615">
        <v>-6.8106260000000002E-3</v>
      </c>
      <c r="O4615">
        <v>1.528147E-2</v>
      </c>
      <c r="P4615">
        <v>0.98445859999999996</v>
      </c>
      <c r="Q4615">
        <v>1.133282E-2</v>
      </c>
      <c r="R4615">
        <v>0.1752513</v>
      </c>
      <c r="S4615">
        <v>2.9994809999999998</v>
      </c>
      <c r="T4615">
        <v>-0.16286110000000001</v>
      </c>
      <c r="U4615">
        <v>0.27786250000000001</v>
      </c>
      <c r="V4615">
        <v>-0.1601688</v>
      </c>
      <c r="W4615">
        <v>1.8214480000000002E-2</v>
      </c>
      <c r="X4615">
        <v>0.98692159999999995</v>
      </c>
      <c r="Y4615">
        <v>-7.6905089999999995E-2</v>
      </c>
      <c r="Z4615">
        <v>1.6211450000000001E-3</v>
      </c>
      <c r="AA4615">
        <v>0.99703710000000001</v>
      </c>
      <c r="AB4615">
        <v>37</v>
      </c>
      <c r="AC4615">
        <v>20.207899999999899</v>
      </c>
      <c r="AD4615">
        <v>-1.1081932463602</v>
      </c>
      <c r="AE4615">
        <v>1.8877900000000001</v>
      </c>
      <c r="AF4615">
        <v>-1.5740631403482199</v>
      </c>
      <c r="AG4615">
        <v>-1.1081932463602</v>
      </c>
      <c r="AH4615">
        <v>20.1742423612369</v>
      </c>
      <c r="AI4615">
        <v>93.134652315859</v>
      </c>
      <c r="AJ4615">
        <v>94.461373527671498</v>
      </c>
      <c r="AK4615">
        <v>20.265878265967299</v>
      </c>
      <c r="AL4615">
        <v>88.956329484652798</v>
      </c>
      <c r="AM4615">
        <v>99.218236458559403</v>
      </c>
      <c r="AN4615">
        <v>1.0000000281608299</v>
      </c>
    </row>
    <row r="4616" spans="1:40" x14ac:dyDescent="0.25">
      <c r="A4616" t="str">
        <f>"20190305135722893"</f>
        <v>20190305135722893</v>
      </c>
      <c r="B4616" t="str">
        <f>"1551765442887161"</f>
        <v>1551765442887161</v>
      </c>
      <c r="C4616" t="s">
        <v>40</v>
      </c>
      <c r="D4616">
        <v>4.3477730000000001</v>
      </c>
      <c r="E4616">
        <v>0.53012139999999996</v>
      </c>
      <c r="F4616" t="s">
        <v>93</v>
      </c>
      <c r="G4616">
        <v>-219.63050000000001</v>
      </c>
      <c r="H4616" s="1">
        <v>-3.131031E-6</v>
      </c>
      <c r="I4616">
        <v>-60.211419999999997</v>
      </c>
      <c r="J4616">
        <v>-240.20359999999999</v>
      </c>
      <c r="K4616">
        <v>1.1081829999999999</v>
      </c>
      <c r="L4616">
        <v>-62.142490000000002</v>
      </c>
      <c r="M4616">
        <v>0.99986450000000004</v>
      </c>
      <c r="N4616">
        <v>-6.8334260000000001E-3</v>
      </c>
      <c r="O4616">
        <v>1.497602E-2</v>
      </c>
      <c r="P4616">
        <v>0.98438559999999997</v>
      </c>
      <c r="Q4616">
        <v>1.19571E-2</v>
      </c>
      <c r="R4616">
        <v>0.17561930000000001</v>
      </c>
      <c r="S4616">
        <v>2.9995569999999998</v>
      </c>
      <c r="T4616">
        <v>-0.15972159999999999</v>
      </c>
      <c r="U4616">
        <v>0.27880860000000002</v>
      </c>
      <c r="V4616">
        <v>-0.16083739999999999</v>
      </c>
      <c r="W4616">
        <v>1.8868579999999999E-2</v>
      </c>
      <c r="X4616">
        <v>0.98680060000000003</v>
      </c>
      <c r="Y4616">
        <v>-7.7521549999999995E-2</v>
      </c>
      <c r="Z4616">
        <v>1.630776E-3</v>
      </c>
      <c r="AA4616">
        <v>0.99698940000000003</v>
      </c>
      <c r="AB4616">
        <v>37</v>
      </c>
      <c r="AC4616">
        <v>20.573099999999901</v>
      </c>
      <c r="AD4616">
        <v>-1.1081861310309999</v>
      </c>
      <c r="AE4616">
        <v>1.9310700000000001</v>
      </c>
      <c r="AF4616">
        <v>-1.61808915566009</v>
      </c>
      <c r="AG4616">
        <v>-1.1081861310309999</v>
      </c>
      <c r="AH4616">
        <v>20.540634495100299</v>
      </c>
      <c r="AI4616">
        <v>93.078647027433206</v>
      </c>
      <c r="AJ4616">
        <v>94.504175381491194</v>
      </c>
      <c r="AK4616">
        <v>20.634048426762401</v>
      </c>
      <c r="AL4616">
        <v>88.918845904540404</v>
      </c>
      <c r="AM4616">
        <v>99.2571672142208</v>
      </c>
      <c r="AN4616">
        <v>1.00000005835516</v>
      </c>
    </row>
    <row r="4617" spans="1:40" x14ac:dyDescent="0.25">
      <c r="A4617" t="str">
        <f>"20190305135722907"</f>
        <v>20190305135722907</v>
      </c>
      <c r="B4617" t="str">
        <f>"1551765442896922"</f>
        <v>1551765442896922</v>
      </c>
      <c r="C4617" t="s">
        <v>40</v>
      </c>
      <c r="D4617">
        <v>4.3879669999999997</v>
      </c>
      <c r="E4617">
        <v>0.53011180000000002</v>
      </c>
      <c r="F4617" t="s">
        <v>93</v>
      </c>
      <c r="G4617">
        <v>-219.13849999999999</v>
      </c>
      <c r="H4617" s="1">
        <v>-2.9258009999999998E-6</v>
      </c>
      <c r="I4617">
        <v>-60.178460000000001</v>
      </c>
      <c r="J4617">
        <v>-239.9623</v>
      </c>
      <c r="K4617">
        <v>1.1081669999999999</v>
      </c>
      <c r="L4617">
        <v>-62.139099999999999</v>
      </c>
      <c r="M4617">
        <v>0.99986929999999996</v>
      </c>
      <c r="N4617">
        <v>-6.8573250000000001E-3</v>
      </c>
      <c r="O4617">
        <v>1.465194E-2</v>
      </c>
      <c r="P4617">
        <v>0.98418119999999998</v>
      </c>
      <c r="Q4617">
        <v>1.3128539999999999E-2</v>
      </c>
      <c r="R4617">
        <v>0.17667849999999999</v>
      </c>
      <c r="S4617">
        <v>2.999619</v>
      </c>
      <c r="T4617">
        <v>-0.15780229999999901</v>
      </c>
      <c r="U4617">
        <v>0.2796631</v>
      </c>
      <c r="V4617">
        <v>-0.16221679999999999</v>
      </c>
      <c r="W4617">
        <v>2.0072369999999999E-2</v>
      </c>
      <c r="X4617">
        <v>0.98655099999999996</v>
      </c>
      <c r="Y4617">
        <v>-7.812537E-2</v>
      </c>
      <c r="Z4617">
        <v>1.6495539999999999E-3</v>
      </c>
      <c r="AA4617">
        <v>0.9969422</v>
      </c>
      <c r="AB4617">
        <v>37</v>
      </c>
      <c r="AC4617">
        <v>20.823799999999999</v>
      </c>
      <c r="AD4617">
        <v>-1.1081699258009901</v>
      </c>
      <c r="AE4617">
        <v>1.9606399999999899</v>
      </c>
      <c r="AF4617">
        <v>-1.65067968858737</v>
      </c>
      <c r="AG4617">
        <v>-1.1081699258009901</v>
      </c>
      <c r="AH4617">
        <v>20.791927140514399</v>
      </c>
      <c r="AI4617">
        <v>93.041317369038197</v>
      </c>
      <c r="AJ4617">
        <v>94.539214945798307</v>
      </c>
      <c r="AK4617">
        <v>20.886766581623501</v>
      </c>
      <c r="AL4617">
        <v>88.849860711361799</v>
      </c>
      <c r="AM4617">
        <v>99.3374884515151</v>
      </c>
      <c r="AN4617">
        <v>1.00000003292032</v>
      </c>
    </row>
    <row r="4618" spans="1:40" x14ac:dyDescent="0.25">
      <c r="A4618" t="str">
        <f>"20190305135722920"</f>
        <v>20190305135722920</v>
      </c>
      <c r="B4618" t="str">
        <f>"1551765442906682"</f>
        <v>1551765442906682</v>
      </c>
      <c r="C4618" t="s">
        <v>40</v>
      </c>
      <c r="D4618">
        <v>4.3189599999999997</v>
      </c>
      <c r="E4618">
        <v>0.53011260000000004</v>
      </c>
      <c r="F4618" t="s">
        <v>93</v>
      </c>
      <c r="G4618">
        <v>-218.35239999999999</v>
      </c>
      <c r="H4618" s="1">
        <v>-2.6025399999999999E-6</v>
      </c>
      <c r="I4618">
        <v>-60.099780000000003</v>
      </c>
      <c r="J4618">
        <v>-239.75530000000001</v>
      </c>
      <c r="K4618">
        <v>1.1081510000000001</v>
      </c>
      <c r="L4618">
        <v>-62.136290000000002</v>
      </c>
      <c r="M4618">
        <v>0.99987340000000002</v>
      </c>
      <c r="N4618">
        <v>-6.8785000000000001E-3</v>
      </c>
      <c r="O4618">
        <v>1.4357740000000001E-2</v>
      </c>
      <c r="P4618">
        <v>0.98414020000000002</v>
      </c>
      <c r="Q4618">
        <v>1.328699E-2</v>
      </c>
      <c r="R4618">
        <v>0.17689530000000001</v>
      </c>
      <c r="S4618">
        <v>2.999466</v>
      </c>
      <c r="T4618">
        <v>-0.1538148</v>
      </c>
      <c r="U4618">
        <v>0.28305049999999998</v>
      </c>
      <c r="V4618">
        <v>-0.16272329999999999</v>
      </c>
      <c r="W4618">
        <v>2.0260210000000001E-2</v>
      </c>
      <c r="X4618">
        <v>0.98646369999999906</v>
      </c>
      <c r="Y4618">
        <v>-7.9541780000000006E-2</v>
      </c>
      <c r="Z4618">
        <v>1.6724929999999999E-3</v>
      </c>
      <c r="AA4618">
        <v>0.99683010000000005</v>
      </c>
      <c r="AB4618">
        <v>37</v>
      </c>
      <c r="AC4618">
        <v>21.402899999999999</v>
      </c>
      <c r="AD4618">
        <v>-1.1081536025399901</v>
      </c>
      <c r="AE4618">
        <v>2.0365099999999998</v>
      </c>
      <c r="AF4618">
        <v>-1.7244143411041399</v>
      </c>
      <c r="AG4618">
        <v>-1.1081536025399901</v>
      </c>
      <c r="AH4618">
        <v>21.373152328853699</v>
      </c>
      <c r="AI4618">
        <v>92.958413567655299</v>
      </c>
      <c r="AJ4618">
        <v>94.612708196438803</v>
      </c>
      <c r="AK4618">
        <v>21.4712191013694</v>
      </c>
      <c r="AL4618">
        <v>88.839096033481496</v>
      </c>
      <c r="AM4618">
        <v>99.366941844332899</v>
      </c>
      <c r="AN4618">
        <v>0.99999998994491102</v>
      </c>
    </row>
    <row r="4619" spans="1:40" x14ac:dyDescent="0.25">
      <c r="A4619" t="str">
        <f>"20190305135722941"</f>
        <v>20190305135722941</v>
      </c>
      <c r="B4619" t="str">
        <f>"1551765442936938"</f>
        <v>1551765442936938</v>
      </c>
      <c r="C4619" t="s">
        <v>40</v>
      </c>
      <c r="D4619">
        <v>4.2708969999999997</v>
      </c>
      <c r="E4619">
        <v>0.53015639999999997</v>
      </c>
      <c r="F4619" t="s">
        <v>93</v>
      </c>
      <c r="G4619">
        <v>-218.16739999999999</v>
      </c>
      <c r="H4619" s="1">
        <v>-2.524135E-6</v>
      </c>
      <c r="I4619">
        <v>-60.094410000000003</v>
      </c>
      <c r="J4619">
        <v>-239.392</v>
      </c>
      <c r="K4619">
        <v>1.108112</v>
      </c>
      <c r="L4619">
        <v>-62.131529999999998</v>
      </c>
      <c r="M4619">
        <v>0.99988080000000001</v>
      </c>
      <c r="N4619">
        <v>-6.9197159999999898E-3</v>
      </c>
      <c r="O4619">
        <v>1.380544E-2</v>
      </c>
      <c r="P4619">
        <v>0.98402719999999999</v>
      </c>
      <c r="Q4619">
        <v>1.321661E-2</v>
      </c>
      <c r="R4619">
        <v>0.1775274</v>
      </c>
      <c r="S4619">
        <v>2.9994350000000001</v>
      </c>
      <c r="T4619">
        <v>-0.1539674</v>
      </c>
      <c r="U4619">
        <v>0.28369139999999998</v>
      </c>
      <c r="V4619">
        <v>-0.16390009999999999</v>
      </c>
      <c r="W4619">
        <v>2.0248289999999999E-2</v>
      </c>
      <c r="X4619">
        <v>0.98626910000000001</v>
      </c>
      <c r="Y4619">
        <v>-8.0302449999999997E-2</v>
      </c>
      <c r="Z4619">
        <v>1.722569E-3</v>
      </c>
      <c r="AA4619">
        <v>0.99676909999999996</v>
      </c>
      <c r="AB4619">
        <v>37</v>
      </c>
      <c r="AC4619">
        <v>21.224599999999999</v>
      </c>
      <c r="AD4619">
        <v>-1.1081145241349999</v>
      </c>
      <c r="AE4619">
        <v>2.0371199999999998</v>
      </c>
      <c r="AF4619">
        <v>-1.7392064936336</v>
      </c>
      <c r="AG4619">
        <v>-1.1081145241349999</v>
      </c>
      <c r="AH4619">
        <v>21.1934598863694</v>
      </c>
      <c r="AI4619">
        <v>92.983014170335295</v>
      </c>
      <c r="AJ4619">
        <v>94.691371749672598</v>
      </c>
      <c r="AK4619">
        <v>21.2935553391453</v>
      </c>
      <c r="AL4619">
        <v>88.839779135686896</v>
      </c>
      <c r="AM4619">
        <v>99.435297208588395</v>
      </c>
      <c r="AN4619">
        <v>0.99999998682137103</v>
      </c>
    </row>
    <row r="4620" spans="1:40" x14ac:dyDescent="0.25">
      <c r="A4620" t="str">
        <f>"20190305135722955"</f>
        <v>20190305135722955</v>
      </c>
      <c r="B4620" t="str">
        <f>"1551765442946697"</f>
        <v>1551765442946697</v>
      </c>
      <c r="C4620" t="s">
        <v>40</v>
      </c>
      <c r="D4620">
        <v>4.2473029999999996</v>
      </c>
      <c r="E4620">
        <v>0.53016969999999997</v>
      </c>
      <c r="F4620" t="s">
        <v>93</v>
      </c>
      <c r="G4620">
        <v>-218.0737</v>
      </c>
      <c r="H4620" s="1">
        <v>-2.4820269999999998E-6</v>
      </c>
      <c r="I4620">
        <v>-60.105130000000003</v>
      </c>
      <c r="J4620">
        <v>-239.1575</v>
      </c>
      <c r="K4620">
        <v>1.1080779999999999</v>
      </c>
      <c r="L4620">
        <v>-62.128599999999999</v>
      </c>
      <c r="M4620">
        <v>0.99988600000000005</v>
      </c>
      <c r="N4620">
        <v>-6.9508490000000003E-3</v>
      </c>
      <c r="O4620">
        <v>1.341582E-2</v>
      </c>
      <c r="P4620">
        <v>0.98401079999999996</v>
      </c>
      <c r="Q4620">
        <v>1.2921129999999999E-2</v>
      </c>
      <c r="R4620">
        <v>0.17764050000000001</v>
      </c>
      <c r="S4620">
        <v>2.999374</v>
      </c>
      <c r="T4620">
        <v>-0.15590570000000001</v>
      </c>
      <c r="U4620">
        <v>0.28509519999999999</v>
      </c>
      <c r="V4620">
        <v>-0.1643966</v>
      </c>
      <c r="W4620">
        <v>1.9997040000000001E-2</v>
      </c>
      <c r="X4620">
        <v>0.98619159999999995</v>
      </c>
      <c r="Y4620">
        <v>-8.1150899999999901E-2</v>
      </c>
      <c r="Z4620">
        <v>1.7836410000000001E-3</v>
      </c>
      <c r="AA4620">
        <v>0.99670020000000004</v>
      </c>
      <c r="AB4620">
        <v>37</v>
      </c>
      <c r="AC4620">
        <v>21.0838</v>
      </c>
      <c r="AD4620">
        <v>-1.108080482027</v>
      </c>
      <c r="AE4620">
        <v>2.0234699999999899</v>
      </c>
      <c r="AF4620">
        <v>-1.7356742209562801</v>
      </c>
      <c r="AG4620">
        <v>-1.108080482027</v>
      </c>
      <c r="AH4620">
        <v>21.051433405937999</v>
      </c>
      <c r="AI4620">
        <v>93.002916195406002</v>
      </c>
      <c r="AJ4620">
        <v>94.713331294501799</v>
      </c>
      <c r="AK4620">
        <v>21.151909034424801</v>
      </c>
      <c r="AL4620">
        <v>88.854177628528106</v>
      </c>
      <c r="AM4620">
        <v>99.464093403407603</v>
      </c>
      <c r="AN4620">
        <v>0.99999999780544002</v>
      </c>
    </row>
    <row r="4621" spans="1:40" x14ac:dyDescent="0.25">
      <c r="A4621" t="str">
        <f>"20190305135722967"</f>
        <v>20190305135722967</v>
      </c>
      <c r="B4621" t="str">
        <f>"1551765442957433"</f>
        <v>1551765442957433</v>
      </c>
      <c r="C4621" t="s">
        <v>40</v>
      </c>
      <c r="D4621">
        <v>4.2635930000000002</v>
      </c>
      <c r="E4621">
        <v>0.53018359999999998</v>
      </c>
      <c r="F4621" t="s">
        <v>93</v>
      </c>
      <c r="G4621">
        <v>-218.01429999999999</v>
      </c>
      <c r="H4621" s="1">
        <v>-2.4542580000000001E-6</v>
      </c>
      <c r="I4621">
        <v>-60.117959999999997</v>
      </c>
      <c r="J4621">
        <v>-238.9539</v>
      </c>
      <c r="K4621">
        <v>1.1080509999999999</v>
      </c>
      <c r="L4621">
        <v>-62.126100000000001</v>
      </c>
      <c r="M4621">
        <v>0.99989039999999996</v>
      </c>
      <c r="N4621">
        <v>-6.9808179999999997E-3</v>
      </c>
      <c r="O4621">
        <v>1.305834E-2</v>
      </c>
      <c r="P4621">
        <v>0.98395080000000001</v>
      </c>
      <c r="Q4621">
        <v>1.260505E-2</v>
      </c>
      <c r="R4621">
        <v>0.17799389999999901</v>
      </c>
      <c r="S4621">
        <v>2.9993439999999998</v>
      </c>
      <c r="T4621">
        <v>-0.1571902</v>
      </c>
      <c r="U4621">
        <v>0.28521729999999901</v>
      </c>
      <c r="V4621">
        <v>-0.1651019</v>
      </c>
      <c r="W4621">
        <v>1.972339E-2</v>
      </c>
      <c r="X4621">
        <v>0.98607929999999999</v>
      </c>
      <c r="Y4621">
        <v>-8.1545640000000003E-2</v>
      </c>
      <c r="Z4621">
        <v>1.824738E-3</v>
      </c>
      <c r="AA4621">
        <v>0.99666790000000005</v>
      </c>
      <c r="AB4621">
        <v>37</v>
      </c>
      <c r="AC4621">
        <v>20.939599999999999</v>
      </c>
      <c r="AD4621">
        <v>-1.1080534542580001</v>
      </c>
      <c r="AE4621">
        <v>2.00814</v>
      </c>
      <c r="AF4621">
        <v>-1.7297263096813</v>
      </c>
      <c r="AG4621">
        <v>-1.1080534542580001</v>
      </c>
      <c r="AH4621">
        <v>20.906031156824799</v>
      </c>
      <c r="AI4621">
        <v>93.023617816990097</v>
      </c>
      <c r="AJ4621">
        <v>94.729773628811998</v>
      </c>
      <c r="AK4621">
        <v>21.006710220641999</v>
      </c>
      <c r="AL4621">
        <v>88.869859734185894</v>
      </c>
      <c r="AM4621">
        <v>99.505020035311802</v>
      </c>
      <c r="AN4621">
        <v>1.0000000176925901</v>
      </c>
    </row>
    <row r="4622" spans="1:40" x14ac:dyDescent="0.25">
      <c r="A4622" t="str">
        <f>"20190305135722977"</f>
        <v>20190305135722977</v>
      </c>
      <c r="B4622" t="str">
        <f>"1551765442967194"</f>
        <v>1551765442967194</v>
      </c>
      <c r="C4622" t="s">
        <v>40</v>
      </c>
      <c r="D4622">
        <v>4.2586240000000002</v>
      </c>
      <c r="E4622">
        <v>0.53020970000000001</v>
      </c>
      <c r="F4622" t="s">
        <v>93</v>
      </c>
      <c r="G4622">
        <v>-217.89359999999999</v>
      </c>
      <c r="H4622" s="1">
        <v>-2.402787E-6</v>
      </c>
      <c r="I4622">
        <v>-60.116390000000003</v>
      </c>
      <c r="J4622">
        <v>-238.77809999999999</v>
      </c>
      <c r="K4622">
        <v>1.1080270000000001</v>
      </c>
      <c r="L4622">
        <v>-62.124079999999999</v>
      </c>
      <c r="M4622">
        <v>0.99989450000000002</v>
      </c>
      <c r="N4622">
        <v>-7.0127749999999997E-3</v>
      </c>
      <c r="O4622">
        <v>1.27204E-2</v>
      </c>
      <c r="P4622">
        <v>0.9838924</v>
      </c>
      <c r="Q4622">
        <v>1.290504E-2</v>
      </c>
      <c r="R4622">
        <v>0.1782956</v>
      </c>
      <c r="S4622">
        <v>2.9991910000000002</v>
      </c>
      <c r="T4622">
        <v>-0.1577982</v>
      </c>
      <c r="U4622">
        <v>0.2861938</v>
      </c>
      <c r="V4622">
        <v>-0.16573550000000001</v>
      </c>
      <c r="W4622">
        <v>2.0067600000000001E-2</v>
      </c>
      <c r="X4622">
        <v>0.98596600000000001</v>
      </c>
      <c r="Y4622">
        <v>-8.2206589999999996E-2</v>
      </c>
      <c r="Z4622">
        <v>1.8671289999999999E-3</v>
      </c>
      <c r="AA4622">
        <v>0.99661359999999999</v>
      </c>
      <c r="AB4622">
        <v>37</v>
      </c>
      <c r="AC4622">
        <v>20.884499999999999</v>
      </c>
      <c r="AD4622">
        <v>-1.1080294027869999</v>
      </c>
      <c r="AE4622">
        <v>2.0076900000000002</v>
      </c>
      <c r="AF4622">
        <v>-1.73701716708953</v>
      </c>
      <c r="AG4622">
        <v>-1.1080294027869999</v>
      </c>
      <c r="AH4622">
        <v>20.850196810297799</v>
      </c>
      <c r="AI4622">
        <v>93.031491411721603</v>
      </c>
      <c r="AJ4622">
        <v>94.762279268318693</v>
      </c>
      <c r="AK4622">
        <v>20.9517461044267</v>
      </c>
      <c r="AL4622">
        <v>88.850133982090696</v>
      </c>
      <c r="AM4622">
        <v>99.541903665149704</v>
      </c>
      <c r="AN4622">
        <v>0.99999995884300397</v>
      </c>
    </row>
    <row r="4623" spans="1:40" x14ac:dyDescent="0.25">
      <c r="A4623" t="str">
        <f>"20190305135722989"</f>
        <v>20190305135722989</v>
      </c>
      <c r="B4623" t="str">
        <f>"1551765442976954"</f>
        <v>1551765442976954</v>
      </c>
      <c r="C4623" t="s">
        <v>40</v>
      </c>
      <c r="D4623">
        <v>4.2368259999999998</v>
      </c>
      <c r="E4623">
        <v>0.5302308</v>
      </c>
      <c r="F4623" t="s">
        <v>93</v>
      </c>
      <c r="G4623">
        <v>-217.66229999999999</v>
      </c>
      <c r="H4623" s="1">
        <v>-2.3055920000000002E-6</v>
      </c>
      <c r="I4623">
        <v>-60.104790000000001</v>
      </c>
      <c r="J4623">
        <v>-238.58850000000001</v>
      </c>
      <c r="K4623">
        <v>1.108004</v>
      </c>
      <c r="L4623">
        <v>-62.12189</v>
      </c>
      <c r="M4623">
        <v>0.99989899999999998</v>
      </c>
      <c r="N4623">
        <v>-7.0486159999999997E-3</v>
      </c>
      <c r="O4623">
        <v>1.234914E-2</v>
      </c>
      <c r="P4623">
        <v>0.98376280000000005</v>
      </c>
      <c r="Q4623">
        <v>1.33472E-2</v>
      </c>
      <c r="R4623">
        <v>0.1789763</v>
      </c>
      <c r="S4623">
        <v>2.9992070000000002</v>
      </c>
      <c r="T4623">
        <v>-0.15738009999999999</v>
      </c>
      <c r="U4623">
        <v>0.28680420000000001</v>
      </c>
      <c r="V4623">
        <v>-0.1667817</v>
      </c>
      <c r="W4623">
        <v>2.0559600000000001E-2</v>
      </c>
      <c r="X4623">
        <v>0.98577950000000003</v>
      </c>
      <c r="Y4623">
        <v>-8.2776310000000006E-2</v>
      </c>
      <c r="Z4623">
        <v>1.898825E-3</v>
      </c>
      <c r="AA4623">
        <v>0.99656639999999996</v>
      </c>
      <c r="AB4623">
        <v>37</v>
      </c>
      <c r="AC4623">
        <v>20.926200000000001</v>
      </c>
      <c r="AD4623">
        <v>-1.108006305592</v>
      </c>
      <c r="AE4623">
        <v>2.0170999999999899</v>
      </c>
      <c r="AF4623">
        <v>-1.7536480839461299</v>
      </c>
      <c r="AG4623">
        <v>-1.108006305592</v>
      </c>
      <c r="AH4623">
        <v>20.8914837661255</v>
      </c>
      <c r="AI4623">
        <v>93.025290251091704</v>
      </c>
      <c r="AJ4623">
        <v>94.798205797206705</v>
      </c>
      <c r="AK4623">
        <v>20.994214763258999</v>
      </c>
      <c r="AL4623">
        <v>88.821938720255801</v>
      </c>
      <c r="AM4623">
        <v>99.6028014104389</v>
      </c>
      <c r="AN4623">
        <v>1.00000002761364</v>
      </c>
    </row>
    <row r="4624" spans="1:40" x14ac:dyDescent="0.25">
      <c r="A4624" t="str">
        <f>"20190305135723001"</f>
        <v>20190305135723001</v>
      </c>
      <c r="B4624" t="str">
        <f>"1551765442997449"</f>
        <v>1551765442997449</v>
      </c>
      <c r="C4624" t="s">
        <v>40</v>
      </c>
      <c r="D4624">
        <v>4.2034820000000002</v>
      </c>
      <c r="E4624">
        <v>0.53026989999999996</v>
      </c>
      <c r="F4624" t="s">
        <v>93</v>
      </c>
      <c r="G4624">
        <v>-217.3596</v>
      </c>
      <c r="H4624" s="1">
        <v>-2.1803180000000002E-6</v>
      </c>
      <c r="I4624">
        <v>-60.078980000000001</v>
      </c>
      <c r="J4624">
        <v>-238.3939</v>
      </c>
      <c r="K4624">
        <v>1.1079779999999999</v>
      </c>
      <c r="L4624">
        <v>-62.119840000000003</v>
      </c>
      <c r="M4624">
        <v>0.99990380000000001</v>
      </c>
      <c r="N4624">
        <v>-7.1005110000000003E-3</v>
      </c>
      <c r="O4624">
        <v>1.19217E-2</v>
      </c>
      <c r="P4624">
        <v>0.98372570000000004</v>
      </c>
      <c r="Q4624">
        <v>1.385137E-2</v>
      </c>
      <c r="R4624">
        <v>0.179143</v>
      </c>
      <c r="S4624">
        <v>2.9991150000000002</v>
      </c>
      <c r="T4624">
        <v>-0.1565337</v>
      </c>
      <c r="U4624">
        <v>0.28860469999999999</v>
      </c>
      <c r="V4624">
        <v>-0.16736670000000001</v>
      </c>
      <c r="W4624">
        <v>2.1132629999999999E-2</v>
      </c>
      <c r="X4624">
        <v>0.98566819999999999</v>
      </c>
      <c r="Y4624">
        <v>-8.3796999999999996E-2</v>
      </c>
      <c r="Z4624">
        <v>1.942867E-3</v>
      </c>
      <c r="AA4624">
        <v>0.9964809</v>
      </c>
      <c r="AB4624">
        <v>37</v>
      </c>
      <c r="AC4624">
        <v>21.034300000000002</v>
      </c>
      <c r="AD4624">
        <v>-1.1079801803180001</v>
      </c>
      <c r="AE4624">
        <v>2.0408599999999999</v>
      </c>
      <c r="AF4624">
        <v>-1.78503738115085</v>
      </c>
      <c r="AG4624">
        <v>-1.1079801803180001</v>
      </c>
      <c r="AH4624">
        <v>20.999413653287899</v>
      </c>
      <c r="AI4624">
        <v>93.009431188330794</v>
      </c>
      <c r="AJ4624">
        <v>94.858699188713302</v>
      </c>
      <c r="AK4624">
        <v>21.104249626887398</v>
      </c>
      <c r="AL4624">
        <v>88.789099351112398</v>
      </c>
      <c r="AM4624">
        <v>99.636921199550002</v>
      </c>
      <c r="AN4624">
        <v>1.0000000004054199</v>
      </c>
    </row>
    <row r="4625" spans="1:40" x14ac:dyDescent="0.25">
      <c r="A4625" t="str">
        <f>"20190305135723012"</f>
        <v>20190305135723012</v>
      </c>
      <c r="B4625" t="str">
        <f>"1551765443007209"</f>
        <v>1551765443007209</v>
      </c>
      <c r="C4625" t="s">
        <v>40</v>
      </c>
      <c r="D4625">
        <v>4.2103609999999998</v>
      </c>
      <c r="E4625">
        <v>0.53029510000000002</v>
      </c>
      <c r="F4625" t="s">
        <v>93</v>
      </c>
      <c r="G4625">
        <v>-217.10480000000001</v>
      </c>
      <c r="H4625" s="1">
        <v>-2.072475E-6</v>
      </c>
      <c r="I4625">
        <v>-60.070799999999998</v>
      </c>
      <c r="J4625">
        <v>-238.20769999999999</v>
      </c>
      <c r="K4625">
        <v>1.1079540000000001</v>
      </c>
      <c r="L4625">
        <v>-62.117919999999998</v>
      </c>
      <c r="M4625">
        <v>0.99990820000000002</v>
      </c>
      <c r="N4625">
        <v>-7.1570409999999899E-3</v>
      </c>
      <c r="O4625">
        <v>1.1501330000000001E-2</v>
      </c>
      <c r="P4625">
        <v>0.98359050000000003</v>
      </c>
      <c r="Q4625">
        <v>1.4731360000000001E-2</v>
      </c>
      <c r="R4625">
        <v>0.1798138</v>
      </c>
      <c r="S4625">
        <v>2.9992519999999998</v>
      </c>
      <c r="T4625">
        <v>-0.1560947</v>
      </c>
      <c r="U4625">
        <v>0.28866579999999997</v>
      </c>
      <c r="V4625">
        <v>-0.1684503</v>
      </c>
      <c r="W4625">
        <v>2.2086080000000001E-2</v>
      </c>
      <c r="X4625">
        <v>0.98546270000000002</v>
      </c>
      <c r="Y4625">
        <v>-8.4231029999999998E-2</v>
      </c>
      <c r="Z4625">
        <v>1.9730960000000001E-3</v>
      </c>
      <c r="AA4625">
        <v>0.99644429999999995</v>
      </c>
      <c r="AB4625">
        <v>37</v>
      </c>
      <c r="AC4625">
        <v>21.102899999999899</v>
      </c>
      <c r="AD4625">
        <v>-1.1079560724749999</v>
      </c>
      <c r="AE4625">
        <v>2.0471200000000001</v>
      </c>
      <c r="AF4625">
        <v>-1.79935323759623</v>
      </c>
      <c r="AG4625">
        <v>-1.1079560724749999</v>
      </c>
      <c r="AH4625">
        <v>21.067517737299799</v>
      </c>
      <c r="AI4625">
        <v>92.999552861572695</v>
      </c>
      <c r="AJ4625">
        <v>94.881721553726294</v>
      </c>
      <c r="AK4625">
        <v>21.173227017713302</v>
      </c>
      <c r="AL4625">
        <v>88.734457948280394</v>
      </c>
      <c r="AM4625">
        <v>99.700117265599502</v>
      </c>
      <c r="AN4625">
        <v>1.00000001579557</v>
      </c>
    </row>
    <row r="4626" spans="1:40" x14ac:dyDescent="0.25">
      <c r="A4626" t="str">
        <f>"20190305135723023"</f>
        <v>20190305135723023</v>
      </c>
      <c r="B4626" t="str">
        <f>"1551765443016969"</f>
        <v>1551765443016969</v>
      </c>
      <c r="C4626" t="s">
        <v>40</v>
      </c>
      <c r="D4626">
        <v>4.177613</v>
      </c>
      <c r="E4626">
        <v>0.53031240000000002</v>
      </c>
      <c r="F4626" t="s">
        <v>93</v>
      </c>
      <c r="G4626">
        <v>-216.62809999999999</v>
      </c>
      <c r="H4626" s="1">
        <v>-1.8754700000000001E-6</v>
      </c>
      <c r="I4626">
        <v>-60.028390000000002</v>
      </c>
      <c r="J4626">
        <v>-238.00989999999999</v>
      </c>
      <c r="K4626">
        <v>1.107926</v>
      </c>
      <c r="L4626">
        <v>-62.116059999999997</v>
      </c>
      <c r="M4626">
        <v>0.99991319999999995</v>
      </c>
      <c r="N4626">
        <v>-7.2404080000000003E-3</v>
      </c>
      <c r="O4626">
        <v>1.10163E-2</v>
      </c>
      <c r="P4626">
        <v>0.98348999999999998</v>
      </c>
      <c r="Q4626">
        <v>1.6095020000000002E-2</v>
      </c>
      <c r="R4626">
        <v>0.1802454</v>
      </c>
      <c r="S4626">
        <v>2.9992519999999998</v>
      </c>
      <c r="T4626">
        <v>-0.1539894</v>
      </c>
      <c r="U4626">
        <v>0.29040529999999998</v>
      </c>
      <c r="V4626">
        <v>-0.1693557</v>
      </c>
      <c r="W4626">
        <v>2.3551969999999998E-2</v>
      </c>
      <c r="X4626">
        <v>0.98527350000000002</v>
      </c>
      <c r="Y4626">
        <v>-8.5287520000000006E-2</v>
      </c>
      <c r="Z4626">
        <v>2.00833E-3</v>
      </c>
      <c r="AA4626">
        <v>0.99635430000000003</v>
      </c>
      <c r="AB4626">
        <v>38</v>
      </c>
      <c r="AC4626">
        <v>21.381799999999998</v>
      </c>
      <c r="AD4626">
        <v>-1.1079278754699999</v>
      </c>
      <c r="AE4626">
        <v>2.0876699999999899</v>
      </c>
      <c r="AF4626">
        <v>-1.8470763788661899</v>
      </c>
      <c r="AG4626">
        <v>-1.1079278754699999</v>
      </c>
      <c r="AH4626">
        <v>21.346728018712302</v>
      </c>
      <c r="AI4626">
        <v>92.960032401749004</v>
      </c>
      <c r="AJ4626">
        <v>94.945336159071203</v>
      </c>
      <c r="AK4626">
        <v>21.455115763646798</v>
      </c>
      <c r="AL4626">
        <v>88.650446679830495</v>
      </c>
      <c r="AM4626">
        <v>99.753092417314704</v>
      </c>
      <c r="AN4626">
        <v>0.99999995910780903</v>
      </c>
    </row>
    <row r="4627" spans="1:40" x14ac:dyDescent="0.25">
      <c r="A4627" t="str">
        <f>"20190305135723035"</f>
        <v>20190305135723035</v>
      </c>
      <c r="B4627" t="str">
        <f>"1551765443026729"</f>
        <v>1551765443026729</v>
      </c>
      <c r="C4627" t="s">
        <v>40</v>
      </c>
      <c r="D4627">
        <v>4.1830360000000004</v>
      </c>
      <c r="E4627">
        <v>0.53033169999999996</v>
      </c>
      <c r="F4627" t="s">
        <v>93</v>
      </c>
      <c r="G4627">
        <v>-215.9143</v>
      </c>
      <c r="H4627" s="1">
        <v>-1.579913E-6</v>
      </c>
      <c r="I4627">
        <v>-59.968369999999901</v>
      </c>
      <c r="J4627">
        <v>-237.8143</v>
      </c>
      <c r="K4627">
        <v>1.1079079999999999</v>
      </c>
      <c r="L4627">
        <v>-62.114260000000002</v>
      </c>
      <c r="M4627">
        <v>0.99991790000000003</v>
      </c>
      <c r="N4627">
        <v>-7.3420559999999996E-3</v>
      </c>
      <c r="O4627">
        <v>1.051359E-2</v>
      </c>
      <c r="P4627">
        <v>0.98337929999999996</v>
      </c>
      <c r="Q4627">
        <v>1.7243169999999999E-2</v>
      </c>
      <c r="R4627">
        <v>0.18074309999999999</v>
      </c>
      <c r="S4627">
        <v>2.9994049999999999</v>
      </c>
      <c r="T4627">
        <v>-0.150397799999999</v>
      </c>
      <c r="U4627">
        <v>0.29153440000000003</v>
      </c>
      <c r="V4627">
        <v>-0.170344</v>
      </c>
      <c r="W4627">
        <v>2.482142E-2</v>
      </c>
      <c r="X4627">
        <v>0.98507199999999995</v>
      </c>
      <c r="Y4627">
        <v>-8.6158120000000005E-2</v>
      </c>
      <c r="Z4627">
        <v>2.0223789999999999E-3</v>
      </c>
      <c r="AA4627">
        <v>0.99627940000000004</v>
      </c>
      <c r="AB4627">
        <v>38</v>
      </c>
      <c r="AC4627">
        <v>21.9</v>
      </c>
      <c r="AD4627">
        <v>-1.1079095799130001</v>
      </c>
      <c r="AE4627">
        <v>2.1458900000000001</v>
      </c>
      <c r="AF4627">
        <v>-1.9106741171858701</v>
      </c>
      <c r="AG4627">
        <v>-1.1079095799130001</v>
      </c>
      <c r="AH4627">
        <v>21.865921985723102</v>
      </c>
      <c r="AI4627">
        <v>92.889608435346801</v>
      </c>
      <c r="AJ4627">
        <v>94.993898908026694</v>
      </c>
      <c r="AK4627">
        <v>21.977185522834301</v>
      </c>
      <c r="AL4627">
        <v>88.577691337680093</v>
      </c>
      <c r="AM4627">
        <v>99.810873006514996</v>
      </c>
      <c r="AN4627">
        <v>1.0000000132054001</v>
      </c>
    </row>
    <row r="4628" spans="1:40" x14ac:dyDescent="0.25">
      <c r="A4628" t="str">
        <f>"20190305135723047"</f>
        <v>20190305135723047</v>
      </c>
      <c r="B4628" t="str">
        <f>"1551765443037466"</f>
        <v>1551765443037466</v>
      </c>
      <c r="C4628" t="s">
        <v>40</v>
      </c>
      <c r="D4628">
        <v>4.1467890000000001</v>
      </c>
      <c r="E4628">
        <v>0.53036530000000004</v>
      </c>
      <c r="F4628" t="s">
        <v>93</v>
      </c>
      <c r="G4628">
        <v>-215.25989999999999</v>
      </c>
      <c r="H4628" s="1">
        <v>-1.3092549999999999E-6</v>
      </c>
      <c r="I4628">
        <v>-59.911679999999997</v>
      </c>
      <c r="J4628">
        <v>-237.6199</v>
      </c>
      <c r="K4628">
        <v>1.1078920000000001</v>
      </c>
      <c r="L4628">
        <v>-62.112580000000001</v>
      </c>
      <c r="M4628">
        <v>0.99992219999999998</v>
      </c>
      <c r="N4628">
        <v>-7.4608469999999996E-3</v>
      </c>
      <c r="O4628">
        <v>9.9925320000000002E-3</v>
      </c>
      <c r="P4628">
        <v>0.98326210000000003</v>
      </c>
      <c r="Q4628">
        <v>1.8373359999999998E-2</v>
      </c>
      <c r="R4628">
        <v>0.18126780000000001</v>
      </c>
      <c r="S4628">
        <v>2.9994510000000001</v>
      </c>
      <c r="T4628">
        <v>-0.14733840000000001</v>
      </c>
      <c r="U4628">
        <v>0.29290769999999999</v>
      </c>
      <c r="V4628">
        <v>-0.17137740000000001</v>
      </c>
      <c r="W4628">
        <v>2.6089870000000001E-2</v>
      </c>
      <c r="X4628">
        <v>0.98485990000000001</v>
      </c>
      <c r="Y4628">
        <v>-8.7129700000000004E-2</v>
      </c>
      <c r="Z4628">
        <v>2.0446800000000001E-3</v>
      </c>
      <c r="AA4628">
        <v>0.99619489999999999</v>
      </c>
      <c r="AB4628">
        <v>38</v>
      </c>
      <c r="AC4628">
        <v>22.36</v>
      </c>
      <c r="AD4628">
        <v>-1.1078933092550001</v>
      </c>
      <c r="AE4628">
        <v>2.2008999999999901</v>
      </c>
      <c r="AF4628">
        <v>-1.97255470434169</v>
      </c>
      <c r="AG4628">
        <v>-1.1078933092550001</v>
      </c>
      <c r="AH4628">
        <v>22.326590826134499</v>
      </c>
      <c r="AI4628">
        <v>92.829804417261002</v>
      </c>
      <c r="AJ4628">
        <v>95.048973425428798</v>
      </c>
      <c r="AK4628">
        <v>22.440923723499999</v>
      </c>
      <c r="AL4628">
        <v>88.504990862183504</v>
      </c>
      <c r="AM4628">
        <v>99.871307879055706</v>
      </c>
      <c r="AN4628">
        <v>0.99999995858769197</v>
      </c>
    </row>
    <row r="4629" spans="1:40" x14ac:dyDescent="0.25">
      <c r="A4629" t="str">
        <f>"20190305135723059"</f>
        <v>20190305135723059</v>
      </c>
      <c r="B4629" t="str">
        <f>"1551765443047225"</f>
        <v>1551765443047225</v>
      </c>
      <c r="C4629" t="s">
        <v>40</v>
      </c>
      <c r="D4629">
        <v>4.191961</v>
      </c>
      <c r="E4629">
        <v>0.53039749999999997</v>
      </c>
      <c r="F4629" t="s">
        <v>93</v>
      </c>
      <c r="G4629">
        <v>-214.61519999999999</v>
      </c>
      <c r="H4629" s="1">
        <v>-1.042455E-6</v>
      </c>
      <c r="I4629">
        <v>-59.856490000000001</v>
      </c>
      <c r="J4629">
        <v>-237.40790000000001</v>
      </c>
      <c r="K4629">
        <v>1.107882</v>
      </c>
      <c r="L4629">
        <v>-62.110959999999999</v>
      </c>
      <c r="M4629">
        <v>0.9999266</v>
      </c>
      <c r="N4629">
        <v>-7.6548629999999996E-3</v>
      </c>
      <c r="O4629">
        <v>9.389484E-3</v>
      </c>
      <c r="P4629">
        <v>0.98317379999999999</v>
      </c>
      <c r="Q4629">
        <v>1.9727330000000001E-2</v>
      </c>
      <c r="R4629">
        <v>0.18160409999999999</v>
      </c>
      <c r="S4629">
        <v>2.9995270000000001</v>
      </c>
      <c r="T4629">
        <v>-0.14445569999999999</v>
      </c>
      <c r="U4629">
        <v>0.2941589</v>
      </c>
      <c r="V4629">
        <v>-0.17230179999999901</v>
      </c>
      <c r="W4629">
        <v>2.7657629999999999E-2</v>
      </c>
      <c r="X4629">
        <v>0.98465590000000003</v>
      </c>
      <c r="Y4629">
        <v>-8.8141250000000004E-2</v>
      </c>
      <c r="Z4629">
        <v>2.075398E-3</v>
      </c>
      <c r="AA4629">
        <v>0.99610580000000004</v>
      </c>
      <c r="AB4629">
        <v>38</v>
      </c>
      <c r="AC4629">
        <v>22.7927</v>
      </c>
      <c r="AD4629">
        <v>-1.1078830424549999</v>
      </c>
      <c r="AE4629">
        <v>2.2544699999999902</v>
      </c>
      <c r="AF4629">
        <v>-2.0355898907239198</v>
      </c>
      <c r="AG4629">
        <v>-1.1078830424549999</v>
      </c>
      <c r="AH4629">
        <v>22.759612497349401</v>
      </c>
      <c r="AI4629">
        <v>92.775758127241005</v>
      </c>
      <c r="AJ4629">
        <v>95.110860587153198</v>
      </c>
      <c r="AK4629">
        <v>22.8773029893927</v>
      </c>
      <c r="AL4629">
        <v>88.415132506141305</v>
      </c>
      <c r="AM4629">
        <v>99.925512518802293</v>
      </c>
      <c r="AN4629">
        <v>1.0000000480926301</v>
      </c>
    </row>
    <row r="4630" spans="1:40" x14ac:dyDescent="0.25">
      <c r="A4630" t="str">
        <f>"20190305135723076"</f>
        <v>20190305135723076</v>
      </c>
      <c r="B4630" t="str">
        <f>"1551765443066745"</f>
        <v>1551765443066745</v>
      </c>
      <c r="C4630" t="s">
        <v>40</v>
      </c>
      <c r="D4630">
        <v>4.2449430000000001</v>
      </c>
      <c r="E4630">
        <v>0.53049250000000003</v>
      </c>
      <c r="F4630" t="s">
        <v>93</v>
      </c>
      <c r="G4630">
        <v>-213.8</v>
      </c>
      <c r="H4630" s="1">
        <v>-7.0446749999999899E-7</v>
      </c>
      <c r="I4630">
        <v>-59.790329999999997</v>
      </c>
      <c r="J4630">
        <v>-237.13640000000001</v>
      </c>
      <c r="K4630">
        <v>1.107898</v>
      </c>
      <c r="L4630">
        <v>-62.109099999999998</v>
      </c>
      <c r="M4630">
        <v>0.99993129999999997</v>
      </c>
      <c r="N4630">
        <v>-7.9714399999999998E-3</v>
      </c>
      <c r="O4630">
        <v>8.5927839999999991E-3</v>
      </c>
      <c r="P4630">
        <v>0.98274110000000003</v>
      </c>
      <c r="Q4630">
        <v>2.1839529999999999E-2</v>
      </c>
      <c r="R4630">
        <v>0.18369289999999999</v>
      </c>
      <c r="S4630">
        <v>2.9997099999999999</v>
      </c>
      <c r="T4630">
        <v>-0.1407717</v>
      </c>
      <c r="U4630">
        <v>0.29486079999999998</v>
      </c>
      <c r="V4630">
        <v>-0.17516909999999999</v>
      </c>
      <c r="W4630">
        <v>3.011088E-2</v>
      </c>
      <c r="X4630">
        <v>0.9840778</v>
      </c>
      <c r="Y4630">
        <v>-8.9162149999999996E-2</v>
      </c>
      <c r="Z4630">
        <v>2.1087129999999999E-3</v>
      </c>
      <c r="AA4630">
        <v>0.99601490000000004</v>
      </c>
      <c r="AB4630">
        <v>38</v>
      </c>
      <c r="AC4630">
        <v>23.336400000000001</v>
      </c>
      <c r="AD4630">
        <v>-1.1078987044674999</v>
      </c>
      <c r="AE4630">
        <v>2.31876999999999</v>
      </c>
      <c r="AF4630">
        <v>-2.11343649107401</v>
      </c>
      <c r="AG4630">
        <v>-1.1078987044674999</v>
      </c>
      <c r="AH4630">
        <v>23.303453829829401</v>
      </c>
      <c r="AI4630">
        <v>92.710812204673701</v>
      </c>
      <c r="AJ4630">
        <v>95.182091389568697</v>
      </c>
      <c r="AK4630">
        <v>23.425307121575901</v>
      </c>
      <c r="AL4630">
        <v>88.274512847542297</v>
      </c>
      <c r="AM4630">
        <v>100.09312333506701</v>
      </c>
      <c r="AN4630">
        <v>0.99999999757101199</v>
      </c>
    </row>
    <row r="4631" spans="1:40" x14ac:dyDescent="0.25">
      <c r="A4631" t="str">
        <f>"20190305135723090"</f>
        <v>20190305135723090</v>
      </c>
      <c r="B4631" t="str">
        <f>"1551765443077481"</f>
        <v>1551765443077481</v>
      </c>
      <c r="C4631" t="s">
        <v>40</v>
      </c>
      <c r="D4631">
        <v>4.1571360000000004</v>
      </c>
      <c r="E4631">
        <v>0.53058300000000003</v>
      </c>
      <c r="F4631" t="s">
        <v>93</v>
      </c>
      <c r="G4631">
        <v>-212.58709999999999</v>
      </c>
      <c r="H4631" s="1">
        <v>-2.0891910000000001E-7</v>
      </c>
      <c r="I4631">
        <v>-59.650579999999998</v>
      </c>
      <c r="J4631">
        <v>-236.90270000000001</v>
      </c>
      <c r="K4631">
        <v>1.1079270000000001</v>
      </c>
      <c r="L4631">
        <v>-62.107640000000004</v>
      </c>
      <c r="M4631">
        <v>0.9999344</v>
      </c>
      <c r="N4631">
        <v>-8.3101310000000001E-3</v>
      </c>
      <c r="O4631">
        <v>7.8876999999999992E-3</v>
      </c>
      <c r="P4631">
        <v>0.98263500000000004</v>
      </c>
      <c r="Q4631">
        <v>2.2891580000000002E-2</v>
      </c>
      <c r="R4631">
        <v>0.18413170000000001</v>
      </c>
      <c r="S4631">
        <v>2.9995270000000001</v>
      </c>
      <c r="T4631">
        <v>-0.13536679999999901</v>
      </c>
      <c r="U4631">
        <v>0.3003845</v>
      </c>
      <c r="V4631">
        <v>-0.17629510000000001</v>
      </c>
      <c r="W4631">
        <v>3.1519270000000002E-2</v>
      </c>
      <c r="X4631">
        <v>0.98383259999999995</v>
      </c>
      <c r="Y4631">
        <v>-9.1689499999999993E-2</v>
      </c>
      <c r="Z4631">
        <v>2.1554059999999999E-3</v>
      </c>
      <c r="AA4631">
        <v>0.99578529999999998</v>
      </c>
      <c r="AB4631">
        <v>38</v>
      </c>
      <c r="AC4631">
        <v>24.3156</v>
      </c>
      <c r="AD4631">
        <v>-1.1079272089190999</v>
      </c>
      <c r="AE4631">
        <v>2.45705999999999</v>
      </c>
      <c r="AF4631">
        <v>-2.2605370762402699</v>
      </c>
      <c r="AG4631">
        <v>-1.1079272089190999</v>
      </c>
      <c r="AH4631">
        <v>24.284317188223699</v>
      </c>
      <c r="AI4631">
        <v>92.600973976203406</v>
      </c>
      <c r="AJ4631">
        <v>95.318126454273198</v>
      </c>
      <c r="AK4631">
        <v>24.4144545683818</v>
      </c>
      <c r="AL4631">
        <v>88.193779712564506</v>
      </c>
      <c r="AM4631">
        <v>100.159134828503</v>
      </c>
      <c r="AN4631">
        <v>1.0000000057440499</v>
      </c>
    </row>
    <row r="4632" spans="1:40" x14ac:dyDescent="0.25">
      <c r="A4632" t="str">
        <f>"20190305135723101"</f>
        <v>20190305135723101</v>
      </c>
      <c r="B4632" t="str">
        <f>"1551765443097001"</f>
        <v>1551765443097001</v>
      </c>
      <c r="C4632" t="s">
        <v>40</v>
      </c>
      <c r="D4632">
        <v>4.1507849999999999</v>
      </c>
      <c r="E4632">
        <v>0.53081239999999996</v>
      </c>
      <c r="F4632" t="s">
        <v>93</v>
      </c>
      <c r="G4632">
        <v>-211.77889999999999</v>
      </c>
      <c r="H4632" s="1">
        <v>1.26559399999999E-7</v>
      </c>
      <c r="I4632">
        <v>-59.587409999999998</v>
      </c>
      <c r="J4632">
        <v>-236.69290000000001</v>
      </c>
      <c r="K4632">
        <v>1.1079639999999999</v>
      </c>
      <c r="L4632">
        <v>-62.106569999999998</v>
      </c>
      <c r="M4632">
        <v>0.99993650000000001</v>
      </c>
      <c r="N4632">
        <v>-8.6658280000000004E-3</v>
      </c>
      <c r="O4632">
        <v>7.2277510000000001E-3</v>
      </c>
      <c r="P4632">
        <v>0.98253239999999997</v>
      </c>
      <c r="Q4632">
        <v>2.3682160000000001E-2</v>
      </c>
      <c r="R4632">
        <v>0.18457960000000001</v>
      </c>
      <c r="S4632">
        <v>2.9997250000000002</v>
      </c>
      <c r="T4632">
        <v>-0.13228399999999901</v>
      </c>
      <c r="U4632">
        <v>0.30090329999999998</v>
      </c>
      <c r="V4632">
        <v>-0.1773875</v>
      </c>
      <c r="W4632">
        <v>3.2675950000000002E-2</v>
      </c>
      <c r="X4632">
        <v>0.98359850000000004</v>
      </c>
      <c r="Y4632">
        <v>-9.2512720000000007E-2</v>
      </c>
      <c r="Z4632">
        <v>2.1805599999999998E-3</v>
      </c>
      <c r="AA4632">
        <v>0.99570910000000001</v>
      </c>
      <c r="AB4632">
        <v>38</v>
      </c>
      <c r="AC4632">
        <v>24.914000000000001</v>
      </c>
      <c r="AD4632">
        <v>-1.1079638734406001</v>
      </c>
      <c r="AE4632">
        <v>2.5191599999999901</v>
      </c>
      <c r="AF4632">
        <v>-2.3344451261527701</v>
      </c>
      <c r="AG4632">
        <v>-1.1079638734406001</v>
      </c>
      <c r="AH4632">
        <v>24.882844534452101</v>
      </c>
      <c r="AI4632">
        <v>92.5384056468219</v>
      </c>
      <c r="AJ4632">
        <v>95.359656184401402</v>
      </c>
      <c r="AK4632">
        <v>25.016657852670502</v>
      </c>
      <c r="AL4632">
        <v>88.127472699555199</v>
      </c>
      <c r="AM4632">
        <v>100.22314343589601</v>
      </c>
      <c r="AN4632">
        <v>1.0000000260334501</v>
      </c>
    </row>
    <row r="4633" spans="1:40" x14ac:dyDescent="0.25">
      <c r="A4633" t="str">
        <f>"20190305135723114"</f>
        <v>20190305135723114</v>
      </c>
      <c r="B4633" t="str">
        <f>"1551765443106761"</f>
        <v>1551765443106761</v>
      </c>
      <c r="C4633" t="s">
        <v>40</v>
      </c>
      <c r="D4633">
        <v>4.1377110000000004</v>
      </c>
      <c r="E4633">
        <v>0.53095179999999997</v>
      </c>
      <c r="F4633" t="s">
        <v>93</v>
      </c>
      <c r="G4633">
        <v>-211.1095</v>
      </c>
      <c r="H4633" s="1">
        <v>4.0588700000000001E-7</v>
      </c>
      <c r="I4633">
        <v>-59.543089999999999</v>
      </c>
      <c r="J4633">
        <v>-236.48849999999999</v>
      </c>
      <c r="K4633">
        <v>1.108001</v>
      </c>
      <c r="L4633">
        <v>-62.105649999999997</v>
      </c>
      <c r="M4633">
        <v>0.99993779999999999</v>
      </c>
      <c r="N4633">
        <v>-9.0143319999999999E-3</v>
      </c>
      <c r="O4633">
        <v>6.5751439999999998E-3</v>
      </c>
      <c r="P4633">
        <v>0.98246789999999995</v>
      </c>
      <c r="Q4633">
        <v>2.4581950000000002E-2</v>
      </c>
      <c r="R4633">
        <v>0.18480469999999999</v>
      </c>
      <c r="S4633">
        <v>3.0000149999999999</v>
      </c>
      <c r="T4633">
        <v>-0.1299244</v>
      </c>
      <c r="U4633">
        <v>0.30059809999999998</v>
      </c>
      <c r="V4633">
        <v>-0.17824899999999999</v>
      </c>
      <c r="W4633">
        <v>3.3932669999999998E-2</v>
      </c>
      <c r="X4633">
        <v>0.98340019999999995</v>
      </c>
      <c r="Y4633">
        <v>-9.305418E-2</v>
      </c>
      <c r="Z4633">
        <v>2.2049460000000002E-3</v>
      </c>
      <c r="AA4633">
        <v>0.99565859999999995</v>
      </c>
      <c r="AB4633">
        <v>38</v>
      </c>
      <c r="AC4633">
        <v>25.378999999999898</v>
      </c>
      <c r="AD4633">
        <v>-1.108000594113</v>
      </c>
      <c r="AE4633">
        <v>2.5625599999999902</v>
      </c>
      <c r="AF4633">
        <v>-2.3911156953066399</v>
      </c>
      <c r="AG4633">
        <v>-1.108000594113</v>
      </c>
      <c r="AH4633">
        <v>25.347475643235398</v>
      </c>
      <c r="AI4633">
        <v>92.491897406556802</v>
      </c>
      <c r="AJ4633">
        <v>95.3889631604888</v>
      </c>
      <c r="AK4633">
        <v>25.484105263267601</v>
      </c>
      <c r="AL4633">
        <v>88.055428010855707</v>
      </c>
      <c r="AM4633">
        <v>100.27376577199399</v>
      </c>
      <c r="AN4633">
        <v>1.00000004272718</v>
      </c>
    </row>
    <row r="4634" spans="1:40" x14ac:dyDescent="0.25">
      <c r="A4634" t="str">
        <f>"20190305135723125"</f>
        <v>20190305135723125</v>
      </c>
      <c r="B4634" t="str">
        <f>"1551765443117498"</f>
        <v>1551765443117498</v>
      </c>
      <c r="C4634" t="s">
        <v>40</v>
      </c>
      <c r="D4634">
        <v>4.2008910000000004</v>
      </c>
      <c r="E4634">
        <v>0.53104399999999996</v>
      </c>
      <c r="F4634" t="s">
        <v>93</v>
      </c>
      <c r="G4634">
        <v>-210.34880000000001</v>
      </c>
      <c r="H4634" s="1">
        <v>6.7090719999999902E-7</v>
      </c>
      <c r="I4634">
        <v>-59.4906199999999</v>
      </c>
      <c r="J4634">
        <v>-236.3014</v>
      </c>
      <c r="K4634">
        <v>1.108039</v>
      </c>
      <c r="L4634">
        <v>-62.1049199999999</v>
      </c>
      <c r="M4634">
        <v>0.99993860000000001</v>
      </c>
      <c r="N4634">
        <v>-9.336624E-3</v>
      </c>
      <c r="O4634">
        <v>5.9630109999999998E-3</v>
      </c>
      <c r="P4634">
        <v>0.98239889999999996</v>
      </c>
      <c r="Q4634">
        <v>2.545584E-2</v>
      </c>
      <c r="R4634">
        <v>0.18505289999999999</v>
      </c>
      <c r="S4634">
        <v>3.0002589999999998</v>
      </c>
      <c r="T4634">
        <v>-0.1271737</v>
      </c>
      <c r="U4634">
        <v>0.30014039999999997</v>
      </c>
      <c r="V4634">
        <v>-0.17909449999999999</v>
      </c>
      <c r="W4634">
        <v>3.5134060000000002E-2</v>
      </c>
      <c r="X4634">
        <v>0.98320430000000003</v>
      </c>
      <c r="Y4634">
        <v>-9.3507510000000002E-2</v>
      </c>
      <c r="Z4634">
        <v>2.2173449999999999E-3</v>
      </c>
      <c r="AA4634">
        <v>0.9956161</v>
      </c>
      <c r="AB4634">
        <v>37</v>
      </c>
      <c r="AC4634">
        <v>25.952599999999901</v>
      </c>
      <c r="AD4634">
        <v>-1.1080383290928</v>
      </c>
      <c r="AE4634">
        <v>2.6143000000000001</v>
      </c>
      <c r="AF4634">
        <v>-2.4550609054100798</v>
      </c>
      <c r="AG4634">
        <v>-1.1080383290928</v>
      </c>
      <c r="AH4634">
        <v>25.920953298092599</v>
      </c>
      <c r="AI4634">
        <v>92.436829905003904</v>
      </c>
      <c r="AJ4634">
        <v>95.410536401846699</v>
      </c>
      <c r="AK4634">
        <v>26.060523649188401</v>
      </c>
      <c r="AL4634">
        <v>87.986552203024303</v>
      </c>
      <c r="AM4634">
        <v>100.32346520278099</v>
      </c>
      <c r="AN4634">
        <v>0.99999996882041098</v>
      </c>
    </row>
    <row r="4635" spans="1:40" x14ac:dyDescent="0.25">
      <c r="A4635" t="str">
        <f>"20190305135723137"</f>
        <v>20190305135723137</v>
      </c>
      <c r="B4635" t="str">
        <f>"1551765443127259"</f>
        <v>1551765443127259</v>
      </c>
      <c r="C4635" t="s">
        <v>40</v>
      </c>
      <c r="D4635">
        <v>4.1326799999999997</v>
      </c>
      <c r="E4635">
        <v>0.53116919999999901</v>
      </c>
      <c r="F4635" t="s">
        <v>78</v>
      </c>
      <c r="G4635">
        <v>-209.6498</v>
      </c>
      <c r="H4635" s="1">
        <v>-4.455813E-7</v>
      </c>
      <c r="I4635">
        <v>-59.438899999999997</v>
      </c>
      <c r="J4635">
        <v>-236.11689999999999</v>
      </c>
      <c r="K4635">
        <v>1.1080719999999999</v>
      </c>
      <c r="L4635">
        <v>-62.104340000000001</v>
      </c>
      <c r="M4635">
        <v>0.99993909999999997</v>
      </c>
      <c r="N4635">
        <v>-9.6444080000000001E-3</v>
      </c>
      <c r="O4635">
        <v>5.3502360000000004E-3</v>
      </c>
      <c r="P4635">
        <v>0.98238780000000003</v>
      </c>
      <c r="Q4635">
        <v>2.6253019999999998E-2</v>
      </c>
      <c r="R4635">
        <v>0.18499959999999999</v>
      </c>
      <c r="S4635">
        <v>3.0004430000000002</v>
      </c>
      <c r="T4635">
        <v>-0.1247431</v>
      </c>
      <c r="U4635">
        <v>0.30014039999999997</v>
      </c>
      <c r="V4635">
        <v>-0.1796392</v>
      </c>
      <c r="W4635">
        <v>3.6242959999999998E-2</v>
      </c>
      <c r="X4635">
        <v>0.98306470000000001</v>
      </c>
      <c r="Y4635">
        <v>-9.4113310000000006E-2</v>
      </c>
      <c r="Z4635">
        <v>2.2355719999999999E-3</v>
      </c>
      <c r="AA4635">
        <v>0.99555899999999997</v>
      </c>
      <c r="AB4635">
        <v>37</v>
      </c>
      <c r="AC4635">
        <v>26.467099999999899</v>
      </c>
      <c r="AD4635">
        <v>-1.1080724455813</v>
      </c>
      <c r="AE4635">
        <v>2.6654399999999998</v>
      </c>
      <c r="AF4635">
        <v>-2.5194184081798801</v>
      </c>
      <c r="AG4635">
        <v>-1.1080724455813</v>
      </c>
      <c r="AH4635">
        <v>26.4351132262349</v>
      </c>
      <c r="AI4635">
        <v>92.3894296821274</v>
      </c>
      <c r="AJ4635">
        <v>95.444173744121997</v>
      </c>
      <c r="AK4635">
        <v>26.578007919029499</v>
      </c>
      <c r="AL4635">
        <v>87.922976471134405</v>
      </c>
      <c r="AM4635">
        <v>100.35562349407201</v>
      </c>
      <c r="AN4635">
        <v>0.99999999935614503</v>
      </c>
    </row>
    <row r="4636" spans="1:40" x14ac:dyDescent="0.25">
      <c r="A4636" t="str">
        <f>"20190305135723148"</f>
        <v>20190305135723148</v>
      </c>
      <c r="B4636" t="str">
        <f>"1551765443137018"</f>
        <v>1551765443137018</v>
      </c>
      <c r="C4636" t="s">
        <v>40</v>
      </c>
      <c r="D4636">
        <v>4.1879239999999998</v>
      </c>
      <c r="E4636">
        <v>0.53125699999999998</v>
      </c>
      <c r="F4636" t="s">
        <v>78</v>
      </c>
      <c r="G4636">
        <v>-208.91589999999999</v>
      </c>
      <c r="H4636" s="1">
        <v>-9.2380829999999999E-7</v>
      </c>
      <c r="I4636">
        <v>-59.394730000000003</v>
      </c>
      <c r="J4636">
        <v>-235.91220000000001</v>
      </c>
      <c r="K4636">
        <v>1.108104</v>
      </c>
      <c r="L4636">
        <v>-62.103819999999899</v>
      </c>
      <c r="M4636">
        <v>0.99993940000000003</v>
      </c>
      <c r="N4636">
        <v>-9.9798869999999998E-3</v>
      </c>
      <c r="O4636">
        <v>4.6640830000000003E-3</v>
      </c>
      <c r="P4636">
        <v>0.98239750000000003</v>
      </c>
      <c r="Q4636">
        <v>2.7029999999999998E-2</v>
      </c>
      <c r="R4636">
        <v>0.18483659999999999</v>
      </c>
      <c r="S4636">
        <v>3.0007779999999999</v>
      </c>
      <c r="T4636">
        <v>-0.1222409</v>
      </c>
      <c r="U4636">
        <v>0.29891970000000001</v>
      </c>
      <c r="V4636">
        <v>-0.180146</v>
      </c>
      <c r="W4636">
        <v>3.7359429999999999E-2</v>
      </c>
      <c r="X4636">
        <v>0.98293019999999998</v>
      </c>
      <c r="Y4636">
        <v>-9.4386579999999998E-2</v>
      </c>
      <c r="Z4636">
        <v>2.2463320000000002E-3</v>
      </c>
      <c r="AA4636">
        <v>0.99553309999999995</v>
      </c>
      <c r="AB4636">
        <v>37</v>
      </c>
      <c r="AC4636">
        <v>26.996300000000002</v>
      </c>
      <c r="AD4636">
        <v>-1.1081049238083001</v>
      </c>
      <c r="AE4636">
        <v>2.7090899999999798</v>
      </c>
      <c r="AF4636">
        <v>-2.57883972483737</v>
      </c>
      <c r="AG4636">
        <v>-1.1081049238083001</v>
      </c>
      <c r="AH4636">
        <v>26.963666401005899</v>
      </c>
      <c r="AI4636">
        <v>92.342638079267701</v>
      </c>
      <c r="AJ4636">
        <v>95.463224626439896</v>
      </c>
      <c r="AK4636">
        <v>27.109364002744499</v>
      </c>
      <c r="AL4636">
        <v>87.858964181145694</v>
      </c>
      <c r="AM4636">
        <v>100.385594186334</v>
      </c>
      <c r="AN4636">
        <v>1.0000000431989799</v>
      </c>
    </row>
    <row r="4637" spans="1:40" x14ac:dyDescent="0.25">
      <c r="A4637" t="str">
        <f>"20190305135723165"</f>
        <v>20190305135723165</v>
      </c>
      <c r="B4637" t="str">
        <f>"1551765443157513"</f>
        <v>1551765443157513</v>
      </c>
      <c r="C4637" t="s">
        <v>40</v>
      </c>
      <c r="D4637">
        <v>4.1188029999999998</v>
      </c>
      <c r="E4637">
        <v>0.53151800000000005</v>
      </c>
      <c r="F4637" t="s">
        <v>78</v>
      </c>
      <c r="G4637">
        <v>-208.2457</v>
      </c>
      <c r="H4637" s="1">
        <v>-1.359161E-6</v>
      </c>
      <c r="I4637">
        <v>-59.359630000000003</v>
      </c>
      <c r="J4637">
        <v>-235.64099999999999</v>
      </c>
      <c r="K4637">
        <v>1.1081369999999999</v>
      </c>
      <c r="L4637">
        <v>-62.103360000000002</v>
      </c>
      <c r="M4637">
        <v>0.99993900000000002</v>
      </c>
      <c r="N4637">
        <v>-1.03955E-2</v>
      </c>
      <c r="O4637">
        <v>3.7509409999999998E-3</v>
      </c>
      <c r="P4637">
        <v>0.9824098</v>
      </c>
      <c r="Q4637">
        <v>2.810168E-2</v>
      </c>
      <c r="R4637">
        <v>0.1846122</v>
      </c>
      <c r="S4637">
        <v>3.0010530000000002</v>
      </c>
      <c r="T4637">
        <v>-0.1201986</v>
      </c>
      <c r="U4637">
        <v>0.2976685</v>
      </c>
      <c r="V4637">
        <v>-0.1808129</v>
      </c>
      <c r="W4637">
        <v>3.8848939999999998E-2</v>
      </c>
      <c r="X4637">
        <v>0.98274989999999995</v>
      </c>
      <c r="Y4637">
        <v>-9.4876719999999998E-2</v>
      </c>
      <c r="Z4637">
        <v>2.2783069999999998E-3</v>
      </c>
      <c r="AA4637">
        <v>0.99548639999999999</v>
      </c>
      <c r="AB4637">
        <v>37</v>
      </c>
      <c r="AC4637">
        <v>27.395299999999899</v>
      </c>
      <c r="AD4637">
        <v>-1.1081383591609999</v>
      </c>
      <c r="AE4637">
        <v>2.74372999999999</v>
      </c>
      <c r="AF4637">
        <v>-2.6366757170569</v>
      </c>
      <c r="AG4637">
        <v>-1.1081383591609999</v>
      </c>
      <c r="AH4637">
        <v>27.3610758415054</v>
      </c>
      <c r="AI4637">
        <v>92.308559834601397</v>
      </c>
      <c r="AJ4637">
        <v>95.504364914999599</v>
      </c>
      <c r="AK4637">
        <v>27.510152683410801</v>
      </c>
      <c r="AL4637">
        <v>87.773559321616503</v>
      </c>
      <c r="AM4637">
        <v>100.425070823027</v>
      </c>
      <c r="AN4637">
        <v>0.99999995544776998</v>
      </c>
    </row>
    <row r="4638" spans="1:40" x14ac:dyDescent="0.25">
      <c r="A4638" t="str">
        <f>"20190305135723176"</f>
        <v>20190305135723176</v>
      </c>
      <c r="B4638" t="str">
        <f>"1551765443167274"</f>
        <v>1551765443167274</v>
      </c>
      <c r="C4638" t="s">
        <v>40</v>
      </c>
      <c r="D4638">
        <v>4.1752529999999997</v>
      </c>
      <c r="E4638">
        <v>0.5316495</v>
      </c>
      <c r="F4638" t="s">
        <v>78</v>
      </c>
      <c r="G4638">
        <v>-207.21190000000001</v>
      </c>
      <c r="H4638" s="1">
        <v>-2.0292060000000002E-6</v>
      </c>
      <c r="I4638">
        <v>-59.310989999999997</v>
      </c>
      <c r="J4638">
        <v>-235.45830000000001</v>
      </c>
      <c r="K4638">
        <v>1.1081570000000001</v>
      </c>
      <c r="L4638">
        <v>-62.103209999999997</v>
      </c>
      <c r="M4638">
        <v>0.9999382</v>
      </c>
      <c r="N4638">
        <v>-1.066218E-2</v>
      </c>
      <c r="O4638">
        <v>3.1397579999999999E-3</v>
      </c>
      <c r="P4638">
        <v>0.98244100000000001</v>
      </c>
      <c r="Q4638">
        <v>2.8412349999999999E-2</v>
      </c>
      <c r="R4638">
        <v>0.1843979</v>
      </c>
      <c r="S4638">
        <v>3.0016630000000002</v>
      </c>
      <c r="T4638">
        <v>-0.11700190000000001</v>
      </c>
      <c r="U4638">
        <v>0.29483029999999999</v>
      </c>
      <c r="V4638">
        <v>-0.18119679999999999</v>
      </c>
      <c r="W4638">
        <v>3.9426419999999997E-2</v>
      </c>
      <c r="X4638">
        <v>0.98265619999999998</v>
      </c>
      <c r="Y4638">
        <v>-9.4537070000000001E-2</v>
      </c>
      <c r="Z4638">
        <v>2.2541670000000001E-3</v>
      </c>
      <c r="AA4638">
        <v>0.99551880000000004</v>
      </c>
      <c r="AB4638">
        <v>37</v>
      </c>
      <c r="AC4638">
        <v>28.246399999999898</v>
      </c>
      <c r="AD4638">
        <v>-1.108159029206</v>
      </c>
      <c r="AE4638">
        <v>2.7922199999999902</v>
      </c>
      <c r="AF4638">
        <v>-2.69939978478829</v>
      </c>
      <c r="AG4638">
        <v>-1.108159029206</v>
      </c>
      <c r="AH4638">
        <v>28.212026113431602</v>
      </c>
      <c r="AI4638">
        <v>92.239186611169302</v>
      </c>
      <c r="AJ4638">
        <v>95.4655698364827</v>
      </c>
      <c r="AK4638">
        <v>28.362531499446099</v>
      </c>
      <c r="AL4638">
        <v>87.740446804967405</v>
      </c>
      <c r="AM4638">
        <v>100.447692612319</v>
      </c>
      <c r="AN4638">
        <v>0.99999996516134704</v>
      </c>
    </row>
    <row r="4639" spans="1:40" x14ac:dyDescent="0.25">
      <c r="A4639" t="str">
        <f>"20190305135723185"</f>
        <v>20190305135723185</v>
      </c>
      <c r="B4639" t="str">
        <f>"1551765443177034"</f>
        <v>1551765443177034</v>
      </c>
      <c r="C4639" t="s">
        <v>40</v>
      </c>
      <c r="D4639">
        <v>4.1581029999999997</v>
      </c>
      <c r="E4639">
        <v>0.53177089999999905</v>
      </c>
      <c r="F4639" t="s">
        <v>78</v>
      </c>
      <c r="G4639">
        <v>-206.81909999999999</v>
      </c>
      <c r="H4639" s="1">
        <v>-2.27987E-6</v>
      </c>
      <c r="I4639">
        <v>-59.307090000000002</v>
      </c>
      <c r="J4639">
        <v>-235.28059999999999</v>
      </c>
      <c r="K4639">
        <v>1.1081719999999999</v>
      </c>
      <c r="L4639">
        <v>-62.103149999999999</v>
      </c>
      <c r="M4639">
        <v>0.99993730000000003</v>
      </c>
      <c r="N4639">
        <v>-1.0913020000000001E-2</v>
      </c>
      <c r="O4639">
        <v>2.547994E-3</v>
      </c>
      <c r="P4639">
        <v>0.98247969999999896</v>
      </c>
      <c r="Q4639">
        <v>2.8655280000000002E-2</v>
      </c>
      <c r="R4639">
        <v>0.18415400000000001</v>
      </c>
      <c r="S4639">
        <v>3.0019680000000002</v>
      </c>
      <c r="T4639">
        <v>-0.11615780000000001</v>
      </c>
      <c r="U4639">
        <v>0.29309079999999998</v>
      </c>
      <c r="V4639">
        <v>-0.18153250000000001</v>
      </c>
      <c r="W4639">
        <v>3.9920509999999999E-2</v>
      </c>
      <c r="X4639">
        <v>0.98257430000000001</v>
      </c>
      <c r="Y4639">
        <v>-9.4545420000000005E-2</v>
      </c>
      <c r="Z4639">
        <v>2.2709370000000002E-3</v>
      </c>
      <c r="AA4639">
        <v>0.99551800000000001</v>
      </c>
      <c r="AB4639">
        <v>37</v>
      </c>
      <c r="AC4639">
        <v>28.461500000000001</v>
      </c>
      <c r="AD4639">
        <v>-1.1081742798699901</v>
      </c>
      <c r="AE4639">
        <v>2.79605999999999</v>
      </c>
      <c r="AF4639">
        <v>-2.71944359825233</v>
      </c>
      <c r="AG4639">
        <v>-1.1081742798699901</v>
      </c>
      <c r="AH4639">
        <v>28.425850568950501</v>
      </c>
      <c r="AI4639">
        <v>92.2223936220974</v>
      </c>
      <c r="AJ4639">
        <v>95.4647400126035</v>
      </c>
      <c r="AK4639">
        <v>28.5771307917177</v>
      </c>
      <c r="AL4639">
        <v>87.712115249804</v>
      </c>
      <c r="AM4639">
        <v>100.46747462123901</v>
      </c>
      <c r="AN4639">
        <v>0.99999997534769902</v>
      </c>
    </row>
    <row r="4640" spans="1:40" x14ac:dyDescent="0.25">
      <c r="A4640" t="str">
        <f>"20190305135723197"</f>
        <v>20190305135723197</v>
      </c>
      <c r="B4640" t="str">
        <f>"1551765443186794"</f>
        <v>1551765443186794</v>
      </c>
      <c r="C4640" t="s">
        <v>40</v>
      </c>
      <c r="D4640">
        <v>4.1645320000000003</v>
      </c>
      <c r="E4640">
        <v>0.53188409999999997</v>
      </c>
      <c r="F4640" t="s">
        <v>78</v>
      </c>
      <c r="G4640">
        <v>-206.49199999999999</v>
      </c>
      <c r="H4640" s="1">
        <v>-2.4870449999999998E-6</v>
      </c>
      <c r="I4640">
        <v>-59.31</v>
      </c>
      <c r="J4640">
        <v>-235.1011</v>
      </c>
      <c r="K4640">
        <v>1.108188</v>
      </c>
      <c r="L4640">
        <v>-62.103209999999997</v>
      </c>
      <c r="M4640">
        <v>0.99993589999999999</v>
      </c>
      <c r="N4640">
        <v>-1.1151370000000001E-2</v>
      </c>
      <c r="O4640">
        <v>1.9574240000000001E-3</v>
      </c>
      <c r="P4640">
        <v>0.98249640000000005</v>
      </c>
      <c r="Q4640">
        <v>2.8963369999999999E-2</v>
      </c>
      <c r="R4640">
        <v>0.18401729999999999</v>
      </c>
      <c r="S4640">
        <v>3.0022890000000002</v>
      </c>
      <c r="T4640">
        <v>-0.1155684</v>
      </c>
      <c r="U4640">
        <v>0.2912903</v>
      </c>
      <c r="V4640">
        <v>-0.18197360000000001</v>
      </c>
      <c r="W4640">
        <v>4.046462E-2</v>
      </c>
      <c r="X4640">
        <v>0.98247050000000002</v>
      </c>
      <c r="Y4640">
        <v>-9.4531809999999994E-2</v>
      </c>
      <c r="Z4640">
        <v>2.2897080000000001E-3</v>
      </c>
      <c r="AA4640">
        <v>0.99551920000000005</v>
      </c>
      <c r="AB4640">
        <v>37</v>
      </c>
      <c r="AC4640">
        <v>28.609099999999899</v>
      </c>
      <c r="AD4640">
        <v>-1.1081904870449999</v>
      </c>
      <c r="AE4640">
        <v>2.79320999999999</v>
      </c>
      <c r="AF4640">
        <v>-2.7331388210804599</v>
      </c>
      <c r="AG4640">
        <v>-1.1081904870449999</v>
      </c>
      <c r="AH4640">
        <v>28.5720470003582</v>
      </c>
      <c r="AI4640">
        <v>92.211067910462305</v>
      </c>
      <c r="AJ4640">
        <v>95.464161572935794</v>
      </c>
      <c r="AK4640">
        <v>28.723857745114099</v>
      </c>
      <c r="AL4640">
        <v>87.680914957373901</v>
      </c>
      <c r="AM4640">
        <v>100.493428945906</v>
      </c>
      <c r="AN4640">
        <v>1.00000002996947</v>
      </c>
    </row>
    <row r="4641" spans="1:40" x14ac:dyDescent="0.25">
      <c r="A4641" t="str">
        <f>"20190305135723209"</f>
        <v>20190305135723209</v>
      </c>
      <c r="B4641" t="str">
        <f>"1551765443197530"</f>
        <v>1551765443197530</v>
      </c>
      <c r="C4641" t="s">
        <v>40</v>
      </c>
      <c r="D4641">
        <v>4.1414019999999896</v>
      </c>
      <c r="E4641">
        <v>0.53198519999999905</v>
      </c>
      <c r="F4641" t="s">
        <v>78</v>
      </c>
      <c r="G4641">
        <v>-206.21289999999999</v>
      </c>
      <c r="H4641" s="1">
        <v>-2.6635929999999998E-6</v>
      </c>
      <c r="I4641">
        <v>-59.31326</v>
      </c>
      <c r="J4641">
        <v>-234.9057</v>
      </c>
      <c r="K4641">
        <v>1.1082099999999999</v>
      </c>
      <c r="L4641">
        <v>-62.103360000000002</v>
      </c>
      <c r="M4641">
        <v>0.9999342</v>
      </c>
      <c r="N4641">
        <v>-1.140452E-2</v>
      </c>
      <c r="O4641">
        <v>1.3171490000000001E-3</v>
      </c>
      <c r="P4641">
        <v>0.98247390000000001</v>
      </c>
      <c r="Q4641">
        <v>2.8677459999999998E-2</v>
      </c>
      <c r="R4641">
        <v>0.1841815</v>
      </c>
      <c r="S4641">
        <v>3.002548</v>
      </c>
      <c r="T4641">
        <v>-0.1151816</v>
      </c>
      <c r="U4641">
        <v>0.28997800000000001</v>
      </c>
      <c r="V4641">
        <v>-0.1827674</v>
      </c>
      <c r="W4641">
        <v>4.0430319999999999E-2</v>
      </c>
      <c r="X4641">
        <v>0.98232450000000004</v>
      </c>
      <c r="Y4641">
        <v>-9.4729560000000004E-2</v>
      </c>
      <c r="Z4641">
        <v>2.318386E-3</v>
      </c>
      <c r="AA4641">
        <v>0.9955003</v>
      </c>
      <c r="AB4641">
        <v>37</v>
      </c>
      <c r="AC4641">
        <v>28.692799999999998</v>
      </c>
      <c r="AD4641">
        <v>-1.1082126635930001</v>
      </c>
      <c r="AE4641">
        <v>2.79009999999999</v>
      </c>
      <c r="AF4641">
        <v>-2.74824110582338</v>
      </c>
      <c r="AG4641">
        <v>-1.1082126635930001</v>
      </c>
      <c r="AH4641">
        <v>28.654105537130899</v>
      </c>
      <c r="AI4641">
        <v>92.204733357942899</v>
      </c>
      <c r="AJ4641">
        <v>95.478532075287504</v>
      </c>
      <c r="AK4641">
        <v>28.806921540083401</v>
      </c>
      <c r="AL4641">
        <v>87.6828816922812</v>
      </c>
      <c r="AM4641">
        <v>100.539711034326</v>
      </c>
      <c r="AN4641">
        <v>0.99999997828915599</v>
      </c>
    </row>
    <row r="4642" spans="1:40" x14ac:dyDescent="0.25">
      <c r="A4642" t="str">
        <f>"20190305135723220"</f>
        <v>20190305135723220</v>
      </c>
      <c r="B4642" t="str">
        <f>"1551765443217050"</f>
        <v>1551765443217050</v>
      </c>
      <c r="C4642" t="s">
        <v>40</v>
      </c>
      <c r="D4642">
        <v>4.0651640000000002</v>
      </c>
      <c r="E4642">
        <v>0.5321321</v>
      </c>
      <c r="F4642" t="s">
        <v>78</v>
      </c>
      <c r="G4642">
        <v>-206.3717</v>
      </c>
      <c r="H4642" s="1">
        <v>-2.5528879999999998E-6</v>
      </c>
      <c r="I4642">
        <v>-59.35</v>
      </c>
      <c r="J4642">
        <v>-234.71719999999999</v>
      </c>
      <c r="K4642">
        <v>1.108231</v>
      </c>
      <c r="L4642">
        <v>-62.103670000000001</v>
      </c>
      <c r="M4642">
        <v>0.99993220000000005</v>
      </c>
      <c r="N4642">
        <v>-1.162759E-2</v>
      </c>
      <c r="O4642">
        <v>7.0982019999999996E-4</v>
      </c>
      <c r="P4642">
        <v>0.98241120000000004</v>
      </c>
      <c r="Q4642">
        <v>2.863665E-2</v>
      </c>
      <c r="R4642">
        <v>0.18452189999999999</v>
      </c>
      <c r="S4642">
        <v>3.0026090000000001</v>
      </c>
      <c r="T4642">
        <v>-0.1166161</v>
      </c>
      <c r="U4642">
        <v>0.28973389999999999</v>
      </c>
      <c r="V4642">
        <v>-0.18370420000000001</v>
      </c>
      <c r="W4642">
        <v>4.0608030000000003E-2</v>
      </c>
      <c r="X4642">
        <v>0.98214239999999997</v>
      </c>
      <c r="Y4642">
        <v>-9.5248949999999999E-2</v>
      </c>
      <c r="Z4642">
        <v>2.3807429999999998E-3</v>
      </c>
      <c r="AA4642">
        <v>0.99545059999999996</v>
      </c>
      <c r="AB4642">
        <v>37</v>
      </c>
      <c r="AC4642">
        <v>28.345499999999902</v>
      </c>
      <c r="AD4642">
        <v>-1.1082335528880001</v>
      </c>
      <c r="AE4642">
        <v>2.7536699999999898</v>
      </c>
      <c r="AF4642">
        <v>-2.72941455751188</v>
      </c>
      <c r="AG4642">
        <v>-1.1082335528880001</v>
      </c>
      <c r="AH4642">
        <v>28.304585670473401</v>
      </c>
      <c r="AI4642">
        <v>92.2318629097322</v>
      </c>
      <c r="AJ4642">
        <v>95.508008388295906</v>
      </c>
      <c r="AK4642">
        <v>28.457467480639799</v>
      </c>
      <c r="AL4642">
        <v>87.672691269935598</v>
      </c>
      <c r="AM4642">
        <v>100.594433764122</v>
      </c>
      <c r="AN4642">
        <v>0.99999996953793902</v>
      </c>
    </row>
    <row r="4643" spans="1:40" x14ac:dyDescent="0.25">
      <c r="A4643" t="str">
        <f>"20190305135723232"</f>
        <v>20190305135723232</v>
      </c>
      <c r="B4643" t="str">
        <f>"1551765443226810"</f>
        <v>1551765443226810</v>
      </c>
      <c r="C4643" t="s">
        <v>40</v>
      </c>
      <c r="D4643">
        <v>4.1402929999999998</v>
      </c>
      <c r="E4643">
        <v>0.53225529999999999</v>
      </c>
      <c r="F4643" t="s">
        <v>78</v>
      </c>
      <c r="G4643">
        <v>-206.1593</v>
      </c>
      <c r="H4643" s="1">
        <v>-2.688349E-6</v>
      </c>
      <c r="I4643">
        <v>-59.3480699999999</v>
      </c>
      <c r="J4643">
        <v>-234.51660000000001</v>
      </c>
      <c r="K4643">
        <v>1.1082609999999999</v>
      </c>
      <c r="L4643">
        <v>-62.104100000000003</v>
      </c>
      <c r="M4643">
        <v>0.99992970000000003</v>
      </c>
      <c r="N4643">
        <v>-1.1858459999999999E-2</v>
      </c>
      <c r="O4643" s="1">
        <v>6.6735619999999898E-5</v>
      </c>
      <c r="P4643">
        <v>0.98233599999999999</v>
      </c>
      <c r="Q4643">
        <v>2.8632390000000001E-2</v>
      </c>
      <c r="R4643">
        <v>0.18492220000000001</v>
      </c>
      <c r="S4643">
        <v>3.0026860000000002</v>
      </c>
      <c r="T4643">
        <v>-0.11652410000000001</v>
      </c>
      <c r="U4643">
        <v>0.28973389999999999</v>
      </c>
      <c r="V4643">
        <v>-0.18473600000000001</v>
      </c>
      <c r="W4643">
        <v>4.083005E-2</v>
      </c>
      <c r="X4643">
        <v>0.98193969999999997</v>
      </c>
      <c r="Y4643">
        <v>-9.588555E-2</v>
      </c>
      <c r="Z4643">
        <v>2.4238419999999998E-3</v>
      </c>
      <c r="AA4643">
        <v>0.99538939999999998</v>
      </c>
      <c r="AB4643">
        <v>37</v>
      </c>
      <c r="AC4643">
        <v>28.357299999999999</v>
      </c>
      <c r="AD4643">
        <v>-1.108263688349</v>
      </c>
      <c r="AE4643">
        <v>2.75603</v>
      </c>
      <c r="AF4643">
        <v>-2.74997637379143</v>
      </c>
      <c r="AG4643">
        <v>-1.108263688349</v>
      </c>
      <c r="AH4643">
        <v>28.314640418415198</v>
      </c>
      <c r="AI4643">
        <v>92.230983901128397</v>
      </c>
      <c r="AJ4643">
        <v>95.547286179597407</v>
      </c>
      <c r="AK4643">
        <v>28.469448194221702</v>
      </c>
      <c r="AL4643">
        <v>87.659960039799799</v>
      </c>
      <c r="AM4643">
        <v>100.654729345983</v>
      </c>
      <c r="AN4643">
        <v>1.0000000285575401</v>
      </c>
    </row>
    <row r="4644" spans="1:40" x14ac:dyDescent="0.25">
      <c r="A4644" t="str">
        <f>"20190305135723244"</f>
        <v>20190305135723244</v>
      </c>
      <c r="B4644" t="str">
        <f>"1551765443237545"</f>
        <v>1551765443237545</v>
      </c>
      <c r="C4644" t="s">
        <v>40</v>
      </c>
      <c r="D4644">
        <v>4.163138</v>
      </c>
      <c r="E4644">
        <v>0.5323755</v>
      </c>
      <c r="F4644" t="s">
        <v>78</v>
      </c>
      <c r="G4644">
        <v>-206.09610000000001</v>
      </c>
      <c r="H4644" s="1">
        <v>-2.725785E-6</v>
      </c>
      <c r="I4644">
        <v>-59.358339999999998</v>
      </c>
      <c r="J4644">
        <v>-234.31870000000001</v>
      </c>
      <c r="K4644">
        <v>1.1082890000000001</v>
      </c>
      <c r="L4644">
        <v>-62.104640000000003</v>
      </c>
      <c r="M4644">
        <v>0.99992720000000002</v>
      </c>
      <c r="N4644">
        <v>-1.2068600000000001E-2</v>
      </c>
      <c r="O4644">
        <v>-5.5940410000000003E-4</v>
      </c>
      <c r="P4644">
        <v>0.98224840000000002</v>
      </c>
      <c r="Q4644">
        <v>2.9439110000000001E-2</v>
      </c>
      <c r="R4644">
        <v>0.18526219999999999</v>
      </c>
      <c r="S4644">
        <v>3.0027309999999998</v>
      </c>
      <c r="T4644">
        <v>-0.1170925</v>
      </c>
      <c r="U4644">
        <v>0.29010010000000003</v>
      </c>
      <c r="V4644">
        <v>-0.18568889999999999</v>
      </c>
      <c r="W4644">
        <v>4.1840559999999999E-2</v>
      </c>
      <c r="X4644">
        <v>0.98171730000000001</v>
      </c>
      <c r="Y4644">
        <v>-9.6625489999999994E-2</v>
      </c>
      <c r="Z4644">
        <v>2.478638E-3</v>
      </c>
      <c r="AA4644">
        <v>0.99531769999999997</v>
      </c>
      <c r="AB4644">
        <v>37</v>
      </c>
      <c r="AC4644">
        <v>28.2226</v>
      </c>
      <c r="AD4644">
        <v>-1.10829172578499</v>
      </c>
      <c r="AE4644">
        <v>2.74629999999999</v>
      </c>
      <c r="AF4644">
        <v>-2.7578755129180301</v>
      </c>
      <c r="AG4644">
        <v>-1.10829172578499</v>
      </c>
      <c r="AH4644">
        <v>28.178013304937199</v>
      </c>
      <c r="AI4644">
        <v>92.241684463111497</v>
      </c>
      <c r="AJ4644">
        <v>95.589924149485</v>
      </c>
      <c r="AK4644">
        <v>28.334336443746398</v>
      </c>
      <c r="AL4644">
        <v>87.602012315023302</v>
      </c>
      <c r="AM4644">
        <v>100.710790278734</v>
      </c>
      <c r="AN4644">
        <v>0.99999992858180398</v>
      </c>
    </row>
    <row r="4645" spans="1:40" x14ac:dyDescent="0.25">
      <c r="A4645" t="str">
        <f>"20190305135723256"</f>
        <v>20190305135723256</v>
      </c>
      <c r="B4645" t="str">
        <f>"1551765443247305"</f>
        <v>1551765443247305</v>
      </c>
      <c r="C4645" t="s">
        <v>40</v>
      </c>
      <c r="D4645">
        <v>4.1432390000000003</v>
      </c>
      <c r="E4645">
        <v>0.5324913</v>
      </c>
      <c r="F4645" t="s">
        <v>78</v>
      </c>
      <c r="G4645">
        <v>-205.40870000000001</v>
      </c>
      <c r="H4645" s="1">
        <v>-3.1678500000000001E-6</v>
      </c>
      <c r="I4645">
        <v>-59.310589999999998</v>
      </c>
      <c r="J4645">
        <v>-234.1292</v>
      </c>
      <c r="K4645">
        <v>1.1083209999999999</v>
      </c>
      <c r="L4645">
        <v>-62.105289999999997</v>
      </c>
      <c r="M4645">
        <v>0.99992429999999999</v>
      </c>
      <c r="N4645">
        <v>-1.225858E-2</v>
      </c>
      <c r="O4645">
        <v>-1.153025E-3</v>
      </c>
      <c r="P4645">
        <v>0.9820951</v>
      </c>
      <c r="Q4645">
        <v>3.1480639999999997E-2</v>
      </c>
      <c r="R4645">
        <v>0.18573809999999999</v>
      </c>
      <c r="S4645">
        <v>3.0029300000000001</v>
      </c>
      <c r="T4645">
        <v>-0.1151204</v>
      </c>
      <c r="U4645">
        <v>0.29022219999999999</v>
      </c>
      <c r="V4645">
        <v>-0.18674160000000001</v>
      </c>
      <c r="W4645">
        <v>4.406438E-2</v>
      </c>
      <c r="X4645">
        <v>0.98142030000000002</v>
      </c>
      <c r="Y4645">
        <v>-9.7251829999999997E-2</v>
      </c>
      <c r="Z4645">
        <v>2.486879E-3</v>
      </c>
      <c r="AA4645">
        <v>0.99525669999999999</v>
      </c>
      <c r="AB4645">
        <v>37</v>
      </c>
      <c r="AC4645">
        <v>28.720499999999902</v>
      </c>
      <c r="AD4645">
        <v>-1.10832416785</v>
      </c>
      <c r="AE4645">
        <v>2.79469999999999</v>
      </c>
      <c r="AF4645">
        <v>-2.8236505756913099</v>
      </c>
      <c r="AG4645">
        <v>-1.10832416785</v>
      </c>
      <c r="AH4645">
        <v>28.674956435432598</v>
      </c>
      <c r="AI4645">
        <v>92.202810732535099</v>
      </c>
      <c r="AJ4645">
        <v>95.6238401061037</v>
      </c>
      <c r="AK4645">
        <v>28.834952949651299</v>
      </c>
      <c r="AL4645">
        <v>87.474479134918298</v>
      </c>
      <c r="AM4645">
        <v>100.77327804148899</v>
      </c>
      <c r="AN4645">
        <v>0.999999950003716</v>
      </c>
    </row>
    <row r="4646" spans="1:40" x14ac:dyDescent="0.25">
      <c r="A4646" t="str">
        <f>"20190305135723270"</f>
        <v>20190305135723270</v>
      </c>
      <c r="B4646" t="str">
        <f>"1551765443257066"</f>
        <v>1551765443257066</v>
      </c>
      <c r="C4646" t="s">
        <v>40</v>
      </c>
      <c r="D4646">
        <v>4.1462089999999998</v>
      </c>
      <c r="E4646">
        <v>0.53258070000000002</v>
      </c>
      <c r="F4646" t="s">
        <v>78</v>
      </c>
      <c r="G4646">
        <v>-203.70060000000001</v>
      </c>
      <c r="H4646" s="1">
        <v>-4.0887070000000003E-6</v>
      </c>
      <c r="I4646">
        <v>-59.158850000000001</v>
      </c>
      <c r="J4646">
        <v>-233.89420000000001</v>
      </c>
      <c r="K4646">
        <v>1.1083529999999999</v>
      </c>
      <c r="L4646">
        <v>-62.106200000000001</v>
      </c>
      <c r="M4646">
        <v>0.99992040000000004</v>
      </c>
      <c r="N4646">
        <v>-1.2481880000000001E-2</v>
      </c>
      <c r="O4646">
        <v>-1.883818E-3</v>
      </c>
      <c r="P4646">
        <v>0.98194579999999998</v>
      </c>
      <c r="Q4646">
        <v>3.3808560000000001E-2</v>
      </c>
      <c r="R4646">
        <v>0.1861169</v>
      </c>
      <c r="S4646">
        <v>3.0031889999999999</v>
      </c>
      <c r="T4646">
        <v>-0.1093874</v>
      </c>
      <c r="U4646">
        <v>0.290802</v>
      </c>
      <c r="V4646">
        <v>-0.1878312</v>
      </c>
      <c r="W4646">
        <v>4.6606170000000002E-2</v>
      </c>
      <c r="X4646">
        <v>0.98109500000000005</v>
      </c>
      <c r="Y4646">
        <v>-9.8167989999999997E-2</v>
      </c>
      <c r="Z4646">
        <v>2.4424300000000002E-3</v>
      </c>
      <c r="AA4646">
        <v>0.99516680000000002</v>
      </c>
      <c r="AB4646">
        <v>37</v>
      </c>
      <c r="AC4646">
        <v>30.1936</v>
      </c>
      <c r="AD4646">
        <v>-1.108357088707</v>
      </c>
      <c r="AE4646">
        <v>2.9473500000000001</v>
      </c>
      <c r="AF4646">
        <v>-3.00022379335691</v>
      </c>
      <c r="AG4646">
        <v>-1.108357088707</v>
      </c>
      <c r="AH4646">
        <v>30.1477529797396</v>
      </c>
      <c r="AI4646">
        <v>92.095143493258007</v>
      </c>
      <c r="AJ4646">
        <v>95.6832105216332</v>
      </c>
      <c r="AK4646">
        <v>30.316939290992199</v>
      </c>
      <c r="AL4646">
        <v>87.328695616894706</v>
      </c>
      <c r="AM4646">
        <v>100.838161624629</v>
      </c>
      <c r="AN4646">
        <v>1.0000000469002499</v>
      </c>
    </row>
    <row r="4647" spans="1:40" x14ac:dyDescent="0.25">
      <c r="A4647" t="str">
        <f>"20190305135723285"</f>
        <v>20190305135723285</v>
      </c>
      <c r="B4647" t="str">
        <f>"1551765443277563"</f>
        <v>1551765443277563</v>
      </c>
      <c r="C4647" t="s">
        <v>40</v>
      </c>
      <c r="D4647">
        <v>4.1847019999999997</v>
      </c>
      <c r="E4647">
        <v>0.53281160000000005</v>
      </c>
      <c r="F4647" t="s">
        <v>78</v>
      </c>
      <c r="G4647">
        <v>-201.3048</v>
      </c>
      <c r="H4647" s="1">
        <v>-5.357178E-6</v>
      </c>
      <c r="I4647">
        <v>-58.943489999999997</v>
      </c>
      <c r="J4647">
        <v>-233.62880000000001</v>
      </c>
      <c r="K4647">
        <v>1.1083879999999999</v>
      </c>
      <c r="L4647">
        <v>-62.10745</v>
      </c>
      <c r="M4647">
        <v>0.99991569999999996</v>
      </c>
      <c r="N4647">
        <v>-1.2707049999999999E-2</v>
      </c>
      <c r="O4647">
        <v>-2.6919299999999999E-3</v>
      </c>
      <c r="P4647">
        <v>0.98178100000000001</v>
      </c>
      <c r="Q4647">
        <v>3.6271079999999997E-2</v>
      </c>
      <c r="R4647">
        <v>0.18652260000000001</v>
      </c>
      <c r="S4647">
        <v>3.0034179999999999</v>
      </c>
      <c r="T4647">
        <v>-0.10214570000000001</v>
      </c>
      <c r="U4647">
        <v>0.29147339999999999</v>
      </c>
      <c r="V4647">
        <v>-0.18902450000000001</v>
      </c>
      <c r="W4647">
        <v>4.9281480000000003E-2</v>
      </c>
      <c r="X4647">
        <v>0.98073489999999997</v>
      </c>
      <c r="Y4647">
        <v>-9.9193790000000004E-2</v>
      </c>
      <c r="Z4647">
        <v>2.3715199999999998E-3</v>
      </c>
      <c r="AA4647">
        <v>0.99506530000000004</v>
      </c>
      <c r="AB4647">
        <v>37</v>
      </c>
      <c r="AC4647">
        <v>32.323999999999998</v>
      </c>
      <c r="AD4647">
        <v>-1.108393357178</v>
      </c>
      <c r="AE4647">
        <v>3.1639599999999901</v>
      </c>
      <c r="AF4647">
        <v>-3.2471876541775901</v>
      </c>
      <c r="AG4647">
        <v>-1.108393357178</v>
      </c>
      <c r="AH4647">
        <v>32.277772620623097</v>
      </c>
      <c r="AI4647">
        <v>91.956849652648501</v>
      </c>
      <c r="AJ4647">
        <v>95.744705052516395</v>
      </c>
      <c r="AK4647">
        <v>32.459626751463503</v>
      </c>
      <c r="AL4647">
        <v>87.175234815256701</v>
      </c>
      <c r="AM4647">
        <v>100.90927911510001</v>
      </c>
      <c r="AN4647">
        <v>0.99999993497462303</v>
      </c>
    </row>
    <row r="4648" spans="1:40" x14ac:dyDescent="0.25">
      <c r="A4648" t="str">
        <f>"20190305135723299"</f>
        <v>20190305135723299</v>
      </c>
      <c r="B4648" t="str">
        <f>"1551765443287321"</f>
        <v>1551765443287321</v>
      </c>
      <c r="C4648" t="s">
        <v>40</v>
      </c>
      <c r="D4648">
        <v>4.1929109999999996</v>
      </c>
      <c r="E4648">
        <v>0.53292269999999997</v>
      </c>
      <c r="F4648" t="s">
        <v>78</v>
      </c>
      <c r="G4648">
        <v>-198.49610000000001</v>
      </c>
      <c r="H4648" s="1">
        <v>-7.7121489999999993E-6</v>
      </c>
      <c r="I4648">
        <v>-58.703800000000001</v>
      </c>
      <c r="J4648">
        <v>-233.4171</v>
      </c>
      <c r="K4648">
        <v>1.10842</v>
      </c>
      <c r="L4648">
        <v>-62.108609999999999</v>
      </c>
      <c r="M4648">
        <v>0.99991169999999996</v>
      </c>
      <c r="N4648">
        <v>-1.287251E-2</v>
      </c>
      <c r="O4648">
        <v>-3.3269089999999999E-3</v>
      </c>
      <c r="P4648">
        <v>0.98119829999999997</v>
      </c>
      <c r="Q4648">
        <v>4.059016E-2</v>
      </c>
      <c r="R4648">
        <v>0.1886864</v>
      </c>
      <c r="S4648">
        <v>3.003876</v>
      </c>
      <c r="T4648">
        <v>-9.476888E-2</v>
      </c>
      <c r="U4648">
        <v>0.29101559999999999</v>
      </c>
      <c r="V4648">
        <v>-0.19179750000000001</v>
      </c>
      <c r="W4648">
        <v>5.3755419999999998E-2</v>
      </c>
      <c r="X4648">
        <v>0.97996130000000004</v>
      </c>
      <c r="Y4648">
        <v>-9.9669800000000003E-2</v>
      </c>
      <c r="Z4648">
        <v>2.2733979999999998E-3</v>
      </c>
      <c r="AA4648">
        <v>0.99501790000000001</v>
      </c>
      <c r="AB4648">
        <v>37</v>
      </c>
      <c r="AC4648">
        <v>34.9209999999999</v>
      </c>
      <c r="AD4648">
        <v>-1.108427712149</v>
      </c>
      <c r="AE4648">
        <v>3.4048099999999901</v>
      </c>
      <c r="AF4648">
        <v>-3.5174693105284001</v>
      </c>
      <c r="AG4648">
        <v>-1.108427712149</v>
      </c>
      <c r="AH4648">
        <v>34.874673208368101</v>
      </c>
      <c r="AI4648">
        <v>91.811245521696407</v>
      </c>
      <c r="AJ4648">
        <v>95.759391368028901</v>
      </c>
      <c r="AK4648">
        <v>35.069132206743298</v>
      </c>
      <c r="AL4648">
        <v>86.9185561613088</v>
      </c>
      <c r="AM4648">
        <v>101.073915803571</v>
      </c>
      <c r="AN4648">
        <v>1.00000003784165</v>
      </c>
    </row>
    <row r="4649" spans="1:40" x14ac:dyDescent="0.25">
      <c r="A4649" t="str">
        <f>"20190305135723320"</f>
        <v>20190305135723320</v>
      </c>
      <c r="B4649" t="str">
        <f>"1551765443306842"</f>
        <v>1551765443306842</v>
      </c>
      <c r="C4649" t="s">
        <v>40</v>
      </c>
      <c r="D4649">
        <v>4.1767719999999997</v>
      </c>
      <c r="E4649">
        <v>0.53315519999999905</v>
      </c>
      <c r="F4649" t="s">
        <v>78</v>
      </c>
      <c r="G4649">
        <v>-192.69990000000001</v>
      </c>
      <c r="H4649" s="1">
        <v>-7.2774640000000001E-6</v>
      </c>
      <c r="I4649">
        <v>-58.084800000000001</v>
      </c>
      <c r="J4649">
        <v>-233.05520000000001</v>
      </c>
      <c r="K4649">
        <v>1.1084700000000001</v>
      </c>
      <c r="L4649">
        <v>-62.110900000000001</v>
      </c>
      <c r="M4649">
        <v>0.99990409999999996</v>
      </c>
      <c r="N4649">
        <v>-1.3129770000000001E-2</v>
      </c>
      <c r="O4649">
        <v>-4.3905840000000003E-3</v>
      </c>
      <c r="P4649">
        <v>0.98060559999999997</v>
      </c>
      <c r="Q4649">
        <v>4.3693889999999999E-2</v>
      </c>
      <c r="R4649">
        <v>0.19105939999999999</v>
      </c>
      <c r="S4649">
        <v>3.003784</v>
      </c>
      <c r="T4649">
        <v>-8.1770899999999994E-2</v>
      </c>
      <c r="U4649">
        <v>0.29684450000000001</v>
      </c>
      <c r="V4649">
        <v>-0.19520480000000001</v>
      </c>
      <c r="W4649">
        <v>5.7098620000000003E-2</v>
      </c>
      <c r="X4649">
        <v>0.97909900000000005</v>
      </c>
      <c r="Y4649">
        <v>-0.10265680000000001</v>
      </c>
      <c r="Z4649">
        <v>2.1311379999999999E-3</v>
      </c>
      <c r="AA4649">
        <v>0.9947146</v>
      </c>
      <c r="AB4649">
        <v>37</v>
      </c>
      <c r="AC4649">
        <v>40.3553</v>
      </c>
      <c r="AD4649">
        <v>-1.1084772774639999</v>
      </c>
      <c r="AE4649">
        <v>4.0260999999999996</v>
      </c>
      <c r="AF4649">
        <v>-4.2001220950834801</v>
      </c>
      <c r="AG4649">
        <v>-1.1084772774639999</v>
      </c>
      <c r="AH4649">
        <v>40.307120970815802</v>
      </c>
      <c r="AI4649">
        <v>91.566802453209903</v>
      </c>
      <c r="AJ4649">
        <v>95.948921277811493</v>
      </c>
      <c r="AK4649">
        <v>40.540519834410603</v>
      </c>
      <c r="AL4649">
        <v>86.726709816590798</v>
      </c>
      <c r="AM4649">
        <v>101.275323381459</v>
      </c>
      <c r="AN4649">
        <v>1.0000000090749701</v>
      </c>
    </row>
    <row r="4650" spans="1:40" x14ac:dyDescent="0.25">
      <c r="A4650" t="str">
        <f>"20190305135723332"</f>
        <v>20190305135723332</v>
      </c>
      <c r="B4650" t="str">
        <f>"1551765443327338"</f>
        <v>1551765443327338</v>
      </c>
      <c r="C4650" t="s">
        <v>40</v>
      </c>
      <c r="D4650">
        <v>4.1516690000000001</v>
      </c>
      <c r="E4650">
        <v>0.53338059999999998</v>
      </c>
      <c r="F4650" t="s">
        <v>78</v>
      </c>
      <c r="G4650">
        <v>-187.13720000000001</v>
      </c>
      <c r="H4650" s="1">
        <v>-1.260836E-5</v>
      </c>
      <c r="I4650">
        <v>-57.491309999999999</v>
      </c>
      <c r="J4650">
        <v>-232.86500000000001</v>
      </c>
      <c r="K4650">
        <v>1.1084909999999999</v>
      </c>
      <c r="L4650">
        <v>-62.112209999999997</v>
      </c>
      <c r="M4650">
        <v>0.99990000000000001</v>
      </c>
      <c r="N4650">
        <v>-1.325378E-2</v>
      </c>
      <c r="O4650">
        <v>-4.9385640000000003E-3</v>
      </c>
      <c r="P4650">
        <v>0.98038170000000002</v>
      </c>
      <c r="Q4650">
        <v>4.4807659999999999E-2</v>
      </c>
      <c r="R4650">
        <v>0.19194829999999999</v>
      </c>
      <c r="S4650">
        <v>3.0036770000000002</v>
      </c>
      <c r="T4650">
        <v>-7.2510119999999997E-2</v>
      </c>
      <c r="U4650">
        <v>0.30218509999999998</v>
      </c>
      <c r="V4650">
        <v>-0.196628</v>
      </c>
      <c r="W4650">
        <v>5.8326320000000001E-2</v>
      </c>
      <c r="X4650">
        <v>0.9787418</v>
      </c>
      <c r="Y4650">
        <v>-0.1049654</v>
      </c>
      <c r="Z4650">
        <v>2.0147390000000002E-3</v>
      </c>
      <c r="AA4650">
        <v>0.99447379999999996</v>
      </c>
      <c r="AB4650">
        <v>37</v>
      </c>
      <c r="AC4650">
        <v>45.727800000000002</v>
      </c>
      <c r="AD4650">
        <v>-1.1085036083599999</v>
      </c>
      <c r="AE4650">
        <v>4.62089999999999</v>
      </c>
      <c r="AF4650">
        <v>-4.8438754399894997</v>
      </c>
      <c r="AG4650">
        <v>-1.1085036083599999</v>
      </c>
      <c r="AH4650">
        <v>45.677848707723797</v>
      </c>
      <c r="AI4650">
        <v>91.382424865699406</v>
      </c>
      <c r="AJ4650">
        <v>96.053267952463202</v>
      </c>
      <c r="AK4650">
        <v>45.947336942347199</v>
      </c>
      <c r="AL4650">
        <v>86.656250384006796</v>
      </c>
      <c r="AM4650">
        <v>101.359437690422</v>
      </c>
      <c r="AN4650">
        <v>1.00000002052799</v>
      </c>
    </row>
    <row r="4651" spans="1:40" x14ac:dyDescent="0.25">
      <c r="A4651" t="str">
        <f>"20190305135723343"</f>
        <v>20190305135723343</v>
      </c>
      <c r="B4651" t="str">
        <f>"1551765443337098"</f>
        <v>1551765443337098</v>
      </c>
      <c r="C4651" t="s">
        <v>40</v>
      </c>
      <c r="D4651">
        <v>4.1681049999999997</v>
      </c>
      <c r="E4651">
        <v>0.53348519999999999</v>
      </c>
      <c r="F4651" t="s">
        <v>78</v>
      </c>
      <c r="G4651">
        <v>-184.8202</v>
      </c>
      <c r="H4651" s="1">
        <v>-1.305162E-5</v>
      </c>
      <c r="I4651">
        <v>-57.266800000000003</v>
      </c>
      <c r="J4651">
        <v>-232.65799999999999</v>
      </c>
      <c r="K4651">
        <v>1.108511</v>
      </c>
      <c r="L4651">
        <v>-62.11374</v>
      </c>
      <c r="M4651">
        <v>0.99989550000000005</v>
      </c>
      <c r="N4651">
        <v>-1.3375659999999999E-2</v>
      </c>
      <c r="O4651">
        <v>-5.5208019999999896E-3</v>
      </c>
      <c r="P4651">
        <v>0.98012160000000004</v>
      </c>
      <c r="Q4651">
        <v>4.5874230000000002E-2</v>
      </c>
      <c r="R4651">
        <v>0.19302169999999999</v>
      </c>
      <c r="S4651">
        <v>3.0038909999999999</v>
      </c>
      <c r="T4651">
        <v>-6.9306610000000005E-2</v>
      </c>
      <c r="U4651">
        <v>0.302948</v>
      </c>
      <c r="V4651">
        <v>-0.1982699</v>
      </c>
      <c r="W4651">
        <v>5.9503500000000001E-2</v>
      </c>
      <c r="X4651">
        <v>0.97833959999999998</v>
      </c>
      <c r="Y4651">
        <v>-0.1057903</v>
      </c>
      <c r="Z4651">
        <v>1.9800350000000002E-3</v>
      </c>
      <c r="AA4651">
        <v>0.99438649999999995</v>
      </c>
      <c r="AB4651">
        <v>37</v>
      </c>
      <c r="AC4651">
        <v>47.837799999999902</v>
      </c>
      <c r="AD4651">
        <v>-1.1085240516199999</v>
      </c>
      <c r="AE4651">
        <v>4.8469399999999903</v>
      </c>
      <c r="AF4651">
        <v>-5.1082776129232901</v>
      </c>
      <c r="AG4651">
        <v>-1.1085240516199999</v>
      </c>
      <c r="AH4651">
        <v>47.784911247189903</v>
      </c>
      <c r="AI4651">
        <v>91.321394487553306</v>
      </c>
      <c r="AJ4651">
        <v>96.1018301415357</v>
      </c>
      <c r="AK4651">
        <v>48.069960148158401</v>
      </c>
      <c r="AL4651">
        <v>86.588685493598106</v>
      </c>
      <c r="AM4651">
        <v>101.456379515192</v>
      </c>
      <c r="AN4651">
        <v>0.99999999634320902</v>
      </c>
    </row>
    <row r="4652" spans="1:40" x14ac:dyDescent="0.25">
      <c r="A4652" t="str">
        <f>"20190305135723355"</f>
        <v>20190305135723355</v>
      </c>
      <c r="B4652" t="str">
        <f>"1551765443346860"</f>
        <v>1551765443346860</v>
      </c>
      <c r="C4652" t="s">
        <v>40</v>
      </c>
      <c r="D4652">
        <v>4.1862159999999999</v>
      </c>
      <c r="E4652">
        <v>0.53360750000000001</v>
      </c>
      <c r="F4652" t="s">
        <v>78</v>
      </c>
      <c r="G4652">
        <v>-182.55439999999999</v>
      </c>
      <c r="H4652" s="1">
        <v>-1.3450209999999999E-5</v>
      </c>
      <c r="I4652">
        <v>-57.018279999999997</v>
      </c>
      <c r="J4652">
        <v>-232.47149999999999</v>
      </c>
      <c r="K4652">
        <v>1.108536</v>
      </c>
      <c r="L4652">
        <v>-62.115259999999999</v>
      </c>
      <c r="M4652">
        <v>0.99989099999999997</v>
      </c>
      <c r="N4652">
        <v>-1.3478459999999999E-2</v>
      </c>
      <c r="O4652">
        <v>-6.0345859999999998E-3</v>
      </c>
      <c r="P4652">
        <v>0.97994369999999997</v>
      </c>
      <c r="Q4652">
        <v>4.6157579999999997E-2</v>
      </c>
      <c r="R4652">
        <v>0.19385559999999999</v>
      </c>
      <c r="S4652">
        <v>3.0037989999999999</v>
      </c>
      <c r="T4652">
        <v>-6.6457989999999995E-2</v>
      </c>
      <c r="U4652">
        <v>0.305481</v>
      </c>
      <c r="V4652">
        <v>-0.1996069</v>
      </c>
      <c r="W4652">
        <v>5.9879059999999998E-2</v>
      </c>
      <c r="X4652">
        <v>0.97804480000000005</v>
      </c>
      <c r="Y4652">
        <v>-0.1071365</v>
      </c>
      <c r="Z4652">
        <v>1.9580769999999999E-3</v>
      </c>
      <c r="AA4652">
        <v>0.99424239999999997</v>
      </c>
      <c r="AB4652">
        <v>37</v>
      </c>
      <c r="AC4652">
        <v>49.917099999999998</v>
      </c>
      <c r="AD4652">
        <v>-1.10854945021</v>
      </c>
      <c r="AE4652">
        <v>5.0969799999999896</v>
      </c>
      <c r="AF4652">
        <v>-5.3955100233134603</v>
      </c>
      <c r="AG4652">
        <v>-1.10854945021</v>
      </c>
      <c r="AH4652">
        <v>49.861092884380497</v>
      </c>
      <c r="AI4652">
        <v>91.266243604091201</v>
      </c>
      <c r="AJ4652">
        <v>96.175992317711206</v>
      </c>
      <c r="AK4652">
        <v>50.164419601148197</v>
      </c>
      <c r="AL4652">
        <v>86.567129146455699</v>
      </c>
      <c r="AM4652">
        <v>101.534953614735</v>
      </c>
      <c r="AN4652">
        <v>1.0000000235805599</v>
      </c>
    </row>
    <row r="4653" spans="1:40" x14ac:dyDescent="0.25">
      <c r="A4653" t="str">
        <f>"20190305135723368"</f>
        <v>20190305135723368</v>
      </c>
      <c r="B4653" t="str">
        <f>"1551765443357594"</f>
        <v>1551765443357594</v>
      </c>
      <c r="C4653" t="s">
        <v>40</v>
      </c>
      <c r="D4653">
        <v>4.150258</v>
      </c>
      <c r="E4653">
        <v>0.53373789999999999</v>
      </c>
      <c r="F4653" t="s">
        <v>78</v>
      </c>
      <c r="G4653">
        <v>-182.06139999999999</v>
      </c>
      <c r="H4653" s="1">
        <v>-1.352316E-5</v>
      </c>
      <c r="I4653">
        <v>-56.961449999999999</v>
      </c>
      <c r="J4653">
        <v>-232.2604</v>
      </c>
      <c r="K4653">
        <v>1.1085659999999999</v>
      </c>
      <c r="L4653">
        <v>-62.11703</v>
      </c>
      <c r="M4653">
        <v>0.99988589999999999</v>
      </c>
      <c r="N4653">
        <v>-1.358788E-2</v>
      </c>
      <c r="O4653">
        <v>-6.6054460000000001E-3</v>
      </c>
      <c r="P4653">
        <v>0.97981700000000005</v>
      </c>
      <c r="Q4653">
        <v>4.629697E-2</v>
      </c>
      <c r="R4653">
        <v>0.1944623</v>
      </c>
      <c r="S4653">
        <v>3.0037690000000001</v>
      </c>
      <c r="T4653">
        <v>-6.605482E-2</v>
      </c>
      <c r="U4653">
        <v>0.30709839999999999</v>
      </c>
      <c r="V4653">
        <v>-0.20077439999999999</v>
      </c>
      <c r="W4653">
        <v>6.0115130000000003E-2</v>
      </c>
      <c r="X4653">
        <v>0.97779130000000003</v>
      </c>
      <c r="Y4653">
        <v>-0.10823480000000001</v>
      </c>
      <c r="Z4653">
        <v>1.9796309999999999E-3</v>
      </c>
      <c r="AA4653">
        <v>0.99412339999999999</v>
      </c>
      <c r="AB4653">
        <v>37</v>
      </c>
      <c r="AC4653">
        <v>50.198999999999998</v>
      </c>
      <c r="AD4653">
        <v>-1.10857952316</v>
      </c>
      <c r="AE4653">
        <v>5.1555799999999996</v>
      </c>
      <c r="AF4653">
        <v>-5.4844381041457799</v>
      </c>
      <c r="AG4653">
        <v>-1.10857952316</v>
      </c>
      <c r="AH4653">
        <v>50.139649239147602</v>
      </c>
      <c r="AI4653">
        <v>91.259086583120705</v>
      </c>
      <c r="AJ4653">
        <v>96.242381806690702</v>
      </c>
      <c r="AK4653">
        <v>50.450891327132503</v>
      </c>
      <c r="AL4653">
        <v>86.553578866395796</v>
      </c>
      <c r="AM4653">
        <v>101.603523822455</v>
      </c>
      <c r="AN4653">
        <v>1.00000000745298</v>
      </c>
    </row>
    <row r="4654" spans="1:40" x14ac:dyDescent="0.25">
      <c r="A4654" t="str">
        <f>"20190305135723380"</f>
        <v>20190305135723380</v>
      </c>
      <c r="B4654" t="str">
        <f>"1551765443367354"</f>
        <v>1551765443367354</v>
      </c>
      <c r="C4654" t="s">
        <v>40</v>
      </c>
      <c r="D4654">
        <v>4.15489</v>
      </c>
      <c r="E4654">
        <v>0.53373789999999999</v>
      </c>
      <c r="F4654" t="s">
        <v>78</v>
      </c>
      <c r="G4654">
        <v>-181.6156</v>
      </c>
      <c r="H4654" s="1">
        <v>-1.3594709999999999E-5</v>
      </c>
      <c r="I4654">
        <v>-56.926380000000002</v>
      </c>
      <c r="J4654">
        <v>-232.07550000000001</v>
      </c>
      <c r="K4654">
        <v>1.108603</v>
      </c>
      <c r="L4654">
        <v>-62.118740000000003</v>
      </c>
      <c r="M4654">
        <v>0.99988149999999998</v>
      </c>
      <c r="N4654">
        <v>-1.3673350000000001E-2</v>
      </c>
      <c r="O4654">
        <v>-7.0808149999999999E-3</v>
      </c>
      <c r="P4654">
        <v>0.97978299999999996</v>
      </c>
      <c r="Q4654">
        <v>4.7162879999999997E-2</v>
      </c>
      <c r="R4654">
        <v>0.19442490000000001</v>
      </c>
      <c r="S4654">
        <v>3.003784</v>
      </c>
      <c r="T4654">
        <v>-6.5750719999999999E-2</v>
      </c>
      <c r="U4654">
        <v>0.3078613</v>
      </c>
      <c r="V4654">
        <v>-0.20120260000000001</v>
      </c>
      <c r="W4654">
        <v>6.1052299999999997E-2</v>
      </c>
      <c r="X4654">
        <v>0.97764519999999999</v>
      </c>
      <c r="Y4654">
        <v>-0.1089567</v>
      </c>
      <c r="Z4654">
        <v>1.9942889999999998E-3</v>
      </c>
      <c r="AA4654">
        <v>0.9940445</v>
      </c>
      <c r="AB4654">
        <v>37</v>
      </c>
      <c r="AC4654">
        <v>50.459899999999998</v>
      </c>
      <c r="AD4654">
        <v>-1.10861659471</v>
      </c>
      <c r="AE4654">
        <v>5.1923599999999999</v>
      </c>
      <c r="AF4654">
        <v>-5.5469110130146904</v>
      </c>
      <c r="AG4654">
        <v>-1.10861659471</v>
      </c>
      <c r="AH4654">
        <v>50.397793473984599</v>
      </c>
      <c r="AI4654">
        <v>91.252589081531994</v>
      </c>
      <c r="AJ4654">
        <v>96.280840985534994</v>
      </c>
      <c r="AK4654">
        <v>50.714246909392003</v>
      </c>
      <c r="AL4654">
        <v>86.499784150247507</v>
      </c>
      <c r="AM4654">
        <v>101.62928824260401</v>
      </c>
      <c r="AN4654">
        <v>1.00000000333254</v>
      </c>
    </row>
    <row r="4655" spans="1:40" x14ac:dyDescent="0.25">
      <c r="A4655" t="str">
        <f>"20190305135723391"</f>
        <v>20190305135723391</v>
      </c>
      <c r="B4655" t="str">
        <f>"1551765443386874"</f>
        <v>1551765443386874</v>
      </c>
      <c r="C4655" t="s">
        <v>40</v>
      </c>
      <c r="D4655">
        <v>4.1596469999999997</v>
      </c>
      <c r="E4655">
        <v>0.5537588</v>
      </c>
      <c r="F4655" t="s">
        <v>78</v>
      </c>
      <c r="G4655">
        <v>-179.95769999999999</v>
      </c>
      <c r="H4655">
        <v>1.7465640000000001E-2</v>
      </c>
      <c r="I4655">
        <v>-56.783160000000002</v>
      </c>
      <c r="J4655">
        <v>-231.88210000000001</v>
      </c>
      <c r="K4655">
        <v>1.108636</v>
      </c>
      <c r="L4655">
        <v>-62.120510000000003</v>
      </c>
      <c r="M4655">
        <v>0.99987669999999995</v>
      </c>
      <c r="N4655">
        <v>-1.375986E-2</v>
      </c>
      <c r="O4655">
        <v>-7.5688839999999997E-3</v>
      </c>
      <c r="P4655">
        <v>0.97965199999999997</v>
      </c>
      <c r="Q4655">
        <v>4.9105790000000003E-2</v>
      </c>
      <c r="R4655">
        <v>0.194604</v>
      </c>
      <c r="S4655">
        <v>3.0039060000000002</v>
      </c>
      <c r="T4655">
        <v>-6.2889699999999896E-2</v>
      </c>
      <c r="U4655">
        <v>0.30752560000000001</v>
      </c>
      <c r="V4655">
        <v>-0.20185700000000001</v>
      </c>
      <c r="W4655">
        <v>6.3064960000000003E-2</v>
      </c>
      <c r="X4655">
        <v>0.97738250000000004</v>
      </c>
      <c r="Y4655">
        <v>-0.1093306</v>
      </c>
      <c r="Z4655">
        <v>1.9498619999999999E-3</v>
      </c>
      <c r="AA4655">
        <v>0.99400350000000004</v>
      </c>
      <c r="AB4655">
        <v>37</v>
      </c>
      <c r="AC4655">
        <v>51.924399999999999</v>
      </c>
      <c r="AD4655">
        <v>-1.09117036</v>
      </c>
      <c r="AE4655">
        <v>5.3373499999999998</v>
      </c>
      <c r="AF4655">
        <v>-5.7277410491131802</v>
      </c>
      <c r="AG4655">
        <v>-1.09117036</v>
      </c>
      <c r="AH4655">
        <v>51.8598482196997</v>
      </c>
      <c r="AI4655">
        <v>91.198085507865798</v>
      </c>
      <c r="AJ4655">
        <v>96.302576513923498</v>
      </c>
      <c r="AK4655">
        <v>52.186602951816297</v>
      </c>
      <c r="AL4655">
        <v>86.384244473158404</v>
      </c>
      <c r="AM4655">
        <v>101.669126314406</v>
      </c>
      <c r="AN4655">
        <v>0.99999999446752497</v>
      </c>
    </row>
    <row r="4656" spans="1:40" x14ac:dyDescent="0.25">
      <c r="A4656" t="str">
        <f>"20190305135723403"</f>
        <v>20190305135723403</v>
      </c>
      <c r="B4656" t="str">
        <f>"1551765443397610"</f>
        <v>1551765443397610</v>
      </c>
      <c r="C4656" t="s">
        <v>40</v>
      </c>
      <c r="D4656">
        <v>4.321224</v>
      </c>
      <c r="E4656">
        <v>0.5537588</v>
      </c>
      <c r="F4656" t="s">
        <v>78</v>
      </c>
      <c r="G4656">
        <v>-203.3939</v>
      </c>
      <c r="H4656" s="1">
        <v>-3.9939159999999996E-6</v>
      </c>
      <c r="I4656">
        <v>-60.736699999999999</v>
      </c>
      <c r="J4656">
        <v>-231.68510000000001</v>
      </c>
      <c r="K4656">
        <v>1.1086780000000001</v>
      </c>
      <c r="L4656">
        <v>-62.122500000000002</v>
      </c>
      <c r="M4656">
        <v>0.99987210000000004</v>
      </c>
      <c r="N4656">
        <v>-1.3838499999999899E-2</v>
      </c>
      <c r="O4656">
        <v>-8.0290550000000002E-3</v>
      </c>
      <c r="P4656">
        <v>0.97957890000000003</v>
      </c>
      <c r="Q4656">
        <v>5.1461380000000001E-2</v>
      </c>
      <c r="R4656">
        <v>0.19436310000000001</v>
      </c>
      <c r="S4656">
        <v>3.03891</v>
      </c>
      <c r="T4656">
        <v>-0.11826109999999999</v>
      </c>
      <c r="U4656">
        <v>0.14761350000000001</v>
      </c>
      <c r="V4656">
        <v>-0.20206550000000001</v>
      </c>
      <c r="W4656">
        <v>6.5477519999999997E-2</v>
      </c>
      <c r="X4656">
        <v>0.97718079999999996</v>
      </c>
      <c r="Y4656">
        <v>-5.647572E-2</v>
      </c>
      <c r="Z4656">
        <v>1.6901990000000001E-3</v>
      </c>
      <c r="AA4656">
        <v>0.99840249999999997</v>
      </c>
      <c r="AB4656">
        <v>37</v>
      </c>
      <c r="AC4656">
        <v>28.2912</v>
      </c>
      <c r="AD4656">
        <v>-1.108681993916</v>
      </c>
      <c r="AE4656">
        <v>1.3857999999999999</v>
      </c>
      <c r="AF4656">
        <v>-1.6104613621903601</v>
      </c>
      <c r="AG4656">
        <v>-1.108681993916</v>
      </c>
      <c r="AH4656">
        <v>28.235901609111298</v>
      </c>
      <c r="AI4656">
        <v>92.244917544077097</v>
      </c>
      <c r="AJ4656">
        <v>93.264382271044596</v>
      </c>
      <c r="AK4656">
        <v>28.303513938063499</v>
      </c>
      <c r="AL4656">
        <v>86.245728732025796</v>
      </c>
      <c r="AM4656">
        <v>101.683193191797</v>
      </c>
      <c r="AN4656">
        <v>1.0000000439021099</v>
      </c>
    </row>
    <row r="4657" spans="1:40" x14ac:dyDescent="0.25">
      <c r="A4657" t="str">
        <f>"20190305135723421"</f>
        <v>20190305135723421</v>
      </c>
      <c r="B4657" t="str">
        <f>"1551765443417129"</f>
        <v>1551765443417129</v>
      </c>
      <c r="C4657" t="s">
        <v>40</v>
      </c>
      <c r="D4657">
        <v>4.0249300000000003</v>
      </c>
      <c r="E4657">
        <v>0.54463079999999997</v>
      </c>
      <c r="F4657" t="s">
        <v>78</v>
      </c>
      <c r="G4657">
        <v>-201.25030000000001</v>
      </c>
      <c r="H4657" s="1">
        <v>-5.0813050000000003E-6</v>
      </c>
      <c r="I4657">
        <v>-60.653149999999997</v>
      </c>
      <c r="J4657">
        <v>-231.39160000000001</v>
      </c>
      <c r="K4657">
        <v>1.108749</v>
      </c>
      <c r="L4657">
        <v>-62.125459999999997</v>
      </c>
      <c r="M4657">
        <v>0.99986529999999996</v>
      </c>
      <c r="N4657">
        <v>-1.394624E-2</v>
      </c>
      <c r="O4657">
        <v>-8.6689460000000003E-3</v>
      </c>
      <c r="P4657">
        <v>0.97921519999999995</v>
      </c>
      <c r="Q4657">
        <v>5.6111229999999998E-2</v>
      </c>
      <c r="R4657">
        <v>0.194909</v>
      </c>
      <c r="S4657">
        <v>3.0392299999999999</v>
      </c>
      <c r="T4657">
        <v>-0.1107132</v>
      </c>
      <c r="U4657">
        <v>0.14672850000000001</v>
      </c>
      <c r="V4657">
        <v>-0.20323289999999999</v>
      </c>
      <c r="W4657">
        <v>7.0197330000000002E-2</v>
      </c>
      <c r="X4657">
        <v>0.9766108</v>
      </c>
      <c r="Y4657">
        <v>-5.6825680000000003E-2</v>
      </c>
      <c r="Z4657">
        <v>1.625477E-3</v>
      </c>
      <c r="AA4657">
        <v>0.99838280000000001</v>
      </c>
      <c r="AB4657">
        <v>37</v>
      </c>
      <c r="AC4657">
        <v>30.141300000000001</v>
      </c>
      <c r="AD4657">
        <v>-1.1087540813050001</v>
      </c>
      <c r="AE4657">
        <v>1.47231</v>
      </c>
      <c r="AF4657">
        <v>-1.7312362979561799</v>
      </c>
      <c r="AG4657">
        <v>-1.1087540813050001</v>
      </c>
      <c r="AH4657">
        <v>30.0867874936697</v>
      </c>
      <c r="AI4657">
        <v>92.107018843970806</v>
      </c>
      <c r="AJ4657">
        <v>93.293248713906493</v>
      </c>
      <c r="AK4657">
        <v>30.156944414535999</v>
      </c>
      <c r="AL4657">
        <v>85.974678586507295</v>
      </c>
      <c r="AM4657">
        <v>101.75548626142201</v>
      </c>
      <c r="AN4657">
        <v>0.999999965729088</v>
      </c>
    </row>
    <row r="4658" spans="1:40" x14ac:dyDescent="0.25">
      <c r="A4658" t="str">
        <f>"20190305135723431"</f>
        <v>20190305135723431</v>
      </c>
      <c r="B4658" t="str">
        <f>"1551765443426889"</f>
        <v>1551765443426889</v>
      </c>
      <c r="C4658" t="s">
        <v>40</v>
      </c>
      <c r="D4658">
        <v>4.1095839999999999</v>
      </c>
      <c r="E4658">
        <v>0.56451870000000004</v>
      </c>
      <c r="F4658" t="s">
        <v>93</v>
      </c>
      <c r="G4658">
        <v>-213.15020000000001</v>
      </c>
      <c r="H4658" s="1">
        <v>-4.3960269999999999E-7</v>
      </c>
      <c r="I4658">
        <v>-60.831490000000002</v>
      </c>
      <c r="J4658">
        <v>-231.215</v>
      </c>
      <c r="K4658">
        <v>1.1087940000000001</v>
      </c>
      <c r="L4658">
        <v>-62.127319999999997</v>
      </c>
      <c r="M4658">
        <v>0.99986109999999995</v>
      </c>
      <c r="N4658">
        <v>-1.4006299999999999E-2</v>
      </c>
      <c r="O4658">
        <v>-9.027406E-3</v>
      </c>
      <c r="P4658">
        <v>0.97900679999999995</v>
      </c>
      <c r="Q4658">
        <v>5.8065680000000001E-2</v>
      </c>
      <c r="R4658">
        <v>0.1953821</v>
      </c>
      <c r="S4658">
        <v>3.0314480000000001</v>
      </c>
      <c r="T4658">
        <v>-0.18425710000000001</v>
      </c>
      <c r="U4658">
        <v>0.21502689999999999</v>
      </c>
      <c r="V4658">
        <v>-0.2040573</v>
      </c>
      <c r="W4658">
        <v>7.2187829999999995E-2</v>
      </c>
      <c r="X4658">
        <v>0.97629379999999999</v>
      </c>
      <c r="Y4658">
        <v>-7.9567250000000006E-2</v>
      </c>
      <c r="Z4658">
        <v>3.3928090000000001E-3</v>
      </c>
      <c r="AA4658">
        <v>0.99682369999999998</v>
      </c>
      <c r="AB4658">
        <v>37</v>
      </c>
      <c r="AC4658">
        <v>18.064799999999899</v>
      </c>
      <c r="AD4658">
        <v>-1.1087944396027001</v>
      </c>
      <c r="AE4658">
        <v>1.29582999999999</v>
      </c>
      <c r="AF4658">
        <v>-1.45342395488229</v>
      </c>
      <c r="AG4658">
        <v>-1.1087944396027001</v>
      </c>
      <c r="AH4658">
        <v>17.984955883806698</v>
      </c>
      <c r="AI4658">
        <v>93.516454416423898</v>
      </c>
      <c r="AJ4658">
        <v>94.620221590602199</v>
      </c>
      <c r="AK4658">
        <v>18.077624413744001</v>
      </c>
      <c r="AL4658">
        <v>85.860341435767097</v>
      </c>
      <c r="AM4658">
        <v>101.80556124859901</v>
      </c>
      <c r="AN4658">
        <v>1.0000000242009099</v>
      </c>
    </row>
    <row r="4659" spans="1:40" x14ac:dyDescent="0.25">
      <c r="A4659" t="str">
        <f>"20190305135723443"</f>
        <v>20190305135723443</v>
      </c>
      <c r="B4659" t="str">
        <f>"1551765443436650"</f>
        <v>1551765443436650</v>
      </c>
      <c r="C4659" t="s">
        <v>40</v>
      </c>
      <c r="D4659">
        <v>4.1093440000000001</v>
      </c>
      <c r="E4659">
        <v>0.56468189999999996</v>
      </c>
      <c r="F4659" t="s">
        <v>69</v>
      </c>
      <c r="G4659">
        <v>-157.3501</v>
      </c>
      <c r="H4659">
        <v>0.45119619999999999</v>
      </c>
      <c r="I4659">
        <v>-60.448549999999997</v>
      </c>
      <c r="J4659">
        <v>-231.0188</v>
      </c>
      <c r="K4659">
        <v>1.108849</v>
      </c>
      <c r="L4659">
        <v>-62.129429999999999</v>
      </c>
      <c r="M4659">
        <v>0.99985710000000005</v>
      </c>
      <c r="N4659">
        <v>-1.406607E-2</v>
      </c>
      <c r="O4659">
        <v>-9.3773829999999996E-3</v>
      </c>
      <c r="P4659">
        <v>0.97876830000000004</v>
      </c>
      <c r="Q4659">
        <v>5.9747559999999998E-2</v>
      </c>
      <c r="R4659">
        <v>0.1960682</v>
      </c>
      <c r="S4659">
        <v>3.0520939999999999</v>
      </c>
      <c r="T4659">
        <v>-2.7172680000000001E-2</v>
      </c>
      <c r="U4659">
        <v>6.9366460000000005E-2</v>
      </c>
      <c r="V4659">
        <v>-0.2050891</v>
      </c>
      <c r="W4659">
        <v>7.3898430000000001E-2</v>
      </c>
      <c r="X4659">
        <v>0.97594950000000003</v>
      </c>
      <c r="Y4659">
        <v>-3.2093120000000003E-2</v>
      </c>
      <c r="Z4659">
        <v>3.2018820000000002E-4</v>
      </c>
      <c r="AA4659">
        <v>0.99948479999999995</v>
      </c>
      <c r="AB4659">
        <v>37</v>
      </c>
      <c r="AC4659">
        <v>73.668700000000001</v>
      </c>
      <c r="AD4659">
        <v>-0.65765279999999904</v>
      </c>
      <c r="AE4659">
        <v>1.6808799999999999</v>
      </c>
      <c r="AF4659">
        <v>-2.37150514476662</v>
      </c>
      <c r="AG4659">
        <v>-0.65765279999999904</v>
      </c>
      <c r="AH4659">
        <v>73.643830492053795</v>
      </c>
      <c r="AI4659">
        <v>90.511383063528697</v>
      </c>
      <c r="AJ4659">
        <v>91.844421947013799</v>
      </c>
      <c r="AK4659">
        <v>73.684939529047298</v>
      </c>
      <c r="AL4659">
        <v>85.762068535044506</v>
      </c>
      <c r="AM4659">
        <v>101.86763423751</v>
      </c>
      <c r="AN4659">
        <v>0.999999971722762</v>
      </c>
    </row>
    <row r="4660" spans="1:40" x14ac:dyDescent="0.25">
      <c r="A4660" t="str">
        <f>"20190305135723455"</f>
        <v>20190305135723455</v>
      </c>
      <c r="B4660" t="str">
        <f>"1551765443447386"</f>
        <v>1551765443447386</v>
      </c>
      <c r="C4660" t="s">
        <v>40</v>
      </c>
      <c r="D4660">
        <v>4.0870879999999996</v>
      </c>
      <c r="E4660">
        <v>0.5663435</v>
      </c>
      <c r="F4660" t="s">
        <v>69</v>
      </c>
      <c r="G4660">
        <v>-157.3501</v>
      </c>
      <c r="H4660">
        <v>0.39856530000000001</v>
      </c>
      <c r="I4660">
        <v>-60.437849999999997</v>
      </c>
      <c r="J4660">
        <v>-230.82849999999999</v>
      </c>
      <c r="K4660">
        <v>1.1088979999999999</v>
      </c>
      <c r="L4660">
        <v>-62.131500000000003</v>
      </c>
      <c r="M4660">
        <v>0.99985360000000001</v>
      </c>
      <c r="N4660">
        <v>-1.412045E-2</v>
      </c>
      <c r="O4660">
        <v>-9.6830430000000006E-3</v>
      </c>
      <c r="P4660">
        <v>0.97850020000000004</v>
      </c>
      <c r="Q4660">
        <v>6.080344E-2</v>
      </c>
      <c r="R4660">
        <v>0.19708039999999999</v>
      </c>
      <c r="S4660">
        <v>3.0528409999999999</v>
      </c>
      <c r="T4660">
        <v>-2.9435039999999999E-2</v>
      </c>
      <c r="U4660">
        <v>7.0098880000000002E-2</v>
      </c>
      <c r="V4660">
        <v>-0.20640649999999999</v>
      </c>
      <c r="W4660">
        <v>7.497595E-2</v>
      </c>
      <c r="X4660">
        <v>0.97558959999999995</v>
      </c>
      <c r="Y4660">
        <v>-3.2632349999999997E-2</v>
      </c>
      <c r="Z4660">
        <v>3.443729E-4</v>
      </c>
      <c r="AA4660">
        <v>0.99946740000000001</v>
      </c>
      <c r="AB4660">
        <v>37</v>
      </c>
      <c r="AC4660">
        <v>73.478399999999993</v>
      </c>
      <c r="AD4660">
        <v>-0.71033269999999904</v>
      </c>
      <c r="AE4660">
        <v>1.6936500000000001</v>
      </c>
      <c r="AF4660">
        <v>-2.4049112675668001</v>
      </c>
      <c r="AG4660">
        <v>-0.71033269999999904</v>
      </c>
      <c r="AH4660">
        <v>73.451692390036499</v>
      </c>
      <c r="AI4660">
        <v>90.553778961553903</v>
      </c>
      <c r="AJ4660">
        <v>91.875274149829195</v>
      </c>
      <c r="AK4660">
        <v>73.494484729876902</v>
      </c>
      <c r="AL4660">
        <v>85.700159773425099</v>
      </c>
      <c r="AM4660">
        <v>101.945963481394</v>
      </c>
      <c r="AN4660">
        <v>1.0000000519743999</v>
      </c>
    </row>
    <row r="4661" spans="1:40" x14ac:dyDescent="0.25">
      <c r="A4661" t="str">
        <f>"20190305135723466"</f>
        <v>20190305135723466</v>
      </c>
      <c r="B4661" t="str">
        <f>"1551765443457146"</f>
        <v>1551765443457146</v>
      </c>
      <c r="C4661" t="s">
        <v>40</v>
      </c>
      <c r="D4661">
        <v>4.0443920000000002</v>
      </c>
      <c r="E4661">
        <v>0.5663435</v>
      </c>
      <c r="F4661" t="s">
        <v>69</v>
      </c>
      <c r="G4661">
        <v>-157.3501</v>
      </c>
      <c r="H4661">
        <v>0.68613000000000002</v>
      </c>
      <c r="I4661">
        <v>-60.663350000000001</v>
      </c>
      <c r="J4661">
        <v>-230.64230000000001</v>
      </c>
      <c r="K4661">
        <v>1.108951</v>
      </c>
      <c r="L4661">
        <v>-62.133580000000002</v>
      </c>
      <c r="M4661">
        <v>0.99985009999999996</v>
      </c>
      <c r="N4661">
        <v>-1.417006E-2</v>
      </c>
      <c r="O4661">
        <v>-9.9484350000000003E-3</v>
      </c>
      <c r="P4661">
        <v>0.97834279999999996</v>
      </c>
      <c r="Q4661">
        <v>6.0616749999999997E-2</v>
      </c>
      <c r="R4661">
        <v>0.1979166</v>
      </c>
      <c r="S4661">
        <v>3.0547029999999999</v>
      </c>
      <c r="T4661">
        <v>-1.7576459999999999E-2</v>
      </c>
      <c r="U4661">
        <v>6.1035159999999998E-2</v>
      </c>
      <c r="V4661">
        <v>-0.2075111</v>
      </c>
      <c r="W4661">
        <v>7.4805709999999997E-2</v>
      </c>
      <c r="X4661">
        <v>0.97536829999999997</v>
      </c>
      <c r="Y4661">
        <v>-2.9921130000000001E-2</v>
      </c>
      <c r="Z4661">
        <v>2.143762E-4</v>
      </c>
      <c r="AA4661">
        <v>0.9995522</v>
      </c>
      <c r="AB4661">
        <v>37</v>
      </c>
      <c r="AC4661">
        <v>73.292199999999994</v>
      </c>
      <c r="AD4661">
        <v>-0.422821</v>
      </c>
      <c r="AE4661">
        <v>1.4702299999999999</v>
      </c>
      <c r="AF4661">
        <v>-2.1992999695004198</v>
      </c>
      <c r="AG4661">
        <v>-0.422821</v>
      </c>
      <c r="AH4661">
        <v>73.271506736129993</v>
      </c>
      <c r="AI4661">
        <v>90.330478866961101</v>
      </c>
      <c r="AJ4661">
        <v>91.719260177379297</v>
      </c>
      <c r="AK4661">
        <v>73.305725542665698</v>
      </c>
      <c r="AL4661">
        <v>85.709941205747796</v>
      </c>
      <c r="AM4661">
        <v>102.01068765727101</v>
      </c>
      <c r="AN4661">
        <v>1.0000000357583501</v>
      </c>
    </row>
    <row r="4662" spans="1:40" x14ac:dyDescent="0.25">
      <c r="A4662" t="str">
        <f>"20190305135723480"</f>
        <v>20190305135723480</v>
      </c>
      <c r="B4662" t="str">
        <f>"1551765443476665"</f>
        <v>1551765443476665</v>
      </c>
      <c r="C4662" t="s">
        <v>40</v>
      </c>
      <c r="D4662">
        <v>3.738226</v>
      </c>
      <c r="E4662">
        <v>0.56603139999999996</v>
      </c>
      <c r="F4662" t="s">
        <v>69</v>
      </c>
      <c r="G4662">
        <v>-157.3501</v>
      </c>
      <c r="H4662">
        <v>0.66853949999999995</v>
      </c>
      <c r="I4662">
        <v>-60.605420000000002</v>
      </c>
      <c r="J4662">
        <v>-230.4161</v>
      </c>
      <c r="K4662">
        <v>1.1090279999999999</v>
      </c>
      <c r="L4662">
        <v>-62.13608</v>
      </c>
      <c r="M4662">
        <v>0.99984680000000004</v>
      </c>
      <c r="N4662">
        <v>-1.422439E-2</v>
      </c>
      <c r="O4662">
        <v>-1.0200849999999999E-2</v>
      </c>
      <c r="P4662">
        <v>0.97825519999999999</v>
      </c>
      <c r="Q4662">
        <v>5.856944E-2</v>
      </c>
      <c r="R4662">
        <v>0.19896359999999999</v>
      </c>
      <c r="S4662">
        <v>3.0546720000000001</v>
      </c>
      <c r="T4662">
        <v>-1.8356319999999999E-2</v>
      </c>
      <c r="U4662">
        <v>6.3690189999999994E-2</v>
      </c>
      <c r="V4662">
        <v>-0.20882139999999999</v>
      </c>
      <c r="W4662">
        <v>7.2770890000000005E-2</v>
      </c>
      <c r="X4662">
        <v>0.97524259999999996</v>
      </c>
      <c r="Y4662">
        <v>-3.1041909999999999E-2</v>
      </c>
      <c r="Z4662">
        <v>2.3027740000000001E-4</v>
      </c>
      <c r="AA4662">
        <v>0.99951800000000002</v>
      </c>
      <c r="AB4662">
        <v>37</v>
      </c>
      <c r="AC4662">
        <v>73.066000000000003</v>
      </c>
      <c r="AD4662">
        <v>-0.44048850000000001</v>
      </c>
      <c r="AE4662">
        <v>1.5306600000000099</v>
      </c>
      <c r="AF4662">
        <v>-2.27590837854122</v>
      </c>
      <c r="AG4662">
        <v>-0.44048850000000001</v>
      </c>
      <c r="AH4662">
        <v>73.043928412950805</v>
      </c>
      <c r="AI4662">
        <v>90.345348135451701</v>
      </c>
      <c r="AJ4662">
        <v>91.784648957162105</v>
      </c>
      <c r="AK4662">
        <v>73.080703794246702</v>
      </c>
      <c r="AL4662">
        <v>85.826846589567197</v>
      </c>
      <c r="AM4662">
        <v>102.08581676180501</v>
      </c>
      <c r="AN4662">
        <v>1.00000005419205</v>
      </c>
    </row>
    <row r="4663" spans="1:40" x14ac:dyDescent="0.25">
      <c r="A4663" t="str">
        <f>"20190305135723511"</f>
        <v>20190305135723511</v>
      </c>
      <c r="B4663" t="str">
        <f>"1551765443506922"</f>
        <v>1551765443506922</v>
      </c>
      <c r="C4663" t="s">
        <v>40</v>
      </c>
      <c r="D4663">
        <v>6.8325539999999902</v>
      </c>
      <c r="E4663">
        <v>0.56603139999999996</v>
      </c>
      <c r="F4663" t="s">
        <v>69</v>
      </c>
      <c r="G4663">
        <v>-157.3501</v>
      </c>
      <c r="H4663">
        <v>0.85192819999999903</v>
      </c>
      <c r="I4663">
        <v>-60.454070000000002</v>
      </c>
      <c r="J4663">
        <v>-229.9169</v>
      </c>
      <c r="K4663">
        <v>1.1092109999999999</v>
      </c>
      <c r="L4663">
        <v>-62.141629999999999</v>
      </c>
      <c r="M4663">
        <v>0.99984150000000005</v>
      </c>
      <c r="N4663">
        <v>-1.433005E-2</v>
      </c>
      <c r="O4663">
        <v>-1.0573620000000001E-2</v>
      </c>
      <c r="P4663">
        <v>0.97803499999999999</v>
      </c>
      <c r="Q4663">
        <v>5.5368899999999999E-2</v>
      </c>
      <c r="R4663">
        <v>0.20095299999999999</v>
      </c>
      <c r="S4663">
        <v>3.0530400000000002</v>
      </c>
      <c r="T4663">
        <v>-1.0743620000000001E-2</v>
      </c>
      <c r="U4663">
        <v>7.0281979999999994E-2</v>
      </c>
      <c r="V4663">
        <v>-0.2112086</v>
      </c>
      <c r="W4663">
        <v>6.9577050000000001E-2</v>
      </c>
      <c r="X4663">
        <v>0.97496150000000004</v>
      </c>
      <c r="Y4663">
        <v>-3.3583179999999997E-2</v>
      </c>
      <c r="Z4663">
        <v>1.854506E-4</v>
      </c>
      <c r="AA4663">
        <v>0.99943590000000004</v>
      </c>
      <c r="AB4663">
        <v>37</v>
      </c>
      <c r="AC4663">
        <v>72.566800000000001</v>
      </c>
      <c r="AD4663">
        <v>-0.25728279999999998</v>
      </c>
      <c r="AE4663">
        <v>1.6875600000000099</v>
      </c>
      <c r="AF4663">
        <v>-2.4548072952852</v>
      </c>
      <c r="AG4663">
        <v>-0.25728279999999998</v>
      </c>
      <c r="AH4663">
        <v>72.543985662169902</v>
      </c>
      <c r="AI4663">
        <v>90.203086777297301</v>
      </c>
      <c r="AJ4663">
        <v>91.938085540497298</v>
      </c>
      <c r="AK4663">
        <v>72.585963719229397</v>
      </c>
      <c r="AL4663">
        <v>86.010305192023694</v>
      </c>
      <c r="AM4663">
        <v>102.22326702802</v>
      </c>
      <c r="AN4663">
        <v>0.99999998254145595</v>
      </c>
    </row>
    <row r="4664" spans="1:40" x14ac:dyDescent="0.25">
      <c r="A4664" t="str">
        <f>"20190305135723555"</f>
        <v>20190305135723555</v>
      </c>
      <c r="B4664" t="str">
        <f>"1551765443546938"</f>
        <v>1551765443546938</v>
      </c>
      <c r="C4664" t="s">
        <v>40</v>
      </c>
      <c r="D4664">
        <v>6.1074809999999999</v>
      </c>
      <c r="E4664">
        <v>0.56603139999999996</v>
      </c>
      <c r="F4664" t="s">
        <v>69</v>
      </c>
      <c r="G4664">
        <v>-157.3501</v>
      </c>
      <c r="H4664">
        <v>0.60560800000000004</v>
      </c>
      <c r="I4664">
        <v>-60.32085</v>
      </c>
      <c r="J4664">
        <v>-229.19139999999999</v>
      </c>
      <c r="K4664">
        <v>1.1094459999999999</v>
      </c>
      <c r="L4664">
        <v>-62.149439999999998</v>
      </c>
      <c r="M4664">
        <v>0.99983979999999995</v>
      </c>
      <c r="N4664">
        <v>-1.4447359999999999E-2</v>
      </c>
      <c r="O4664">
        <v>-1.0580630000000001E-2</v>
      </c>
      <c r="P4664">
        <v>0.97744889999999995</v>
      </c>
      <c r="Q4664">
        <v>4.0605710000000003E-2</v>
      </c>
      <c r="R4664">
        <v>0.20723179999999999</v>
      </c>
      <c r="S4664">
        <v>3.0528409999999999</v>
      </c>
      <c r="T4664">
        <v>-2.1187069999999999E-2</v>
      </c>
      <c r="U4664">
        <v>7.6599120000000007E-2</v>
      </c>
      <c r="V4664">
        <v>-0.2175395</v>
      </c>
      <c r="W4664">
        <v>5.4784819999999998E-2</v>
      </c>
      <c r="X4664">
        <v>0.97451279999999996</v>
      </c>
      <c r="Y4664">
        <v>-3.5657250000000001E-2</v>
      </c>
      <c r="Z4664">
        <v>3.019265E-4</v>
      </c>
      <c r="AA4664">
        <v>0.99936400000000003</v>
      </c>
      <c r="AB4664">
        <v>37</v>
      </c>
      <c r="AC4664">
        <v>71.841299999999904</v>
      </c>
      <c r="AD4664">
        <v>-0.50383799999999901</v>
      </c>
      <c r="AE4664">
        <v>1.8285899999999999</v>
      </c>
      <c r="AF4664">
        <v>-2.5885658252113601</v>
      </c>
      <c r="AG4664">
        <v>-0.50383799999999901</v>
      </c>
      <c r="AH4664">
        <v>71.814398180425897</v>
      </c>
      <c r="AI4664">
        <v>90.401710296026806</v>
      </c>
      <c r="AJ4664">
        <v>92.064345282983993</v>
      </c>
      <c r="AK4664">
        <v>71.862802003390101</v>
      </c>
      <c r="AL4664">
        <v>86.8594887309402</v>
      </c>
      <c r="AM4664">
        <v>102.58376454753601</v>
      </c>
      <c r="AN4664">
        <v>1.0000000039632599</v>
      </c>
    </row>
    <row r="4665" spans="1:40" x14ac:dyDescent="0.25">
      <c r="A4665" t="str">
        <f>"20190305135723566"</f>
        <v>20190305135723566</v>
      </c>
      <c r="B4665" t="str">
        <f>"1551765443556698"</f>
        <v>1551765443556698</v>
      </c>
      <c r="C4665" t="s">
        <v>40</v>
      </c>
      <c r="D4665">
        <v>6.1132860000000004</v>
      </c>
      <c r="E4665">
        <v>0.44918809999999898</v>
      </c>
      <c r="F4665" t="s">
        <v>78</v>
      </c>
      <c r="G4665">
        <v>-179.95769999999999</v>
      </c>
      <c r="H4665">
        <v>2.5800199999999999E-2</v>
      </c>
      <c r="I4665">
        <v>-60.597029999999997</v>
      </c>
      <c r="J4665">
        <v>-229.00630000000001</v>
      </c>
      <c r="K4665">
        <v>1.1095200000000001</v>
      </c>
      <c r="L4665">
        <v>-62.151339999999998</v>
      </c>
      <c r="M4665">
        <v>0.99984019999999996</v>
      </c>
      <c r="N4665">
        <v>-1.447214E-2</v>
      </c>
      <c r="O4665">
        <v>-1.0493519999999999E-2</v>
      </c>
      <c r="P4665">
        <v>0.97676280000000004</v>
      </c>
      <c r="Q4665">
        <v>3.4585919999999999E-2</v>
      </c>
      <c r="R4665">
        <v>0.21151429999999999</v>
      </c>
      <c r="S4665">
        <v>3.0516049999999999</v>
      </c>
      <c r="T4665">
        <v>-6.7166569999999995E-2</v>
      </c>
      <c r="U4665">
        <v>9.6221920000000002E-2</v>
      </c>
      <c r="V4665">
        <v>-0.2217404</v>
      </c>
      <c r="W4665">
        <v>4.874473E-2</v>
      </c>
      <c r="X4665">
        <v>0.97388660000000005</v>
      </c>
      <c r="Y4665">
        <v>-4.1986450000000002E-2</v>
      </c>
      <c r="Z4665">
        <v>8.4492689999999995E-4</v>
      </c>
      <c r="AA4665">
        <v>0.9991179</v>
      </c>
      <c r="AB4665">
        <v>37</v>
      </c>
      <c r="AC4665">
        <v>49.0486</v>
      </c>
      <c r="AD4665">
        <v>-1.0837197999999999</v>
      </c>
      <c r="AE4665">
        <v>1.5543100000000001</v>
      </c>
      <c r="AF4665">
        <v>-2.0679622546009302</v>
      </c>
      <c r="AG4665">
        <v>-1.0837197999999999</v>
      </c>
      <c r="AH4665">
        <v>49.005687360017397</v>
      </c>
      <c r="AI4665">
        <v>91.265715706965693</v>
      </c>
      <c r="AJ4665">
        <v>92.416357396796599</v>
      </c>
      <c r="AK4665">
        <v>49.061270979451201</v>
      </c>
      <c r="AL4665">
        <v>87.206025463906798</v>
      </c>
      <c r="AM4665">
        <v>102.82678294079</v>
      </c>
      <c r="AN4665">
        <v>0.99999998167724602</v>
      </c>
    </row>
    <row r="4666" spans="1:40" x14ac:dyDescent="0.25">
      <c r="A4666" t="str">
        <f>"20190305135723593"</f>
        <v>20190305135723593</v>
      </c>
      <c r="B4666" t="str">
        <f>"1551765443586954"</f>
        <v>1551765443586954</v>
      </c>
      <c r="C4666" t="s">
        <v>40</v>
      </c>
      <c r="D4666">
        <v>4.0003890000000002</v>
      </c>
      <c r="E4666">
        <v>0.50620039999999999</v>
      </c>
      <c r="F4666" t="s">
        <v>92</v>
      </c>
      <c r="G4666">
        <v>-225.11969999999999</v>
      </c>
      <c r="H4666" s="1">
        <v>-1.412091E-6</v>
      </c>
      <c r="I4666">
        <v>-60.8230199999999</v>
      </c>
      <c r="J4666">
        <v>-228.58</v>
      </c>
      <c r="K4666">
        <v>1.1096919999999999</v>
      </c>
      <c r="L4666">
        <v>-62.155549999999998</v>
      </c>
      <c r="M4666">
        <v>0.99984320000000004</v>
      </c>
      <c r="N4666">
        <v>-1.452181E-2</v>
      </c>
      <c r="O4666">
        <v>-1.0143879999999999E-2</v>
      </c>
      <c r="P4666">
        <v>0.97473620000000005</v>
      </c>
      <c r="Q4666">
        <v>2.9431120000000002E-2</v>
      </c>
      <c r="R4666">
        <v>0.2214121</v>
      </c>
      <c r="S4666">
        <v>2.8868870000000002</v>
      </c>
      <c r="T4666">
        <v>-0.82414580000000004</v>
      </c>
      <c r="U4666">
        <v>0.98666379999999998</v>
      </c>
      <c r="V4666">
        <v>-0.23129430000000001</v>
      </c>
      <c r="W4666">
        <v>4.3523689999999997E-2</v>
      </c>
      <c r="X4666">
        <v>0.97190980000000005</v>
      </c>
      <c r="Y4666">
        <v>-0.3205054</v>
      </c>
      <c r="Z4666">
        <v>4.8741329999999999E-2</v>
      </c>
      <c r="AA4666">
        <v>0.9459919</v>
      </c>
      <c r="AB4666">
        <v>37</v>
      </c>
      <c r="AC4666">
        <v>3.4603000000000099</v>
      </c>
      <c r="AD4666">
        <v>-1.10969341209099</v>
      </c>
      <c r="AE4666">
        <v>1.33253</v>
      </c>
      <c r="AF4666">
        <v>-1.25515176479843</v>
      </c>
      <c r="AG4666">
        <v>-1.10969341209099</v>
      </c>
      <c r="AH4666">
        <v>3.16329191044156</v>
      </c>
      <c r="AI4666">
        <v>108.059738715259</v>
      </c>
      <c r="AJ4666">
        <v>111.642513431598</v>
      </c>
      <c r="AK4666">
        <v>3.5795587901555401</v>
      </c>
      <c r="AL4666">
        <v>87.505488297428897</v>
      </c>
      <c r="AM4666">
        <v>103.386204844565</v>
      </c>
      <c r="AN4666">
        <v>1.00000001206987</v>
      </c>
    </row>
    <row r="4667" spans="1:40" x14ac:dyDescent="0.25">
      <c r="A4667" t="str">
        <f>"20190305135723604"</f>
        <v>20190305135723604</v>
      </c>
      <c r="B4667" t="str">
        <f>"1551765443596714"</f>
        <v>1551765443596714</v>
      </c>
      <c r="C4667" t="s">
        <v>40</v>
      </c>
      <c r="D4667">
        <v>4.1131729999999997</v>
      </c>
      <c r="E4667">
        <v>0.51445220000000003</v>
      </c>
      <c r="F4667" t="s">
        <v>93</v>
      </c>
      <c r="G4667">
        <v>-213.99770000000001</v>
      </c>
      <c r="H4667" s="1">
        <v>-8.9996140000000002E-7</v>
      </c>
      <c r="I4667">
        <v>-59.166310000000003</v>
      </c>
      <c r="J4667">
        <v>-228.37610000000001</v>
      </c>
      <c r="K4667">
        <v>1.109772</v>
      </c>
      <c r="L4667">
        <v>-62.157470000000004</v>
      </c>
      <c r="M4667">
        <v>0.99984510000000004</v>
      </c>
      <c r="N4667">
        <v>-1.4542350000000001E-2</v>
      </c>
      <c r="O4667">
        <v>-9.9122110000000006E-3</v>
      </c>
      <c r="P4667">
        <v>0.97352360000000004</v>
      </c>
      <c r="Q4667">
        <v>2.958846E-2</v>
      </c>
      <c r="R4667">
        <v>0.2266639</v>
      </c>
      <c r="S4667">
        <v>2.9472960000000001</v>
      </c>
      <c r="T4667">
        <v>-0.22428519999999999</v>
      </c>
      <c r="U4667">
        <v>0.60415649999999999</v>
      </c>
      <c r="V4667">
        <v>-0.23631650000000001</v>
      </c>
      <c r="W4667">
        <v>4.3640890000000002E-2</v>
      </c>
      <c r="X4667">
        <v>0.97069559999999999</v>
      </c>
      <c r="Y4667">
        <v>-0.20979680000000001</v>
      </c>
      <c r="Z4667">
        <v>1.0036410000000001E-2</v>
      </c>
      <c r="AA4667">
        <v>0.97769349999999999</v>
      </c>
      <c r="AB4667">
        <v>36</v>
      </c>
      <c r="AC4667">
        <v>14.378399999999999</v>
      </c>
      <c r="AD4667">
        <v>-1.1097728999613901</v>
      </c>
      <c r="AE4667">
        <v>2.9911599999999998</v>
      </c>
      <c r="AF4667">
        <v>-3.1157583877925799</v>
      </c>
      <c r="AG4667">
        <v>-1.1097728999613901</v>
      </c>
      <c r="AH4667">
        <v>14.266577055947099</v>
      </c>
      <c r="AI4667">
        <v>94.345954455233795</v>
      </c>
      <c r="AJ4667">
        <v>102.31971030970401</v>
      </c>
      <c r="AK4667">
        <v>14.6449570540123</v>
      </c>
      <c r="AL4667">
        <v>87.498766769575596</v>
      </c>
      <c r="AM4667">
        <v>103.682527696561</v>
      </c>
      <c r="AN4667">
        <v>0.99999998165579995</v>
      </c>
    </row>
    <row r="4668" spans="1:40" x14ac:dyDescent="0.25">
      <c r="A4668" t="str">
        <f>"20190305135723617"</f>
        <v>20190305135723617</v>
      </c>
      <c r="B4668" t="str">
        <f>"1551765443607449"</f>
        <v>1551765443607449</v>
      </c>
      <c r="C4668" t="s">
        <v>40</v>
      </c>
      <c r="D4668">
        <v>3.7262849999999998</v>
      </c>
      <c r="E4668">
        <v>0.51624360000000002</v>
      </c>
      <c r="F4668" t="s">
        <v>78</v>
      </c>
      <c r="G4668">
        <v>-203.9495</v>
      </c>
      <c r="H4668" s="1">
        <v>-4.3248870000000002E-6</v>
      </c>
      <c r="I4668">
        <v>-57.521769999999997</v>
      </c>
      <c r="J4668">
        <v>-228.18610000000001</v>
      </c>
      <c r="K4668">
        <v>1.109856</v>
      </c>
      <c r="L4668">
        <v>-62.159149999999997</v>
      </c>
      <c r="M4668">
        <v>0.99984740000000005</v>
      </c>
      <c r="N4668">
        <v>-1.4559870000000001E-2</v>
      </c>
      <c r="O4668">
        <v>-9.6672129999999992E-3</v>
      </c>
      <c r="P4668">
        <v>0.97238530000000001</v>
      </c>
      <c r="Q4668">
        <v>2.8595820000000001E-2</v>
      </c>
      <c r="R4668">
        <v>0.231623</v>
      </c>
      <c r="S4668">
        <v>2.9550930000000002</v>
      </c>
      <c r="T4668">
        <v>-0.13425899999999999</v>
      </c>
      <c r="U4668">
        <v>0.56082149999999997</v>
      </c>
      <c r="V4668">
        <v>-0.24103269999999999</v>
      </c>
      <c r="W4668">
        <v>4.2609969999999997E-2</v>
      </c>
      <c r="X4668">
        <v>0.96958120000000003</v>
      </c>
      <c r="Y4668">
        <v>-0.19567950000000001</v>
      </c>
      <c r="Z4668">
        <v>6.137549E-3</v>
      </c>
      <c r="AA4668">
        <v>0.98064870000000004</v>
      </c>
      <c r="AB4668">
        <v>36</v>
      </c>
      <c r="AC4668">
        <v>24.236599999999999</v>
      </c>
      <c r="AD4668">
        <v>-1.109860324887</v>
      </c>
      <c r="AE4668">
        <v>4.6373800000000003</v>
      </c>
      <c r="AF4668">
        <v>-4.8616537218967801</v>
      </c>
      <c r="AG4668">
        <v>-1.109860324887</v>
      </c>
      <c r="AH4668">
        <v>24.141795114302202</v>
      </c>
      <c r="AI4668">
        <v>92.580449748277005</v>
      </c>
      <c r="AJ4668">
        <v>101.38589150313599</v>
      </c>
      <c r="AK4668">
        <v>24.651444951428999</v>
      </c>
      <c r="AL4668">
        <v>87.557889278828696</v>
      </c>
      <c r="AM4668">
        <v>103.960434380119</v>
      </c>
      <c r="AN4668">
        <v>1.00000003770306</v>
      </c>
    </row>
    <row r="4669" spans="1:40" x14ac:dyDescent="0.25">
      <c r="A4669" t="str">
        <f>"20190305135723630"</f>
        <v>20190305135723630</v>
      </c>
      <c r="B4669" t="str">
        <f>"1551765443626970"</f>
        <v>1551765443626970</v>
      </c>
      <c r="C4669" t="s">
        <v>40</v>
      </c>
      <c r="D4669">
        <v>4.05701</v>
      </c>
      <c r="E4669">
        <v>0.55974780000000002</v>
      </c>
      <c r="F4669" t="s">
        <v>93</v>
      </c>
      <c r="G4669">
        <v>-210.29660000000001</v>
      </c>
      <c r="H4669" s="1">
        <v>4.931458E-7</v>
      </c>
      <c r="I4669">
        <v>-58.755760000000002</v>
      </c>
      <c r="J4669">
        <v>-227.9727</v>
      </c>
      <c r="K4669">
        <v>1.1099460000000001</v>
      </c>
      <c r="L4669">
        <v>-62.161009999999997</v>
      </c>
      <c r="M4669">
        <v>0.99985000000000002</v>
      </c>
      <c r="N4669">
        <v>-1.457834E-2</v>
      </c>
      <c r="O4669">
        <v>-9.3714850000000006E-3</v>
      </c>
      <c r="P4669">
        <v>0.97135119999999997</v>
      </c>
      <c r="Q4669">
        <v>2.802553E-2</v>
      </c>
      <c r="R4669">
        <v>0.23599129999999999</v>
      </c>
      <c r="S4669">
        <v>2.956604</v>
      </c>
      <c r="T4669">
        <v>-0.18342610000000001</v>
      </c>
      <c r="U4669">
        <v>0.56246949999999996</v>
      </c>
      <c r="V4669">
        <v>-0.24511089999999999</v>
      </c>
      <c r="W4669">
        <v>4.1999679999999998E-2</v>
      </c>
      <c r="X4669">
        <v>0.96858489999999997</v>
      </c>
      <c r="Y4669">
        <v>-0.19562769999999999</v>
      </c>
      <c r="Z4669">
        <v>7.8896469999999996E-3</v>
      </c>
      <c r="AA4669">
        <v>0.98064649999999998</v>
      </c>
      <c r="AB4669">
        <v>36</v>
      </c>
      <c r="AC4669">
        <v>17.676099999999899</v>
      </c>
      <c r="AD4669">
        <v>-1.1099455068541999</v>
      </c>
      <c r="AE4669">
        <v>3.4052500000000001</v>
      </c>
      <c r="AF4669">
        <v>-3.55724490882332</v>
      </c>
      <c r="AG4669">
        <v>-1.1099455068541999</v>
      </c>
      <c r="AH4669">
        <v>17.576583006449098</v>
      </c>
      <c r="AI4669">
        <v>93.541760457203097</v>
      </c>
      <c r="AJ4669">
        <v>101.441292199126</v>
      </c>
      <c r="AK4669">
        <v>17.967254674883701</v>
      </c>
      <c r="AL4669">
        <v>87.592887602873603</v>
      </c>
      <c r="AM4669">
        <v>104.201180899181</v>
      </c>
      <c r="AN4669">
        <v>1.00000001746346</v>
      </c>
    </row>
    <row r="4670" spans="1:40" x14ac:dyDescent="0.25">
      <c r="A4670" t="str">
        <f>"20190305135723645"</f>
        <v>20190305135723645</v>
      </c>
      <c r="B4670" t="str">
        <f>"1551765443636729"</f>
        <v>1551765443636729</v>
      </c>
      <c r="C4670" t="s">
        <v>40</v>
      </c>
      <c r="D4670">
        <v>4.0774720000000002</v>
      </c>
      <c r="E4670">
        <v>0.56092439999999999</v>
      </c>
      <c r="F4670" t="s">
        <v>69</v>
      </c>
      <c r="G4670">
        <v>-157.3501</v>
      </c>
      <c r="H4670">
        <v>3.907759</v>
      </c>
      <c r="I4670">
        <v>-56.430549999999997</v>
      </c>
      <c r="J4670">
        <v>-227.71190000000001</v>
      </c>
      <c r="K4670">
        <v>1.1100449999999999</v>
      </c>
      <c r="L4670">
        <v>-62.163089999999997</v>
      </c>
      <c r="M4670">
        <v>0.9998534</v>
      </c>
      <c r="N4670">
        <v>-1.459793E-2</v>
      </c>
      <c r="O4670">
        <v>-8.9557530000000003E-3</v>
      </c>
      <c r="P4670">
        <v>0.96980460000000002</v>
      </c>
      <c r="Q4670">
        <v>3.0584839999999999E-2</v>
      </c>
      <c r="R4670">
        <v>0.2419578</v>
      </c>
      <c r="S4670">
        <v>3.02536</v>
      </c>
      <c r="T4670">
        <v>0.1198528</v>
      </c>
      <c r="U4670">
        <v>0.24548339999999999</v>
      </c>
      <c r="V4670">
        <v>-0.25067040000000002</v>
      </c>
      <c r="W4670">
        <v>4.4505969999999999E-2</v>
      </c>
      <c r="X4670">
        <v>0.96704889999999999</v>
      </c>
      <c r="Y4670">
        <v>-8.9743080000000003E-2</v>
      </c>
      <c r="Z4670">
        <v>-1.60227E-3</v>
      </c>
      <c r="AA4670">
        <v>0.99596359999999995</v>
      </c>
      <c r="AB4670">
        <v>36</v>
      </c>
      <c r="AC4670">
        <v>70.361800000000002</v>
      </c>
      <c r="AD4670">
        <v>2.7977139999999898</v>
      </c>
      <c r="AE4670">
        <v>5.7325400000000002</v>
      </c>
      <c r="AF4670">
        <v>-6.3525429047823403</v>
      </c>
      <c r="AG4670">
        <v>2.7977139999999898</v>
      </c>
      <c r="AH4670">
        <v>70.197382487585699</v>
      </c>
      <c r="AI4670">
        <v>87.726965447001604</v>
      </c>
      <c r="AJ4670">
        <v>95.170921757756105</v>
      </c>
      <c r="AK4670">
        <v>70.539737120939904</v>
      </c>
      <c r="AL4670">
        <v>87.449153178520504</v>
      </c>
      <c r="AM4670">
        <v>104.53190231984399</v>
      </c>
      <c r="AN4670">
        <v>1.0000000028964999</v>
      </c>
    </row>
    <row r="4671" spans="1:40" x14ac:dyDescent="0.25">
      <c r="A4671" t="str">
        <f>"20190305135723656"</f>
        <v>20190305135723656</v>
      </c>
      <c r="B4671" t="str">
        <f>"1551765443647466"</f>
        <v>1551765443647466</v>
      </c>
      <c r="C4671" t="s">
        <v>40</v>
      </c>
      <c r="D4671">
        <v>4.1102509999999999</v>
      </c>
      <c r="E4671">
        <v>0.56237380000000003</v>
      </c>
      <c r="F4671" t="s">
        <v>69</v>
      </c>
      <c r="G4671">
        <v>-157.3501</v>
      </c>
      <c r="H4671">
        <v>3.7779159999999998</v>
      </c>
      <c r="I4671">
        <v>-56.244050000000001</v>
      </c>
      <c r="J4671">
        <v>-227.5402</v>
      </c>
      <c r="K4671">
        <v>1.1101019999999999</v>
      </c>
      <c r="L4671">
        <v>-62.164400000000001</v>
      </c>
      <c r="M4671">
        <v>0.99985579999999996</v>
      </c>
      <c r="N4671">
        <v>-1.4609509999999999E-2</v>
      </c>
      <c r="O4671">
        <v>-8.6613690000000004E-3</v>
      </c>
      <c r="P4671">
        <v>0.9693273</v>
      </c>
      <c r="Q4671">
        <v>3.270903E-2</v>
      </c>
      <c r="R4671">
        <v>0.2435872</v>
      </c>
      <c r="S4671">
        <v>3.0262600000000002</v>
      </c>
      <c r="T4671">
        <v>0.1147442</v>
      </c>
      <c r="U4671">
        <v>0.25457760000000001</v>
      </c>
      <c r="V4671">
        <v>-0.25201689999999999</v>
      </c>
      <c r="W4671">
        <v>4.6606649999999999E-2</v>
      </c>
      <c r="X4671">
        <v>0.96659989999999996</v>
      </c>
      <c r="Y4671">
        <v>-9.2403170000000007E-2</v>
      </c>
      <c r="Z4671">
        <v>-1.5257039999999999E-3</v>
      </c>
      <c r="AA4671">
        <v>0.99572050000000001</v>
      </c>
      <c r="AB4671">
        <v>36</v>
      </c>
      <c r="AC4671">
        <v>70.190100000000001</v>
      </c>
      <c r="AD4671">
        <v>2.6678139999999999</v>
      </c>
      <c r="AE4671">
        <v>5.9203499999999902</v>
      </c>
      <c r="AF4671">
        <v>-6.5187843349552699</v>
      </c>
      <c r="AG4671">
        <v>2.6678139999999999</v>
      </c>
      <c r="AH4671">
        <v>70.035721164066501</v>
      </c>
      <c r="AI4671">
        <v>87.827912595627595</v>
      </c>
      <c r="AJ4671">
        <v>95.317654934400295</v>
      </c>
      <c r="AK4671">
        <v>70.389019170003607</v>
      </c>
      <c r="AL4671">
        <v>87.328668045692496</v>
      </c>
      <c r="AM4671">
        <v>104.613126332807</v>
      </c>
      <c r="AN4671">
        <v>1.0000000321949201</v>
      </c>
    </row>
    <row r="4672" spans="1:40" x14ac:dyDescent="0.25">
      <c r="A4672" t="str">
        <f>"20190305135723667"</f>
        <v>20190305135723667</v>
      </c>
      <c r="B4672" t="str">
        <f>"1551765443657225"</f>
        <v>1551765443657225</v>
      </c>
      <c r="C4672" t="s">
        <v>40</v>
      </c>
      <c r="D4672">
        <v>4.0952250000000001</v>
      </c>
      <c r="E4672">
        <v>0.56312090000000004</v>
      </c>
      <c r="F4672" t="s">
        <v>69</v>
      </c>
      <c r="G4672">
        <v>-157.3501</v>
      </c>
      <c r="H4672">
        <v>3.9302510000000002</v>
      </c>
      <c r="I4672">
        <v>-56.406170000000003</v>
      </c>
      <c r="J4672">
        <v>-227.35130000000001</v>
      </c>
      <c r="K4672">
        <v>1.1101559999999999</v>
      </c>
      <c r="L4672">
        <v>-62.165799999999997</v>
      </c>
      <c r="M4672">
        <v>0.99985849999999998</v>
      </c>
      <c r="N4672">
        <v>-1.462156E-2</v>
      </c>
      <c r="O4672">
        <v>-8.3267910000000001E-3</v>
      </c>
      <c r="P4672">
        <v>0.96902779999999999</v>
      </c>
      <c r="Q4672">
        <v>3.4745320000000003E-2</v>
      </c>
      <c r="R4672">
        <v>0.24449580000000001</v>
      </c>
      <c r="S4672">
        <v>3.0284119999999999</v>
      </c>
      <c r="T4672">
        <v>0.1216768</v>
      </c>
      <c r="U4672">
        <v>0.24844359999999999</v>
      </c>
      <c r="V4672">
        <v>-0.25260700000000003</v>
      </c>
      <c r="W4672">
        <v>4.8621860000000003E-2</v>
      </c>
      <c r="X4672">
        <v>0.96634659999999994</v>
      </c>
      <c r="Y4672">
        <v>-9.0001699999999907E-2</v>
      </c>
      <c r="Z4672">
        <v>-1.6003839999999901E-3</v>
      </c>
      <c r="AA4672">
        <v>0.9959403</v>
      </c>
      <c r="AB4672">
        <v>36</v>
      </c>
      <c r="AC4672">
        <v>70.001199999999997</v>
      </c>
      <c r="AD4672">
        <v>2.8200949999999998</v>
      </c>
      <c r="AE4672">
        <v>5.7596299999999996</v>
      </c>
      <c r="AF4672">
        <v>-6.3321699598606198</v>
      </c>
      <c r="AG4672">
        <v>2.8200949999999998</v>
      </c>
      <c r="AH4672">
        <v>69.838223566567507</v>
      </c>
      <c r="AI4672">
        <v>87.697066591673504</v>
      </c>
      <c r="AJ4672">
        <v>95.180791737059806</v>
      </c>
      <c r="AK4672">
        <v>70.181384876215205</v>
      </c>
      <c r="AL4672">
        <v>87.213073990522204</v>
      </c>
      <c r="AM4672">
        <v>104.649547440386</v>
      </c>
      <c r="AN4672">
        <v>1.0000000665252</v>
      </c>
    </row>
    <row r="4673" spans="1:40" x14ac:dyDescent="0.25">
      <c r="A4673" t="str">
        <f>"20190305135723789"</f>
        <v>20190305135723789</v>
      </c>
      <c r="B4673" t="str">
        <f>"1551765443787033"</f>
        <v>1551765443787033</v>
      </c>
      <c r="C4673" t="s">
        <v>40</v>
      </c>
      <c r="D4673">
        <v>4.2212719999999999</v>
      </c>
      <c r="E4673">
        <v>0.56226869999999995</v>
      </c>
      <c r="F4673" t="s">
        <v>69</v>
      </c>
      <c r="G4673">
        <v>-157.3501</v>
      </c>
      <c r="H4673">
        <v>4.1411720000000001</v>
      </c>
      <c r="I4673">
        <v>-56.492289999999997</v>
      </c>
      <c r="J4673">
        <v>-225.3879</v>
      </c>
      <c r="K4673">
        <v>1.1103479999999999</v>
      </c>
      <c r="L4673">
        <v>-62.175350000000002</v>
      </c>
      <c r="M4673">
        <v>0.99988310000000002</v>
      </c>
      <c r="N4673">
        <v>-1.4694789999999999E-2</v>
      </c>
      <c r="O4673">
        <v>-4.2581509999999999E-3</v>
      </c>
      <c r="P4673">
        <v>0.97154379999999996</v>
      </c>
      <c r="Q4673">
        <v>2.507084E-2</v>
      </c>
      <c r="R4673">
        <v>0.23552960000000001</v>
      </c>
      <c r="S4673">
        <v>3.0292210000000002</v>
      </c>
      <c r="T4673">
        <v>0.13116259999999999</v>
      </c>
      <c r="U4673">
        <v>0.24551390000000001</v>
      </c>
      <c r="V4673">
        <v>-0.23972850000000001</v>
      </c>
      <c r="W4673">
        <v>3.893899E-2</v>
      </c>
      <c r="X4673">
        <v>0.97005870000000005</v>
      </c>
      <c r="Y4673">
        <v>-8.4968399999999999E-2</v>
      </c>
      <c r="Z4673">
        <v>-1.456546E-3</v>
      </c>
      <c r="AA4673">
        <v>0.99638260000000001</v>
      </c>
      <c r="AB4673">
        <v>36</v>
      </c>
      <c r="AC4673">
        <v>68.037800000000004</v>
      </c>
      <c r="AD4673">
        <v>3.030824</v>
      </c>
      <c r="AE4673">
        <v>5.6830599999999896</v>
      </c>
      <c r="AF4673">
        <v>-5.9610080954379701</v>
      </c>
      <c r="AG4673">
        <v>3.030824</v>
      </c>
      <c r="AH4673">
        <v>67.8792174177688</v>
      </c>
      <c r="AI4673">
        <v>87.453215738777899</v>
      </c>
      <c r="AJ4673">
        <v>95.018718162983504</v>
      </c>
      <c r="AK4673">
        <v>68.207827035330595</v>
      </c>
      <c r="AL4673">
        <v>87.768395895146199</v>
      </c>
      <c r="AM4673">
        <v>103.88125599110199</v>
      </c>
      <c r="AN4673">
        <v>0.99999994005007797</v>
      </c>
    </row>
    <row r="4674" spans="1:40" x14ac:dyDescent="0.25">
      <c r="A4674" t="str">
        <f>"20190305135723801"</f>
        <v>20190305135723801</v>
      </c>
      <c r="B4674" t="str">
        <f>"1551765443796794"</f>
        <v>1551765443796794</v>
      </c>
      <c r="C4674" t="s">
        <v>40</v>
      </c>
      <c r="D4674">
        <v>4.1904130000000004</v>
      </c>
      <c r="E4674">
        <v>0.5606563</v>
      </c>
      <c r="F4674" t="s">
        <v>69</v>
      </c>
      <c r="G4674">
        <v>-157.3501</v>
      </c>
      <c r="H4674">
        <v>3.441262</v>
      </c>
      <c r="I4674">
        <v>-57.138599999999997</v>
      </c>
      <c r="J4674">
        <v>-225.20330000000001</v>
      </c>
      <c r="K4674">
        <v>1.11036</v>
      </c>
      <c r="L4674">
        <v>-62.175780000000003</v>
      </c>
      <c r="M4674">
        <v>0.99988460000000001</v>
      </c>
      <c r="N4674">
        <v>-1.46982E-2</v>
      </c>
      <c r="O4674">
        <v>-3.8468090000000001E-3</v>
      </c>
      <c r="P4674">
        <v>0.97190180000000004</v>
      </c>
      <c r="Q4674">
        <v>2.4759590000000001E-2</v>
      </c>
      <c r="R4674">
        <v>0.2340816</v>
      </c>
      <c r="S4674">
        <v>3.0307919999999999</v>
      </c>
      <c r="T4674">
        <v>0.103831199999999</v>
      </c>
      <c r="U4674">
        <v>0.22436519999999999</v>
      </c>
      <c r="V4674">
        <v>-0.23788390000000001</v>
      </c>
      <c r="W4674">
        <v>3.8632140000000002E-2</v>
      </c>
      <c r="X4674">
        <v>0.97052499999999997</v>
      </c>
      <c r="Y4674">
        <v>-7.7632359999999997E-2</v>
      </c>
      <c r="Z4674">
        <v>-9.4417049999999999E-4</v>
      </c>
      <c r="AA4674">
        <v>0.99698160000000002</v>
      </c>
      <c r="AB4674">
        <v>36</v>
      </c>
      <c r="AC4674">
        <v>67.853200000000001</v>
      </c>
      <c r="AD4674">
        <v>2.330902</v>
      </c>
      <c r="AE4674">
        <v>5.0371800000000002</v>
      </c>
      <c r="AF4674">
        <v>-5.29197854345884</v>
      </c>
      <c r="AG4674">
        <v>2.330902</v>
      </c>
      <c r="AH4674">
        <v>67.753802745107294</v>
      </c>
      <c r="AI4674">
        <v>88.035635529430806</v>
      </c>
      <c r="AJ4674">
        <v>94.466077066145203</v>
      </c>
      <c r="AK4674">
        <v>68.000117113582505</v>
      </c>
      <c r="AL4674">
        <v>87.785990442109195</v>
      </c>
      <c r="AM4674">
        <v>103.772163608029</v>
      </c>
      <c r="AN4674">
        <v>0.99999998387259403</v>
      </c>
    </row>
    <row r="4675" spans="1:40" x14ac:dyDescent="0.25">
      <c r="A4675" t="str">
        <f>"20190305135723812"</f>
        <v>20190305135723812</v>
      </c>
      <c r="B4675" t="str">
        <f>"1551765443807530"</f>
        <v>1551765443807530</v>
      </c>
      <c r="C4675" t="s">
        <v>40</v>
      </c>
      <c r="D4675">
        <v>4.203284</v>
      </c>
      <c r="E4675">
        <v>0.55919180000000002</v>
      </c>
      <c r="F4675" t="s">
        <v>69</v>
      </c>
      <c r="G4675">
        <v>-157.3501</v>
      </c>
      <c r="H4675">
        <v>3.3151890000000002</v>
      </c>
      <c r="I4675">
        <v>-56.970700000000001</v>
      </c>
      <c r="J4675">
        <v>-225.02619999999999</v>
      </c>
      <c r="K4675">
        <v>1.1103700000000001</v>
      </c>
      <c r="L4675">
        <v>-62.176119999999997</v>
      </c>
      <c r="M4675">
        <v>0.99988600000000005</v>
      </c>
      <c r="N4675">
        <v>-1.470134E-2</v>
      </c>
      <c r="O4675">
        <v>-3.4488180000000002E-3</v>
      </c>
      <c r="P4675">
        <v>0.97211270000000005</v>
      </c>
      <c r="Q4675">
        <v>2.5306229999999999E-2</v>
      </c>
      <c r="R4675">
        <v>0.2331454</v>
      </c>
      <c r="S4675">
        <v>3.0282589999999998</v>
      </c>
      <c r="T4675">
        <v>9.8399520000000004E-2</v>
      </c>
      <c r="U4675">
        <v>0.2322998</v>
      </c>
      <c r="V4675">
        <v>-0.23656389999999999</v>
      </c>
      <c r="W4675">
        <v>3.9180090000000001E-2</v>
      </c>
      <c r="X4675">
        <v>0.97082570000000001</v>
      </c>
      <c r="Y4675">
        <v>-7.9897899999999994E-2</v>
      </c>
      <c r="Z4675">
        <v>-8.7005130000000004E-4</v>
      </c>
      <c r="AA4675">
        <v>0.99680270000000004</v>
      </c>
      <c r="AB4675">
        <v>36</v>
      </c>
      <c r="AC4675">
        <v>67.676099999999906</v>
      </c>
      <c r="AD4675">
        <v>2.2048190000000001</v>
      </c>
      <c r="AE4675">
        <v>5.2054199999999904</v>
      </c>
      <c r="AF4675">
        <v>-5.4330841011965498</v>
      </c>
      <c r="AG4675">
        <v>2.2048190000000001</v>
      </c>
      <c r="AH4675">
        <v>67.586429247398698</v>
      </c>
      <c r="AI4675">
        <v>88.137551129852795</v>
      </c>
      <c r="AJ4675">
        <v>94.595964674884598</v>
      </c>
      <c r="AK4675">
        <v>67.840290742943296</v>
      </c>
      <c r="AL4675">
        <v>87.754571576893696</v>
      </c>
      <c r="AM4675">
        <v>103.69454640705</v>
      </c>
      <c r="AN4675">
        <v>1.0000000490080501</v>
      </c>
    </row>
    <row r="4676" spans="1:40" x14ac:dyDescent="0.25">
      <c r="A4676" t="str">
        <f>"20190305135723824"</f>
        <v>20190305135723824</v>
      </c>
      <c r="B4676" t="str">
        <f>"1551765443817291"</f>
        <v>1551765443817291</v>
      </c>
      <c r="C4676" t="s">
        <v>40</v>
      </c>
      <c r="D4676">
        <v>4.1845109999999996</v>
      </c>
      <c r="E4676">
        <v>0.55805609999999894</v>
      </c>
      <c r="F4676" t="s">
        <v>69</v>
      </c>
      <c r="G4676">
        <v>-157.3501</v>
      </c>
      <c r="H4676">
        <v>3.253584</v>
      </c>
      <c r="I4676">
        <v>-56.792810000000003</v>
      </c>
      <c r="J4676">
        <v>-224.83590000000001</v>
      </c>
      <c r="K4676">
        <v>1.11039</v>
      </c>
      <c r="L4676">
        <v>-62.176389999999998</v>
      </c>
      <c r="M4676">
        <v>0.99988730000000003</v>
      </c>
      <c r="N4676">
        <v>-1.470429E-2</v>
      </c>
      <c r="O4676">
        <v>-3.0108510000000002E-3</v>
      </c>
      <c r="P4676">
        <v>0.9723117</v>
      </c>
      <c r="Q4676">
        <v>2.5780560000000001E-2</v>
      </c>
      <c r="R4676">
        <v>0.23226179999999999</v>
      </c>
      <c r="S4676">
        <v>3.0258639999999999</v>
      </c>
      <c r="T4676">
        <v>9.5824119999999999E-2</v>
      </c>
      <c r="U4676">
        <v>0.24069209999999999</v>
      </c>
      <c r="V4676">
        <v>-0.23525850000000001</v>
      </c>
      <c r="W4676">
        <v>3.9654170000000002E-2</v>
      </c>
      <c r="X4676">
        <v>0.97112359999999998</v>
      </c>
      <c r="Y4676">
        <v>-8.227073E-2</v>
      </c>
      <c r="Z4676">
        <v>-8.3374239999999997E-4</v>
      </c>
      <c r="AA4676">
        <v>0.99660970000000004</v>
      </c>
      <c r="AB4676">
        <v>36</v>
      </c>
      <c r="AC4676">
        <v>67.485799999999998</v>
      </c>
      <c r="AD4676">
        <v>2.1431939999999998</v>
      </c>
      <c r="AE4676">
        <v>5.3835800000000003</v>
      </c>
      <c r="AF4676">
        <v>-5.5811739544361698</v>
      </c>
      <c r="AG4676">
        <v>2.1431939999999998</v>
      </c>
      <c r="AH4676">
        <v>67.401734865455396</v>
      </c>
      <c r="AI4676">
        <v>88.184969515333293</v>
      </c>
      <c r="AJ4676">
        <v>94.733555333106196</v>
      </c>
      <c r="AK4676">
        <v>67.666362737363599</v>
      </c>
      <c r="AL4676">
        <v>87.7273876271354</v>
      </c>
      <c r="AM4676">
        <v>103.617777488394</v>
      </c>
      <c r="AN4676">
        <v>1.00000003074879</v>
      </c>
    </row>
    <row r="4677" spans="1:40" x14ac:dyDescent="0.25">
      <c r="A4677" t="str">
        <f>"20190305135723835"</f>
        <v>20190305135723835</v>
      </c>
      <c r="B4677" t="str">
        <f>"1551765443826871"</f>
        <v>1551765443826871</v>
      </c>
      <c r="C4677" t="s">
        <v>40</v>
      </c>
      <c r="D4677">
        <v>4.2130429999999999</v>
      </c>
      <c r="E4677">
        <v>0.55706480000000003</v>
      </c>
      <c r="F4677" t="s">
        <v>69</v>
      </c>
      <c r="G4677">
        <v>-157.3501</v>
      </c>
      <c r="H4677">
        <v>3.3117640000000002</v>
      </c>
      <c r="I4677">
        <v>-56.669110000000003</v>
      </c>
      <c r="J4677">
        <v>-224.6542</v>
      </c>
      <c r="K4677">
        <v>1.1104179999999999</v>
      </c>
      <c r="L4677">
        <v>-62.176569999999998</v>
      </c>
      <c r="M4677">
        <v>0.99988869999999996</v>
      </c>
      <c r="N4677">
        <v>-1.4706840000000001E-2</v>
      </c>
      <c r="O4677">
        <v>-2.582277E-3</v>
      </c>
      <c r="P4677">
        <v>0.97251189999999998</v>
      </c>
      <c r="Q4677">
        <v>2.5614959999999999E-2</v>
      </c>
      <c r="R4677">
        <v>0.23144129999999999</v>
      </c>
      <c r="S4677">
        <v>3.0238489999999998</v>
      </c>
      <c r="T4677">
        <v>9.8636390000000004E-2</v>
      </c>
      <c r="U4677">
        <v>0.24676509999999999</v>
      </c>
      <c r="V4677">
        <v>-0.2340235</v>
      </c>
      <c r="W4677">
        <v>3.9486930000000003E-2</v>
      </c>
      <c r="X4677">
        <v>0.97142879999999998</v>
      </c>
      <c r="Y4677">
        <v>-8.3882540000000005E-2</v>
      </c>
      <c r="Z4677">
        <v>-8.6947479999999904E-4</v>
      </c>
      <c r="AA4677">
        <v>0.99647529999999995</v>
      </c>
      <c r="AB4677">
        <v>36</v>
      </c>
      <c r="AC4677">
        <v>67.304100000000005</v>
      </c>
      <c r="AD4677">
        <v>2.201346</v>
      </c>
      <c r="AE4677">
        <v>5.50746</v>
      </c>
      <c r="AF4677">
        <v>-5.6752273801273097</v>
      </c>
      <c r="AG4677">
        <v>2.201346</v>
      </c>
      <c r="AH4677">
        <v>67.2182219721888</v>
      </c>
      <c r="AI4677">
        <v>88.130922085969999</v>
      </c>
      <c r="AJ4677">
        <v>94.826031024253496</v>
      </c>
      <c r="AK4677">
        <v>67.4932848150859</v>
      </c>
      <c r="AL4677">
        <v>87.736977361006595</v>
      </c>
      <c r="AM4677">
        <v>103.544832382129</v>
      </c>
      <c r="AN4677">
        <v>1.0000000648312499</v>
      </c>
    </row>
    <row r="4678" spans="1:40" x14ac:dyDescent="0.25">
      <c r="A4678" t="str">
        <f>"20190305135723846"</f>
        <v>20190305135723846</v>
      </c>
      <c r="B4678" t="str">
        <f>"1551765443836619"</f>
        <v>1551765443836619</v>
      </c>
      <c r="C4678" t="s">
        <v>40</v>
      </c>
      <c r="D4678">
        <v>4.2261259999999998</v>
      </c>
      <c r="E4678">
        <v>0.55609019999999898</v>
      </c>
      <c r="F4678" t="s">
        <v>69</v>
      </c>
      <c r="G4678">
        <v>-157.3501</v>
      </c>
      <c r="H4678">
        <v>3.2387269999999999</v>
      </c>
      <c r="I4678">
        <v>-56.568570000000001</v>
      </c>
      <c r="J4678">
        <v>-224.48249999999999</v>
      </c>
      <c r="K4678">
        <v>1.1104449999999999</v>
      </c>
      <c r="L4678">
        <v>-62.176699999999997</v>
      </c>
      <c r="M4678">
        <v>0.99988960000000005</v>
      </c>
      <c r="N4678">
        <v>-1.470901E-2</v>
      </c>
      <c r="O4678">
        <v>-2.1677530000000001E-3</v>
      </c>
      <c r="P4678">
        <v>0.97263650000000001</v>
      </c>
      <c r="Q4678">
        <v>2.61804E-2</v>
      </c>
      <c r="R4678">
        <v>0.23085310000000001</v>
      </c>
      <c r="S4678">
        <v>3.0223390000000001</v>
      </c>
      <c r="T4678">
        <v>9.5572229999999994E-2</v>
      </c>
      <c r="U4678">
        <v>0.25183109999999997</v>
      </c>
      <c r="V4678">
        <v>-0.2330352</v>
      </c>
      <c r="W4678">
        <v>4.0048199999999999E-2</v>
      </c>
      <c r="X4678">
        <v>0.97164329999999999</v>
      </c>
      <c r="Y4678">
        <v>-8.5170990000000002E-2</v>
      </c>
      <c r="Z4678">
        <v>-8.1661669999999996E-4</v>
      </c>
      <c r="AA4678">
        <v>0.99636599999999997</v>
      </c>
      <c r="AB4678">
        <v>36</v>
      </c>
      <c r="AC4678">
        <v>67.132399999999905</v>
      </c>
      <c r="AD4678">
        <v>2.128282</v>
      </c>
      <c r="AE4678">
        <v>5.6081300000000001</v>
      </c>
      <c r="AF4678">
        <v>-5.7479220110835199</v>
      </c>
      <c r="AG4678">
        <v>2.128282</v>
      </c>
      <c r="AH4678">
        <v>67.053158171449098</v>
      </c>
      <c r="AI4678">
        <v>88.188668101202097</v>
      </c>
      <c r="AJ4678">
        <v>94.8995237496691</v>
      </c>
      <c r="AK4678">
        <v>67.3327127961023</v>
      </c>
      <c r="AL4678">
        <v>87.704793312860602</v>
      </c>
      <c r="AM4678">
        <v>103.486856986097</v>
      </c>
      <c r="AN4678">
        <v>0.99999998259858403</v>
      </c>
    </row>
    <row r="4679" spans="1:40" x14ac:dyDescent="0.25">
      <c r="A4679" t="str">
        <f>"20190305135723857"</f>
        <v>20190305135723857</v>
      </c>
      <c r="B4679" t="str">
        <f>"1551765443847354"</f>
        <v>1551765443847354</v>
      </c>
      <c r="C4679" t="s">
        <v>40</v>
      </c>
      <c r="D4679">
        <v>4.2321179999999998</v>
      </c>
      <c r="E4679">
        <v>0.55488190000000004</v>
      </c>
      <c r="F4679" t="s">
        <v>69</v>
      </c>
      <c r="G4679">
        <v>-157.3501</v>
      </c>
      <c r="H4679">
        <v>3.218982</v>
      </c>
      <c r="I4679">
        <v>-56.453169999999901</v>
      </c>
      <c r="J4679">
        <v>-224.31049999999999</v>
      </c>
      <c r="K4679">
        <v>1.110476</v>
      </c>
      <c r="L4679">
        <v>-62.176699999999997</v>
      </c>
      <c r="M4679">
        <v>0.99989039999999996</v>
      </c>
      <c r="N4679">
        <v>-1.471095E-2</v>
      </c>
      <c r="O4679">
        <v>-1.734939E-3</v>
      </c>
      <c r="P4679">
        <v>0.97275940000000005</v>
      </c>
      <c r="Q4679">
        <v>2.6208189999999999E-2</v>
      </c>
      <c r="R4679">
        <v>0.2303316</v>
      </c>
      <c r="S4679">
        <v>3.020721</v>
      </c>
      <c r="T4679">
        <v>9.4875689999999999E-2</v>
      </c>
      <c r="U4679">
        <v>0.25753779999999998</v>
      </c>
      <c r="V4679">
        <v>-0.2320953</v>
      </c>
      <c r="W4679">
        <v>4.0070120000000001E-2</v>
      </c>
      <c r="X4679">
        <v>0.97186740000000005</v>
      </c>
      <c r="Y4679">
        <v>-8.6653309999999997E-2</v>
      </c>
      <c r="Z4679">
        <v>-7.992206E-4</v>
      </c>
      <c r="AA4679">
        <v>0.99623819999999996</v>
      </c>
      <c r="AB4679">
        <v>36</v>
      </c>
      <c r="AC4679">
        <v>66.960399999999893</v>
      </c>
      <c r="AD4679">
        <v>2.1085060000000002</v>
      </c>
      <c r="AE4679">
        <v>5.7235300000000002</v>
      </c>
      <c r="AF4679">
        <v>-5.8339634569353001</v>
      </c>
      <c r="AG4679">
        <v>2.1085060000000002</v>
      </c>
      <c r="AH4679">
        <v>66.884529979880398</v>
      </c>
      <c r="AI4679">
        <v>88.201198463303001</v>
      </c>
      <c r="AJ4679">
        <v>94.984973876376003</v>
      </c>
      <c r="AK4679">
        <v>67.171580879106997</v>
      </c>
      <c r="AL4679">
        <v>87.703536519187196</v>
      </c>
      <c r="AM4679">
        <v>103.431450668515</v>
      </c>
      <c r="AN4679">
        <v>1.00000004299083</v>
      </c>
    </row>
    <row r="4680" spans="1:40" x14ac:dyDescent="0.25">
      <c r="A4680" t="str">
        <f>"20190305135723868"</f>
        <v>20190305135723868</v>
      </c>
      <c r="B4680" t="str">
        <f>"1551765443857114"</f>
        <v>1551765443857114</v>
      </c>
      <c r="C4680" t="s">
        <v>40</v>
      </c>
      <c r="D4680">
        <v>4.2520730000000002</v>
      </c>
      <c r="E4680">
        <v>0.55377270000000001</v>
      </c>
      <c r="F4680" t="s">
        <v>69</v>
      </c>
      <c r="G4680">
        <v>-157.3501</v>
      </c>
      <c r="H4680">
        <v>3.1478169999999999</v>
      </c>
      <c r="I4680">
        <v>-56.294919999999998</v>
      </c>
      <c r="J4680">
        <v>-224.1241</v>
      </c>
      <c r="K4680">
        <v>1.110514</v>
      </c>
      <c r="L4680">
        <v>-62.176609999999997</v>
      </c>
      <c r="M4680">
        <v>0.99989099999999997</v>
      </c>
      <c r="N4680">
        <v>-1.4712899999999999E-2</v>
      </c>
      <c r="O4680">
        <v>-1.257132E-3</v>
      </c>
      <c r="P4680">
        <v>0.97302650000000002</v>
      </c>
      <c r="Q4680">
        <v>2.5262819999999998E-2</v>
      </c>
      <c r="R4680">
        <v>0.2293067</v>
      </c>
      <c r="S4680">
        <v>3.0187680000000001</v>
      </c>
      <c r="T4680">
        <v>9.1848250000000006E-2</v>
      </c>
      <c r="U4680">
        <v>0.26516719999999999</v>
      </c>
      <c r="V4680">
        <v>-0.23060729999999999</v>
      </c>
      <c r="W4680">
        <v>3.9120530000000001E-2</v>
      </c>
      <c r="X4680">
        <v>0.97226020000000002</v>
      </c>
      <c r="Y4680">
        <v>-8.8732790000000006E-2</v>
      </c>
      <c r="Z4680">
        <v>-7.4947390000000005E-4</v>
      </c>
      <c r="AA4680">
        <v>0.99605520000000003</v>
      </c>
      <c r="AB4680">
        <v>36</v>
      </c>
      <c r="AC4680">
        <v>66.774000000000001</v>
      </c>
      <c r="AD4680">
        <v>2.0373030000000001</v>
      </c>
      <c r="AE4680">
        <v>5.8816899999999901</v>
      </c>
      <c r="AF4680">
        <v>-5.96013267987502</v>
      </c>
      <c r="AG4680">
        <v>2.0373030000000001</v>
      </c>
      <c r="AH4680">
        <v>66.704935743104301</v>
      </c>
      <c r="AI4680">
        <v>88.257552708487296</v>
      </c>
      <c r="AJ4680">
        <v>95.105859171290405</v>
      </c>
      <c r="AK4680">
        <v>67.001658468781201</v>
      </c>
      <c r="AL4680">
        <v>87.757986665657896</v>
      </c>
      <c r="AM4680">
        <v>103.343231179806</v>
      </c>
      <c r="AN4680">
        <v>1.0000000195923999</v>
      </c>
    </row>
    <row r="4681" spans="1:40" x14ac:dyDescent="0.25">
      <c r="A4681" t="str">
        <f>"20190305135723882"</f>
        <v>20190305135723882</v>
      </c>
      <c r="B4681" t="str">
        <f>"1551765443877609"</f>
        <v>1551765443877609</v>
      </c>
      <c r="C4681" t="s">
        <v>40</v>
      </c>
      <c r="D4681">
        <v>4.2347510000000002</v>
      </c>
      <c r="E4681">
        <v>0.55173280000000002</v>
      </c>
      <c r="F4681" t="s">
        <v>69</v>
      </c>
      <c r="G4681">
        <v>-157.3501</v>
      </c>
      <c r="H4681">
        <v>3.009233</v>
      </c>
      <c r="I4681">
        <v>-56.189269999999901</v>
      </c>
      <c r="J4681">
        <v>-223.91370000000001</v>
      </c>
      <c r="K4681">
        <v>1.110555</v>
      </c>
      <c r="L4681">
        <v>-62.17633</v>
      </c>
      <c r="M4681">
        <v>0.99989150000000004</v>
      </c>
      <c r="N4681">
        <v>-1.471478E-2</v>
      </c>
      <c r="O4681">
        <v>-6.8216329999999995E-4</v>
      </c>
      <c r="P4681">
        <v>0.97327010000000003</v>
      </c>
      <c r="Q4681">
        <v>2.4427810000000001E-2</v>
      </c>
      <c r="R4681">
        <v>0.2283615</v>
      </c>
      <c r="S4681">
        <v>3.0171969999999999</v>
      </c>
      <c r="T4681">
        <v>8.5793019999999998E-2</v>
      </c>
      <c r="U4681">
        <v>0.27053829999999901</v>
      </c>
      <c r="V4681">
        <v>-0.22910449999999999</v>
      </c>
      <c r="W4681">
        <v>3.8276209999999998E-2</v>
      </c>
      <c r="X4681">
        <v>0.97264899999999999</v>
      </c>
      <c r="Y4681">
        <v>-8.9968729999999997E-2</v>
      </c>
      <c r="Z4681">
        <v>-6.4230910000000001E-4</v>
      </c>
      <c r="AA4681">
        <v>0.99594439999999995</v>
      </c>
      <c r="AB4681">
        <v>36</v>
      </c>
      <c r="AC4681">
        <v>66.563599999999994</v>
      </c>
      <c r="AD4681">
        <v>1.8986779999999901</v>
      </c>
      <c r="AE4681">
        <v>5.9870600000000103</v>
      </c>
      <c r="AF4681">
        <v>-6.0276058614831696</v>
      </c>
      <c r="AG4681">
        <v>1.8986779999999901</v>
      </c>
      <c r="AH4681">
        <v>66.505822775780302</v>
      </c>
      <c r="AI4681">
        <v>88.3713758654537</v>
      </c>
      <c r="AJ4681">
        <v>95.178725344709804</v>
      </c>
      <c r="AK4681">
        <v>66.805400033624295</v>
      </c>
      <c r="AL4681">
        <v>87.806398878567705</v>
      </c>
      <c r="AM4681">
        <v>103.254245135037</v>
      </c>
      <c r="AN4681">
        <v>1.0000000086866001</v>
      </c>
    </row>
    <row r="4682" spans="1:40" x14ac:dyDescent="0.25">
      <c r="A4682" t="str">
        <f>"20190305135723898"</f>
        <v>20190305135723898</v>
      </c>
      <c r="B4682" t="str">
        <f>"1551765443887370"</f>
        <v>1551765443887370</v>
      </c>
      <c r="C4682" t="s">
        <v>40</v>
      </c>
      <c r="D4682">
        <v>4.3231330000000003</v>
      </c>
      <c r="E4682">
        <v>0.55095760000000005</v>
      </c>
      <c r="F4682" t="s">
        <v>69</v>
      </c>
      <c r="G4682">
        <v>-157.3501</v>
      </c>
      <c r="H4682">
        <v>2.8301609999999999</v>
      </c>
      <c r="I4682">
        <v>-55.918390000000002</v>
      </c>
      <c r="J4682">
        <v>-223.66909999999999</v>
      </c>
      <c r="K4682">
        <v>1.1106069999999999</v>
      </c>
      <c r="L4682">
        <v>-62.175899999999999</v>
      </c>
      <c r="M4682">
        <v>0.9998918</v>
      </c>
      <c r="N4682">
        <v>-1.4716730000000001E-2</v>
      </c>
      <c r="O4682" s="1">
        <v>1.4167669999999999E-5</v>
      </c>
      <c r="P4682">
        <v>0.97343440000000003</v>
      </c>
      <c r="Q4682">
        <v>2.3308189999999999E-2</v>
      </c>
      <c r="R4682">
        <v>0.22777720000000001</v>
      </c>
      <c r="S4682">
        <v>3.0139619999999998</v>
      </c>
      <c r="T4682">
        <v>7.786179E-2</v>
      </c>
      <c r="U4682">
        <v>0.28335569999999999</v>
      </c>
      <c r="V4682">
        <v>-0.22784370000000001</v>
      </c>
      <c r="W4682">
        <v>3.7141670000000002E-2</v>
      </c>
      <c r="X4682">
        <v>0.97298910000000005</v>
      </c>
      <c r="Y4682">
        <v>-9.3574320000000002E-2</v>
      </c>
      <c r="Z4682">
        <v>-5.1509869999999999E-4</v>
      </c>
      <c r="AA4682">
        <v>0.9956121</v>
      </c>
      <c r="AB4682">
        <v>36</v>
      </c>
      <c r="AC4682">
        <v>66.318999999999903</v>
      </c>
      <c r="AD4682">
        <v>1.719554</v>
      </c>
      <c r="AE4682">
        <v>6.2575099999999901</v>
      </c>
      <c r="AF4682">
        <v>-6.2524039845567598</v>
      </c>
      <c r="AG4682">
        <v>1.719554</v>
      </c>
      <c r="AH4682">
        <v>66.274925957149406</v>
      </c>
      <c r="AI4682">
        <v>88.520317461431205</v>
      </c>
      <c r="AJ4682">
        <v>95.389356728862694</v>
      </c>
      <c r="AK4682">
        <v>66.591405092328998</v>
      </c>
      <c r="AL4682">
        <v>87.871449529827402</v>
      </c>
      <c r="AM4682">
        <v>103.17941156041</v>
      </c>
      <c r="AN4682">
        <v>1.00000002199944</v>
      </c>
    </row>
    <row r="4683" spans="1:40" x14ac:dyDescent="0.25">
      <c r="A4683" t="str">
        <f>"20190305135723913"</f>
        <v>20190305135723913</v>
      </c>
      <c r="B4683" t="str">
        <f>"1551765443906890"</f>
        <v>1551765443906890</v>
      </c>
      <c r="C4683" t="s">
        <v>40</v>
      </c>
      <c r="D4683">
        <v>4.2922779999999996</v>
      </c>
      <c r="E4683">
        <v>0.53505550000000002</v>
      </c>
      <c r="F4683" t="s">
        <v>69</v>
      </c>
      <c r="G4683">
        <v>-157.3501</v>
      </c>
      <c r="H4683">
        <v>2.6970049999999999</v>
      </c>
      <c r="I4683">
        <v>-55.847990000000003</v>
      </c>
      <c r="J4683">
        <v>-223.40819999999999</v>
      </c>
      <c r="K4683">
        <v>1.1106670000000001</v>
      </c>
      <c r="L4683">
        <v>-62.175170000000001</v>
      </c>
      <c r="M4683">
        <v>0.99989150000000004</v>
      </c>
      <c r="N4683">
        <v>-1.471854E-2</v>
      </c>
      <c r="O4683">
        <v>7.9880879999999997E-4</v>
      </c>
      <c r="P4683">
        <v>0.97354189999999996</v>
      </c>
      <c r="Q4683">
        <v>2.2475060000000002E-2</v>
      </c>
      <c r="R4683">
        <v>0.22740160000000001</v>
      </c>
      <c r="S4683">
        <v>3.0128629999999998</v>
      </c>
      <c r="T4683">
        <v>7.2068809999999997E-2</v>
      </c>
      <c r="U4683">
        <v>0.2874756</v>
      </c>
      <c r="V4683">
        <v>-0.22670699999999999</v>
      </c>
      <c r="W4683">
        <v>3.6288699999999903E-2</v>
      </c>
      <c r="X4683">
        <v>0.97328669999999995</v>
      </c>
      <c r="Y4683">
        <v>-9.4179789999999999E-2</v>
      </c>
      <c r="Z4683">
        <v>-3.9816640000000001E-4</v>
      </c>
      <c r="AA4683">
        <v>0.99555510000000003</v>
      </c>
      <c r="AB4683">
        <v>36</v>
      </c>
      <c r="AC4683">
        <v>66.058099999999996</v>
      </c>
      <c r="AD4683">
        <v>1.58633799999999</v>
      </c>
      <c r="AE4683">
        <v>6.3271799999999896</v>
      </c>
      <c r="AF4683">
        <v>-6.2708210614101398</v>
      </c>
      <c r="AG4683">
        <v>1.58633799999999</v>
      </c>
      <c r="AH4683">
        <v>66.025403897666195</v>
      </c>
      <c r="AI4683">
        <v>88.629829801710002</v>
      </c>
      <c r="AJ4683">
        <v>95.425443074559595</v>
      </c>
      <c r="AK4683">
        <v>66.341492483094001</v>
      </c>
      <c r="AL4683">
        <v>87.920353969758295</v>
      </c>
      <c r="AM4683">
        <v>103.112066793233</v>
      </c>
      <c r="AN4683">
        <v>0.99999996699678895</v>
      </c>
    </row>
    <row r="4684" spans="1:40" x14ac:dyDescent="0.25">
      <c r="A4684" t="str">
        <f>"20190305135723926"</f>
        <v>20190305135723926</v>
      </c>
      <c r="B4684" t="str">
        <f>"1551765443916651"</f>
        <v>1551765443916651</v>
      </c>
      <c r="C4684" t="s">
        <v>40</v>
      </c>
      <c r="D4684">
        <v>4.2583880000000001</v>
      </c>
      <c r="E4684">
        <v>0.5361764</v>
      </c>
      <c r="F4684" t="s">
        <v>69</v>
      </c>
      <c r="G4684">
        <v>-157.9383</v>
      </c>
      <c r="H4684">
        <v>1.480769</v>
      </c>
      <c r="I4684">
        <v>-53.22099</v>
      </c>
      <c r="J4684">
        <v>-223.1969</v>
      </c>
      <c r="K4684">
        <v>1.110727</v>
      </c>
      <c r="L4684">
        <v>-62.174439999999997</v>
      </c>
      <c r="M4684">
        <v>0.99989070000000002</v>
      </c>
      <c r="N4684">
        <v>-1.471982E-2</v>
      </c>
      <c r="O4684">
        <v>1.4705089999999901E-3</v>
      </c>
      <c r="P4684">
        <v>0.97394420000000004</v>
      </c>
      <c r="Q4684">
        <v>2.215344E-2</v>
      </c>
      <c r="R4684">
        <v>0.22570370000000001</v>
      </c>
      <c r="S4684">
        <v>2.9857640000000001</v>
      </c>
      <c r="T4684">
        <v>1.6877650000000001E-2</v>
      </c>
      <c r="U4684">
        <v>0.40835569999999999</v>
      </c>
      <c r="V4684">
        <v>-0.22435749999999999</v>
      </c>
      <c r="W4684">
        <v>3.5958469999999999E-2</v>
      </c>
      <c r="X4684">
        <v>0.97384329999999997</v>
      </c>
      <c r="Y4684">
        <v>-0.13405259999999999</v>
      </c>
      <c r="Z4684">
        <v>6.4392469999999995E-4</v>
      </c>
      <c r="AA4684">
        <v>0.99097400000000002</v>
      </c>
      <c r="AB4684">
        <v>36</v>
      </c>
      <c r="AC4684">
        <v>65.258600000000001</v>
      </c>
      <c r="AD4684">
        <v>0.37004199999999998</v>
      </c>
      <c r="AE4684">
        <v>8.9534500000000001</v>
      </c>
      <c r="AF4684">
        <v>-8.8571870459590496</v>
      </c>
      <c r="AG4684">
        <v>0.37004199999999998</v>
      </c>
      <c r="AH4684">
        <v>65.269637116316702</v>
      </c>
      <c r="AI4684">
        <v>89.678118872617304</v>
      </c>
      <c r="AJ4684">
        <v>97.7279171456764</v>
      </c>
      <c r="AK4684">
        <v>65.868901787903894</v>
      </c>
      <c r="AL4684">
        <v>87.939287255420197</v>
      </c>
      <c r="AM4684">
        <v>102.97363575548999</v>
      </c>
      <c r="AN4684">
        <v>1.00000003616293</v>
      </c>
    </row>
    <row r="4685" spans="1:40" x14ac:dyDescent="0.25">
      <c r="A4685" t="str">
        <f>"20190305135723938"</f>
        <v>20190305135723938</v>
      </c>
      <c r="B4685" t="str">
        <f>"1551765443926962"</f>
        <v>1551765443926962</v>
      </c>
      <c r="C4685" t="s">
        <v>40</v>
      </c>
      <c r="D4685">
        <v>4.2966110000000004</v>
      </c>
      <c r="E4685">
        <v>0.53641629999999996</v>
      </c>
      <c r="F4685" t="s">
        <v>69</v>
      </c>
      <c r="G4685">
        <v>-157.9383</v>
      </c>
      <c r="H4685">
        <v>1.828619</v>
      </c>
      <c r="I4685">
        <v>-53.551830000000002</v>
      </c>
      <c r="J4685">
        <v>-223.00890000000001</v>
      </c>
      <c r="K4685">
        <v>1.110773</v>
      </c>
      <c r="L4685">
        <v>-62.173609999999996</v>
      </c>
      <c r="M4685">
        <v>0.99988949999999999</v>
      </c>
      <c r="N4685">
        <v>-1.4720759999999999E-2</v>
      </c>
      <c r="O4685">
        <v>2.0994659999999999E-3</v>
      </c>
      <c r="P4685">
        <v>0.97402390000000005</v>
      </c>
      <c r="Q4685">
        <v>2.257909E-2</v>
      </c>
      <c r="R4685">
        <v>0.22531709999999999</v>
      </c>
      <c r="S4685">
        <v>2.988022</v>
      </c>
      <c r="T4685">
        <v>3.2869460000000003E-2</v>
      </c>
      <c r="U4685">
        <v>0.39480589999999999</v>
      </c>
      <c r="V4685">
        <v>-0.22336210000000001</v>
      </c>
      <c r="W4685">
        <v>3.6369230000000002E-2</v>
      </c>
      <c r="X4685">
        <v>0.97405679999999994</v>
      </c>
      <c r="Y4685">
        <v>-0.12891250000000001</v>
      </c>
      <c r="Z4685">
        <v>3.0080249999999998E-4</v>
      </c>
      <c r="AA4685">
        <v>0.99165590000000003</v>
      </c>
      <c r="AB4685">
        <v>36</v>
      </c>
      <c r="AC4685">
        <v>65.070599999999999</v>
      </c>
      <c r="AD4685">
        <v>0.71784599999999898</v>
      </c>
      <c r="AE4685">
        <v>8.6217799999999905</v>
      </c>
      <c r="AF4685">
        <v>-8.4841179773036401</v>
      </c>
      <c r="AG4685">
        <v>0.71784599999999898</v>
      </c>
      <c r="AH4685">
        <v>65.0807759325197</v>
      </c>
      <c r="AI4685">
        <v>89.3733506706442</v>
      </c>
      <c r="AJ4685">
        <v>97.427357649290002</v>
      </c>
      <c r="AK4685">
        <v>65.635378849454</v>
      </c>
      <c r="AL4685">
        <v>87.915736959655703</v>
      </c>
      <c r="AM4685">
        <v>102.915274487915</v>
      </c>
      <c r="AN4685">
        <v>0.99999999911672099</v>
      </c>
    </row>
    <row r="4686" spans="1:40" x14ac:dyDescent="0.25">
      <c r="A4686" t="str">
        <f>"20190305135723951"</f>
        <v>20190305135723951</v>
      </c>
      <c r="B4686" t="str">
        <f>"1551765443947443"</f>
        <v>1551765443947443</v>
      </c>
      <c r="C4686" t="s">
        <v>40</v>
      </c>
      <c r="D4686">
        <v>4.3031410000000001</v>
      </c>
      <c r="E4686">
        <v>0.53623999999999905</v>
      </c>
      <c r="F4686" t="s">
        <v>69</v>
      </c>
      <c r="G4686">
        <v>-157.9383</v>
      </c>
      <c r="H4686">
        <v>2.0089600000000001</v>
      </c>
      <c r="I4686">
        <v>-53.637990000000002</v>
      </c>
      <c r="J4686">
        <v>-222.80549999999999</v>
      </c>
      <c r="K4686">
        <v>1.1108199999999999</v>
      </c>
      <c r="L4686">
        <v>-62.172580000000004</v>
      </c>
      <c r="M4686">
        <v>0.99988770000000005</v>
      </c>
      <c r="N4686">
        <v>-1.4721649999999999E-2</v>
      </c>
      <c r="O4686">
        <v>2.7985100000000001E-3</v>
      </c>
      <c r="P4686">
        <v>0.97414339999999999</v>
      </c>
      <c r="Q4686">
        <v>2.2658600000000001E-2</v>
      </c>
      <c r="R4686">
        <v>0.22479109999999999</v>
      </c>
      <c r="S4686">
        <v>2.9883730000000002</v>
      </c>
      <c r="T4686">
        <v>4.1248319999999998E-2</v>
      </c>
      <c r="U4686">
        <v>0.39199830000000002</v>
      </c>
      <c r="V4686">
        <v>-0.22215850000000001</v>
      </c>
      <c r="W4686">
        <v>3.6433090000000001E-2</v>
      </c>
      <c r="X4686">
        <v>0.97432969999999997</v>
      </c>
      <c r="Y4686">
        <v>-0.12728680000000001</v>
      </c>
      <c r="Z4686">
        <v>1.4578390000000001E-4</v>
      </c>
      <c r="AA4686">
        <v>0.99186589999999997</v>
      </c>
      <c r="AB4686">
        <v>36</v>
      </c>
      <c r="AC4686">
        <v>64.867199999999997</v>
      </c>
      <c r="AD4686">
        <v>0.89813999999999905</v>
      </c>
      <c r="AE4686">
        <v>8.5345899999999997</v>
      </c>
      <c r="AF4686">
        <v>-8.3514316037786607</v>
      </c>
      <c r="AG4686">
        <v>0.89813999999999905</v>
      </c>
      <c r="AH4686">
        <v>64.878606624000696</v>
      </c>
      <c r="AI4686">
        <v>89.213372265835901</v>
      </c>
      <c r="AJ4686">
        <v>97.335004165016599</v>
      </c>
      <c r="AK4686">
        <v>65.420078437464596</v>
      </c>
      <c r="AL4686">
        <v>87.912075765897995</v>
      </c>
      <c r="AM4686">
        <v>102.844516096647</v>
      </c>
      <c r="AN4686">
        <v>1.0000000667356399</v>
      </c>
    </row>
    <row r="4687" spans="1:40" x14ac:dyDescent="0.25">
      <c r="A4687" t="str">
        <f>"20190305135723965"</f>
        <v>20190305135723965</v>
      </c>
      <c r="B4687" t="str">
        <f>"1551765443957203"</f>
        <v>1551765443957203</v>
      </c>
      <c r="C4687" t="s">
        <v>40</v>
      </c>
      <c r="D4687">
        <v>4.3158599999999998</v>
      </c>
      <c r="E4687">
        <v>0.53607499999999997</v>
      </c>
      <c r="F4687" t="s">
        <v>69</v>
      </c>
      <c r="G4687">
        <v>-157.9383</v>
      </c>
      <c r="H4687">
        <v>2.230416</v>
      </c>
      <c r="I4687">
        <v>-53.662509999999997</v>
      </c>
      <c r="J4687">
        <v>-222.578</v>
      </c>
      <c r="K4687">
        <v>1.110881</v>
      </c>
      <c r="L4687">
        <v>-62.171169999999996</v>
      </c>
      <c r="M4687">
        <v>0.99988500000000002</v>
      </c>
      <c r="N4687">
        <v>-1.472241E-2</v>
      </c>
      <c r="O4687">
        <v>3.6364399999999999E-3</v>
      </c>
      <c r="P4687">
        <v>0.97423720000000003</v>
      </c>
      <c r="Q4687">
        <v>2.2651419999999999E-2</v>
      </c>
      <c r="R4687">
        <v>0.22438520000000001</v>
      </c>
      <c r="S4687">
        <v>2.9879760000000002</v>
      </c>
      <c r="T4687">
        <v>5.1570890000000001E-2</v>
      </c>
      <c r="U4687">
        <v>0.39199830000000002</v>
      </c>
      <c r="V4687">
        <v>-0.22093989999999999</v>
      </c>
      <c r="W4687">
        <v>3.6405920000000001E-2</v>
      </c>
      <c r="X4687">
        <v>0.97460769999999997</v>
      </c>
      <c r="Y4687">
        <v>-0.12646969999999999</v>
      </c>
      <c r="Z4687" s="1">
        <v>-3.5868259999999899E-5</v>
      </c>
      <c r="AA4687">
        <v>0.99197049999999998</v>
      </c>
      <c r="AB4687">
        <v>36</v>
      </c>
      <c r="AC4687">
        <v>64.639700000000005</v>
      </c>
      <c r="AD4687">
        <v>1.1195349999999999</v>
      </c>
      <c r="AE4687">
        <v>8.5086599999999901</v>
      </c>
      <c r="AF4687">
        <v>-8.2710810464919096</v>
      </c>
      <c r="AG4687">
        <v>1.1195349999999999</v>
      </c>
      <c r="AH4687">
        <v>64.651154053399495</v>
      </c>
      <c r="AI4687">
        <v>89.015952596204798</v>
      </c>
      <c r="AJ4687">
        <v>97.2904759788116</v>
      </c>
      <c r="AK4687">
        <v>65.187697157747905</v>
      </c>
      <c r="AL4687">
        <v>87.913633385553197</v>
      </c>
      <c r="AM4687">
        <v>102.772854120525</v>
      </c>
      <c r="AN4687">
        <v>0.99999999966117303</v>
      </c>
    </row>
    <row r="4688" spans="1:40" x14ac:dyDescent="0.25">
      <c r="A4688" t="str">
        <f>"20190305135723979"</f>
        <v>20190305135723979</v>
      </c>
      <c r="B4688" t="str">
        <f>"1551765443976724"</f>
        <v>1551765443976724</v>
      </c>
      <c r="C4688" t="s">
        <v>40</v>
      </c>
      <c r="D4688">
        <v>4.3333459999999997</v>
      </c>
      <c r="E4688">
        <v>0.53545810000000005</v>
      </c>
      <c r="F4688" t="s">
        <v>69</v>
      </c>
      <c r="G4688">
        <v>-157.93819999999999</v>
      </c>
      <c r="H4688">
        <v>2.24369</v>
      </c>
      <c r="I4688">
        <v>-53.687829999999998</v>
      </c>
      <c r="J4688">
        <v>-222.3561</v>
      </c>
      <c r="K4688">
        <v>1.1109359999999999</v>
      </c>
      <c r="L4688">
        <v>-62.169559999999997</v>
      </c>
      <c r="M4688">
        <v>0.99988160000000004</v>
      </c>
      <c r="N4688">
        <v>-1.472306E-2</v>
      </c>
      <c r="O4688">
        <v>4.4970319999999998E-3</v>
      </c>
      <c r="P4688">
        <v>0.97449920000000001</v>
      </c>
      <c r="Q4688">
        <v>2.549624E-2</v>
      </c>
      <c r="R4688">
        <v>0.22293789999999999</v>
      </c>
      <c r="S4688">
        <v>2.9878079999999998</v>
      </c>
      <c r="T4688">
        <v>5.2360299999999999E-2</v>
      </c>
      <c r="U4688">
        <v>0.39212039999999998</v>
      </c>
      <c r="V4688">
        <v>-0.2186652</v>
      </c>
      <c r="W4688">
        <v>3.9234890000000001E-2</v>
      </c>
      <c r="X4688">
        <v>0.97501090000000001</v>
      </c>
      <c r="Y4688">
        <v>-0.1256631</v>
      </c>
      <c r="Z4688" s="1">
        <v>-2.2846739999999999E-5</v>
      </c>
      <c r="AA4688">
        <v>0.99207299999999998</v>
      </c>
      <c r="AB4688">
        <v>36</v>
      </c>
      <c r="AC4688">
        <v>64.417900000000003</v>
      </c>
      <c r="AD4688">
        <v>1.13275399999999</v>
      </c>
      <c r="AE4688">
        <v>8.48172999999999</v>
      </c>
      <c r="AF4688">
        <v>-8.1894343566825594</v>
      </c>
      <c r="AG4688">
        <v>1.13275399999999</v>
      </c>
      <c r="AH4688">
        <v>64.435810349508998</v>
      </c>
      <c r="AI4688">
        <v>89.000903658153504</v>
      </c>
      <c r="AJ4688">
        <v>97.243143094265406</v>
      </c>
      <c r="AK4688">
        <v>64.964017903027099</v>
      </c>
      <c r="AL4688">
        <v>87.751429356054501</v>
      </c>
      <c r="AM4688">
        <v>102.640539091835</v>
      </c>
      <c r="AN4688">
        <v>1.0000000507015701</v>
      </c>
    </row>
    <row r="4689" spans="1:40" x14ac:dyDescent="0.25">
      <c r="A4689" t="str">
        <f>"20190305135723991"</f>
        <v>20190305135723991</v>
      </c>
      <c r="B4689" t="str">
        <f>"1551765443987459"</f>
        <v>1551765443987459</v>
      </c>
      <c r="C4689" t="s">
        <v>40</v>
      </c>
      <c r="D4689">
        <v>4.3288219999999997</v>
      </c>
      <c r="E4689">
        <v>0.53598959999999995</v>
      </c>
      <c r="F4689" t="s">
        <v>69</v>
      </c>
      <c r="G4689">
        <v>-157.9383</v>
      </c>
      <c r="H4689">
        <v>2.4256549999999999</v>
      </c>
      <c r="I4689">
        <v>-53.705500000000001</v>
      </c>
      <c r="J4689">
        <v>-222.17080000000001</v>
      </c>
      <c r="K4689">
        <v>1.1109849999999999</v>
      </c>
      <c r="L4689">
        <v>-62.168120000000002</v>
      </c>
      <c r="M4689">
        <v>0.99987789999999999</v>
      </c>
      <c r="N4689">
        <v>-1.472353E-2</v>
      </c>
      <c r="O4689">
        <v>5.2384889999999998E-3</v>
      </c>
      <c r="P4689">
        <v>0.97452570000000005</v>
      </c>
      <c r="Q4689">
        <v>2.6099890000000001E-2</v>
      </c>
      <c r="R4689">
        <v>0.22275249999999999</v>
      </c>
      <c r="S4689">
        <v>2.9871219999999998</v>
      </c>
      <c r="T4689">
        <v>6.0963870000000003E-2</v>
      </c>
      <c r="U4689">
        <v>0.39248660000000002</v>
      </c>
      <c r="V4689">
        <v>-0.21776280000000001</v>
      </c>
      <c r="W4689">
        <v>3.9819979999999998E-2</v>
      </c>
      <c r="X4689">
        <v>0.97518910000000003</v>
      </c>
      <c r="Y4689">
        <v>-0.1250732</v>
      </c>
      <c r="Z4689">
        <v>-1.627058E-4</v>
      </c>
      <c r="AA4689">
        <v>0.99214749999999996</v>
      </c>
      <c r="AB4689">
        <v>36</v>
      </c>
      <c r="AC4689">
        <v>64.232500000000002</v>
      </c>
      <c r="AD4689">
        <v>1.31466999999999</v>
      </c>
      <c r="AE4689">
        <v>8.4626199999999905</v>
      </c>
      <c r="AF4689">
        <v>-8.1226415195325199</v>
      </c>
      <c r="AG4689">
        <v>1.31466999999999</v>
      </c>
      <c r="AH4689">
        <v>64.2494988906858</v>
      </c>
      <c r="AI4689">
        <v>88.837034590783702</v>
      </c>
      <c r="AJ4689">
        <v>97.205303602047707</v>
      </c>
      <c r="AK4689">
        <v>64.7742523705829</v>
      </c>
      <c r="AL4689">
        <v>87.717879890045893</v>
      </c>
      <c r="AM4689">
        <v>102.587812425229</v>
      </c>
      <c r="AN4689">
        <v>1.0000000243149201</v>
      </c>
    </row>
    <row r="4690" spans="1:40" x14ac:dyDescent="0.25">
      <c r="A4690" t="str">
        <f>"20190305135724003"</f>
        <v>20190305135724003</v>
      </c>
      <c r="B4690" t="str">
        <f>"1551765443997218"</f>
        <v>1551765443997218</v>
      </c>
      <c r="C4690" t="s">
        <v>40</v>
      </c>
      <c r="D4690">
        <v>4.3381809999999996</v>
      </c>
      <c r="E4690">
        <v>0.53555549999999996</v>
      </c>
      <c r="F4690" t="s">
        <v>69</v>
      </c>
      <c r="G4690">
        <v>-157.93819999999999</v>
      </c>
      <c r="H4690">
        <v>2.5696219999999999</v>
      </c>
      <c r="I4690">
        <v>-53.828440000000001</v>
      </c>
      <c r="J4690">
        <v>-221.983</v>
      </c>
      <c r="K4690">
        <v>1.1110359999999999</v>
      </c>
      <c r="L4690">
        <v>-62.166409999999999</v>
      </c>
      <c r="M4690">
        <v>0.99987349999999997</v>
      </c>
      <c r="N4690">
        <v>-1.4723989999999999E-2</v>
      </c>
      <c r="O4690">
        <v>6.0417049999999996E-3</v>
      </c>
      <c r="P4690">
        <v>0.97440839999999995</v>
      </c>
      <c r="Q4690">
        <v>2.6559960000000001E-2</v>
      </c>
      <c r="R4690">
        <v>0.2232104</v>
      </c>
      <c r="S4690">
        <v>2.98793</v>
      </c>
      <c r="T4690">
        <v>6.7850949999999993E-2</v>
      </c>
      <c r="U4690">
        <v>0.38793949999999999</v>
      </c>
      <c r="V4690">
        <v>-0.21744369999999999</v>
      </c>
      <c r="W4690">
        <v>4.025451E-2</v>
      </c>
      <c r="X4690">
        <v>0.97524239999999995</v>
      </c>
      <c r="Y4690">
        <v>-0.1227538</v>
      </c>
      <c r="Z4690">
        <v>-2.5501449999999998E-4</v>
      </c>
      <c r="AA4690">
        <v>0.99243709999999996</v>
      </c>
      <c r="AB4690">
        <v>36</v>
      </c>
      <c r="AC4690">
        <v>64.044799999999995</v>
      </c>
      <c r="AD4690">
        <v>1.4585859999999999</v>
      </c>
      <c r="AE4690">
        <v>8.3379699999999897</v>
      </c>
      <c r="AF4690">
        <v>-7.9467830008591598</v>
      </c>
      <c r="AG4690">
        <v>1.4585859999999999</v>
      </c>
      <c r="AH4690">
        <v>64.0613385551855</v>
      </c>
      <c r="AI4690">
        <v>88.705599438087603</v>
      </c>
      <c r="AJ4690">
        <v>97.071393563769206</v>
      </c>
      <c r="AK4690">
        <v>64.568830953210195</v>
      </c>
      <c r="AL4690">
        <v>87.692963036490099</v>
      </c>
      <c r="AM4690">
        <v>102.569288248204</v>
      </c>
      <c r="AN4690">
        <v>0.99999996350139397</v>
      </c>
    </row>
    <row r="4691" spans="1:40" x14ac:dyDescent="0.25">
      <c r="A4691" t="str">
        <f>"20190305135724013"</f>
        <v>20190305135724013</v>
      </c>
      <c r="B4691" t="str">
        <f>"1551765444006978"</f>
        <v>1551765444006978</v>
      </c>
      <c r="C4691" t="s">
        <v>40</v>
      </c>
      <c r="D4691">
        <v>4.3678879999999998</v>
      </c>
      <c r="E4691">
        <v>0.53519859999999997</v>
      </c>
      <c r="F4691" t="s">
        <v>69</v>
      </c>
      <c r="G4691">
        <v>-157.9383</v>
      </c>
      <c r="H4691">
        <v>2.5792670000000002</v>
      </c>
      <c r="I4691">
        <v>-53.747010000000003</v>
      </c>
      <c r="J4691">
        <v>-221.81299999999999</v>
      </c>
      <c r="K4691">
        <v>1.111084</v>
      </c>
      <c r="L4691">
        <v>-62.164760000000001</v>
      </c>
      <c r="M4691">
        <v>0.9998686</v>
      </c>
      <c r="N4691">
        <v>-1.472438E-2</v>
      </c>
      <c r="O4691">
        <v>6.7882949999999997E-3</v>
      </c>
      <c r="P4691">
        <v>0.9744273</v>
      </c>
      <c r="Q4691">
        <v>2.635125E-2</v>
      </c>
      <c r="R4691">
        <v>0.22315280000000001</v>
      </c>
      <c r="S4691">
        <v>2.9869690000000002</v>
      </c>
      <c r="T4691">
        <v>6.8475480000000005E-2</v>
      </c>
      <c r="U4691">
        <v>0.39266970000000001</v>
      </c>
      <c r="V4691">
        <v>-0.2166611</v>
      </c>
      <c r="W4691">
        <v>4.0025810000000002E-2</v>
      </c>
      <c r="X4691">
        <v>0.97542600000000002</v>
      </c>
      <c r="Y4691">
        <v>-0.1235989</v>
      </c>
      <c r="Z4691">
        <v>-2.4210170000000001E-4</v>
      </c>
      <c r="AA4691">
        <v>0.9923322</v>
      </c>
      <c r="AB4691">
        <v>36</v>
      </c>
      <c r="AC4691">
        <v>63.874699999999898</v>
      </c>
      <c r="AD4691">
        <v>1.46818299999999</v>
      </c>
      <c r="AE4691">
        <v>8.4177499999999998</v>
      </c>
      <c r="AF4691">
        <v>-7.9797647576180601</v>
      </c>
      <c r="AG4691">
        <v>1.46818299999999</v>
      </c>
      <c r="AH4691">
        <v>63.8971940134943</v>
      </c>
      <c r="AI4691">
        <v>88.693873379126202</v>
      </c>
      <c r="AJ4691">
        <v>97.118496547239999</v>
      </c>
      <c r="AK4691">
        <v>64.410275653086103</v>
      </c>
      <c r="AL4691">
        <v>87.706077210869793</v>
      </c>
      <c r="AM4691">
        <v>102.523197022422</v>
      </c>
      <c r="AN4691">
        <v>0.99999998959768299</v>
      </c>
    </row>
    <row r="4692" spans="1:40" x14ac:dyDescent="0.25">
      <c r="A4692" t="str">
        <f>"20190305135724023"</f>
        <v>20190305135724023</v>
      </c>
      <c r="B4692" t="str">
        <f>"1551765444016740"</f>
        <v>1551765444016740</v>
      </c>
      <c r="C4692" t="s">
        <v>40</v>
      </c>
      <c r="D4692">
        <v>4.3828690000000003</v>
      </c>
      <c r="E4692">
        <v>0.53477189999999997</v>
      </c>
      <c r="F4692" t="s">
        <v>69</v>
      </c>
      <c r="G4692">
        <v>-157.9383</v>
      </c>
      <c r="H4692">
        <v>2.5592100000000002</v>
      </c>
      <c r="I4692">
        <v>-53.710569999999997</v>
      </c>
      <c r="J4692">
        <v>-221.64</v>
      </c>
      <c r="K4692">
        <v>1.1111279999999999</v>
      </c>
      <c r="L4692">
        <v>-62.162869999999998</v>
      </c>
      <c r="M4692">
        <v>0.99986299999999995</v>
      </c>
      <c r="N4692">
        <v>-1.47248E-2</v>
      </c>
      <c r="O4692">
        <v>7.5799700000000001E-3</v>
      </c>
      <c r="P4692">
        <v>0.97435729999999998</v>
      </c>
      <c r="Q4692">
        <v>2.5466470000000001E-2</v>
      </c>
      <c r="R4692">
        <v>0.22356119999999999</v>
      </c>
      <c r="S4692">
        <v>2.9863740000000001</v>
      </c>
      <c r="T4692">
        <v>6.770408E-2</v>
      </c>
      <c r="U4692">
        <v>0.3952637</v>
      </c>
      <c r="V4692">
        <v>-0.21629960000000001</v>
      </c>
      <c r="W4692">
        <v>3.911767E-2</v>
      </c>
      <c r="X4692">
        <v>0.9755431</v>
      </c>
      <c r="Y4692">
        <v>-0.1236869</v>
      </c>
      <c r="Z4692">
        <v>-1.989324E-4</v>
      </c>
      <c r="AA4692">
        <v>0.99232129999999996</v>
      </c>
      <c r="AB4692">
        <v>36</v>
      </c>
      <c r="AC4692">
        <v>63.701699999999903</v>
      </c>
      <c r="AD4692">
        <v>1.4480819999999901</v>
      </c>
      <c r="AE4692">
        <v>8.4522999999999993</v>
      </c>
      <c r="AF4692">
        <v>-7.9651030753208696</v>
      </c>
      <c r="AG4692">
        <v>1.4480819999999901</v>
      </c>
      <c r="AH4692">
        <v>63.731580873459698</v>
      </c>
      <c r="AI4692">
        <v>88.708418069970506</v>
      </c>
      <c r="AJ4692">
        <v>97.123826183201004</v>
      </c>
      <c r="AK4692">
        <v>64.243709490576194</v>
      </c>
      <c r="AL4692">
        <v>87.758150668145205</v>
      </c>
      <c r="AM4692">
        <v>102.501505961953</v>
      </c>
      <c r="AN4692">
        <v>1.00000002451199</v>
      </c>
    </row>
    <row r="4693" spans="1:40" x14ac:dyDescent="0.25">
      <c r="A4693" t="str">
        <f>"20190305135724044"</f>
        <v>20190305135724044</v>
      </c>
      <c r="B4693" t="str">
        <f>"1551765444036933"</f>
        <v>1551765444036933</v>
      </c>
      <c r="C4693" t="s">
        <v>40</v>
      </c>
      <c r="D4693">
        <v>4.3894970000000004</v>
      </c>
      <c r="E4693">
        <v>0.53471829999999998</v>
      </c>
      <c r="F4693" t="s">
        <v>69</v>
      </c>
      <c r="G4693">
        <v>-157.9383</v>
      </c>
      <c r="H4693">
        <v>2.463946</v>
      </c>
      <c r="I4693">
        <v>-53.632869999999997</v>
      </c>
      <c r="J4693">
        <v>-221.3194</v>
      </c>
      <c r="K4693">
        <v>1.11121</v>
      </c>
      <c r="L4693">
        <v>-62.158999999999999</v>
      </c>
      <c r="M4693">
        <v>0.99985009999999996</v>
      </c>
      <c r="N4693">
        <v>-1.4725540000000001E-2</v>
      </c>
      <c r="O4693">
        <v>9.1126969999999995E-3</v>
      </c>
      <c r="P4693">
        <v>0.97404069999999998</v>
      </c>
      <c r="Q4693">
        <v>2.3375509999999999E-2</v>
      </c>
      <c r="R4693">
        <v>0.2251638</v>
      </c>
      <c r="S4693">
        <v>2.9855499999999999</v>
      </c>
      <c r="T4693">
        <v>6.3402410000000006E-2</v>
      </c>
      <c r="U4693">
        <v>0.39978029999999998</v>
      </c>
      <c r="V4693">
        <v>-0.2164102</v>
      </c>
      <c r="W4693">
        <v>3.6979169999999999E-2</v>
      </c>
      <c r="X4693">
        <v>0.97560199999999997</v>
      </c>
      <c r="Y4693">
        <v>-0.1236795</v>
      </c>
      <c r="Z4693" s="1">
        <v>-6.6320410000000004E-5</v>
      </c>
      <c r="AA4693">
        <v>0.99232220000000004</v>
      </c>
      <c r="AB4693">
        <v>36</v>
      </c>
      <c r="AC4693">
        <v>63.381100000000004</v>
      </c>
      <c r="AD4693">
        <v>1.3527359999999999</v>
      </c>
      <c r="AE4693">
        <v>8.5261300000000002</v>
      </c>
      <c r="AF4693">
        <v>-7.94458595892727</v>
      </c>
      <c r="AG4693">
        <v>1.3527359999999999</v>
      </c>
      <c r="AH4693">
        <v>63.4277931927341</v>
      </c>
      <c r="AI4693">
        <v>88.787697557849199</v>
      </c>
      <c r="AJ4693">
        <v>97.139346157482294</v>
      </c>
      <c r="AK4693">
        <v>63.937714144663602</v>
      </c>
      <c r="AL4693">
        <v>87.880766549522903</v>
      </c>
      <c r="AM4693">
        <v>102.50696585308199</v>
      </c>
      <c r="AN4693">
        <v>1.0000000480409601</v>
      </c>
    </row>
    <row r="4694" spans="1:40" x14ac:dyDescent="0.25">
      <c r="A4694" t="str">
        <f>"20190305135724057"</f>
        <v>20190305135724057</v>
      </c>
      <c r="B4694" t="str">
        <f>"1551765444046693"</f>
        <v>1551765444046693</v>
      </c>
      <c r="C4694" t="s">
        <v>40</v>
      </c>
      <c r="D4694">
        <v>4.4155480000000003</v>
      </c>
      <c r="E4694">
        <v>0.53499200000000002</v>
      </c>
      <c r="F4694" t="s">
        <v>69</v>
      </c>
      <c r="G4694">
        <v>-157.9383</v>
      </c>
      <c r="H4694">
        <v>2.3849550000000002</v>
      </c>
      <c r="I4694">
        <v>-53.553840000000001</v>
      </c>
      <c r="J4694">
        <v>-221.126</v>
      </c>
      <c r="K4694">
        <v>1.1112420000000001</v>
      </c>
      <c r="L4694">
        <v>-62.15634</v>
      </c>
      <c r="M4694">
        <v>0.99984090000000003</v>
      </c>
      <c r="N4694">
        <v>-1.4725759999999999E-2</v>
      </c>
      <c r="O4694">
        <v>1.0077930000000001E-2</v>
      </c>
      <c r="P4694">
        <v>0.97349350000000001</v>
      </c>
      <c r="Q4694">
        <v>1.912633E-2</v>
      </c>
      <c r="R4694">
        <v>0.22791439999999999</v>
      </c>
      <c r="S4694">
        <v>2.9848180000000002</v>
      </c>
      <c r="T4694">
        <v>5.998361E-2</v>
      </c>
      <c r="U4694">
        <v>0.40524290000000002</v>
      </c>
      <c r="V4694">
        <v>-0.21821209999999999</v>
      </c>
      <c r="W4694">
        <v>3.2692159999999998E-2</v>
      </c>
      <c r="X4694">
        <v>0.97535360000000004</v>
      </c>
      <c r="Y4694">
        <v>-0.1245392</v>
      </c>
      <c r="Z4694" s="1">
        <v>2.4965030000000001E-5</v>
      </c>
      <c r="AA4694">
        <v>0.9922147</v>
      </c>
      <c r="AB4694">
        <v>36</v>
      </c>
      <c r="AC4694">
        <v>63.1876999999999</v>
      </c>
      <c r="AD4694">
        <v>1.2737129999999901</v>
      </c>
      <c r="AE4694">
        <v>8.6024999999999991</v>
      </c>
      <c r="AF4694">
        <v>-7.9620165138288499</v>
      </c>
      <c r="AG4694">
        <v>1.2737129999999901</v>
      </c>
      <c r="AH4694">
        <v>63.2459641523428</v>
      </c>
      <c r="AI4694">
        <v>88.855306554000805</v>
      </c>
      <c r="AJ4694">
        <v>97.175203594342406</v>
      </c>
      <c r="AK4694">
        <v>63.757886048176701</v>
      </c>
      <c r="AL4694">
        <v>88.126543336266295</v>
      </c>
      <c r="AM4694">
        <v>102.61089490046599</v>
      </c>
      <c r="AN4694">
        <v>0.99999997147241704</v>
      </c>
    </row>
    <row r="4695" spans="1:40" x14ac:dyDescent="0.25">
      <c r="A4695" t="str">
        <f>"20190305135724070"</f>
        <v>20190305135724070</v>
      </c>
      <c r="B4695" t="str">
        <f>"1551765444057429"</f>
        <v>1551765444057429</v>
      </c>
      <c r="C4695" t="s">
        <v>40</v>
      </c>
      <c r="D4695">
        <v>4.3820129999999997</v>
      </c>
      <c r="E4695">
        <v>0.53513500000000003</v>
      </c>
      <c r="F4695" t="s">
        <v>69</v>
      </c>
      <c r="G4695">
        <v>-157.9383</v>
      </c>
      <c r="H4695">
        <v>2.1603469999999998</v>
      </c>
      <c r="I4695">
        <v>-53.44238</v>
      </c>
      <c r="J4695">
        <v>-220.9221</v>
      </c>
      <c r="K4695">
        <v>1.1112850000000001</v>
      </c>
      <c r="L4695">
        <v>-62.153379999999999</v>
      </c>
      <c r="M4695">
        <v>0.99982990000000005</v>
      </c>
      <c r="N4695">
        <v>-1.4725769999999999E-2</v>
      </c>
      <c r="O4695">
        <v>1.111469E-2</v>
      </c>
      <c r="P4695">
        <v>0.97300260000000005</v>
      </c>
      <c r="Q4695">
        <v>1.7398480000000001E-2</v>
      </c>
      <c r="R4695">
        <v>0.23013790000000001</v>
      </c>
      <c r="S4695">
        <v>2.9843600000000001</v>
      </c>
      <c r="T4695">
        <v>4.9548269999999998E-2</v>
      </c>
      <c r="U4695">
        <v>0.41156009999999998</v>
      </c>
      <c r="V4695">
        <v>-0.21942700000000001</v>
      </c>
      <c r="W4695">
        <v>3.0928750000000001E-2</v>
      </c>
      <c r="X4695">
        <v>0.97513850000000002</v>
      </c>
      <c r="Y4695">
        <v>-0.12559619999999999</v>
      </c>
      <c r="Z4695">
        <v>2.3806580000000001E-4</v>
      </c>
      <c r="AA4695">
        <v>0.9920814</v>
      </c>
      <c r="AB4695">
        <v>36</v>
      </c>
      <c r="AC4695">
        <v>62.983800000000002</v>
      </c>
      <c r="AD4695">
        <v>1.0490619999999999</v>
      </c>
      <c r="AE4695">
        <v>8.7109999999999896</v>
      </c>
      <c r="AF4695">
        <v>-8.0081605931448596</v>
      </c>
      <c r="AG4695">
        <v>1.0490619999999999</v>
      </c>
      <c r="AH4695">
        <v>63.059573290812502</v>
      </c>
      <c r="AI4695">
        <v>89.054504944336699</v>
      </c>
      <c r="AJ4695">
        <v>97.237454715346502</v>
      </c>
      <c r="AK4695">
        <v>63.574687972374598</v>
      </c>
      <c r="AL4695">
        <v>88.227630414221693</v>
      </c>
      <c r="AM4695">
        <v>102.68154883066499</v>
      </c>
      <c r="AN4695">
        <v>0.99999994504390399</v>
      </c>
    </row>
    <row r="4696" spans="1:40" x14ac:dyDescent="0.25">
      <c r="A4696" t="str">
        <f>"20190305135724082"</f>
        <v>20190305135724082</v>
      </c>
      <c r="B4696" t="str">
        <f>"1551765444076950"</f>
        <v>1551765444076950</v>
      </c>
      <c r="C4696" t="s">
        <v>40</v>
      </c>
      <c r="D4696">
        <v>4.4189939999999996</v>
      </c>
      <c r="E4696">
        <v>0.53500539999999996</v>
      </c>
      <c r="F4696" t="s">
        <v>69</v>
      </c>
      <c r="G4696">
        <v>-157.9383</v>
      </c>
      <c r="H4696">
        <v>2.1101269999999999</v>
      </c>
      <c r="I4696">
        <v>-53.343879999999999</v>
      </c>
      <c r="J4696">
        <v>-220.71709999999999</v>
      </c>
      <c r="K4696">
        <v>1.1113249999999999</v>
      </c>
      <c r="L4696">
        <v>-62.150089999999999</v>
      </c>
      <c r="M4696">
        <v>0.99981730000000002</v>
      </c>
      <c r="N4696">
        <v>-1.47256E-2</v>
      </c>
      <c r="O4696">
        <v>1.2193880000000001E-2</v>
      </c>
      <c r="P4696">
        <v>0.97236999999999996</v>
      </c>
      <c r="Q4696">
        <v>1.539865E-2</v>
      </c>
      <c r="R4696">
        <v>0.23293700000000001</v>
      </c>
      <c r="S4696">
        <v>2.9837039999999999</v>
      </c>
      <c r="T4696">
        <v>4.7316669999999998E-2</v>
      </c>
      <c r="U4696">
        <v>0.41732789999999997</v>
      </c>
      <c r="V4696">
        <v>-0.22117590000000001</v>
      </c>
      <c r="W4696">
        <v>2.8893559999999999E-2</v>
      </c>
      <c r="X4696">
        <v>0.97480579999999994</v>
      </c>
      <c r="Y4696">
        <v>-0.12643740000000001</v>
      </c>
      <c r="Z4696">
        <v>3.0897280000000002E-4</v>
      </c>
      <c r="AA4696">
        <v>0.99197449999999998</v>
      </c>
      <c r="AB4696">
        <v>35</v>
      </c>
      <c r="AC4696">
        <v>62.778799999999897</v>
      </c>
      <c r="AD4696">
        <v>0.99880199999999997</v>
      </c>
      <c r="AE4696">
        <v>8.8062100000000001</v>
      </c>
      <c r="AF4696">
        <v>-8.0379596947965695</v>
      </c>
      <c r="AG4696">
        <v>0.99880199999999997</v>
      </c>
      <c r="AH4696">
        <v>62.8659192231124</v>
      </c>
      <c r="AI4696">
        <v>89.097120847754894</v>
      </c>
      <c r="AJ4696">
        <v>97.286235251613306</v>
      </c>
      <c r="AK4696">
        <v>63.385567767886101</v>
      </c>
      <c r="AL4696">
        <v>88.344290497972295</v>
      </c>
      <c r="AM4696">
        <v>102.783536380624</v>
      </c>
      <c r="AN4696">
        <v>0.99999998213196095</v>
      </c>
    </row>
    <row r="4697" spans="1:40" x14ac:dyDescent="0.25">
      <c r="A4697" t="str">
        <f>"20190305135724095"</f>
        <v>20190305135724095</v>
      </c>
      <c r="B4697" t="str">
        <f>"1551765444086709"</f>
        <v>1551765444086709</v>
      </c>
      <c r="C4697" t="s">
        <v>40</v>
      </c>
      <c r="D4697">
        <v>4.5005300000000004</v>
      </c>
      <c r="E4697">
        <v>0.53457949999999999</v>
      </c>
      <c r="F4697" t="s">
        <v>69</v>
      </c>
      <c r="G4697">
        <v>-157.9383</v>
      </c>
      <c r="H4697">
        <v>2.0439509999999999</v>
      </c>
      <c r="I4697">
        <v>-53.160690000000002</v>
      </c>
      <c r="J4697">
        <v>-220.5301</v>
      </c>
      <c r="K4697">
        <v>1.1113569999999999</v>
      </c>
      <c r="L4697">
        <v>-62.146880000000003</v>
      </c>
      <c r="M4697">
        <v>0.99980469999999999</v>
      </c>
      <c r="N4697">
        <v>-1.47252999999999E-2</v>
      </c>
      <c r="O4697">
        <v>1.3189040000000001E-2</v>
      </c>
      <c r="P4697">
        <v>0.9716091</v>
      </c>
      <c r="Q4697">
        <v>1.424389E-2</v>
      </c>
      <c r="R4697">
        <v>0.23616309999999999</v>
      </c>
      <c r="S4697">
        <v>2.9822540000000002</v>
      </c>
      <c r="T4697">
        <v>4.4302580000000001E-2</v>
      </c>
      <c r="U4697">
        <v>0.42703249999999998</v>
      </c>
      <c r="V4697">
        <v>-0.2234391</v>
      </c>
      <c r="W4697">
        <v>2.7702899999999999E-2</v>
      </c>
      <c r="X4697">
        <v>0.97432410000000003</v>
      </c>
      <c r="Y4697">
        <v>-0.1286815</v>
      </c>
      <c r="Z4697">
        <v>3.8952970000000003E-4</v>
      </c>
      <c r="AA4697">
        <v>0.99168590000000001</v>
      </c>
      <c r="AB4697">
        <v>35</v>
      </c>
      <c r="AC4697">
        <v>62.591799999999999</v>
      </c>
      <c r="AD4697">
        <v>0.93259400000000003</v>
      </c>
      <c r="AE4697">
        <v>8.9861899999999899</v>
      </c>
      <c r="AF4697">
        <v>-8.1580185482424508</v>
      </c>
      <c r="AG4697">
        <v>0.93259400000000003</v>
      </c>
      <c r="AH4697">
        <v>62.691250390785001</v>
      </c>
      <c r="AI4697">
        <v>89.154856476131599</v>
      </c>
      <c r="AJ4697">
        <v>97.414242184764404</v>
      </c>
      <c r="AK4697">
        <v>63.226702221153403</v>
      </c>
      <c r="AL4697">
        <v>88.412537603253298</v>
      </c>
      <c r="AM4697">
        <v>102.916151897692</v>
      </c>
      <c r="AN4697">
        <v>0.99999996695901405</v>
      </c>
    </row>
    <row r="4698" spans="1:40" x14ac:dyDescent="0.25">
      <c r="A4698" t="str">
        <f>"20190305135724107"</f>
        <v>20190305135724107</v>
      </c>
      <c r="B4698" t="str">
        <f>"1551765444097446"</f>
        <v>1551765444097446</v>
      </c>
      <c r="C4698" t="s">
        <v>40</v>
      </c>
      <c r="D4698">
        <v>4.3780229999999998</v>
      </c>
      <c r="E4698">
        <v>0.53359509999999999</v>
      </c>
      <c r="F4698" t="s">
        <v>69</v>
      </c>
      <c r="G4698">
        <v>-157.9383</v>
      </c>
      <c r="H4698">
        <v>1.9131899999999999</v>
      </c>
      <c r="I4698">
        <v>-52.902230000000003</v>
      </c>
      <c r="J4698">
        <v>-220.32679999999999</v>
      </c>
      <c r="K4698">
        <v>1.1113900000000001</v>
      </c>
      <c r="L4698">
        <v>-62.1432199999999</v>
      </c>
      <c r="M4698">
        <v>0.9997897</v>
      </c>
      <c r="N4698">
        <v>-1.472483E-2</v>
      </c>
      <c r="O4698">
        <v>1.428685E-2</v>
      </c>
      <c r="P4698">
        <v>0.97089049999999999</v>
      </c>
      <c r="Q4698">
        <v>1.340124E-2</v>
      </c>
      <c r="R4698">
        <v>0.23914920000000001</v>
      </c>
      <c r="S4698">
        <v>2.980118</v>
      </c>
      <c r="T4698">
        <v>3.8175819999999999E-2</v>
      </c>
      <c r="U4698">
        <v>0.44015500000000002</v>
      </c>
      <c r="V4698">
        <v>-0.22536329999999999</v>
      </c>
      <c r="W4698">
        <v>2.6828230000000002E-2</v>
      </c>
      <c r="X4698">
        <v>0.97390529999999997</v>
      </c>
      <c r="Y4698">
        <v>-0.13196910000000001</v>
      </c>
      <c r="Z4698">
        <v>5.2748119999999996E-4</v>
      </c>
      <c r="AA4698">
        <v>0.99125370000000002</v>
      </c>
      <c r="AB4698">
        <v>35</v>
      </c>
      <c r="AC4698">
        <v>62.388499999999901</v>
      </c>
      <c r="AD4698">
        <v>0.80179999999999996</v>
      </c>
      <c r="AE4698">
        <v>9.2409899999999894</v>
      </c>
      <c r="AF4698">
        <v>-8.3472659281353607</v>
      </c>
      <c r="AG4698">
        <v>0.80179999999999996</v>
      </c>
      <c r="AH4698">
        <v>62.504068068552399</v>
      </c>
      <c r="AI4698">
        <v>89.271518852451806</v>
      </c>
      <c r="AJ4698">
        <v>97.606703048700098</v>
      </c>
      <c r="AK4698">
        <v>63.064080559643799</v>
      </c>
      <c r="AL4698">
        <v>88.462671121570494</v>
      </c>
      <c r="AM4698">
        <v>103.02901524048001</v>
      </c>
      <c r="AN4698">
        <v>0.99999995213995496</v>
      </c>
    </row>
    <row r="4699" spans="1:40" x14ac:dyDescent="0.25">
      <c r="A4699" t="str">
        <f>"20190305135724120"</f>
        <v>20190305135724120</v>
      </c>
      <c r="B4699" t="str">
        <f>"1551765444116964"</f>
        <v>1551765444116964</v>
      </c>
      <c r="C4699" t="s">
        <v>40</v>
      </c>
      <c r="D4699">
        <v>4.454955</v>
      </c>
      <c r="E4699">
        <v>0.53371380000000002</v>
      </c>
      <c r="F4699" t="s">
        <v>69</v>
      </c>
      <c r="G4699">
        <v>-157.9383</v>
      </c>
      <c r="H4699">
        <v>1.940741</v>
      </c>
      <c r="I4699">
        <v>-52.564109999999999</v>
      </c>
      <c r="J4699">
        <v>-220.12819999999999</v>
      </c>
      <c r="K4699">
        <v>1.111415</v>
      </c>
      <c r="L4699">
        <v>-62.1393699999999</v>
      </c>
      <c r="M4699">
        <v>0.99977340000000003</v>
      </c>
      <c r="N4699">
        <v>-1.47242E-2</v>
      </c>
      <c r="O4699">
        <v>1.537089E-2</v>
      </c>
      <c r="P4699">
        <v>0.97014160000000005</v>
      </c>
      <c r="Q4699">
        <v>1.2345450000000001E-2</v>
      </c>
      <c r="R4699">
        <v>0.2422252</v>
      </c>
      <c r="S4699">
        <v>2.9768370000000002</v>
      </c>
      <c r="T4699">
        <v>3.9571050000000003E-2</v>
      </c>
      <c r="U4699">
        <v>0.45706180000000002</v>
      </c>
      <c r="V4699">
        <v>-0.2273908</v>
      </c>
      <c r="W4699">
        <v>2.5744280000000001E-2</v>
      </c>
      <c r="X4699">
        <v>0.97346319999999997</v>
      </c>
      <c r="Y4699">
        <v>-0.13655590000000001</v>
      </c>
      <c r="Z4699">
        <v>5.3708300000000005E-4</v>
      </c>
      <c r="AA4699">
        <v>0.99063219999999996</v>
      </c>
      <c r="AB4699">
        <v>35</v>
      </c>
      <c r="AC4699">
        <v>62.189900000000002</v>
      </c>
      <c r="AD4699">
        <v>0.82932600000000001</v>
      </c>
      <c r="AE4699">
        <v>9.5752599999999894</v>
      </c>
      <c r="AF4699">
        <v>-8.6166139227183294</v>
      </c>
      <c r="AG4699">
        <v>0.82932600000000001</v>
      </c>
      <c r="AH4699">
        <v>62.318921891391199</v>
      </c>
      <c r="AI4699">
        <v>89.244750100499701</v>
      </c>
      <c r="AJ4699">
        <v>97.872169582630704</v>
      </c>
      <c r="AK4699">
        <v>62.917261882672399</v>
      </c>
      <c r="AL4699">
        <v>88.524798385954298</v>
      </c>
      <c r="AM4699">
        <v>103.14794194607499</v>
      </c>
      <c r="AN4699">
        <v>0.999999972815798</v>
      </c>
    </row>
    <row r="4700" spans="1:40" x14ac:dyDescent="0.25">
      <c r="A4700" t="str">
        <f>"20190305135724133"</f>
        <v>20190305135724133</v>
      </c>
      <c r="B4700" t="str">
        <f>"1551765444127415"</f>
        <v>1551765444127415</v>
      </c>
      <c r="C4700" t="s">
        <v>40</v>
      </c>
      <c r="D4700">
        <v>4.5074730000000001</v>
      </c>
      <c r="E4700">
        <v>0.53351590000000004</v>
      </c>
      <c r="F4700" t="s">
        <v>69</v>
      </c>
      <c r="G4700">
        <v>-157.9383</v>
      </c>
      <c r="H4700">
        <v>1.914196</v>
      </c>
      <c r="I4700">
        <v>-52.406930000000003</v>
      </c>
      <c r="J4700">
        <v>-219.92949999999999</v>
      </c>
      <c r="K4700">
        <v>1.1114360000000001</v>
      </c>
      <c r="L4700">
        <v>-62.135350000000003</v>
      </c>
      <c r="M4700">
        <v>0.99975619999999998</v>
      </c>
      <c r="N4700">
        <v>-1.4723389999999999E-2</v>
      </c>
      <c r="O4700">
        <v>1.64551E-2</v>
      </c>
      <c r="P4700">
        <v>0.96938340000000001</v>
      </c>
      <c r="Q4700">
        <v>1.1979989999999999E-2</v>
      </c>
      <c r="R4700">
        <v>0.24526039999999999</v>
      </c>
      <c r="S4700">
        <v>2.9756010000000002</v>
      </c>
      <c r="T4700">
        <v>3.840971E-2</v>
      </c>
      <c r="U4700">
        <v>0.46566770000000002</v>
      </c>
      <c r="V4700">
        <v>-0.22938159999999999</v>
      </c>
      <c r="W4700">
        <v>2.5353400000000002E-2</v>
      </c>
      <c r="X4700">
        <v>0.97300629999999999</v>
      </c>
      <c r="Y4700">
        <v>-0.1383414</v>
      </c>
      <c r="Z4700">
        <v>5.8912790000000004E-4</v>
      </c>
      <c r="AA4700">
        <v>0.99038440000000005</v>
      </c>
      <c r="AB4700">
        <v>35</v>
      </c>
      <c r="AC4700">
        <v>61.9911999999999</v>
      </c>
      <c r="AD4700">
        <v>0.80275999999999903</v>
      </c>
      <c r="AE4700">
        <v>9.7284199999999998</v>
      </c>
      <c r="AF4700">
        <v>-8.7054958175624808</v>
      </c>
      <c r="AG4700">
        <v>0.80275999999999903</v>
      </c>
      <c r="AH4700">
        <v>62.132735693864703</v>
      </c>
      <c r="AI4700">
        <v>89.266934751835194</v>
      </c>
      <c r="AJ4700">
        <v>97.975862423099997</v>
      </c>
      <c r="AK4700">
        <v>62.744776084155703</v>
      </c>
      <c r="AL4700">
        <v>88.547201493921605</v>
      </c>
      <c r="AM4700">
        <v>103.26500872072199</v>
      </c>
      <c r="AN4700">
        <v>0.99999998657490397</v>
      </c>
    </row>
    <row r="4701" spans="1:40" x14ac:dyDescent="0.25">
      <c r="A4701" t="str">
        <f>"20190305135724147"</f>
        <v>20190305135724147</v>
      </c>
      <c r="B4701" t="str">
        <f>"1551765444137160"</f>
        <v>1551765444137160</v>
      </c>
      <c r="C4701" t="s">
        <v>40</v>
      </c>
      <c r="D4701">
        <v>4.4959569999999998</v>
      </c>
      <c r="E4701">
        <v>0.53345390000000004</v>
      </c>
      <c r="F4701" t="s">
        <v>69</v>
      </c>
      <c r="G4701">
        <v>-157.9383</v>
      </c>
      <c r="H4701">
        <v>1.8400749999999999</v>
      </c>
      <c r="I4701">
        <v>-52.204090000000001</v>
      </c>
      <c r="J4701">
        <v>-219.68389999999999</v>
      </c>
      <c r="K4701">
        <v>1.1114539999999999</v>
      </c>
      <c r="L4701">
        <v>-62.130040000000001</v>
      </c>
      <c r="M4701">
        <v>0.99973339999999999</v>
      </c>
      <c r="N4701">
        <v>-1.4721959999999999E-2</v>
      </c>
      <c r="O4701">
        <v>1.7785869999999999E-2</v>
      </c>
      <c r="P4701">
        <v>0.9681746</v>
      </c>
      <c r="Q4701">
        <v>1.0528020000000001E-2</v>
      </c>
      <c r="R4701">
        <v>0.25005440000000001</v>
      </c>
      <c r="S4701">
        <v>2.97377</v>
      </c>
      <c r="T4701">
        <v>3.4952400000000002E-2</v>
      </c>
      <c r="U4701">
        <v>0.4764099</v>
      </c>
      <c r="V4701">
        <v>-0.2328953</v>
      </c>
      <c r="W4701">
        <v>2.3868980000000001E-2</v>
      </c>
      <c r="X4701">
        <v>0.97220890000000004</v>
      </c>
      <c r="Y4701">
        <v>-0.1406067</v>
      </c>
      <c r="Z4701">
        <v>6.8847069999999997E-4</v>
      </c>
      <c r="AA4701">
        <v>0.99006530000000004</v>
      </c>
      <c r="AB4701">
        <v>35</v>
      </c>
      <c r="AC4701">
        <v>61.745600000000003</v>
      </c>
      <c r="AD4701">
        <v>0.72862099999999896</v>
      </c>
      <c r="AE4701">
        <v>9.9259500000000003</v>
      </c>
      <c r="AF4701">
        <v>-8.82486339270252</v>
      </c>
      <c r="AG4701">
        <v>0.72862099999999896</v>
      </c>
      <c r="AH4701">
        <v>61.903988788204103</v>
      </c>
      <c r="AI4701">
        <v>89.332398535827295</v>
      </c>
      <c r="AJ4701">
        <v>98.113263599862194</v>
      </c>
      <c r="AK4701">
        <v>62.534094143527803</v>
      </c>
      <c r="AL4701">
        <v>88.632278356578595</v>
      </c>
      <c r="AM4701">
        <v>103.471500059623</v>
      </c>
      <c r="AN4701">
        <v>1.00000004710376</v>
      </c>
    </row>
    <row r="4702" spans="1:40" x14ac:dyDescent="0.25">
      <c r="A4702" t="str">
        <f>"20190305135724163"</f>
        <v>20190305135724163</v>
      </c>
      <c r="B4702" t="str">
        <f>"1551765444156680"</f>
        <v>1551765444156680</v>
      </c>
      <c r="C4702" t="s">
        <v>40</v>
      </c>
      <c r="D4702">
        <v>4.4906290000000002</v>
      </c>
      <c r="E4702">
        <v>0.53364009999999995</v>
      </c>
      <c r="F4702" t="s">
        <v>69</v>
      </c>
      <c r="G4702">
        <v>-157.9383</v>
      </c>
      <c r="H4702">
        <v>1.738356</v>
      </c>
      <c r="I4702">
        <v>-51.912799999999997</v>
      </c>
      <c r="J4702">
        <v>-219.4554</v>
      </c>
      <c r="K4702">
        <v>1.1114520000000001</v>
      </c>
      <c r="L4702">
        <v>-62.1248199999999</v>
      </c>
      <c r="M4702">
        <v>0.99971120000000002</v>
      </c>
      <c r="N4702">
        <v>-1.4720250000000001E-2</v>
      </c>
      <c r="O4702">
        <v>1.8996639999999999E-2</v>
      </c>
      <c r="P4702">
        <v>0.96744810000000003</v>
      </c>
      <c r="Q4702">
        <v>9.3858450000000003E-3</v>
      </c>
      <c r="R4702">
        <v>0.2528956</v>
      </c>
      <c r="S4702">
        <v>2.971298</v>
      </c>
      <c r="T4702">
        <v>3.0166510000000001E-2</v>
      </c>
      <c r="U4702">
        <v>0.49166870000000001</v>
      </c>
      <c r="V4702">
        <v>-0.23456650000000001</v>
      </c>
      <c r="W4702">
        <v>2.2717729999999998E-2</v>
      </c>
      <c r="X4702">
        <v>0.97183459999999999</v>
      </c>
      <c r="Y4702">
        <v>-0.14448859999999999</v>
      </c>
      <c r="Z4702">
        <v>8.1152500000000001E-4</v>
      </c>
      <c r="AA4702">
        <v>0.98950610000000006</v>
      </c>
      <c r="AB4702">
        <v>35</v>
      </c>
      <c r="AC4702">
        <v>61.517099999999999</v>
      </c>
      <c r="AD4702">
        <v>0.62690400000000002</v>
      </c>
      <c r="AE4702">
        <v>10.2120199999999</v>
      </c>
      <c r="AF4702">
        <v>-9.0405183185921398</v>
      </c>
      <c r="AG4702">
        <v>0.62690400000000002</v>
      </c>
      <c r="AH4702">
        <v>61.693776633582502</v>
      </c>
      <c r="AI4702">
        <v>89.423958039678894</v>
      </c>
      <c r="AJ4702">
        <v>98.336707073780602</v>
      </c>
      <c r="AK4702">
        <v>62.355802098989798</v>
      </c>
      <c r="AL4702">
        <v>88.698257982208901</v>
      </c>
      <c r="AM4702">
        <v>103.56963964485099</v>
      </c>
      <c r="AN4702">
        <v>1.00000001396788</v>
      </c>
    </row>
    <row r="4703" spans="1:40" x14ac:dyDescent="0.25">
      <c r="A4703" t="str">
        <f>"20190305135724175"</f>
        <v>20190305135724175</v>
      </c>
      <c r="B4703" t="str">
        <f>"1551765444167415"</f>
        <v>1551765444167415</v>
      </c>
      <c r="C4703" t="s">
        <v>40</v>
      </c>
      <c r="D4703">
        <v>4.491574</v>
      </c>
      <c r="E4703">
        <v>0.53363169999999904</v>
      </c>
      <c r="F4703" t="s">
        <v>69</v>
      </c>
      <c r="G4703">
        <v>-157.9383</v>
      </c>
      <c r="H4703">
        <v>1.7005140000000001</v>
      </c>
      <c r="I4703">
        <v>-51.790680000000002</v>
      </c>
      <c r="J4703">
        <v>-219.25729999999999</v>
      </c>
      <c r="K4703">
        <v>1.1114409999999999</v>
      </c>
      <c r="L4703">
        <v>-62.120089999999998</v>
      </c>
      <c r="M4703">
        <v>0.99969140000000001</v>
      </c>
      <c r="N4703">
        <v>-1.4718500000000001E-2</v>
      </c>
      <c r="O4703">
        <v>2.0020010000000001E-2</v>
      </c>
      <c r="P4703">
        <v>0.96671370000000001</v>
      </c>
      <c r="Q4703">
        <v>8.5660760000000006E-3</v>
      </c>
      <c r="R4703">
        <v>0.25571739999999998</v>
      </c>
      <c r="S4703">
        <v>2.9702299999999999</v>
      </c>
      <c r="T4703">
        <v>2.8440710000000001E-2</v>
      </c>
      <c r="U4703">
        <v>0.49896239999999997</v>
      </c>
      <c r="V4703">
        <v>-0.23640220000000001</v>
      </c>
      <c r="W4703">
        <v>2.1892060000000001E-2</v>
      </c>
      <c r="X4703">
        <v>0.97140859999999996</v>
      </c>
      <c r="Y4703">
        <v>-0.1458972</v>
      </c>
      <c r="Z4703">
        <v>8.706044E-4</v>
      </c>
      <c r="AA4703">
        <v>0.98929940000000005</v>
      </c>
      <c r="AB4703">
        <v>35</v>
      </c>
      <c r="AC4703">
        <v>61.318999999999903</v>
      </c>
      <c r="AD4703">
        <v>0.58907299999999996</v>
      </c>
      <c r="AE4703">
        <v>10.329409999999999</v>
      </c>
      <c r="AF4703">
        <v>-9.0987830005523804</v>
      </c>
      <c r="AG4703">
        <v>0.58907299999999996</v>
      </c>
      <c r="AH4703">
        <v>61.508005164128498</v>
      </c>
      <c r="AI4703">
        <v>89.457191593476395</v>
      </c>
      <c r="AJ4703">
        <v>98.414650404826702</v>
      </c>
      <c r="AK4703">
        <v>62.180137973157699</v>
      </c>
      <c r="AL4703">
        <v>88.7455771004187</v>
      </c>
      <c r="AM4703">
        <v>103.677634243144</v>
      </c>
      <c r="AN4703">
        <v>0.99999996530492097</v>
      </c>
    </row>
    <row r="4704" spans="1:40" x14ac:dyDescent="0.25">
      <c r="A4704" t="str">
        <f>"20190305135724185"</f>
        <v>20190305135724185</v>
      </c>
      <c r="B4704" t="str">
        <f>"1551765444177176"</f>
        <v>1551765444177176</v>
      </c>
      <c r="C4704" t="s">
        <v>40</v>
      </c>
      <c r="D4704">
        <v>4.4924939999999998</v>
      </c>
      <c r="E4704">
        <v>0.5339663</v>
      </c>
      <c r="F4704" t="s">
        <v>69</v>
      </c>
      <c r="G4704">
        <v>-157.3501</v>
      </c>
      <c r="H4704">
        <v>1.6572199999999999</v>
      </c>
      <c r="I4704">
        <v>-51.531959999999998</v>
      </c>
      <c r="J4704">
        <v>-219.08090000000001</v>
      </c>
      <c r="K4704">
        <v>1.1114189999999999</v>
      </c>
      <c r="L4704">
        <v>-62.115780000000001</v>
      </c>
      <c r="M4704">
        <v>0.99967320000000004</v>
      </c>
      <c r="N4704">
        <v>-1.4716730000000001E-2</v>
      </c>
      <c r="O4704">
        <v>2.0907169999999999E-2</v>
      </c>
      <c r="P4704">
        <v>0.96594679999999999</v>
      </c>
      <c r="Q4704">
        <v>7.8396839999999995E-3</v>
      </c>
      <c r="R4704">
        <v>0.25862259999999998</v>
      </c>
      <c r="S4704">
        <v>2.96875</v>
      </c>
      <c r="T4704">
        <v>2.6171799999999999E-2</v>
      </c>
      <c r="U4704">
        <v>0.50775150000000002</v>
      </c>
      <c r="V4704">
        <v>-0.23845649999999999</v>
      </c>
      <c r="W4704">
        <v>2.116266E-2</v>
      </c>
      <c r="X4704">
        <v>0.97092259999999997</v>
      </c>
      <c r="Y4704">
        <v>-0.14794660000000001</v>
      </c>
      <c r="Z4704">
        <v>9.3763080000000001E-4</v>
      </c>
      <c r="AA4704">
        <v>0.98899490000000001</v>
      </c>
      <c r="AB4704">
        <v>35</v>
      </c>
      <c r="AC4704">
        <v>61.730800000000002</v>
      </c>
      <c r="AD4704">
        <v>0.54580099999999998</v>
      </c>
      <c r="AE4704">
        <v>10.583819999999999</v>
      </c>
      <c r="AF4704">
        <v>-9.2900446089784197</v>
      </c>
      <c r="AG4704">
        <v>0.54580099999999998</v>
      </c>
      <c r="AH4704">
        <v>61.933902315247899</v>
      </c>
      <c r="AI4704">
        <v>89.500672019298904</v>
      </c>
      <c r="AJ4704">
        <v>98.530728751766205</v>
      </c>
      <c r="AK4704">
        <v>62.629155219937999</v>
      </c>
      <c r="AL4704">
        <v>88.787378407302995</v>
      </c>
      <c r="AM4704">
        <v>103.798610644275</v>
      </c>
      <c r="AN4704">
        <v>1.00000002788064</v>
      </c>
    </row>
    <row r="4705" spans="1:40" x14ac:dyDescent="0.25">
      <c r="A4705" t="str">
        <f>"20190305135724197"</f>
        <v>20190305135724197</v>
      </c>
      <c r="B4705" t="str">
        <f>"1551765444186936"</f>
        <v>1551765444186936</v>
      </c>
      <c r="C4705" t="s">
        <v>40</v>
      </c>
      <c r="D4705">
        <v>4.4129170000000002</v>
      </c>
      <c r="E4705">
        <v>0.53383819999999904</v>
      </c>
      <c r="F4705" t="s">
        <v>69</v>
      </c>
      <c r="G4705">
        <v>-157.3501</v>
      </c>
      <c r="H4705">
        <v>1.6583730000000001</v>
      </c>
      <c r="I4705">
        <v>-51.421379999999999</v>
      </c>
      <c r="J4705">
        <v>-218.91239999999999</v>
      </c>
      <c r="K4705">
        <v>1.111389</v>
      </c>
      <c r="L4705">
        <v>-62.111449999999998</v>
      </c>
      <c r="M4705">
        <v>0.99965590000000004</v>
      </c>
      <c r="N4705">
        <v>-1.471477E-2</v>
      </c>
      <c r="O4705">
        <v>2.1716070000000001E-2</v>
      </c>
      <c r="P4705">
        <v>0.96524869999999996</v>
      </c>
      <c r="Q4705">
        <v>7.5994349999999999E-3</v>
      </c>
      <c r="R4705">
        <v>0.26122269999999997</v>
      </c>
      <c r="S4705">
        <v>2.9678650000000002</v>
      </c>
      <c r="T4705">
        <v>2.629519E-2</v>
      </c>
      <c r="U4705">
        <v>0.51416019999999996</v>
      </c>
      <c r="V4705">
        <v>-0.24028279999999999</v>
      </c>
      <c r="W4705">
        <v>2.0926199999999999E-2</v>
      </c>
      <c r="X4705">
        <v>0.97047729999999999</v>
      </c>
      <c r="Y4705">
        <v>-0.1492695</v>
      </c>
      <c r="Z4705">
        <v>9.5826980000000004E-4</v>
      </c>
      <c r="AA4705">
        <v>0.98879609999999996</v>
      </c>
      <c r="AB4705">
        <v>35</v>
      </c>
      <c r="AC4705">
        <v>61.562299999999901</v>
      </c>
      <c r="AD4705">
        <v>0.54698399999999903</v>
      </c>
      <c r="AE4705">
        <v>10.69007</v>
      </c>
      <c r="AF4705">
        <v>-9.3497960438018293</v>
      </c>
      <c r="AG4705">
        <v>0.54698399999999903</v>
      </c>
      <c r="AH4705">
        <v>61.775216532350598</v>
      </c>
      <c r="AI4705">
        <v>89.498404392843099</v>
      </c>
      <c r="AJ4705">
        <v>98.606503932557203</v>
      </c>
      <c r="AK4705">
        <v>62.481159201600498</v>
      </c>
      <c r="AL4705">
        <v>88.800929486377797</v>
      </c>
      <c r="AM4705">
        <v>103.906338997842</v>
      </c>
      <c r="AN4705">
        <v>0.99999995981878398</v>
      </c>
    </row>
    <row r="4706" spans="1:40" x14ac:dyDescent="0.25">
      <c r="A4706" t="str">
        <f>"20190305135724208"</f>
        <v>20190305135724208</v>
      </c>
      <c r="B4706" t="str">
        <f>"1551765444196696"</f>
        <v>1551765444196696</v>
      </c>
      <c r="C4706" t="s">
        <v>40</v>
      </c>
      <c r="D4706">
        <v>4.4274500000000003</v>
      </c>
      <c r="E4706">
        <v>0.53387830000000003</v>
      </c>
      <c r="F4706" t="s">
        <v>69</v>
      </c>
      <c r="G4706">
        <v>-157.3501</v>
      </c>
      <c r="H4706">
        <v>1.6559839999999999</v>
      </c>
      <c r="I4706">
        <v>-51.25414</v>
      </c>
      <c r="J4706">
        <v>-218.73759999999999</v>
      </c>
      <c r="K4706">
        <v>1.1113500000000001</v>
      </c>
      <c r="L4706">
        <v>-62.106929999999998</v>
      </c>
      <c r="M4706">
        <v>0.99963780000000002</v>
      </c>
      <c r="N4706">
        <v>-1.4712680000000001E-2</v>
      </c>
      <c r="O4706">
        <v>2.254022E-2</v>
      </c>
      <c r="P4706">
        <v>0.96451330000000002</v>
      </c>
      <c r="Q4706">
        <v>8.3798090000000002E-3</v>
      </c>
      <c r="R4706">
        <v>0.26390150000000001</v>
      </c>
      <c r="S4706">
        <v>2.9662320000000002</v>
      </c>
      <c r="T4706">
        <v>2.6239040000000002E-2</v>
      </c>
      <c r="U4706">
        <v>0.52313229999999999</v>
      </c>
      <c r="V4706">
        <v>-0.2421779</v>
      </c>
      <c r="W4706">
        <v>2.1712809999999999E-2</v>
      </c>
      <c r="X4706">
        <v>0.96998890000000004</v>
      </c>
      <c r="Y4706">
        <v>-0.1514479</v>
      </c>
      <c r="Z4706">
        <v>9.8499729999999993E-4</v>
      </c>
      <c r="AA4706">
        <v>0.98846480000000003</v>
      </c>
      <c r="AB4706">
        <v>35</v>
      </c>
      <c r="AC4706">
        <v>61.387499999999903</v>
      </c>
      <c r="AD4706">
        <v>0.54463399999999995</v>
      </c>
      <c r="AE4706">
        <v>10.852790000000001</v>
      </c>
      <c r="AF4706">
        <v>-9.46547226988225</v>
      </c>
      <c r="AG4706">
        <v>0.54463399999999995</v>
      </c>
      <c r="AH4706">
        <v>61.611848351351597</v>
      </c>
      <c r="AI4706">
        <v>89.499405070464405</v>
      </c>
      <c r="AJ4706">
        <v>98.734103499274298</v>
      </c>
      <c r="AK4706">
        <v>62.337080848847997</v>
      </c>
      <c r="AL4706">
        <v>88.755849883823203</v>
      </c>
      <c r="AM4706">
        <v>104.018489579841</v>
      </c>
      <c r="AN4706">
        <v>1.0000000237448501</v>
      </c>
    </row>
    <row r="4707" spans="1:40" x14ac:dyDescent="0.25">
      <c r="A4707" t="str">
        <f>"20190305135724221"</f>
        <v>20190305135724221</v>
      </c>
      <c r="B4707" t="str">
        <f>"1551765444217192"</f>
        <v>1551765444217192</v>
      </c>
      <c r="C4707" t="s">
        <v>40</v>
      </c>
      <c r="D4707">
        <v>4.4682719999999998</v>
      </c>
      <c r="E4707">
        <v>0.5340473</v>
      </c>
      <c r="F4707" t="s">
        <v>69</v>
      </c>
      <c r="G4707">
        <v>-157.3501</v>
      </c>
      <c r="H4707">
        <v>1.66577</v>
      </c>
      <c r="I4707">
        <v>-51.112430000000003</v>
      </c>
      <c r="J4707">
        <v>-218.55109999999999</v>
      </c>
      <c r="K4707">
        <v>1.111302</v>
      </c>
      <c r="L4707">
        <v>-62.101959999999998</v>
      </c>
      <c r="M4707">
        <v>0.99961909999999998</v>
      </c>
      <c r="N4707">
        <v>-1.471014E-2</v>
      </c>
      <c r="O4707">
        <v>2.3354340000000001E-2</v>
      </c>
      <c r="P4707">
        <v>0.96383580000000002</v>
      </c>
      <c r="Q4707">
        <v>9.2181039999999995E-3</v>
      </c>
      <c r="R4707">
        <v>0.2663375</v>
      </c>
      <c r="S4707">
        <v>2.9648590000000001</v>
      </c>
      <c r="T4707">
        <v>2.6776080000000001E-2</v>
      </c>
      <c r="U4707">
        <v>0.53100590000000003</v>
      </c>
      <c r="V4707">
        <v>-0.24383940000000001</v>
      </c>
      <c r="W4707">
        <v>2.256756E-2</v>
      </c>
      <c r="X4707">
        <v>0.969553</v>
      </c>
      <c r="Y4707">
        <v>-0.15326589999999901</v>
      </c>
      <c r="Z4707">
        <v>9.9978109999999997E-4</v>
      </c>
      <c r="AA4707">
        <v>0.98818450000000002</v>
      </c>
      <c r="AB4707">
        <v>35</v>
      </c>
      <c r="AC4707">
        <v>61.200999999999901</v>
      </c>
      <c r="AD4707">
        <v>0.55446799999999996</v>
      </c>
      <c r="AE4707">
        <v>10.98953</v>
      </c>
      <c r="AF4707">
        <v>-9.5563085644718004</v>
      </c>
      <c r="AG4707">
        <v>0.55446799999999996</v>
      </c>
      <c r="AH4707">
        <v>61.4360996568426</v>
      </c>
      <c r="AI4707">
        <v>89.489056878345906</v>
      </c>
      <c r="AJ4707">
        <v>98.841433895393806</v>
      </c>
      <c r="AK4707">
        <v>62.177365730528699</v>
      </c>
      <c r="AL4707">
        <v>88.706864256731805</v>
      </c>
      <c r="AM4707">
        <v>104.116926319656</v>
      </c>
      <c r="AN4707">
        <v>0.99999998378285604</v>
      </c>
    </row>
    <row r="4708" spans="1:40" x14ac:dyDescent="0.25">
      <c r="A4708" t="str">
        <f>"20190305135724231"</f>
        <v>20190305135724231</v>
      </c>
      <c r="B4708" t="str">
        <f>"1551765444226952"</f>
        <v>1551765444226952</v>
      </c>
      <c r="C4708" t="s">
        <v>40</v>
      </c>
      <c r="D4708">
        <v>4.4349669999999897</v>
      </c>
      <c r="E4708">
        <v>0.53426260000000003</v>
      </c>
      <c r="F4708" t="s">
        <v>69</v>
      </c>
      <c r="G4708">
        <v>-157.3501</v>
      </c>
      <c r="H4708">
        <v>1.7579389999999999</v>
      </c>
      <c r="I4708">
        <v>-51.00909</v>
      </c>
      <c r="J4708">
        <v>-218.37530000000001</v>
      </c>
      <c r="K4708">
        <v>1.111251</v>
      </c>
      <c r="L4708">
        <v>-62.097169999999998</v>
      </c>
      <c r="M4708">
        <v>0.99960139999999997</v>
      </c>
      <c r="N4708">
        <v>-1.470777E-2</v>
      </c>
      <c r="O4708">
        <v>2.410151E-2</v>
      </c>
      <c r="P4708">
        <v>0.9633448</v>
      </c>
      <c r="Q4708">
        <v>9.8976110000000006E-3</v>
      </c>
      <c r="R4708">
        <v>0.2680844</v>
      </c>
      <c r="S4708">
        <v>2.9638209999999998</v>
      </c>
      <c r="T4708">
        <v>3.1314130000000003E-2</v>
      </c>
      <c r="U4708">
        <v>0.53720089999999998</v>
      </c>
      <c r="V4708">
        <v>-0.24487229999999999</v>
      </c>
      <c r="W4708">
        <v>2.326833E-2</v>
      </c>
      <c r="X4708">
        <v>0.96927609999999997</v>
      </c>
      <c r="Y4708">
        <v>-0.15458829999999901</v>
      </c>
      <c r="Z4708">
        <v>9.402875E-4</v>
      </c>
      <c r="AA4708">
        <v>0.98797849999999998</v>
      </c>
      <c r="AB4708">
        <v>35</v>
      </c>
      <c r="AC4708">
        <v>61.025199999999998</v>
      </c>
      <c r="AD4708">
        <v>0.64668799999999904</v>
      </c>
      <c r="AE4708">
        <v>11.0880799999999</v>
      </c>
      <c r="AF4708">
        <v>-9.6128549388346194</v>
      </c>
      <c r="AG4708">
        <v>0.64668799999999904</v>
      </c>
      <c r="AH4708">
        <v>61.268077321561201</v>
      </c>
      <c r="AI4708">
        <v>89.402570517805501</v>
      </c>
      <c r="AJ4708">
        <v>98.916913128197294</v>
      </c>
      <c r="AK4708">
        <v>62.020984224093198</v>
      </c>
      <c r="AL4708">
        <v>88.666702575990698</v>
      </c>
      <c r="AM4708">
        <v>104.178206019117</v>
      </c>
      <c r="AN4708">
        <v>1.00000000825974</v>
      </c>
    </row>
    <row r="4709" spans="1:40" x14ac:dyDescent="0.25">
      <c r="A4709" t="str">
        <f>"20190305135724243"</f>
        <v>20190305135724243</v>
      </c>
      <c r="B4709" t="str">
        <f>"1551765444236712"</f>
        <v>1551765444236712</v>
      </c>
      <c r="C4709" t="s">
        <v>40</v>
      </c>
      <c r="D4709">
        <v>4.4726029999999897</v>
      </c>
      <c r="E4709">
        <v>0.53465459999999998</v>
      </c>
      <c r="F4709" t="s">
        <v>69</v>
      </c>
      <c r="G4709">
        <v>-157.3501</v>
      </c>
      <c r="H4709">
        <v>1.7956669999999999</v>
      </c>
      <c r="I4709">
        <v>-50.955489999999998</v>
      </c>
      <c r="J4709">
        <v>-218.1857</v>
      </c>
      <c r="K4709">
        <v>1.111186</v>
      </c>
      <c r="L4709">
        <v>-62.091889999999999</v>
      </c>
      <c r="M4709">
        <v>0.99958340000000001</v>
      </c>
      <c r="N4709">
        <v>-1.4705090000000001E-2</v>
      </c>
      <c r="O4709">
        <v>2.483807E-2</v>
      </c>
      <c r="P4709">
        <v>0.96282979999999996</v>
      </c>
      <c r="Q4709">
        <v>1.118414E-2</v>
      </c>
      <c r="R4709">
        <v>0.26987729999999999</v>
      </c>
      <c r="S4709">
        <v>2.963257</v>
      </c>
      <c r="T4709">
        <v>3.3232810000000002E-2</v>
      </c>
      <c r="U4709">
        <v>0.54101560000000004</v>
      </c>
      <c r="V4709">
        <v>-0.2459635</v>
      </c>
      <c r="W4709">
        <v>2.4583549999999999E-2</v>
      </c>
      <c r="X4709">
        <v>0.96896729999999998</v>
      </c>
      <c r="Y4709">
        <v>-0.1551247</v>
      </c>
      <c r="Z4709">
        <v>9.2583059999999998E-4</v>
      </c>
      <c r="AA4709">
        <v>0.98789450000000001</v>
      </c>
      <c r="AB4709">
        <v>35</v>
      </c>
      <c r="AC4709">
        <v>60.835599999999999</v>
      </c>
      <c r="AD4709">
        <v>0.68448099999999901</v>
      </c>
      <c r="AE4709">
        <v>11.136399999999901</v>
      </c>
      <c r="AF4709">
        <v>-9.6205829529669096</v>
      </c>
      <c r="AG4709">
        <v>0.68448099999999901</v>
      </c>
      <c r="AH4709">
        <v>61.085981694820603</v>
      </c>
      <c r="AI4709">
        <v>89.365831953325696</v>
      </c>
      <c r="AJ4709">
        <v>98.950138406339406</v>
      </c>
      <c r="AK4709">
        <v>61.842714123930897</v>
      </c>
      <c r="AL4709">
        <v>88.591324442196196</v>
      </c>
      <c r="AM4709">
        <v>104.243176023014</v>
      </c>
      <c r="AN4709">
        <v>1.0000000113660701</v>
      </c>
    </row>
    <row r="4710" spans="1:40" x14ac:dyDescent="0.25">
      <c r="A4710" t="str">
        <f>"20190305135724259"</f>
        <v>20190305135724259</v>
      </c>
      <c r="B4710" t="str">
        <f>"1551765444247448"</f>
        <v>1551765444247448</v>
      </c>
      <c r="C4710" t="s">
        <v>40</v>
      </c>
      <c r="D4710">
        <v>4.50108</v>
      </c>
      <c r="E4710">
        <v>0.53482850000000004</v>
      </c>
      <c r="F4710" t="s">
        <v>69</v>
      </c>
      <c r="G4710">
        <v>-157.3501</v>
      </c>
      <c r="H4710">
        <v>1.934212</v>
      </c>
      <c r="I4710">
        <v>-50.931179999999998</v>
      </c>
      <c r="J4710">
        <v>-217.95490000000001</v>
      </c>
      <c r="K4710">
        <v>1.1111009999999999</v>
      </c>
      <c r="L4710">
        <v>-62.085329999999999</v>
      </c>
      <c r="M4710">
        <v>0.99956210000000001</v>
      </c>
      <c r="N4710">
        <v>-1.4701840000000001E-2</v>
      </c>
      <c r="O4710">
        <v>2.5676060000000001E-2</v>
      </c>
      <c r="P4710">
        <v>0.96228689999999995</v>
      </c>
      <c r="Q4710">
        <v>1.2807529999999999E-2</v>
      </c>
      <c r="R4710">
        <v>0.2717347</v>
      </c>
      <c r="S4710">
        <v>2.9629819999999998</v>
      </c>
      <c r="T4710">
        <v>4.0084359999999999E-2</v>
      </c>
      <c r="U4710">
        <v>0.54357909999999998</v>
      </c>
      <c r="V4710">
        <v>-0.24702160000000001</v>
      </c>
      <c r="W4710">
        <v>2.624574E-2</v>
      </c>
      <c r="X4710">
        <v>0.96865449999999997</v>
      </c>
      <c r="Y4710">
        <v>-0.15513979999999999</v>
      </c>
      <c r="Z4710">
        <v>8.2808619999999997E-4</v>
      </c>
      <c r="AA4710">
        <v>0.9878922</v>
      </c>
      <c r="AB4710">
        <v>35</v>
      </c>
      <c r="AC4710">
        <v>60.604799999999997</v>
      </c>
      <c r="AD4710">
        <v>0.82311099999999904</v>
      </c>
      <c r="AE4710">
        <v>11.15415</v>
      </c>
      <c r="AF4710">
        <v>-9.59249955612961</v>
      </c>
      <c r="AG4710">
        <v>0.82311099999999904</v>
      </c>
      <c r="AH4710">
        <v>60.860382324163801</v>
      </c>
      <c r="AI4710">
        <v>89.234593800524294</v>
      </c>
      <c r="AJ4710">
        <v>98.956979242651101</v>
      </c>
      <c r="AK4710">
        <v>61.617202923340002</v>
      </c>
      <c r="AL4710">
        <v>88.496057209398501</v>
      </c>
      <c r="AM4710">
        <v>104.30636839804301</v>
      </c>
      <c r="AN4710">
        <v>1.0000000250524701</v>
      </c>
    </row>
    <row r="4711" spans="1:40" x14ac:dyDescent="0.25">
      <c r="A4711" t="str">
        <f>"20190305135724271"</f>
        <v>20190305135724271</v>
      </c>
      <c r="B4711" t="str">
        <f>"1551765444266968"</f>
        <v>1551765444266968</v>
      </c>
      <c r="C4711" t="s">
        <v>40</v>
      </c>
      <c r="D4711">
        <v>4.4821759999999999</v>
      </c>
      <c r="E4711">
        <v>0.53546110000000002</v>
      </c>
      <c r="F4711" t="s">
        <v>69</v>
      </c>
      <c r="G4711">
        <v>-157.3501</v>
      </c>
      <c r="H4711">
        <v>2.0593249999999999</v>
      </c>
      <c r="I4711">
        <v>-50.874180000000003</v>
      </c>
      <c r="J4711">
        <v>-217.7467</v>
      </c>
      <c r="K4711">
        <v>1.111019</v>
      </c>
      <c r="L4711">
        <v>-62.079320000000003</v>
      </c>
      <c r="M4711">
        <v>0.99954379999999998</v>
      </c>
      <c r="N4711">
        <v>-1.4698930000000001E-2</v>
      </c>
      <c r="O4711">
        <v>2.6382699999999999E-2</v>
      </c>
      <c r="P4711">
        <v>0.96200220000000003</v>
      </c>
      <c r="Q4711">
        <v>1.272882E-2</v>
      </c>
      <c r="R4711">
        <v>0.27274490000000001</v>
      </c>
      <c r="S4711">
        <v>2.9622190000000002</v>
      </c>
      <c r="T4711">
        <v>4.6345949999999997E-2</v>
      </c>
      <c r="U4711">
        <v>0.54797359999999995</v>
      </c>
      <c r="V4711">
        <v>-0.24734880000000001</v>
      </c>
      <c r="W4711">
        <v>2.620809E-2</v>
      </c>
      <c r="X4711">
        <v>0.96857199999999999</v>
      </c>
      <c r="Y4711">
        <v>-0.1559036</v>
      </c>
      <c r="Z4711">
        <v>7.4001149999999903E-4</v>
      </c>
      <c r="AA4711">
        <v>0.98777199999999998</v>
      </c>
      <c r="AB4711">
        <v>35</v>
      </c>
      <c r="AC4711">
        <v>60.396599999999999</v>
      </c>
      <c r="AD4711">
        <v>0.94830599999999998</v>
      </c>
      <c r="AE4711">
        <v>11.20514</v>
      </c>
      <c r="AF4711">
        <v>-9.6053519895863495</v>
      </c>
      <c r="AG4711">
        <v>0.94830599999999998</v>
      </c>
      <c r="AH4711">
        <v>60.656769954937403</v>
      </c>
      <c r="AI4711">
        <v>89.115334309700003</v>
      </c>
      <c r="AJ4711">
        <v>98.998399786879204</v>
      </c>
      <c r="AK4711">
        <v>61.419913810422102</v>
      </c>
      <c r="AL4711">
        <v>88.498215109138499</v>
      </c>
      <c r="AM4711">
        <v>104.325708887396</v>
      </c>
      <c r="AN4711">
        <v>1.00000000601344</v>
      </c>
    </row>
    <row r="4712" spans="1:40" x14ac:dyDescent="0.25">
      <c r="A4712" t="str">
        <f>"20190305135724285"</f>
        <v>20190305135724285</v>
      </c>
      <c r="B4712" t="str">
        <f>"1551765444276728"</f>
        <v>1551765444276728</v>
      </c>
      <c r="C4712" t="s">
        <v>40</v>
      </c>
      <c r="D4712">
        <v>4.7008609999999997</v>
      </c>
      <c r="E4712">
        <v>0.53550249999999999</v>
      </c>
      <c r="F4712" t="s">
        <v>69</v>
      </c>
      <c r="G4712">
        <v>-157.3501</v>
      </c>
      <c r="H4712">
        <v>2.1303160000000001</v>
      </c>
      <c r="I4712">
        <v>-50.94229</v>
      </c>
      <c r="J4712">
        <v>-217.54159999999999</v>
      </c>
      <c r="K4712">
        <v>1.1109389999999999</v>
      </c>
      <c r="L4712">
        <v>-62.073270000000001</v>
      </c>
      <c r="M4712">
        <v>0.99952719999999995</v>
      </c>
      <c r="N4712">
        <v>-1.469609E-2</v>
      </c>
      <c r="O4712">
        <v>2.7008170000000001E-2</v>
      </c>
      <c r="P4712">
        <v>0.96168240000000005</v>
      </c>
      <c r="Q4712">
        <v>1.201905E-2</v>
      </c>
      <c r="R4712">
        <v>0.2739026</v>
      </c>
      <c r="S4712">
        <v>2.9629210000000001</v>
      </c>
      <c r="T4712">
        <v>5.0003289999999999E-2</v>
      </c>
      <c r="U4712">
        <v>0.54635619999999996</v>
      </c>
      <c r="V4712">
        <v>-0.24790180000000001</v>
      </c>
      <c r="W4712">
        <v>2.5537399999999998E-2</v>
      </c>
      <c r="X4712">
        <v>0.96844850000000005</v>
      </c>
      <c r="Y4712">
        <v>-0.15472179999999999</v>
      </c>
      <c r="Z4712">
        <v>6.9739759999999998E-4</v>
      </c>
      <c r="AA4712">
        <v>0.9879578</v>
      </c>
      <c r="AB4712">
        <v>35</v>
      </c>
      <c r="AC4712">
        <v>60.191499999999898</v>
      </c>
      <c r="AD4712">
        <v>1.019377</v>
      </c>
      <c r="AE4712">
        <v>11.1309799999999</v>
      </c>
      <c r="AF4712">
        <v>-9.4984466747618992</v>
      </c>
      <c r="AG4712">
        <v>1.019377</v>
      </c>
      <c r="AH4712">
        <v>60.453432525080402</v>
      </c>
      <c r="AI4712">
        <v>89.045665156022196</v>
      </c>
      <c r="AJ4712">
        <v>98.929315142787004</v>
      </c>
      <c r="AK4712">
        <v>61.203571160234397</v>
      </c>
      <c r="AL4712">
        <v>88.536655644934896</v>
      </c>
      <c r="AM4712">
        <v>104.35816965322201</v>
      </c>
      <c r="AN4712">
        <v>0.99999997919712402</v>
      </c>
    </row>
    <row r="4713" spans="1:40" x14ac:dyDescent="0.25">
      <c r="A4713" t="str">
        <f>"20190305135724298"</f>
        <v>20190305135724298</v>
      </c>
      <c r="B4713" t="str">
        <f>"1551765444287465"</f>
        <v>1551765444287465</v>
      </c>
      <c r="C4713" t="s">
        <v>40</v>
      </c>
      <c r="D4713">
        <v>4.3782180000000004</v>
      </c>
      <c r="E4713">
        <v>0.53534839999999995</v>
      </c>
      <c r="F4713" t="s">
        <v>69</v>
      </c>
      <c r="G4713">
        <v>-157.3501</v>
      </c>
      <c r="H4713">
        <v>2.1094659999999998</v>
      </c>
      <c r="I4713">
        <v>-50.904429999999998</v>
      </c>
      <c r="J4713">
        <v>-217.3296</v>
      </c>
      <c r="K4713">
        <v>1.110857</v>
      </c>
      <c r="L4713">
        <v>-62.066960000000002</v>
      </c>
      <c r="M4713">
        <v>0.99951100000000004</v>
      </c>
      <c r="N4713">
        <v>-1.469318E-2</v>
      </c>
      <c r="O4713">
        <v>2.7606479999999999E-2</v>
      </c>
      <c r="P4713">
        <v>0.96144879999999999</v>
      </c>
      <c r="Q4713">
        <v>1.0030910000000001E-2</v>
      </c>
      <c r="R4713">
        <v>0.27480159999999998</v>
      </c>
      <c r="S4713">
        <v>2.9623719999999998</v>
      </c>
      <c r="T4713">
        <v>4.9142239999999997E-2</v>
      </c>
      <c r="U4713">
        <v>0.54968260000000002</v>
      </c>
      <c r="V4713">
        <v>-0.24821660000000001</v>
      </c>
      <c r="W4713">
        <v>2.3588680000000001E-2</v>
      </c>
      <c r="X4713">
        <v>0.96841730000000004</v>
      </c>
      <c r="Y4713">
        <v>-0.15523609999999999</v>
      </c>
      <c r="Z4713">
        <v>7.2975079999999999E-4</v>
      </c>
      <c r="AA4713">
        <v>0.98787709999999995</v>
      </c>
      <c r="AB4713">
        <v>35</v>
      </c>
      <c r="AC4713">
        <v>59.979500000000002</v>
      </c>
      <c r="AD4713">
        <v>0.99860899999999997</v>
      </c>
      <c r="AE4713">
        <v>11.162529999999901</v>
      </c>
      <c r="AF4713">
        <v>-9.4997281358419698</v>
      </c>
      <c r="AG4713">
        <v>0.99860899999999997</v>
      </c>
      <c r="AH4713">
        <v>60.248684823423702</v>
      </c>
      <c r="AI4713">
        <v>89.062007970124</v>
      </c>
      <c r="AJ4713">
        <v>98.960357997173006</v>
      </c>
      <c r="AK4713">
        <v>61.0011973451508</v>
      </c>
      <c r="AL4713">
        <v>88.648342804392499</v>
      </c>
      <c r="AM4713">
        <v>104.37609126641</v>
      </c>
      <c r="AN4713">
        <v>0.99999998663949596</v>
      </c>
    </row>
    <row r="4714" spans="1:40" x14ac:dyDescent="0.25">
      <c r="A4714" t="str">
        <f>"20190305135724311"</f>
        <v>20190305135724311</v>
      </c>
      <c r="B4714" t="str">
        <f>"1551765444306984"</f>
        <v>1551765444306984</v>
      </c>
      <c r="C4714" t="s">
        <v>40</v>
      </c>
      <c r="D4714">
        <v>4.5104649999999999</v>
      </c>
      <c r="E4714">
        <v>0.53575329999999999</v>
      </c>
      <c r="F4714" t="s">
        <v>69</v>
      </c>
      <c r="G4714">
        <v>-157.3501</v>
      </c>
      <c r="H4714">
        <v>2.0677750000000001</v>
      </c>
      <c r="I4714">
        <v>-50.85154</v>
      </c>
      <c r="J4714">
        <v>-217.1294</v>
      </c>
      <c r="K4714">
        <v>1.110778</v>
      </c>
      <c r="L4714">
        <v>-62.06091</v>
      </c>
      <c r="M4714">
        <v>0.9994961</v>
      </c>
      <c r="N4714">
        <v>-1.4690460000000001E-2</v>
      </c>
      <c r="O4714">
        <v>2.8140220000000001E-2</v>
      </c>
      <c r="P4714">
        <v>0.96120360000000005</v>
      </c>
      <c r="Q4714">
        <v>8.2497519999999904E-3</v>
      </c>
      <c r="R4714">
        <v>0.27571649999999998</v>
      </c>
      <c r="S4714">
        <v>2.9615480000000001</v>
      </c>
      <c r="T4714">
        <v>4.7247770000000001E-2</v>
      </c>
      <c r="U4714">
        <v>0.55377200000000004</v>
      </c>
      <c r="V4714">
        <v>-0.24861249999999999</v>
      </c>
      <c r="W4714">
        <v>2.1842469999999999E-2</v>
      </c>
      <c r="X4714">
        <v>0.96835669999999996</v>
      </c>
      <c r="Y4714">
        <v>-0.15607670000000001</v>
      </c>
      <c r="Z4714">
        <v>7.7695420000000002E-4</v>
      </c>
      <c r="AA4714">
        <v>0.98774459999999997</v>
      </c>
      <c r="AB4714">
        <v>35</v>
      </c>
      <c r="AC4714">
        <v>59.779299999999999</v>
      </c>
      <c r="AD4714">
        <v>0.95699699999999999</v>
      </c>
      <c r="AE4714">
        <v>11.20937</v>
      </c>
      <c r="AF4714">
        <v>-9.5201888966849495</v>
      </c>
      <c r="AG4714">
        <v>0.95699699999999999</v>
      </c>
      <c r="AH4714">
        <v>60.056221002866003</v>
      </c>
      <c r="AI4714">
        <v>89.098324863074296</v>
      </c>
      <c r="AJ4714">
        <v>99.007648187715503</v>
      </c>
      <c r="AK4714">
        <v>60.813645845580197</v>
      </c>
      <c r="AL4714">
        <v>88.748419100619998</v>
      </c>
      <c r="AM4714">
        <v>104.39893190582799</v>
      </c>
      <c r="AN4714">
        <v>0.99999998354342001</v>
      </c>
    </row>
    <row r="4715" spans="1:40" x14ac:dyDescent="0.25">
      <c r="A4715" t="str">
        <f>"20190305135724325"</f>
        <v>20190305135724325</v>
      </c>
      <c r="B4715" t="str">
        <f>"1551765444317721"</f>
        <v>1551765444317721</v>
      </c>
      <c r="C4715" t="s">
        <v>40</v>
      </c>
      <c r="D4715">
        <v>4.376417</v>
      </c>
      <c r="E4715">
        <v>0.53608459999999902</v>
      </c>
      <c r="F4715" t="s">
        <v>69</v>
      </c>
      <c r="G4715">
        <v>-157.3501</v>
      </c>
      <c r="H4715">
        <v>1.979419</v>
      </c>
      <c r="I4715">
        <v>-50.889960000000002</v>
      </c>
      <c r="J4715">
        <v>-216.8955</v>
      </c>
      <c r="K4715">
        <v>1.110689</v>
      </c>
      <c r="L4715">
        <v>-62.053769999999901</v>
      </c>
      <c r="M4715">
        <v>0.99947989999999998</v>
      </c>
      <c r="N4715">
        <v>-1.4687230000000001E-2</v>
      </c>
      <c r="O4715">
        <v>2.870905E-2</v>
      </c>
      <c r="P4715">
        <v>0.96078240000000004</v>
      </c>
      <c r="Q4715">
        <v>5.0178109999999996E-3</v>
      </c>
      <c r="R4715">
        <v>0.27725830000000001</v>
      </c>
      <c r="S4715">
        <v>2.9619450000000001</v>
      </c>
      <c r="T4715">
        <v>4.3038369999999999E-2</v>
      </c>
      <c r="U4715">
        <v>0.55349729999999997</v>
      </c>
      <c r="V4715">
        <v>-0.2496033</v>
      </c>
      <c r="W4715">
        <v>1.8641649999999999E-2</v>
      </c>
      <c r="X4715">
        <v>0.96816869999999999</v>
      </c>
      <c r="Y4715">
        <v>-0.15540279999999901</v>
      </c>
      <c r="Z4715">
        <v>8.6336210000000004E-4</v>
      </c>
      <c r="AA4715">
        <v>0.98785080000000003</v>
      </c>
      <c r="AB4715">
        <v>35</v>
      </c>
      <c r="AC4715">
        <v>59.545400000000001</v>
      </c>
      <c r="AD4715">
        <v>0.868729999999999</v>
      </c>
      <c r="AE4715">
        <v>11.1638099999999</v>
      </c>
      <c r="AF4715">
        <v>-9.4475884845997999</v>
      </c>
      <c r="AG4715">
        <v>0.868729999999999</v>
      </c>
      <c r="AH4715">
        <v>59.829085472638802</v>
      </c>
      <c r="AI4715">
        <v>89.178292873302297</v>
      </c>
      <c r="AJ4715">
        <v>98.973458923576899</v>
      </c>
      <c r="AK4715">
        <v>60.576654649126702</v>
      </c>
      <c r="AL4715">
        <v>88.931850233467102</v>
      </c>
      <c r="AM4715">
        <v>104.45660596390699</v>
      </c>
      <c r="AN4715">
        <v>0.99999997507265104</v>
      </c>
    </row>
    <row r="4716" spans="1:40" x14ac:dyDescent="0.25">
      <c r="A4716" t="str">
        <f>"20190305135724337"</f>
        <v>20190305135724337</v>
      </c>
      <c r="B4716" t="str">
        <f>"1551765444327480"</f>
        <v>1551765444327480</v>
      </c>
      <c r="C4716" t="s">
        <v>40</v>
      </c>
      <c r="D4716">
        <v>4.4108599999999996</v>
      </c>
      <c r="E4716">
        <v>0.53625349999999905</v>
      </c>
      <c r="F4716" t="s">
        <v>69</v>
      </c>
      <c r="G4716">
        <v>-157.3501</v>
      </c>
      <c r="H4716">
        <v>1.839261</v>
      </c>
      <c r="I4716">
        <v>-50.878390000000003</v>
      </c>
      <c r="J4716">
        <v>-216.73</v>
      </c>
      <c r="K4716">
        <v>1.110641</v>
      </c>
      <c r="L4716">
        <v>-62.048609999999996</v>
      </c>
      <c r="M4716">
        <v>0.99946900000000005</v>
      </c>
      <c r="N4716">
        <v>-1.468499E-2</v>
      </c>
      <c r="O4716">
        <v>2.908985E-2</v>
      </c>
      <c r="P4716">
        <v>0.96038500000000004</v>
      </c>
      <c r="Q4716">
        <v>4.1322889999999999E-3</v>
      </c>
      <c r="R4716">
        <v>0.27864630000000001</v>
      </c>
      <c r="S4716">
        <v>2.9618679999999999</v>
      </c>
      <c r="T4716">
        <v>3.6239029999999998E-2</v>
      </c>
      <c r="U4716">
        <v>0.55587769999999903</v>
      </c>
      <c r="V4716">
        <v>-0.2506292</v>
      </c>
      <c r="W4716">
        <v>1.7772039999999999E-2</v>
      </c>
      <c r="X4716">
        <v>0.96792</v>
      </c>
      <c r="Y4716">
        <v>-0.1557984</v>
      </c>
      <c r="Z4716">
        <v>9.8543640000000004E-4</v>
      </c>
      <c r="AA4716">
        <v>0.98778840000000001</v>
      </c>
      <c r="AB4716">
        <v>35</v>
      </c>
      <c r="AC4716">
        <v>59.3798999999999</v>
      </c>
      <c r="AD4716">
        <v>0.72861999999999905</v>
      </c>
      <c r="AE4716">
        <v>11.170219999999899</v>
      </c>
      <c r="AF4716">
        <v>-9.4365809609645694</v>
      </c>
      <c r="AG4716">
        <v>0.72861999999999905</v>
      </c>
      <c r="AH4716">
        <v>59.671062802456703</v>
      </c>
      <c r="AI4716">
        <v>89.309004872513299</v>
      </c>
      <c r="AJ4716">
        <v>98.986523322026102</v>
      </c>
      <c r="AK4716">
        <v>60.417014849394597</v>
      </c>
      <c r="AL4716">
        <v>88.981683488318296</v>
      </c>
      <c r="AM4716">
        <v>104.51709145634101</v>
      </c>
      <c r="AN4716">
        <v>0.99999998384919997</v>
      </c>
    </row>
    <row r="4717" spans="1:40" x14ac:dyDescent="0.25">
      <c r="A4717" t="str">
        <f>"20190305135724348"</f>
        <v>20190305135724348</v>
      </c>
      <c r="B4717" t="str">
        <f>"1551765444337241"</f>
        <v>1551765444337241</v>
      </c>
      <c r="C4717" t="s">
        <v>40</v>
      </c>
      <c r="D4717">
        <v>4.4562099999999996</v>
      </c>
      <c r="E4717">
        <v>0.5364717</v>
      </c>
      <c r="F4717" t="s">
        <v>69</v>
      </c>
      <c r="G4717">
        <v>-157.3501</v>
      </c>
      <c r="H4717">
        <v>1.8019270000000001</v>
      </c>
      <c r="I4717">
        <v>-50.843989999999998</v>
      </c>
      <c r="J4717">
        <v>-216.54409999999999</v>
      </c>
      <c r="K4717">
        <v>1.110595</v>
      </c>
      <c r="L4717">
        <v>-62.042819999999899</v>
      </c>
      <c r="M4717">
        <v>0.99945689999999998</v>
      </c>
      <c r="N4717">
        <v>-1.4682509999999999E-2</v>
      </c>
      <c r="O4717">
        <v>2.950645E-2</v>
      </c>
      <c r="P4717">
        <v>0.96015399999999995</v>
      </c>
      <c r="Q4717">
        <v>3.257766E-3</v>
      </c>
      <c r="R4717">
        <v>0.27945310000000001</v>
      </c>
      <c r="S4717">
        <v>2.9614560000000001</v>
      </c>
      <c r="T4717">
        <v>3.4475449999999998E-2</v>
      </c>
      <c r="U4717">
        <v>0.55880739999999995</v>
      </c>
      <c r="V4717">
        <v>-0.25103540000000002</v>
      </c>
      <c r="W4717">
        <v>1.6917680000000001E-2</v>
      </c>
      <c r="X4717">
        <v>0.96783010000000003</v>
      </c>
      <c r="Y4717">
        <v>-0.15635539999999901</v>
      </c>
      <c r="Z4717">
        <v>1.025817E-3</v>
      </c>
      <c r="AA4717">
        <v>0.98770029999999998</v>
      </c>
      <c r="AB4717">
        <v>35</v>
      </c>
      <c r="AC4717">
        <v>59.193999999999903</v>
      </c>
      <c r="AD4717">
        <v>0.69133199999999995</v>
      </c>
      <c r="AE4717">
        <v>11.1988299999999</v>
      </c>
      <c r="AF4717">
        <v>-9.4459161238660396</v>
      </c>
      <c r="AG4717">
        <v>0.69133199999999995</v>
      </c>
      <c r="AH4717">
        <v>59.490859859852698</v>
      </c>
      <c r="AI4717">
        <v>89.342443039736594</v>
      </c>
      <c r="AJ4717">
        <v>99.022067898937493</v>
      </c>
      <c r="AK4717">
        <v>60.240067050244697</v>
      </c>
      <c r="AL4717">
        <v>89.030642133397905</v>
      </c>
      <c r="AM4717">
        <v>104.54091652229199</v>
      </c>
      <c r="AN4717">
        <v>1.00000004120787</v>
      </c>
    </row>
    <row r="4718" spans="1:40" x14ac:dyDescent="0.25">
      <c r="A4718" t="str">
        <f>"20190305135724362"</f>
        <v>20190305135724362</v>
      </c>
      <c r="B4718" t="str">
        <f>"1551765444357737"</f>
        <v>1551765444357737</v>
      </c>
      <c r="C4718" t="s">
        <v>40</v>
      </c>
      <c r="D4718">
        <v>4.4353150000000001</v>
      </c>
      <c r="E4718">
        <v>0.53697680000000003</v>
      </c>
      <c r="F4718" t="s">
        <v>69</v>
      </c>
      <c r="G4718">
        <v>-157.3501</v>
      </c>
      <c r="H4718">
        <v>1.74981699999999</v>
      </c>
      <c r="I4718">
        <v>-50.85575</v>
      </c>
      <c r="J4718">
        <v>-216.33930000000001</v>
      </c>
      <c r="K4718">
        <v>1.1105590000000001</v>
      </c>
      <c r="L4718">
        <v>-62.036250000000003</v>
      </c>
      <c r="M4718">
        <v>0.99944370000000005</v>
      </c>
      <c r="N4718">
        <v>-1.467978E-2</v>
      </c>
      <c r="O4718">
        <v>2.994869E-2</v>
      </c>
      <c r="P4718">
        <v>0.95966419999999997</v>
      </c>
      <c r="Q4718">
        <v>3.644506E-3</v>
      </c>
      <c r="R4718">
        <v>0.28112520000000002</v>
      </c>
      <c r="S4718">
        <v>2.9615019999999999</v>
      </c>
      <c r="T4718">
        <v>3.1979559999999997E-2</v>
      </c>
      <c r="U4718">
        <v>0.55969239999999998</v>
      </c>
      <c r="V4718">
        <v>-0.25229239999999997</v>
      </c>
      <c r="W4718">
        <v>1.7314349999999999E-2</v>
      </c>
      <c r="X4718">
        <v>0.96749609999999997</v>
      </c>
      <c r="Y4718">
        <v>-0.1562006</v>
      </c>
      <c r="Z4718">
        <v>1.0770949999999999E-3</v>
      </c>
      <c r="AA4718">
        <v>0.98772479999999996</v>
      </c>
      <c r="AB4718">
        <v>35</v>
      </c>
      <c r="AC4718">
        <v>58.989199999999997</v>
      </c>
      <c r="AD4718">
        <v>0.63925799999999899</v>
      </c>
      <c r="AE4718">
        <v>11.1805</v>
      </c>
      <c r="AF4718">
        <v>-9.4075777398785192</v>
      </c>
      <c r="AG4718">
        <v>0.63925799999999899</v>
      </c>
      <c r="AH4718">
        <v>59.290889817376801</v>
      </c>
      <c r="AI4718">
        <v>89.389908052442905</v>
      </c>
      <c r="AJ4718">
        <v>99.0158587037091</v>
      </c>
      <c r="AK4718">
        <v>60.035995744709197</v>
      </c>
      <c r="AL4718">
        <v>89.007911219483006</v>
      </c>
      <c r="AM4718">
        <v>104.615446284193</v>
      </c>
      <c r="AN4718">
        <v>0.99999997266444596</v>
      </c>
    </row>
    <row r="4719" spans="1:40" x14ac:dyDescent="0.25">
      <c r="A4719" t="str">
        <f>"20190305135724376"</f>
        <v>20190305135724376</v>
      </c>
      <c r="B4719" t="str">
        <f>"1551765444367497"</f>
        <v>1551765444367497</v>
      </c>
      <c r="C4719" t="s">
        <v>40</v>
      </c>
      <c r="D4719">
        <v>4.4295939999999998</v>
      </c>
      <c r="E4719">
        <v>0.53726799999999997</v>
      </c>
      <c r="F4719" t="s">
        <v>69</v>
      </c>
      <c r="G4719">
        <v>-157.3501</v>
      </c>
      <c r="H4719">
        <v>1.7823209999999901</v>
      </c>
      <c r="I4719">
        <v>-50.862839999999998</v>
      </c>
      <c r="J4719">
        <v>-216.1172</v>
      </c>
      <c r="K4719">
        <v>1.1105320000000001</v>
      </c>
      <c r="L4719">
        <v>-62.029110000000003</v>
      </c>
      <c r="M4719">
        <v>0.99942929999999996</v>
      </c>
      <c r="N4719">
        <v>-1.467687E-2</v>
      </c>
      <c r="O4719">
        <v>3.0427840000000001E-2</v>
      </c>
      <c r="P4719">
        <v>0.9592678</v>
      </c>
      <c r="Q4719">
        <v>4.7518350000000003E-3</v>
      </c>
      <c r="R4719">
        <v>0.28245879999999901</v>
      </c>
      <c r="S4719">
        <v>2.961624</v>
      </c>
      <c r="T4719">
        <v>3.3725619999999998E-2</v>
      </c>
      <c r="U4719">
        <v>0.56097410000000003</v>
      </c>
      <c r="V4719">
        <v>-0.25317489999999998</v>
      </c>
      <c r="W4719">
        <v>1.8430450000000001E-2</v>
      </c>
      <c r="X4719">
        <v>0.96724489999999996</v>
      </c>
      <c r="Y4719">
        <v>-0.15613260000000001</v>
      </c>
      <c r="Z4719">
        <v>1.060959E-3</v>
      </c>
      <c r="AA4719">
        <v>0.98773560000000005</v>
      </c>
      <c r="AB4719">
        <v>35</v>
      </c>
      <c r="AC4719">
        <v>58.767099999999999</v>
      </c>
      <c r="AD4719">
        <v>0.67178899999999897</v>
      </c>
      <c r="AE4719">
        <v>11.1662699999999</v>
      </c>
      <c r="AF4719">
        <v>-9.3715681836061293</v>
      </c>
      <c r="AG4719">
        <v>0.67178899999999897</v>
      </c>
      <c r="AH4719">
        <v>59.072234659873999</v>
      </c>
      <c r="AI4719">
        <v>89.356488626415</v>
      </c>
      <c r="AJ4719">
        <v>99.014613677512799</v>
      </c>
      <c r="AK4719">
        <v>59.8147682298587</v>
      </c>
      <c r="AL4719">
        <v>88.943953159571706</v>
      </c>
      <c r="AM4719">
        <v>104.66801428563799</v>
      </c>
      <c r="AN4719">
        <v>0.99999995402661002</v>
      </c>
    </row>
    <row r="4720" spans="1:40" x14ac:dyDescent="0.25">
      <c r="A4720" t="str">
        <f>"20190305135724387"</f>
        <v>20190305135724387</v>
      </c>
      <c r="B4720" t="str">
        <f>"1551765444377257"</f>
        <v>1551765444377257</v>
      </c>
      <c r="C4720" t="s">
        <v>40</v>
      </c>
      <c r="D4720">
        <v>4.3910770000000001</v>
      </c>
      <c r="E4720">
        <v>0.53750849999999994</v>
      </c>
      <c r="F4720" t="s">
        <v>69</v>
      </c>
      <c r="G4720">
        <v>-157.3501</v>
      </c>
      <c r="H4720">
        <v>1.854538</v>
      </c>
      <c r="I4720">
        <v>-50.858319999999999</v>
      </c>
      <c r="J4720">
        <v>-215.93450000000001</v>
      </c>
      <c r="K4720">
        <v>1.1105240000000001</v>
      </c>
      <c r="L4720">
        <v>-62.023159999999997</v>
      </c>
      <c r="M4720">
        <v>0.99941720000000001</v>
      </c>
      <c r="N4720">
        <v>-1.467452E-2</v>
      </c>
      <c r="O4720">
        <v>3.0823969999999999E-2</v>
      </c>
      <c r="P4720">
        <v>0.95886859999999996</v>
      </c>
      <c r="Q4720">
        <v>5.8242569999999898E-3</v>
      </c>
      <c r="R4720">
        <v>0.28379090000000001</v>
      </c>
      <c r="S4720">
        <v>2.9614410000000002</v>
      </c>
      <c r="T4720">
        <v>3.749156E-2</v>
      </c>
      <c r="U4720">
        <v>0.56292719999999996</v>
      </c>
      <c r="V4720">
        <v>-0.25413639999999998</v>
      </c>
      <c r="W4720">
        <v>1.9503610000000001E-2</v>
      </c>
      <c r="X4720">
        <v>0.96697180000000005</v>
      </c>
      <c r="Y4720">
        <v>-0.1563813</v>
      </c>
      <c r="Z4720">
        <v>1.01169E-3</v>
      </c>
      <c r="AA4720">
        <v>0.98769620000000002</v>
      </c>
      <c r="AB4720">
        <v>35</v>
      </c>
      <c r="AC4720">
        <v>58.584400000000002</v>
      </c>
      <c r="AD4720">
        <v>0.74401399999999995</v>
      </c>
      <c r="AE4720">
        <v>11.1648399999999</v>
      </c>
      <c r="AF4720">
        <v>-9.3520800703701799</v>
      </c>
      <c r="AG4720">
        <v>0.74401399999999995</v>
      </c>
      <c r="AH4720">
        <v>58.891572560781498</v>
      </c>
      <c r="AI4720">
        <v>89.285141726419198</v>
      </c>
      <c r="AJ4720">
        <v>99.023318984574402</v>
      </c>
      <c r="AK4720">
        <v>59.634153613148598</v>
      </c>
      <c r="AL4720">
        <v>88.882454694297806</v>
      </c>
      <c r="AM4720">
        <v>104.72528187716399</v>
      </c>
      <c r="AN4720">
        <v>1.0000000813016101</v>
      </c>
    </row>
    <row r="4721" spans="1:40" x14ac:dyDescent="0.25">
      <c r="A4721" t="str">
        <f>"20190305135724399"</f>
        <v>20190305135724399</v>
      </c>
      <c r="B4721" t="str">
        <f>"1551765444397752"</f>
        <v>1551765444397752</v>
      </c>
      <c r="C4721" t="s">
        <v>40</v>
      </c>
      <c r="D4721">
        <v>4.5883260000000003</v>
      </c>
      <c r="E4721">
        <v>0.53743399999999997</v>
      </c>
      <c r="F4721" t="s">
        <v>69</v>
      </c>
      <c r="G4721">
        <v>-157.3501</v>
      </c>
      <c r="H4721">
        <v>1.9188989999999999</v>
      </c>
      <c r="I4721">
        <v>-50.841329999999999</v>
      </c>
      <c r="J4721">
        <v>-215.75470000000001</v>
      </c>
      <c r="K4721">
        <v>1.110522</v>
      </c>
      <c r="L4721">
        <v>-62.017209999999999</v>
      </c>
      <c r="M4721">
        <v>0.99940469999999904</v>
      </c>
      <c r="N4721">
        <v>-1.467225E-2</v>
      </c>
      <c r="O4721">
        <v>3.1228849999999999E-2</v>
      </c>
      <c r="P4721">
        <v>0.9585572</v>
      </c>
      <c r="Q4721">
        <v>6.4379809999999997E-3</v>
      </c>
      <c r="R4721">
        <v>0.28482809999999997</v>
      </c>
      <c r="S4721">
        <v>2.9611510000000001</v>
      </c>
      <c r="T4721">
        <v>4.0858270000000002E-2</v>
      </c>
      <c r="U4721">
        <v>0.56518550000000001</v>
      </c>
      <c r="V4721">
        <v>-0.25479249999999998</v>
      </c>
      <c r="W4721">
        <v>2.0113849999999999E-2</v>
      </c>
      <c r="X4721">
        <v>0.96678660000000005</v>
      </c>
      <c r="Y4721">
        <v>-0.1567259</v>
      </c>
      <c r="Z4721">
        <v>9.6969910000000001E-4</v>
      </c>
      <c r="AA4721">
        <v>0.98764160000000001</v>
      </c>
      <c r="AB4721">
        <v>35</v>
      </c>
      <c r="AC4721">
        <v>58.404600000000002</v>
      </c>
      <c r="AD4721">
        <v>0.80837700000000001</v>
      </c>
      <c r="AE4721">
        <v>11.175879999999999</v>
      </c>
      <c r="AF4721">
        <v>-9.3445963739806803</v>
      </c>
      <c r="AG4721">
        <v>0.80837700000000001</v>
      </c>
      <c r="AH4721">
        <v>58.714304296325999</v>
      </c>
      <c r="AI4721">
        <v>89.221006036999995</v>
      </c>
      <c r="AJ4721">
        <v>99.042989332682794</v>
      </c>
      <c r="AK4721">
        <v>59.458762884610302</v>
      </c>
      <c r="AL4721">
        <v>88.847483630906495</v>
      </c>
      <c r="AM4721">
        <v>104.764344065264</v>
      </c>
      <c r="AN4721">
        <v>1.0000000574788099</v>
      </c>
    </row>
    <row r="4722" spans="1:40" x14ac:dyDescent="0.25">
      <c r="A4722" t="str">
        <f>"20190305135724412"</f>
        <v>20190305135724412</v>
      </c>
      <c r="B4722" t="str">
        <f>"1551765444407514"</f>
        <v>1551765444407514</v>
      </c>
      <c r="C4722" t="s">
        <v>40</v>
      </c>
      <c r="D4722">
        <v>4.6408329999999998</v>
      </c>
      <c r="E4722">
        <v>0.53743399999999997</v>
      </c>
      <c r="F4722" t="s">
        <v>69</v>
      </c>
      <c r="G4722">
        <v>-157.3501</v>
      </c>
      <c r="H4722">
        <v>1.917505</v>
      </c>
      <c r="I4722">
        <v>-50.79336</v>
      </c>
      <c r="J4722">
        <v>-215.55690000000001</v>
      </c>
      <c r="K4722">
        <v>1.110525</v>
      </c>
      <c r="L4722">
        <v>-62.010590000000001</v>
      </c>
      <c r="M4722">
        <v>0.99939040000000001</v>
      </c>
      <c r="N4722">
        <v>-1.46697999999999E-2</v>
      </c>
      <c r="O4722">
        <v>3.1685240000000003E-2</v>
      </c>
      <c r="P4722">
        <v>0.95826679999999997</v>
      </c>
      <c r="Q4722">
        <v>7.3072450000000004E-3</v>
      </c>
      <c r="R4722">
        <v>0.285782599999999</v>
      </c>
      <c r="S4722">
        <v>2.960388</v>
      </c>
      <c r="T4722">
        <v>4.0902969999999997E-2</v>
      </c>
      <c r="U4722">
        <v>0.56890869999999905</v>
      </c>
      <c r="V4722">
        <v>-0.25531579999999998</v>
      </c>
      <c r="W4722">
        <v>2.097769E-2</v>
      </c>
      <c r="X4722">
        <v>0.96663010000000005</v>
      </c>
      <c r="Y4722">
        <v>-0.1575201</v>
      </c>
      <c r="Z4722">
        <v>9.8204520000000003E-4</v>
      </c>
      <c r="AA4722">
        <v>0.98751529999999998</v>
      </c>
      <c r="AB4722">
        <v>35</v>
      </c>
      <c r="AC4722">
        <v>58.206800000000001</v>
      </c>
      <c r="AD4722">
        <v>0.80698000000000003</v>
      </c>
      <c r="AE4722">
        <v>11.217230000000001</v>
      </c>
      <c r="AF4722">
        <v>-9.3653663102612796</v>
      </c>
      <c r="AG4722">
        <v>0.80698000000000003</v>
      </c>
      <c r="AH4722">
        <v>58.5221809019761</v>
      </c>
      <c r="AI4722">
        <v>89.219905969704897</v>
      </c>
      <c r="AJ4722">
        <v>99.092011780685496</v>
      </c>
      <c r="AK4722">
        <v>59.272311920233001</v>
      </c>
      <c r="AL4722">
        <v>88.797978709956396</v>
      </c>
      <c r="AM4722">
        <v>104.79562899627101</v>
      </c>
      <c r="AN4722">
        <v>0.99999998571669302</v>
      </c>
    </row>
    <row r="4723" spans="1:40" x14ac:dyDescent="0.25">
      <c r="A4723" t="str">
        <f>"20190305135724426"</f>
        <v>20190305135724426</v>
      </c>
      <c r="B4723" t="str">
        <f>"1551765444417274"</f>
        <v>1551765444417274</v>
      </c>
      <c r="C4723" t="s">
        <v>40</v>
      </c>
      <c r="D4723">
        <v>4.6120570000000001</v>
      </c>
      <c r="E4723">
        <v>0.48910769999999998</v>
      </c>
      <c r="F4723" t="s">
        <v>69</v>
      </c>
      <c r="G4723">
        <v>-157.3501</v>
      </c>
      <c r="H4723">
        <v>1.967597</v>
      </c>
      <c r="I4723">
        <v>-50.765479999999997</v>
      </c>
      <c r="J4723">
        <v>-215.3407</v>
      </c>
      <c r="K4723">
        <v>1.110544</v>
      </c>
      <c r="L4723">
        <v>-62.003169999999997</v>
      </c>
      <c r="M4723">
        <v>0.99937330000000002</v>
      </c>
      <c r="N4723">
        <v>-1.4667319999999999E-2</v>
      </c>
      <c r="O4723">
        <v>3.2218900000000002E-2</v>
      </c>
      <c r="P4723">
        <v>0.95786039999999995</v>
      </c>
      <c r="Q4723">
        <v>8.8283909999999997E-3</v>
      </c>
      <c r="R4723">
        <v>0.2870991</v>
      </c>
      <c r="S4723">
        <v>2.9597929999999999</v>
      </c>
      <c r="T4723">
        <v>4.3580649999999999E-2</v>
      </c>
      <c r="U4723">
        <v>0.57180790000000004</v>
      </c>
      <c r="V4723">
        <v>-0.25613190000000002</v>
      </c>
      <c r="W4723">
        <v>2.248271E-2</v>
      </c>
      <c r="X4723">
        <v>0.96638040000000003</v>
      </c>
      <c r="Y4723">
        <v>-0.157962299999999</v>
      </c>
      <c r="Z4723">
        <v>9.5513879999999996E-4</v>
      </c>
      <c r="AA4723">
        <v>0.98744469999999995</v>
      </c>
      <c r="AB4723">
        <v>35</v>
      </c>
      <c r="AC4723">
        <v>57.990600000000001</v>
      </c>
      <c r="AD4723">
        <v>0.85705299999999995</v>
      </c>
      <c r="AE4723">
        <v>11.237689999999899</v>
      </c>
      <c r="AF4723">
        <v>-9.3612896427936594</v>
      </c>
      <c r="AG4723">
        <v>0.85705299999999995</v>
      </c>
      <c r="AH4723">
        <v>58.310316456031103</v>
      </c>
      <c r="AI4723">
        <v>89.168564430465494</v>
      </c>
      <c r="AJ4723">
        <v>99.1205868766815</v>
      </c>
      <c r="AK4723">
        <v>59.063197414494802</v>
      </c>
      <c r="AL4723">
        <v>88.7117271227917</v>
      </c>
      <c r="AM4723">
        <v>104.84450358735199</v>
      </c>
      <c r="AN4723">
        <v>1.0000000499753501</v>
      </c>
    </row>
    <row r="4724" spans="1:40" x14ac:dyDescent="0.25">
      <c r="A4724" t="str">
        <f>"20190305135724437"</f>
        <v>20190305135724437</v>
      </c>
      <c r="B4724" t="str">
        <f>"1551765444427032"</f>
        <v>1551765444427032</v>
      </c>
      <c r="C4724" t="s">
        <v>40</v>
      </c>
      <c r="D4724">
        <v>4.4260229999999998</v>
      </c>
      <c r="E4724">
        <v>0.47646909999999998</v>
      </c>
      <c r="F4724" t="s">
        <v>69</v>
      </c>
      <c r="G4724">
        <v>-157.3501</v>
      </c>
      <c r="H4724">
        <v>1.5479210000000001</v>
      </c>
      <c r="I4724">
        <v>-42.77908</v>
      </c>
      <c r="J4724">
        <v>-215.1643</v>
      </c>
      <c r="K4724">
        <v>1.1105689999999999</v>
      </c>
      <c r="L4724">
        <v>-61.997010000000003</v>
      </c>
      <c r="M4724">
        <v>0.99935819999999997</v>
      </c>
      <c r="N4724">
        <v>-1.466545E-2</v>
      </c>
      <c r="O4724">
        <v>3.2683980000000001E-2</v>
      </c>
      <c r="P4724">
        <v>0.95754980000000001</v>
      </c>
      <c r="Q4724">
        <v>9.8384530000000005E-3</v>
      </c>
      <c r="R4724">
        <v>0.28810029999999998</v>
      </c>
      <c r="S4724">
        <v>2.8487399999999998</v>
      </c>
      <c r="T4724">
        <v>2.148473E-2</v>
      </c>
      <c r="U4724">
        <v>0.9443665</v>
      </c>
      <c r="V4724">
        <v>-0.25669609999999998</v>
      </c>
      <c r="W4724">
        <v>2.347523E-2</v>
      </c>
      <c r="X4724">
        <v>0.96620700000000004</v>
      </c>
      <c r="Y4724">
        <v>-0.28348309999999999</v>
      </c>
      <c r="Z4724">
        <v>1.7991189999999901E-3</v>
      </c>
      <c r="AA4724">
        <v>0.95897560000000004</v>
      </c>
      <c r="AB4724">
        <v>35</v>
      </c>
      <c r="AC4724">
        <v>57.8142</v>
      </c>
      <c r="AD4724">
        <v>0.43735199999999902</v>
      </c>
      <c r="AE4724">
        <v>19.217929999999999</v>
      </c>
      <c r="AF4724">
        <v>-17.316966697592399</v>
      </c>
      <c r="AG4724">
        <v>0.43735199999999902</v>
      </c>
      <c r="AH4724">
        <v>58.408481366528598</v>
      </c>
      <c r="AI4724">
        <v>89.588683845398194</v>
      </c>
      <c r="AJ4724">
        <v>106.514055037714</v>
      </c>
      <c r="AK4724">
        <v>60.923060559377198</v>
      </c>
      <c r="AL4724">
        <v>88.654844789475007</v>
      </c>
      <c r="AM4724">
        <v>104.878305620791</v>
      </c>
      <c r="AN4724">
        <v>0.99999997051388101</v>
      </c>
    </row>
    <row r="4725" spans="1:40" x14ac:dyDescent="0.25">
      <c r="A4725" t="str">
        <f>"20190305135724448"</f>
        <v>20190305135724448</v>
      </c>
      <c r="B4725" t="str">
        <f>"1551765444436792"</f>
        <v>1551765444436792</v>
      </c>
      <c r="C4725" t="s">
        <v>40</v>
      </c>
      <c r="D4725">
        <v>4.480308</v>
      </c>
      <c r="E4725">
        <v>0.46791509999999997</v>
      </c>
      <c r="F4725" t="s">
        <v>69</v>
      </c>
      <c r="G4725">
        <v>-157.3501</v>
      </c>
      <c r="H4725">
        <v>1.803701</v>
      </c>
      <c r="I4725">
        <v>-40.575899999999997</v>
      </c>
      <c r="J4725">
        <v>-214.9907</v>
      </c>
      <c r="K4725">
        <v>1.110598</v>
      </c>
      <c r="L4725">
        <v>-61.99091</v>
      </c>
      <c r="M4725">
        <v>0.99934270000000003</v>
      </c>
      <c r="N4725">
        <v>-1.466366E-2</v>
      </c>
      <c r="O4725">
        <v>3.3154290000000003E-2</v>
      </c>
      <c r="P4725">
        <v>0.95725729999999998</v>
      </c>
      <c r="Q4725">
        <v>1.099175E-2</v>
      </c>
      <c r="R4725">
        <v>0.28902929999999999</v>
      </c>
      <c r="S4725">
        <v>2.818451</v>
      </c>
      <c r="T4725">
        <v>3.3789279999999998E-2</v>
      </c>
      <c r="U4725">
        <v>1.044281</v>
      </c>
      <c r="V4725">
        <v>-0.25718289999999999</v>
      </c>
      <c r="W4725">
        <v>2.460977E-2</v>
      </c>
      <c r="X4725">
        <v>0.96604939999999995</v>
      </c>
      <c r="Y4725">
        <v>-0.31616719999999998</v>
      </c>
      <c r="Z4725">
        <v>1.4138969999999999E-3</v>
      </c>
      <c r="AA4725">
        <v>0.94870239999999995</v>
      </c>
      <c r="AB4725">
        <v>35</v>
      </c>
      <c r="AC4725">
        <v>57.640599999999999</v>
      </c>
      <c r="AD4725">
        <v>0.69310299999999903</v>
      </c>
      <c r="AE4725">
        <v>21.415009999999999</v>
      </c>
      <c r="AF4725">
        <v>-19.489519670553499</v>
      </c>
      <c r="AG4725">
        <v>0.69310299999999903</v>
      </c>
      <c r="AH4725">
        <v>58.311572129451903</v>
      </c>
      <c r="AI4725">
        <v>89.354120542446395</v>
      </c>
      <c r="AJ4725">
        <v>108.481212005008</v>
      </c>
      <c r="AK4725">
        <v>61.4862684911499</v>
      </c>
      <c r="AL4725">
        <v>88.589821766516096</v>
      </c>
      <c r="AM4725">
        <v>104.907589521182</v>
      </c>
      <c r="AN4725">
        <v>1.0000000640361</v>
      </c>
    </row>
    <row r="4726" spans="1:40" x14ac:dyDescent="0.25">
      <c r="A4726" t="str">
        <f>"20190305135724461"</f>
        <v>20190305135724461</v>
      </c>
      <c r="B4726" t="str">
        <f>"1551765444457289"</f>
        <v>1551765444457289</v>
      </c>
      <c r="C4726" t="s">
        <v>40</v>
      </c>
      <c r="D4726">
        <v>4.3957179999999996</v>
      </c>
      <c r="E4726">
        <v>0.46013949999999998</v>
      </c>
      <c r="F4726" t="s">
        <v>69</v>
      </c>
      <c r="G4726">
        <v>-157.3501</v>
      </c>
      <c r="H4726">
        <v>1.8746050000000001</v>
      </c>
      <c r="I4726">
        <v>-39.070450000000001</v>
      </c>
      <c r="J4726">
        <v>-214.81229999999999</v>
      </c>
      <c r="K4726">
        <v>1.1106450000000001</v>
      </c>
      <c r="L4726">
        <v>-61.984439999999999</v>
      </c>
      <c r="M4726">
        <v>0.99932489999999996</v>
      </c>
      <c r="N4726">
        <v>-1.466724E-2</v>
      </c>
      <c r="O4726">
        <v>3.3684319999999997E-2</v>
      </c>
      <c r="P4726">
        <v>0.95674930000000002</v>
      </c>
      <c r="Q4726">
        <v>1.3048189999999999E-2</v>
      </c>
      <c r="R4726">
        <v>0.29062059999999901</v>
      </c>
      <c r="S4726">
        <v>2.7976230000000002</v>
      </c>
      <c r="T4726">
        <v>3.708053E-2</v>
      </c>
      <c r="U4726">
        <v>1.112457</v>
      </c>
      <c r="V4726">
        <v>-0.25828440000000003</v>
      </c>
      <c r="W4726">
        <v>2.6642329999999999E-2</v>
      </c>
      <c r="X4726">
        <v>0.96570149999999999</v>
      </c>
      <c r="Y4726">
        <v>-0.3380049</v>
      </c>
      <c r="Z4726">
        <v>1.3182230000000001E-3</v>
      </c>
      <c r="AA4726">
        <v>0.94114350000000002</v>
      </c>
      <c r="AB4726">
        <v>35</v>
      </c>
      <c r="AC4726">
        <v>57.462200000000003</v>
      </c>
      <c r="AD4726">
        <v>0.76395999999999897</v>
      </c>
      <c r="AE4726">
        <v>22.913989999999998</v>
      </c>
      <c r="AF4726">
        <v>-20.962003836668</v>
      </c>
      <c r="AG4726">
        <v>0.76395999999999897</v>
      </c>
      <c r="AH4726">
        <v>58.192634919877499</v>
      </c>
      <c r="AI4726">
        <v>89.292362729481795</v>
      </c>
      <c r="AJ4726">
        <v>109.809906242042</v>
      </c>
      <c r="AK4726">
        <v>61.857675341449998</v>
      </c>
      <c r="AL4726">
        <v>88.473326313805302</v>
      </c>
      <c r="AM4726">
        <v>104.97372814504</v>
      </c>
      <c r="AN4726">
        <v>1.00000001606671</v>
      </c>
    </row>
    <row r="4727" spans="1:40" x14ac:dyDescent="0.25">
      <c r="A4727" t="str">
        <f>"20190305135724473"</f>
        <v>20190305135724473</v>
      </c>
      <c r="B4727" t="str">
        <f>"1551765444467049"</f>
        <v>1551765444467049</v>
      </c>
      <c r="C4727" t="s">
        <v>40</v>
      </c>
      <c r="D4727">
        <v>4.3560879999999997</v>
      </c>
      <c r="E4727">
        <v>0.45827250000000003</v>
      </c>
      <c r="F4727" t="s">
        <v>50</v>
      </c>
      <c r="G4727">
        <v>-177.54740000000001</v>
      </c>
      <c r="H4727">
        <v>1.7302550000000001</v>
      </c>
      <c r="I4727">
        <v>-46.198740000000001</v>
      </c>
      <c r="J4727">
        <v>-214.62739999999999</v>
      </c>
      <c r="K4727">
        <v>1.110687</v>
      </c>
      <c r="L4727">
        <v>-61.97766</v>
      </c>
      <c r="M4727">
        <v>0.99930560000000002</v>
      </c>
      <c r="N4727">
        <v>-1.4673530000000001E-2</v>
      </c>
      <c r="O4727">
        <v>3.4249290000000002E-2</v>
      </c>
      <c r="P4727">
        <v>0.95633009999999996</v>
      </c>
      <c r="Q4727">
        <v>1.4875380000000001E-2</v>
      </c>
      <c r="R4727">
        <v>0.29191060000000002</v>
      </c>
      <c r="S4727">
        <v>2.7775880000000002</v>
      </c>
      <c r="T4727">
        <v>4.6183229999999999E-2</v>
      </c>
      <c r="U4727">
        <v>1.1766049999999999</v>
      </c>
      <c r="V4727">
        <v>-0.25904880000000002</v>
      </c>
      <c r="W4727">
        <v>2.8448379999999999E-2</v>
      </c>
      <c r="X4727">
        <v>0.9654452</v>
      </c>
      <c r="Y4727">
        <v>-0.35829759999999899</v>
      </c>
      <c r="Z4727">
        <v>9.0928890000000005E-4</v>
      </c>
      <c r="AA4727">
        <v>0.93360699999999996</v>
      </c>
      <c r="AB4727">
        <v>35</v>
      </c>
      <c r="AC4727">
        <v>37.079999999999899</v>
      </c>
      <c r="AD4727">
        <v>0.61956799999999901</v>
      </c>
      <c r="AE4727">
        <v>15.778919999999999</v>
      </c>
      <c r="AF4727">
        <v>-14.4961337777483</v>
      </c>
      <c r="AG4727">
        <v>0.61956799999999901</v>
      </c>
      <c r="AH4727">
        <v>37.589830605943597</v>
      </c>
      <c r="AI4727">
        <v>89.118950538695998</v>
      </c>
      <c r="AJ4727">
        <v>111.088623099703</v>
      </c>
      <c r="AK4727">
        <v>40.292891730335498</v>
      </c>
      <c r="AL4727">
        <v>88.369807973665601</v>
      </c>
      <c r="AM4727">
        <v>105.019850790582</v>
      </c>
      <c r="AN4727">
        <v>1.0000000126545501</v>
      </c>
    </row>
    <row r="4728" spans="1:40" x14ac:dyDescent="0.25">
      <c r="A4728" t="str">
        <f>"20190305135724485"</f>
        <v>20190305135724485</v>
      </c>
      <c r="B4728" t="str">
        <f>"1551765444477784"</f>
        <v>1551765444477784</v>
      </c>
      <c r="C4728" t="s">
        <v>40</v>
      </c>
      <c r="D4728">
        <v>4.3504259999999997</v>
      </c>
      <c r="E4728">
        <v>0.45707540000000002</v>
      </c>
      <c r="F4728" t="s">
        <v>69</v>
      </c>
      <c r="G4728">
        <v>-157.9383</v>
      </c>
      <c r="H4728">
        <v>2.178674</v>
      </c>
      <c r="I4728">
        <v>-37.541580000000003</v>
      </c>
      <c r="J4728">
        <v>-214.41059999999999</v>
      </c>
      <c r="K4728">
        <v>1.1107499999999999</v>
      </c>
      <c r="L4728">
        <v>-61.96951</v>
      </c>
      <c r="M4728">
        <v>0.99928079999999997</v>
      </c>
      <c r="N4728">
        <v>-1.46897E-2</v>
      </c>
      <c r="O4728">
        <v>3.4960270000000002E-2</v>
      </c>
      <c r="P4728">
        <v>0.95601270000000005</v>
      </c>
      <c r="Q4728">
        <v>1.6478530000000002E-2</v>
      </c>
      <c r="R4728">
        <v>0.29286190000000001</v>
      </c>
      <c r="S4728">
        <v>2.771515</v>
      </c>
      <c r="T4728">
        <v>5.2212479999999999E-2</v>
      </c>
      <c r="U4728">
        <v>1.194672</v>
      </c>
      <c r="V4728">
        <v>-0.25933</v>
      </c>
      <c r="W4728">
        <v>3.0036050000000002E-2</v>
      </c>
      <c r="X4728">
        <v>0.9653216</v>
      </c>
      <c r="Y4728">
        <v>-0.36350280000000001</v>
      </c>
      <c r="Z4728">
        <v>6.2775150000000002E-4</v>
      </c>
      <c r="AA4728">
        <v>0.93159289999999995</v>
      </c>
      <c r="AB4728">
        <v>35</v>
      </c>
      <c r="AC4728">
        <v>56.472299999999898</v>
      </c>
      <c r="AD4728">
        <v>1.0679239999999901</v>
      </c>
      <c r="AE4728">
        <v>24.42793</v>
      </c>
      <c r="AF4728">
        <v>-22.431736857296499</v>
      </c>
      <c r="AG4728">
        <v>1.0679239999999901</v>
      </c>
      <c r="AH4728">
        <v>57.274616715060603</v>
      </c>
      <c r="AI4728">
        <v>89.005353460733502</v>
      </c>
      <c r="AJ4728">
        <v>111.387910445633</v>
      </c>
      <c r="AK4728">
        <v>61.519956111508002</v>
      </c>
      <c r="AL4728">
        <v>88.278802239025595</v>
      </c>
      <c r="AM4728">
        <v>105.03725504609</v>
      </c>
      <c r="AN4728">
        <v>1.0000000023130799</v>
      </c>
    </row>
    <row r="4729" spans="1:40" x14ac:dyDescent="0.25">
      <c r="A4729" t="str">
        <f>"20190305135724499"</f>
        <v>20190305135724499</v>
      </c>
      <c r="B4729" t="str">
        <f>"1551765444487544"</f>
        <v>1551765444487544</v>
      </c>
      <c r="C4729" t="s">
        <v>40</v>
      </c>
      <c r="D4729">
        <v>4.3660550000000002</v>
      </c>
      <c r="E4729">
        <v>0.4562678</v>
      </c>
      <c r="F4729" t="s">
        <v>69</v>
      </c>
      <c r="G4729">
        <v>-157.93819999999999</v>
      </c>
      <c r="H4729">
        <v>2.2745519999999999</v>
      </c>
      <c r="I4729">
        <v>-37.345730000000003</v>
      </c>
      <c r="J4729">
        <v>-214.20949999999999</v>
      </c>
      <c r="K4729">
        <v>1.1108070000000001</v>
      </c>
      <c r="L4729">
        <v>-61.961790000000001</v>
      </c>
      <c r="M4729">
        <v>0.99925589999999997</v>
      </c>
      <c r="N4729">
        <v>-1.470958E-2</v>
      </c>
      <c r="O4729">
        <v>3.5659679999999999E-2</v>
      </c>
      <c r="P4729">
        <v>0.95559229999999995</v>
      </c>
      <c r="Q4729">
        <v>1.6973080000000001E-2</v>
      </c>
      <c r="R4729">
        <v>0.29420289999999999</v>
      </c>
      <c r="S4729">
        <v>2.7673800000000002</v>
      </c>
      <c r="T4729">
        <v>5.7030079999999997E-2</v>
      </c>
      <c r="U4729">
        <v>1.2066650000000001</v>
      </c>
      <c r="V4729">
        <v>-0.26001380000000002</v>
      </c>
      <c r="W4729">
        <v>3.0517909999999999E-2</v>
      </c>
      <c r="X4729">
        <v>0.96512249999999999</v>
      </c>
      <c r="Y4729">
        <v>-0.36674830000000003</v>
      </c>
      <c r="Z4729">
        <v>4.0476489999999998E-4</v>
      </c>
      <c r="AA4729">
        <v>0.93032009999999998</v>
      </c>
      <c r="AB4729">
        <v>35</v>
      </c>
      <c r="AC4729">
        <v>56.271299999999997</v>
      </c>
      <c r="AD4729">
        <v>1.163745</v>
      </c>
      <c r="AE4729">
        <v>24.616060000000001</v>
      </c>
      <c r="AF4729">
        <v>-22.585459030581401</v>
      </c>
      <c r="AG4729">
        <v>1.163745</v>
      </c>
      <c r="AH4729">
        <v>57.092902422588899</v>
      </c>
      <c r="AI4729">
        <v>88.914137279045406</v>
      </c>
      <c r="AJ4729">
        <v>111.583323525105</v>
      </c>
      <c r="AK4729">
        <v>61.408930694829301</v>
      </c>
      <c r="AL4729">
        <v>88.251180991599696</v>
      </c>
      <c r="AM4729">
        <v>105.078070992747</v>
      </c>
      <c r="AN4729">
        <v>0.99999997951372799</v>
      </c>
    </row>
    <row r="4730" spans="1:40" x14ac:dyDescent="0.25">
      <c r="A4730" t="str">
        <f>"20190305135724514"</f>
        <v>20190305135724514</v>
      </c>
      <c r="B4730" t="str">
        <f>"1551765444507065"</f>
        <v>1551765444507065</v>
      </c>
      <c r="C4730" t="s">
        <v>40</v>
      </c>
      <c r="D4730">
        <v>4.2284449999999998</v>
      </c>
      <c r="E4730">
        <v>0.45511069999999998</v>
      </c>
      <c r="F4730" t="s">
        <v>69</v>
      </c>
      <c r="G4730">
        <v>-165.72890000000001</v>
      </c>
      <c r="H4730">
        <v>2.1224470000000002</v>
      </c>
      <c r="I4730">
        <v>-40.619770000000003</v>
      </c>
      <c r="J4730">
        <v>-213.9862</v>
      </c>
      <c r="K4730">
        <v>1.110867</v>
      </c>
      <c r="L4730">
        <v>-61.953029999999998</v>
      </c>
      <c r="M4730">
        <v>0.99922630000000001</v>
      </c>
      <c r="N4730">
        <v>-1.473405E-2</v>
      </c>
      <c r="O4730">
        <v>3.6466369999999998E-2</v>
      </c>
      <c r="P4730">
        <v>0.95517240000000003</v>
      </c>
      <c r="Q4730">
        <v>1.7383969999999999E-2</v>
      </c>
      <c r="R4730">
        <v>0.29553990000000002</v>
      </c>
      <c r="S4730">
        <v>2.7638090000000002</v>
      </c>
      <c r="T4730">
        <v>5.7670829999999999E-2</v>
      </c>
      <c r="U4730">
        <v>1.216675</v>
      </c>
      <c r="V4730">
        <v>-0.2605904</v>
      </c>
      <c r="W4730">
        <v>3.0919700000000001E-2</v>
      </c>
      <c r="X4730">
        <v>0.96495419999999998</v>
      </c>
      <c r="Y4730">
        <v>-0.36926209999999998</v>
      </c>
      <c r="Z4730">
        <v>3.9950199999999998E-4</v>
      </c>
      <c r="AA4730">
        <v>0.92932519999999996</v>
      </c>
      <c r="AB4730">
        <v>35</v>
      </c>
      <c r="AC4730">
        <v>48.257300000000001</v>
      </c>
      <c r="AD4730">
        <v>1.0115799999999999</v>
      </c>
      <c r="AE4730">
        <v>21.333259999999999</v>
      </c>
      <c r="AF4730">
        <v>-19.551921352948501</v>
      </c>
      <c r="AG4730">
        <v>1.0115799999999999</v>
      </c>
      <c r="AH4730">
        <v>48.985221206038297</v>
      </c>
      <c r="AI4730">
        <v>88.901236137342806</v>
      </c>
      <c r="AJ4730">
        <v>111.75887879338001</v>
      </c>
      <c r="AK4730">
        <v>52.752751769863103</v>
      </c>
      <c r="AL4730">
        <v>88.228149279942699</v>
      </c>
      <c r="AM4730">
        <v>105.112495270473</v>
      </c>
      <c r="AN4730">
        <v>0.99999999625894398</v>
      </c>
    </row>
    <row r="4731" spans="1:40" x14ac:dyDescent="0.25">
      <c r="A4731" t="str">
        <f>"20190305135724526"</f>
        <v>20190305135724526</v>
      </c>
      <c r="B4731" t="str">
        <f>"1551765444517800"</f>
        <v>1551765444517800</v>
      </c>
      <c r="C4731" t="s">
        <v>40</v>
      </c>
      <c r="D4731">
        <v>4.3463589999999996</v>
      </c>
      <c r="E4731">
        <v>0.45476739999999999</v>
      </c>
      <c r="F4731" t="s">
        <v>69</v>
      </c>
      <c r="G4731">
        <v>-166.07509999999999</v>
      </c>
      <c r="H4731">
        <v>1.912013</v>
      </c>
      <c r="I4731">
        <v>-40.619770000000003</v>
      </c>
      <c r="J4731">
        <v>-213.78280000000001</v>
      </c>
      <c r="K4731">
        <v>1.110935</v>
      </c>
      <c r="L4731">
        <v>-61.944850000000002</v>
      </c>
      <c r="M4731">
        <v>0.99919769999999997</v>
      </c>
      <c r="N4731">
        <v>-1.4757569999999999E-2</v>
      </c>
      <c r="O4731">
        <v>3.7233620000000002E-2</v>
      </c>
      <c r="P4731">
        <v>0.9543817</v>
      </c>
      <c r="Q4731">
        <v>1.7859280000000002E-2</v>
      </c>
      <c r="R4731">
        <v>0.29805490000000001</v>
      </c>
      <c r="S4731">
        <v>2.759735</v>
      </c>
      <c r="T4731">
        <v>4.6145800000000001E-2</v>
      </c>
      <c r="U4731">
        <v>1.2288209999999999</v>
      </c>
      <c r="V4731">
        <v>-0.26239590000000002</v>
      </c>
      <c r="W4731">
        <v>3.1380570000000003E-2</v>
      </c>
      <c r="X4731">
        <v>0.96444989999999997</v>
      </c>
      <c r="Y4731">
        <v>-0.37248039999999999</v>
      </c>
      <c r="Z4731">
        <v>1.0185529999999999E-3</v>
      </c>
      <c r="AA4731">
        <v>0.92803950000000002</v>
      </c>
      <c r="AB4731">
        <v>35</v>
      </c>
      <c r="AC4731">
        <v>47.707700000000003</v>
      </c>
      <c r="AD4731">
        <v>0.80107799999999996</v>
      </c>
      <c r="AE4731">
        <v>21.32508</v>
      </c>
      <c r="AF4731">
        <v>-19.5291767422842</v>
      </c>
      <c r="AG4731">
        <v>0.80107799999999996</v>
      </c>
      <c r="AH4731">
        <v>48.457320730826197</v>
      </c>
      <c r="AI4731">
        <v>89.121540381706396</v>
      </c>
      <c r="AJ4731">
        <v>111.95032632068001</v>
      </c>
      <c r="AK4731">
        <v>52.2507646126219</v>
      </c>
      <c r="AL4731">
        <v>88.201730522202396</v>
      </c>
      <c r="AM4731">
        <v>105.219951305344</v>
      </c>
      <c r="AN4731">
        <v>0.99999997906017202</v>
      </c>
    </row>
    <row r="4732" spans="1:40" x14ac:dyDescent="0.25">
      <c r="A4732" t="str">
        <f>"20190305135724539"</f>
        <v>20190305135724539</v>
      </c>
      <c r="B4732" t="str">
        <f>"1551765444527562"</f>
        <v>1551765444527562</v>
      </c>
      <c r="C4732" t="s">
        <v>40</v>
      </c>
      <c r="D4732">
        <v>4.3436029999999999</v>
      </c>
      <c r="E4732">
        <v>0.45450180000000001</v>
      </c>
      <c r="F4732" t="s">
        <v>69</v>
      </c>
      <c r="G4732">
        <v>-166.34229999999999</v>
      </c>
      <c r="H4732">
        <v>1.922463</v>
      </c>
      <c r="I4732">
        <v>-40.619770000000003</v>
      </c>
      <c r="J4732">
        <v>-213.60679999999999</v>
      </c>
      <c r="K4732">
        <v>1.1109770000000001</v>
      </c>
      <c r="L4732">
        <v>-61.93759</v>
      </c>
      <c r="M4732">
        <v>0.99917149999999999</v>
      </c>
      <c r="N4732">
        <v>-1.47807999999999E-2</v>
      </c>
      <c r="O4732">
        <v>3.7921160000000002E-2</v>
      </c>
      <c r="P4732">
        <v>0.95368739999999996</v>
      </c>
      <c r="Q4732">
        <v>1.8680660000000002E-2</v>
      </c>
      <c r="R4732">
        <v>0.30021949999999997</v>
      </c>
      <c r="S4732">
        <v>2.7556759999999998</v>
      </c>
      <c r="T4732">
        <v>4.7137980000000003E-2</v>
      </c>
      <c r="U4732">
        <v>1.2387079999999999</v>
      </c>
      <c r="V4732">
        <v>-0.26392559999999998</v>
      </c>
      <c r="W4732">
        <v>3.2196509999999998E-2</v>
      </c>
      <c r="X4732">
        <v>0.96400549999999996</v>
      </c>
      <c r="Y4732">
        <v>-0.37512180000000001</v>
      </c>
      <c r="Z4732">
        <v>9.92686E-4</v>
      </c>
      <c r="AA4732">
        <v>0.92697499999999999</v>
      </c>
      <c r="AB4732">
        <v>35</v>
      </c>
      <c r="AC4732">
        <v>47.264499999999998</v>
      </c>
      <c r="AD4732">
        <v>0.81148599999999904</v>
      </c>
      <c r="AE4732">
        <v>21.317820000000001</v>
      </c>
      <c r="AF4732">
        <v>-19.505185415851798</v>
      </c>
      <c r="AG4732">
        <v>0.81148599999999904</v>
      </c>
      <c r="AH4732">
        <v>48.027217454062701</v>
      </c>
      <c r="AI4732">
        <v>89.103130956470196</v>
      </c>
      <c r="AJ4732">
        <v>112.103435564886</v>
      </c>
      <c r="AK4732">
        <v>51.843267489759697</v>
      </c>
      <c r="AL4732">
        <v>88.154956947781201</v>
      </c>
      <c r="AM4732">
        <v>105.31125436788901</v>
      </c>
      <c r="AN4732">
        <v>0.99999997081089398</v>
      </c>
    </row>
    <row r="4733" spans="1:40" x14ac:dyDescent="0.25">
      <c r="A4733" t="str">
        <f>"20190305135724550"</f>
        <v>20190305135724550</v>
      </c>
      <c r="B4733" t="str">
        <f>"1551765444547080"</f>
        <v>1551765444547080</v>
      </c>
      <c r="C4733" t="s">
        <v>40</v>
      </c>
      <c r="D4733">
        <v>4.2997170000000002</v>
      </c>
      <c r="E4733">
        <v>0.45405519999999999</v>
      </c>
      <c r="F4733" t="s">
        <v>69</v>
      </c>
      <c r="G4733">
        <v>-166.56010000000001</v>
      </c>
      <c r="H4733">
        <v>1.96943</v>
      </c>
      <c r="I4733">
        <v>-40.619770000000003</v>
      </c>
      <c r="J4733">
        <v>-213.42789999999999</v>
      </c>
      <c r="K4733">
        <v>1.111019</v>
      </c>
      <c r="L4733">
        <v>-61.93018</v>
      </c>
      <c r="M4733">
        <v>0.99914400000000003</v>
      </c>
      <c r="N4733">
        <v>-1.480535E-2</v>
      </c>
      <c r="O4733">
        <v>3.862749E-2</v>
      </c>
      <c r="P4733">
        <v>0.95302810000000004</v>
      </c>
      <c r="Q4733">
        <v>1.9562099999999999E-2</v>
      </c>
      <c r="R4733">
        <v>0.30224970000000001</v>
      </c>
      <c r="S4733">
        <v>2.7521209999999998</v>
      </c>
      <c r="T4733">
        <v>5.0216200000000003E-2</v>
      </c>
      <c r="U4733">
        <v>1.2470399999999999</v>
      </c>
      <c r="V4733">
        <v>-0.2653027</v>
      </c>
      <c r="W4733">
        <v>3.3074359999999997E-2</v>
      </c>
      <c r="X4733">
        <v>0.9635977</v>
      </c>
      <c r="Y4733">
        <v>-0.37724239999999998</v>
      </c>
      <c r="Z4733">
        <v>8.5908689999999999E-4</v>
      </c>
      <c r="AA4733">
        <v>0.9261142</v>
      </c>
      <c r="AB4733">
        <v>35</v>
      </c>
      <c r="AC4733">
        <v>46.867799999999903</v>
      </c>
      <c r="AD4733">
        <v>0.85841100000000004</v>
      </c>
      <c r="AE4733">
        <v>21.310410000000001</v>
      </c>
      <c r="AF4733">
        <v>-19.478503424969801</v>
      </c>
      <c r="AG4733">
        <v>0.85841100000000004</v>
      </c>
      <c r="AH4733">
        <v>47.642827696690198</v>
      </c>
      <c r="AI4733">
        <v>89.044532141075507</v>
      </c>
      <c r="AJ4733">
        <v>112.23692365294001</v>
      </c>
      <c r="AK4733">
        <v>51.478034112211297</v>
      </c>
      <c r="AL4733">
        <v>88.104633058830998</v>
      </c>
      <c r="AM4733">
        <v>105.393570747515</v>
      </c>
      <c r="AN4733">
        <v>0.99999998168099402</v>
      </c>
    </row>
    <row r="4734" spans="1:40" x14ac:dyDescent="0.25">
      <c r="A4734" t="str">
        <f>"20190305135724561"</f>
        <v>20190305135724561</v>
      </c>
      <c r="B4734" t="str">
        <f>"1551765444556841"</f>
        <v>1551765444556841</v>
      </c>
      <c r="C4734" t="s">
        <v>40</v>
      </c>
      <c r="D4734">
        <v>4.3092280000000001</v>
      </c>
      <c r="E4734">
        <v>0.45395780000000002</v>
      </c>
      <c r="F4734" t="s">
        <v>69</v>
      </c>
      <c r="G4734">
        <v>-166.81440000000001</v>
      </c>
      <c r="H4734">
        <v>2.0213640000000002</v>
      </c>
      <c r="I4734">
        <v>-40.619770000000003</v>
      </c>
      <c r="J4734">
        <v>-213.25550000000001</v>
      </c>
      <c r="K4734">
        <v>1.1110530000000001</v>
      </c>
      <c r="L4734">
        <v>-61.922789999999999</v>
      </c>
      <c r="M4734">
        <v>0.99911640000000002</v>
      </c>
      <c r="N4734">
        <v>-1.4831520000000001E-2</v>
      </c>
      <c r="O4734">
        <v>3.9327979999999998E-2</v>
      </c>
      <c r="P4734">
        <v>0.952102</v>
      </c>
      <c r="Q4734">
        <v>2.1263810000000001E-2</v>
      </c>
      <c r="R4734">
        <v>0.3050409</v>
      </c>
      <c r="S4734">
        <v>2.748291</v>
      </c>
      <c r="T4734">
        <v>5.3671839999999998E-2</v>
      </c>
      <c r="U4734">
        <v>1.2564390000000001</v>
      </c>
      <c r="V4734">
        <v>-0.267459</v>
      </c>
      <c r="W4734">
        <v>3.4772839999999999E-2</v>
      </c>
      <c r="X4734">
        <v>0.96294159999999995</v>
      </c>
      <c r="Y4734">
        <v>-0.37969770000000003</v>
      </c>
      <c r="Z4734">
        <v>7.0480539999999902E-4</v>
      </c>
      <c r="AA4734">
        <v>0.9251104</v>
      </c>
      <c r="AB4734">
        <v>34</v>
      </c>
      <c r="AC4734">
        <v>46.441099999999999</v>
      </c>
      <c r="AD4734">
        <v>0.91031099999999998</v>
      </c>
      <c r="AE4734">
        <v>21.30302</v>
      </c>
      <c r="AF4734">
        <v>-19.453724986444701</v>
      </c>
      <c r="AG4734">
        <v>0.91031099999999998</v>
      </c>
      <c r="AH4734">
        <v>47.228068677759602</v>
      </c>
      <c r="AI4734">
        <v>88.978979225779298</v>
      </c>
      <c r="AJ4734">
        <v>112.387264221181</v>
      </c>
      <c r="AK4734">
        <v>51.085874300007099</v>
      </c>
      <c r="AL4734">
        <v>88.007261293969194</v>
      </c>
      <c r="AM4734">
        <v>105.522742299166</v>
      </c>
      <c r="AN4734">
        <v>0.99999999604661205</v>
      </c>
    </row>
    <row r="4735" spans="1:40" x14ac:dyDescent="0.25">
      <c r="A4735" t="str">
        <f>"20190305135724573"</f>
        <v>20190305135724573</v>
      </c>
      <c r="B4735" t="str">
        <f>"1551765444567577"</f>
        <v>1551765444567577</v>
      </c>
      <c r="C4735" t="s">
        <v>40</v>
      </c>
      <c r="D4735">
        <v>4.2880129999999896</v>
      </c>
      <c r="E4735">
        <v>0.4538759</v>
      </c>
      <c r="F4735" t="s">
        <v>69</v>
      </c>
      <c r="G4735">
        <v>-167.0461</v>
      </c>
      <c r="H4735">
        <v>2.1038899999999998</v>
      </c>
      <c r="I4735">
        <v>-40.619770000000003</v>
      </c>
      <c r="J4735">
        <v>-213.07919999999999</v>
      </c>
      <c r="K4735">
        <v>1.1110869999999999</v>
      </c>
      <c r="L4735">
        <v>-61.91516</v>
      </c>
      <c r="M4735">
        <v>0.99908719999999995</v>
      </c>
      <c r="N4735">
        <v>-1.4858349999999999E-2</v>
      </c>
      <c r="O4735">
        <v>4.004866E-2</v>
      </c>
      <c r="P4735">
        <v>0.95113119999999995</v>
      </c>
      <c r="Q4735">
        <v>2.299209E-2</v>
      </c>
      <c r="R4735">
        <v>0.30793009999999998</v>
      </c>
      <c r="S4735">
        <v>2.744278</v>
      </c>
      <c r="T4735">
        <v>5.8961029999999998E-2</v>
      </c>
      <c r="U4735">
        <v>1.265137</v>
      </c>
      <c r="V4735">
        <v>-0.26969609999999999</v>
      </c>
      <c r="W4735">
        <v>3.6499330000000003E-2</v>
      </c>
      <c r="X4735">
        <v>0.96225349999999998</v>
      </c>
      <c r="Y4735">
        <v>-0.38195709999999999</v>
      </c>
      <c r="Z4735">
        <v>4.5399459999999998E-4</v>
      </c>
      <c r="AA4735">
        <v>0.92418</v>
      </c>
      <c r="AB4735">
        <v>34</v>
      </c>
      <c r="AC4735">
        <v>46.033099999999898</v>
      </c>
      <c r="AD4735">
        <v>0.99280299999999999</v>
      </c>
      <c r="AE4735">
        <v>21.295390000000001</v>
      </c>
      <c r="AF4735">
        <v>-19.427090576862099</v>
      </c>
      <c r="AG4735">
        <v>0.99280299999999999</v>
      </c>
      <c r="AH4735">
        <v>46.831163762608099</v>
      </c>
      <c r="AI4735">
        <v>88.878199787762497</v>
      </c>
      <c r="AJ4735">
        <v>112.53026443955299</v>
      </c>
      <c r="AK4735">
        <v>50.7105058684947</v>
      </c>
      <c r="AL4735">
        <v>87.908277813140799</v>
      </c>
      <c r="AM4735">
        <v>105.656883881721</v>
      </c>
      <c r="AN4735">
        <v>0.99999999285395402</v>
      </c>
    </row>
    <row r="4736" spans="1:40" x14ac:dyDescent="0.25">
      <c r="A4736" t="str">
        <f>"20190305135724584"</f>
        <v>20190305135724584</v>
      </c>
      <c r="B4736" t="str">
        <f>"1551765444577336"</f>
        <v>1551765444577336</v>
      </c>
      <c r="C4736" t="s">
        <v>40</v>
      </c>
      <c r="D4736">
        <v>4.3152780000000002</v>
      </c>
      <c r="E4736">
        <v>0.45372509999999999</v>
      </c>
      <c r="F4736" t="s">
        <v>69</v>
      </c>
      <c r="G4736">
        <v>-167.2841</v>
      </c>
      <c r="H4736">
        <v>2.1852140000000002</v>
      </c>
      <c r="I4736">
        <v>-40.619770000000003</v>
      </c>
      <c r="J4736">
        <v>-212.89859999999999</v>
      </c>
      <c r="K4736">
        <v>1.111116</v>
      </c>
      <c r="L4736">
        <v>-61.907200000000003</v>
      </c>
      <c r="M4736">
        <v>0.99905670000000002</v>
      </c>
      <c r="N4736">
        <v>-1.488605E-2</v>
      </c>
      <c r="O4736">
        <v>4.0796390000000002E-2</v>
      </c>
      <c r="P4736">
        <v>0.95015039999999995</v>
      </c>
      <c r="Q4736">
        <v>2.4690409999999999E-2</v>
      </c>
      <c r="R4736">
        <v>0.31081370000000003</v>
      </c>
      <c r="S4736">
        <v>2.7400669999999998</v>
      </c>
      <c r="T4736">
        <v>6.4267279999999996E-2</v>
      </c>
      <c r="U4736">
        <v>1.27417</v>
      </c>
      <c r="V4736">
        <v>-0.27190310000000001</v>
      </c>
      <c r="W4736">
        <v>3.8198059999999999E-2</v>
      </c>
      <c r="X4736">
        <v>0.96156620000000004</v>
      </c>
      <c r="Y4736">
        <v>-0.3843067</v>
      </c>
      <c r="Z4736">
        <v>2.013552E-4</v>
      </c>
      <c r="AA4736">
        <v>0.92320539999999995</v>
      </c>
      <c r="AB4736">
        <v>34</v>
      </c>
      <c r="AC4736">
        <v>45.6144999999999</v>
      </c>
      <c r="AD4736">
        <v>1.07409799999999</v>
      </c>
      <c r="AE4736">
        <v>21.287430000000001</v>
      </c>
      <c r="AF4736">
        <v>-19.399758000897901</v>
      </c>
      <c r="AG4736">
        <v>1.07409799999999</v>
      </c>
      <c r="AH4736">
        <v>46.423925702595199</v>
      </c>
      <c r="AI4736">
        <v>88.777049403200706</v>
      </c>
      <c r="AJ4736">
        <v>112.679208857752</v>
      </c>
      <c r="AK4736">
        <v>50.325790352930198</v>
      </c>
      <c r="AL4736">
        <v>87.810879740904099</v>
      </c>
      <c r="AM4736">
        <v>105.789368046325</v>
      </c>
      <c r="AN4736">
        <v>0.999999972279906</v>
      </c>
    </row>
    <row r="4737" spans="1:40" x14ac:dyDescent="0.25">
      <c r="A4737" t="str">
        <f>"20190305135724595"</f>
        <v>20190305135724595</v>
      </c>
      <c r="B4737" t="str">
        <f>"1551765444587097"</f>
        <v>1551765444587097</v>
      </c>
      <c r="C4737" t="s">
        <v>40</v>
      </c>
      <c r="D4737">
        <v>4.2718099999999897</v>
      </c>
      <c r="E4737">
        <v>0.45365090000000002</v>
      </c>
      <c r="F4737" t="s">
        <v>69</v>
      </c>
      <c r="G4737">
        <v>-167.52529999999999</v>
      </c>
      <c r="H4737">
        <v>2.2527210000000002</v>
      </c>
      <c r="I4737">
        <v>-40.619770000000003</v>
      </c>
      <c r="J4737">
        <v>-212.7346</v>
      </c>
      <c r="K4737">
        <v>1.1111340000000001</v>
      </c>
      <c r="L4737">
        <v>-61.899839999999998</v>
      </c>
      <c r="M4737">
        <v>0.99902820000000003</v>
      </c>
      <c r="N4737">
        <v>-1.49063999999999E-2</v>
      </c>
      <c r="O4737">
        <v>4.1478660000000001E-2</v>
      </c>
      <c r="P4737">
        <v>0.94917059999999998</v>
      </c>
      <c r="Q4737">
        <v>2.5403889999999998E-2</v>
      </c>
      <c r="R4737">
        <v>0.31373499999999999</v>
      </c>
      <c r="S4737">
        <v>2.7357480000000001</v>
      </c>
      <c r="T4737">
        <v>6.8830970000000005E-2</v>
      </c>
      <c r="U4737">
        <v>1.2835080000000001</v>
      </c>
      <c r="V4737">
        <v>-0.27420840000000002</v>
      </c>
      <c r="W4737">
        <v>3.8907549999999999E-2</v>
      </c>
      <c r="X4737">
        <v>0.96088289999999998</v>
      </c>
      <c r="Y4737">
        <v>-0.3868123</v>
      </c>
      <c r="Z4737" s="1">
        <v>-1.8868600000000001E-5</v>
      </c>
      <c r="AA4737">
        <v>0.92215849999999999</v>
      </c>
      <c r="AB4737">
        <v>34</v>
      </c>
      <c r="AC4737">
        <v>45.209299999999999</v>
      </c>
      <c r="AD4737">
        <v>1.1415869999999899</v>
      </c>
      <c r="AE4737">
        <v>21.280069999999998</v>
      </c>
      <c r="AF4737">
        <v>-19.3762087030251</v>
      </c>
      <c r="AG4737">
        <v>1.1415869999999899</v>
      </c>
      <c r="AH4737">
        <v>46.029124688098001</v>
      </c>
      <c r="AI4737">
        <v>88.690524002114699</v>
      </c>
      <c r="AJ4737">
        <v>112.82892208967201</v>
      </c>
      <c r="AK4737">
        <v>49.954189054915403</v>
      </c>
      <c r="AL4737">
        <v>87.7701987650414</v>
      </c>
      <c r="AM4737">
        <v>105.92722563567099</v>
      </c>
      <c r="AN4737">
        <v>0.999999995794986</v>
      </c>
    </row>
    <row r="4738" spans="1:40" x14ac:dyDescent="0.25">
      <c r="A4738" t="str">
        <f>"20190305135724606"</f>
        <v>20190305135724606</v>
      </c>
      <c r="B4738" t="str">
        <f>"1551765444596856"</f>
        <v>1551765444596856</v>
      </c>
      <c r="C4738" t="s">
        <v>40</v>
      </c>
      <c r="D4738">
        <v>4.2804080000000004</v>
      </c>
      <c r="E4738">
        <v>0.45366899999999899</v>
      </c>
      <c r="F4738" t="s">
        <v>69</v>
      </c>
      <c r="G4738">
        <v>-167.7645</v>
      </c>
      <c r="H4738">
        <v>2.2682600000000002</v>
      </c>
      <c r="I4738">
        <v>-40.619770000000003</v>
      </c>
      <c r="J4738">
        <v>-212.55879999999999</v>
      </c>
      <c r="K4738">
        <v>1.1111439999999999</v>
      </c>
      <c r="L4738">
        <v>-61.89188</v>
      </c>
      <c r="M4738">
        <v>0.99899720000000003</v>
      </c>
      <c r="N4738">
        <v>-1.4923769999999999E-2</v>
      </c>
      <c r="O4738">
        <v>4.2213149999999998E-2</v>
      </c>
      <c r="P4738">
        <v>0.94805249999999996</v>
      </c>
      <c r="Q4738">
        <v>2.5992560000000001E-2</v>
      </c>
      <c r="R4738">
        <v>0.31705080000000002</v>
      </c>
      <c r="S4738">
        <v>2.7315369999999999</v>
      </c>
      <c r="T4738">
        <v>7.0283650000000003E-2</v>
      </c>
      <c r="U4738">
        <v>1.2925719999999901</v>
      </c>
      <c r="V4738">
        <v>-0.27686450000000001</v>
      </c>
      <c r="W4738">
        <v>3.9487889999999998E-2</v>
      </c>
      <c r="X4738">
        <v>0.96009730000000004</v>
      </c>
      <c r="Y4738">
        <v>-0.3891811</v>
      </c>
      <c r="Z4738" s="1">
        <v>-7.4309759999999995E-5</v>
      </c>
      <c r="AA4738">
        <v>0.92116120000000001</v>
      </c>
      <c r="AB4738">
        <v>34</v>
      </c>
      <c r="AC4738">
        <v>44.7942999999999</v>
      </c>
      <c r="AD4738">
        <v>1.15711599999999</v>
      </c>
      <c r="AE4738">
        <v>21.272110000000001</v>
      </c>
      <c r="AF4738">
        <v>-19.3514886807788</v>
      </c>
      <c r="AG4738">
        <v>1.15711599999999</v>
      </c>
      <c r="AH4738">
        <v>45.627581711046098</v>
      </c>
      <c r="AI4738">
        <v>88.662557999590007</v>
      </c>
      <c r="AJ4738">
        <v>112.982685548239</v>
      </c>
      <c r="AK4738">
        <v>49.575147447062101</v>
      </c>
      <c r="AL4738">
        <v>87.736922246905195</v>
      </c>
      <c r="AM4738">
        <v>106.086042762465</v>
      </c>
      <c r="AN4738">
        <v>1.0000000351420899</v>
      </c>
    </row>
    <row r="4739" spans="1:40" x14ac:dyDescent="0.25">
      <c r="A4739" t="str">
        <f>"20190305135724618"</f>
        <v>20190305135724618</v>
      </c>
      <c r="B4739" t="str">
        <f>"1551765444607593"</f>
        <v>1551765444607593</v>
      </c>
      <c r="C4739" t="s">
        <v>40</v>
      </c>
      <c r="D4739">
        <v>4.2749199999999998</v>
      </c>
      <c r="E4739">
        <v>0.45364070000000001</v>
      </c>
      <c r="F4739" t="s">
        <v>69</v>
      </c>
      <c r="G4739">
        <v>-168.0017</v>
      </c>
      <c r="H4739">
        <v>2.2868949999999999</v>
      </c>
      <c r="I4739">
        <v>-40.619770000000003</v>
      </c>
      <c r="J4739">
        <v>-212.3878</v>
      </c>
      <c r="K4739">
        <v>1.111146</v>
      </c>
      <c r="L4739">
        <v>-61.88391</v>
      </c>
      <c r="M4739">
        <v>0.99896680000000004</v>
      </c>
      <c r="N4739">
        <v>-1.49339E-2</v>
      </c>
      <c r="O4739">
        <v>4.2925030000000003E-2</v>
      </c>
      <c r="P4739">
        <v>0.9469455</v>
      </c>
      <c r="Q4739">
        <v>2.5683540000000001E-2</v>
      </c>
      <c r="R4739">
        <v>0.320366599999999</v>
      </c>
      <c r="S4739">
        <v>2.72702</v>
      </c>
      <c r="T4739">
        <v>7.1957950000000007E-2</v>
      </c>
      <c r="U4739">
        <v>1.3019099999999999</v>
      </c>
      <c r="V4739">
        <v>-0.27953919999999999</v>
      </c>
      <c r="W4739">
        <v>3.9165800000000001E-2</v>
      </c>
      <c r="X4739">
        <v>0.9593351</v>
      </c>
      <c r="Y4739">
        <v>-0.39168310000000001</v>
      </c>
      <c r="Z4739">
        <v>-1.4553449999999999E-4</v>
      </c>
      <c r="AA4739">
        <v>0.92010020000000003</v>
      </c>
      <c r="AB4739">
        <v>34</v>
      </c>
      <c r="AC4739">
        <v>44.386099999999999</v>
      </c>
      <c r="AD4739">
        <v>1.1757489999999999</v>
      </c>
      <c r="AE4739">
        <v>21.264140000000001</v>
      </c>
      <c r="AF4739">
        <v>-19.328019076591499</v>
      </c>
      <c r="AG4739">
        <v>1.1757489999999999</v>
      </c>
      <c r="AH4739">
        <v>45.2322318182499</v>
      </c>
      <c r="AI4739">
        <v>88.630729305707803</v>
      </c>
      <c r="AJ4739">
        <v>113.13732541599801</v>
      </c>
      <c r="AK4739">
        <v>49.202738769259398</v>
      </c>
      <c r="AL4739">
        <v>87.755390805602005</v>
      </c>
      <c r="AM4739">
        <v>106.245514486887</v>
      </c>
      <c r="AN4739">
        <v>0.99999997915914396</v>
      </c>
    </row>
    <row r="4740" spans="1:40" x14ac:dyDescent="0.25">
      <c r="A4740" t="str">
        <f>"20190305135724631"</f>
        <v>20190305135724631</v>
      </c>
      <c r="B4740" t="str">
        <f>"1551765444617353"</f>
        <v>1551765444617353</v>
      </c>
      <c r="C4740" t="s">
        <v>40</v>
      </c>
      <c r="D4740">
        <v>4.2522099999999998</v>
      </c>
      <c r="E4740">
        <v>0.4537543</v>
      </c>
      <c r="F4740" t="s">
        <v>69</v>
      </c>
      <c r="G4740">
        <v>-168.2527</v>
      </c>
      <c r="H4740">
        <v>2.2527740000000001</v>
      </c>
      <c r="I4740">
        <v>-40.619770000000003</v>
      </c>
      <c r="J4740">
        <v>-212.20910000000001</v>
      </c>
      <c r="K4740">
        <v>1.111143</v>
      </c>
      <c r="L4740">
        <v>-61.875610000000002</v>
      </c>
      <c r="M4740">
        <v>0.9989344</v>
      </c>
      <c r="N4740">
        <v>-1.494211E-2</v>
      </c>
      <c r="O4740">
        <v>4.3667839999999999E-2</v>
      </c>
      <c r="P4740">
        <v>0.94594710000000004</v>
      </c>
      <c r="Q4740">
        <v>2.514373E-2</v>
      </c>
      <c r="R4740">
        <v>0.32334489999999999</v>
      </c>
      <c r="S4740">
        <v>2.7224119999999998</v>
      </c>
      <c r="T4740">
        <v>7.0418359999999999E-2</v>
      </c>
      <c r="U4740">
        <v>1.3116460000000001</v>
      </c>
      <c r="V4740">
        <v>-0.28184360000000003</v>
      </c>
      <c r="W4740">
        <v>3.8614990000000002E-2</v>
      </c>
      <c r="X4740">
        <v>0.95868299999999995</v>
      </c>
      <c r="Y4740">
        <v>-0.3942793</v>
      </c>
      <c r="Z4740" s="1">
        <v>-4.5336320000000003E-5</v>
      </c>
      <c r="AA4740">
        <v>0.91899070000000005</v>
      </c>
      <c r="AB4740">
        <v>34</v>
      </c>
      <c r="AC4740">
        <v>43.956400000000002</v>
      </c>
      <c r="AD4740">
        <v>1.1416309999999901</v>
      </c>
      <c r="AE4740">
        <v>21.2558399999999</v>
      </c>
      <c r="AF4740">
        <v>-19.305310126089601</v>
      </c>
      <c r="AG4740">
        <v>1.1416309999999901</v>
      </c>
      <c r="AH4740">
        <v>44.818258883449403</v>
      </c>
      <c r="AI4740">
        <v>88.659843199362896</v>
      </c>
      <c r="AJ4740">
        <v>113.30379412952099</v>
      </c>
      <c r="AK4740">
        <v>48.812648460706797</v>
      </c>
      <c r="AL4740">
        <v>87.786973863873399</v>
      </c>
      <c r="AM4740">
        <v>106.38282992942101</v>
      </c>
      <c r="AN4740">
        <v>1.0000000134013201</v>
      </c>
    </row>
    <row r="4741" spans="1:40" x14ac:dyDescent="0.25">
      <c r="A4741" t="str">
        <f>"20190305135724643"</f>
        <v>20190305135724643</v>
      </c>
      <c r="B4741" t="str">
        <f>"1551765444637849"</f>
        <v>1551765444637849</v>
      </c>
      <c r="C4741" t="s">
        <v>40</v>
      </c>
      <c r="D4741">
        <v>4.2400929999999999</v>
      </c>
      <c r="E4741">
        <v>0.45368520000000001</v>
      </c>
      <c r="F4741" t="s">
        <v>69</v>
      </c>
      <c r="G4741">
        <v>-168.40710000000001</v>
      </c>
      <c r="H4741">
        <v>2.2122850000000001</v>
      </c>
      <c r="I4741">
        <v>-40.619770000000003</v>
      </c>
      <c r="J4741">
        <v>-211.99780000000001</v>
      </c>
      <c r="K4741">
        <v>1.1111359999999999</v>
      </c>
      <c r="L4741">
        <v>-61.865479999999998</v>
      </c>
      <c r="M4741">
        <v>0.99889609999999995</v>
      </c>
      <c r="N4741">
        <v>-1.494611E-2</v>
      </c>
      <c r="O4741">
        <v>4.4535600000000002E-2</v>
      </c>
      <c r="P4741">
        <v>0.94486979999999998</v>
      </c>
      <c r="Q4741">
        <v>2.46672E-2</v>
      </c>
      <c r="R4741">
        <v>0.32651599999999997</v>
      </c>
      <c r="S4741">
        <v>2.7186430000000001</v>
      </c>
      <c r="T4741">
        <v>6.8342799999999995E-2</v>
      </c>
      <c r="U4741">
        <v>1.319275</v>
      </c>
      <c r="V4741">
        <v>-0.28422419999999998</v>
      </c>
      <c r="W4741">
        <v>3.8125159999999998E-2</v>
      </c>
      <c r="X4741">
        <v>0.9579995</v>
      </c>
      <c r="Y4741">
        <v>-0.39607140000000002</v>
      </c>
      <c r="Z4741" s="1">
        <v>9.1372989999999993E-5</v>
      </c>
      <c r="AA4741">
        <v>0.91821969999999997</v>
      </c>
      <c r="AB4741">
        <v>34</v>
      </c>
      <c r="AC4741">
        <v>43.590699999999998</v>
      </c>
      <c r="AD4741">
        <v>1.1011489999999999</v>
      </c>
      <c r="AE4741">
        <v>21.245709999999999</v>
      </c>
      <c r="AF4741">
        <v>-19.2731327357764</v>
      </c>
      <c r="AG4741">
        <v>1.1011489999999999</v>
      </c>
      <c r="AH4741">
        <v>44.470804923891997</v>
      </c>
      <c r="AI4741">
        <v>88.698504426128494</v>
      </c>
      <c r="AJ4741">
        <v>113.43135094056601</v>
      </c>
      <c r="AK4741">
        <v>48.480085242807803</v>
      </c>
      <c r="AL4741">
        <v>87.815059671169806</v>
      </c>
      <c r="AM4741">
        <v>106.524839386426</v>
      </c>
      <c r="AN4741">
        <v>0.99999998284545699</v>
      </c>
    </row>
    <row r="4742" spans="1:40" x14ac:dyDescent="0.25">
      <c r="A4742" t="str">
        <f>"20190305135724655"</f>
        <v>20190305135724655</v>
      </c>
      <c r="B4742" t="str">
        <f>"1551765444647609"</f>
        <v>1551765444647609</v>
      </c>
      <c r="C4742" t="s">
        <v>40</v>
      </c>
      <c r="D4742">
        <v>4.2129349999999999</v>
      </c>
      <c r="E4742">
        <v>0.45378570000000001</v>
      </c>
      <c r="F4742" t="s">
        <v>69</v>
      </c>
      <c r="G4742">
        <v>-168.45060000000001</v>
      </c>
      <c r="H4742">
        <v>2.1759189999999999</v>
      </c>
      <c r="I4742">
        <v>-40.541939999999997</v>
      </c>
      <c r="J4742">
        <v>-211.81569999999999</v>
      </c>
      <c r="K4742">
        <v>1.111116</v>
      </c>
      <c r="L4742">
        <v>-61.856630000000003</v>
      </c>
      <c r="M4742">
        <v>0.99886260000000004</v>
      </c>
      <c r="N4742">
        <v>-1.4948380000000001E-2</v>
      </c>
      <c r="O4742">
        <v>4.5278539999999999E-2</v>
      </c>
      <c r="P4742">
        <v>0.94385459999999999</v>
      </c>
      <c r="Q4742">
        <v>2.4180400000000001E-2</v>
      </c>
      <c r="R4742">
        <v>0.32947520000000002</v>
      </c>
      <c r="S4742">
        <v>2.7140659999999999</v>
      </c>
      <c r="T4742">
        <v>6.6360829999999996E-2</v>
      </c>
      <c r="U4742">
        <v>1.3289789999999999</v>
      </c>
      <c r="V4742">
        <v>-0.28651199999999999</v>
      </c>
      <c r="W4742">
        <v>3.7625319999999997E-2</v>
      </c>
      <c r="X4742">
        <v>0.95733760000000001</v>
      </c>
      <c r="Y4742">
        <v>-0.3986499</v>
      </c>
      <c r="Z4742">
        <v>2.1534829999999999E-4</v>
      </c>
      <c r="AA4742">
        <v>0.91710320000000001</v>
      </c>
      <c r="AB4742">
        <v>34</v>
      </c>
      <c r="AC4742">
        <v>43.365099999999899</v>
      </c>
      <c r="AD4742">
        <v>1.0648029999999999</v>
      </c>
      <c r="AE4742">
        <v>21.314689999999999</v>
      </c>
      <c r="AF4742">
        <v>-19.319715371109801</v>
      </c>
      <c r="AG4742">
        <v>1.0648029999999999</v>
      </c>
      <c r="AH4742">
        <v>44.264325879781801</v>
      </c>
      <c r="AI4742">
        <v>88.737000752233797</v>
      </c>
      <c r="AJ4742">
        <v>113.57946121339199</v>
      </c>
      <c r="AK4742">
        <v>48.308547411829998</v>
      </c>
      <c r="AL4742">
        <v>87.843719071961004</v>
      </c>
      <c r="AM4742">
        <v>106.66139015341</v>
      </c>
      <c r="AN4742">
        <v>1.00000003561143</v>
      </c>
    </row>
    <row r="4743" spans="1:40" x14ac:dyDescent="0.25">
      <c r="A4743" t="str">
        <f>"20190305135724667"</f>
        <v>20190305135724667</v>
      </c>
      <c r="B4743" t="str">
        <f>"1551765444657368"</f>
        <v>1551765444657368</v>
      </c>
      <c r="C4743" t="s">
        <v>40</v>
      </c>
      <c r="D4743">
        <v>4.2289430000000001</v>
      </c>
      <c r="E4743">
        <v>0.45383820000000002</v>
      </c>
      <c r="F4743" t="s">
        <v>69</v>
      </c>
      <c r="G4743">
        <v>-168.45060000000001</v>
      </c>
      <c r="H4743">
        <v>2.144129</v>
      </c>
      <c r="I4743">
        <v>-40.470669999999998</v>
      </c>
      <c r="J4743">
        <v>-211.63489999999999</v>
      </c>
      <c r="K4743">
        <v>1.111103</v>
      </c>
      <c r="L4743">
        <v>-61.847749999999998</v>
      </c>
      <c r="M4743">
        <v>0.99882910000000003</v>
      </c>
      <c r="N4743">
        <v>-1.494945E-2</v>
      </c>
      <c r="O4743">
        <v>4.6011459999999997E-2</v>
      </c>
      <c r="P4743">
        <v>0.94301440000000003</v>
      </c>
      <c r="Q4743">
        <v>2.3408160000000001E-2</v>
      </c>
      <c r="R4743">
        <v>0.3319278</v>
      </c>
      <c r="S4743">
        <v>2.7102360000000001</v>
      </c>
      <c r="T4743">
        <v>6.4559939999999996E-2</v>
      </c>
      <c r="U4743">
        <v>1.336578</v>
      </c>
      <c r="V4743">
        <v>-0.28829480000000002</v>
      </c>
      <c r="W4743">
        <v>3.684337E-2</v>
      </c>
      <c r="X4743">
        <v>0.95683260000000003</v>
      </c>
      <c r="Y4743">
        <v>-0.4005611</v>
      </c>
      <c r="Z4743">
        <v>3.3197970000000001E-4</v>
      </c>
      <c r="AA4743">
        <v>0.91627000000000003</v>
      </c>
      <c r="AB4743">
        <v>34</v>
      </c>
      <c r="AC4743">
        <v>43.184299999999901</v>
      </c>
      <c r="AD4743">
        <v>1.03302599999999</v>
      </c>
      <c r="AE4743">
        <v>21.377079999999999</v>
      </c>
      <c r="AF4743">
        <v>-19.3583428660348</v>
      </c>
      <c r="AG4743">
        <v>1.03302599999999</v>
      </c>
      <c r="AH4743">
        <v>44.101984789338701</v>
      </c>
      <c r="AI4743">
        <v>88.771292425318293</v>
      </c>
      <c r="AJ4743">
        <v>113.698829068016</v>
      </c>
      <c r="AK4743">
        <v>48.174657690477702</v>
      </c>
      <c r="AL4743">
        <v>87.888552467608903</v>
      </c>
      <c r="AM4743">
        <v>106.76761662831299</v>
      </c>
      <c r="AN4743">
        <v>0.99999997502137805</v>
      </c>
    </row>
    <row r="4744" spans="1:40" x14ac:dyDescent="0.25">
      <c r="A4744" t="str">
        <f>"20190305135724677"</f>
        <v>20190305135724677</v>
      </c>
      <c r="B4744" t="str">
        <f>"1551765444667129"</f>
        <v>1551765444667129</v>
      </c>
      <c r="C4744" t="s">
        <v>40</v>
      </c>
      <c r="D4744">
        <v>4.3454759999999997</v>
      </c>
      <c r="E4744">
        <v>0.45423400000000003</v>
      </c>
      <c r="F4744" t="s">
        <v>69</v>
      </c>
      <c r="G4744">
        <v>-168.45060000000001</v>
      </c>
      <c r="H4744">
        <v>2.1055299999999999</v>
      </c>
      <c r="I4744">
        <v>-40.419020000000003</v>
      </c>
      <c r="J4744">
        <v>-211.47229999999999</v>
      </c>
      <c r="K4744">
        <v>1.1110910000000001</v>
      </c>
      <c r="L4744">
        <v>-61.839599999999997</v>
      </c>
      <c r="M4744">
        <v>0.99879879999999999</v>
      </c>
      <c r="N4744">
        <v>-1.494934E-2</v>
      </c>
      <c r="O4744">
        <v>4.6664990000000003E-2</v>
      </c>
      <c r="P4744">
        <v>0.94217819999999997</v>
      </c>
      <c r="Q4744">
        <v>2.299959E-2</v>
      </c>
      <c r="R4744">
        <v>0.33432220000000001</v>
      </c>
      <c r="S4744">
        <v>2.7069549999999998</v>
      </c>
      <c r="T4744">
        <v>6.2333109999999997E-2</v>
      </c>
      <c r="U4744">
        <v>1.3432309999999901</v>
      </c>
      <c r="V4744">
        <v>-0.29009770000000001</v>
      </c>
      <c r="W4744">
        <v>3.6424039999999998E-2</v>
      </c>
      <c r="X4744">
        <v>0.95630360000000003</v>
      </c>
      <c r="Y4744">
        <v>-0.40221299999999999</v>
      </c>
      <c r="Z4744">
        <v>4.698285E-4</v>
      </c>
      <c r="AA4744">
        <v>0.91554599999999997</v>
      </c>
      <c r="AB4744">
        <v>34</v>
      </c>
      <c r="AC4744">
        <v>43.021699999999903</v>
      </c>
      <c r="AD4744">
        <v>0.99443899999999996</v>
      </c>
      <c r="AE4744">
        <v>21.420579999999902</v>
      </c>
      <c r="AF4744">
        <v>-19.381109609784001</v>
      </c>
      <c r="AG4744">
        <v>0.99443899999999996</v>
      </c>
      <c r="AH4744">
        <v>43.955704525799902</v>
      </c>
      <c r="AI4744">
        <v>88.814105293100695</v>
      </c>
      <c r="AJ4744">
        <v>113.79381682417799</v>
      </c>
      <c r="AK4744">
        <v>48.0491444147615</v>
      </c>
      <c r="AL4744">
        <v>87.912594457610297</v>
      </c>
      <c r="AM4744">
        <v>106.87533875976899</v>
      </c>
      <c r="AN4744">
        <v>0.99999998080408503</v>
      </c>
    </row>
    <row r="4745" spans="1:40" x14ac:dyDescent="0.25">
      <c r="A4745" t="str">
        <f>"20190305135724691"</f>
        <v>20190305135724691</v>
      </c>
      <c r="B4745" t="str">
        <f>"1551765444676888"</f>
        <v>1551765444676888</v>
      </c>
      <c r="C4745" t="s">
        <v>40</v>
      </c>
      <c r="D4745">
        <v>4.2131919999999896</v>
      </c>
      <c r="E4745">
        <v>0.45434829999999998</v>
      </c>
      <c r="F4745" t="s">
        <v>69</v>
      </c>
      <c r="G4745">
        <v>-168.45060000000001</v>
      </c>
      <c r="H4745">
        <v>2.0433279999999998</v>
      </c>
      <c r="I4745">
        <v>-40.41404</v>
      </c>
      <c r="J4745">
        <v>-211.28270000000001</v>
      </c>
      <c r="K4745">
        <v>1.111086</v>
      </c>
      <c r="L4745">
        <v>-61.83005</v>
      </c>
      <c r="M4745">
        <v>0.99876310000000001</v>
      </c>
      <c r="N4745">
        <v>-1.49488E-2</v>
      </c>
      <c r="O4745">
        <v>4.7425200000000001E-2</v>
      </c>
      <c r="P4745">
        <v>0.94119160000000002</v>
      </c>
      <c r="Q4745">
        <v>2.1988690000000002E-2</v>
      </c>
      <c r="R4745">
        <v>0.3371575</v>
      </c>
      <c r="S4745">
        <v>2.7046969999999999</v>
      </c>
      <c r="T4745">
        <v>5.8606739999999997E-2</v>
      </c>
      <c r="U4745">
        <v>1.3469850000000001</v>
      </c>
      <c r="V4745">
        <v>-0.29224499999999998</v>
      </c>
      <c r="W4745">
        <v>3.540045E-2</v>
      </c>
      <c r="X4745">
        <v>0.95568810000000004</v>
      </c>
      <c r="Y4745">
        <v>-0.40284350000000002</v>
      </c>
      <c r="Z4745">
        <v>6.948872E-4</v>
      </c>
      <c r="AA4745">
        <v>0.91526859999999999</v>
      </c>
      <c r="AB4745">
        <v>34</v>
      </c>
      <c r="AC4745">
        <v>42.832099999999997</v>
      </c>
      <c r="AD4745">
        <v>0.93224199999999902</v>
      </c>
      <c r="AE4745">
        <v>21.41601</v>
      </c>
      <c r="AF4745">
        <v>-19.3530253103857</v>
      </c>
      <c r="AG4745">
        <v>0.93224199999999902</v>
      </c>
      <c r="AH4745">
        <v>43.783073479861997</v>
      </c>
      <c r="AI4745">
        <v>88.884327455095899</v>
      </c>
      <c r="AJ4745">
        <v>113.846421416609</v>
      </c>
      <c r="AK4745">
        <v>47.878661083555698</v>
      </c>
      <c r="AL4745">
        <v>87.971279819795299</v>
      </c>
      <c r="AM4745">
        <v>107.003389704599</v>
      </c>
      <c r="AN4745">
        <v>1.0000000381834</v>
      </c>
    </row>
    <row r="4746" spans="1:40" x14ac:dyDescent="0.25">
      <c r="A4746" t="str">
        <f>"20190305135724706"</f>
        <v>20190305135724706</v>
      </c>
      <c r="B4746" t="str">
        <f>"1551765444697384"</f>
        <v>1551765444697384</v>
      </c>
      <c r="C4746" t="s">
        <v>40</v>
      </c>
      <c r="D4746">
        <v>4.1776530000000003</v>
      </c>
      <c r="E4746">
        <v>0.45502809999999999</v>
      </c>
      <c r="F4746" t="s">
        <v>69</v>
      </c>
      <c r="G4746">
        <v>-168.45060000000001</v>
      </c>
      <c r="H4746">
        <v>1.987457</v>
      </c>
      <c r="I4746">
        <v>-40.35519</v>
      </c>
      <c r="J4746">
        <v>-211.0421</v>
      </c>
      <c r="K4746">
        <v>1.1110690000000001</v>
      </c>
      <c r="L4746">
        <v>-61.817599999999999</v>
      </c>
      <c r="M4746">
        <v>0.99871710000000002</v>
      </c>
      <c r="N4746">
        <v>-1.4946610000000001E-2</v>
      </c>
      <c r="O4746">
        <v>4.838162E-2</v>
      </c>
      <c r="P4746">
        <v>0.93898709999999996</v>
      </c>
      <c r="Q4746">
        <v>2.0588990000000001E-2</v>
      </c>
      <c r="R4746">
        <v>0.34333570000000002</v>
      </c>
      <c r="S4746">
        <v>2.7010190000000001</v>
      </c>
      <c r="T4746">
        <v>5.5263279999999998E-2</v>
      </c>
      <c r="U4746">
        <v>1.3542179999999999</v>
      </c>
      <c r="V4746">
        <v>-0.29760209999999998</v>
      </c>
      <c r="W4746">
        <v>3.3962220000000001E-2</v>
      </c>
      <c r="X4746">
        <v>0.95408570000000004</v>
      </c>
      <c r="Y4746">
        <v>-0.4044277</v>
      </c>
      <c r="Z4746">
        <v>9.0301550000000002E-4</v>
      </c>
      <c r="AA4746">
        <v>0.91456959999999998</v>
      </c>
      <c r="AB4746">
        <v>34</v>
      </c>
      <c r="AC4746">
        <v>42.591500000000003</v>
      </c>
      <c r="AD4746">
        <v>0.87638799999999994</v>
      </c>
      <c r="AE4746">
        <v>21.462409999999998</v>
      </c>
      <c r="AF4746">
        <v>-19.369853964261601</v>
      </c>
      <c r="AG4746">
        <v>0.87638799999999994</v>
      </c>
      <c r="AH4746">
        <v>43.5654029990976</v>
      </c>
      <c r="AI4746">
        <v>88.946929424119801</v>
      </c>
      <c r="AJ4746">
        <v>113.97067317477099</v>
      </c>
      <c r="AK4746">
        <v>47.685465678728001</v>
      </c>
      <c r="AL4746">
        <v>88.053733827202393</v>
      </c>
      <c r="AM4746">
        <v>107.323946493593</v>
      </c>
      <c r="AN4746">
        <v>0.99999998262811396</v>
      </c>
    </row>
    <row r="4747" spans="1:40" x14ac:dyDescent="0.25">
      <c r="A4747" t="str">
        <f>"20190305135724719"</f>
        <v>20190305135724719</v>
      </c>
      <c r="B4747" t="str">
        <f>"1551765444707144"</f>
        <v>1551765444707144</v>
      </c>
      <c r="C4747" t="s">
        <v>40</v>
      </c>
      <c r="D4747">
        <v>4.1596729999999997</v>
      </c>
      <c r="E4747">
        <v>0.45519409999999999</v>
      </c>
      <c r="F4747" t="s">
        <v>69</v>
      </c>
      <c r="G4747">
        <v>-168.45060000000001</v>
      </c>
      <c r="H4747">
        <v>1.8627910000000001</v>
      </c>
      <c r="I4747">
        <v>-40.208799999999997</v>
      </c>
      <c r="J4747">
        <v>-210.845</v>
      </c>
      <c r="K4747">
        <v>1.1110629999999999</v>
      </c>
      <c r="L4747">
        <v>-61.807279999999999</v>
      </c>
      <c r="M4747">
        <v>0.99867899999999998</v>
      </c>
      <c r="N4747">
        <v>-1.495117E-2</v>
      </c>
      <c r="O4747">
        <v>4.9162329999999997E-2</v>
      </c>
      <c r="P4747">
        <v>0.93782129999999997</v>
      </c>
      <c r="Q4747">
        <v>1.940339E-2</v>
      </c>
      <c r="R4747">
        <v>0.3465762</v>
      </c>
      <c r="S4747">
        <v>2.6941069999999998</v>
      </c>
      <c r="T4747">
        <v>4.7548529999999999E-2</v>
      </c>
      <c r="U4747">
        <v>1.366852</v>
      </c>
      <c r="V4747">
        <v>-0.30014570000000002</v>
      </c>
      <c r="W4747">
        <v>3.2763639999999997E-2</v>
      </c>
      <c r="X4747">
        <v>0.95333049999999997</v>
      </c>
      <c r="Y4747">
        <v>-0.4080725</v>
      </c>
      <c r="Z4747">
        <v>1.341196E-3</v>
      </c>
      <c r="AA4747">
        <v>0.91294850000000005</v>
      </c>
      <c r="AB4747">
        <v>34</v>
      </c>
      <c r="AC4747">
        <v>42.394399999999898</v>
      </c>
      <c r="AD4747">
        <v>0.75172799999999995</v>
      </c>
      <c r="AE4747">
        <v>21.598479999999999</v>
      </c>
      <c r="AF4747">
        <v>-19.483053620980801</v>
      </c>
      <c r="AG4747">
        <v>0.75172799999999995</v>
      </c>
      <c r="AH4747">
        <v>43.394243216634003</v>
      </c>
      <c r="AI4747">
        <v>89.094604055177101</v>
      </c>
      <c r="AJ4747">
        <v>114.179023649181</v>
      </c>
      <c r="AK4747">
        <v>47.5732573798388</v>
      </c>
      <c r="AL4747">
        <v>88.122445635513103</v>
      </c>
      <c r="AM4747">
        <v>107.476039308879</v>
      </c>
      <c r="AN4747">
        <v>0.99999996978239403</v>
      </c>
    </row>
    <row r="4748" spans="1:40" x14ac:dyDescent="0.25">
      <c r="A4748" t="str">
        <f>"20190305135724732"</f>
        <v>20190305135724732</v>
      </c>
      <c r="B4748" t="str">
        <f>"1551765444727641"</f>
        <v>1551765444727641</v>
      </c>
      <c r="C4748" t="s">
        <v>40</v>
      </c>
      <c r="D4748">
        <v>4.1165929999999999</v>
      </c>
      <c r="E4748">
        <v>0.45564660000000001</v>
      </c>
      <c r="F4748" t="s">
        <v>69</v>
      </c>
      <c r="G4748">
        <v>-168.45060000000001</v>
      </c>
      <c r="H4748">
        <v>1.789631</v>
      </c>
      <c r="I4748">
        <v>-40.139789999999998</v>
      </c>
      <c r="J4748">
        <v>-210.64449999999999</v>
      </c>
      <c r="K4748">
        <v>1.111065</v>
      </c>
      <c r="L4748">
        <v>-61.79663</v>
      </c>
      <c r="M4748">
        <v>0.99863919999999995</v>
      </c>
      <c r="N4748">
        <v>-1.496081E-2</v>
      </c>
      <c r="O4748">
        <v>4.9959320000000002E-2</v>
      </c>
      <c r="P4748">
        <v>0.93684780000000001</v>
      </c>
      <c r="Q4748">
        <v>1.829882E-2</v>
      </c>
      <c r="R4748">
        <v>0.34925850000000003</v>
      </c>
      <c r="S4748">
        <v>2.6899570000000002</v>
      </c>
      <c r="T4748">
        <v>4.3054340000000003E-2</v>
      </c>
      <c r="U4748">
        <v>1.374817</v>
      </c>
      <c r="V4748">
        <v>-0.30210880000000001</v>
      </c>
      <c r="W4748">
        <v>3.1653189999999998E-2</v>
      </c>
      <c r="X4748">
        <v>0.95274780000000003</v>
      </c>
      <c r="Y4748">
        <v>-0.41005960000000002</v>
      </c>
      <c r="Z4748">
        <v>1.6115210000000001E-3</v>
      </c>
      <c r="AA4748">
        <v>0.91205729999999996</v>
      </c>
      <c r="AB4748">
        <v>34</v>
      </c>
      <c r="AC4748">
        <v>42.1938999999999</v>
      </c>
      <c r="AD4748">
        <v>0.678566</v>
      </c>
      <c r="AE4748">
        <v>21.656839999999999</v>
      </c>
      <c r="AF4748">
        <v>-19.5175802036064</v>
      </c>
      <c r="AG4748">
        <v>0.678566</v>
      </c>
      <c r="AH4748">
        <v>43.214434602940301</v>
      </c>
      <c r="AI4748">
        <v>89.180128016637894</v>
      </c>
      <c r="AJ4748">
        <v>114.30607329463</v>
      </c>
      <c r="AK4748">
        <v>47.422397101710999</v>
      </c>
      <c r="AL4748">
        <v>88.186102840708799</v>
      </c>
      <c r="AM4748">
        <v>107.59341001057</v>
      </c>
      <c r="AN4748">
        <v>1.00000001093972</v>
      </c>
    </row>
    <row r="4749" spans="1:40" x14ac:dyDescent="0.25">
      <c r="A4749" t="str">
        <f>"20190305135724744"</f>
        <v>20190305135724744</v>
      </c>
      <c r="B4749" t="str">
        <f>"1551765444737400"</f>
        <v>1551765444737400</v>
      </c>
      <c r="C4749" t="s">
        <v>40</v>
      </c>
      <c r="D4749">
        <v>4.126773</v>
      </c>
      <c r="E4749">
        <v>0.4558683</v>
      </c>
      <c r="F4749" t="s">
        <v>69</v>
      </c>
      <c r="G4749">
        <v>-168.45060000000001</v>
      </c>
      <c r="H4749">
        <v>1.7374189999999901</v>
      </c>
      <c r="I4749">
        <v>-40.143250000000002</v>
      </c>
      <c r="J4749">
        <v>-210.45859999999999</v>
      </c>
      <c r="K4749">
        <v>1.1110770000000001</v>
      </c>
      <c r="L4749">
        <v>-61.7866199999999</v>
      </c>
      <c r="M4749">
        <v>0.99860119999999997</v>
      </c>
      <c r="N4749">
        <v>-1.497894E-2</v>
      </c>
      <c r="O4749">
        <v>5.0709459999999998E-2</v>
      </c>
      <c r="P4749">
        <v>0.93583280000000002</v>
      </c>
      <c r="Q4749">
        <v>1.7437830000000001E-2</v>
      </c>
      <c r="R4749">
        <v>0.35201310000000002</v>
      </c>
      <c r="S4749">
        <v>2.6873019999999999</v>
      </c>
      <c r="T4749">
        <v>3.9890769999999999E-2</v>
      </c>
      <c r="U4749">
        <v>1.379089</v>
      </c>
      <c r="V4749">
        <v>-0.3041934</v>
      </c>
      <c r="W4749">
        <v>3.078815E-2</v>
      </c>
      <c r="X4749">
        <v>0.95211259999999998</v>
      </c>
      <c r="Y4749">
        <v>-0.41088930000000001</v>
      </c>
      <c r="Z4749">
        <v>1.809944E-3</v>
      </c>
      <c r="AA4749">
        <v>0.91168340000000003</v>
      </c>
      <c r="AB4749">
        <v>34</v>
      </c>
      <c r="AC4749">
        <v>42.007999999999903</v>
      </c>
      <c r="AD4749">
        <v>0.62634199999999896</v>
      </c>
      <c r="AE4749">
        <v>21.643369999999901</v>
      </c>
      <c r="AF4749">
        <v>-19.481654132728998</v>
      </c>
      <c r="AG4749">
        <v>0.62634199999999896</v>
      </c>
      <c r="AH4749">
        <v>43.044027219988301</v>
      </c>
      <c r="AI4749">
        <v>89.240495766323704</v>
      </c>
      <c r="AJ4749">
        <v>114.351427281413</v>
      </c>
      <c r="AK4749">
        <v>47.251618293592202</v>
      </c>
      <c r="AL4749">
        <v>88.235690081707901</v>
      </c>
      <c r="AM4749">
        <v>107.71832195956399</v>
      </c>
      <c r="AN4749">
        <v>0.99999996893137</v>
      </c>
    </row>
    <row r="4750" spans="1:40" x14ac:dyDescent="0.25">
      <c r="A4750" t="str">
        <f>"20190305135724755"</f>
        <v>20190305135724755</v>
      </c>
      <c r="B4750" t="str">
        <f>"1551765444747161"</f>
        <v>1551765444747161</v>
      </c>
      <c r="C4750" t="s">
        <v>40</v>
      </c>
      <c r="D4750">
        <v>4.1115079999999997</v>
      </c>
      <c r="E4750">
        <v>0.4561019</v>
      </c>
      <c r="F4750" t="s">
        <v>69</v>
      </c>
      <c r="G4750">
        <v>-168.45060000000001</v>
      </c>
      <c r="H4750">
        <v>1.6980120000000001</v>
      </c>
      <c r="I4750">
        <v>-40.104660000000003</v>
      </c>
      <c r="J4750">
        <v>-210.2919</v>
      </c>
      <c r="K4750">
        <v>1.1111009999999999</v>
      </c>
      <c r="L4750">
        <v>-61.777470000000001</v>
      </c>
      <c r="M4750">
        <v>0.99856549999999999</v>
      </c>
      <c r="N4750">
        <v>-1.5014329999999999E-2</v>
      </c>
      <c r="O4750">
        <v>5.1396629999999999E-2</v>
      </c>
      <c r="P4750">
        <v>0.93486820000000004</v>
      </c>
      <c r="Q4750">
        <v>1.654922E-2</v>
      </c>
      <c r="R4750">
        <v>0.35460900000000001</v>
      </c>
      <c r="S4750">
        <v>2.683945</v>
      </c>
      <c r="T4750">
        <v>3.7498709999999998E-2</v>
      </c>
      <c r="U4750">
        <v>1.385284</v>
      </c>
      <c r="V4750">
        <v>-0.30617820000000001</v>
      </c>
      <c r="W4750">
        <v>2.9908790000000001E-2</v>
      </c>
      <c r="X4750">
        <v>0.95150429999999997</v>
      </c>
      <c r="Y4750">
        <v>-0.41238849999999999</v>
      </c>
      <c r="Z4750">
        <v>1.9701190000000002E-3</v>
      </c>
      <c r="AA4750">
        <v>0.91100599999999998</v>
      </c>
      <c r="AB4750">
        <v>34</v>
      </c>
      <c r="AC4750">
        <v>41.841299999999897</v>
      </c>
      <c r="AD4750">
        <v>0.58691099999999896</v>
      </c>
      <c r="AE4750">
        <v>21.672809999999998</v>
      </c>
      <c r="AF4750">
        <v>-19.490391216022601</v>
      </c>
      <c r="AG4750">
        <v>0.58691099999999896</v>
      </c>
      <c r="AH4750">
        <v>42.8933673249363</v>
      </c>
      <c r="AI4750">
        <v>89.286286878355497</v>
      </c>
      <c r="AJ4750">
        <v>114.436654583129</v>
      </c>
      <c r="AK4750">
        <v>47.117520889234498</v>
      </c>
      <c r="AL4750">
        <v>88.286097023682203</v>
      </c>
      <c r="AM4750">
        <v>107.837308594232</v>
      </c>
      <c r="AN4750">
        <v>1.0000000293964899</v>
      </c>
    </row>
    <row r="4751" spans="1:40" x14ac:dyDescent="0.25">
      <c r="A4751" t="str">
        <f>"20190305135724766"</f>
        <v>20190305135724766</v>
      </c>
      <c r="B4751" t="str">
        <f>"1551765444756921"</f>
        <v>1551765444756921</v>
      </c>
      <c r="C4751" t="s">
        <v>40</v>
      </c>
      <c r="D4751">
        <v>4.1414730000000004</v>
      </c>
      <c r="E4751">
        <v>0.45634910000000001</v>
      </c>
      <c r="F4751" t="s">
        <v>69</v>
      </c>
      <c r="G4751">
        <v>-168.45060000000001</v>
      </c>
      <c r="H4751">
        <v>1.6665909999999999</v>
      </c>
      <c r="I4751">
        <v>-40.067390000000003</v>
      </c>
      <c r="J4751">
        <v>-210.11429999999999</v>
      </c>
      <c r="K4751">
        <v>1.111138</v>
      </c>
      <c r="L4751">
        <v>-61.76764</v>
      </c>
      <c r="M4751">
        <v>0.99852600000000002</v>
      </c>
      <c r="N4751">
        <v>-1.5067860000000001E-2</v>
      </c>
      <c r="O4751">
        <v>5.2140520000000003E-2</v>
      </c>
      <c r="P4751">
        <v>0.93386130000000001</v>
      </c>
      <c r="Q4751">
        <v>1.5952939999999999E-2</v>
      </c>
      <c r="R4751">
        <v>0.35727950000000003</v>
      </c>
      <c r="S4751">
        <v>2.680771</v>
      </c>
      <c r="T4751">
        <v>3.558886E-2</v>
      </c>
      <c r="U4751">
        <v>1.3909609999999999</v>
      </c>
      <c r="V4751">
        <v>-0.30818810000000002</v>
      </c>
      <c r="W4751">
        <v>2.9332540000000001E-2</v>
      </c>
      <c r="X4751">
        <v>0.95087310000000003</v>
      </c>
      <c r="Y4751">
        <v>-0.4136707</v>
      </c>
      <c r="Z4751">
        <v>2.110401E-3</v>
      </c>
      <c r="AA4751">
        <v>0.91042420000000002</v>
      </c>
      <c r="AB4751">
        <v>34</v>
      </c>
      <c r="AC4751">
        <v>41.663699999999899</v>
      </c>
      <c r="AD4751">
        <v>0.55545299999999997</v>
      </c>
      <c r="AE4751">
        <v>21.70025</v>
      </c>
      <c r="AF4751">
        <v>-19.495386244107699</v>
      </c>
      <c r="AG4751">
        <v>0.55545299999999997</v>
      </c>
      <c r="AH4751">
        <v>42.732630813665502</v>
      </c>
      <c r="AI4751">
        <v>89.322463961026699</v>
      </c>
      <c r="AJ4751">
        <v>114.52331518283</v>
      </c>
      <c r="AK4751">
        <v>46.972932089653398</v>
      </c>
      <c r="AL4751">
        <v>88.319128122708904</v>
      </c>
      <c r="AM4751">
        <v>107.958061684797</v>
      </c>
      <c r="AN4751">
        <v>0.99999997759403503</v>
      </c>
    </row>
    <row r="4752" spans="1:40" x14ac:dyDescent="0.25">
      <c r="A4752" t="str">
        <f>"20190305135724778"</f>
        <v>20190305135724778</v>
      </c>
      <c r="B4752" t="str">
        <f>"1551765444767657"</f>
        <v>1551765444767657</v>
      </c>
      <c r="C4752" t="s">
        <v>40</v>
      </c>
      <c r="D4752">
        <v>4.1782459999999997</v>
      </c>
      <c r="E4752">
        <v>0.45645089999999999</v>
      </c>
      <c r="F4752" t="s">
        <v>69</v>
      </c>
      <c r="G4752">
        <v>-168.45060000000001</v>
      </c>
      <c r="H4752">
        <v>1.641834</v>
      </c>
      <c r="I4752">
        <v>-40.030500000000004</v>
      </c>
      <c r="J4752">
        <v>-209.9513</v>
      </c>
      <c r="K4752">
        <v>1.111199</v>
      </c>
      <c r="L4752">
        <v>-61.758389999999999</v>
      </c>
      <c r="M4752">
        <v>0.9984866</v>
      </c>
      <c r="N4752">
        <v>-1.5150439999999999E-2</v>
      </c>
      <c r="O4752">
        <v>5.2868209999999999E-2</v>
      </c>
      <c r="P4752">
        <v>0.93272060000000001</v>
      </c>
      <c r="Q4752">
        <v>1.6216919999999999E-2</v>
      </c>
      <c r="R4752">
        <v>0.36023519999999998</v>
      </c>
      <c r="S4752">
        <v>2.6774749999999998</v>
      </c>
      <c r="T4752">
        <v>3.4103269999999998E-2</v>
      </c>
      <c r="U4752">
        <v>1.3969119999999999</v>
      </c>
      <c r="V4752">
        <v>-0.31050990000000001</v>
      </c>
      <c r="W4752">
        <v>2.9631870000000001E-2</v>
      </c>
      <c r="X4752">
        <v>0.95010819999999996</v>
      </c>
      <c r="Y4752">
        <v>-0.41505730000000002</v>
      </c>
      <c r="Z4752">
        <v>2.2354499999999999E-3</v>
      </c>
      <c r="AA4752">
        <v>0.9097925</v>
      </c>
      <c r="AB4752">
        <v>34</v>
      </c>
      <c r="AC4752">
        <v>41.500700000000002</v>
      </c>
      <c r="AD4752">
        <v>0.53063499999999997</v>
      </c>
      <c r="AE4752">
        <v>21.727889999999999</v>
      </c>
      <c r="AF4752">
        <v>-19.500674825637098</v>
      </c>
      <c r="AG4752">
        <v>0.53063499999999997</v>
      </c>
      <c r="AH4752">
        <v>42.586029951750199</v>
      </c>
      <c r="AI4752">
        <v>89.350922058885303</v>
      </c>
      <c r="AJ4752">
        <v>114.603634819145</v>
      </c>
      <c r="AK4752">
        <v>46.841518327332501</v>
      </c>
      <c r="AL4752">
        <v>88.301970388012705</v>
      </c>
      <c r="AM4752">
        <v>108.098184154714</v>
      </c>
      <c r="AN4752">
        <v>1.00000001871247</v>
      </c>
    </row>
    <row r="4753" spans="1:40" x14ac:dyDescent="0.25">
      <c r="A4753" t="str">
        <f>"20190305135724789"</f>
        <v>20190305135724789</v>
      </c>
      <c r="B4753" t="str">
        <f>"1551765444777416"</f>
        <v>1551765444777416</v>
      </c>
      <c r="C4753" t="s">
        <v>40</v>
      </c>
      <c r="D4753">
        <v>4.1581979999999996</v>
      </c>
      <c r="E4753">
        <v>0.45648610000000001</v>
      </c>
      <c r="F4753" t="s">
        <v>69</v>
      </c>
      <c r="G4753">
        <v>-168.45060000000001</v>
      </c>
      <c r="H4753">
        <v>1.623224</v>
      </c>
      <c r="I4753">
        <v>-39.955249999999999</v>
      </c>
      <c r="J4753">
        <v>-209.78360000000001</v>
      </c>
      <c r="K4753">
        <v>1.1112679999999999</v>
      </c>
      <c r="L4753">
        <v>-61.748869999999997</v>
      </c>
      <c r="M4753">
        <v>0.99844469999999996</v>
      </c>
      <c r="N4753">
        <v>-1.5243319999999999E-2</v>
      </c>
      <c r="O4753">
        <v>5.362712E-2</v>
      </c>
      <c r="P4753">
        <v>0.93171190000000004</v>
      </c>
      <c r="Q4753">
        <v>1.7245280000000002E-2</v>
      </c>
      <c r="R4753">
        <v>0.36278890000000003</v>
      </c>
      <c r="S4753">
        <v>2.6733859999999998</v>
      </c>
      <c r="T4753">
        <v>3.2982230000000001E-2</v>
      </c>
      <c r="U4753">
        <v>1.4045099999999999</v>
      </c>
      <c r="V4753">
        <v>-0.31239800000000001</v>
      </c>
      <c r="W4753">
        <v>3.0704749999999999E-2</v>
      </c>
      <c r="X4753">
        <v>0.94945500000000005</v>
      </c>
      <c r="Y4753">
        <v>-0.41696480000000002</v>
      </c>
      <c r="Z4753">
        <v>2.3459570000000001E-3</v>
      </c>
      <c r="AA4753">
        <v>0.90891960000000005</v>
      </c>
      <c r="AB4753">
        <v>34</v>
      </c>
      <c r="AC4753">
        <v>41.332999999999998</v>
      </c>
      <c r="AD4753">
        <v>0.51195599999999997</v>
      </c>
      <c r="AE4753">
        <v>21.793620000000001</v>
      </c>
      <c r="AF4753">
        <v>-19.5430790859651</v>
      </c>
      <c r="AG4753">
        <v>0.51195599999999997</v>
      </c>
      <c r="AH4753">
        <v>42.437279814173102</v>
      </c>
      <c r="AI4753">
        <v>89.372193976241903</v>
      </c>
      <c r="AJ4753">
        <v>114.726863216289</v>
      </c>
      <c r="AK4753">
        <v>46.723835000271997</v>
      </c>
      <c r="AL4753">
        <v>88.240470943216906</v>
      </c>
      <c r="AM4753">
        <v>108.212692352262</v>
      </c>
      <c r="AN4753">
        <v>1.00000004455078</v>
      </c>
    </row>
    <row r="4754" spans="1:40" x14ac:dyDescent="0.25">
      <c r="A4754" t="str">
        <f>"20190305135724800"</f>
        <v>20190305135724800</v>
      </c>
      <c r="B4754" t="str">
        <f>"1551765444796937"</f>
        <v>1551765444796937</v>
      </c>
      <c r="C4754" t="s">
        <v>40</v>
      </c>
      <c r="D4754">
        <v>4.1510920000000002</v>
      </c>
      <c r="E4754">
        <v>0.45668389999999998</v>
      </c>
      <c r="F4754" t="s">
        <v>69</v>
      </c>
      <c r="G4754">
        <v>-168.45060000000001</v>
      </c>
      <c r="H4754">
        <v>1.6370469999999999</v>
      </c>
      <c r="I4754">
        <v>-39.894460000000002</v>
      </c>
      <c r="J4754">
        <v>-209.61850000000001</v>
      </c>
      <c r="K4754">
        <v>1.111372</v>
      </c>
      <c r="L4754">
        <v>-61.739139999999999</v>
      </c>
      <c r="M4754">
        <v>0.99839690000000003</v>
      </c>
      <c r="N4754">
        <v>-1.5373970000000001E-2</v>
      </c>
      <c r="O4754">
        <v>5.4471140000000001E-2</v>
      </c>
      <c r="P4754">
        <v>0.93063340000000006</v>
      </c>
      <c r="Q4754">
        <v>1.7737960000000001E-2</v>
      </c>
      <c r="R4754">
        <v>0.36552269999999998</v>
      </c>
      <c r="S4754">
        <v>2.6696170000000001</v>
      </c>
      <c r="T4754">
        <v>3.3957599999999998E-2</v>
      </c>
      <c r="U4754">
        <v>1.41153</v>
      </c>
      <c r="V4754">
        <v>-0.314389799999999</v>
      </c>
      <c r="W4754">
        <v>3.1255230000000002E-2</v>
      </c>
      <c r="X4754">
        <v>0.94877929999999999</v>
      </c>
      <c r="Y4754">
        <v>-0.41859420000000003</v>
      </c>
      <c r="Z4754">
        <v>2.3546040000000002E-3</v>
      </c>
      <c r="AA4754">
        <v>0.90817029999999999</v>
      </c>
      <c r="AB4754">
        <v>34</v>
      </c>
      <c r="AC4754">
        <v>41.167900000000003</v>
      </c>
      <c r="AD4754">
        <v>0.525674999999999</v>
      </c>
      <c r="AE4754">
        <v>21.84468</v>
      </c>
      <c r="AF4754">
        <v>-19.567023381122301</v>
      </c>
      <c r="AG4754">
        <v>0.525674999999999</v>
      </c>
      <c r="AH4754">
        <v>42.291430192853298</v>
      </c>
      <c r="AI4754">
        <v>89.353678995371396</v>
      </c>
      <c r="AJ4754">
        <v>114.828617597194</v>
      </c>
      <c r="AK4754">
        <v>46.601607332365603</v>
      </c>
      <c r="AL4754">
        <v>88.2089155335822</v>
      </c>
      <c r="AM4754">
        <v>108.333256020983</v>
      </c>
      <c r="AN4754">
        <v>0.99999999792744099</v>
      </c>
    </row>
    <row r="4755" spans="1:40" x14ac:dyDescent="0.25">
      <c r="A4755" t="str">
        <f>"20190305135724811"</f>
        <v>20190305135724811</v>
      </c>
      <c r="B4755" t="str">
        <f>"1551765444807672"</f>
        <v>1551765444807672</v>
      </c>
      <c r="C4755" t="s">
        <v>40</v>
      </c>
      <c r="D4755">
        <v>4.1412380000000004</v>
      </c>
      <c r="E4755">
        <v>0.45676119999999998</v>
      </c>
      <c r="F4755" t="s">
        <v>69</v>
      </c>
      <c r="G4755">
        <v>-168.45060000000001</v>
      </c>
      <c r="H4755">
        <v>1.609035</v>
      </c>
      <c r="I4755">
        <v>-39.849789999999999</v>
      </c>
      <c r="J4755">
        <v>-209.44909999999999</v>
      </c>
      <c r="K4755">
        <v>1.111483</v>
      </c>
      <c r="L4755">
        <v>-61.729100000000003</v>
      </c>
      <c r="M4755">
        <v>0.99834560000000006</v>
      </c>
      <c r="N4755">
        <v>-1.551467E-2</v>
      </c>
      <c r="O4755">
        <v>5.5364089999999998E-2</v>
      </c>
      <c r="P4755">
        <v>0.92960659999999895</v>
      </c>
      <c r="Q4755">
        <v>1.9828950000000001E-2</v>
      </c>
      <c r="R4755">
        <v>0.3680195</v>
      </c>
      <c r="S4755">
        <v>2.6661830000000002</v>
      </c>
      <c r="T4755">
        <v>3.2229189999999998E-2</v>
      </c>
      <c r="U4755">
        <v>1.4176329999999999</v>
      </c>
      <c r="V4755">
        <v>-0.3161041</v>
      </c>
      <c r="W4755">
        <v>3.3407489999999998E-2</v>
      </c>
      <c r="X4755">
        <v>0.94813619999999998</v>
      </c>
      <c r="Y4755">
        <v>-0.41988750000000002</v>
      </c>
      <c r="Z4755">
        <v>2.5141209999999998E-3</v>
      </c>
      <c r="AA4755">
        <v>0.90757270000000001</v>
      </c>
      <c r="AB4755">
        <v>34</v>
      </c>
      <c r="AC4755">
        <v>40.9984999999999</v>
      </c>
      <c r="AD4755">
        <v>0.49755199999999999</v>
      </c>
      <c r="AE4755">
        <v>21.87931</v>
      </c>
      <c r="AF4755">
        <v>-19.5733823170223</v>
      </c>
      <c r="AG4755">
        <v>0.49755199999999999</v>
      </c>
      <c r="AH4755">
        <v>42.142245812650501</v>
      </c>
      <c r="AI4755">
        <v>89.386507126135598</v>
      </c>
      <c r="AJ4755">
        <v>114.91297747628001</v>
      </c>
      <c r="AK4755">
        <v>46.468631736418601</v>
      </c>
      <c r="AL4755">
        <v>88.085535707802507</v>
      </c>
      <c r="AM4755">
        <v>108.43814127544999</v>
      </c>
      <c r="AN4755">
        <v>1.00000005808767</v>
      </c>
    </row>
    <row r="4756" spans="1:40" x14ac:dyDescent="0.25">
      <c r="A4756" t="str">
        <f>"20190305135724824"</f>
        <v>20190305135724824</v>
      </c>
      <c r="B4756" t="str">
        <f>"1551765444817433"</f>
        <v>1551765444817433</v>
      </c>
      <c r="C4756" t="s">
        <v>40</v>
      </c>
      <c r="D4756">
        <v>4.1304910000000001</v>
      </c>
      <c r="E4756">
        <v>0.456872</v>
      </c>
      <c r="F4756" t="s">
        <v>69</v>
      </c>
      <c r="G4756">
        <v>-168.45060000000001</v>
      </c>
      <c r="H4756">
        <v>1.6871879999999999</v>
      </c>
      <c r="I4756">
        <v>-39.79918</v>
      </c>
      <c r="J4756">
        <v>-209.2603</v>
      </c>
      <c r="K4756">
        <v>1.1116410000000001</v>
      </c>
      <c r="L4756">
        <v>-61.717559999999999</v>
      </c>
      <c r="M4756">
        <v>0.9982801</v>
      </c>
      <c r="N4756">
        <v>-1.5701340000000001E-2</v>
      </c>
      <c r="O4756">
        <v>5.6482619999999997E-2</v>
      </c>
      <c r="P4756">
        <v>0.92854119999999996</v>
      </c>
      <c r="Q4756">
        <v>2.220832E-2</v>
      </c>
      <c r="R4756">
        <v>0.37056470000000002</v>
      </c>
      <c r="S4756">
        <v>2.6625670000000001</v>
      </c>
      <c r="T4756">
        <v>3.7386660000000002E-2</v>
      </c>
      <c r="U4756">
        <v>1.424194</v>
      </c>
      <c r="V4756">
        <v>-0.31766119999999998</v>
      </c>
      <c r="W4756">
        <v>3.5861259999999999E-2</v>
      </c>
      <c r="X4756">
        <v>0.94752590000000003</v>
      </c>
      <c r="Y4756">
        <v>-0.42112270000000002</v>
      </c>
      <c r="Z4756">
        <v>2.318358E-3</v>
      </c>
      <c r="AA4756">
        <v>0.90700069999999999</v>
      </c>
      <c r="AB4756">
        <v>34</v>
      </c>
      <c r="AC4756">
        <v>40.8096999999999</v>
      </c>
      <c r="AD4756">
        <v>0.57554700000000003</v>
      </c>
      <c r="AE4756">
        <v>21.918379999999999</v>
      </c>
      <c r="AF4756">
        <v>-19.575035691499401</v>
      </c>
      <c r="AG4756">
        <v>0.57554700000000003</v>
      </c>
      <c r="AH4756">
        <v>41.9762149111626</v>
      </c>
      <c r="AI4756">
        <v>89.288051245157106</v>
      </c>
      <c r="AJ4756">
        <v>115.001351237336</v>
      </c>
      <c r="AK4756">
        <v>46.319713890964401</v>
      </c>
      <c r="AL4756">
        <v>87.944860497302599</v>
      </c>
      <c r="AM4756">
        <v>108.53389794508099</v>
      </c>
      <c r="AN4756">
        <v>0.99999999956251795</v>
      </c>
    </row>
    <row r="4757" spans="1:40" x14ac:dyDescent="0.25">
      <c r="A4757" t="str">
        <f>"20190305135724835"</f>
        <v>20190305135724835</v>
      </c>
      <c r="B4757" t="str">
        <f>"1551765444827192"</f>
        <v>1551765444827192</v>
      </c>
      <c r="C4757" t="s">
        <v>40</v>
      </c>
      <c r="D4757">
        <v>4.1350179999999996</v>
      </c>
      <c r="E4757">
        <v>0.45699279999999998</v>
      </c>
      <c r="F4757" t="s">
        <v>69</v>
      </c>
      <c r="G4757">
        <v>-168.45060000000001</v>
      </c>
      <c r="H4757">
        <v>1.7759259999999999</v>
      </c>
      <c r="I4757">
        <v>-39.760210000000001</v>
      </c>
      <c r="J4757">
        <v>-209.10079999999999</v>
      </c>
      <c r="K4757">
        <v>1.1117889999999999</v>
      </c>
      <c r="L4757">
        <v>-61.707610000000003</v>
      </c>
      <c r="M4757">
        <v>0.99821959999999998</v>
      </c>
      <c r="N4757">
        <v>-1.5870459999999999E-2</v>
      </c>
      <c r="O4757">
        <v>5.7496459999999999E-2</v>
      </c>
      <c r="P4757">
        <v>0.92782549999999997</v>
      </c>
      <c r="Q4757">
        <v>2.490235E-2</v>
      </c>
      <c r="R4757">
        <v>0.37218279999999998</v>
      </c>
      <c r="S4757">
        <v>2.6589049999999999</v>
      </c>
      <c r="T4757">
        <v>4.3279289999999998E-2</v>
      </c>
      <c r="U4757">
        <v>1.4306030000000001</v>
      </c>
      <c r="V4757">
        <v>-0.3183761</v>
      </c>
      <c r="W4757">
        <v>3.8624520000000002E-2</v>
      </c>
      <c r="X4757">
        <v>0.9471773</v>
      </c>
      <c r="Y4757">
        <v>-0.4224175</v>
      </c>
      <c r="Z4757">
        <v>2.0768079999999999E-3</v>
      </c>
      <c r="AA4757">
        <v>0.90639899999999995</v>
      </c>
      <c r="AB4757">
        <v>34</v>
      </c>
      <c r="AC4757">
        <v>40.650199999999899</v>
      </c>
      <c r="AD4757">
        <v>0.66413699999999998</v>
      </c>
      <c r="AE4757">
        <v>21.947399999999899</v>
      </c>
      <c r="AF4757">
        <v>-19.5695019976141</v>
      </c>
      <c r="AG4757">
        <v>0.66413699999999998</v>
      </c>
      <c r="AH4757">
        <v>41.836345871315402</v>
      </c>
      <c r="AI4757">
        <v>89.176184448662298</v>
      </c>
      <c r="AJ4757">
        <v>115.068461938974</v>
      </c>
      <c r="AK4757">
        <v>46.191842594268998</v>
      </c>
      <c r="AL4757">
        <v>87.786427433460702</v>
      </c>
      <c r="AM4757">
        <v>108.579116875119</v>
      </c>
      <c r="AN4757">
        <v>1.00000001611586</v>
      </c>
    </row>
    <row r="4758" spans="1:40" x14ac:dyDescent="0.25">
      <c r="A4758" t="str">
        <f>"20190305135724845"</f>
        <v>20190305135724845</v>
      </c>
      <c r="B4758" t="str">
        <f>"1551765444836953"</f>
        <v>1551765444836953</v>
      </c>
      <c r="C4758" t="s">
        <v>40</v>
      </c>
      <c r="D4758">
        <v>4.0639269999999996</v>
      </c>
      <c r="E4758">
        <v>0.45713949999999998</v>
      </c>
      <c r="F4758" t="s">
        <v>69</v>
      </c>
      <c r="G4758">
        <v>-168.45060000000001</v>
      </c>
      <c r="H4758">
        <v>1.878595</v>
      </c>
      <c r="I4758">
        <v>-39.760860000000001</v>
      </c>
      <c r="J4758">
        <v>-208.93119999999999</v>
      </c>
      <c r="K4758">
        <v>1.1119589999999999</v>
      </c>
      <c r="L4758">
        <v>-61.696750000000002</v>
      </c>
      <c r="M4758">
        <v>0.99814979999999998</v>
      </c>
      <c r="N4758">
        <v>-1.6061909999999999E-2</v>
      </c>
      <c r="O4758">
        <v>5.8644759999999997E-2</v>
      </c>
      <c r="P4758">
        <v>0.92707090000000003</v>
      </c>
      <c r="Q4758">
        <v>2.7403730000000001E-2</v>
      </c>
      <c r="R4758">
        <v>0.37388349999999998</v>
      </c>
      <c r="S4758">
        <v>2.6566930000000002</v>
      </c>
      <c r="T4758">
        <v>5.0113079999999997E-2</v>
      </c>
      <c r="U4758">
        <v>1.434326</v>
      </c>
      <c r="V4758">
        <v>-0.31905139999999999</v>
      </c>
      <c r="W4758">
        <v>4.1200720000000003E-2</v>
      </c>
      <c r="X4758">
        <v>0.9468415</v>
      </c>
      <c r="Y4758">
        <v>-0.4226723</v>
      </c>
      <c r="Z4758">
        <v>1.7969679999999999E-3</v>
      </c>
      <c r="AA4758">
        <v>0.9062808</v>
      </c>
      <c r="AB4758">
        <v>34</v>
      </c>
      <c r="AC4758">
        <v>40.480599999999903</v>
      </c>
      <c r="AD4758">
        <v>0.76663599999999998</v>
      </c>
      <c r="AE4758">
        <v>21.935890000000001</v>
      </c>
      <c r="AF4758">
        <v>-19.518434150610101</v>
      </c>
      <c r="AG4758">
        <v>0.76663599999999998</v>
      </c>
      <c r="AH4758">
        <v>41.6859448964628</v>
      </c>
      <c r="AI4758">
        <v>89.045802533290299</v>
      </c>
      <c r="AJ4758">
        <v>115.090205165016</v>
      </c>
      <c r="AK4758">
        <v>46.035584110111301</v>
      </c>
      <c r="AL4758">
        <v>87.6387044031447</v>
      </c>
      <c r="AM4758">
        <v>108.62195875901099</v>
      </c>
      <c r="AN4758">
        <v>1.0000000606463599</v>
      </c>
    </row>
    <row r="4759" spans="1:40" x14ac:dyDescent="0.25">
      <c r="A4759" t="str">
        <f>"20190305135724857"</f>
        <v>20190305135724857</v>
      </c>
      <c r="B4759" t="str">
        <f>"1551765444847689"</f>
        <v>1551765444847689</v>
      </c>
      <c r="C4759" t="s">
        <v>40</v>
      </c>
      <c r="D4759">
        <v>4.0868690000000001</v>
      </c>
      <c r="E4759">
        <v>0.45723259999999999</v>
      </c>
      <c r="F4759" t="s">
        <v>69</v>
      </c>
      <c r="G4759">
        <v>-168.45060000000001</v>
      </c>
      <c r="H4759">
        <v>1.9726429999999999</v>
      </c>
      <c r="I4759">
        <v>-39.766979999999997</v>
      </c>
      <c r="J4759">
        <v>-208.77029999999999</v>
      </c>
      <c r="K4759">
        <v>1.1120829999999999</v>
      </c>
      <c r="L4759">
        <v>-61.686160000000001</v>
      </c>
      <c r="M4759">
        <v>0.99806300000000003</v>
      </c>
      <c r="N4759">
        <v>-1.6160480000000001E-2</v>
      </c>
      <c r="O4759">
        <v>6.0075870000000003E-2</v>
      </c>
      <c r="P4759">
        <v>0.92623869999999997</v>
      </c>
      <c r="Q4759">
        <v>3.0059720000000002E-2</v>
      </c>
      <c r="R4759">
        <v>0.37573709999999999</v>
      </c>
      <c r="S4759">
        <v>2.6544189999999999</v>
      </c>
      <c r="T4759">
        <v>5.6435819999999998E-2</v>
      </c>
      <c r="U4759">
        <v>1.4379879999999901</v>
      </c>
      <c r="V4759">
        <v>-0.3196175</v>
      </c>
      <c r="W4759">
        <v>4.3853349999999999E-2</v>
      </c>
      <c r="X4759">
        <v>0.94653140000000002</v>
      </c>
      <c r="Y4759">
        <v>-0.42266160000000003</v>
      </c>
      <c r="Z4759">
        <v>1.533614E-3</v>
      </c>
      <c r="AA4759">
        <v>0.90628629999999999</v>
      </c>
      <c r="AB4759">
        <v>34</v>
      </c>
      <c r="AC4759">
        <v>40.319699999999898</v>
      </c>
      <c r="AD4759">
        <v>0.86055999999999999</v>
      </c>
      <c r="AE4759">
        <v>21.919180000000001</v>
      </c>
      <c r="AF4759">
        <v>-19.450183007404899</v>
      </c>
      <c r="AG4759">
        <v>0.86055999999999999</v>
      </c>
      <c r="AH4759">
        <v>41.549232179973004</v>
      </c>
      <c r="AI4759">
        <v>88.925359782934706</v>
      </c>
      <c r="AJ4759">
        <v>115.08541087515999</v>
      </c>
      <c r="AK4759">
        <v>45.884516748903998</v>
      </c>
      <c r="AL4759">
        <v>87.486582282340606</v>
      </c>
      <c r="AM4759">
        <v>108.65840439246701</v>
      </c>
      <c r="AN4759">
        <v>1.0000000768992101</v>
      </c>
    </row>
    <row r="4760" spans="1:40" x14ac:dyDescent="0.25">
      <c r="A4760" t="str">
        <f>"20190305135724868"</f>
        <v>20190305135724868</v>
      </c>
      <c r="B4760" t="str">
        <f>"1551765444857451"</f>
        <v>1551765444857451</v>
      </c>
      <c r="C4760" t="s">
        <v>40</v>
      </c>
      <c r="D4760">
        <v>4.102741</v>
      </c>
      <c r="E4760">
        <v>0.45730979999999999</v>
      </c>
      <c r="F4760" t="s">
        <v>69</v>
      </c>
      <c r="G4760">
        <v>-168.45060000000001</v>
      </c>
      <c r="H4760">
        <v>2.0664500000000001</v>
      </c>
      <c r="I4760">
        <v>-39.751040000000003</v>
      </c>
      <c r="J4760">
        <v>-208.59559999999999</v>
      </c>
      <c r="K4760">
        <v>1.112204</v>
      </c>
      <c r="L4760">
        <v>-61.67456</v>
      </c>
      <c r="M4760">
        <v>0.99795800000000001</v>
      </c>
      <c r="N4760">
        <v>-1.623047E-2</v>
      </c>
      <c r="O4760">
        <v>6.1778069999999997E-2</v>
      </c>
      <c r="P4760">
        <v>0.92546660000000003</v>
      </c>
      <c r="Q4760">
        <v>3.071366E-2</v>
      </c>
      <c r="R4760">
        <v>0.37758229999999998</v>
      </c>
      <c r="S4760">
        <v>2.651688</v>
      </c>
      <c r="T4760">
        <v>6.2764050000000002E-2</v>
      </c>
      <c r="U4760">
        <v>1.442596</v>
      </c>
      <c r="V4760">
        <v>-0.31990750000000001</v>
      </c>
      <c r="W4760">
        <v>4.4474060000000003E-2</v>
      </c>
      <c r="X4760">
        <v>0.94640440000000003</v>
      </c>
      <c r="Y4760">
        <v>-0.42271880000000001</v>
      </c>
      <c r="Z4760">
        <v>1.2781680000000001E-3</v>
      </c>
      <c r="AA4760">
        <v>0.90625999999999995</v>
      </c>
      <c r="AB4760">
        <v>33</v>
      </c>
      <c r="AC4760">
        <v>40.144999999999897</v>
      </c>
      <c r="AD4760">
        <v>0.95424600000000004</v>
      </c>
      <c r="AE4760">
        <v>21.92352</v>
      </c>
      <c r="AF4760">
        <v>-19.39278584717</v>
      </c>
      <c r="AG4760">
        <v>0.95424600000000004</v>
      </c>
      <c r="AH4760">
        <v>41.4048503032338</v>
      </c>
      <c r="AI4760">
        <v>88.804358732741605</v>
      </c>
      <c r="AJ4760">
        <v>115.096977638582</v>
      </c>
      <c r="AK4760">
        <v>45.731306093046598</v>
      </c>
      <c r="AL4760">
        <v>87.450983341205401</v>
      </c>
      <c r="AM4760">
        <v>108.676492743856</v>
      </c>
      <c r="AN4760">
        <v>1.00000001945424</v>
      </c>
    </row>
    <row r="4761" spans="1:40" x14ac:dyDescent="0.25">
      <c r="A4761" t="str">
        <f>"20190305135724885"</f>
        <v>20190305135724885</v>
      </c>
      <c r="B4761" t="str">
        <f>"1551765444876968"</f>
        <v>1551765444876968</v>
      </c>
      <c r="C4761" t="s">
        <v>40</v>
      </c>
      <c r="D4761">
        <v>4.3425379999999896</v>
      </c>
      <c r="E4761">
        <v>0.45766699999999999</v>
      </c>
      <c r="F4761" t="s">
        <v>69</v>
      </c>
      <c r="G4761">
        <v>-168.45060000000001</v>
      </c>
      <c r="H4761">
        <v>2.0766520000000002</v>
      </c>
      <c r="I4761">
        <v>-39.74297</v>
      </c>
      <c r="J4761">
        <v>-208.35489999999999</v>
      </c>
      <c r="K4761">
        <v>1.1125259999999999</v>
      </c>
      <c r="L4761">
        <v>-61.657649999999997</v>
      </c>
      <c r="M4761">
        <v>0.99781549999999997</v>
      </c>
      <c r="N4761">
        <v>-1.6520920000000001E-2</v>
      </c>
      <c r="O4761">
        <v>6.3964090000000001E-2</v>
      </c>
      <c r="P4761">
        <v>0.92430959999999995</v>
      </c>
      <c r="Q4761">
        <v>2.957427E-2</v>
      </c>
      <c r="R4761">
        <v>0.3804961</v>
      </c>
      <c r="S4761">
        <v>2.6490629999999999</v>
      </c>
      <c r="T4761">
        <v>6.3639879999999996E-2</v>
      </c>
      <c r="U4761">
        <v>1.4472050000000001</v>
      </c>
      <c r="V4761">
        <v>-0.32084179999999901</v>
      </c>
      <c r="W4761">
        <v>4.3356949999999998E-2</v>
      </c>
      <c r="X4761">
        <v>0.94613990000000003</v>
      </c>
      <c r="Y4761">
        <v>-0.42232730000000002</v>
      </c>
      <c r="Z4761">
        <v>1.3973830000000001E-3</v>
      </c>
      <c r="AA4761">
        <v>0.90644230000000003</v>
      </c>
      <c r="AB4761">
        <v>33</v>
      </c>
      <c r="AC4761">
        <v>39.9042999999999</v>
      </c>
      <c r="AD4761">
        <v>0.96412600000000004</v>
      </c>
      <c r="AE4761">
        <v>21.914680000000001</v>
      </c>
      <c r="AF4761">
        <v>-19.3083408292622</v>
      </c>
      <c r="AG4761">
        <v>0.96412600000000004</v>
      </c>
      <c r="AH4761">
        <v>41.206025098755099</v>
      </c>
      <c r="AI4761">
        <v>88.786254101139306</v>
      </c>
      <c r="AJ4761">
        <v>115.10687335028101</v>
      </c>
      <c r="AK4761">
        <v>45.515690360161102</v>
      </c>
      <c r="AL4761">
        <v>87.515050787551999</v>
      </c>
      <c r="AM4761">
        <v>108.732110541678</v>
      </c>
      <c r="AN4761">
        <v>0.99999999805627604</v>
      </c>
    </row>
    <row r="4762" spans="1:40" x14ac:dyDescent="0.25">
      <c r="A4762" t="str">
        <f>"20190305135724899"</f>
        <v>20190305135724899</v>
      </c>
      <c r="B4762" t="str">
        <f>"1551765444887705"</f>
        <v>1551765444887705</v>
      </c>
      <c r="C4762" t="s">
        <v>40</v>
      </c>
      <c r="D4762">
        <v>4.053007</v>
      </c>
      <c r="E4762">
        <v>0.45766699999999999</v>
      </c>
      <c r="F4762" t="s">
        <v>69</v>
      </c>
      <c r="G4762">
        <v>-168.45060000000001</v>
      </c>
      <c r="H4762">
        <v>1.9803999999999999</v>
      </c>
      <c r="I4762">
        <v>-39.745730000000002</v>
      </c>
      <c r="J4762">
        <v>-208.15379999999999</v>
      </c>
      <c r="K4762">
        <v>1.112835</v>
      </c>
      <c r="L4762">
        <v>-61.642940000000003</v>
      </c>
      <c r="M4762">
        <v>0.99769269999999999</v>
      </c>
      <c r="N4762">
        <v>-1.681086E-2</v>
      </c>
      <c r="O4762">
        <v>6.5778840000000005E-2</v>
      </c>
      <c r="P4762">
        <v>0.92327780000000004</v>
      </c>
      <c r="Q4762">
        <v>2.6745430000000001E-2</v>
      </c>
      <c r="R4762">
        <v>0.38320090000000001</v>
      </c>
      <c r="S4762">
        <v>2.6457670000000002</v>
      </c>
      <c r="T4762">
        <v>5.7541009999999997E-2</v>
      </c>
      <c r="U4762">
        <v>1.45282</v>
      </c>
      <c r="V4762">
        <v>-0.32190089999999999</v>
      </c>
      <c r="W4762">
        <v>4.0554189999999997E-2</v>
      </c>
      <c r="X4762">
        <v>0.94590439999999998</v>
      </c>
      <c r="Y4762">
        <v>-0.42264040000000003</v>
      </c>
      <c r="Z4762">
        <v>1.861906E-3</v>
      </c>
      <c r="AA4762">
        <v>0.90629550000000003</v>
      </c>
      <c r="AB4762">
        <v>33</v>
      </c>
      <c r="AC4762">
        <v>39.703199999999903</v>
      </c>
      <c r="AD4762">
        <v>0.86756499999999903</v>
      </c>
      <c r="AE4762">
        <v>21.897210000000001</v>
      </c>
      <c r="AF4762">
        <v>-19.230732248262498</v>
      </c>
      <c r="AG4762">
        <v>0.86756499999999903</v>
      </c>
      <c r="AH4762">
        <v>41.042737743066397</v>
      </c>
      <c r="AI4762">
        <v>88.903428897433699</v>
      </c>
      <c r="AJ4762">
        <v>115.10561957287</v>
      </c>
      <c r="AK4762">
        <v>45.332990782428197</v>
      </c>
      <c r="AL4762">
        <v>87.675778648951606</v>
      </c>
      <c r="AM4762">
        <v>108.793962344739</v>
      </c>
      <c r="AN4762">
        <v>0.999999982843362</v>
      </c>
    </row>
    <row r="4763" spans="1:40" x14ac:dyDescent="0.25">
      <c r="A4763" t="str">
        <f>"20190305135724918"</f>
        <v>20190305135724918</v>
      </c>
      <c r="B4763" t="str">
        <f>"1551765444907225"</f>
        <v>1551765444907225</v>
      </c>
      <c r="C4763" t="s">
        <v>40</v>
      </c>
      <c r="D4763">
        <v>4.0496619999999997</v>
      </c>
      <c r="E4763">
        <v>0.47196959999999999</v>
      </c>
      <c r="F4763" t="s">
        <v>69</v>
      </c>
      <c r="G4763">
        <v>-168.45060000000001</v>
      </c>
      <c r="H4763">
        <v>1.8518810000000001</v>
      </c>
      <c r="I4763">
        <v>-39.690959999999997</v>
      </c>
      <c r="J4763">
        <v>-207.86799999999999</v>
      </c>
      <c r="K4763">
        <v>1.1132489999999999</v>
      </c>
      <c r="L4763">
        <v>-61.621029999999998</v>
      </c>
      <c r="M4763">
        <v>0.99750190000000005</v>
      </c>
      <c r="N4763">
        <v>-1.7220530000000001E-2</v>
      </c>
      <c r="O4763">
        <v>6.8510050000000003E-2</v>
      </c>
      <c r="P4763">
        <v>0.92154009999999997</v>
      </c>
      <c r="Q4763">
        <v>2.1906740000000001E-2</v>
      </c>
      <c r="R4763">
        <v>0.38766479999999998</v>
      </c>
      <c r="S4763">
        <v>2.6416469999999999</v>
      </c>
      <c r="T4763">
        <v>4.9170970000000001E-2</v>
      </c>
      <c r="U4763">
        <v>1.4605709999999901</v>
      </c>
      <c r="V4763">
        <v>-0.32388889999999998</v>
      </c>
      <c r="W4763">
        <v>3.5746420000000001E-2</v>
      </c>
      <c r="X4763">
        <v>0.94541960000000003</v>
      </c>
      <c r="Y4763">
        <v>-0.4228016</v>
      </c>
      <c r="Z4763">
        <v>2.502125E-3</v>
      </c>
      <c r="AA4763">
        <v>0.90621879999999999</v>
      </c>
      <c r="AB4763">
        <v>33</v>
      </c>
      <c r="AC4763">
        <v>39.417400000000001</v>
      </c>
      <c r="AD4763">
        <v>0.73863199999999996</v>
      </c>
      <c r="AE4763">
        <v>21.930070000000001</v>
      </c>
      <c r="AF4763">
        <v>-19.172499188820701</v>
      </c>
      <c r="AG4763">
        <v>0.73863199999999996</v>
      </c>
      <c r="AH4763">
        <v>40.816466677997099</v>
      </c>
      <c r="AI4763">
        <v>89.061611891891502</v>
      </c>
      <c r="AJ4763">
        <v>115.16059968178</v>
      </c>
      <c r="AK4763">
        <v>45.101155799522502</v>
      </c>
      <c r="AL4763">
        <v>87.951444614277193</v>
      </c>
      <c r="AM4763">
        <v>108.910816920936</v>
      </c>
      <c r="AN4763">
        <v>1.0000000230750901</v>
      </c>
    </row>
    <row r="4764" spans="1:40" x14ac:dyDescent="0.25">
      <c r="A4764" t="str">
        <f>"20190305135724934"</f>
        <v>20190305135724934</v>
      </c>
      <c r="B4764" t="str">
        <f>"1551765444927722"</f>
        <v>1551765444927722</v>
      </c>
      <c r="C4764" t="s">
        <v>40</v>
      </c>
      <c r="D4764">
        <v>4.0470689999999996</v>
      </c>
      <c r="E4764">
        <v>0.47259410000000002</v>
      </c>
      <c r="F4764" t="s">
        <v>69</v>
      </c>
      <c r="G4764">
        <v>-166.70840000000001</v>
      </c>
      <c r="H4764">
        <v>1.4765189999999999</v>
      </c>
      <c r="I4764">
        <v>-40.619770000000003</v>
      </c>
      <c r="J4764">
        <v>-207.63740000000001</v>
      </c>
      <c r="K4764">
        <v>1.113521</v>
      </c>
      <c r="L4764">
        <v>-61.602449999999997</v>
      </c>
      <c r="M4764">
        <v>0.99732299999999996</v>
      </c>
      <c r="N4764">
        <v>-1.7504390000000002E-2</v>
      </c>
      <c r="O4764">
        <v>7.0996959999999998E-2</v>
      </c>
      <c r="P4764">
        <v>0.92004969999999997</v>
      </c>
      <c r="Q4764">
        <v>1.9409059999999999E-2</v>
      </c>
      <c r="R4764">
        <v>0.39132090000000003</v>
      </c>
      <c r="S4764">
        <v>2.6796880000000001</v>
      </c>
      <c r="T4764">
        <v>2.3649219999999999E-2</v>
      </c>
      <c r="U4764">
        <v>1.3672789999999999</v>
      </c>
      <c r="V4764">
        <v>-0.32528770000000001</v>
      </c>
      <c r="W4764">
        <v>3.327596E-2</v>
      </c>
      <c r="X4764">
        <v>0.94502940000000002</v>
      </c>
      <c r="Y4764">
        <v>-0.39012910000000001</v>
      </c>
      <c r="Z4764">
        <v>3.754842E-3</v>
      </c>
      <c r="AA4764">
        <v>0.92075249999999997</v>
      </c>
      <c r="AB4764">
        <v>33</v>
      </c>
      <c r="AC4764">
        <v>40.929000000000002</v>
      </c>
      <c r="AD4764">
        <v>0.36299799999999999</v>
      </c>
      <c r="AE4764">
        <v>20.982679999999899</v>
      </c>
      <c r="AF4764">
        <v>-18.022312403832402</v>
      </c>
      <c r="AG4764">
        <v>0.36299799999999999</v>
      </c>
      <c r="AH4764">
        <v>42.3129843679883</v>
      </c>
      <c r="AI4764">
        <v>89.547787139680395</v>
      </c>
      <c r="AJ4764">
        <v>113.070544469273</v>
      </c>
      <c r="AK4764">
        <v>45.9926533052287</v>
      </c>
      <c r="AL4764">
        <v>88.0930758495021</v>
      </c>
      <c r="AM4764">
        <v>108.99392816038601</v>
      </c>
      <c r="AN4764">
        <v>0.99999997207478497</v>
      </c>
    </row>
    <row r="4765" spans="1:40" x14ac:dyDescent="0.25">
      <c r="A4765" t="str">
        <f>"20190305135724948"</f>
        <v>20190305135724948</v>
      </c>
      <c r="B4765" t="str">
        <f>"1551765444937481"</f>
        <v>1551765444937481</v>
      </c>
      <c r="C4765" t="s">
        <v>40</v>
      </c>
      <c r="D4765">
        <v>4.050732</v>
      </c>
      <c r="E4765">
        <v>0.47228690000000001</v>
      </c>
      <c r="F4765" t="s">
        <v>69</v>
      </c>
      <c r="G4765">
        <v>-166.75450000000001</v>
      </c>
      <c r="H4765">
        <v>1.414242</v>
      </c>
      <c r="I4765">
        <v>-40.619770000000003</v>
      </c>
      <c r="J4765">
        <v>-207.43459999999999</v>
      </c>
      <c r="K4765">
        <v>1.113696</v>
      </c>
      <c r="L4765">
        <v>-61.585450000000002</v>
      </c>
      <c r="M4765">
        <v>0.99714150000000001</v>
      </c>
      <c r="N4765">
        <v>-1.7714649999999998E-2</v>
      </c>
      <c r="O4765">
        <v>7.3452219999999999E-2</v>
      </c>
      <c r="P4765">
        <v>0.91854009999999997</v>
      </c>
      <c r="Q4765">
        <v>1.8307759999999999E-2</v>
      </c>
      <c r="R4765">
        <v>0.39490370000000002</v>
      </c>
      <c r="S4765">
        <v>2.6761020000000002</v>
      </c>
      <c r="T4765">
        <v>1.9683119999999998E-2</v>
      </c>
      <c r="U4765">
        <v>1.3734740000000001</v>
      </c>
      <c r="V4765">
        <v>-0.32664979999999999</v>
      </c>
      <c r="W4765">
        <v>3.2203660000000002E-2</v>
      </c>
      <c r="X4765">
        <v>0.94459660000000001</v>
      </c>
      <c r="Y4765">
        <v>-0.3900478</v>
      </c>
      <c r="Z4765">
        <v>4.0444319999999997E-3</v>
      </c>
      <c r="AA4765">
        <v>0.92078570000000004</v>
      </c>
      <c r="AB4765">
        <v>33</v>
      </c>
      <c r="AC4765">
        <v>40.680099999999896</v>
      </c>
      <c r="AD4765">
        <v>0.30054599999999998</v>
      </c>
      <c r="AE4765">
        <v>20.965679999999999</v>
      </c>
      <c r="AF4765">
        <v>-17.919743272559302</v>
      </c>
      <c r="AG4765">
        <v>0.30054599999999998</v>
      </c>
      <c r="AH4765">
        <v>42.108579064223399</v>
      </c>
      <c r="AI4765">
        <v>89.623718282873995</v>
      </c>
      <c r="AJ4765">
        <v>113.052682206117</v>
      </c>
      <c r="AK4765">
        <v>45.763959156311003</v>
      </c>
      <c r="AL4765">
        <v>88.154547035940993</v>
      </c>
      <c r="AM4765">
        <v>109.07583490587599</v>
      </c>
      <c r="AN4765">
        <v>0.999999952144496</v>
      </c>
    </row>
    <row r="4766" spans="1:40" x14ac:dyDescent="0.25">
      <c r="A4766" t="str">
        <f>"20190305135724966"</f>
        <v>20190305135724966</v>
      </c>
      <c r="B4766" t="str">
        <f>"1551765444957000"</f>
        <v>1551765444957000</v>
      </c>
      <c r="C4766" t="s">
        <v>40</v>
      </c>
      <c r="D4766">
        <v>4.0979910000000004</v>
      </c>
      <c r="E4766">
        <v>0.47228530000000002</v>
      </c>
      <c r="F4766" t="s">
        <v>69</v>
      </c>
      <c r="G4766">
        <v>-167.0489</v>
      </c>
      <c r="H4766">
        <v>1.3393379999999999</v>
      </c>
      <c r="I4766">
        <v>-40.619770000000003</v>
      </c>
      <c r="J4766">
        <v>-207.16569999999999</v>
      </c>
      <c r="K4766">
        <v>1.113877</v>
      </c>
      <c r="L4766">
        <v>-61.56174</v>
      </c>
      <c r="M4766">
        <v>0.9968572</v>
      </c>
      <c r="N4766">
        <v>-1.7960730000000001E-2</v>
      </c>
      <c r="O4766">
        <v>7.7155710000000002E-2</v>
      </c>
      <c r="P4766">
        <v>0.91602059999999996</v>
      </c>
      <c r="Q4766">
        <v>1.7203240000000002E-2</v>
      </c>
      <c r="R4766">
        <v>0.40076230000000002</v>
      </c>
      <c r="S4766">
        <v>2.669861</v>
      </c>
      <c r="T4766">
        <v>1.4915589999999999E-2</v>
      </c>
      <c r="U4766">
        <v>1.3860170000000001</v>
      </c>
      <c r="V4766">
        <v>-0.32917879999999999</v>
      </c>
      <c r="W4766">
        <v>3.114418E-2</v>
      </c>
      <c r="X4766">
        <v>0.94375379999999998</v>
      </c>
      <c r="Y4766">
        <v>-0.39091120000000001</v>
      </c>
      <c r="Z4766">
        <v>4.4074630000000004E-3</v>
      </c>
      <c r="AA4766">
        <v>0.92041779999999995</v>
      </c>
      <c r="AB4766">
        <v>33</v>
      </c>
      <c r="AC4766">
        <v>40.116799999999898</v>
      </c>
      <c r="AD4766">
        <v>0.225460999999999</v>
      </c>
      <c r="AE4766">
        <v>20.941970000000001</v>
      </c>
      <c r="AF4766">
        <v>-17.783341795367999</v>
      </c>
      <c r="AG4766">
        <v>0.225460999999999</v>
      </c>
      <c r="AH4766">
        <v>41.612195841725097</v>
      </c>
      <c r="AI4766">
        <v>89.714540594910304</v>
      </c>
      <c r="AJ4766">
        <v>113.139871724024</v>
      </c>
      <c r="AK4766">
        <v>45.253429934575003</v>
      </c>
      <c r="AL4766">
        <v>88.215281223169796</v>
      </c>
      <c r="AM4766">
        <v>109.22863501204699</v>
      </c>
      <c r="AN4766">
        <v>0.999999938665874</v>
      </c>
    </row>
    <row r="4767" spans="1:40" x14ac:dyDescent="0.25">
      <c r="A4767" t="str">
        <f>"20190305135724981"</f>
        <v>20190305135724981</v>
      </c>
      <c r="B4767" t="str">
        <f>"1551765444977497"</f>
        <v>1551765444977497</v>
      </c>
      <c r="C4767" t="s">
        <v>40</v>
      </c>
      <c r="D4767">
        <v>4.0980449999999999</v>
      </c>
      <c r="E4767">
        <v>0.46687840000000003</v>
      </c>
      <c r="F4767" t="s">
        <v>69</v>
      </c>
      <c r="G4767">
        <v>-167.4485</v>
      </c>
      <c r="H4767">
        <v>1.2973300000000001</v>
      </c>
      <c r="I4767">
        <v>-40.619770000000003</v>
      </c>
      <c r="J4767">
        <v>-206.95820000000001</v>
      </c>
      <c r="K4767">
        <v>1.1140270000000001</v>
      </c>
      <c r="L4767">
        <v>-61.542569999999998</v>
      </c>
      <c r="M4767">
        <v>0.99660709999999997</v>
      </c>
      <c r="N4767">
        <v>-1.8140719999999999E-2</v>
      </c>
      <c r="O4767">
        <v>8.0281649999999996E-2</v>
      </c>
      <c r="P4767">
        <v>0.91384810000000005</v>
      </c>
      <c r="Q4767">
        <v>1.776871E-2</v>
      </c>
      <c r="R4767">
        <v>0.40566740000000001</v>
      </c>
      <c r="S4767">
        <v>2.6609340000000001</v>
      </c>
      <c r="T4767">
        <v>1.2289400000000001E-2</v>
      </c>
      <c r="U4767">
        <v>1.403046</v>
      </c>
      <c r="V4767">
        <v>-0.33129740000000002</v>
      </c>
      <c r="W4767">
        <v>3.1731830000000003E-2</v>
      </c>
      <c r="X4767">
        <v>0.94299259999999996</v>
      </c>
      <c r="Y4767">
        <v>-0.393903</v>
      </c>
      <c r="Z4767">
        <v>4.6602359999999999E-3</v>
      </c>
      <c r="AA4767">
        <v>0.91914019999999996</v>
      </c>
      <c r="AB4767">
        <v>33</v>
      </c>
      <c r="AC4767">
        <v>39.509700000000002</v>
      </c>
      <c r="AD4767">
        <v>0.18330299999999899</v>
      </c>
      <c r="AE4767">
        <v>20.922799999999899</v>
      </c>
      <c r="AF4767">
        <v>-17.682520221417501</v>
      </c>
      <c r="AG4767">
        <v>0.18330299999999899</v>
      </c>
      <c r="AH4767">
        <v>41.061432442913798</v>
      </c>
      <c r="AI4767">
        <v>89.765082927772994</v>
      </c>
      <c r="AJ4767">
        <v>113.29843874589299</v>
      </c>
      <c r="AK4767">
        <v>44.707341182792597</v>
      </c>
      <c r="AL4767">
        <v>88.181594743415403</v>
      </c>
      <c r="AM4767">
        <v>109.35767863057001</v>
      </c>
      <c r="AN4767">
        <v>0.99999995996833302</v>
      </c>
    </row>
    <row r="4768" spans="1:40" x14ac:dyDescent="0.25">
      <c r="A4768" t="str">
        <f>"20190305135724997"</f>
        <v>20190305135724997</v>
      </c>
      <c r="B4768" t="str">
        <f>"1551765444987257"</f>
        <v>1551765444987257</v>
      </c>
      <c r="C4768" t="s">
        <v>40</v>
      </c>
      <c r="D4768">
        <v>4.0713540000000004</v>
      </c>
      <c r="E4768">
        <v>0.46705960000000002</v>
      </c>
      <c r="F4768" t="s">
        <v>69</v>
      </c>
      <c r="G4768">
        <v>-168.45060000000001</v>
      </c>
      <c r="H4768">
        <v>0.78648379999999996</v>
      </c>
      <c r="I4768">
        <v>-40.301409999999997</v>
      </c>
      <c r="J4768">
        <v>-206.7371</v>
      </c>
      <c r="K4768">
        <v>1.1142030000000001</v>
      </c>
      <c r="L4768">
        <v>-61.521329999999999</v>
      </c>
      <c r="M4768">
        <v>0.99631630000000004</v>
      </c>
      <c r="N4768">
        <v>-1.8326350000000002E-2</v>
      </c>
      <c r="O4768">
        <v>8.3775279999999994E-2</v>
      </c>
      <c r="P4768">
        <v>0.91059420000000002</v>
      </c>
      <c r="Q4768">
        <v>1.9566239999999999E-2</v>
      </c>
      <c r="R4768">
        <v>0.4128386</v>
      </c>
      <c r="S4768">
        <v>2.6374360000000001</v>
      </c>
      <c r="T4768">
        <v>-2.243531E-2</v>
      </c>
      <c r="U4768">
        <v>1.454834</v>
      </c>
      <c r="V4768">
        <v>-0.3354376</v>
      </c>
      <c r="W4768">
        <v>3.350376E-2</v>
      </c>
      <c r="X4768">
        <v>0.94146649999999998</v>
      </c>
      <c r="Y4768">
        <v>-0.40789130000000001</v>
      </c>
      <c r="Z4768">
        <v>6.38837E-3</v>
      </c>
      <c r="AA4768">
        <v>0.91300820000000005</v>
      </c>
      <c r="AB4768">
        <v>33</v>
      </c>
      <c r="AC4768">
        <v>38.286499999999897</v>
      </c>
      <c r="AD4768">
        <v>-0.32771919999999999</v>
      </c>
      <c r="AE4768">
        <v>21.219919999999998</v>
      </c>
      <c r="AF4768">
        <v>-17.9362941208969</v>
      </c>
      <c r="AG4768">
        <v>-0.32771919999999999</v>
      </c>
      <c r="AH4768">
        <v>39.9276302649549</v>
      </c>
      <c r="AI4768">
        <v>90.428970081619298</v>
      </c>
      <c r="AJ4768">
        <v>114.190574481691</v>
      </c>
      <c r="AK4768">
        <v>43.772522262720003</v>
      </c>
      <c r="AL4768">
        <v>88.080016696197205</v>
      </c>
      <c r="AM4768">
        <v>109.61061001469599</v>
      </c>
      <c r="AN4768">
        <v>1.00000002802507</v>
      </c>
    </row>
    <row r="4769" spans="1:40" x14ac:dyDescent="0.25">
      <c r="A4769" t="str">
        <f>"20190305135725007"</f>
        <v>20190305135725007</v>
      </c>
      <c r="B4769" t="str">
        <f>"1551765444997017"</f>
        <v>1551765444997017</v>
      </c>
      <c r="C4769" t="s">
        <v>40</v>
      </c>
      <c r="D4769">
        <v>4.1023399999999999</v>
      </c>
      <c r="E4769">
        <v>0.4672116</v>
      </c>
      <c r="F4769" t="s">
        <v>69</v>
      </c>
      <c r="G4769">
        <v>-168.45060000000001</v>
      </c>
      <c r="H4769">
        <v>0.81443980000000005</v>
      </c>
      <c r="I4769">
        <v>-40.037219999999998</v>
      </c>
      <c r="J4769">
        <v>-206.56819999999999</v>
      </c>
      <c r="K4769">
        <v>1.114352</v>
      </c>
      <c r="L4769">
        <v>-61.504640000000002</v>
      </c>
      <c r="M4769">
        <v>0.99607749999999995</v>
      </c>
      <c r="N4769">
        <v>-1.8464359999999999E-2</v>
      </c>
      <c r="O4769">
        <v>8.6537459999999997E-2</v>
      </c>
      <c r="P4769">
        <v>0.9084409</v>
      </c>
      <c r="Q4769">
        <v>2.0655340000000001E-2</v>
      </c>
      <c r="R4769">
        <v>0.41750290000000001</v>
      </c>
      <c r="S4769">
        <v>2.6267399999999999</v>
      </c>
      <c r="T4769">
        <v>-2.05673E-2</v>
      </c>
      <c r="U4769">
        <v>1.4739690000000001</v>
      </c>
      <c r="V4769">
        <v>-0.337680599999999</v>
      </c>
      <c r="W4769">
        <v>3.4573649999999997E-2</v>
      </c>
      <c r="X4769">
        <v>0.9406255</v>
      </c>
      <c r="Y4769">
        <v>-0.41200419999999999</v>
      </c>
      <c r="Z4769">
        <v>6.4397539999999998E-3</v>
      </c>
      <c r="AA4769">
        <v>0.91115919999999895</v>
      </c>
      <c r="AB4769">
        <v>32</v>
      </c>
      <c r="AC4769">
        <v>38.117599999999896</v>
      </c>
      <c r="AD4769">
        <v>-0.29991220000000002</v>
      </c>
      <c r="AE4769">
        <v>21.467420000000001</v>
      </c>
      <c r="AF4769">
        <v>-18.086846838679101</v>
      </c>
      <c r="AG4769">
        <v>-0.29991220000000002</v>
      </c>
      <c r="AH4769">
        <v>39.830737385550997</v>
      </c>
      <c r="AI4769">
        <v>90.392809443959493</v>
      </c>
      <c r="AJ4769">
        <v>114.422451837857</v>
      </c>
      <c r="AK4769">
        <v>43.745989719862003</v>
      </c>
      <c r="AL4769">
        <v>88.018680772205897</v>
      </c>
      <c r="AM4769">
        <v>109.74792463510001</v>
      </c>
      <c r="AN4769">
        <v>0.99999992807046301</v>
      </c>
    </row>
    <row r="4770" spans="1:40" x14ac:dyDescent="0.25">
      <c r="A4770" t="str">
        <f>"20190305135725019"</f>
        <v>20190305135725019</v>
      </c>
      <c r="B4770" t="str">
        <f>"1551765445007753"</f>
        <v>1551765445007753</v>
      </c>
      <c r="C4770" t="s">
        <v>40</v>
      </c>
      <c r="D4770">
        <v>4.0970950000000004</v>
      </c>
      <c r="E4770">
        <v>0.46715089999999998</v>
      </c>
      <c r="F4770" t="s">
        <v>69</v>
      </c>
      <c r="G4770">
        <v>-168.45060000000001</v>
      </c>
      <c r="H4770">
        <v>0.88534639999999998</v>
      </c>
      <c r="I4770">
        <v>-39.875810000000001</v>
      </c>
      <c r="J4770">
        <v>-206.4204</v>
      </c>
      <c r="K4770">
        <v>1.114503</v>
      </c>
      <c r="L4770">
        <v>-61.489229999999999</v>
      </c>
      <c r="M4770">
        <v>0.99585310000000005</v>
      </c>
      <c r="N4770">
        <v>-1.8578669999999999E-2</v>
      </c>
      <c r="O4770">
        <v>8.9059120000000006E-2</v>
      </c>
      <c r="P4770">
        <v>0.90657160000000003</v>
      </c>
      <c r="Q4770">
        <v>2.1307900000000001E-2</v>
      </c>
      <c r="R4770">
        <v>0.4215139</v>
      </c>
      <c r="S4770">
        <v>2.6195979999999999</v>
      </c>
      <c r="T4770">
        <v>-1.573956E-2</v>
      </c>
      <c r="U4770">
        <v>1.4864200000000001</v>
      </c>
      <c r="V4770">
        <v>-0.33947620000000001</v>
      </c>
      <c r="W4770">
        <v>3.519601E-2</v>
      </c>
      <c r="X4770">
        <v>0.93995589999999996</v>
      </c>
      <c r="Y4770">
        <v>-0.41404970000000002</v>
      </c>
      <c r="Z4770">
        <v>6.3290489999999998E-3</v>
      </c>
      <c r="AA4770">
        <v>0.91023220000000005</v>
      </c>
      <c r="AB4770">
        <v>32</v>
      </c>
      <c r="AC4770">
        <v>37.9697999999999</v>
      </c>
      <c r="AD4770">
        <v>-0.22915659999999999</v>
      </c>
      <c r="AE4770">
        <v>21.613420000000001</v>
      </c>
      <c r="AF4770">
        <v>-18.1448662034169</v>
      </c>
      <c r="AG4770">
        <v>-0.22915659999999999</v>
      </c>
      <c r="AH4770">
        <v>39.742979825820797</v>
      </c>
      <c r="AI4770">
        <v>90.300522893982603</v>
      </c>
      <c r="AJ4770">
        <v>114.539317479548</v>
      </c>
      <c r="AK4770">
        <v>43.689737098348701</v>
      </c>
      <c r="AL4770">
        <v>87.983000538573094</v>
      </c>
      <c r="AM4770">
        <v>109.857785456484</v>
      </c>
      <c r="AN4770">
        <v>0.99999997171558397</v>
      </c>
    </row>
    <row r="4771" spans="1:40" x14ac:dyDescent="0.25">
      <c r="A4771" t="str">
        <f>"20190305135725031"</f>
        <v>20190305135725031</v>
      </c>
      <c r="B4771" t="str">
        <f>"1551765445027275"</f>
        <v>1551765445027275</v>
      </c>
      <c r="C4771" t="s">
        <v>40</v>
      </c>
      <c r="D4771">
        <v>4.1154539999999997</v>
      </c>
      <c r="E4771">
        <v>0.46767819999999999</v>
      </c>
      <c r="F4771" t="s">
        <v>69</v>
      </c>
      <c r="G4771">
        <v>-168.45060000000001</v>
      </c>
      <c r="H4771">
        <v>0.88911149999999906</v>
      </c>
      <c r="I4771">
        <v>-39.715479999999999</v>
      </c>
      <c r="J4771">
        <v>-206.251</v>
      </c>
      <c r="K4771">
        <v>1.1146670000000001</v>
      </c>
      <c r="L4771">
        <v>-61.471409999999999</v>
      </c>
      <c r="M4771">
        <v>0.99558519999999995</v>
      </c>
      <c r="N4771">
        <v>-1.8707560000000002E-2</v>
      </c>
      <c r="O4771">
        <v>9.1978459999999998E-2</v>
      </c>
      <c r="P4771">
        <v>0.90478230000000004</v>
      </c>
      <c r="Q4771">
        <v>2.2283919999999999E-2</v>
      </c>
      <c r="R4771">
        <v>0.42529109999999998</v>
      </c>
      <c r="S4771">
        <v>2.6128849999999999</v>
      </c>
      <c r="T4771">
        <v>-1.5511509999999999E-2</v>
      </c>
      <c r="U4771">
        <v>1.4983519999999999</v>
      </c>
      <c r="V4771">
        <v>-0.34066819999999998</v>
      </c>
      <c r="W4771">
        <v>3.6147180000000001E-2</v>
      </c>
      <c r="X4771">
        <v>0.93948849999999995</v>
      </c>
      <c r="Y4771">
        <v>-0.4155181</v>
      </c>
      <c r="Z4771">
        <v>6.4170360000000001E-3</v>
      </c>
      <c r="AA4771">
        <v>0.90956230000000005</v>
      </c>
      <c r="AB4771">
        <v>32</v>
      </c>
      <c r="AC4771">
        <v>37.800399999999897</v>
      </c>
      <c r="AD4771">
        <v>-0.22555549999999999</v>
      </c>
      <c r="AE4771">
        <v>21.755929999999999</v>
      </c>
      <c r="AF4771">
        <v>-18.185756481215702</v>
      </c>
      <c r="AG4771">
        <v>-0.22555549999999999</v>
      </c>
      <c r="AH4771">
        <v>39.640474833755199</v>
      </c>
      <c r="AI4771">
        <v>90.296317135551405</v>
      </c>
      <c r="AJ4771">
        <v>114.644112796455</v>
      </c>
      <c r="AK4771">
        <v>43.613528395708201</v>
      </c>
      <c r="AL4771">
        <v>87.928467946244595</v>
      </c>
      <c r="AM4771">
        <v>109.931165817829</v>
      </c>
      <c r="AN4771">
        <v>1.0000000413727199</v>
      </c>
    </row>
    <row r="4772" spans="1:40" x14ac:dyDescent="0.25">
      <c r="A4772" t="str">
        <f>"20190305135725043"</f>
        <v>20190305135725043</v>
      </c>
      <c r="B4772" t="str">
        <f>"1551765445037034"</f>
        <v>1551765445037034</v>
      </c>
      <c r="C4772" t="s">
        <v>40</v>
      </c>
      <c r="D4772">
        <v>4.1081370000000001</v>
      </c>
      <c r="E4772">
        <v>0.46765250000000003</v>
      </c>
      <c r="F4772" t="s">
        <v>69</v>
      </c>
      <c r="G4772">
        <v>-168.45060000000001</v>
      </c>
      <c r="H4772">
        <v>0.87919239999999999</v>
      </c>
      <c r="I4772">
        <v>-39.66084</v>
      </c>
      <c r="J4772">
        <v>-206.06979999999999</v>
      </c>
      <c r="K4772">
        <v>1.1148469999999999</v>
      </c>
      <c r="L4772">
        <v>-61.451320000000003</v>
      </c>
      <c r="M4772">
        <v>0.99527639999999995</v>
      </c>
      <c r="N4772">
        <v>-1.883988E-2</v>
      </c>
      <c r="O4772">
        <v>9.5236379999999995E-2</v>
      </c>
      <c r="P4772">
        <v>0.90282980000000002</v>
      </c>
      <c r="Q4772">
        <v>2.3162530000000001E-2</v>
      </c>
      <c r="R4772">
        <v>0.42937380000000003</v>
      </c>
      <c r="S4772">
        <v>2.6086269999999998</v>
      </c>
      <c r="T4772">
        <v>-1.6251680000000001E-2</v>
      </c>
      <c r="U4772">
        <v>1.5051570000000001</v>
      </c>
      <c r="V4772">
        <v>-0.34186460000000002</v>
      </c>
      <c r="W4772">
        <v>3.699156E-2</v>
      </c>
      <c r="X4772">
        <v>0.93902090000000005</v>
      </c>
      <c r="Y4772">
        <v>-0.41496169999999999</v>
      </c>
      <c r="Z4772">
        <v>6.5230699999999997E-3</v>
      </c>
      <c r="AA4772">
        <v>0.9098155</v>
      </c>
      <c r="AB4772">
        <v>32</v>
      </c>
      <c r="AC4772">
        <v>37.6191999999999</v>
      </c>
      <c r="AD4772">
        <v>-0.23565459999999899</v>
      </c>
      <c r="AE4772">
        <v>21.790479999999899</v>
      </c>
      <c r="AF4772">
        <v>-18.107515759800101</v>
      </c>
      <c r="AG4772">
        <v>-0.23565459999999899</v>
      </c>
      <c r="AH4772">
        <v>39.522601622272198</v>
      </c>
      <c r="AI4772">
        <v>90.310579510126004</v>
      </c>
      <c r="AJ4772">
        <v>114.615166068199</v>
      </c>
      <c r="AK4772">
        <v>43.473827748137701</v>
      </c>
      <c r="AL4772">
        <v>87.880056099669105</v>
      </c>
      <c r="AM4772">
        <v>110.00479201075601</v>
      </c>
      <c r="AN4772">
        <v>1.0000000154405999</v>
      </c>
    </row>
    <row r="4773" spans="1:40" x14ac:dyDescent="0.25">
      <c r="A4773" t="str">
        <f>"20190305135725054"</f>
        <v>20190305135725054</v>
      </c>
      <c r="B4773" t="str">
        <f>"1551765445047769"</f>
        <v>1551765445047769</v>
      </c>
      <c r="C4773" t="s">
        <v>40</v>
      </c>
      <c r="D4773">
        <v>4.1325500000000002</v>
      </c>
      <c r="E4773">
        <v>0.46728180000000002</v>
      </c>
      <c r="F4773" t="s">
        <v>69</v>
      </c>
      <c r="G4773">
        <v>-168.45060000000001</v>
      </c>
      <c r="H4773">
        <v>0.93315219999999999</v>
      </c>
      <c r="I4773">
        <v>-39.51</v>
      </c>
      <c r="J4773">
        <v>-205.90979999999999</v>
      </c>
      <c r="K4773">
        <v>1.115</v>
      </c>
      <c r="L4773">
        <v>-61.433109999999999</v>
      </c>
      <c r="M4773">
        <v>0.99498830000000005</v>
      </c>
      <c r="N4773">
        <v>-1.8953660000000001E-2</v>
      </c>
      <c r="O4773">
        <v>9.8178059999999998E-2</v>
      </c>
      <c r="P4773">
        <v>0.90122460000000004</v>
      </c>
      <c r="Q4773">
        <v>2.3145720000000002E-2</v>
      </c>
      <c r="R4773">
        <v>0.4327339</v>
      </c>
      <c r="S4773">
        <v>2.6015779999999999</v>
      </c>
      <c r="T4773">
        <v>-1.2566570000000001E-2</v>
      </c>
      <c r="U4773">
        <v>1.5173650000000001</v>
      </c>
      <c r="V4773">
        <v>-0.34260079999999998</v>
      </c>
      <c r="W4773">
        <v>3.6951060000000001E-2</v>
      </c>
      <c r="X4773">
        <v>0.93875410000000004</v>
      </c>
      <c r="Y4773">
        <v>-0.41653849999999998</v>
      </c>
      <c r="Z4773">
        <v>6.4733079999999997E-3</v>
      </c>
      <c r="AA4773">
        <v>0.90909499999999999</v>
      </c>
      <c r="AB4773">
        <v>32</v>
      </c>
      <c r="AC4773">
        <v>37.459199999999903</v>
      </c>
      <c r="AD4773">
        <v>-0.1818478</v>
      </c>
      <c r="AE4773">
        <v>21.923110000000001</v>
      </c>
      <c r="AF4773">
        <v>-18.1385073587549</v>
      </c>
      <c r="AG4773">
        <v>-0.1818478</v>
      </c>
      <c r="AH4773">
        <v>39.430227389721999</v>
      </c>
      <c r="AI4773">
        <v>90.240058289853707</v>
      </c>
      <c r="AJ4773">
        <v>114.70315312343</v>
      </c>
      <c r="AK4773">
        <v>43.402550038346298</v>
      </c>
      <c r="AL4773">
        <v>87.882378079778803</v>
      </c>
      <c r="AM4773">
        <v>110.049688285652</v>
      </c>
      <c r="AN4773">
        <v>0.99999997463128598</v>
      </c>
    </row>
    <row r="4774" spans="1:40" x14ac:dyDescent="0.25">
      <c r="A4774" t="str">
        <f>"20190305135725066"</f>
        <v>20190305135725066</v>
      </c>
      <c r="B4774" t="str">
        <f>"1551765445057529"</f>
        <v>1551765445057529</v>
      </c>
      <c r="C4774" t="s">
        <v>40</v>
      </c>
      <c r="D4774">
        <v>4.2368739999999896</v>
      </c>
      <c r="E4774">
        <v>0.46728180000000002</v>
      </c>
      <c r="F4774" t="s">
        <v>69</v>
      </c>
      <c r="G4774">
        <v>-168.45060000000001</v>
      </c>
      <c r="H4774">
        <v>1.001692</v>
      </c>
      <c r="I4774">
        <v>-39.340890000000002</v>
      </c>
      <c r="J4774">
        <v>-205.7338</v>
      </c>
      <c r="K4774">
        <v>1.115164</v>
      </c>
      <c r="L4774">
        <v>-61.412509999999997</v>
      </c>
      <c r="M4774">
        <v>0.99465329999999996</v>
      </c>
      <c r="N4774">
        <v>-1.9075269999999998E-2</v>
      </c>
      <c r="O4774">
        <v>0.1014939</v>
      </c>
      <c r="P4774">
        <v>0.89938169999999995</v>
      </c>
      <c r="Q4774">
        <v>2.342209E-2</v>
      </c>
      <c r="R4774">
        <v>0.43653649999999999</v>
      </c>
      <c r="S4774">
        <v>2.5943450000000001</v>
      </c>
      <c r="T4774">
        <v>-7.8488589999999997E-3</v>
      </c>
      <c r="U4774">
        <v>1.53006</v>
      </c>
      <c r="V4774">
        <v>-0.34345589999999998</v>
      </c>
      <c r="W4774">
        <v>3.7201709999999999E-2</v>
      </c>
      <c r="X4774">
        <v>0.93843169999999998</v>
      </c>
      <c r="Y4774">
        <v>-0.41792849999999998</v>
      </c>
      <c r="Z4774">
        <v>6.3955829999999998E-3</v>
      </c>
      <c r="AA4774">
        <v>0.90845739999999997</v>
      </c>
      <c r="AB4774">
        <v>32</v>
      </c>
      <c r="AC4774">
        <v>37.283200000000001</v>
      </c>
      <c r="AD4774">
        <v>-0.113472</v>
      </c>
      <c r="AE4774">
        <v>22.071619999999999</v>
      </c>
      <c r="AF4774">
        <v>-18.172773608179199</v>
      </c>
      <c r="AG4774">
        <v>-0.113472</v>
      </c>
      <c r="AH4774">
        <v>39.3308779399296</v>
      </c>
      <c r="AI4774">
        <v>90.150057883710701</v>
      </c>
      <c r="AJ4774">
        <v>114.799227634472</v>
      </c>
      <c r="AK4774">
        <v>43.326441534409</v>
      </c>
      <c r="AL4774">
        <v>87.868007041876993</v>
      </c>
      <c r="AM4774">
        <v>110.102081858139</v>
      </c>
      <c r="AN4774">
        <v>0.999999989018312</v>
      </c>
    </row>
    <row r="4775" spans="1:40" x14ac:dyDescent="0.25">
      <c r="A4775" t="str">
        <f>"20190305135725077"</f>
        <v>20190305135725077</v>
      </c>
      <c r="B4775" t="str">
        <f>"1551765445067290"</f>
        <v>1551765445067290</v>
      </c>
      <c r="C4775" t="s">
        <v>40</v>
      </c>
      <c r="D4775">
        <v>4.029776</v>
      </c>
      <c r="E4775">
        <v>0.42421710000000001</v>
      </c>
      <c r="F4775" t="s">
        <v>69</v>
      </c>
      <c r="G4775">
        <v>-168.45060000000001</v>
      </c>
      <c r="H4775">
        <v>1.0173219999999901</v>
      </c>
      <c r="I4775">
        <v>-39.210850000000001</v>
      </c>
      <c r="J4775">
        <v>-205.5933</v>
      </c>
      <c r="K4775">
        <v>1.1152899999999999</v>
      </c>
      <c r="L4775">
        <v>-61.395319999999998</v>
      </c>
      <c r="M4775">
        <v>0.99436610000000003</v>
      </c>
      <c r="N4775">
        <v>-1.9167380000000001E-2</v>
      </c>
      <c r="O4775">
        <v>0.1042529</v>
      </c>
      <c r="P4775">
        <v>0.89746809999999999</v>
      </c>
      <c r="Q4775">
        <v>2.342936E-2</v>
      </c>
      <c r="R4775">
        <v>0.44045679999999998</v>
      </c>
      <c r="S4775">
        <v>2.5878299999999999</v>
      </c>
      <c r="T4775">
        <v>-6.7926649999999998E-3</v>
      </c>
      <c r="U4775">
        <v>1.5410159999999999</v>
      </c>
      <c r="V4775">
        <v>-0.3449585</v>
      </c>
      <c r="W4775">
        <v>3.7173110000000002E-2</v>
      </c>
      <c r="X4775">
        <v>0.93788150000000003</v>
      </c>
      <c r="Y4775">
        <v>-0.41925479999999998</v>
      </c>
      <c r="Z4775">
        <v>6.4458270000000003E-3</v>
      </c>
      <c r="AA4775">
        <v>0.90784569999999998</v>
      </c>
      <c r="AB4775">
        <v>32</v>
      </c>
      <c r="AC4775">
        <v>37.142699999999898</v>
      </c>
      <c r="AD4775">
        <v>-9.7968E-2</v>
      </c>
      <c r="AE4775">
        <v>22.184470000000001</v>
      </c>
      <c r="AF4775">
        <v>-18.190499295858601</v>
      </c>
      <c r="AG4775">
        <v>-9.7968E-2</v>
      </c>
      <c r="AH4775">
        <v>39.253247159029499</v>
      </c>
      <c r="AI4775">
        <v>90.129743813043504</v>
      </c>
      <c r="AJ4775">
        <v>114.863660673536</v>
      </c>
      <c r="AK4775">
        <v>43.263394167465798</v>
      </c>
      <c r="AL4775">
        <v>87.869646768106506</v>
      </c>
      <c r="AM4775">
        <v>110.193827990331</v>
      </c>
      <c r="AN4775">
        <v>0.99999995743578496</v>
      </c>
    </row>
    <row r="4776" spans="1:40" x14ac:dyDescent="0.25">
      <c r="A4776" t="str">
        <f>"20190305135725089"</f>
        <v>20190305135725089</v>
      </c>
      <c r="B4776" t="str">
        <f>"1551765445086809"</f>
        <v>1551765445086809</v>
      </c>
      <c r="C4776" t="s">
        <v>40</v>
      </c>
      <c r="D4776">
        <v>4.0742719999999997</v>
      </c>
      <c r="E4776">
        <v>0.41271659999999999</v>
      </c>
      <c r="F4776" t="s">
        <v>78</v>
      </c>
      <c r="G4776">
        <v>-180.50229999999999</v>
      </c>
      <c r="H4776" s="1">
        <v>-5.8193840000000001E-6</v>
      </c>
      <c r="I4776">
        <v>-42.265180000000001</v>
      </c>
      <c r="J4776">
        <v>-205.42169999999999</v>
      </c>
      <c r="K4776">
        <v>1.115451</v>
      </c>
      <c r="L4776">
        <v>-61.374110000000002</v>
      </c>
      <c r="M4776">
        <v>0.99400049999999995</v>
      </c>
      <c r="N4776">
        <v>-1.9277389999999998E-2</v>
      </c>
      <c r="O4776">
        <v>0.10766290000000001</v>
      </c>
      <c r="P4776">
        <v>0.89513759999999998</v>
      </c>
      <c r="Q4776">
        <v>2.3571140000000001E-2</v>
      </c>
      <c r="R4776">
        <v>0.44516640000000002</v>
      </c>
      <c r="S4776">
        <v>2.4345859999999999</v>
      </c>
      <c r="T4776">
        <v>-0.10821740000000001</v>
      </c>
      <c r="U4776">
        <v>1.856201</v>
      </c>
      <c r="V4776">
        <v>-0.34668559999999998</v>
      </c>
      <c r="W4776">
        <v>3.72708E-2</v>
      </c>
      <c r="X4776">
        <v>0.93724059999999998</v>
      </c>
      <c r="Y4776">
        <v>-0.51664639999999995</v>
      </c>
      <c r="Z4776">
        <v>1.3388540000000001E-2</v>
      </c>
      <c r="AA4776">
        <v>0.85609419999999903</v>
      </c>
      <c r="AB4776">
        <v>32</v>
      </c>
      <c r="AC4776">
        <v>24.9194</v>
      </c>
      <c r="AD4776">
        <v>-1.115456819384</v>
      </c>
      <c r="AE4776">
        <v>19.108929999999901</v>
      </c>
      <c r="AF4776">
        <v>-16.293864731254001</v>
      </c>
      <c r="AG4776">
        <v>-1.115456819384</v>
      </c>
      <c r="AH4776">
        <v>26.798393389264799</v>
      </c>
      <c r="AI4776">
        <v>92.036917421592904</v>
      </c>
      <c r="AJ4776">
        <v>121.30029058517199</v>
      </c>
      <c r="AK4776">
        <v>31.3829278436876</v>
      </c>
      <c r="AL4776">
        <v>87.864045710018303</v>
      </c>
      <c r="AM4776">
        <v>110.299450139239</v>
      </c>
      <c r="AN4776">
        <v>0.999999980034179</v>
      </c>
    </row>
    <row r="4777" spans="1:40" x14ac:dyDescent="0.25">
      <c r="A4777" t="str">
        <f>"20190305135725105"</f>
        <v>20190305135725105</v>
      </c>
      <c r="B4777" t="str">
        <f>"1551765445097545"</f>
        <v>1551765445097545</v>
      </c>
      <c r="C4777" t="s">
        <v>40</v>
      </c>
      <c r="D4777">
        <v>4.0678749999999999</v>
      </c>
      <c r="E4777">
        <v>0.4113328</v>
      </c>
      <c r="F4777" t="s">
        <v>78</v>
      </c>
      <c r="G4777">
        <v>-189.52289999999999</v>
      </c>
      <c r="H4777" s="1">
        <v>-4.4559379999999998E-6</v>
      </c>
      <c r="I4777">
        <v>-48.397509999999997</v>
      </c>
      <c r="J4777">
        <v>-205.20189999999999</v>
      </c>
      <c r="K4777">
        <v>1.11564</v>
      </c>
      <c r="L4777">
        <v>-61.34543</v>
      </c>
      <c r="M4777">
        <v>0.99348800000000004</v>
      </c>
      <c r="N4777">
        <v>-1.9397330000000001E-2</v>
      </c>
      <c r="O4777">
        <v>0.11227470000000001</v>
      </c>
      <c r="P4777">
        <v>0.89214720000000003</v>
      </c>
      <c r="Q4777">
        <v>2.381517E-2</v>
      </c>
      <c r="R4777">
        <v>0.45111699999999999</v>
      </c>
      <c r="S4777">
        <v>2.3869630000000002</v>
      </c>
      <c r="T4777">
        <v>-0.1674688</v>
      </c>
      <c r="U4777">
        <v>1.948242</v>
      </c>
      <c r="V4777">
        <v>-0.34859759999999901</v>
      </c>
      <c r="W4777">
        <v>3.7445680000000002E-2</v>
      </c>
      <c r="X4777">
        <v>0.93652420000000003</v>
      </c>
      <c r="Y4777">
        <v>-0.54029259999999901</v>
      </c>
      <c r="Z4777">
        <v>1.758034E-2</v>
      </c>
      <c r="AA4777">
        <v>0.84129349999999903</v>
      </c>
      <c r="AB4777">
        <v>32</v>
      </c>
      <c r="AC4777">
        <v>15.679</v>
      </c>
      <c r="AD4777">
        <v>-1.1156444559380001</v>
      </c>
      <c r="AE4777">
        <v>12.94792</v>
      </c>
      <c r="AF4777">
        <v>-11.072006926159901</v>
      </c>
      <c r="AG4777">
        <v>-1.1156444559380001</v>
      </c>
      <c r="AH4777">
        <v>16.982703141995898</v>
      </c>
      <c r="AI4777">
        <v>93.149842882079795</v>
      </c>
      <c r="AJ4777">
        <v>123.102656455961</v>
      </c>
      <c r="AK4777">
        <v>20.303847072270699</v>
      </c>
      <c r="AL4777">
        <v>87.854018913367597</v>
      </c>
      <c r="AM4777">
        <v>110.416518172126</v>
      </c>
      <c r="AN4777">
        <v>1.0000000214310301</v>
      </c>
    </row>
    <row r="4778" spans="1:40" x14ac:dyDescent="0.25">
      <c r="A4778" t="str">
        <f>"20190305135725119"</f>
        <v>20190305135725119</v>
      </c>
      <c r="B4778" t="str">
        <f>"1551765445107305"</f>
        <v>1551765445107305</v>
      </c>
      <c r="C4778" t="s">
        <v>40</v>
      </c>
      <c r="D4778">
        <v>4.0074930000000002</v>
      </c>
      <c r="E4778">
        <v>0.4110568</v>
      </c>
      <c r="F4778" t="s">
        <v>41</v>
      </c>
      <c r="G4778">
        <v>-204.49299999999999</v>
      </c>
      <c r="H4778">
        <v>1.0610250000000001</v>
      </c>
      <c r="I4778">
        <v>-60.7553699999999</v>
      </c>
      <c r="J4778">
        <v>-205.01050000000001</v>
      </c>
      <c r="K4778">
        <v>1.1158060000000001</v>
      </c>
      <c r="L4778">
        <v>-61.319490000000002</v>
      </c>
      <c r="M4778">
        <v>0.99300809999999995</v>
      </c>
      <c r="N4778">
        <v>-1.9490259999999999E-2</v>
      </c>
      <c r="O4778">
        <v>0.116426</v>
      </c>
      <c r="P4778">
        <v>0.88862929999999996</v>
      </c>
      <c r="Q4778">
        <v>2.263387E-2</v>
      </c>
      <c r="R4778">
        <v>0.45806740000000001</v>
      </c>
      <c r="S4778">
        <v>2.3698429999999999</v>
      </c>
      <c r="T4778">
        <v>-0.18258930000000001</v>
      </c>
      <c r="U4778">
        <v>1.9730829999999999</v>
      </c>
      <c r="V4778">
        <v>-0.35198810000000003</v>
      </c>
      <c r="W4778">
        <v>3.615765E-2</v>
      </c>
      <c r="X4778">
        <v>0.93530579999999996</v>
      </c>
      <c r="Y4778">
        <v>-0.54480779999999995</v>
      </c>
      <c r="Z4778">
        <v>1.8540979999999999E-2</v>
      </c>
      <c r="AA4778">
        <v>0.83835599999999999</v>
      </c>
      <c r="AB4778">
        <v>32</v>
      </c>
      <c r="AC4778">
        <v>0.51750000000001195</v>
      </c>
      <c r="AD4778">
        <v>-5.4780999999999698E-2</v>
      </c>
      <c r="AE4778">
        <v>0.56412000000000895</v>
      </c>
      <c r="AF4778">
        <v>-0.49747282332772103</v>
      </c>
      <c r="AG4778">
        <v>-5.4780999999999698E-2</v>
      </c>
      <c r="AH4778">
        <v>0.57671681726795498</v>
      </c>
      <c r="AI4778">
        <v>94.113967323292798</v>
      </c>
      <c r="AJ4778">
        <v>130.78087834524001</v>
      </c>
      <c r="AK4778">
        <v>0.76359835989238101</v>
      </c>
      <c r="AL4778">
        <v>87.927867516714997</v>
      </c>
      <c r="AM4778">
        <v>110.62306420326</v>
      </c>
      <c r="AN4778">
        <v>0.99999996885438502</v>
      </c>
    </row>
    <row r="4779" spans="1:40" x14ac:dyDescent="0.25">
      <c r="A4779" t="str">
        <f>"20190305135725134"</f>
        <v>20190305135725134</v>
      </c>
      <c r="B4779" t="str">
        <f>"1551765445126824"</f>
        <v>1551765445126824</v>
      </c>
      <c r="C4779" t="s">
        <v>40</v>
      </c>
      <c r="D4779">
        <v>4.0481020000000001</v>
      </c>
      <c r="E4779">
        <v>0.41034880000000001</v>
      </c>
      <c r="F4779" t="s">
        <v>41</v>
      </c>
      <c r="G4779">
        <v>-204.23660000000001</v>
      </c>
      <c r="H4779">
        <v>1.0512250000000001</v>
      </c>
      <c r="I4779">
        <v>-60.664009999999998</v>
      </c>
      <c r="J4779">
        <v>-204.8133</v>
      </c>
      <c r="K4779">
        <v>1.1159600000000001</v>
      </c>
      <c r="L4779">
        <v>-61.291930000000001</v>
      </c>
      <c r="M4779">
        <v>0.99248150000000002</v>
      </c>
      <c r="N4779">
        <v>-1.957596E-2</v>
      </c>
      <c r="O4779">
        <v>0.1208197</v>
      </c>
      <c r="P4779">
        <v>0.8860903</v>
      </c>
      <c r="Q4779">
        <v>2.1486020000000002E-2</v>
      </c>
      <c r="R4779">
        <v>0.4630145</v>
      </c>
      <c r="S4779">
        <v>2.3536830000000002</v>
      </c>
      <c r="T4779">
        <v>-0.19639580000000001</v>
      </c>
      <c r="U4779">
        <v>1.99295</v>
      </c>
      <c r="V4779">
        <v>-0.35305799999999998</v>
      </c>
      <c r="W4779">
        <v>3.4939640000000001E-2</v>
      </c>
      <c r="X4779">
        <v>0.93494880000000002</v>
      </c>
      <c r="Y4779">
        <v>-0.54789759999999998</v>
      </c>
      <c r="Z4779">
        <v>1.933004E-2</v>
      </c>
      <c r="AA4779">
        <v>0.83632209999999996</v>
      </c>
      <c r="AB4779">
        <v>32</v>
      </c>
      <c r="AC4779">
        <v>0.576699999999988</v>
      </c>
      <c r="AD4779">
        <v>-6.4734999999999904E-2</v>
      </c>
      <c r="AE4779">
        <v>0.62792000000001003</v>
      </c>
      <c r="AF4779">
        <v>-0.55045476254428205</v>
      </c>
      <c r="AG4779">
        <v>-6.4734999999999904E-2</v>
      </c>
      <c r="AH4779">
        <v>0.64463684195813997</v>
      </c>
      <c r="AI4779">
        <v>94.3670583998571</v>
      </c>
      <c r="AJ4779">
        <v>130.49398073086601</v>
      </c>
      <c r="AK4779">
        <v>0.85014570741870199</v>
      </c>
      <c r="AL4779">
        <v>87.997698543296295</v>
      </c>
      <c r="AM4779">
        <v>110.687680624178</v>
      </c>
      <c r="AN4779">
        <v>0.99999999421438401</v>
      </c>
    </row>
    <row r="4780" spans="1:40" x14ac:dyDescent="0.25">
      <c r="A4780" t="str">
        <f>"20190305135725145"</f>
        <v>20190305135725145</v>
      </c>
      <c r="B4780" t="str">
        <f>"1551765445137562"</f>
        <v>1551765445137562</v>
      </c>
      <c r="C4780" t="s">
        <v>40</v>
      </c>
      <c r="D4780">
        <v>4.0377190000000001</v>
      </c>
      <c r="E4780">
        <v>0.41007519999999997</v>
      </c>
      <c r="F4780" t="s">
        <v>41</v>
      </c>
      <c r="G4780">
        <v>-203.98060000000001</v>
      </c>
      <c r="H4780">
        <v>1.0418719999999999</v>
      </c>
      <c r="I4780">
        <v>-60.57649</v>
      </c>
      <c r="J4780">
        <v>-204.64089999999999</v>
      </c>
      <c r="K4780">
        <v>1.1160920000000001</v>
      </c>
      <c r="L4780">
        <v>-61.266969999999901</v>
      </c>
      <c r="M4780">
        <v>0.99198869999999895</v>
      </c>
      <c r="N4780">
        <v>-1.9640000000000001E-2</v>
      </c>
      <c r="O4780">
        <v>0.124790899999999</v>
      </c>
      <c r="P4780">
        <v>0.88334539999999995</v>
      </c>
      <c r="Q4780">
        <v>1.9460959999999999E-2</v>
      </c>
      <c r="R4780">
        <v>0.46831879999999998</v>
      </c>
      <c r="S4780">
        <v>2.3399510000000001</v>
      </c>
      <c r="T4780">
        <v>-0.20819589999999999</v>
      </c>
      <c r="U4780">
        <v>2.0108950000000001</v>
      </c>
      <c r="V4780">
        <v>-0.35489949999999998</v>
      </c>
      <c r="W4780">
        <v>3.2821309999999999E-2</v>
      </c>
      <c r="X4780">
        <v>0.93432809999999999</v>
      </c>
      <c r="Y4780">
        <v>-0.55052519999999905</v>
      </c>
      <c r="Z4780">
        <v>1.996794E-2</v>
      </c>
      <c r="AA4780">
        <v>0.83457969999999904</v>
      </c>
      <c r="AB4780">
        <v>32</v>
      </c>
      <c r="AC4780">
        <v>0.66029999999997802</v>
      </c>
      <c r="AD4780">
        <v>-7.4220000000000105E-2</v>
      </c>
      <c r="AE4780">
        <v>0.69047999999999299</v>
      </c>
      <c r="AF4780">
        <v>-0.59904980904647398</v>
      </c>
      <c r="AG4780">
        <v>-7.4220000000000105E-2</v>
      </c>
      <c r="AH4780">
        <v>0.736871609357581</v>
      </c>
      <c r="AI4780">
        <v>94.468860627437195</v>
      </c>
      <c r="AJ4780">
        <v>129.10985574762299</v>
      </c>
      <c r="AK4780">
        <v>0.95254871308287903</v>
      </c>
      <c r="AL4780">
        <v>88.119139564964598</v>
      </c>
      <c r="AM4780">
        <v>110.79901120993701</v>
      </c>
      <c r="AN4780">
        <v>0.99999994596998598</v>
      </c>
    </row>
    <row r="4781" spans="1:40" x14ac:dyDescent="0.25">
      <c r="A4781" t="str">
        <f>"20190305135725157"</f>
        <v>20190305135725157</v>
      </c>
      <c r="B4781" t="str">
        <f>"1551765445147321"</f>
        <v>1551765445147321</v>
      </c>
      <c r="C4781" t="s">
        <v>40</v>
      </c>
      <c r="D4781">
        <v>4.0282650000000002</v>
      </c>
      <c r="E4781">
        <v>0.4099681</v>
      </c>
      <c r="F4781" t="s">
        <v>41</v>
      </c>
      <c r="G4781">
        <v>-203.9495</v>
      </c>
      <c r="H4781">
        <v>1.051965</v>
      </c>
      <c r="I4781">
        <v>-60.664850000000001</v>
      </c>
      <c r="J4781">
        <v>-204.49010000000001</v>
      </c>
      <c r="K4781">
        <v>1.1162080000000001</v>
      </c>
      <c r="L4781">
        <v>-61.244320000000002</v>
      </c>
      <c r="M4781">
        <v>0.99153100000000005</v>
      </c>
      <c r="N4781">
        <v>-1.968694E-2</v>
      </c>
      <c r="O4781">
        <v>0.12836919999999999</v>
      </c>
      <c r="P4781">
        <v>0.88075539999999997</v>
      </c>
      <c r="Q4781">
        <v>1.6716209999999999E-2</v>
      </c>
      <c r="R4781">
        <v>0.47327639999999999</v>
      </c>
      <c r="S4781">
        <v>2.3264469999999999</v>
      </c>
      <c r="T4781">
        <v>-0.2157993</v>
      </c>
      <c r="U4781">
        <v>2.0267330000000001</v>
      </c>
      <c r="V4781">
        <v>-0.35674309999999998</v>
      </c>
      <c r="W4781">
        <v>2.9980280000000002E-2</v>
      </c>
      <c r="X4781">
        <v>0.93372140000000003</v>
      </c>
      <c r="Y4781">
        <v>-0.55304560000000003</v>
      </c>
      <c r="Z4781">
        <v>2.0367469999999999E-2</v>
      </c>
      <c r="AA4781">
        <v>0.83290200000000003</v>
      </c>
      <c r="AB4781">
        <v>32</v>
      </c>
      <c r="AC4781">
        <v>0.54060000000001196</v>
      </c>
      <c r="AD4781">
        <v>-6.4242999999999995E-2</v>
      </c>
      <c r="AE4781">
        <v>0.57946999999999305</v>
      </c>
      <c r="AF4781">
        <v>-0.50196531890913398</v>
      </c>
      <c r="AG4781">
        <v>-6.4242999999999995E-2</v>
      </c>
      <c r="AH4781">
        <v>0.60654018169454105</v>
      </c>
      <c r="AI4781">
        <v>94.664879965674203</v>
      </c>
      <c r="AJ4781">
        <v>129.61074602079</v>
      </c>
      <c r="AK4781">
        <v>0.78992869073518002</v>
      </c>
      <c r="AL4781">
        <v>88.281999154352405</v>
      </c>
      <c r="AM4781">
        <v>110.910151418618</v>
      </c>
      <c r="AN4781">
        <v>1.0000000547022201</v>
      </c>
    </row>
    <row r="4782" spans="1:40" x14ac:dyDescent="0.25">
      <c r="A4782" t="str">
        <f>"20190305135725168"</f>
        <v>20190305135725168</v>
      </c>
      <c r="B4782" t="str">
        <f>"1551765445157081"</f>
        <v>1551765445157081</v>
      </c>
      <c r="C4782" t="s">
        <v>40</v>
      </c>
      <c r="D4782">
        <v>4.0603910000000001</v>
      </c>
      <c r="E4782">
        <v>0.40986860000000003</v>
      </c>
      <c r="F4782" t="s">
        <v>41</v>
      </c>
      <c r="G4782">
        <v>-203.7039</v>
      </c>
      <c r="H4782">
        <v>1.03972</v>
      </c>
      <c r="I4782">
        <v>-60.551090000000002</v>
      </c>
      <c r="J4782">
        <v>-204.32919999999999</v>
      </c>
      <c r="K4782">
        <v>1.1163240000000001</v>
      </c>
      <c r="L4782">
        <v>-61.219790000000003</v>
      </c>
      <c r="M4782">
        <v>0.9910215</v>
      </c>
      <c r="N4782">
        <v>-1.9731820000000001E-2</v>
      </c>
      <c r="O4782">
        <v>0.1322391</v>
      </c>
      <c r="P4782">
        <v>0.87765759999999904</v>
      </c>
      <c r="Q4782">
        <v>1.4139489999999999E-2</v>
      </c>
      <c r="R4782">
        <v>0.47907949999999999</v>
      </c>
      <c r="S4782">
        <v>2.3140260000000001</v>
      </c>
      <c r="T4782">
        <v>-0.2251234</v>
      </c>
      <c r="U4782">
        <v>2.0404049999999998</v>
      </c>
      <c r="V4782">
        <v>-0.3592264</v>
      </c>
      <c r="W4782">
        <v>2.728249E-2</v>
      </c>
      <c r="X4782">
        <v>0.9328516</v>
      </c>
      <c r="Y4782">
        <v>-0.55466289999999996</v>
      </c>
      <c r="Z4782">
        <v>2.0780989999999999E-2</v>
      </c>
      <c r="AA4782">
        <v>0.83181559999999899</v>
      </c>
      <c r="AB4782">
        <v>31</v>
      </c>
      <c r="AC4782">
        <v>0.62529999999998098</v>
      </c>
      <c r="AD4782">
        <v>-7.6603999999999894E-2</v>
      </c>
      <c r="AE4782">
        <v>0.66870000000000096</v>
      </c>
      <c r="AF4782">
        <v>-0.57608654168044104</v>
      </c>
      <c r="AG4782">
        <v>-7.6603999999999894E-2</v>
      </c>
      <c r="AH4782">
        <v>0.70332769321801702</v>
      </c>
      <c r="AI4782">
        <v>94.816327998206702</v>
      </c>
      <c r="AJ4782">
        <v>129.32045819957</v>
      </c>
      <c r="AK4782">
        <v>0.91236709737293198</v>
      </c>
      <c r="AL4782">
        <v>88.4366345208513</v>
      </c>
      <c r="AM4782">
        <v>111.060906357104</v>
      </c>
      <c r="AN4782">
        <v>1.00000002417005</v>
      </c>
    </row>
    <row r="4783" spans="1:40" x14ac:dyDescent="0.25">
      <c r="A4783" t="str">
        <f>"20190305135725180"</f>
        <v>20190305135725180</v>
      </c>
      <c r="B4783" t="str">
        <f>"1551765445177577"</f>
        <v>1551765445177577</v>
      </c>
      <c r="C4783" t="s">
        <v>40</v>
      </c>
      <c r="D4783">
        <v>4.0298410000000002</v>
      </c>
      <c r="E4783">
        <v>0.41001100000000001</v>
      </c>
      <c r="F4783" t="s">
        <v>41</v>
      </c>
      <c r="G4783">
        <v>-203.67410000000001</v>
      </c>
      <c r="H4783">
        <v>1.049776</v>
      </c>
      <c r="I4783">
        <v>-60.634099999999997</v>
      </c>
      <c r="J4783">
        <v>-204.172</v>
      </c>
      <c r="K4783">
        <v>1.116441</v>
      </c>
      <c r="L4783">
        <v>-61.19464</v>
      </c>
      <c r="M4783">
        <v>0.99048610000000004</v>
      </c>
      <c r="N4783">
        <v>-1.976259E-2</v>
      </c>
      <c r="O4783">
        <v>0.13618649999999999</v>
      </c>
      <c r="P4783">
        <v>0.87443630000000006</v>
      </c>
      <c r="Q4783">
        <v>1.195717E-2</v>
      </c>
      <c r="R4783">
        <v>0.48499310000000001</v>
      </c>
      <c r="S4783">
        <v>2.299652</v>
      </c>
      <c r="T4783">
        <v>-0.23360400000000001</v>
      </c>
      <c r="U4783">
        <v>2.0559690000000002</v>
      </c>
      <c r="V4783">
        <v>-0.36177809999999999</v>
      </c>
      <c r="W4783">
        <v>2.4959660000000002E-2</v>
      </c>
      <c r="X4783">
        <v>0.93193009999999998</v>
      </c>
      <c r="Y4783">
        <v>-0.55694719999999998</v>
      </c>
      <c r="Z4783">
        <v>2.116264E-2</v>
      </c>
      <c r="AA4783">
        <v>0.83027819999999997</v>
      </c>
      <c r="AB4783">
        <v>31</v>
      </c>
      <c r="AC4783">
        <v>0.49789999999998702</v>
      </c>
      <c r="AD4783">
        <v>-6.6664999999999905E-2</v>
      </c>
      <c r="AE4783">
        <v>0.56054000000000304</v>
      </c>
      <c r="AF4783">
        <v>-0.48367095708374602</v>
      </c>
      <c r="AG4783">
        <v>-6.6664999999999905E-2</v>
      </c>
      <c r="AH4783">
        <v>0.56514402987900803</v>
      </c>
      <c r="AI4783">
        <v>95.121197482635495</v>
      </c>
      <c r="AJ4783">
        <v>130.55812269180501</v>
      </c>
      <c r="AK4783">
        <v>0.74683973612763299</v>
      </c>
      <c r="AL4783">
        <v>88.569768359690698</v>
      </c>
      <c r="AM4783">
        <v>111.216363708823</v>
      </c>
      <c r="AN4783">
        <v>1.0000000447764601</v>
      </c>
    </row>
    <row r="4784" spans="1:40" x14ac:dyDescent="0.25">
      <c r="A4784" t="str">
        <f>"20190305135725193"</f>
        <v>20190305135725193</v>
      </c>
      <c r="B4784" t="str">
        <f>"1551765445187337"</f>
        <v>1551765445187337</v>
      </c>
      <c r="C4784" t="s">
        <v>40</v>
      </c>
      <c r="D4784">
        <v>4.0553150000000002</v>
      </c>
      <c r="E4784">
        <v>0.41025869999999998</v>
      </c>
      <c r="F4784" t="s">
        <v>41</v>
      </c>
      <c r="G4784">
        <v>-203.42920000000001</v>
      </c>
      <c r="H4784">
        <v>1.0371790000000001</v>
      </c>
      <c r="I4784">
        <v>-60.522109999999998</v>
      </c>
      <c r="J4784">
        <v>-204.00720000000001</v>
      </c>
      <c r="K4784">
        <v>1.1165719999999999</v>
      </c>
      <c r="L4784">
        <v>-61.167879999999997</v>
      </c>
      <c r="M4784">
        <v>0.98989959999999999</v>
      </c>
      <c r="N4784">
        <v>-1.9789870000000001E-2</v>
      </c>
      <c r="O4784">
        <v>0.14038200000000001</v>
      </c>
      <c r="P4784">
        <v>0.87098279999999995</v>
      </c>
      <c r="Q4784">
        <v>1.0426070000000001E-2</v>
      </c>
      <c r="R4784">
        <v>0.4912031</v>
      </c>
      <c r="S4784">
        <v>2.2859500000000001</v>
      </c>
      <c r="T4784">
        <v>-0.24392990000000001</v>
      </c>
      <c r="U4784">
        <v>2.0700989999999999</v>
      </c>
      <c r="V4784">
        <v>-0.36444260000000001</v>
      </c>
      <c r="W4784">
        <v>2.327214E-2</v>
      </c>
      <c r="X4784">
        <v>0.93093499999999996</v>
      </c>
      <c r="Y4784">
        <v>-0.55858839999999998</v>
      </c>
      <c r="Z4784">
        <v>2.1569580000000001E-2</v>
      </c>
      <c r="AA4784">
        <v>0.82916440000000002</v>
      </c>
      <c r="AB4784">
        <v>31</v>
      </c>
      <c r="AC4784">
        <v>0.57800000000000296</v>
      </c>
      <c r="AD4784">
        <v>-7.9392999999999797E-2</v>
      </c>
      <c r="AE4784">
        <v>0.64577000000000595</v>
      </c>
      <c r="AF4784">
        <v>-0.553570441338462</v>
      </c>
      <c r="AG4784">
        <v>-7.9392999999999797E-2</v>
      </c>
      <c r="AH4784">
        <v>0.65742915640177801</v>
      </c>
      <c r="AI4784">
        <v>95.277809601145094</v>
      </c>
      <c r="AJ4784">
        <v>130.09814822499601</v>
      </c>
      <c r="AK4784">
        <v>0.86310867082877496</v>
      </c>
      <c r="AL4784">
        <v>88.666484192535805</v>
      </c>
      <c r="AM4784">
        <v>111.37935836275</v>
      </c>
      <c r="AN4784">
        <v>0.99999998770996901</v>
      </c>
    </row>
    <row r="4785" spans="1:40" x14ac:dyDescent="0.25">
      <c r="A4785" t="str">
        <f>"20190305135725204"</f>
        <v>20190305135725204</v>
      </c>
      <c r="B4785" t="str">
        <f>"1551765445197098"</f>
        <v>1551765445197098</v>
      </c>
      <c r="C4785" t="s">
        <v>40</v>
      </c>
      <c r="D4785">
        <v>4.0689840000000004</v>
      </c>
      <c r="E4785">
        <v>0.41050930000000002</v>
      </c>
      <c r="F4785" t="s">
        <v>78</v>
      </c>
      <c r="G4785">
        <v>-193.8672</v>
      </c>
      <c r="H4785" s="1">
        <v>-9.6491789999999999E-6</v>
      </c>
      <c r="I4785">
        <v>-51.867130000000003</v>
      </c>
      <c r="J4785">
        <v>-203.8322</v>
      </c>
      <c r="K4785">
        <v>1.116722</v>
      </c>
      <c r="L4785">
        <v>-61.138309999999997</v>
      </c>
      <c r="M4785">
        <v>0.98923309999999998</v>
      </c>
      <c r="N4785">
        <v>-1.980782E-2</v>
      </c>
      <c r="O4785">
        <v>0.14500260000000001</v>
      </c>
      <c r="P4785">
        <v>0.86728369999999999</v>
      </c>
      <c r="Q4785">
        <v>1.023487E-2</v>
      </c>
      <c r="R4785">
        <v>0.49770920000000002</v>
      </c>
      <c r="S4785">
        <v>2.2720639999999999</v>
      </c>
      <c r="T4785">
        <v>-0.25019180000000002</v>
      </c>
      <c r="U4785">
        <v>2.084015</v>
      </c>
      <c r="V4785">
        <v>-0.36706919999999998</v>
      </c>
      <c r="W4785">
        <v>2.2899840000000001E-2</v>
      </c>
      <c r="X4785">
        <v>0.92991170000000001</v>
      </c>
      <c r="Y4785">
        <v>-0.55991610000000003</v>
      </c>
      <c r="Z4785">
        <v>2.1693319999999999E-2</v>
      </c>
      <c r="AA4785">
        <v>0.82826520000000003</v>
      </c>
      <c r="AB4785">
        <v>31</v>
      </c>
      <c r="AC4785">
        <v>9.9649999999999999</v>
      </c>
      <c r="AD4785">
        <v>-1.116731649179</v>
      </c>
      <c r="AE4785">
        <v>9.2711799999999993</v>
      </c>
      <c r="AF4785">
        <v>-7.6762482353369403</v>
      </c>
      <c r="AG4785">
        <v>-1.116731649179</v>
      </c>
      <c r="AH4785">
        <v>11.129330547611801</v>
      </c>
      <c r="AI4785">
        <v>94.721872848455504</v>
      </c>
      <c r="AJ4785">
        <v>124.595246599836</v>
      </c>
      <c r="AK4785">
        <v>13.5659085572916</v>
      </c>
      <c r="AL4785">
        <v>88.687821094763194</v>
      </c>
      <c r="AM4785">
        <v>111.540911528148</v>
      </c>
      <c r="AN4785">
        <v>0.99999998502877696</v>
      </c>
    </row>
    <row r="4786" spans="1:40" x14ac:dyDescent="0.25">
      <c r="A4786" t="str">
        <f>"20190305135725219"</f>
        <v>20190305135725219</v>
      </c>
      <c r="B4786" t="str">
        <f>"1551765445206857"</f>
        <v>1551765445206857</v>
      </c>
      <c r="C4786" t="s">
        <v>40</v>
      </c>
      <c r="D4786">
        <v>4.035507</v>
      </c>
      <c r="E4786">
        <v>0.41076689999999999</v>
      </c>
      <c r="F4786" t="s">
        <v>41</v>
      </c>
      <c r="G4786">
        <v>-203.1507</v>
      </c>
      <c r="H4786">
        <v>1.0406629999999999</v>
      </c>
      <c r="I4786">
        <v>-60.504669999999997</v>
      </c>
      <c r="J4786">
        <v>-203.64359999999999</v>
      </c>
      <c r="K4786">
        <v>1.1168720000000001</v>
      </c>
      <c r="L4786">
        <v>-61.105350000000001</v>
      </c>
      <c r="M4786">
        <v>0.98846650000000003</v>
      </c>
      <c r="N4786">
        <v>-1.9810629999999999E-2</v>
      </c>
      <c r="O4786">
        <v>0.15013850000000001</v>
      </c>
      <c r="P4786">
        <v>0.86246929999999999</v>
      </c>
      <c r="Q4786">
        <v>1.147009E-2</v>
      </c>
      <c r="R4786">
        <v>0.50597950000000003</v>
      </c>
      <c r="S4786">
        <v>2.2575530000000001</v>
      </c>
      <c r="T4786">
        <v>-0.25196350000000001</v>
      </c>
      <c r="U4786">
        <v>2.0988769999999999</v>
      </c>
      <c r="V4786">
        <v>-0.37115989999999999</v>
      </c>
      <c r="W4786">
        <v>2.388852E-2</v>
      </c>
      <c r="X4786">
        <v>0.92826160000000002</v>
      </c>
      <c r="Y4786">
        <v>-0.56117340000000004</v>
      </c>
      <c r="Z4786">
        <v>2.1529389999999999E-2</v>
      </c>
      <c r="AA4786">
        <v>0.82741819999999899</v>
      </c>
      <c r="AB4786">
        <v>31</v>
      </c>
      <c r="AC4786">
        <v>0.49289999999999101</v>
      </c>
      <c r="AD4786">
        <v>-7.6208999999999902E-2</v>
      </c>
      <c r="AE4786">
        <v>0.60068000000000399</v>
      </c>
      <c r="AF4786">
        <v>-0.51489784342341705</v>
      </c>
      <c r="AG4786">
        <v>-7.6208999999999902E-2</v>
      </c>
      <c r="AH4786">
        <v>0.57201130844029202</v>
      </c>
      <c r="AI4786">
        <v>95.6550758886426</v>
      </c>
      <c r="AJ4786">
        <v>131.99206355621601</v>
      </c>
      <c r="AK4786">
        <v>0.77338511611399696</v>
      </c>
      <c r="AL4786">
        <v>88.631158365912199</v>
      </c>
      <c r="AM4786">
        <v>111.79370743915899</v>
      </c>
      <c r="AN4786">
        <v>0.99999996539517899</v>
      </c>
    </row>
    <row r="4787" spans="1:40" x14ac:dyDescent="0.25">
      <c r="A4787" t="str">
        <f>"20190305135725232"</f>
        <v>20190305135725232</v>
      </c>
      <c r="B4787" t="str">
        <f>"1551765445227354"</f>
        <v>1551765445227354</v>
      </c>
      <c r="C4787" t="s">
        <v>40</v>
      </c>
      <c r="D4787">
        <v>4.1062110000000001</v>
      </c>
      <c r="E4787">
        <v>0.41120640000000003</v>
      </c>
      <c r="F4787" t="s">
        <v>41</v>
      </c>
      <c r="G4787">
        <v>-202.90389999999999</v>
      </c>
      <c r="H4787">
        <v>1.034097</v>
      </c>
      <c r="I4787">
        <v>-60.405650000000001</v>
      </c>
      <c r="J4787">
        <v>-203.48099999999999</v>
      </c>
      <c r="K4787">
        <v>1.11701299999999</v>
      </c>
      <c r="L4787">
        <v>-61.076259999999998</v>
      </c>
      <c r="M4787">
        <v>0.98776949999999997</v>
      </c>
      <c r="N4787">
        <v>-1.980401E-2</v>
      </c>
      <c r="O4787">
        <v>0.15465880000000001</v>
      </c>
      <c r="P4787">
        <v>0.85889760000000004</v>
      </c>
      <c r="Q4787">
        <v>1.176381E-2</v>
      </c>
      <c r="R4787">
        <v>0.51201229999999998</v>
      </c>
      <c r="S4787">
        <v>2.2391359999999998</v>
      </c>
      <c r="T4787">
        <v>-0.25054959999999998</v>
      </c>
      <c r="U4787">
        <v>2.118042</v>
      </c>
      <c r="V4787">
        <v>-0.37343340000000003</v>
      </c>
      <c r="W4787">
        <v>2.3986250000000001E-2</v>
      </c>
      <c r="X4787">
        <v>0.92734680000000003</v>
      </c>
      <c r="Y4787">
        <v>-0.56452919999999995</v>
      </c>
      <c r="Z4787">
        <v>2.1380219999999998E-2</v>
      </c>
      <c r="AA4787">
        <v>0.82513609999999904</v>
      </c>
      <c r="AB4787">
        <v>31</v>
      </c>
      <c r="AC4787">
        <v>0.57710000000000095</v>
      </c>
      <c r="AD4787">
        <v>-8.2915999999999698E-2</v>
      </c>
      <c r="AE4787">
        <v>0.67060999999999604</v>
      </c>
      <c r="AF4787">
        <v>-0.56827569144162704</v>
      </c>
      <c r="AG4787">
        <v>-8.2915999999999698E-2</v>
      </c>
      <c r="AH4787">
        <v>0.66802234154690299</v>
      </c>
      <c r="AI4787">
        <v>95.400760480915594</v>
      </c>
      <c r="AJ4787">
        <v>130.387269637559</v>
      </c>
      <c r="AK4787">
        <v>0.88094618073141495</v>
      </c>
      <c r="AL4787">
        <v>88.625557244996699</v>
      </c>
      <c r="AM4787">
        <v>111.934159280385</v>
      </c>
      <c r="AN4787">
        <v>0.99999996594743001</v>
      </c>
    </row>
    <row r="4788" spans="1:40" x14ac:dyDescent="0.25">
      <c r="A4788" t="str">
        <f>"20190305135725242"</f>
        <v>20190305135725242</v>
      </c>
      <c r="B4788" t="str">
        <f>"1551765445237113"</f>
        <v>1551765445237113</v>
      </c>
      <c r="C4788" t="s">
        <v>40</v>
      </c>
      <c r="D4788">
        <v>4.0883159999999998</v>
      </c>
      <c r="E4788">
        <v>0.41145510000000002</v>
      </c>
      <c r="F4788" t="s">
        <v>78</v>
      </c>
      <c r="G4788">
        <v>-193.61590000000001</v>
      </c>
      <c r="H4788" s="1">
        <v>-9.7081740000000002E-6</v>
      </c>
      <c r="I4788">
        <v>-51.635829999999999</v>
      </c>
      <c r="J4788">
        <v>-203.32650000000001</v>
      </c>
      <c r="K4788">
        <v>1.1171469999999999</v>
      </c>
      <c r="L4788">
        <v>-61.047420000000002</v>
      </c>
      <c r="M4788">
        <v>0.9870601</v>
      </c>
      <c r="N4788">
        <v>-1.978632E-2</v>
      </c>
      <c r="O4788">
        <v>0.15912509999999999</v>
      </c>
      <c r="P4788">
        <v>0.85525329999999999</v>
      </c>
      <c r="Q4788">
        <v>1.1237489999999999E-2</v>
      </c>
      <c r="R4788">
        <v>0.51808829999999995</v>
      </c>
      <c r="S4788">
        <v>2.2262729999999999</v>
      </c>
      <c r="T4788">
        <v>-0.25207950000000001</v>
      </c>
      <c r="U4788">
        <v>2.1304319999999999</v>
      </c>
      <c r="V4788">
        <v>-0.37581019999999998</v>
      </c>
      <c r="W4788">
        <v>2.3251170000000002E-2</v>
      </c>
      <c r="X4788">
        <v>0.92640500000000003</v>
      </c>
      <c r="Y4788">
        <v>-0.56555869999999997</v>
      </c>
      <c r="Z4788">
        <v>2.1219450000000001E-2</v>
      </c>
      <c r="AA4788">
        <v>0.82443500000000003</v>
      </c>
      <c r="AB4788">
        <v>31</v>
      </c>
      <c r="AC4788">
        <v>9.7105999999999995</v>
      </c>
      <c r="AD4788">
        <v>-1.1171567081739999</v>
      </c>
      <c r="AE4788">
        <v>9.4115899999999897</v>
      </c>
      <c r="AF4788">
        <v>-7.6936156649579504</v>
      </c>
      <c r="AG4788">
        <v>-1.1171567081739999</v>
      </c>
      <c r="AH4788">
        <v>11.009600356100901</v>
      </c>
      <c r="AI4788">
        <v>94.754625592039801</v>
      </c>
      <c r="AJ4788">
        <v>124.946223846045</v>
      </c>
      <c r="AK4788">
        <v>13.477798822944401</v>
      </c>
      <c r="AL4788">
        <v>88.667686124802202</v>
      </c>
      <c r="AM4788">
        <v>112.080678742035</v>
      </c>
      <c r="AN4788">
        <v>1.0000000736776999</v>
      </c>
    </row>
    <row r="4789" spans="1:40" x14ac:dyDescent="0.25">
      <c r="A4789" t="str">
        <f>"20190305135725253"</f>
        <v>20190305135725253</v>
      </c>
      <c r="B4789" t="str">
        <f>"1551765445246873"</f>
        <v>1551765445246873</v>
      </c>
      <c r="C4789" t="s">
        <v>40</v>
      </c>
      <c r="D4789">
        <v>4.0762749999999999</v>
      </c>
      <c r="E4789">
        <v>0.41191919999999999</v>
      </c>
      <c r="F4789" t="s">
        <v>41</v>
      </c>
      <c r="G4789">
        <v>-202.63210000000001</v>
      </c>
      <c r="H4789">
        <v>1.0373349999999999</v>
      </c>
      <c r="I4789">
        <v>-60.374419999999901</v>
      </c>
      <c r="J4789">
        <v>-203.1815</v>
      </c>
      <c r="K4789">
        <v>1.1172679999999999</v>
      </c>
      <c r="L4789">
        <v>-61.019840000000002</v>
      </c>
      <c r="M4789">
        <v>0.98636400000000002</v>
      </c>
      <c r="N4789">
        <v>-1.9761500000000001E-2</v>
      </c>
      <c r="O4789">
        <v>0.16338759999999999</v>
      </c>
      <c r="P4789">
        <v>0.85186059999999997</v>
      </c>
      <c r="Q4789">
        <v>9.9877720000000007E-3</v>
      </c>
      <c r="R4789">
        <v>0.52367339999999996</v>
      </c>
      <c r="S4789">
        <v>2.2123719999999998</v>
      </c>
      <c r="T4789">
        <v>-0.2542739</v>
      </c>
      <c r="U4789">
        <v>2.1439210000000002</v>
      </c>
      <c r="V4789">
        <v>-0.37785289999999999</v>
      </c>
      <c r="W4789">
        <v>2.180052E-2</v>
      </c>
      <c r="X4789">
        <v>0.92560900000000002</v>
      </c>
      <c r="Y4789">
        <v>-0.56714900000000001</v>
      </c>
      <c r="Z4789">
        <v>2.1132209999999998E-2</v>
      </c>
      <c r="AA4789">
        <v>0.82334409999999902</v>
      </c>
      <c r="AB4789">
        <v>31</v>
      </c>
      <c r="AC4789">
        <v>0.54939999999999101</v>
      </c>
      <c r="AD4789">
        <v>-7.9932999999999796E-2</v>
      </c>
      <c r="AE4789">
        <v>0.64542000000000799</v>
      </c>
      <c r="AF4789">
        <v>-0.54213911265444703</v>
      </c>
      <c r="AG4789">
        <v>-7.9932999999999796E-2</v>
      </c>
      <c r="AH4789">
        <v>0.641780666134528</v>
      </c>
      <c r="AI4789">
        <v>95.435048010877793</v>
      </c>
      <c r="AJ4789">
        <v>130.18918600687999</v>
      </c>
      <c r="AK4789">
        <v>0.84391144404068297</v>
      </c>
      <c r="AL4789">
        <v>88.750823312599707</v>
      </c>
      <c r="AM4789">
        <v>112.206307050942</v>
      </c>
      <c r="AN4789">
        <v>1.00000004879583</v>
      </c>
    </row>
    <row r="4790" spans="1:40" x14ac:dyDescent="0.25">
      <c r="A4790" t="str">
        <f>"20190305135725265"</f>
        <v>20190305135725265</v>
      </c>
      <c r="B4790" t="str">
        <f>"1551765445257609"</f>
        <v>1551765445257609</v>
      </c>
      <c r="C4790" t="s">
        <v>40</v>
      </c>
      <c r="D4790">
        <v>4.0970149999999999</v>
      </c>
      <c r="E4790">
        <v>0.41242889999999999</v>
      </c>
      <c r="F4790" t="s">
        <v>78</v>
      </c>
      <c r="G4790">
        <v>-193.73859999999999</v>
      </c>
      <c r="H4790" s="1">
        <v>-9.6706140000000002E-6</v>
      </c>
      <c r="I4790">
        <v>-51.772840000000002</v>
      </c>
      <c r="J4790">
        <v>-203.02680000000001</v>
      </c>
      <c r="K4790">
        <v>1.117394</v>
      </c>
      <c r="L4790">
        <v>-60.989530000000002</v>
      </c>
      <c r="M4790">
        <v>0.98557870000000003</v>
      </c>
      <c r="N4790">
        <v>-1.9721909999999999E-2</v>
      </c>
      <c r="O4790">
        <v>0.1680652</v>
      </c>
      <c r="P4790">
        <v>0.84860210000000003</v>
      </c>
      <c r="Q4790">
        <v>8.7070949999999998E-3</v>
      </c>
      <c r="R4790">
        <v>0.52895990000000004</v>
      </c>
      <c r="S4790">
        <v>2.200256</v>
      </c>
      <c r="T4790">
        <v>-0.2603319</v>
      </c>
      <c r="U4790">
        <v>2.1546020000000001</v>
      </c>
      <c r="V4790">
        <v>-0.37919950000000002</v>
      </c>
      <c r="W4790">
        <v>2.031121E-2</v>
      </c>
      <c r="X4790">
        <v>0.92509200000000003</v>
      </c>
      <c r="Y4790">
        <v>-0.56747749999999997</v>
      </c>
      <c r="Z4790">
        <v>2.109395E-2</v>
      </c>
      <c r="AA4790">
        <v>0.82311869999999998</v>
      </c>
      <c r="AB4790">
        <v>31</v>
      </c>
      <c r="AC4790">
        <v>9.2882000000000104</v>
      </c>
      <c r="AD4790">
        <v>-1.117403670614</v>
      </c>
      <c r="AE4790">
        <v>9.2166899999999998</v>
      </c>
      <c r="AF4790">
        <v>-7.4697403264987399</v>
      </c>
      <c r="AG4790">
        <v>-1.117403670614</v>
      </c>
      <c r="AH4790">
        <v>10.6278353306477</v>
      </c>
      <c r="AI4790">
        <v>94.916384200073495</v>
      </c>
      <c r="AJ4790">
        <v>125.101344388087</v>
      </c>
      <c r="AK4790">
        <v>13.038270411515001</v>
      </c>
      <c r="AL4790">
        <v>88.836173367429595</v>
      </c>
      <c r="AM4790">
        <v>112.288951385294</v>
      </c>
      <c r="AN4790">
        <v>1.00000000725795</v>
      </c>
    </row>
    <row r="4791" spans="1:40" x14ac:dyDescent="0.25">
      <c r="A4791" t="str">
        <f>"20190305135725277"</f>
        <v>20190305135725277</v>
      </c>
      <c r="B4791" t="str">
        <f>"1551765445267369"</f>
        <v>1551765445267369</v>
      </c>
      <c r="C4791" t="s">
        <v>40</v>
      </c>
      <c r="D4791">
        <v>4.0668899999999999</v>
      </c>
      <c r="E4791">
        <v>0.41290450000000001</v>
      </c>
      <c r="F4791" t="s">
        <v>41</v>
      </c>
      <c r="G4791">
        <v>-202.36410000000001</v>
      </c>
      <c r="H4791">
        <v>1.036837</v>
      </c>
      <c r="I4791">
        <v>-60.334440000000001</v>
      </c>
      <c r="J4791">
        <v>-202.87139999999999</v>
      </c>
      <c r="K4791">
        <v>1.1175189999999999</v>
      </c>
      <c r="L4791">
        <v>-60.958129999999997</v>
      </c>
      <c r="M4791">
        <v>0.98474280000000003</v>
      </c>
      <c r="N4791">
        <v>-1.9664870000000001E-2</v>
      </c>
      <c r="O4791">
        <v>0.1729019</v>
      </c>
      <c r="P4791">
        <v>0.84537359999999995</v>
      </c>
      <c r="Q4791">
        <v>7.4320979999999998E-3</v>
      </c>
      <c r="R4791">
        <v>0.53412389999999998</v>
      </c>
      <c r="S4791">
        <v>2.1889799999999999</v>
      </c>
      <c r="T4791">
        <v>-0.26610850000000003</v>
      </c>
      <c r="U4791">
        <v>2.1641539999999999</v>
      </c>
      <c r="V4791">
        <v>-0.3802796</v>
      </c>
      <c r="W4791">
        <v>1.8813759999999999E-2</v>
      </c>
      <c r="X4791">
        <v>0.92468019999999995</v>
      </c>
      <c r="Y4791">
        <v>-0.56730819999999904</v>
      </c>
      <c r="Z4791">
        <v>2.0969519999999998E-2</v>
      </c>
      <c r="AA4791">
        <v>0.82323849999999998</v>
      </c>
      <c r="AB4791">
        <v>31</v>
      </c>
      <c r="AC4791">
        <v>0.50729999999998598</v>
      </c>
      <c r="AD4791">
        <v>-8.0682000000000101E-2</v>
      </c>
      <c r="AE4791">
        <v>0.62369000000000296</v>
      </c>
      <c r="AF4791">
        <v>-0.52131252851782295</v>
      </c>
      <c r="AG4791">
        <v>-8.0682000000000101E-2</v>
      </c>
      <c r="AH4791">
        <v>0.60145711185610096</v>
      </c>
      <c r="AI4791">
        <v>95.788140833160696</v>
      </c>
      <c r="AJ4791">
        <v>130.91708672725099</v>
      </c>
      <c r="AK4791">
        <v>0.80001687164454804</v>
      </c>
      <c r="AL4791">
        <v>88.921987355890593</v>
      </c>
      <c r="AM4791">
        <v>112.355173241538</v>
      </c>
      <c r="AN4791">
        <v>1.0000000020067601</v>
      </c>
    </row>
    <row r="4792" spans="1:40" x14ac:dyDescent="0.25">
      <c r="A4792" t="str">
        <f>"20190305135725289"</f>
        <v>20190305135725289</v>
      </c>
      <c r="B4792" t="str">
        <f>"1551765445286889"</f>
        <v>1551765445286889</v>
      </c>
      <c r="C4792" t="s">
        <v>40</v>
      </c>
      <c r="D4792">
        <v>4.1088630000000004</v>
      </c>
      <c r="E4792">
        <v>0.41371570000000002</v>
      </c>
      <c r="F4792" t="s">
        <v>41</v>
      </c>
      <c r="G4792">
        <v>-202.12860000000001</v>
      </c>
      <c r="H4792">
        <v>1.024913</v>
      </c>
      <c r="I4792">
        <v>-60.216659999999997</v>
      </c>
      <c r="J4792">
        <v>-202.7054</v>
      </c>
      <c r="K4792">
        <v>1.1176630000000001</v>
      </c>
      <c r="L4792">
        <v>-60.92398</v>
      </c>
      <c r="M4792">
        <v>0.98380860000000003</v>
      </c>
      <c r="N4792">
        <v>-1.959253E-2</v>
      </c>
      <c r="O4792">
        <v>0.178148</v>
      </c>
      <c r="P4792">
        <v>0.84237739999999905</v>
      </c>
      <c r="Q4792">
        <v>4.5932270000000001E-3</v>
      </c>
      <c r="R4792">
        <v>0.53886869999999998</v>
      </c>
      <c r="S4792">
        <v>2.1776430000000002</v>
      </c>
      <c r="T4792">
        <v>-0.27149050000000002</v>
      </c>
      <c r="U4792">
        <v>2.1738279999999999</v>
      </c>
      <c r="V4792">
        <v>-0.38050129999999999</v>
      </c>
      <c r="W4792">
        <v>1.574911E-2</v>
      </c>
      <c r="X4792">
        <v>0.92464630000000003</v>
      </c>
      <c r="Y4792">
        <v>-0.56684040000000002</v>
      </c>
      <c r="Z4792">
        <v>2.074815E-2</v>
      </c>
      <c r="AA4792">
        <v>0.82356629999999997</v>
      </c>
      <c r="AB4792">
        <v>31</v>
      </c>
      <c r="AC4792">
        <v>0.57679999999999099</v>
      </c>
      <c r="AD4792">
        <v>-9.2749999999999805E-2</v>
      </c>
      <c r="AE4792">
        <v>0.70732000000000905</v>
      </c>
      <c r="AF4792">
        <v>-0.58716187874311399</v>
      </c>
      <c r="AG4792">
        <v>-9.2749999999999805E-2</v>
      </c>
      <c r="AH4792">
        <v>0.68651185263553605</v>
      </c>
      <c r="AI4792">
        <v>95.8621512118347</v>
      </c>
      <c r="AJ4792">
        <v>130.539806487725</v>
      </c>
      <c r="AK4792">
        <v>0.90810801018283005</v>
      </c>
      <c r="AL4792">
        <v>89.097605183428897</v>
      </c>
      <c r="AM4792">
        <v>112.367661353964</v>
      </c>
      <c r="AN4792">
        <v>1.00000002693558</v>
      </c>
    </row>
    <row r="4793" spans="1:40" x14ac:dyDescent="0.25">
      <c r="A4793" t="str">
        <f>"20190305135725304"</f>
        <v>20190305135725304</v>
      </c>
      <c r="B4793" t="str">
        <f>"1551765445297625"</f>
        <v>1551765445297625</v>
      </c>
      <c r="C4793" t="s">
        <v>40</v>
      </c>
      <c r="D4793">
        <v>4.1054740000000001</v>
      </c>
      <c r="E4793">
        <v>0.4141571</v>
      </c>
      <c r="F4793" t="s">
        <v>78</v>
      </c>
      <c r="G4793">
        <v>-194.05250000000001</v>
      </c>
      <c r="H4793" s="1">
        <v>-9.5378000000000004E-6</v>
      </c>
      <c r="I4793">
        <v>-52.224350000000001</v>
      </c>
      <c r="J4793">
        <v>-202.51310000000001</v>
      </c>
      <c r="K4793">
        <v>1.117828</v>
      </c>
      <c r="L4793">
        <v>-60.882480000000001</v>
      </c>
      <c r="M4793">
        <v>0.98263659999999997</v>
      </c>
      <c r="N4793">
        <v>-1.9471160000000001E-2</v>
      </c>
      <c r="O4793">
        <v>0.18451629999999999</v>
      </c>
      <c r="P4793">
        <v>0.83912929999999997</v>
      </c>
      <c r="Q4793">
        <v>1.514725E-3</v>
      </c>
      <c r="R4793">
        <v>0.54393009999999997</v>
      </c>
      <c r="S4793">
        <v>2.1683349999999999</v>
      </c>
      <c r="T4793">
        <v>-0.28007530000000003</v>
      </c>
      <c r="U4793">
        <v>2.1800229999999998</v>
      </c>
      <c r="V4793">
        <v>-0.38002449999999999</v>
      </c>
      <c r="W4793">
        <v>1.23844E-2</v>
      </c>
      <c r="X4793">
        <v>0.92489350000000004</v>
      </c>
      <c r="Y4793">
        <v>-0.56436039999999998</v>
      </c>
      <c r="Z4793">
        <v>2.0377719999999998E-2</v>
      </c>
      <c r="AA4793">
        <v>0.82527689999999998</v>
      </c>
      <c r="AB4793">
        <v>31</v>
      </c>
      <c r="AC4793">
        <v>8.4605999999999995</v>
      </c>
      <c r="AD4793">
        <v>-1.1178375378000001</v>
      </c>
      <c r="AE4793">
        <v>8.6581299999999999</v>
      </c>
      <c r="AF4793">
        <v>-6.8892504381094097</v>
      </c>
      <c r="AG4793">
        <v>-1.1178375378000001</v>
      </c>
      <c r="AH4793">
        <v>9.8293274977861902</v>
      </c>
      <c r="AI4793">
        <v>95.320500465441199</v>
      </c>
      <c r="AJ4793">
        <v>125.026124349935</v>
      </c>
      <c r="AK4793">
        <v>12.055165341820899</v>
      </c>
      <c r="AL4793">
        <v>89.2904080016704</v>
      </c>
      <c r="AM4793">
        <v>112.33700589580801</v>
      </c>
      <c r="AN4793">
        <v>0.99999999015292995</v>
      </c>
    </row>
    <row r="4794" spans="1:40" x14ac:dyDescent="0.25">
      <c r="A4794" t="str">
        <f>"20190305135725319"</f>
        <v>20190305135725319</v>
      </c>
      <c r="B4794" t="str">
        <f>"1551765445307385"</f>
        <v>1551765445307385</v>
      </c>
      <c r="C4794" t="s">
        <v>40</v>
      </c>
      <c r="D4794">
        <v>4.1062729999999998</v>
      </c>
      <c r="E4794">
        <v>0.41461629999999999</v>
      </c>
      <c r="F4794" t="s">
        <v>41</v>
      </c>
      <c r="G4794">
        <v>-201.8486</v>
      </c>
      <c r="H4794">
        <v>1.028532</v>
      </c>
      <c r="I4794">
        <v>-60.208089999999999</v>
      </c>
      <c r="J4794">
        <v>-202.31979999999999</v>
      </c>
      <c r="K4794">
        <v>1.1179920000000001</v>
      </c>
      <c r="L4794">
        <v>-60.839480000000002</v>
      </c>
      <c r="M4794">
        <v>0.9813828</v>
      </c>
      <c r="N4794">
        <v>-1.932654E-2</v>
      </c>
      <c r="O4794">
        <v>0.1910869</v>
      </c>
      <c r="P4794">
        <v>0.83594539999999995</v>
      </c>
      <c r="Q4794">
        <v>-5.7837369999999999E-4</v>
      </c>
      <c r="R4794">
        <v>0.54881250000000004</v>
      </c>
      <c r="S4794">
        <v>2.1564640000000002</v>
      </c>
      <c r="T4794">
        <v>-0.28983409999999998</v>
      </c>
      <c r="U4794">
        <v>2.1894230000000001</v>
      </c>
      <c r="V4794">
        <v>-0.37919120000000001</v>
      </c>
      <c r="W4794">
        <v>9.9927350000000009E-3</v>
      </c>
      <c r="X4794">
        <v>0.92526439999999999</v>
      </c>
      <c r="Y4794">
        <v>-0.56278109999999903</v>
      </c>
      <c r="Z4794">
        <v>2.0037550000000001E-2</v>
      </c>
      <c r="AA4794">
        <v>0.82636309999999902</v>
      </c>
      <c r="AB4794">
        <v>31</v>
      </c>
      <c r="AC4794">
        <v>0.47119999999998102</v>
      </c>
      <c r="AD4794">
        <v>-8.9460000000000095E-2</v>
      </c>
      <c r="AE4794">
        <v>0.63138999999999601</v>
      </c>
      <c r="AF4794">
        <v>-0.52295115510748102</v>
      </c>
      <c r="AG4794">
        <v>-8.9460000000000095E-2</v>
      </c>
      <c r="AH4794">
        <v>0.57576298631251599</v>
      </c>
      <c r="AI4794">
        <v>96.561098059526699</v>
      </c>
      <c r="AJ4794">
        <v>132.24808503541701</v>
      </c>
      <c r="AK4794">
        <v>0.78293295922176898</v>
      </c>
      <c r="AL4794">
        <v>89.427448938602694</v>
      </c>
      <c r="AM4794">
        <v>112.284764726679</v>
      </c>
      <c r="AN4794">
        <v>1.00000001540879</v>
      </c>
    </row>
    <row r="4795" spans="1:40" x14ac:dyDescent="0.25">
      <c r="A4795" t="str">
        <f>"20190305135725333"</f>
        <v>20190305135725333</v>
      </c>
      <c r="B4795" t="str">
        <f>"1551765445326905"</f>
        <v>1551765445326905</v>
      </c>
      <c r="C4795" t="s">
        <v>40</v>
      </c>
      <c r="D4795">
        <v>4.1139380000000001</v>
      </c>
      <c r="E4795">
        <v>0.42539280000000002</v>
      </c>
      <c r="F4795" t="s">
        <v>41</v>
      </c>
      <c r="G4795">
        <v>-201.6071</v>
      </c>
      <c r="H4795">
        <v>1.0194620000000001</v>
      </c>
      <c r="I4795">
        <v>-60.109099999999998</v>
      </c>
      <c r="J4795">
        <v>-202.13849999999999</v>
      </c>
      <c r="K4795">
        <v>1.11815</v>
      </c>
      <c r="L4795">
        <v>-60.797939999999997</v>
      </c>
      <c r="M4795">
        <v>0.98013499999999998</v>
      </c>
      <c r="N4795">
        <v>-1.9173829999999999E-2</v>
      </c>
      <c r="O4795">
        <v>0.197403</v>
      </c>
      <c r="P4795">
        <v>0.83289239999999998</v>
      </c>
      <c r="Q4795">
        <v>-3.1336659999999998E-3</v>
      </c>
      <c r="R4795">
        <v>0.55342639999999999</v>
      </c>
      <c r="S4795">
        <v>2.1451570000000002</v>
      </c>
      <c r="T4795">
        <v>-0.29656270000000001</v>
      </c>
      <c r="U4795">
        <v>2.198547</v>
      </c>
      <c r="V4795">
        <v>-0.37830200000000003</v>
      </c>
      <c r="W4795">
        <v>7.1432609999999997E-3</v>
      </c>
      <c r="X4795">
        <v>0.92565459999999999</v>
      </c>
      <c r="Y4795">
        <v>-0.5612935</v>
      </c>
      <c r="Z4795">
        <v>1.95655E-2</v>
      </c>
      <c r="AA4795">
        <v>0.8273855</v>
      </c>
      <c r="AB4795">
        <v>31</v>
      </c>
      <c r="AC4795">
        <v>0.53139999999998999</v>
      </c>
      <c r="AD4795">
        <v>-9.8687999999999804E-2</v>
      </c>
      <c r="AE4795">
        <v>0.688840000000006</v>
      </c>
      <c r="AF4795">
        <v>-0.56311508873267602</v>
      </c>
      <c r="AG4795">
        <v>-9.8687999999999804E-2</v>
      </c>
      <c r="AH4795">
        <v>0.64859762330834003</v>
      </c>
      <c r="AI4795">
        <v>96.554266589274604</v>
      </c>
      <c r="AJ4795">
        <v>130.96464790825701</v>
      </c>
      <c r="AK4795">
        <v>0.86459053977223099</v>
      </c>
      <c r="AL4795">
        <v>89.590717784967893</v>
      </c>
      <c r="AM4795">
        <v>112.229143190081</v>
      </c>
      <c r="AN4795">
        <v>0.99999993394143405</v>
      </c>
    </row>
    <row r="4796" spans="1:40" x14ac:dyDescent="0.25">
      <c r="A4796" t="str">
        <f>"20190305135725347"</f>
        <v>20190305135725347</v>
      </c>
      <c r="B4796" t="str">
        <f>"1551765445337298"</f>
        <v>1551765445337298</v>
      </c>
      <c r="C4796" t="s">
        <v>40</v>
      </c>
      <c r="D4796">
        <v>4.1010580000000001</v>
      </c>
      <c r="E4796">
        <v>0.42501139999999998</v>
      </c>
      <c r="F4796" t="s">
        <v>41</v>
      </c>
      <c r="G4796">
        <v>-201.35730000000001</v>
      </c>
      <c r="H4796">
        <v>1.0200739999999999</v>
      </c>
      <c r="I4796">
        <v>-60.030929999999998</v>
      </c>
      <c r="J4796">
        <v>-201.9478</v>
      </c>
      <c r="K4796">
        <v>1.118328</v>
      </c>
      <c r="L4796">
        <v>-60.752690000000001</v>
      </c>
      <c r="M4796">
        <v>0.97873100000000002</v>
      </c>
      <c r="N4796">
        <v>-1.899737E-2</v>
      </c>
      <c r="O4796">
        <v>0.20426649999999999</v>
      </c>
      <c r="P4796">
        <v>0.82922299999999904</v>
      </c>
      <c r="Q4796">
        <v>-4.2925960000000001E-3</v>
      </c>
      <c r="R4796">
        <v>0.55890139999999999</v>
      </c>
      <c r="S4796">
        <v>2.1791079999999998</v>
      </c>
      <c r="T4796">
        <v>-0.27357049999999999</v>
      </c>
      <c r="U4796">
        <v>2.1397400000000002</v>
      </c>
      <c r="V4796">
        <v>-0.37789149999999999</v>
      </c>
      <c r="W4796">
        <v>5.6407810000000001E-3</v>
      </c>
      <c r="X4796">
        <v>0.92583269999999995</v>
      </c>
      <c r="Y4796">
        <v>-0.53802749999999999</v>
      </c>
      <c r="Z4796">
        <v>1.661261E-2</v>
      </c>
      <c r="AA4796">
        <v>0.8427635</v>
      </c>
      <c r="AB4796">
        <v>31</v>
      </c>
      <c r="AC4796">
        <v>0.59049999999999103</v>
      </c>
      <c r="AD4796">
        <v>-9.8253999999999994E-2</v>
      </c>
      <c r="AE4796">
        <v>0.72175999999999596</v>
      </c>
      <c r="AF4796">
        <v>-0.57946254355812499</v>
      </c>
      <c r="AG4796">
        <v>-9.8253999999999994E-2</v>
      </c>
      <c r="AH4796">
        <v>0.71753747176586702</v>
      </c>
      <c r="AI4796">
        <v>96.080872054339693</v>
      </c>
      <c r="AJ4796">
        <v>128.92334134936601</v>
      </c>
      <c r="AK4796">
        <v>0.92751857732931997</v>
      </c>
      <c r="AL4796">
        <v>89.676805340403206</v>
      </c>
      <c r="AM4796">
        <v>112.20351046912199</v>
      </c>
      <c r="AN4796">
        <v>0.99999999628591396</v>
      </c>
    </row>
    <row r="4797" spans="1:40" x14ac:dyDescent="0.25">
      <c r="A4797" t="str">
        <f>"20190305135725359"</f>
        <v>20190305135725359</v>
      </c>
      <c r="B4797" t="str">
        <f>"1551765445356817"</f>
        <v>1551765445356817</v>
      </c>
      <c r="C4797" t="s">
        <v>40</v>
      </c>
      <c r="D4797">
        <v>4.09504</v>
      </c>
      <c r="E4797">
        <v>0.4245218</v>
      </c>
      <c r="F4797" t="s">
        <v>41</v>
      </c>
      <c r="G4797">
        <v>-201.31620000000001</v>
      </c>
      <c r="H4797">
        <v>1.0389660000000001</v>
      </c>
      <c r="I4797">
        <v>-60.12303</v>
      </c>
      <c r="J4797">
        <v>-201.79140000000001</v>
      </c>
      <c r="K4797">
        <v>1.1184750000000001</v>
      </c>
      <c r="L4797">
        <v>-60.71405</v>
      </c>
      <c r="M4797">
        <v>0.97750029999999999</v>
      </c>
      <c r="N4797">
        <v>-1.8845089999999998E-2</v>
      </c>
      <c r="O4797">
        <v>0.21009079999999999</v>
      </c>
      <c r="P4797">
        <v>0.825909</v>
      </c>
      <c r="Q4797">
        <v>-5.1542519999999998E-3</v>
      </c>
      <c r="R4797">
        <v>0.5637799</v>
      </c>
      <c r="S4797">
        <v>2.1629179999999999</v>
      </c>
      <c r="T4797">
        <v>-0.27177980000000002</v>
      </c>
      <c r="U4797">
        <v>2.1565859999999999</v>
      </c>
      <c r="V4797">
        <v>-0.37782009999999999</v>
      </c>
      <c r="W4797">
        <v>4.4811259999999898E-3</v>
      </c>
      <c r="X4797">
        <v>0.92586820000000003</v>
      </c>
      <c r="Y4797">
        <v>-0.53949209999999903</v>
      </c>
      <c r="Z4797">
        <v>1.614194E-2</v>
      </c>
      <c r="AA4797">
        <v>0.84183589999999997</v>
      </c>
      <c r="AB4797">
        <v>31</v>
      </c>
      <c r="AC4797">
        <v>0.47520000000000101</v>
      </c>
      <c r="AD4797">
        <v>-7.9508999999999996E-2</v>
      </c>
      <c r="AE4797">
        <v>0.591019999999993</v>
      </c>
      <c r="AF4797">
        <v>-0.47277521445612503</v>
      </c>
      <c r="AG4797">
        <v>-7.9508999999999996E-2</v>
      </c>
      <c r="AH4797">
        <v>0.58237905497500397</v>
      </c>
      <c r="AI4797">
        <v>96.050467689691899</v>
      </c>
      <c r="AJ4797">
        <v>129.06968594061499</v>
      </c>
      <c r="AK4797">
        <v>0.75432317222700596</v>
      </c>
      <c r="AL4797">
        <v>89.743249537586493</v>
      </c>
      <c r="AM4797">
        <v>112.198954213299</v>
      </c>
      <c r="AN4797">
        <v>1.00000001611273</v>
      </c>
    </row>
    <row r="4798" spans="1:40" x14ac:dyDescent="0.25">
      <c r="A4798" t="str">
        <f>"20190305135725373"</f>
        <v>20190305135725373</v>
      </c>
      <c r="B4798" t="str">
        <f>"1551765445366909"</f>
        <v>1551765445366909</v>
      </c>
      <c r="C4798" t="s">
        <v>40</v>
      </c>
      <c r="D4798">
        <v>4.0968460000000002</v>
      </c>
      <c r="E4798">
        <v>0.42457020000000001</v>
      </c>
      <c r="F4798" t="s">
        <v>41</v>
      </c>
      <c r="G4798">
        <v>-201.08619999999999</v>
      </c>
      <c r="H4798">
        <v>1.0303690000000001</v>
      </c>
      <c r="I4798">
        <v>-60.000579999999999</v>
      </c>
      <c r="J4798">
        <v>-201.6105</v>
      </c>
      <c r="K4798">
        <v>1.1186400000000001</v>
      </c>
      <c r="L4798">
        <v>-60.668460000000003</v>
      </c>
      <c r="M4798">
        <v>0.97600350000000002</v>
      </c>
      <c r="N4798">
        <v>-1.866462E-2</v>
      </c>
      <c r="O4798">
        <v>0.2169537</v>
      </c>
      <c r="P4798">
        <v>0.82183220000000001</v>
      </c>
      <c r="Q4798">
        <v>-6.1972069999999997E-3</v>
      </c>
      <c r="R4798">
        <v>0.56969590000000003</v>
      </c>
      <c r="S4798">
        <v>2.1474760000000002</v>
      </c>
      <c r="T4798">
        <v>-0.26830599999999999</v>
      </c>
      <c r="U4798">
        <v>2.1727910000000001</v>
      </c>
      <c r="V4798">
        <v>-0.37794179999999999</v>
      </c>
      <c r="W4798">
        <v>3.0792340000000001E-3</v>
      </c>
      <c r="X4798">
        <v>0.92582430000000004</v>
      </c>
      <c r="Y4798">
        <v>-0.53981199999999996</v>
      </c>
      <c r="Z4798">
        <v>1.546487E-2</v>
      </c>
      <c r="AA4798">
        <v>0.84164349999999999</v>
      </c>
      <c r="AB4798">
        <v>30</v>
      </c>
      <c r="AC4798">
        <v>0.52430000000000998</v>
      </c>
      <c r="AD4798">
        <v>-8.8270999999999697E-2</v>
      </c>
      <c r="AE4798">
        <v>0.66787999999998904</v>
      </c>
      <c r="AF4798">
        <v>-0.53244368993709701</v>
      </c>
      <c r="AG4798">
        <v>-8.8270999999999697E-2</v>
      </c>
      <c r="AH4798">
        <v>0.64971024401521005</v>
      </c>
      <c r="AI4798">
        <v>95.998799890769703</v>
      </c>
      <c r="AJ4798">
        <v>129.33494280415499</v>
      </c>
      <c r="AK4798">
        <v>0.84463687675422705</v>
      </c>
      <c r="AL4798">
        <v>89.823572619476906</v>
      </c>
      <c r="AM4798">
        <v>112.206360630362</v>
      </c>
      <c r="AN4798">
        <v>1.00000006016987</v>
      </c>
    </row>
    <row r="4799" spans="1:40" x14ac:dyDescent="0.25">
      <c r="A4799" t="str">
        <f>"20190305135725387"</f>
        <v>20190305135725387</v>
      </c>
      <c r="B4799" t="str">
        <f>"1551765445377331"</f>
        <v>1551765445377331</v>
      </c>
      <c r="C4799" t="s">
        <v>40</v>
      </c>
      <c r="D4799">
        <v>4.1049800000000003</v>
      </c>
      <c r="E4799">
        <v>0.42503990000000003</v>
      </c>
      <c r="F4799" t="s">
        <v>41</v>
      </c>
      <c r="G4799">
        <v>-200.85210000000001</v>
      </c>
      <c r="H4799">
        <v>1.0233019999999999</v>
      </c>
      <c r="I4799">
        <v>-59.890149999999998</v>
      </c>
      <c r="J4799">
        <v>-201.4299</v>
      </c>
      <c r="K4799">
        <v>1.1188</v>
      </c>
      <c r="L4799">
        <v>-60.621310000000001</v>
      </c>
      <c r="M4799">
        <v>0.97440729999999998</v>
      </c>
      <c r="N4799">
        <v>-1.848085E-2</v>
      </c>
      <c r="O4799">
        <v>0.22402859999999999</v>
      </c>
      <c r="P4799">
        <v>0.81647569999999903</v>
      </c>
      <c r="Q4799">
        <v>-1.1966849999999999E-2</v>
      </c>
      <c r="R4799">
        <v>0.57725569999999904</v>
      </c>
      <c r="S4799">
        <v>2.1317750000000002</v>
      </c>
      <c r="T4799">
        <v>-0.26797510000000002</v>
      </c>
      <c r="U4799">
        <v>2.187805</v>
      </c>
      <c r="V4799">
        <v>-0.37965520000000003</v>
      </c>
      <c r="W4799">
        <v>-3.110083E-3</v>
      </c>
      <c r="X4799">
        <v>0.92512280000000002</v>
      </c>
      <c r="Y4799">
        <v>-0.53972399999999998</v>
      </c>
      <c r="Z4799">
        <v>1.482029E-2</v>
      </c>
      <c r="AA4799">
        <v>0.8417116</v>
      </c>
      <c r="AB4799">
        <v>30</v>
      </c>
      <c r="AC4799">
        <v>0.57779999999999598</v>
      </c>
      <c r="AD4799">
        <v>-9.5498E-2</v>
      </c>
      <c r="AE4799">
        <v>0.73116000000000203</v>
      </c>
      <c r="AF4799">
        <v>-0.57704378434294101</v>
      </c>
      <c r="AG4799">
        <v>-9.5498E-2</v>
      </c>
      <c r="AH4799">
        <v>0.71938297337802404</v>
      </c>
      <c r="AI4799">
        <v>95.912032218966004</v>
      </c>
      <c r="AJ4799">
        <v>128.734393742864</v>
      </c>
      <c r="AK4799">
        <v>0.92715223099501298</v>
      </c>
      <c r="AL4799">
        <v>90.178194922576793</v>
      </c>
      <c r="AM4799">
        <v>112.31244103101101</v>
      </c>
      <c r="AN4799">
        <v>0.99999996929157298</v>
      </c>
    </row>
    <row r="4800" spans="1:40" x14ac:dyDescent="0.25">
      <c r="A4800" t="str">
        <f>"20190305135725398"</f>
        <v>20190305135725398</v>
      </c>
      <c r="B4800" t="str">
        <f>"1551765445387092"</f>
        <v>1551765445387092</v>
      </c>
      <c r="C4800" t="s">
        <v>40</v>
      </c>
      <c r="D4800">
        <v>4.0796559999999999</v>
      </c>
      <c r="E4800">
        <v>0.42523420000000001</v>
      </c>
      <c r="F4800" t="s">
        <v>41</v>
      </c>
      <c r="G4800">
        <v>-200.8116</v>
      </c>
      <c r="H4800">
        <v>1.035817</v>
      </c>
      <c r="I4800">
        <v>-59.976379999999999</v>
      </c>
      <c r="J4800">
        <v>-201.28569999999999</v>
      </c>
      <c r="K4800">
        <v>1.1189359999999999</v>
      </c>
      <c r="L4800">
        <v>-60.582279999999997</v>
      </c>
      <c r="M4800">
        <v>0.97305209999999998</v>
      </c>
      <c r="N4800">
        <v>-1.8339640000000001E-2</v>
      </c>
      <c r="O4800">
        <v>0.2298549</v>
      </c>
      <c r="P4800">
        <v>0.81173339999999905</v>
      </c>
      <c r="Q4800">
        <v>-1.561332E-2</v>
      </c>
      <c r="R4800">
        <v>0.58381939999999999</v>
      </c>
      <c r="S4800">
        <v>2.1121979999999998</v>
      </c>
      <c r="T4800">
        <v>-0.28351500000000002</v>
      </c>
      <c r="U4800">
        <v>2.2035830000000001</v>
      </c>
      <c r="V4800">
        <v>-0.38150650000000003</v>
      </c>
      <c r="W4800">
        <v>-7.1065599999999996E-3</v>
      </c>
      <c r="X4800">
        <v>0.92433880000000002</v>
      </c>
      <c r="Y4800">
        <v>-0.54141969999999995</v>
      </c>
      <c r="Z4800">
        <v>1.470524E-2</v>
      </c>
      <c r="AA4800">
        <v>0.84062389999999998</v>
      </c>
      <c r="AB4800">
        <v>30</v>
      </c>
      <c r="AC4800">
        <v>0.47409999999999197</v>
      </c>
      <c r="AD4800">
        <v>-8.3119000000000096E-2</v>
      </c>
      <c r="AE4800">
        <v>0.605899999999998</v>
      </c>
      <c r="AF4800">
        <v>-0.47513292518634997</v>
      </c>
      <c r="AG4800">
        <v>-8.3119000000000096E-2</v>
      </c>
      <c r="AH4800">
        <v>0.59376342366074297</v>
      </c>
      <c r="AI4800">
        <v>96.237684828052394</v>
      </c>
      <c r="AJ4800">
        <v>128.666996850663</v>
      </c>
      <c r="AK4800">
        <v>0.76499350849171599</v>
      </c>
      <c r="AL4800">
        <v>90.407179336482201</v>
      </c>
      <c r="AM4800">
        <v>112.427627978654</v>
      </c>
      <c r="AN4800">
        <v>0.99999996496136101</v>
      </c>
    </row>
    <row r="4801" spans="1:40" x14ac:dyDescent="0.25">
      <c r="A4801" t="str">
        <f>"20190305135725411"</f>
        <v>20190305135725411</v>
      </c>
      <c r="B4801" t="str">
        <f>"1551765445407587"</f>
        <v>1551765445407587</v>
      </c>
      <c r="C4801" t="s">
        <v>40</v>
      </c>
      <c r="D4801">
        <v>4.1643299999999996</v>
      </c>
      <c r="E4801">
        <v>0.42535109999999898</v>
      </c>
      <c r="F4801" t="s">
        <v>41</v>
      </c>
      <c r="G4801">
        <v>-200.58860000000001</v>
      </c>
      <c r="H4801">
        <v>1.0222389999999999</v>
      </c>
      <c r="I4801">
        <v>-59.843310000000002</v>
      </c>
      <c r="J4801">
        <v>-201.12289999999999</v>
      </c>
      <c r="K4801">
        <v>1.1190869999999999</v>
      </c>
      <c r="L4801">
        <v>-60.537509999999997</v>
      </c>
      <c r="M4801">
        <v>0.97145740000000003</v>
      </c>
      <c r="N4801">
        <v>-1.8181610000000001E-2</v>
      </c>
      <c r="O4801">
        <v>0.2365168</v>
      </c>
      <c r="P4801">
        <v>0.80569569999999902</v>
      </c>
      <c r="Q4801">
        <v>-2.043702E-2</v>
      </c>
      <c r="R4801">
        <v>0.59197719999999998</v>
      </c>
      <c r="S4801">
        <v>2.0939179999999999</v>
      </c>
      <c r="T4801">
        <v>-0.29042980000000002</v>
      </c>
      <c r="U4801">
        <v>2.219452</v>
      </c>
      <c r="V4801">
        <v>-0.38440239999999998</v>
      </c>
      <c r="W4801">
        <v>-1.235342E-2</v>
      </c>
      <c r="X4801">
        <v>0.92308299999999999</v>
      </c>
      <c r="Y4801">
        <v>-0.54226200000000002</v>
      </c>
      <c r="Z4801">
        <v>1.4247269999999999E-2</v>
      </c>
      <c r="AA4801">
        <v>0.84008869999999902</v>
      </c>
      <c r="AB4801">
        <v>30</v>
      </c>
      <c r="AC4801">
        <v>0.53429999999997302</v>
      </c>
      <c r="AD4801">
        <v>-9.6848000000000198E-2</v>
      </c>
      <c r="AE4801">
        <v>0.69420000000000204</v>
      </c>
      <c r="AF4801">
        <v>-0.54148693317627505</v>
      </c>
      <c r="AG4801">
        <v>-9.6848000000000198E-2</v>
      </c>
      <c r="AH4801">
        <v>0.67510100618282498</v>
      </c>
      <c r="AI4801">
        <v>96.385252398805903</v>
      </c>
      <c r="AJ4801">
        <v>128.73250143874901</v>
      </c>
      <c r="AK4801">
        <v>0.87083236185485802</v>
      </c>
      <c r="AL4801">
        <v>90.707816819201099</v>
      </c>
      <c r="AM4801">
        <v>112.608465744114</v>
      </c>
      <c r="AN4801">
        <v>1.00000001850022</v>
      </c>
    </row>
    <row r="4802" spans="1:40" x14ac:dyDescent="0.25">
      <c r="A4802" t="str">
        <f>"20190305135725424"</f>
        <v>20190305135725424</v>
      </c>
      <c r="B4802" t="str">
        <f>"1551765445417348"</f>
        <v>1551765445417348</v>
      </c>
      <c r="C4802" t="s">
        <v>40</v>
      </c>
      <c r="D4802">
        <v>4.0994869999999999</v>
      </c>
      <c r="E4802">
        <v>0.40590619999999999</v>
      </c>
      <c r="F4802" t="s">
        <v>41</v>
      </c>
      <c r="G4802">
        <v>-200.36420000000001</v>
      </c>
      <c r="H4802">
        <v>1.0094590000000001</v>
      </c>
      <c r="I4802">
        <v>-59.716589999999997</v>
      </c>
      <c r="J4802">
        <v>-200.9495</v>
      </c>
      <c r="K4802">
        <v>1.1192690000000001</v>
      </c>
      <c r="L4802">
        <v>-60.487789999999997</v>
      </c>
      <c r="M4802">
        <v>0.96964030000000001</v>
      </c>
      <c r="N4802">
        <v>-1.8025920000000001E-2</v>
      </c>
      <c r="O4802">
        <v>0.24387030000000001</v>
      </c>
      <c r="P4802">
        <v>0.79873159999999999</v>
      </c>
      <c r="Q4802">
        <v>-2.633096E-2</v>
      </c>
      <c r="R4802">
        <v>0.60111110000000001</v>
      </c>
      <c r="S4802">
        <v>2.0701139999999998</v>
      </c>
      <c r="T4802">
        <v>-0.29911959999999999</v>
      </c>
      <c r="U4802">
        <v>2.23996</v>
      </c>
      <c r="V4802">
        <v>-0.38780829999999999</v>
      </c>
      <c r="W4802">
        <v>-1.870904E-2</v>
      </c>
      <c r="X4802">
        <v>0.92155019999999999</v>
      </c>
      <c r="Y4802">
        <v>-0.54445480000000002</v>
      </c>
      <c r="Z4802">
        <v>1.381893E-2</v>
      </c>
      <c r="AA4802">
        <v>0.83867639999999999</v>
      </c>
      <c r="AB4802">
        <v>30</v>
      </c>
      <c r="AC4802">
        <v>0.58529999999998905</v>
      </c>
      <c r="AD4802">
        <v>-0.10980999999999901</v>
      </c>
      <c r="AE4802">
        <v>0.7712</v>
      </c>
      <c r="AF4802">
        <v>-0.59746159456408598</v>
      </c>
      <c r="AG4802">
        <v>-0.10980999999999901</v>
      </c>
      <c r="AH4802">
        <v>0.74612747897178799</v>
      </c>
      <c r="AI4802">
        <v>96.553464358783003</v>
      </c>
      <c r="AJ4802">
        <v>128.686001745959</v>
      </c>
      <c r="AK4802">
        <v>0.962145939011259</v>
      </c>
      <c r="AL4802">
        <v>91.072011534792793</v>
      </c>
      <c r="AM4802">
        <v>112.822413187386</v>
      </c>
      <c r="AN4802">
        <v>1.0000000384233201</v>
      </c>
    </row>
    <row r="4803" spans="1:40" x14ac:dyDescent="0.25">
      <c r="A4803" t="str">
        <f>"20190305135725436"</f>
        <v>20190305135725436</v>
      </c>
      <c r="B4803" t="str">
        <f>"1551765445427108"</f>
        <v>1551765445427108</v>
      </c>
      <c r="C4803" t="s">
        <v>40</v>
      </c>
      <c r="D4803">
        <v>3.9843280000000001</v>
      </c>
      <c r="E4803">
        <v>0.40590619999999999</v>
      </c>
      <c r="F4803" t="s">
        <v>41</v>
      </c>
      <c r="G4803">
        <v>-200.34780000000001</v>
      </c>
      <c r="H4803">
        <v>1.0411029999999999</v>
      </c>
      <c r="I4803">
        <v>-59.748890000000003</v>
      </c>
      <c r="J4803">
        <v>-200.79650000000001</v>
      </c>
      <c r="K4803">
        <v>1.1194360000000001</v>
      </c>
      <c r="L4803">
        <v>-60.442749999999997</v>
      </c>
      <c r="M4803">
        <v>0.96795200000000003</v>
      </c>
      <c r="N4803">
        <v>-1.7897159999999999E-2</v>
      </c>
      <c r="O4803">
        <v>0.25049680000000002</v>
      </c>
      <c r="P4803">
        <v>0.79234589999999905</v>
      </c>
      <c r="Q4803">
        <v>-3.0766829999999998E-2</v>
      </c>
      <c r="R4803">
        <v>0.60929599999999995</v>
      </c>
      <c r="S4803">
        <v>1.947479</v>
      </c>
      <c r="T4803">
        <v>-0.25302140000000001</v>
      </c>
      <c r="U4803">
        <v>2.3919679999999999</v>
      </c>
      <c r="V4803">
        <v>-0.39090399999999997</v>
      </c>
      <c r="W4803">
        <v>-2.3550459999999999E-2</v>
      </c>
      <c r="X4803">
        <v>0.92013009999999995</v>
      </c>
      <c r="Y4803">
        <v>-0.59073500000000001</v>
      </c>
      <c r="Z4803">
        <v>1.55672E-2</v>
      </c>
      <c r="AA4803">
        <v>0.80671539999999997</v>
      </c>
      <c r="AB4803">
        <v>30</v>
      </c>
      <c r="AC4803">
        <v>0.44870000000000199</v>
      </c>
      <c r="AD4803">
        <v>-7.8332999999999903E-2</v>
      </c>
      <c r="AE4803">
        <v>0.69385999999999304</v>
      </c>
      <c r="AF4803">
        <v>-0.55433306559309103</v>
      </c>
      <c r="AG4803">
        <v>-7.8332999999999903E-2</v>
      </c>
      <c r="AH4803">
        <v>0.60280975233526901</v>
      </c>
      <c r="AI4803">
        <v>95.463807499783201</v>
      </c>
      <c r="AJ4803">
        <v>132.60108577564199</v>
      </c>
      <c r="AK4803">
        <v>0.82267904070137998</v>
      </c>
      <c r="AL4803">
        <v>91.349466749778898</v>
      </c>
      <c r="AM4803">
        <v>113.017511978561</v>
      </c>
      <c r="AN4803">
        <v>0.99999998115411004</v>
      </c>
    </row>
    <row r="4804" spans="1:40" x14ac:dyDescent="0.25">
      <c r="A4804" t="str">
        <f>"20190305135725448"</f>
        <v>20190305135725448</v>
      </c>
      <c r="B4804" t="str">
        <f>"1551765445436868"</f>
        <v>1551765445436868</v>
      </c>
      <c r="C4804" t="s">
        <v>40</v>
      </c>
      <c r="D4804">
        <v>4.0061960000000001</v>
      </c>
      <c r="E4804">
        <v>0.34830809999999901</v>
      </c>
      <c r="F4804" t="s">
        <v>78</v>
      </c>
      <c r="G4804">
        <v>-192.61619999999999</v>
      </c>
      <c r="H4804" s="1">
        <v>-1.58965399999999E-6</v>
      </c>
      <c r="I4804">
        <v>-50.171810000000001</v>
      </c>
      <c r="J4804">
        <v>-200.64490000000001</v>
      </c>
      <c r="K4804">
        <v>1.11959599999999</v>
      </c>
      <c r="L4804">
        <v>-60.397280000000002</v>
      </c>
      <c r="M4804">
        <v>0.96620790000000001</v>
      </c>
      <c r="N4804">
        <v>-1.7774479999999999E-2</v>
      </c>
      <c r="O4804">
        <v>0.2571504</v>
      </c>
      <c r="P4804">
        <v>0.78391549999999999</v>
      </c>
      <c r="Q4804">
        <v>-3.5723640000000001E-2</v>
      </c>
      <c r="R4804">
        <v>0.61983900000000003</v>
      </c>
      <c r="S4804">
        <v>1.921143</v>
      </c>
      <c r="T4804">
        <v>-0.2629011</v>
      </c>
      <c r="U4804">
        <v>2.41214</v>
      </c>
      <c r="V4804">
        <v>-0.39678790000000003</v>
      </c>
      <c r="W4804">
        <v>-2.8998199999999998E-2</v>
      </c>
      <c r="X4804">
        <v>0.91745220000000005</v>
      </c>
      <c r="Y4804">
        <v>-0.59374749999999998</v>
      </c>
      <c r="Z4804">
        <v>1.540884E-2</v>
      </c>
      <c r="AA4804">
        <v>0.80450390000000005</v>
      </c>
      <c r="AB4804">
        <v>30</v>
      </c>
      <c r="AC4804">
        <v>8.0287000000000095</v>
      </c>
      <c r="AD4804">
        <v>-1.11959758965399</v>
      </c>
      <c r="AE4804">
        <v>10.22547</v>
      </c>
      <c r="AF4804">
        <v>-7.7590383902867899</v>
      </c>
      <c r="AG4804">
        <v>-1.11959758965399</v>
      </c>
      <c r="AH4804">
        <v>10.312041589018699</v>
      </c>
      <c r="AI4804">
        <v>94.958360527521293</v>
      </c>
      <c r="AJ4804">
        <v>126.95871900399101</v>
      </c>
      <c r="AK4804">
        <v>12.9535468979872</v>
      </c>
      <c r="AL4804">
        <v>91.661707355830501</v>
      </c>
      <c r="AM4804">
        <v>113.38794704167699</v>
      </c>
      <c r="AN4804">
        <v>1.0000000362372401</v>
      </c>
    </row>
    <row r="4805" spans="1:40" x14ac:dyDescent="0.25">
      <c r="A4805" t="str">
        <f>"20190305135725461"</f>
        <v>20190305135725461</v>
      </c>
      <c r="B4805" t="str">
        <f>"1551765445457364"</f>
        <v>1551765445457364</v>
      </c>
      <c r="C4805" t="s">
        <v>40</v>
      </c>
      <c r="D4805">
        <v>3.9656530000000001</v>
      </c>
      <c r="E4805">
        <v>0.34598770000000001</v>
      </c>
      <c r="F4805" t="s">
        <v>42</v>
      </c>
      <c r="G4805">
        <v>-179.05240000000001</v>
      </c>
      <c r="H4805">
        <v>7.9986260000000003E-2</v>
      </c>
      <c r="I4805">
        <v>-22.448</v>
      </c>
      <c r="J4805">
        <v>-200.49379999999999</v>
      </c>
      <c r="K4805">
        <v>1.119766</v>
      </c>
      <c r="L4805">
        <v>-60.349980000000002</v>
      </c>
      <c r="M4805">
        <v>0.96435599999999999</v>
      </c>
      <c r="N4805">
        <v>-1.766707E-2</v>
      </c>
      <c r="O4805">
        <v>0.26401799999999997</v>
      </c>
      <c r="P4805">
        <v>0.77565499999999998</v>
      </c>
      <c r="Q4805">
        <v>-3.6829979999999998E-2</v>
      </c>
      <c r="R4805">
        <v>0.63008180000000003</v>
      </c>
      <c r="S4805">
        <v>1.5999909999999999</v>
      </c>
      <c r="T4805">
        <v>-7.7034240000000004E-2</v>
      </c>
      <c r="U4805">
        <v>2.8120120000000002</v>
      </c>
      <c r="V4805">
        <v>-0.40226879999999998</v>
      </c>
      <c r="W4805">
        <v>-3.057151E-2</v>
      </c>
      <c r="X4805">
        <v>0.91501100000000002</v>
      </c>
      <c r="Y4805">
        <v>-0.70733389999999996</v>
      </c>
      <c r="Z4805">
        <v>1.4961149999999999E-2</v>
      </c>
      <c r="AA4805">
        <v>0.70672119999999905</v>
      </c>
      <c r="AB4805">
        <v>30</v>
      </c>
      <c r="AC4805">
        <v>21.441399999999899</v>
      </c>
      <c r="AD4805">
        <v>-1.03977974</v>
      </c>
      <c r="AE4805">
        <v>37.901980000000002</v>
      </c>
      <c r="AF4805">
        <v>-30.8773020695971</v>
      </c>
      <c r="AG4805">
        <v>-1.03977974</v>
      </c>
      <c r="AH4805">
        <v>30.671248796732201</v>
      </c>
      <c r="AI4805">
        <v>91.368598646917903</v>
      </c>
      <c r="AJ4805">
        <v>135.19181505685199</v>
      </c>
      <c r="AK4805">
        <v>43.534060547528803</v>
      </c>
      <c r="AL4805">
        <v>91.751891517093796</v>
      </c>
      <c r="AM4805">
        <v>113.73186307376299</v>
      </c>
      <c r="AN4805">
        <v>0.99999996739905905</v>
      </c>
    </row>
    <row r="4806" spans="1:40" x14ac:dyDescent="0.25">
      <c r="A4806" t="str">
        <f>"20190305135725472"</f>
        <v>20190305135725472</v>
      </c>
      <c r="B4806" t="str">
        <f>"1551765445467123"</f>
        <v>1551765445467123</v>
      </c>
      <c r="C4806" t="s">
        <v>40</v>
      </c>
      <c r="D4806">
        <v>3.9352520000000002</v>
      </c>
      <c r="E4806">
        <v>0.34622389999999997</v>
      </c>
      <c r="F4806" t="s">
        <v>43</v>
      </c>
      <c r="G4806">
        <v>-164.22579999999999</v>
      </c>
      <c r="H4806">
        <v>-0.05</v>
      </c>
      <c r="I4806">
        <v>6.2640840000000004</v>
      </c>
      <c r="J4806">
        <v>-200.34209999999999</v>
      </c>
      <c r="K4806">
        <v>1.119947</v>
      </c>
      <c r="L4806">
        <v>-60.301729999999999</v>
      </c>
      <c r="M4806">
        <v>0.96242340000000004</v>
      </c>
      <c r="N4806">
        <v>-1.7562629999999999E-2</v>
      </c>
      <c r="O4806">
        <v>0.27098480000000003</v>
      </c>
      <c r="P4806">
        <v>0.76759949999999999</v>
      </c>
      <c r="Q4806">
        <v>-3.6973770000000003E-2</v>
      </c>
      <c r="R4806">
        <v>0.6398625</v>
      </c>
      <c r="S4806">
        <v>1.551102</v>
      </c>
      <c r="T4806">
        <v>-5.0028320000000001E-2</v>
      </c>
      <c r="U4806">
        <v>2.848938</v>
      </c>
      <c r="V4806">
        <v>-0.40722019999999998</v>
      </c>
      <c r="W4806">
        <v>-3.1167589999999998E-2</v>
      </c>
      <c r="X4806">
        <v>0.912798</v>
      </c>
      <c r="Y4806">
        <v>-0.71555939999999996</v>
      </c>
      <c r="Z4806">
        <v>1.3959330000000001E-2</v>
      </c>
      <c r="AA4806">
        <v>0.69841239999999905</v>
      </c>
      <c r="AB4806">
        <v>30</v>
      </c>
      <c r="AC4806">
        <v>36.116300000000003</v>
      </c>
      <c r="AD4806">
        <v>-1.1699469999999901</v>
      </c>
      <c r="AE4806">
        <v>66.565814000000003</v>
      </c>
      <c r="AF4806">
        <v>-54.2729487788542</v>
      </c>
      <c r="AG4806">
        <v>-1.1699469999999901</v>
      </c>
      <c r="AH4806">
        <v>52.793040997232502</v>
      </c>
      <c r="AI4806">
        <v>90.885270997910297</v>
      </c>
      <c r="AJ4806">
        <v>135.791914133012</v>
      </c>
      <c r="AK4806">
        <v>75.7233578420187</v>
      </c>
      <c r="AL4806">
        <v>91.786060703434202</v>
      </c>
      <c r="AM4806">
        <v>114.04275022845</v>
      </c>
      <c r="AN4806">
        <v>0.99999994937922199</v>
      </c>
    </row>
    <row r="4807" spans="1:40" x14ac:dyDescent="0.25">
      <c r="A4807" t="str">
        <f>"20190305135725487"</f>
        <v>20190305135725487</v>
      </c>
      <c r="B4807" t="str">
        <f>"1551765445476883"</f>
        <v>1551765445476883</v>
      </c>
      <c r="C4807" t="s">
        <v>40</v>
      </c>
      <c r="D4807">
        <v>3.9681479999999998</v>
      </c>
      <c r="E4807">
        <v>0.34651729999999997</v>
      </c>
      <c r="F4807" t="s">
        <v>43</v>
      </c>
      <c r="G4807">
        <v>-159.31180000000001</v>
      </c>
      <c r="H4807">
        <v>-0.05</v>
      </c>
      <c r="I4807">
        <v>17.278120000000001</v>
      </c>
      <c r="J4807">
        <v>-200.1464</v>
      </c>
      <c r="K4807">
        <v>1.12018</v>
      </c>
      <c r="L4807">
        <v>-60.237430000000003</v>
      </c>
      <c r="M4807">
        <v>0.95978209999999997</v>
      </c>
      <c r="N4807">
        <v>-1.7442590000000001E-2</v>
      </c>
      <c r="O4807">
        <v>0.2802037</v>
      </c>
      <c r="P4807">
        <v>0.75592349999999997</v>
      </c>
      <c r="Q4807">
        <v>-3.5499509999999998E-2</v>
      </c>
      <c r="R4807">
        <v>0.65369679999999997</v>
      </c>
      <c r="S4807">
        <v>1.5162960000000001</v>
      </c>
      <c r="T4807">
        <v>-4.323602E-2</v>
      </c>
      <c r="U4807">
        <v>2.8670040000000001</v>
      </c>
      <c r="V4807">
        <v>-0.41501500000000002</v>
      </c>
      <c r="W4807">
        <v>-3.031768E-2</v>
      </c>
      <c r="X4807">
        <v>0.90930929999999999</v>
      </c>
      <c r="Y4807">
        <v>-0.71733459999999905</v>
      </c>
      <c r="Z4807">
        <v>1.364432E-2</v>
      </c>
      <c r="AA4807">
        <v>0.69659530000000003</v>
      </c>
      <c r="AB4807">
        <v>30</v>
      </c>
      <c r="AC4807">
        <v>40.834600000000002</v>
      </c>
      <c r="AD4807">
        <v>-1.17018</v>
      </c>
      <c r="AE4807">
        <v>77.515550000000005</v>
      </c>
      <c r="AF4807">
        <v>-62.954379127097397</v>
      </c>
      <c r="AG4807">
        <v>-1.17018</v>
      </c>
      <c r="AH4807">
        <v>60.910863463364301</v>
      </c>
      <c r="AI4807">
        <v>90.765342652548796</v>
      </c>
      <c r="AJ4807">
        <v>135.945173960435</v>
      </c>
      <c r="AK4807">
        <v>87.605687374526795</v>
      </c>
      <c r="AL4807">
        <v>91.737341314536806</v>
      </c>
      <c r="AM4807">
        <v>114.53228122469901</v>
      </c>
      <c r="AN4807">
        <v>1.00000000750603</v>
      </c>
    </row>
    <row r="4808" spans="1:40" x14ac:dyDescent="0.25">
      <c r="A4808" t="str">
        <f>"20190305135725501"</f>
        <v>20190305135725501</v>
      </c>
      <c r="B4808" t="str">
        <f>"1551765445497379"</f>
        <v>1551765445497379</v>
      </c>
      <c r="C4808" t="s">
        <v>40</v>
      </c>
      <c r="D4808">
        <v>3.9984649999999999</v>
      </c>
      <c r="E4808">
        <v>0.34769600000000001</v>
      </c>
      <c r="F4808" t="s">
        <v>51</v>
      </c>
      <c r="G4808">
        <v>-165.88419999999999</v>
      </c>
      <c r="H4808">
        <v>0.34201340000000002</v>
      </c>
      <c r="I4808">
        <v>7.3802310000000002</v>
      </c>
      <c r="J4808">
        <v>-199.98859999999999</v>
      </c>
      <c r="K4808">
        <v>1.1203669999999999</v>
      </c>
      <c r="L4808">
        <v>-60.183410000000002</v>
      </c>
      <c r="M4808">
        <v>0.95751609999999998</v>
      </c>
      <c r="N4808">
        <v>-1.736472E-2</v>
      </c>
      <c r="O4808">
        <v>0.28785660000000002</v>
      </c>
      <c r="P4808">
        <v>0.74881569999999997</v>
      </c>
      <c r="Q4808">
        <v>-3.6197979999999998E-2</v>
      </c>
      <c r="R4808">
        <v>0.66178909999999902</v>
      </c>
      <c r="S4808">
        <v>1.4656830000000001</v>
      </c>
      <c r="T4808">
        <v>-3.328884E-2</v>
      </c>
      <c r="U4808">
        <v>2.8925779999999999</v>
      </c>
      <c r="V4808">
        <v>-0.41750680000000001</v>
      </c>
      <c r="W4808">
        <v>-3.137823E-2</v>
      </c>
      <c r="X4808">
        <v>0.90813180000000004</v>
      </c>
      <c r="Y4808">
        <v>-0.72396389999999999</v>
      </c>
      <c r="Z4808">
        <v>1.3382689999999999E-2</v>
      </c>
      <c r="AA4808">
        <v>0.68970810000000005</v>
      </c>
      <c r="AB4808">
        <v>30</v>
      </c>
      <c r="AC4808">
        <v>34.104399999999998</v>
      </c>
      <c r="AD4808">
        <v>-0.77835359999999998</v>
      </c>
      <c r="AE4808">
        <v>67.563640999999905</v>
      </c>
      <c r="AF4808">
        <v>-54.878567342740702</v>
      </c>
      <c r="AG4808">
        <v>-0.77835359999999998</v>
      </c>
      <c r="AH4808">
        <v>52.1064972388128</v>
      </c>
      <c r="AI4808">
        <v>90.589291754221506</v>
      </c>
      <c r="AJ4808">
        <v>136.48424818255799</v>
      </c>
      <c r="AK4808">
        <v>75.679257676174203</v>
      </c>
      <c r="AL4808">
        <v>91.798135403095102</v>
      </c>
      <c r="AM4808">
        <v>114.69025285923099</v>
      </c>
      <c r="AN4808">
        <v>0.99999994376770496</v>
      </c>
    </row>
    <row r="4809" spans="1:40" x14ac:dyDescent="0.25">
      <c r="A4809" t="str">
        <f>"20190305135725517"</f>
        <v>20190305135725517</v>
      </c>
      <c r="B4809" t="str">
        <f>"1551765445507139"</f>
        <v>1551765445507139</v>
      </c>
      <c r="C4809" t="s">
        <v>40</v>
      </c>
      <c r="D4809">
        <v>3.9959929999999999</v>
      </c>
      <c r="E4809">
        <v>0.34821099999999999</v>
      </c>
      <c r="F4809" t="s">
        <v>51</v>
      </c>
      <c r="G4809">
        <v>-166.45009999999999</v>
      </c>
      <c r="H4809">
        <v>0.88621810000000001</v>
      </c>
      <c r="I4809">
        <v>7.3802300000000001</v>
      </c>
      <c r="J4809">
        <v>-199.78399999999999</v>
      </c>
      <c r="K4809">
        <v>1.1206100000000001</v>
      </c>
      <c r="L4809">
        <v>-60.111539999999998</v>
      </c>
      <c r="M4809">
        <v>0.95442389999999999</v>
      </c>
      <c r="N4809">
        <v>-1.7278849999999998E-2</v>
      </c>
      <c r="O4809">
        <v>0.29795369999999999</v>
      </c>
      <c r="P4809">
        <v>0.74058369999999996</v>
      </c>
      <c r="Q4809">
        <v>-3.7536170000000001E-2</v>
      </c>
      <c r="R4809">
        <v>0.67091489999999998</v>
      </c>
      <c r="S4809">
        <v>1.44075</v>
      </c>
      <c r="T4809">
        <v>-1.0058640000000001E-2</v>
      </c>
      <c r="U4809">
        <v>2.9024049999999999</v>
      </c>
      <c r="V4809">
        <v>-0.41900320000000002</v>
      </c>
      <c r="W4809">
        <v>-3.3113700000000003E-2</v>
      </c>
      <c r="X4809">
        <v>0.90738079999999999</v>
      </c>
      <c r="Y4809">
        <v>-0.72244830000000004</v>
      </c>
      <c r="Z4809">
        <v>1.2535879999999999E-2</v>
      </c>
      <c r="AA4809">
        <v>0.69131129999999996</v>
      </c>
      <c r="AB4809">
        <v>30</v>
      </c>
      <c r="AC4809">
        <v>33.3339</v>
      </c>
      <c r="AD4809">
        <v>-0.23439189999999999</v>
      </c>
      <c r="AE4809">
        <v>67.491769999999903</v>
      </c>
      <c r="AF4809">
        <v>-54.491407733610103</v>
      </c>
      <c r="AG4809">
        <v>-0.23439189999999999</v>
      </c>
      <c r="AH4809">
        <v>51.931344221239002</v>
      </c>
      <c r="AI4809">
        <v>90.178409805741396</v>
      </c>
      <c r="AJ4809">
        <v>136.37801878172999</v>
      </c>
      <c r="AK4809">
        <v>75.2743845473222</v>
      </c>
      <c r="AL4809">
        <v>91.897622048629401</v>
      </c>
      <c r="AM4809">
        <v>114.78617853798301</v>
      </c>
      <c r="AN4809">
        <v>1.0000000574732799</v>
      </c>
    </row>
    <row r="4810" spans="1:40" x14ac:dyDescent="0.25">
      <c r="A4810" t="str">
        <f>"20190305135725535"</f>
        <v>20190305135725535</v>
      </c>
      <c r="B4810" t="str">
        <f>"1551765445527635"</f>
        <v>1551765445527635</v>
      </c>
      <c r="C4810" t="s">
        <v>40</v>
      </c>
      <c r="D4810">
        <v>4.0195379999999998</v>
      </c>
      <c r="E4810">
        <v>0.34989130000000002</v>
      </c>
      <c r="F4810" t="s">
        <v>51</v>
      </c>
      <c r="G4810">
        <v>-167.20779999999999</v>
      </c>
      <c r="H4810">
        <v>0.95496179999999997</v>
      </c>
      <c r="I4810">
        <v>7.3802310000000002</v>
      </c>
      <c r="J4810">
        <v>-199.5702</v>
      </c>
      <c r="K4810">
        <v>1.120857</v>
      </c>
      <c r="L4810">
        <v>-60.033630000000002</v>
      </c>
      <c r="M4810">
        <v>0.95098349999999998</v>
      </c>
      <c r="N4810">
        <v>-1.7215769999999998E-2</v>
      </c>
      <c r="O4810">
        <v>0.30876189999999998</v>
      </c>
      <c r="P4810">
        <v>0.73027589999999998</v>
      </c>
      <c r="Q4810">
        <v>-3.9777479999999997E-2</v>
      </c>
      <c r="R4810">
        <v>0.68199330000000002</v>
      </c>
      <c r="S4810">
        <v>1.4079280000000001</v>
      </c>
      <c r="T4810">
        <v>-7.1593519999999999E-3</v>
      </c>
      <c r="U4810">
        <v>2.9169619999999998</v>
      </c>
      <c r="V4810">
        <v>-0.4223211</v>
      </c>
      <c r="W4810">
        <v>-3.5806690000000002E-2</v>
      </c>
      <c r="X4810">
        <v>0.90573879999999996</v>
      </c>
      <c r="Y4810">
        <v>-0.7222712</v>
      </c>
      <c r="Z4810">
        <v>1.252399E-2</v>
      </c>
      <c r="AA4810">
        <v>0.69149649999999996</v>
      </c>
      <c r="AB4810">
        <v>30</v>
      </c>
      <c r="AC4810">
        <v>32.362400000000001</v>
      </c>
      <c r="AD4810">
        <v>-0.16589519999999899</v>
      </c>
      <c r="AE4810">
        <v>67.413860999999997</v>
      </c>
      <c r="AF4810">
        <v>-54.124950885774801</v>
      </c>
      <c r="AG4810">
        <v>-0.16589519999999899</v>
      </c>
      <c r="AH4810">
        <v>51.598335615321503</v>
      </c>
      <c r="AI4810">
        <v>90.127108940453695</v>
      </c>
      <c r="AJ4810">
        <v>136.36901571824501</v>
      </c>
      <c r="AK4810">
        <v>74.779182048724394</v>
      </c>
      <c r="AL4810">
        <v>92.052010857266694</v>
      </c>
      <c r="AM4810">
        <v>114.99834563002</v>
      </c>
      <c r="AN4810">
        <v>1.0000000021897</v>
      </c>
    </row>
    <row r="4811" spans="1:40" x14ac:dyDescent="0.25">
      <c r="A4811" t="str">
        <f>"20190305135725549"</f>
        <v>20190305135725549</v>
      </c>
      <c r="B4811" t="str">
        <f>"1551765445537397"</f>
        <v>1551765445537397</v>
      </c>
      <c r="C4811" t="s">
        <v>40</v>
      </c>
      <c r="D4811">
        <v>3.976521</v>
      </c>
      <c r="E4811">
        <v>0.35028920000000002</v>
      </c>
      <c r="F4811" t="s">
        <v>51</v>
      </c>
      <c r="G4811">
        <v>-167.9708</v>
      </c>
      <c r="H4811">
        <v>0.94136909999999896</v>
      </c>
      <c r="I4811">
        <v>7.3802300000000001</v>
      </c>
      <c r="J4811">
        <v>-199.3896</v>
      </c>
      <c r="K4811">
        <v>1.121067</v>
      </c>
      <c r="L4811">
        <v>-59.965820000000001</v>
      </c>
      <c r="M4811">
        <v>0.94791270000000005</v>
      </c>
      <c r="N4811">
        <v>-1.7184209999999998E-2</v>
      </c>
      <c r="O4811">
        <v>0.31806659999999998</v>
      </c>
      <c r="P4811">
        <v>0.72215719999999906</v>
      </c>
      <c r="Q4811">
        <v>-4.1536259999999998E-2</v>
      </c>
      <c r="R4811">
        <v>0.69048080000000001</v>
      </c>
      <c r="S4811">
        <v>1.3726959999999999</v>
      </c>
      <c r="T4811">
        <v>-7.7971219999999897E-3</v>
      </c>
      <c r="U4811">
        <v>2.9284970000000001</v>
      </c>
      <c r="V4811">
        <v>-0.42398910000000001</v>
      </c>
      <c r="W4811">
        <v>-3.7883930000000003E-2</v>
      </c>
      <c r="X4811">
        <v>0.90487459999999997</v>
      </c>
      <c r="Y4811">
        <v>-0.72334679999999996</v>
      </c>
      <c r="Z4811">
        <v>1.2649840000000001E-2</v>
      </c>
      <c r="AA4811">
        <v>0.69036909999999996</v>
      </c>
      <c r="AB4811">
        <v>30</v>
      </c>
      <c r="AC4811">
        <v>31.418800000000001</v>
      </c>
      <c r="AD4811">
        <v>-0.17969789999999999</v>
      </c>
      <c r="AE4811">
        <v>67.346049999999906</v>
      </c>
      <c r="AF4811">
        <v>-53.852538269087802</v>
      </c>
      <c r="AG4811">
        <v>-0.17969789999999999</v>
      </c>
      <c r="AH4811">
        <v>51.210067212559103</v>
      </c>
      <c r="AI4811">
        <v>90.138546097247897</v>
      </c>
      <c r="AJ4811">
        <v>136.44076500944999</v>
      </c>
      <c r="AK4811">
        <v>74.314192139009705</v>
      </c>
      <c r="AL4811">
        <v>92.171108848092999</v>
      </c>
      <c r="AM4811">
        <v>115.105964022381</v>
      </c>
      <c r="AN4811">
        <v>0.99999999539810702</v>
      </c>
    </row>
    <row r="4812" spans="1:40" x14ac:dyDescent="0.25">
      <c r="A4812" t="str">
        <f>"20190305135725561"</f>
        <v>20190305135725561</v>
      </c>
      <c r="B4812" t="str">
        <f>"1551765445556915"</f>
        <v>1551765445556915</v>
      </c>
      <c r="C4812" t="s">
        <v>40</v>
      </c>
      <c r="D4812">
        <v>3.9392689999999999</v>
      </c>
      <c r="E4812">
        <v>0.35151739999999998</v>
      </c>
      <c r="F4812" t="s">
        <v>51</v>
      </c>
      <c r="G4812">
        <v>-168.45050000000001</v>
      </c>
      <c r="H4812">
        <v>0.8175135</v>
      </c>
      <c r="I4812">
        <v>7.9540300000000004</v>
      </c>
      <c r="J4812">
        <v>-199.2423</v>
      </c>
      <c r="K4812">
        <v>1.1212359999999999</v>
      </c>
      <c r="L4812">
        <v>-59.908019999999901</v>
      </c>
      <c r="M4812">
        <v>0.94525499999999996</v>
      </c>
      <c r="N4812">
        <v>-1.7180899999999999E-2</v>
      </c>
      <c r="O4812">
        <v>0.32588</v>
      </c>
      <c r="P4812">
        <v>0.71492270000000002</v>
      </c>
      <c r="Q4812">
        <v>-4.352375E-2</v>
      </c>
      <c r="R4812">
        <v>0.69784749999999995</v>
      </c>
      <c r="S4812">
        <v>1.340271</v>
      </c>
      <c r="T4812">
        <v>-1.3149859999999999E-2</v>
      </c>
      <c r="U4812">
        <v>2.9422609999999998</v>
      </c>
      <c r="V4812">
        <v>-0.42575940000000001</v>
      </c>
      <c r="W4812">
        <v>-4.0120570000000001E-2</v>
      </c>
      <c r="X4812">
        <v>0.90394649999999999</v>
      </c>
      <c r="Y4812">
        <v>-0.72514209999999901</v>
      </c>
      <c r="Z4812">
        <v>1.290204E-2</v>
      </c>
      <c r="AA4812">
        <v>0.68847840000000005</v>
      </c>
      <c r="AB4812">
        <v>30</v>
      </c>
      <c r="AC4812">
        <v>30.791799999999899</v>
      </c>
      <c r="AD4812">
        <v>-0.30372250000000001</v>
      </c>
      <c r="AE4812">
        <v>67.862049999999996</v>
      </c>
      <c r="AF4812">
        <v>-54.119600370083198</v>
      </c>
      <c r="AG4812">
        <v>-0.30372250000000001</v>
      </c>
      <c r="AH4812">
        <v>51.227698983146098</v>
      </c>
      <c r="AI4812">
        <v>90.233520607660694</v>
      </c>
      <c r="AJ4812">
        <v>136.57243843728301</v>
      </c>
      <c r="AK4812">
        <v>74.520470574751101</v>
      </c>
      <c r="AL4812">
        <v>92.299356476027995</v>
      </c>
      <c r="AM4812">
        <v>115.220466636604</v>
      </c>
      <c r="AN4812">
        <v>1.0000000008438601</v>
      </c>
    </row>
    <row r="4813" spans="1:40" x14ac:dyDescent="0.25">
      <c r="A4813" t="str">
        <f>"20190305135725579"</f>
        <v>20190305135725579</v>
      </c>
      <c r="B4813" t="str">
        <f>"1551765445567650"</f>
        <v>1551765445567650</v>
      </c>
      <c r="C4813" t="s">
        <v>40</v>
      </c>
      <c r="D4813">
        <v>4.0122169999999997</v>
      </c>
      <c r="E4813">
        <v>0.35229729999999998</v>
      </c>
      <c r="F4813" t="s">
        <v>51</v>
      </c>
      <c r="G4813">
        <v>-168.45050000000001</v>
      </c>
      <c r="H4813">
        <v>0.73844909999999997</v>
      </c>
      <c r="I4813">
        <v>9.0670640000000002</v>
      </c>
      <c r="J4813">
        <v>-199.03129999999999</v>
      </c>
      <c r="K4813">
        <v>1.1214759999999999</v>
      </c>
      <c r="L4813">
        <v>-59.823270000000001</v>
      </c>
      <c r="M4813">
        <v>0.94126679999999996</v>
      </c>
      <c r="N4813">
        <v>-1.7186119999999999E-2</v>
      </c>
      <c r="O4813">
        <v>0.33722609999999997</v>
      </c>
      <c r="P4813">
        <v>0.70391369999999998</v>
      </c>
      <c r="Q4813">
        <v>-4.8529919999999997E-2</v>
      </c>
      <c r="R4813">
        <v>0.70862569999999903</v>
      </c>
      <c r="S4813">
        <v>1.316559</v>
      </c>
      <c r="T4813">
        <v>-1.6366840000000001E-2</v>
      </c>
      <c r="U4813">
        <v>2.9491580000000002</v>
      </c>
      <c r="V4813">
        <v>-0.42855120000000002</v>
      </c>
      <c r="W4813">
        <v>-4.5488059999999997E-2</v>
      </c>
      <c r="X4813">
        <v>0.9023717</v>
      </c>
      <c r="Y4813">
        <v>-0.72205079999999999</v>
      </c>
      <c r="Z4813">
        <v>1.303E-2</v>
      </c>
      <c r="AA4813">
        <v>0.69171729999999998</v>
      </c>
      <c r="AB4813">
        <v>30</v>
      </c>
      <c r="AC4813">
        <v>30.580799999999901</v>
      </c>
      <c r="AD4813">
        <v>-0.3830269</v>
      </c>
      <c r="AE4813">
        <v>68.890333999999996</v>
      </c>
      <c r="AF4813">
        <v>-54.538187144064402</v>
      </c>
      <c r="AG4813">
        <v>-0.3830269</v>
      </c>
      <c r="AH4813">
        <v>52.022650667415498</v>
      </c>
      <c r="AI4813">
        <v>90.291168617768506</v>
      </c>
      <c r="AJ4813">
        <v>136.35230598945</v>
      </c>
      <c r="AK4813">
        <v>75.371856478602595</v>
      </c>
      <c r="AL4813">
        <v>92.607173521963205</v>
      </c>
      <c r="AM4813">
        <v>115.403814016505</v>
      </c>
      <c r="AN4813">
        <v>0.99999998979244598</v>
      </c>
    </row>
    <row r="4814" spans="1:40" x14ac:dyDescent="0.25">
      <c r="A4814" t="str">
        <f>"20190305135725593"</f>
        <v>20190305135725593</v>
      </c>
      <c r="B4814" t="str">
        <f>"1551765445587171"</f>
        <v>1551765445587171</v>
      </c>
      <c r="C4814" t="s">
        <v>40</v>
      </c>
      <c r="D4814">
        <v>3.9671379999999998</v>
      </c>
      <c r="E4814">
        <v>0.35377309999999901</v>
      </c>
      <c r="F4814" t="s">
        <v>94</v>
      </c>
      <c r="G4814">
        <v>-162.72710000000001</v>
      </c>
      <c r="H4814">
        <v>8.1808179999999994E-2</v>
      </c>
      <c r="I4814">
        <v>24.57629</v>
      </c>
      <c r="J4814">
        <v>-198.8639</v>
      </c>
      <c r="K4814">
        <v>1.1216699999999999</v>
      </c>
      <c r="L4814">
        <v>-59.753999999999998</v>
      </c>
      <c r="M4814">
        <v>0.93793300000000002</v>
      </c>
      <c r="N4814">
        <v>-1.7201129999999999E-2</v>
      </c>
      <c r="O4814">
        <v>0.34638970000000002</v>
      </c>
      <c r="P4814">
        <v>0.69650909999999999</v>
      </c>
      <c r="Q4814">
        <v>-4.7569460000000001E-2</v>
      </c>
      <c r="R4814">
        <v>0.71596949999999904</v>
      </c>
      <c r="S4814">
        <v>1.275131</v>
      </c>
      <c r="T4814">
        <v>-3.6516899999999998E-2</v>
      </c>
      <c r="U4814">
        <v>2.9644170000000001</v>
      </c>
      <c r="V4814">
        <v>-0.42919869999999999</v>
      </c>
      <c r="W4814">
        <v>-4.4738180000000002E-2</v>
      </c>
      <c r="X4814">
        <v>0.9021015</v>
      </c>
      <c r="Y4814">
        <v>-0.72465869999999999</v>
      </c>
      <c r="Z4814">
        <v>1.351837E-2</v>
      </c>
      <c r="AA4814">
        <v>0.68897540000000002</v>
      </c>
      <c r="AB4814">
        <v>30</v>
      </c>
      <c r="AC4814">
        <v>36.136800000000001</v>
      </c>
      <c r="AD4814">
        <v>-1.03986182</v>
      </c>
      <c r="AE4814">
        <v>84.330289999999906</v>
      </c>
      <c r="AF4814">
        <v>-66.580044956260096</v>
      </c>
      <c r="AG4814">
        <v>-1.03986182</v>
      </c>
      <c r="AH4814">
        <v>63.106271723053403</v>
      </c>
      <c r="AI4814">
        <v>90.6494485661797</v>
      </c>
      <c r="AJ4814">
        <v>136.534355895619</v>
      </c>
      <c r="AK4814">
        <v>91.740859107412803</v>
      </c>
      <c r="AL4814">
        <v>92.564164561123405</v>
      </c>
      <c r="AM4814">
        <v>115.44400746576601</v>
      </c>
      <c r="AN4814">
        <v>1.0000000725668201</v>
      </c>
    </row>
    <row r="4815" spans="1:40" x14ac:dyDescent="0.25">
      <c r="A4815" t="str">
        <f>"20190305135725607"</f>
        <v>20190305135725607</v>
      </c>
      <c r="B4815" t="str">
        <f>"1551765445596933"</f>
        <v>1551765445596933</v>
      </c>
      <c r="C4815" t="s">
        <v>40</v>
      </c>
      <c r="D4815">
        <v>3.9837090000000002</v>
      </c>
      <c r="E4815">
        <v>0.35437059999999998</v>
      </c>
      <c r="F4815" t="s">
        <v>94</v>
      </c>
      <c r="G4815">
        <v>-163.04259999999999</v>
      </c>
      <c r="H4815">
        <v>9.173974E-2</v>
      </c>
      <c r="I4815">
        <v>25.184909999999999</v>
      </c>
      <c r="J4815">
        <v>-198.6789</v>
      </c>
      <c r="K4815">
        <v>1.1218870000000001</v>
      </c>
      <c r="L4815">
        <v>-59.674900000000001</v>
      </c>
      <c r="M4815">
        <v>0.9340541</v>
      </c>
      <c r="N4815">
        <v>-1.7232250000000001E-2</v>
      </c>
      <c r="O4815">
        <v>0.35671550000000002</v>
      </c>
      <c r="P4815">
        <v>0.68800589999999995</v>
      </c>
      <c r="Q4815">
        <v>-4.5205479999999999E-2</v>
      </c>
      <c r="R4815">
        <v>0.72429589999999999</v>
      </c>
      <c r="S4815">
        <v>1.252319</v>
      </c>
      <c r="T4815">
        <v>-3.6006570000000002E-2</v>
      </c>
      <c r="U4815">
        <v>2.9694820000000002</v>
      </c>
      <c r="V4815">
        <v>-0.43008879999999999</v>
      </c>
      <c r="W4815">
        <v>-4.2593899999999997E-2</v>
      </c>
      <c r="X4815">
        <v>0.90178130000000001</v>
      </c>
      <c r="Y4815">
        <v>-0.72196249999999995</v>
      </c>
      <c r="Z4815">
        <v>1.348763E-2</v>
      </c>
      <c r="AA4815">
        <v>0.69180079999999999</v>
      </c>
      <c r="AB4815">
        <v>30</v>
      </c>
      <c r="AC4815">
        <v>35.636299999999999</v>
      </c>
      <c r="AD4815">
        <v>-1.0301472599999999</v>
      </c>
      <c r="AE4815">
        <v>84.859809999999996</v>
      </c>
      <c r="AF4815">
        <v>-66.553180371170697</v>
      </c>
      <c r="AG4815">
        <v>-1.0301472599999999</v>
      </c>
      <c r="AH4815">
        <v>63.558519534421201</v>
      </c>
      <c r="AI4815">
        <v>90.641338706116798</v>
      </c>
      <c r="AJ4815">
        <v>136.31849125738901</v>
      </c>
      <c r="AK4815">
        <v>92.032996399673294</v>
      </c>
      <c r="AL4815">
        <v>92.441189075610694</v>
      </c>
      <c r="AM4815">
        <v>115.497990836272</v>
      </c>
      <c r="AN4815">
        <v>1.00000006461616</v>
      </c>
    </row>
    <row r="4816" spans="1:40" x14ac:dyDescent="0.25">
      <c r="A4816" t="str">
        <f>"20190305135725625"</f>
        <v>20190305135725625</v>
      </c>
      <c r="B4816" t="str">
        <f>"1551765445617427"</f>
        <v>1551765445617427</v>
      </c>
      <c r="C4816" t="s">
        <v>40</v>
      </c>
      <c r="D4816">
        <v>4.0158740000000002</v>
      </c>
      <c r="E4816">
        <v>0.35560720000000001</v>
      </c>
      <c r="F4816" t="s">
        <v>94</v>
      </c>
      <c r="G4816">
        <v>-163.9462</v>
      </c>
      <c r="H4816">
        <v>0.26653490000000002</v>
      </c>
      <c r="I4816">
        <v>25.184909999999999</v>
      </c>
      <c r="J4816">
        <v>-198.4828</v>
      </c>
      <c r="K4816">
        <v>1.1221159999999999</v>
      </c>
      <c r="L4816">
        <v>-59.587739999999997</v>
      </c>
      <c r="M4816">
        <v>0.92970469999999905</v>
      </c>
      <c r="N4816">
        <v>-1.7285160000000001E-2</v>
      </c>
      <c r="O4816">
        <v>0.3678997</v>
      </c>
      <c r="P4816">
        <v>0.67742950000000002</v>
      </c>
      <c r="Q4816">
        <v>-4.2210780000000003E-2</v>
      </c>
      <c r="R4816">
        <v>0.73437559999999902</v>
      </c>
      <c r="S4816">
        <v>1.2201390000000001</v>
      </c>
      <c r="T4816">
        <v>-3.004801E-2</v>
      </c>
      <c r="U4816">
        <v>2.9810789999999998</v>
      </c>
      <c r="V4816">
        <v>-0.43257659999999998</v>
      </c>
      <c r="W4816">
        <v>-3.9862929999999998E-2</v>
      </c>
      <c r="X4816">
        <v>0.9007155</v>
      </c>
      <c r="Y4816">
        <v>-0.72101870000000001</v>
      </c>
      <c r="Z4816">
        <v>1.3469790000000001E-2</v>
      </c>
      <c r="AA4816">
        <v>0.69278459999999997</v>
      </c>
      <c r="AB4816">
        <v>30</v>
      </c>
      <c r="AC4816">
        <v>34.5365999999999</v>
      </c>
      <c r="AD4816">
        <v>-0.85558109999999898</v>
      </c>
      <c r="AE4816">
        <v>84.772649999999999</v>
      </c>
      <c r="AF4816">
        <v>-66.111635416422999</v>
      </c>
      <c r="AG4816">
        <v>-0.85558109999999898</v>
      </c>
      <c r="AH4816">
        <v>63.300606189356202</v>
      </c>
      <c r="AI4816">
        <v>90.535560296049994</v>
      </c>
      <c r="AJ4816">
        <v>136.24435513437899</v>
      </c>
      <c r="AK4816">
        <v>91.533857672408203</v>
      </c>
      <c r="AL4816">
        <v>92.284582997501701</v>
      </c>
      <c r="AM4816">
        <v>115.653058927041</v>
      </c>
      <c r="AN4816">
        <v>0.999999989997997</v>
      </c>
    </row>
    <row r="4817" spans="1:40" x14ac:dyDescent="0.25">
      <c r="A4817" t="str">
        <f>"20190305135725639"</f>
        <v>20190305135725639</v>
      </c>
      <c r="B4817" t="str">
        <f>"1551765445627188"</f>
        <v>1551765445627188</v>
      </c>
      <c r="C4817" t="s">
        <v>40</v>
      </c>
      <c r="D4817">
        <v>3.9586839999999999</v>
      </c>
      <c r="E4817">
        <v>0.35626239999999998</v>
      </c>
      <c r="F4817" t="s">
        <v>94</v>
      </c>
      <c r="G4817">
        <v>-164.95930000000001</v>
      </c>
      <c r="H4817">
        <v>0.58169469999999901</v>
      </c>
      <c r="I4817">
        <v>25.184899999999999</v>
      </c>
      <c r="J4817">
        <v>-198.31710000000001</v>
      </c>
      <c r="K4817">
        <v>1.12229</v>
      </c>
      <c r="L4817">
        <v>-59.511719999999997</v>
      </c>
      <c r="M4817">
        <v>0.92584100000000003</v>
      </c>
      <c r="N4817">
        <v>-1.734202E-2</v>
      </c>
      <c r="O4817">
        <v>0.3775153</v>
      </c>
      <c r="P4817">
        <v>0.66862319999999997</v>
      </c>
      <c r="Q4817">
        <v>-4.197998E-2</v>
      </c>
      <c r="R4817">
        <v>0.74241550000000001</v>
      </c>
      <c r="S4817">
        <v>1.1833499999999999</v>
      </c>
      <c r="T4817">
        <v>-1.9076470000000002E-2</v>
      </c>
      <c r="U4817">
        <v>2.9924010000000001</v>
      </c>
      <c r="V4817">
        <v>-0.4339848</v>
      </c>
      <c r="W4817">
        <v>-3.981552E-2</v>
      </c>
      <c r="X4817">
        <v>0.90003999999999995</v>
      </c>
      <c r="Y4817">
        <v>-0.722132</v>
      </c>
      <c r="Z4817">
        <v>1.3509190000000001E-2</v>
      </c>
      <c r="AA4817">
        <v>0.69162330000000005</v>
      </c>
      <c r="AB4817">
        <v>30</v>
      </c>
      <c r="AC4817">
        <v>33.357799999999997</v>
      </c>
      <c r="AD4817">
        <v>-0.5405953</v>
      </c>
      <c r="AE4817">
        <v>84.696619999999996</v>
      </c>
      <c r="AF4817">
        <v>-65.830098465463706</v>
      </c>
      <c r="AG4817">
        <v>-0.5405953</v>
      </c>
      <c r="AH4817">
        <v>62.865522670653</v>
      </c>
      <c r="AI4817">
        <v>90.340271694482098</v>
      </c>
      <c r="AJ4817">
        <v>136.31960703007499</v>
      </c>
      <c r="AK4817">
        <v>91.027292873651007</v>
      </c>
      <c r="AL4817">
        <v>92.281864327748806</v>
      </c>
      <c r="AM4817">
        <v>115.742616499081</v>
      </c>
      <c r="AN4817">
        <v>1.0000000419319499</v>
      </c>
    </row>
    <row r="4818" spans="1:40" x14ac:dyDescent="0.25">
      <c r="A4818" t="str">
        <f>"20190305135725658"</f>
        <v>20190305135725658</v>
      </c>
      <c r="B4818" t="str">
        <f>"1551765445647335"</f>
        <v>1551765445647335</v>
      </c>
      <c r="C4818" t="s">
        <v>40</v>
      </c>
      <c r="D4818">
        <v>3.996324</v>
      </c>
      <c r="E4818">
        <v>0.3576165</v>
      </c>
      <c r="F4818" t="s">
        <v>94</v>
      </c>
      <c r="G4818">
        <v>-165.839</v>
      </c>
      <c r="H4818">
        <v>0.64272510000000005</v>
      </c>
      <c r="I4818">
        <v>25.184899999999999</v>
      </c>
      <c r="J4818">
        <v>-198.0976</v>
      </c>
      <c r="K4818">
        <v>1.1224959999999999</v>
      </c>
      <c r="L4818">
        <v>-59.40784</v>
      </c>
      <c r="M4818">
        <v>0.92045580000000005</v>
      </c>
      <c r="N4818">
        <v>-1.743109E-2</v>
      </c>
      <c r="O4818">
        <v>0.39045800000000003</v>
      </c>
      <c r="P4818">
        <v>0.65442389999999995</v>
      </c>
      <c r="Q4818">
        <v>-4.4692809999999999E-2</v>
      </c>
      <c r="R4818">
        <v>0.75480599999999998</v>
      </c>
      <c r="S4818">
        <v>1.151489</v>
      </c>
      <c r="T4818">
        <v>-1.7002699999999999E-2</v>
      </c>
      <c r="U4818">
        <v>3.002869</v>
      </c>
      <c r="V4818">
        <v>-0.43817669999999997</v>
      </c>
      <c r="W4818">
        <v>-4.2848490000000003E-2</v>
      </c>
      <c r="X4818">
        <v>0.89786699999999997</v>
      </c>
      <c r="Y4818">
        <v>-0.7196359</v>
      </c>
      <c r="Z4818">
        <v>1.36271E-2</v>
      </c>
      <c r="AA4818">
        <v>0.69421790000000005</v>
      </c>
      <c r="AB4818">
        <v>30</v>
      </c>
      <c r="AC4818">
        <v>32.258599999999902</v>
      </c>
      <c r="AD4818">
        <v>-0.479770899999999</v>
      </c>
      <c r="AE4818">
        <v>84.592739999999907</v>
      </c>
      <c r="AF4818">
        <v>-65.276328883403295</v>
      </c>
      <c r="AG4818">
        <v>-0.479770899999999</v>
      </c>
      <c r="AH4818">
        <v>62.730291576970998</v>
      </c>
      <c r="AI4818">
        <v>90.303633123716295</v>
      </c>
      <c r="AJ4818">
        <v>136.139456377111</v>
      </c>
      <c r="AK4818">
        <v>90.533522929037304</v>
      </c>
      <c r="AL4818">
        <v>92.455789540755305</v>
      </c>
      <c r="AM4818">
        <v>116.013283204939</v>
      </c>
      <c r="AN4818">
        <v>0.99999998160358405</v>
      </c>
    </row>
    <row r="4819" spans="1:40" x14ac:dyDescent="0.25">
      <c r="A4819" t="str">
        <f>"20190305135725672"</f>
        <v>20190305135725672</v>
      </c>
      <c r="B4819" t="str">
        <f>"1551765445666942"</f>
        <v>1551765445666942</v>
      </c>
      <c r="C4819" t="s">
        <v>40</v>
      </c>
      <c r="D4819">
        <v>4.0443059999999997</v>
      </c>
      <c r="E4819">
        <v>0.35888599999999998</v>
      </c>
      <c r="F4819" t="s">
        <v>94</v>
      </c>
      <c r="G4819">
        <v>-167.4307</v>
      </c>
      <c r="H4819">
        <v>0.4996987</v>
      </c>
      <c r="I4819">
        <v>24.492049999999999</v>
      </c>
      <c r="J4819">
        <v>-197.93369999999999</v>
      </c>
      <c r="K4819">
        <v>1.122649</v>
      </c>
      <c r="L4819">
        <v>-59.327939999999998</v>
      </c>
      <c r="M4819">
        <v>0.91623220000000005</v>
      </c>
      <c r="N4819">
        <v>-1.7504840000000001E-2</v>
      </c>
      <c r="O4819">
        <v>0.40026519999999999</v>
      </c>
      <c r="P4819">
        <v>0.64449719999999999</v>
      </c>
      <c r="Q4819">
        <v>-4.6652310000000002E-2</v>
      </c>
      <c r="R4819">
        <v>0.76318219999999903</v>
      </c>
      <c r="S4819">
        <v>1.1027979999999999</v>
      </c>
      <c r="T4819">
        <v>-2.239621E-2</v>
      </c>
      <c r="U4819">
        <v>3.01709</v>
      </c>
      <c r="V4819">
        <v>-0.44014130000000001</v>
      </c>
      <c r="W4819">
        <v>-4.4989500000000002E-2</v>
      </c>
      <c r="X4819">
        <v>0.89680079999999995</v>
      </c>
      <c r="Y4819">
        <v>-0.72311519999999996</v>
      </c>
      <c r="Z4819">
        <v>1.381189E-2</v>
      </c>
      <c r="AA4819">
        <v>0.69058940000000002</v>
      </c>
      <c r="AB4819">
        <v>30</v>
      </c>
      <c r="AC4819">
        <v>30.502999999999901</v>
      </c>
      <c r="AD4819">
        <v>-0.62295029999999996</v>
      </c>
      <c r="AE4819">
        <v>83.819990000000004</v>
      </c>
      <c r="AF4819">
        <v>-64.596028697411398</v>
      </c>
      <c r="AG4819">
        <v>-0.62295029999999996</v>
      </c>
      <c r="AH4819">
        <v>61.504477330933398</v>
      </c>
      <c r="AI4819">
        <v>90.400162750009002</v>
      </c>
      <c r="AJ4819">
        <v>136.40441441944799</v>
      </c>
      <c r="AK4819">
        <v>89.195491603019804</v>
      </c>
      <c r="AL4819">
        <v>92.578578714834507</v>
      </c>
      <c r="AM4819">
        <v>116.141365042757</v>
      </c>
      <c r="AN4819">
        <v>1.0000000469782799</v>
      </c>
    </row>
    <row r="4820" spans="1:40" x14ac:dyDescent="0.25">
      <c r="A4820" t="str">
        <f>"20190305135725691"</f>
        <v>20190305135725691</v>
      </c>
      <c r="B4820" t="str">
        <f>"1551765445686963"</f>
        <v>1551765445686963</v>
      </c>
      <c r="C4820" t="s">
        <v>40</v>
      </c>
      <c r="D4820">
        <v>3.9618039999999999</v>
      </c>
      <c r="E4820">
        <v>0.35979820000000001</v>
      </c>
      <c r="F4820" t="s">
        <v>94</v>
      </c>
      <c r="G4820">
        <v>-168.25059999999999</v>
      </c>
      <c r="H4820">
        <v>0.40860089999999999</v>
      </c>
      <c r="I4820">
        <v>24.492039999999999</v>
      </c>
      <c r="J4820">
        <v>-197.7141</v>
      </c>
      <c r="K4820">
        <v>1.1228320000000001</v>
      </c>
      <c r="L4820">
        <v>-59.216799999999999</v>
      </c>
      <c r="M4820">
        <v>0.9102595</v>
      </c>
      <c r="N4820">
        <v>-1.7612180000000002E-2</v>
      </c>
      <c r="O4820">
        <v>0.41366350000000002</v>
      </c>
      <c r="P4820">
        <v>0.62956199999999995</v>
      </c>
      <c r="Q4820">
        <v>-4.8271219999999997E-2</v>
      </c>
      <c r="R4820">
        <v>0.77544939999999996</v>
      </c>
      <c r="S4820">
        <v>1.0711520000000001</v>
      </c>
      <c r="T4820">
        <v>-2.5767330000000001E-2</v>
      </c>
      <c r="U4820">
        <v>3.02475</v>
      </c>
      <c r="V4820">
        <v>-0.44422</v>
      </c>
      <c r="W4820">
        <v>-4.6891210000000003E-2</v>
      </c>
      <c r="X4820">
        <v>0.89468969999999903</v>
      </c>
      <c r="Y4820">
        <v>-0.71992389999999995</v>
      </c>
      <c r="Z4820">
        <v>1.388758E-2</v>
      </c>
      <c r="AA4820">
        <v>0.69391409999999998</v>
      </c>
      <c r="AB4820">
        <v>29</v>
      </c>
      <c r="AC4820">
        <v>29.4635</v>
      </c>
      <c r="AD4820">
        <v>-0.71423110000000001</v>
      </c>
      <c r="AE4820">
        <v>83.708839999999995</v>
      </c>
      <c r="AF4820">
        <v>-64.014574240908004</v>
      </c>
      <c r="AG4820">
        <v>-0.71423110000000001</v>
      </c>
      <c r="AH4820">
        <v>61.452273010403999</v>
      </c>
      <c r="AI4820">
        <v>90.4611555911344</v>
      </c>
      <c r="AJ4820">
        <v>136.16993967008401</v>
      </c>
      <c r="AK4820">
        <v>88.739831527077897</v>
      </c>
      <c r="AL4820">
        <v>92.687654170023507</v>
      </c>
      <c r="AM4820">
        <v>116.404735724472</v>
      </c>
      <c r="AN4820">
        <v>0.99999992663067405</v>
      </c>
    </row>
    <row r="4821" spans="1:40" x14ac:dyDescent="0.25">
      <c r="A4821" t="str">
        <f>"20190305135725706"</f>
        <v>20190305135725706</v>
      </c>
      <c r="B4821" t="str">
        <f>"1551765445697700"</f>
        <v>1551765445697700</v>
      </c>
      <c r="C4821" t="s">
        <v>40</v>
      </c>
      <c r="D4821">
        <v>4.065124</v>
      </c>
      <c r="E4821">
        <v>0.36045169999999999</v>
      </c>
      <c r="F4821" t="s">
        <v>94</v>
      </c>
      <c r="G4821">
        <v>-169.08199999999999</v>
      </c>
      <c r="H4821">
        <v>0.37261490000000003</v>
      </c>
      <c r="I4821">
        <v>26.28556</v>
      </c>
      <c r="J4821">
        <v>-197.5403</v>
      </c>
      <c r="K4821">
        <v>1.122976</v>
      </c>
      <c r="L4821">
        <v>-59.125549999999997</v>
      </c>
      <c r="M4821">
        <v>0.90527420000000003</v>
      </c>
      <c r="N4821">
        <v>-1.7699940000000001E-2</v>
      </c>
      <c r="O4821">
        <v>0.42445889999999997</v>
      </c>
      <c r="P4821">
        <v>0.61914659999999999</v>
      </c>
      <c r="Q4821">
        <v>-4.8392629999999999E-2</v>
      </c>
      <c r="R4821">
        <v>0.7837828</v>
      </c>
      <c r="S4821">
        <v>1.0181579999999999</v>
      </c>
      <c r="T4821">
        <v>-2.667773E-2</v>
      </c>
      <c r="U4821">
        <v>3.0404659999999999</v>
      </c>
      <c r="V4821">
        <v>-0.44550479999999998</v>
      </c>
      <c r="W4821">
        <v>-4.7144150000000003E-2</v>
      </c>
      <c r="X4821">
        <v>0.89403739999999998</v>
      </c>
      <c r="Y4821">
        <v>-0.72360040000000003</v>
      </c>
      <c r="Z4821">
        <v>1.4070310000000001E-2</v>
      </c>
      <c r="AA4821">
        <v>0.69007580000000002</v>
      </c>
      <c r="AB4821">
        <v>29</v>
      </c>
      <c r="AC4821">
        <v>28.458300000000001</v>
      </c>
      <c r="AD4821">
        <v>-0.750361099999999</v>
      </c>
      <c r="AE4821">
        <v>85.411109999999994</v>
      </c>
      <c r="AF4821">
        <v>-65.246784210120694</v>
      </c>
      <c r="AG4821">
        <v>-0.750361099999999</v>
      </c>
      <c r="AH4821">
        <v>62.021478008269703</v>
      </c>
      <c r="AI4821">
        <v>90.4775714460893</v>
      </c>
      <c r="AJ4821">
        <v>136.451712181864</v>
      </c>
      <c r="AK4821">
        <v>90.024272426233694</v>
      </c>
      <c r="AL4821">
        <v>92.702162452854793</v>
      </c>
      <c r="AM4821">
        <v>116.48738210499801</v>
      </c>
      <c r="AN4821">
        <v>0.99999998515051103</v>
      </c>
    </row>
    <row r="4822" spans="1:40" x14ac:dyDescent="0.25">
      <c r="A4822" t="str">
        <f>"20190305135725726"</f>
        <v>20190305135725726</v>
      </c>
      <c r="B4822" t="str">
        <f>"1551765445717220"</f>
        <v>1551765445717220</v>
      </c>
      <c r="C4822" t="s">
        <v>40</v>
      </c>
      <c r="D4822">
        <v>4.0463329999999997</v>
      </c>
      <c r="E4822">
        <v>0.37914900000000001</v>
      </c>
      <c r="F4822" t="s">
        <v>94</v>
      </c>
      <c r="G4822">
        <v>-168.5001</v>
      </c>
      <c r="H4822">
        <v>0.40940680000000002</v>
      </c>
      <c r="I4822">
        <v>31.145320000000002</v>
      </c>
      <c r="J4822">
        <v>-197.31270000000001</v>
      </c>
      <c r="K4822">
        <v>1.1231450000000001</v>
      </c>
      <c r="L4822">
        <v>-59.002009999999999</v>
      </c>
      <c r="M4822">
        <v>0.89841099999999996</v>
      </c>
      <c r="N4822">
        <v>-1.7819350000000001E-2</v>
      </c>
      <c r="O4822">
        <v>0.43879390000000001</v>
      </c>
      <c r="P4822">
        <v>0.60344830000000005</v>
      </c>
      <c r="Q4822">
        <v>-4.9632120000000002E-2</v>
      </c>
      <c r="R4822">
        <v>0.79585600000000001</v>
      </c>
      <c r="S4822">
        <v>0.98144529999999996</v>
      </c>
      <c r="T4822">
        <v>-2.4115919999999999E-2</v>
      </c>
      <c r="U4822">
        <v>3.0508120000000001</v>
      </c>
      <c r="V4822">
        <v>-0.44892589999999999</v>
      </c>
      <c r="W4822">
        <v>-4.8614169999999998E-2</v>
      </c>
      <c r="X4822">
        <v>0.89224559999999997</v>
      </c>
      <c r="Y4822">
        <v>-0.7208369</v>
      </c>
      <c r="Z4822">
        <v>1.421588E-2</v>
      </c>
      <c r="AA4822">
        <v>0.69295899999999999</v>
      </c>
      <c r="AB4822">
        <v>29</v>
      </c>
      <c r="AC4822">
        <v>28.8126</v>
      </c>
      <c r="AD4822">
        <v>-0.71373819999999999</v>
      </c>
      <c r="AE4822">
        <v>90.147329999999997</v>
      </c>
      <c r="AF4822">
        <v>-68.353527713180995</v>
      </c>
      <c r="AG4822">
        <v>-0.71373819999999999</v>
      </c>
      <c r="AH4822">
        <v>65.448327072058902</v>
      </c>
      <c r="AI4822">
        <v>90.432119490382604</v>
      </c>
      <c r="AJ4822">
        <v>136.24385110341299</v>
      </c>
      <c r="AK4822">
        <v>94.637189780688004</v>
      </c>
      <c r="AL4822">
        <v>92.786485052183096</v>
      </c>
      <c r="AM4822">
        <v>116.708871569818</v>
      </c>
      <c r="AN4822">
        <v>1.0000000059674701</v>
      </c>
    </row>
    <row r="4823" spans="1:40" x14ac:dyDescent="0.25">
      <c r="A4823" t="str">
        <f>"20190305135725748"</f>
        <v>20190305135725748</v>
      </c>
      <c r="B4823" t="str">
        <f>"1551765445736739"</f>
        <v>1551765445736739</v>
      </c>
      <c r="C4823" t="s">
        <v>40</v>
      </c>
      <c r="D4823">
        <v>4.0869220000000004</v>
      </c>
      <c r="E4823">
        <v>0.38158730000000002</v>
      </c>
      <c r="F4823" t="s">
        <v>94</v>
      </c>
      <c r="G4823">
        <v>-168.2174</v>
      </c>
      <c r="H4823">
        <v>1.597666</v>
      </c>
      <c r="I4823">
        <v>24.492049999999999</v>
      </c>
      <c r="J4823">
        <v>-197.07429999999999</v>
      </c>
      <c r="K4823">
        <v>1.1233029999999999</v>
      </c>
      <c r="L4823">
        <v>-58.867310000000003</v>
      </c>
      <c r="M4823">
        <v>0.89077839999999997</v>
      </c>
      <c r="N4823">
        <v>-1.794896E-2</v>
      </c>
      <c r="O4823">
        <v>0.45408349999999997</v>
      </c>
      <c r="P4823">
        <v>0.58839039999999998</v>
      </c>
      <c r="Q4823">
        <v>-5.2560790000000003E-2</v>
      </c>
      <c r="R4823">
        <v>0.80686689999999905</v>
      </c>
      <c r="S4823">
        <v>1.0393220000000001</v>
      </c>
      <c r="T4823">
        <v>1.6950489999999999E-2</v>
      </c>
      <c r="U4823">
        <v>2.982513</v>
      </c>
      <c r="V4823">
        <v>-0.450156</v>
      </c>
      <c r="W4823">
        <v>-5.167389E-2</v>
      </c>
      <c r="X4823">
        <v>0.89145359999999996</v>
      </c>
      <c r="Y4823">
        <v>-0.69185609999999997</v>
      </c>
      <c r="Z4823">
        <v>1.5092609999999999E-2</v>
      </c>
      <c r="AA4823">
        <v>0.72187760000000001</v>
      </c>
      <c r="AB4823">
        <v>29</v>
      </c>
      <c r="AC4823">
        <v>28.8569</v>
      </c>
      <c r="AD4823">
        <v>0.47436299999999898</v>
      </c>
      <c r="AE4823">
        <v>83.359359999999995</v>
      </c>
      <c r="AF4823">
        <v>-61.159354867166897</v>
      </c>
      <c r="AG4823">
        <v>0.47436299999999898</v>
      </c>
      <c r="AH4823">
        <v>63.565610737726701</v>
      </c>
      <c r="AI4823">
        <v>89.691886980032095</v>
      </c>
      <c r="AJ4823">
        <v>133.89475852662801</v>
      </c>
      <c r="AK4823">
        <v>88.211555799022193</v>
      </c>
      <c r="AL4823">
        <v>92.962014795708001</v>
      </c>
      <c r="AM4823">
        <v>116.792338192919</v>
      </c>
      <c r="AN4823">
        <v>1.0000000680983401</v>
      </c>
    </row>
    <row r="4824" spans="1:40" x14ac:dyDescent="0.25">
      <c r="A4824" t="str">
        <f>"20190305135725769"</f>
        <v>20190305135725769</v>
      </c>
      <c r="B4824" t="str">
        <f>"1551765445757236"</f>
        <v>1551765445757236</v>
      </c>
      <c r="C4824" t="s">
        <v>40</v>
      </c>
      <c r="D4824">
        <v>4.0795399999999997</v>
      </c>
      <c r="E4824">
        <v>0.3841466</v>
      </c>
      <c r="F4824" t="s">
        <v>94</v>
      </c>
      <c r="G4824">
        <v>-169.0822</v>
      </c>
      <c r="H4824">
        <v>0.9680301</v>
      </c>
      <c r="I4824">
        <v>24.852119999999999</v>
      </c>
      <c r="J4824">
        <v>-196.84379999999999</v>
      </c>
      <c r="K4824">
        <v>1.123435</v>
      </c>
      <c r="L4824">
        <v>-58.7316</v>
      </c>
      <c r="M4824">
        <v>0.88293779999999999</v>
      </c>
      <c r="N4824">
        <v>-1.8076399999999999E-2</v>
      </c>
      <c r="O4824">
        <v>0.46914169999999999</v>
      </c>
      <c r="P4824">
        <v>0.57441730000000002</v>
      </c>
      <c r="Q4824">
        <v>-5.6952629999999997E-2</v>
      </c>
      <c r="R4824">
        <v>0.81657899999999894</v>
      </c>
      <c r="S4824">
        <v>0.9993744</v>
      </c>
      <c r="T4824">
        <v>-5.5435900000000001E-3</v>
      </c>
      <c r="U4824">
        <v>2.988953</v>
      </c>
      <c r="V4824">
        <v>-0.4499359</v>
      </c>
      <c r="W4824">
        <v>-5.6124979999999998E-2</v>
      </c>
      <c r="X4824">
        <v>0.89129550000000002</v>
      </c>
      <c r="Y4824">
        <v>-0.68864449999999999</v>
      </c>
      <c r="Z4824">
        <v>1.465002E-2</v>
      </c>
      <c r="AA4824">
        <v>0.72495109999999996</v>
      </c>
      <c r="AB4824">
        <v>29</v>
      </c>
      <c r="AC4824">
        <v>27.761599999999898</v>
      </c>
      <c r="AD4824">
        <v>-0.15540490000000001</v>
      </c>
      <c r="AE4824">
        <v>83.58372</v>
      </c>
      <c r="AF4824">
        <v>-60.784848713455297</v>
      </c>
      <c r="AG4824">
        <v>-0.15540490000000001</v>
      </c>
      <c r="AH4824">
        <v>63.734594604032999</v>
      </c>
      <c r="AI4824">
        <v>90.101098076988805</v>
      </c>
      <c r="AJ4824">
        <v>133.64297187489399</v>
      </c>
      <c r="AK4824">
        <v>88.073381524391493</v>
      </c>
      <c r="AL4824">
        <v>93.217415146146905</v>
      </c>
      <c r="AM4824">
        <v>116.785153061039</v>
      </c>
      <c r="AN4824">
        <v>0.99999999790452998</v>
      </c>
    </row>
    <row r="4825" spans="1:40" x14ac:dyDescent="0.25">
      <c r="A4825" t="str">
        <f>"20190305135725793"</f>
        <v>20190305135725793</v>
      </c>
      <c r="B4825" t="str">
        <f>"1551765445787492"</f>
        <v>1551765445787492</v>
      </c>
      <c r="C4825" t="s">
        <v>40</v>
      </c>
      <c r="D4825">
        <v>4.1183300000000003</v>
      </c>
      <c r="E4825">
        <v>0.38750469999999998</v>
      </c>
      <c r="F4825" t="s">
        <v>94</v>
      </c>
      <c r="G4825">
        <v>-168.5001</v>
      </c>
      <c r="H4825">
        <v>0.3657494</v>
      </c>
      <c r="I4825">
        <v>29.135179999999998</v>
      </c>
      <c r="J4825">
        <v>-196.59950000000001</v>
      </c>
      <c r="K4825">
        <v>1.1235850000000001</v>
      </c>
      <c r="L4825">
        <v>-58.581119999999999</v>
      </c>
      <c r="M4825">
        <v>0.87408589999999997</v>
      </c>
      <c r="N4825">
        <v>-1.8211749999999999E-2</v>
      </c>
      <c r="O4825">
        <v>0.48542990000000003</v>
      </c>
      <c r="P4825">
        <v>0.55925459999999905</v>
      </c>
      <c r="Q4825">
        <v>-6.0792800000000001E-2</v>
      </c>
      <c r="R4825">
        <v>0.8267639</v>
      </c>
      <c r="S4825">
        <v>0.96545409999999998</v>
      </c>
      <c r="T4825">
        <v>-2.5808569999999999E-2</v>
      </c>
      <c r="U4825">
        <v>2.99295</v>
      </c>
      <c r="V4825">
        <v>-0.44946609999999998</v>
      </c>
      <c r="W4825">
        <v>-6.0008260000000001E-2</v>
      </c>
      <c r="X4825">
        <v>0.89127959999999995</v>
      </c>
      <c r="Y4825">
        <v>-0.68281459999999905</v>
      </c>
      <c r="Z4825">
        <v>1.3972450000000001E-2</v>
      </c>
      <c r="AA4825">
        <v>0.7304581</v>
      </c>
      <c r="AB4825">
        <v>29</v>
      </c>
      <c r="AC4825">
        <v>28.099399999999999</v>
      </c>
      <c r="AD4825">
        <v>-0.75783559999999905</v>
      </c>
      <c r="AE4825">
        <v>87.716299999999904</v>
      </c>
      <c r="AF4825">
        <v>-63.037479524353898</v>
      </c>
      <c r="AG4825">
        <v>-0.75783559999999905</v>
      </c>
      <c r="AH4825">
        <v>67.147994968572306</v>
      </c>
      <c r="AI4825">
        <v>90.471437285525198</v>
      </c>
      <c r="AJ4825">
        <v>133.19152659149</v>
      </c>
      <c r="AK4825">
        <v>92.1040247105379</v>
      </c>
      <c r="AL4825">
        <v>93.440286727036494</v>
      </c>
      <c r="AM4825">
        <v>116.76149158673</v>
      </c>
      <c r="AN4825">
        <v>1.0000000458467899</v>
      </c>
    </row>
    <row r="4826" spans="1:40" x14ac:dyDescent="0.25">
      <c r="A4826" t="str">
        <f>"20190305135725814"</f>
        <v>20190305135725814</v>
      </c>
      <c r="B4826" t="str">
        <f>"1551765445807012"</f>
        <v>1551765445807012</v>
      </c>
      <c r="C4826" t="s">
        <v>40</v>
      </c>
      <c r="D4826">
        <v>4.1754980000000002</v>
      </c>
      <c r="E4826">
        <v>0.38969870000000001</v>
      </c>
      <c r="F4826" t="s">
        <v>43</v>
      </c>
      <c r="G4826">
        <v>-169.6977</v>
      </c>
      <c r="H4826">
        <v>-0.05</v>
      </c>
      <c r="I4826">
        <v>27.79278</v>
      </c>
      <c r="J4826">
        <v>-196.3563</v>
      </c>
      <c r="K4826">
        <v>1.123734</v>
      </c>
      <c r="L4826">
        <v>-58.42465</v>
      </c>
      <c r="M4826">
        <v>0.86470559999999996</v>
      </c>
      <c r="N4826">
        <v>-1.8344719999999998E-2</v>
      </c>
      <c r="O4826">
        <v>0.5019439</v>
      </c>
      <c r="P4826">
        <v>0.54506489999999996</v>
      </c>
      <c r="Q4826">
        <v>-5.9585949999999999E-2</v>
      </c>
      <c r="R4826">
        <v>0.83627379999999996</v>
      </c>
      <c r="S4826">
        <v>0.93270869999999995</v>
      </c>
      <c r="T4826">
        <v>-4.068923E-2</v>
      </c>
      <c r="U4826">
        <v>2.994659</v>
      </c>
      <c r="V4826">
        <v>-0.447847</v>
      </c>
      <c r="W4826">
        <v>-5.8777719999999999E-2</v>
      </c>
      <c r="X4826">
        <v>0.89217610000000003</v>
      </c>
      <c r="Y4826">
        <v>-0.67623350000000004</v>
      </c>
      <c r="Z4826">
        <v>1.3246269999999999E-2</v>
      </c>
      <c r="AA4826">
        <v>0.73656829999999995</v>
      </c>
      <c r="AB4826">
        <v>29</v>
      </c>
      <c r="AC4826">
        <v>26.6586</v>
      </c>
      <c r="AD4826">
        <v>-1.1737340000000001</v>
      </c>
      <c r="AE4826">
        <v>86.217429999999993</v>
      </c>
      <c r="AF4826">
        <v>-61.171521319035598</v>
      </c>
      <c r="AG4826">
        <v>-1.1737340000000001</v>
      </c>
      <c r="AH4826">
        <v>66.3280978563578</v>
      </c>
      <c r="AI4826">
        <v>90.745279257602505</v>
      </c>
      <c r="AJ4826">
        <v>132.683999823996</v>
      </c>
      <c r="AK4826">
        <v>90.237183229700605</v>
      </c>
      <c r="AL4826">
        <v>93.369657533941094</v>
      </c>
      <c r="AM4826">
        <v>116.65534807167199</v>
      </c>
      <c r="AN4826">
        <v>0.99999997459430401</v>
      </c>
    </row>
    <row r="4827" spans="1:40" x14ac:dyDescent="0.25">
      <c r="A4827" t="str">
        <f>"20190305135725837"</f>
        <v>20190305135725837</v>
      </c>
      <c r="B4827" t="str">
        <f>"1551765445827507"</f>
        <v>1551765445827507</v>
      </c>
      <c r="C4827" t="s">
        <v>40</v>
      </c>
      <c r="D4827">
        <v>4.2231050000000003</v>
      </c>
      <c r="E4827">
        <v>0.40415220000000002</v>
      </c>
      <c r="F4827" t="s">
        <v>43</v>
      </c>
      <c r="G4827">
        <v>-168.97739999999999</v>
      </c>
      <c r="H4827">
        <v>-0.05</v>
      </c>
      <c r="I4827">
        <v>33.229379999999999</v>
      </c>
      <c r="J4827">
        <v>-196.1191</v>
      </c>
      <c r="K4827">
        <v>1.1238779999999999</v>
      </c>
      <c r="L4827">
        <v>-58.265469999999901</v>
      </c>
      <c r="M4827">
        <v>0.85498999999999903</v>
      </c>
      <c r="N4827">
        <v>-1.8470319999999998E-2</v>
      </c>
      <c r="O4827">
        <v>0.51831549999999904</v>
      </c>
      <c r="P4827">
        <v>0.53165949999999995</v>
      </c>
      <c r="Q4827">
        <v>-5.7323399999999997E-2</v>
      </c>
      <c r="R4827">
        <v>0.84501610000000005</v>
      </c>
      <c r="S4827">
        <v>0.89628600000000003</v>
      </c>
      <c r="T4827">
        <v>-3.8423899999999997E-2</v>
      </c>
      <c r="U4827">
        <v>3.0004270000000002</v>
      </c>
      <c r="V4827">
        <v>-0.44528780000000001</v>
      </c>
      <c r="W4827">
        <v>-5.6434970000000001E-2</v>
      </c>
      <c r="X4827">
        <v>0.89360729999999999</v>
      </c>
      <c r="Y4827">
        <v>-0.6707824</v>
      </c>
      <c r="Z4827">
        <v>1.334135E-2</v>
      </c>
      <c r="AA4827">
        <v>0.74153419999999903</v>
      </c>
      <c r="AB4827">
        <v>29</v>
      </c>
      <c r="AC4827">
        <v>27.1417</v>
      </c>
      <c r="AD4827">
        <v>-1.173878</v>
      </c>
      <c r="AE4827">
        <v>91.49485</v>
      </c>
      <c r="AF4827">
        <v>-64.160457368532207</v>
      </c>
      <c r="AG4827">
        <v>-1.173878</v>
      </c>
      <c r="AH4827">
        <v>70.6304453608861</v>
      </c>
      <c r="AI4827">
        <v>90.704820242989499</v>
      </c>
      <c r="AJ4827">
        <v>132.25190136120801</v>
      </c>
      <c r="AK4827">
        <v>95.428518227913699</v>
      </c>
      <c r="AL4827">
        <v>93.235204231457104</v>
      </c>
      <c r="AM4827">
        <v>116.487244538225</v>
      </c>
      <c r="AN4827">
        <v>1.0000000686405099</v>
      </c>
    </row>
    <row r="4828" spans="1:40" x14ac:dyDescent="0.25">
      <c r="A4828" t="str">
        <f>"20190305135725859"</f>
        <v>20190305135725859</v>
      </c>
      <c r="B4828" t="str">
        <f>"1551765445857464"</f>
        <v>1551765445857464</v>
      </c>
      <c r="C4828" t="s">
        <v>40</v>
      </c>
      <c r="D4828">
        <v>4.2508970000000001</v>
      </c>
      <c r="E4828">
        <v>0.40574539999999998</v>
      </c>
      <c r="F4828" t="s">
        <v>94</v>
      </c>
      <c r="G4828">
        <v>-169.08189999999999</v>
      </c>
      <c r="H4828">
        <v>0.2014562</v>
      </c>
      <c r="I4828">
        <v>26.119980000000002</v>
      </c>
      <c r="J4828">
        <v>-195.8965</v>
      </c>
      <c r="K4828">
        <v>1.1240030000000001</v>
      </c>
      <c r="L4828">
        <v>-58.1098</v>
      </c>
      <c r="M4828">
        <v>0.84532929999999995</v>
      </c>
      <c r="N4828">
        <v>-1.858247E-2</v>
      </c>
      <c r="O4828">
        <v>0.53392249999999997</v>
      </c>
      <c r="P4828">
        <v>0.51987950000000005</v>
      </c>
      <c r="Q4828">
        <v>-5.6495469999999999E-2</v>
      </c>
      <c r="R4828">
        <v>0.85236939999999894</v>
      </c>
      <c r="S4828">
        <v>0.94607540000000001</v>
      </c>
      <c r="T4828">
        <v>-3.2277109999999998E-2</v>
      </c>
      <c r="U4828">
        <v>2.9527890000000001</v>
      </c>
      <c r="V4828">
        <v>-0.44135249999999998</v>
      </c>
      <c r="W4828">
        <v>-5.545982E-2</v>
      </c>
      <c r="X4828">
        <v>0.89561829999999998</v>
      </c>
      <c r="Y4828">
        <v>-0.64205059999999903</v>
      </c>
      <c r="Z4828">
        <v>1.3275149999999999E-2</v>
      </c>
      <c r="AA4828">
        <v>0.76654730000000004</v>
      </c>
      <c r="AB4828">
        <v>29</v>
      </c>
      <c r="AC4828">
        <v>26.814599999999999</v>
      </c>
      <c r="AD4828">
        <v>-0.9225468</v>
      </c>
      <c r="AE4828">
        <v>84.229780000000005</v>
      </c>
      <c r="AF4828">
        <v>-56.888605338763</v>
      </c>
      <c r="AG4828">
        <v>-0.9225468</v>
      </c>
      <c r="AH4828">
        <v>67.643649276882201</v>
      </c>
      <c r="AI4828">
        <v>90.598018746642893</v>
      </c>
      <c r="AJ4828">
        <v>130.06398247300399</v>
      </c>
      <c r="AK4828">
        <v>88.390201931444693</v>
      </c>
      <c r="AL4828">
        <v>93.179244886912201</v>
      </c>
      <c r="AM4828">
        <v>116.233655964693</v>
      </c>
      <c r="AN4828">
        <v>0.99999998009278601</v>
      </c>
    </row>
    <row r="4829" spans="1:40" x14ac:dyDescent="0.25">
      <c r="A4829" t="str">
        <f>"20190305135725881"</f>
        <v>20190305135725881</v>
      </c>
      <c r="B4829" t="str">
        <f>"1551765445876984"</f>
        <v>1551765445876984</v>
      </c>
      <c r="C4829" t="s">
        <v>40</v>
      </c>
      <c r="D4829">
        <v>4.2422190000000004</v>
      </c>
      <c r="E4829">
        <v>0.40730939999999999</v>
      </c>
      <c r="F4829" t="s">
        <v>42</v>
      </c>
      <c r="G4829">
        <v>-177.16980000000001</v>
      </c>
      <c r="H4829">
        <v>7.9986269999999998E-2</v>
      </c>
      <c r="I4829">
        <v>2.3474529999999998</v>
      </c>
      <c r="J4829">
        <v>-195.67769999999999</v>
      </c>
      <c r="K4829">
        <v>1.124115</v>
      </c>
      <c r="L4829">
        <v>-57.950470000000003</v>
      </c>
      <c r="M4829">
        <v>0.83528019999999903</v>
      </c>
      <c r="N4829">
        <v>-1.86873E-2</v>
      </c>
      <c r="O4829">
        <v>0.54950690000000002</v>
      </c>
      <c r="P4829">
        <v>0.50752219999999904</v>
      </c>
      <c r="Q4829">
        <v>-5.4848609999999999E-2</v>
      </c>
      <c r="R4829">
        <v>0.85989119999999997</v>
      </c>
      <c r="S4829">
        <v>0.91607669999999997</v>
      </c>
      <c r="T4829">
        <v>-5.1071409999999998E-2</v>
      </c>
      <c r="U4829">
        <v>2.9574579999999999</v>
      </c>
      <c r="V4829">
        <v>-0.43780849999999999</v>
      </c>
      <c r="W4829">
        <v>-5.367827E-2</v>
      </c>
      <c r="X4829">
        <v>0.89746440000000005</v>
      </c>
      <c r="Y4829">
        <v>-0.6351637</v>
      </c>
      <c r="Z4829">
        <v>1.174122E-2</v>
      </c>
      <c r="AA4829">
        <v>0.77228839999999999</v>
      </c>
      <c r="AB4829">
        <v>29</v>
      </c>
      <c r="AC4829">
        <v>18.5078999999999</v>
      </c>
      <c r="AD4829">
        <v>-1.0441287299999999</v>
      </c>
      <c r="AE4829">
        <v>60.297922999999997</v>
      </c>
      <c r="AF4829">
        <v>-40.191447721705003</v>
      </c>
      <c r="AG4829">
        <v>-1.0441287299999999</v>
      </c>
      <c r="AH4829">
        <v>48.5885778437084</v>
      </c>
      <c r="AI4829">
        <v>90.948642879552807</v>
      </c>
      <c r="AJ4829">
        <v>129.59683575050499</v>
      </c>
      <c r="AK4829">
        <v>63.065779719634598</v>
      </c>
      <c r="AL4829">
        <v>93.077017212239198</v>
      </c>
      <c r="AM4829">
        <v>116.00442818536401</v>
      </c>
      <c r="AN4829">
        <v>0.99999999430490105</v>
      </c>
    </row>
    <row r="4830" spans="1:40" x14ac:dyDescent="0.25">
      <c r="A4830" t="str">
        <f>"20190305135725907"</f>
        <v>20190305135725907</v>
      </c>
      <c r="B4830" t="str">
        <f>"1551765445897480"</f>
        <v>1551765445897480</v>
      </c>
      <c r="C4830" t="s">
        <v>40</v>
      </c>
      <c r="D4830">
        <v>4.2350620000000001</v>
      </c>
      <c r="E4830">
        <v>0.40834160000000003</v>
      </c>
      <c r="F4830" t="s">
        <v>42</v>
      </c>
      <c r="G4830">
        <v>-176.72710000000001</v>
      </c>
      <c r="H4830">
        <v>7.9985780000000006E-2</v>
      </c>
      <c r="I4830">
        <v>5.5605019999999996</v>
      </c>
      <c r="J4830">
        <v>-195.42580000000001</v>
      </c>
      <c r="K4830">
        <v>1.124231</v>
      </c>
      <c r="L4830">
        <v>-57.759120000000003</v>
      </c>
      <c r="M4830">
        <v>0.82299439999999902</v>
      </c>
      <c r="N4830">
        <v>-1.879368E-2</v>
      </c>
      <c r="O4830">
        <v>0.56773869999999904</v>
      </c>
      <c r="P4830">
        <v>0.4930909</v>
      </c>
      <c r="Q4830">
        <v>-5.4316789999999997E-2</v>
      </c>
      <c r="R4830">
        <v>0.86828050000000001</v>
      </c>
      <c r="S4830">
        <v>0.88433839999999997</v>
      </c>
      <c r="T4830">
        <v>-4.872489E-2</v>
      </c>
      <c r="U4830">
        <v>2.9637760000000002</v>
      </c>
      <c r="V4830">
        <v>-0.43309950000000003</v>
      </c>
      <c r="W4830">
        <v>-5.2974309999999997E-2</v>
      </c>
      <c r="X4830">
        <v>0.89978809999999998</v>
      </c>
      <c r="Y4830">
        <v>-0.62618859999999998</v>
      </c>
      <c r="Z4830">
        <v>1.173511E-2</v>
      </c>
      <c r="AA4830">
        <v>0.77958329999999998</v>
      </c>
      <c r="AB4830">
        <v>29</v>
      </c>
      <c r="AC4830">
        <v>18.698699999999999</v>
      </c>
      <c r="AD4830">
        <v>-1.0442452200000001</v>
      </c>
      <c r="AE4830">
        <v>63.319622000000003</v>
      </c>
      <c r="AF4830">
        <v>-41.492664558473798</v>
      </c>
      <c r="AG4830">
        <v>-1.0442452200000001</v>
      </c>
      <c r="AH4830">
        <v>51.334146741481497</v>
      </c>
      <c r="AI4830">
        <v>90.906365366039495</v>
      </c>
      <c r="AJ4830">
        <v>128.94811877181999</v>
      </c>
      <c r="AK4830">
        <v>66.014591431875701</v>
      </c>
      <c r="AL4830">
        <v>93.0366256650873</v>
      </c>
      <c r="AM4830">
        <v>115.70313984149</v>
      </c>
      <c r="AN4830">
        <v>1.0000000396609099</v>
      </c>
    </row>
    <row r="4831" spans="1:40" x14ac:dyDescent="0.25">
      <c r="A4831" t="str">
        <f>"20190305135725942"</f>
        <v>20190305135725942</v>
      </c>
      <c r="B4831" t="str">
        <f>"1551765445936521"</f>
        <v>1551765445936521</v>
      </c>
      <c r="C4831" t="s">
        <v>40</v>
      </c>
      <c r="D4831">
        <v>4.3078110000000001</v>
      </c>
      <c r="E4831">
        <v>0.40984029999999999</v>
      </c>
      <c r="F4831" t="s">
        <v>43</v>
      </c>
      <c r="G4831">
        <v>-171.65710000000001</v>
      </c>
      <c r="H4831">
        <v>-0.05</v>
      </c>
      <c r="I4831">
        <v>26.122640000000001</v>
      </c>
      <c r="J4831">
        <v>-195.08580000000001</v>
      </c>
      <c r="K4831">
        <v>1.1243879999999999</v>
      </c>
      <c r="L4831">
        <v>-57.4848</v>
      </c>
      <c r="M4831">
        <v>0.80500719999999903</v>
      </c>
      <c r="N4831">
        <v>-1.890271E-2</v>
      </c>
      <c r="O4831">
        <v>0.59296389999999999</v>
      </c>
      <c r="P4831">
        <v>0.46056659999999999</v>
      </c>
      <c r="Q4831">
        <v>-5.2361789999999998E-2</v>
      </c>
      <c r="R4831">
        <v>0.88607939999999996</v>
      </c>
      <c r="S4831">
        <v>0.84269709999999998</v>
      </c>
      <c r="T4831">
        <v>-4.1631099999999997E-2</v>
      </c>
      <c r="U4831">
        <v>2.973938</v>
      </c>
      <c r="V4831">
        <v>-0.43870510000000001</v>
      </c>
      <c r="W4831">
        <v>-5.1357359999999998E-2</v>
      </c>
      <c r="X4831">
        <v>0.89716240000000003</v>
      </c>
      <c r="Y4831">
        <v>-0.61276730000000001</v>
      </c>
      <c r="Z4831">
        <v>1.214666E-2</v>
      </c>
      <c r="AA4831">
        <v>0.79016999999999904</v>
      </c>
      <c r="AB4831">
        <v>29</v>
      </c>
      <c r="AC4831">
        <v>23.4286999999999</v>
      </c>
      <c r="AD4831">
        <v>-1.174388</v>
      </c>
      <c r="AE4831">
        <v>83.607439999999997</v>
      </c>
      <c r="AF4831">
        <v>-53.411989328634</v>
      </c>
      <c r="AG4831">
        <v>-1.174388</v>
      </c>
      <c r="AH4831">
        <v>68.436173076698594</v>
      </c>
      <c r="AI4831">
        <v>90.775045512052401</v>
      </c>
      <c r="AJ4831">
        <v>127.970766531961</v>
      </c>
      <c r="AK4831">
        <v>86.820098920702193</v>
      </c>
      <c r="AL4831">
        <v>92.943854881782599</v>
      </c>
      <c r="AM4831">
        <v>116.058256269674</v>
      </c>
      <c r="AN4831">
        <v>1.00000005758296</v>
      </c>
    </row>
    <row r="4832" spans="1:40" x14ac:dyDescent="0.25">
      <c r="A4832" t="str">
        <f>"20190305135725962"</f>
        <v>20190305135725962</v>
      </c>
      <c r="B4832" t="str">
        <f>"1551765445957424"</f>
        <v>1551765445957424</v>
      </c>
      <c r="C4832" t="s">
        <v>40</v>
      </c>
      <c r="D4832">
        <v>4.3599920000000001</v>
      </c>
      <c r="E4832">
        <v>0.41079329999999997</v>
      </c>
      <c r="F4832" t="s">
        <v>94</v>
      </c>
      <c r="G4832">
        <v>-168.5001</v>
      </c>
      <c r="H4832">
        <v>-2.431229E-2</v>
      </c>
      <c r="I4832">
        <v>49.543349999999997</v>
      </c>
      <c r="J4832">
        <v>-194.90100000000001</v>
      </c>
      <c r="K4832">
        <v>1.1244719999999999</v>
      </c>
      <c r="L4832">
        <v>-57.328090000000003</v>
      </c>
      <c r="M4832">
        <v>0.79453969999999996</v>
      </c>
      <c r="N4832">
        <v>-1.8952920000000002E-2</v>
      </c>
      <c r="O4832">
        <v>0.60691640000000002</v>
      </c>
      <c r="P4832">
        <v>0.4373396</v>
      </c>
      <c r="Q4832">
        <v>-4.9590839999999997E-2</v>
      </c>
      <c r="R4832">
        <v>0.89792809999999901</v>
      </c>
      <c r="S4832">
        <v>0.7444153</v>
      </c>
      <c r="T4832">
        <v>-3.216434E-2</v>
      </c>
      <c r="U4832">
        <v>2.9968569999999999</v>
      </c>
      <c r="V4832">
        <v>-0.44660119999999998</v>
      </c>
      <c r="W4832">
        <v>-4.8996119999999997E-2</v>
      </c>
      <c r="X4832">
        <v>0.89339059999999904</v>
      </c>
      <c r="Y4832">
        <v>-0.62473639999999997</v>
      </c>
      <c r="Z4832">
        <v>1.337209E-2</v>
      </c>
      <c r="AA4832">
        <v>0.7807212</v>
      </c>
      <c r="AB4832">
        <v>28</v>
      </c>
      <c r="AC4832">
        <v>26.400899999999901</v>
      </c>
      <c r="AD4832">
        <v>-1.14878428999999</v>
      </c>
      <c r="AE4832">
        <v>106.871439999999</v>
      </c>
      <c r="AF4832">
        <v>-68.895334280741395</v>
      </c>
      <c r="AG4832">
        <v>-1.14878428999999</v>
      </c>
      <c r="AH4832">
        <v>85.844662869764505</v>
      </c>
      <c r="AI4832">
        <v>90.597954298692201</v>
      </c>
      <c r="AJ4832">
        <v>128.749069663581</v>
      </c>
      <c r="AK4832">
        <v>110.078121959922</v>
      </c>
      <c r="AL4832">
        <v>92.808395279772597</v>
      </c>
      <c r="AM4832">
        <v>116.560223044789</v>
      </c>
      <c r="AN4832">
        <v>1.0000000078924201</v>
      </c>
    </row>
    <row r="4833" spans="1:40" x14ac:dyDescent="0.25">
      <c r="A4833" t="str">
        <f>"20190305135725986"</f>
        <v>20190305135725986</v>
      </c>
      <c r="B4833" t="str">
        <f>"1551765445976944"</f>
        <v>1551765445976944</v>
      </c>
      <c r="C4833" t="s">
        <v>40</v>
      </c>
      <c r="D4833">
        <v>4.3677479999999997</v>
      </c>
      <c r="E4833">
        <v>0.41190959999999899</v>
      </c>
      <c r="F4833" t="s">
        <v>43</v>
      </c>
      <c r="G4833">
        <v>-166.9913</v>
      </c>
      <c r="H4833">
        <v>-0.05</v>
      </c>
      <c r="I4833">
        <v>67.419469999999905</v>
      </c>
      <c r="J4833">
        <v>-194.67859999999999</v>
      </c>
      <c r="K4833">
        <v>1.124574</v>
      </c>
      <c r="L4833">
        <v>-57.131770000000003</v>
      </c>
      <c r="M4833">
        <v>0.78123719999999996</v>
      </c>
      <c r="N4833">
        <v>-1.900872E-2</v>
      </c>
      <c r="O4833">
        <v>0.62394479999999997</v>
      </c>
      <c r="P4833">
        <v>0.41232229999999997</v>
      </c>
      <c r="Q4833">
        <v>-4.855582E-2</v>
      </c>
      <c r="R4833">
        <v>0.90974319999999997</v>
      </c>
      <c r="S4833">
        <v>0.67372129999999997</v>
      </c>
      <c r="T4833">
        <v>-2.835095E-2</v>
      </c>
      <c r="U4833">
        <v>3.0113219999999998</v>
      </c>
      <c r="V4833">
        <v>-0.45207209999999998</v>
      </c>
      <c r="W4833">
        <v>-4.8275709999999999E-2</v>
      </c>
      <c r="X4833">
        <v>0.89067410000000002</v>
      </c>
      <c r="Y4833">
        <v>-0.62611430000000001</v>
      </c>
      <c r="Z4833">
        <v>1.3882159999999999E-2</v>
      </c>
      <c r="AA4833">
        <v>0.77960769999999902</v>
      </c>
      <c r="AB4833">
        <v>28</v>
      </c>
      <c r="AC4833">
        <v>27.6873</v>
      </c>
      <c r="AD4833">
        <v>-1.174574</v>
      </c>
      <c r="AE4833">
        <v>124.551239999999</v>
      </c>
      <c r="AF4833">
        <v>-80.036394464410193</v>
      </c>
      <c r="AG4833">
        <v>-1.174574</v>
      </c>
      <c r="AH4833">
        <v>99.352979978023299</v>
      </c>
      <c r="AI4833">
        <v>90.527479652019906</v>
      </c>
      <c r="AJ4833">
        <v>128.85409111390101</v>
      </c>
      <c r="AK4833">
        <v>127.58612265233801</v>
      </c>
      <c r="AL4833">
        <v>92.767069831990696</v>
      </c>
      <c r="AM4833">
        <v>116.91060661151199</v>
      </c>
      <c r="AN4833">
        <v>1.0000000400926099</v>
      </c>
    </row>
    <row r="4834" spans="1:40" x14ac:dyDescent="0.25">
      <c r="A4834" t="str">
        <f>"20190305135726008"</f>
        <v>20190305135726008</v>
      </c>
      <c r="B4834" t="str">
        <f>"1551765445997440"</f>
        <v>1551765445997440</v>
      </c>
      <c r="C4834" t="s">
        <v>40</v>
      </c>
      <c r="D4834">
        <v>4.3600879999999904</v>
      </c>
      <c r="E4834">
        <v>0.42756759999999999</v>
      </c>
      <c r="F4834" t="s">
        <v>43</v>
      </c>
      <c r="G4834">
        <v>-171.2961</v>
      </c>
      <c r="H4834">
        <v>-0.05</v>
      </c>
      <c r="I4834">
        <v>61.003169999999997</v>
      </c>
      <c r="J4834">
        <v>-194.4828</v>
      </c>
      <c r="K4834">
        <v>1.1246659999999999</v>
      </c>
      <c r="L4834">
        <v>-56.951349999999998</v>
      </c>
      <c r="M4834">
        <v>0.76883389999999996</v>
      </c>
      <c r="N4834">
        <v>-1.9055160000000002E-2</v>
      </c>
      <c r="O4834">
        <v>0.63916459999999997</v>
      </c>
      <c r="P4834">
        <v>0.39171129999999998</v>
      </c>
      <c r="Q4834">
        <v>-4.6760250000000003E-2</v>
      </c>
      <c r="R4834">
        <v>0.91889920000000003</v>
      </c>
      <c r="S4834">
        <v>0.59867859999999995</v>
      </c>
      <c r="T4834">
        <v>-3.00734E-2</v>
      </c>
      <c r="U4834">
        <v>3.024689</v>
      </c>
      <c r="V4834">
        <v>-0.45478190000000002</v>
      </c>
      <c r="W4834">
        <v>-4.6658669999999999E-2</v>
      </c>
      <c r="X4834">
        <v>0.889379699999999</v>
      </c>
      <c r="Y4834">
        <v>-0.63004309999999997</v>
      </c>
      <c r="Z4834">
        <v>1.380524E-2</v>
      </c>
      <c r="AA4834">
        <v>0.7764375</v>
      </c>
      <c r="AB4834">
        <v>28</v>
      </c>
      <c r="AC4834">
        <v>23.186699999999998</v>
      </c>
      <c r="AD4834">
        <v>-1.174666</v>
      </c>
      <c r="AE4834">
        <v>117.95452</v>
      </c>
      <c r="AF4834">
        <v>-75.873846507631995</v>
      </c>
      <c r="AG4834">
        <v>-1.174666</v>
      </c>
      <c r="AH4834">
        <v>93.227098937189197</v>
      </c>
      <c r="AI4834">
        <v>90.559908869568702</v>
      </c>
      <c r="AJ4834">
        <v>129.140779059881</v>
      </c>
      <c r="AK4834">
        <v>120.206124637306</v>
      </c>
      <c r="AL4834">
        <v>92.674316001761994</v>
      </c>
      <c r="AM4834">
        <v>117.08280845531399</v>
      </c>
      <c r="AN4834">
        <v>0.99999992941293103</v>
      </c>
    </row>
    <row r="4835" spans="1:40" x14ac:dyDescent="0.25">
      <c r="A4835" t="str">
        <f>"20190305135726031"</f>
        <v>20190305135726031</v>
      </c>
      <c r="B4835" t="str">
        <f>"1551765446026720"</f>
        <v>1551765446026720</v>
      </c>
      <c r="C4835" t="s">
        <v>40</v>
      </c>
      <c r="D4835">
        <v>4.4257039999999996</v>
      </c>
      <c r="E4835">
        <v>0.42855339999999997</v>
      </c>
      <c r="F4835" t="s">
        <v>41</v>
      </c>
      <c r="G4835">
        <v>-194.2791</v>
      </c>
      <c r="H4835">
        <v>1.097046</v>
      </c>
      <c r="I4835">
        <v>-56.008380000000002</v>
      </c>
      <c r="J4835">
        <v>-194.2817</v>
      </c>
      <c r="K4835">
        <v>1.1247659999999999</v>
      </c>
      <c r="L4835">
        <v>-56.757969999999901</v>
      </c>
      <c r="M4835">
        <v>0.75535280000000005</v>
      </c>
      <c r="N4835">
        <v>-1.910326E-2</v>
      </c>
      <c r="O4835">
        <v>0.65503979999999995</v>
      </c>
      <c r="P4835">
        <v>0.37403059999999999</v>
      </c>
      <c r="Q4835">
        <v>-4.3829890000000003E-2</v>
      </c>
      <c r="R4835">
        <v>0.92637999999999998</v>
      </c>
      <c r="S4835">
        <v>0.64459230000000001</v>
      </c>
      <c r="T4835">
        <v>-8.7444540000000001E-2</v>
      </c>
      <c r="U4835">
        <v>2.9855649999999998</v>
      </c>
      <c r="V4835">
        <v>-0.45351019999999997</v>
      </c>
      <c r="W4835">
        <v>-4.3718970000000003E-2</v>
      </c>
      <c r="X4835">
        <v>0.89017809999999897</v>
      </c>
      <c r="Y4835">
        <v>-0.59985559999999905</v>
      </c>
      <c r="Z4835">
        <v>5.7806560000000003E-3</v>
      </c>
      <c r="AA4835">
        <v>0.8000874</v>
      </c>
      <c r="AB4835">
        <v>28</v>
      </c>
      <c r="AC4835">
        <v>2.6000000000010398E-3</v>
      </c>
      <c r="AD4835">
        <v>-2.7719999999999901E-2</v>
      </c>
      <c r="AE4835">
        <v>0.74958999999998999</v>
      </c>
      <c r="AF4835">
        <v>-0.56383379995773297</v>
      </c>
      <c r="AG4835">
        <v>-2.7719999999999901E-2</v>
      </c>
      <c r="AH4835">
        <v>0.49239183988709101</v>
      </c>
      <c r="AI4835">
        <v>92.120726042799205</v>
      </c>
      <c r="AJ4835">
        <v>138.869530684056</v>
      </c>
      <c r="AK4835">
        <v>0.74908389140480902</v>
      </c>
      <c r="AL4835">
        <v>92.505711238733198</v>
      </c>
      <c r="AM4835">
        <v>116.997026170334</v>
      </c>
      <c r="AN4835">
        <v>0.99999994978075402</v>
      </c>
    </row>
    <row r="4836" spans="1:40" x14ac:dyDescent="0.25">
      <c r="A4836" t="str">
        <f>"20190305135726052"</f>
        <v>20190305135726052</v>
      </c>
      <c r="B4836" t="str">
        <f>"1551765446047217"</f>
        <v>1551765446047217</v>
      </c>
      <c r="C4836" t="s">
        <v>40</v>
      </c>
      <c r="D4836">
        <v>4.4548160000000001</v>
      </c>
      <c r="E4836">
        <v>0.43660860000000001</v>
      </c>
      <c r="F4836" t="s">
        <v>42</v>
      </c>
      <c r="G4836">
        <v>-186.30799999999999</v>
      </c>
      <c r="H4836" s="1">
        <v>-2.2683559999999998E-6</v>
      </c>
      <c r="I4836">
        <v>-16.60622</v>
      </c>
      <c r="J4836">
        <v>-194.1046</v>
      </c>
      <c r="K4836">
        <v>1.1248499999999999</v>
      </c>
      <c r="L4836">
        <v>-56.580319999999901</v>
      </c>
      <c r="M4836">
        <v>0.74280230000000003</v>
      </c>
      <c r="N4836">
        <v>-1.914749E-2</v>
      </c>
      <c r="O4836">
        <v>0.66923710000000003</v>
      </c>
      <c r="P4836">
        <v>0.3620158</v>
      </c>
      <c r="Q4836">
        <v>-4.149535E-2</v>
      </c>
      <c r="R4836">
        <v>0.93124790000000002</v>
      </c>
      <c r="S4836">
        <v>0.59465029999999997</v>
      </c>
      <c r="T4836">
        <v>-8.3880659999999996E-2</v>
      </c>
      <c r="U4836">
        <v>2.994354</v>
      </c>
      <c r="V4836">
        <v>-0.44831579999999899</v>
      </c>
      <c r="W4836">
        <v>-4.1182169999999997E-2</v>
      </c>
      <c r="X4836">
        <v>0.89292609999999994</v>
      </c>
      <c r="Y4836">
        <v>-0.59798669999999998</v>
      </c>
      <c r="Z4836">
        <v>5.927524E-3</v>
      </c>
      <c r="AA4836">
        <v>0.80148409999999903</v>
      </c>
      <c r="AB4836">
        <v>28</v>
      </c>
      <c r="AC4836">
        <v>7.7966000000000104</v>
      </c>
      <c r="AD4836">
        <v>-1.1248522683559901</v>
      </c>
      <c r="AE4836">
        <v>39.9740999999999</v>
      </c>
      <c r="AF4836">
        <v>-24.460905952436899</v>
      </c>
      <c r="AG4836">
        <v>-1.1248522683559901</v>
      </c>
      <c r="AH4836">
        <v>32.5246372725952</v>
      </c>
      <c r="AI4836">
        <v>91.583261860048296</v>
      </c>
      <c r="AJ4836">
        <v>126.94584247361701</v>
      </c>
      <c r="AK4836">
        <v>40.711831724370803</v>
      </c>
      <c r="AL4836">
        <v>92.360231944261898</v>
      </c>
      <c r="AM4836">
        <v>116.660079534977</v>
      </c>
      <c r="AN4836">
        <v>1.0000000238583699</v>
      </c>
    </row>
    <row r="4837" spans="1:40" x14ac:dyDescent="0.25">
      <c r="A4837" t="str">
        <f>"20190305135726075"</f>
        <v>20190305135726075</v>
      </c>
      <c r="B4837" t="str">
        <f>"1551765446066736"</f>
        <v>1551765446066736</v>
      </c>
      <c r="C4837" t="s">
        <v>40</v>
      </c>
      <c r="D4837">
        <v>4.4352369999999999</v>
      </c>
      <c r="E4837">
        <v>0.43744440000000001</v>
      </c>
      <c r="F4837" t="s">
        <v>42</v>
      </c>
      <c r="G4837">
        <v>-187.26509999999999</v>
      </c>
      <c r="H4837" s="1">
        <v>-3.441031E-6</v>
      </c>
      <c r="I4837">
        <v>-23.476929999999999</v>
      </c>
      <c r="J4837">
        <v>-193.91079999999999</v>
      </c>
      <c r="K4837">
        <v>1.1249309999999999</v>
      </c>
      <c r="L4837">
        <v>-56.377319999999997</v>
      </c>
      <c r="M4837">
        <v>0.72828440000000005</v>
      </c>
      <c r="N4837">
        <v>-1.919827E-2</v>
      </c>
      <c r="O4837">
        <v>0.68500609999999995</v>
      </c>
      <c r="P4837">
        <v>0.35094370000000003</v>
      </c>
      <c r="Q4837">
        <v>-4.0713350000000002E-2</v>
      </c>
      <c r="R4837">
        <v>0.93551110000000004</v>
      </c>
      <c r="S4837">
        <v>0.61524959999999995</v>
      </c>
      <c r="T4837">
        <v>-0.1011862</v>
      </c>
      <c r="U4837">
        <v>2.977814</v>
      </c>
      <c r="V4837">
        <v>-0.43980710000000001</v>
      </c>
      <c r="W4837">
        <v>-4.0039459999999999E-2</v>
      </c>
      <c r="X4837">
        <v>0.89719930000000003</v>
      </c>
      <c r="Y4837">
        <v>-0.57434459999999998</v>
      </c>
      <c r="Z4837">
        <v>2.4321270000000001E-3</v>
      </c>
      <c r="AA4837">
        <v>0.81860999999999995</v>
      </c>
      <c r="AB4837">
        <v>28</v>
      </c>
      <c r="AC4837">
        <v>6.6456999999999997</v>
      </c>
      <c r="AD4837">
        <v>-1.1249344410309901</v>
      </c>
      <c r="AE4837">
        <v>32.900390000000002</v>
      </c>
      <c r="AF4837">
        <v>-19.3902919797811</v>
      </c>
      <c r="AG4837">
        <v>-1.1249344410309901</v>
      </c>
      <c r="AH4837">
        <v>27.351249891548498</v>
      </c>
      <c r="AI4837">
        <v>91.921717042358395</v>
      </c>
      <c r="AJ4837">
        <v>125.334209226542</v>
      </c>
      <c r="AK4837">
        <v>33.546084289939401</v>
      </c>
      <c r="AL4837">
        <v>92.294705448535794</v>
      </c>
      <c r="AM4837">
        <v>116.114093950068</v>
      </c>
      <c r="AN4837">
        <v>1.0000000137439899</v>
      </c>
    </row>
    <row r="4838" spans="1:40" x14ac:dyDescent="0.25">
      <c r="A4838" t="str">
        <f>"20190305135726097"</f>
        <v>20190305135726097</v>
      </c>
      <c r="B4838" t="str">
        <f>"1551765446087232"</f>
        <v>1551765446087232</v>
      </c>
      <c r="C4838" t="s">
        <v>40</v>
      </c>
      <c r="D4838">
        <v>4.3942050000000004</v>
      </c>
      <c r="E4838">
        <v>0.44242429999999999</v>
      </c>
      <c r="F4838" t="s">
        <v>41</v>
      </c>
      <c r="G4838">
        <v>-193.70609999999999</v>
      </c>
      <c r="H4838">
        <v>1.0886629999999999</v>
      </c>
      <c r="I4838">
        <v>-55.335479999999997</v>
      </c>
      <c r="J4838">
        <v>-193.72470000000001</v>
      </c>
      <c r="K4838">
        <v>1.1250070000000001</v>
      </c>
      <c r="L4838">
        <v>-56.173830000000002</v>
      </c>
      <c r="M4838">
        <v>0.71354039999999996</v>
      </c>
      <c r="N4838">
        <v>-1.9247420000000001E-2</v>
      </c>
      <c r="O4838">
        <v>0.70034969999999996</v>
      </c>
      <c r="P4838">
        <v>0.3396248</v>
      </c>
      <c r="Q4838">
        <v>-4.0086400000000001E-2</v>
      </c>
      <c r="R4838">
        <v>0.93970640000000005</v>
      </c>
      <c r="S4838">
        <v>0.58607480000000001</v>
      </c>
      <c r="T4838">
        <v>-0.1038369</v>
      </c>
      <c r="U4838">
        <v>2.9824220000000001</v>
      </c>
      <c r="V4838">
        <v>-0.43157610000000002</v>
      </c>
      <c r="W4838">
        <v>-3.9056140000000003E-2</v>
      </c>
      <c r="X4838">
        <v>0.90123059999999999</v>
      </c>
      <c r="Y4838">
        <v>-0.56483459999999996</v>
      </c>
      <c r="Z4838">
        <v>1.3547710000000001E-3</v>
      </c>
      <c r="AA4838">
        <v>0.82520300000000002</v>
      </c>
      <c r="AB4838">
        <v>28</v>
      </c>
      <c r="AC4838">
        <v>1.86000000000206E-2</v>
      </c>
      <c r="AD4838">
        <v>-3.6343999999999897E-2</v>
      </c>
      <c r="AE4838">
        <v>0.83834999999999804</v>
      </c>
      <c r="AF4838">
        <v>-0.58418113369958502</v>
      </c>
      <c r="AG4838">
        <v>-3.6343999999999897E-2</v>
      </c>
      <c r="AH4838">
        <v>0.59939531023986603</v>
      </c>
      <c r="AI4838">
        <v>92.486368123534604</v>
      </c>
      <c r="AJ4838">
        <v>134.26353713672501</v>
      </c>
      <c r="AK4838">
        <v>0.83777277423181795</v>
      </c>
      <c r="AL4838">
        <v>92.238321386046394</v>
      </c>
      <c r="AM4838">
        <v>115.588558811307</v>
      </c>
      <c r="AN4838">
        <v>0.99999995326963298</v>
      </c>
    </row>
    <row r="4839" spans="1:40" x14ac:dyDescent="0.25">
      <c r="A4839" t="str">
        <f>"20190305135726122"</f>
        <v>20190305135726122</v>
      </c>
      <c r="B4839" t="str">
        <f>"1551765446117489"</f>
        <v>1551765446117489</v>
      </c>
      <c r="C4839" t="s">
        <v>40</v>
      </c>
      <c r="D4839">
        <v>4.4015440000000003</v>
      </c>
      <c r="E4839">
        <v>0.44271129999999997</v>
      </c>
      <c r="F4839" t="s">
        <v>41</v>
      </c>
      <c r="G4839">
        <v>-193.5283</v>
      </c>
      <c r="H4839">
        <v>1.0523469999999999</v>
      </c>
      <c r="I4839">
        <v>-55.17803</v>
      </c>
      <c r="J4839">
        <v>-193.53659999999999</v>
      </c>
      <c r="K4839">
        <v>1.1250800000000001</v>
      </c>
      <c r="L4839">
        <v>-55.958680000000001</v>
      </c>
      <c r="M4839">
        <v>0.69775559999999903</v>
      </c>
      <c r="N4839">
        <v>-1.9296730000000002E-2</v>
      </c>
      <c r="O4839">
        <v>0.71607600000000005</v>
      </c>
      <c r="P4839">
        <v>0.32552039999999999</v>
      </c>
      <c r="Q4839">
        <v>-3.745428E-2</v>
      </c>
      <c r="R4839">
        <v>0.94479290000000005</v>
      </c>
      <c r="S4839">
        <v>0.58576969999999995</v>
      </c>
      <c r="T4839">
        <v>-0.21679999999999999</v>
      </c>
      <c r="U4839">
        <v>2.971527</v>
      </c>
      <c r="V4839">
        <v>-0.42515219999999998</v>
      </c>
      <c r="W4839">
        <v>-3.614274E-2</v>
      </c>
      <c r="X4839">
        <v>0.90439990000000003</v>
      </c>
      <c r="Y4839">
        <v>-0.54550369999999904</v>
      </c>
      <c r="Z4839">
        <v>-1.8572869999999998E-2</v>
      </c>
      <c r="AA4839">
        <v>0.83790259999999905</v>
      </c>
      <c r="AB4839">
        <v>28</v>
      </c>
      <c r="AC4839">
        <v>8.2999999999913109E-3</v>
      </c>
      <c r="AD4839">
        <v>-7.2732999999999895E-2</v>
      </c>
      <c r="AE4839">
        <v>0.78065000000000095</v>
      </c>
      <c r="AF4839">
        <v>-0.53422293525256903</v>
      </c>
      <c r="AG4839">
        <v>-7.2732999999999895E-2</v>
      </c>
      <c r="AH4839">
        <v>0.56004032033177398</v>
      </c>
      <c r="AI4839">
        <v>95.368499639829295</v>
      </c>
      <c r="AJ4839">
        <v>133.648448791981</v>
      </c>
      <c r="AK4839">
        <v>0.777386258070071</v>
      </c>
      <c r="AL4839">
        <v>92.071277714650805</v>
      </c>
      <c r="AM4839">
        <v>115.17789592810701</v>
      </c>
      <c r="AN4839">
        <v>0.99999993496977602</v>
      </c>
    </row>
    <row r="4840" spans="1:40" x14ac:dyDescent="0.25">
      <c r="A4840" t="str">
        <f>"20190305135726143"</f>
        <v>20190305135726143</v>
      </c>
      <c r="B4840" t="str">
        <f>"1551765446137008"</f>
        <v>1551765446137008</v>
      </c>
      <c r="C4840" t="s">
        <v>40</v>
      </c>
      <c r="D4840">
        <v>4.4912960000000002</v>
      </c>
      <c r="E4840">
        <v>0.44305660000000002</v>
      </c>
      <c r="F4840" t="s">
        <v>41</v>
      </c>
      <c r="G4840">
        <v>-193.36330000000001</v>
      </c>
      <c r="H4840">
        <v>1.0942860000000001</v>
      </c>
      <c r="I4840">
        <v>-55.009010000000004</v>
      </c>
      <c r="J4840">
        <v>-193.3707</v>
      </c>
      <c r="K4840">
        <v>1.1251329999999999</v>
      </c>
      <c r="L4840">
        <v>-55.76041</v>
      </c>
      <c r="M4840">
        <v>0.68304500000000001</v>
      </c>
      <c r="N4840">
        <v>-1.9339789999999999E-2</v>
      </c>
      <c r="O4840">
        <v>0.730120199999999</v>
      </c>
      <c r="P4840">
        <v>0.3116642</v>
      </c>
      <c r="Q4840">
        <v>-3.4930650000000001E-2</v>
      </c>
      <c r="R4840">
        <v>0.94955000000000001</v>
      </c>
      <c r="S4840">
        <v>0.54479979999999995</v>
      </c>
      <c r="T4840">
        <v>-9.6761819999999998E-2</v>
      </c>
      <c r="U4840">
        <v>2.983765</v>
      </c>
      <c r="V4840">
        <v>-0.42014629999999997</v>
      </c>
      <c r="W4840">
        <v>-3.3394109999999998E-2</v>
      </c>
      <c r="X4840">
        <v>0.90684180000000003</v>
      </c>
      <c r="Y4840">
        <v>-0.5405605</v>
      </c>
      <c r="Z4840">
        <v>1.109819E-3</v>
      </c>
      <c r="AA4840">
        <v>0.84130439999999995</v>
      </c>
      <c r="AB4840">
        <v>28</v>
      </c>
      <c r="AC4840">
        <v>7.3999999999898496E-3</v>
      </c>
      <c r="AD4840">
        <v>-3.0846999999999802E-2</v>
      </c>
      <c r="AE4840">
        <v>0.75140000000000295</v>
      </c>
      <c r="AF4840">
        <v>-0.50707761382501204</v>
      </c>
      <c r="AG4840">
        <v>-3.0846999999999802E-2</v>
      </c>
      <c r="AH4840">
        <v>0.55283879968260297</v>
      </c>
      <c r="AI4840">
        <v>92.354669506907001</v>
      </c>
      <c r="AJ4840">
        <v>132.527828144685</v>
      </c>
      <c r="AK4840">
        <v>0.75080622152854404</v>
      </c>
      <c r="AL4840">
        <v>91.913697233292098</v>
      </c>
      <c r="AM4840">
        <v>114.858627229216</v>
      </c>
      <c r="AN4840">
        <v>1.0000000651068</v>
      </c>
    </row>
    <row r="4841" spans="1:40" x14ac:dyDescent="0.25">
      <c r="A4841" t="str">
        <f>"20190305135726166"</f>
        <v>20190305135726166</v>
      </c>
      <c r="B4841" t="str">
        <f>"1551765446157504"</f>
        <v>1551765446157504</v>
      </c>
      <c r="C4841" t="s">
        <v>40</v>
      </c>
      <c r="D4841">
        <v>4.6562590000000004</v>
      </c>
      <c r="E4841">
        <v>0.44338379999999999</v>
      </c>
      <c r="F4841" t="s">
        <v>41</v>
      </c>
      <c r="G4841">
        <v>-193.1996</v>
      </c>
      <c r="H4841">
        <v>1.095729</v>
      </c>
      <c r="I4841">
        <v>-54.744770000000003</v>
      </c>
      <c r="J4841">
        <v>-193.19759999999999</v>
      </c>
      <c r="K4841">
        <v>1.1251660000000001</v>
      </c>
      <c r="L4841">
        <v>-55.544280000000001</v>
      </c>
      <c r="M4841">
        <v>0.66684569999999999</v>
      </c>
      <c r="N4841">
        <v>-1.938351E-2</v>
      </c>
      <c r="O4841">
        <v>0.74494369999999999</v>
      </c>
      <c r="P4841">
        <v>0.29491339999999999</v>
      </c>
      <c r="Q4841">
        <v>-3.5829569999999998E-2</v>
      </c>
      <c r="R4841">
        <v>0.95485200000000003</v>
      </c>
      <c r="S4841">
        <v>0.50350950000000005</v>
      </c>
      <c r="T4841">
        <v>-8.6575390000000002E-2</v>
      </c>
      <c r="U4841">
        <v>2.990936</v>
      </c>
      <c r="V4841">
        <v>-0.41612539999999998</v>
      </c>
      <c r="W4841">
        <v>-3.4111460000000003E-2</v>
      </c>
      <c r="X4841">
        <v>0.90866720000000001</v>
      </c>
      <c r="Y4841">
        <v>-0.53372619999999904</v>
      </c>
      <c r="Z4841">
        <v>2.4237640000000001E-3</v>
      </c>
      <c r="AA4841">
        <v>0.84565389999999996</v>
      </c>
      <c r="AB4841">
        <v>28</v>
      </c>
      <c r="AC4841">
        <v>-2.0000000000095402E-3</v>
      </c>
      <c r="AD4841">
        <v>-2.94369999999997E-2</v>
      </c>
      <c r="AE4841">
        <v>0.79951000000001204</v>
      </c>
      <c r="AF4841">
        <v>-0.53401623160353495</v>
      </c>
      <c r="AG4841">
        <v>-2.94369999999997E-2</v>
      </c>
      <c r="AH4841">
        <v>0.59356326390730896</v>
      </c>
      <c r="AI4841">
        <v>92.111458728540399</v>
      </c>
      <c r="AJ4841">
        <v>131.977040396658</v>
      </c>
      <c r="AK4841">
        <v>0.79897260331336595</v>
      </c>
      <c r="AL4841">
        <v>91.954821898388701</v>
      </c>
      <c r="AM4841">
        <v>114.605477091822</v>
      </c>
      <c r="AN4841">
        <v>1.00000001029216</v>
      </c>
    </row>
    <row r="4842" spans="1:40" x14ac:dyDescent="0.25">
      <c r="A4842" t="str">
        <f>"20190305135726187"</f>
        <v>20190305135726187</v>
      </c>
      <c r="B4842" t="str">
        <f>"1551765446177024"</f>
        <v>1551765446177024</v>
      </c>
      <c r="C4842" t="s">
        <v>40</v>
      </c>
      <c r="D4842">
        <v>4.5462720000000001</v>
      </c>
      <c r="E4842">
        <v>0.47733700000000001</v>
      </c>
      <c r="F4842" t="s">
        <v>42</v>
      </c>
      <c r="G4842">
        <v>-187.18020000000001</v>
      </c>
      <c r="H4842" s="1">
        <v>-2.4820600000000001E-6</v>
      </c>
      <c r="I4842">
        <v>-15.747400000000001</v>
      </c>
      <c r="J4842">
        <v>-193.0437</v>
      </c>
      <c r="K4842">
        <v>1.1251850000000001</v>
      </c>
      <c r="L4842">
        <v>-55.34308</v>
      </c>
      <c r="M4842">
        <v>0.65162949999999997</v>
      </c>
      <c r="N4842">
        <v>-1.9420119999999999E-2</v>
      </c>
      <c r="O4842">
        <v>0.75828869999999904</v>
      </c>
      <c r="P4842">
        <v>0.27901009999999998</v>
      </c>
      <c r="Q4842">
        <v>-3.938618E-2</v>
      </c>
      <c r="R4842">
        <v>0.95948009999999995</v>
      </c>
      <c r="S4842">
        <v>0.45339970000000002</v>
      </c>
      <c r="T4842">
        <v>-8.4779499999999994E-2</v>
      </c>
      <c r="U4842">
        <v>2.9986269999999999</v>
      </c>
      <c r="V4842">
        <v>-0.41260200000000002</v>
      </c>
      <c r="W4842">
        <v>-3.7504950000000002E-2</v>
      </c>
      <c r="X4842">
        <v>0.91013900000000003</v>
      </c>
      <c r="Y4842">
        <v>-0.53074860000000001</v>
      </c>
      <c r="Z4842">
        <v>2.4021419999999999E-3</v>
      </c>
      <c r="AA4842">
        <v>0.84752590000000005</v>
      </c>
      <c r="AB4842">
        <v>27</v>
      </c>
      <c r="AC4842">
        <v>5.8634999999999797</v>
      </c>
      <c r="AD4842">
        <v>-1.1251874820600001</v>
      </c>
      <c r="AE4842">
        <v>39.595680000000002</v>
      </c>
      <c r="AF4842">
        <v>-21.3426517784442</v>
      </c>
      <c r="AG4842">
        <v>-1.1251874820600001</v>
      </c>
      <c r="AH4842">
        <v>33.8254434759397</v>
      </c>
      <c r="AI4842">
        <v>91.611453842393402</v>
      </c>
      <c r="AJ4842">
        <v>122.25046808601699</v>
      </c>
      <c r="AK4842">
        <v>40.0116915182263</v>
      </c>
      <c r="AL4842">
        <v>92.1493794072952</v>
      </c>
      <c r="AM4842">
        <v>114.386666322816</v>
      </c>
      <c r="AN4842">
        <v>1.0000000154997499</v>
      </c>
    </row>
    <row r="4843" spans="1:40" x14ac:dyDescent="0.25">
      <c r="A4843" t="str">
        <f>"20190305135726211"</f>
        <v>20190305135726211</v>
      </c>
      <c r="B4843" t="str">
        <f>"1551765446207280"</f>
        <v>1551765446207280</v>
      </c>
      <c r="C4843" t="s">
        <v>40</v>
      </c>
      <c r="D4843">
        <v>4.4640069999999996</v>
      </c>
      <c r="E4843">
        <v>0.48479240000000001</v>
      </c>
      <c r="F4843" t="s">
        <v>41</v>
      </c>
      <c r="G4843">
        <v>-192.8355</v>
      </c>
      <c r="H4843">
        <v>1.084244</v>
      </c>
      <c r="I4843">
        <v>-54.425190000000001</v>
      </c>
      <c r="J4843">
        <v>-192.8837</v>
      </c>
      <c r="K4843">
        <v>1.125194</v>
      </c>
      <c r="L4843">
        <v>-55.124270000000003</v>
      </c>
      <c r="M4843">
        <v>0.63494340000000005</v>
      </c>
      <c r="N4843">
        <v>-1.9454409999999998E-2</v>
      </c>
      <c r="O4843">
        <v>0.77231369999999999</v>
      </c>
      <c r="P4843">
        <v>0.25864130000000002</v>
      </c>
      <c r="Q4843">
        <v>-3.948484E-2</v>
      </c>
      <c r="R4843">
        <v>0.96516610000000003</v>
      </c>
      <c r="S4843">
        <v>0.66346740000000004</v>
      </c>
      <c r="T4843">
        <v>-0.13058900000000001</v>
      </c>
      <c r="U4843">
        <v>2.9284059999999998</v>
      </c>
      <c r="V4843">
        <v>-0.4120164</v>
      </c>
      <c r="W4843">
        <v>-3.7564140000000003E-2</v>
      </c>
      <c r="X4843">
        <v>0.91040180000000004</v>
      </c>
      <c r="Y4843">
        <v>-0.44835259999999999</v>
      </c>
      <c r="Z4843">
        <v>-9.0884399999999997E-3</v>
      </c>
      <c r="AA4843">
        <v>0.89381060000000001</v>
      </c>
      <c r="AB4843">
        <v>27</v>
      </c>
      <c r="AC4843">
        <v>4.8200000000008403E-2</v>
      </c>
      <c r="AD4843">
        <v>-4.095E-2</v>
      </c>
      <c r="AE4843">
        <v>0.69907999999999404</v>
      </c>
      <c r="AF4843">
        <v>-0.405343417953486</v>
      </c>
      <c r="AG4843">
        <v>-4.095E-2</v>
      </c>
      <c r="AH4843">
        <v>0.56867925673407504</v>
      </c>
      <c r="AI4843">
        <v>93.355856771614995</v>
      </c>
      <c r="AJ4843">
        <v>125.480526178934</v>
      </c>
      <c r="AK4843">
        <v>0.69955434815161799</v>
      </c>
      <c r="AL4843">
        <v>92.152773152121199</v>
      </c>
      <c r="AM4843">
        <v>114.349864432739</v>
      </c>
      <c r="AN4843">
        <v>1.00000000796307</v>
      </c>
    </row>
    <row r="4844" spans="1:40" x14ac:dyDescent="0.25">
      <c r="A4844" t="str">
        <f>"20190305135726232"</f>
        <v>20190305135726232</v>
      </c>
      <c r="B4844" t="str">
        <f>"1551765446226800"</f>
        <v>1551765446226800</v>
      </c>
      <c r="C4844" t="s">
        <v>40</v>
      </c>
      <c r="D4844">
        <v>4.449859</v>
      </c>
      <c r="E4844">
        <v>0.48652770000000001</v>
      </c>
      <c r="F4844" t="s">
        <v>41</v>
      </c>
      <c r="G4844">
        <v>-192.6525</v>
      </c>
      <c r="H4844">
        <v>1.0897730000000001</v>
      </c>
      <c r="I4844">
        <v>-54.097520000000003</v>
      </c>
      <c r="J4844">
        <v>-192.73820000000001</v>
      </c>
      <c r="K4844">
        <v>1.1252230000000001</v>
      </c>
      <c r="L4844">
        <v>-54.915590000000002</v>
      </c>
      <c r="M4844">
        <v>0.61892080000000005</v>
      </c>
      <c r="N4844">
        <v>-1.9481450000000001E-2</v>
      </c>
      <c r="O4844">
        <v>0.78521169999999996</v>
      </c>
      <c r="P4844">
        <v>0.23704049999999999</v>
      </c>
      <c r="Q4844">
        <v>-3.5500610000000002E-2</v>
      </c>
      <c r="R4844">
        <v>0.97085089999999996</v>
      </c>
      <c r="S4844">
        <v>0.65888979999999997</v>
      </c>
      <c r="T4844">
        <v>-0.1009842</v>
      </c>
      <c r="U4844">
        <v>2.9275820000000001</v>
      </c>
      <c r="V4844">
        <v>-0.41384759999999998</v>
      </c>
      <c r="W4844">
        <v>-3.364085E-2</v>
      </c>
      <c r="X4844">
        <v>0.90972439999999999</v>
      </c>
      <c r="Y4844">
        <v>-0.4312281</v>
      </c>
      <c r="Z4844">
        <v>-3.6644080000000001E-3</v>
      </c>
      <c r="AA4844">
        <v>0.90223549999999997</v>
      </c>
      <c r="AB4844">
        <v>27</v>
      </c>
      <c r="AC4844">
        <v>8.5700000000002705E-2</v>
      </c>
      <c r="AD4844">
        <v>-3.5449999999999898E-2</v>
      </c>
      <c r="AE4844">
        <v>0.81807000000000496</v>
      </c>
      <c r="AF4844">
        <v>-0.43829714959992799</v>
      </c>
      <c r="AG4844">
        <v>-3.5449999999999898E-2</v>
      </c>
      <c r="AH4844">
        <v>0.694242179605705</v>
      </c>
      <c r="AI4844">
        <v>92.472376323360606</v>
      </c>
      <c r="AJ4844">
        <v>122.26551962772299</v>
      </c>
      <c r="AK4844">
        <v>0.82178664980097005</v>
      </c>
      <c r="AL4844">
        <v>91.927842440484397</v>
      </c>
      <c r="AM4844">
        <v>114.461517087964</v>
      </c>
      <c r="AN4844">
        <v>1.0000000133849201</v>
      </c>
    </row>
    <row r="4845" spans="1:40" x14ac:dyDescent="0.25">
      <c r="A4845" t="str">
        <f>"20190305135726256"</f>
        <v>20190305135726256</v>
      </c>
      <c r="B4845" t="str">
        <f>"1551765446247297"</f>
        <v>1551765446247297</v>
      </c>
      <c r="C4845" t="s">
        <v>40</v>
      </c>
      <c r="D4845">
        <v>4.4515459999999996</v>
      </c>
      <c r="E4845">
        <v>0.48829990000000001</v>
      </c>
      <c r="F4845" t="s">
        <v>42</v>
      </c>
      <c r="G4845">
        <v>-183.32220000000001</v>
      </c>
      <c r="H4845" s="1">
        <v>-2.1317779999999999E-6</v>
      </c>
      <c r="I4845">
        <v>-9.3087689999999998</v>
      </c>
      <c r="J4845">
        <v>-192.5864</v>
      </c>
      <c r="K4845">
        <v>1.125254</v>
      </c>
      <c r="L4845">
        <v>-54.687159999999999</v>
      </c>
      <c r="M4845">
        <v>0.60126480000000004</v>
      </c>
      <c r="N4845">
        <v>-1.95047E-2</v>
      </c>
      <c r="O4845">
        <v>0.79881179999999996</v>
      </c>
      <c r="P4845">
        <v>0.2146236</v>
      </c>
      <c r="Q4845">
        <v>-2.9933000000000001E-2</v>
      </c>
      <c r="R4845">
        <v>0.9762381</v>
      </c>
      <c r="S4845">
        <v>0.60684199999999999</v>
      </c>
      <c r="T4845">
        <v>-7.2518589999999994E-2</v>
      </c>
      <c r="U4845">
        <v>2.93927</v>
      </c>
      <c r="V4845">
        <v>-0.41484219999999999</v>
      </c>
      <c r="W4845">
        <v>-2.8084209999999998E-2</v>
      </c>
      <c r="X4845">
        <v>0.90945989999999999</v>
      </c>
      <c r="Y4845">
        <v>-0.42720590000000003</v>
      </c>
      <c r="Z4845">
        <v>2.1744720000000002E-3</v>
      </c>
      <c r="AA4845">
        <v>0.90415179999999995</v>
      </c>
      <c r="AB4845">
        <v>27</v>
      </c>
      <c r="AC4845">
        <v>9.2641999999999793</v>
      </c>
      <c r="AD4845">
        <v>-1.1252561317780001</v>
      </c>
      <c r="AE4845">
        <v>45.378391000000001</v>
      </c>
      <c r="AF4845">
        <v>-19.876126609086398</v>
      </c>
      <c r="AG4845">
        <v>-1.1252561317780001</v>
      </c>
      <c r="AH4845">
        <v>41.802310943604198</v>
      </c>
      <c r="AI4845">
        <v>91.392607467843803</v>
      </c>
      <c r="AJ4845">
        <v>115.430112610699</v>
      </c>
      <c r="AK4845">
        <v>46.300753887688501</v>
      </c>
      <c r="AL4845">
        <v>91.609318235099195</v>
      </c>
      <c r="AM4845">
        <v>114.51968660343999</v>
      </c>
      <c r="AN4845">
        <v>1.0000000417300801</v>
      </c>
    </row>
    <row r="4846" spans="1:40" x14ac:dyDescent="0.25">
      <c r="A4846" t="str">
        <f>"20190305135726278"</f>
        <v>20190305135726278</v>
      </c>
      <c r="B4846" t="str">
        <f>"1551765446266816"</f>
        <v>1551765446266816</v>
      </c>
      <c r="C4846" t="s">
        <v>40</v>
      </c>
      <c r="D4846">
        <v>4.70031</v>
      </c>
      <c r="E4846">
        <v>0.48991000000000001</v>
      </c>
      <c r="F4846" t="s">
        <v>42</v>
      </c>
      <c r="G4846">
        <v>-179.9539</v>
      </c>
      <c r="H4846">
        <v>5.3807500000000001E-2</v>
      </c>
      <c r="I4846">
        <v>12.719849999999999</v>
      </c>
      <c r="J4846">
        <v>-192.44909999999999</v>
      </c>
      <c r="K4846">
        <v>1.125254</v>
      </c>
      <c r="L4846">
        <v>-54.470489999999998</v>
      </c>
      <c r="M4846">
        <v>0.58440719999999902</v>
      </c>
      <c r="N4846">
        <v>-1.952125E-2</v>
      </c>
      <c r="O4846">
        <v>0.81122569999999905</v>
      </c>
      <c r="P4846">
        <v>0.19531470000000001</v>
      </c>
      <c r="Q4846">
        <v>-2.6960729999999999E-2</v>
      </c>
      <c r="R4846">
        <v>0.98036999999999996</v>
      </c>
      <c r="S4846">
        <v>0.55285640000000003</v>
      </c>
      <c r="T4846">
        <v>-4.6891450000000001E-2</v>
      </c>
      <c r="U4846">
        <v>2.950043</v>
      </c>
      <c r="V4846">
        <v>-0.4139158</v>
      </c>
      <c r="W4846">
        <v>-2.5032229999999999E-2</v>
      </c>
      <c r="X4846">
        <v>0.90997090000000003</v>
      </c>
      <c r="Y4846">
        <v>-0.42490919999999999</v>
      </c>
      <c r="Z4846">
        <v>7.7467400000000002E-3</v>
      </c>
      <c r="AA4846">
        <v>0.90520290000000003</v>
      </c>
      <c r="AB4846">
        <v>27</v>
      </c>
      <c r="AC4846">
        <v>12.495199999999899</v>
      </c>
      <c r="AD4846">
        <v>-1.0714465</v>
      </c>
      <c r="AE4846">
        <v>67.190340000000006</v>
      </c>
      <c r="AF4846">
        <v>-29.128483806952602</v>
      </c>
      <c r="AG4846">
        <v>-1.0714465</v>
      </c>
      <c r="AH4846">
        <v>61.8054050587455</v>
      </c>
      <c r="AI4846">
        <v>90.898410011719307</v>
      </c>
      <c r="AJ4846">
        <v>115.234195712163</v>
      </c>
      <c r="AK4846">
        <v>68.333920280998598</v>
      </c>
      <c r="AL4846">
        <v>91.434391001044602</v>
      </c>
      <c r="AM4846">
        <v>114.459224947249</v>
      </c>
      <c r="AN4846">
        <v>0.99999997043761102</v>
      </c>
    </row>
    <row r="4847" spans="1:40" x14ac:dyDescent="0.25">
      <c r="A4847" t="str">
        <f>"20190305135726300"</f>
        <v>20190305135726300</v>
      </c>
      <c r="B4847" t="str">
        <f>"1551765446297073"</f>
        <v>1551765446297073</v>
      </c>
      <c r="C4847" t="s">
        <v>40</v>
      </c>
      <c r="D4847">
        <v>4.4230150000000004</v>
      </c>
      <c r="E4847">
        <v>0.49062099999999997</v>
      </c>
      <c r="F4847" t="s">
        <v>42</v>
      </c>
      <c r="G4847">
        <v>-178.2413</v>
      </c>
      <c r="H4847">
        <v>7.9986539999999995E-2</v>
      </c>
      <c r="I4847">
        <v>28.409320000000001</v>
      </c>
      <c r="J4847">
        <v>-192.31909999999999</v>
      </c>
      <c r="K4847">
        <v>1.125237</v>
      </c>
      <c r="L4847">
        <v>-54.255519999999997</v>
      </c>
      <c r="M4847">
        <v>0.56760140000000003</v>
      </c>
      <c r="N4847">
        <v>-1.9532609999999999E-2</v>
      </c>
      <c r="O4847">
        <v>0.82307180000000002</v>
      </c>
      <c r="P4847">
        <v>0.17946419999999999</v>
      </c>
      <c r="Q4847">
        <v>-2.8535609999999999E-2</v>
      </c>
      <c r="R4847">
        <v>0.98335059999999996</v>
      </c>
      <c r="S4847">
        <v>0.50708009999999903</v>
      </c>
      <c r="T4847">
        <v>-3.7305949999999997E-2</v>
      </c>
      <c r="U4847">
        <v>2.958008</v>
      </c>
      <c r="V4847">
        <v>-0.4098096</v>
      </c>
      <c r="W4847">
        <v>-2.6379530000000002E-2</v>
      </c>
      <c r="X4847">
        <v>0.91178950000000003</v>
      </c>
      <c r="Y4847">
        <v>-0.42032310000000001</v>
      </c>
      <c r="Z4847">
        <v>9.8474170000000007E-3</v>
      </c>
      <c r="AA4847">
        <v>0.90732109999999999</v>
      </c>
      <c r="AB4847">
        <v>27</v>
      </c>
      <c r="AC4847">
        <v>14.0777999999999</v>
      </c>
      <c r="AD4847">
        <v>-1.0452504600000001</v>
      </c>
      <c r="AE4847">
        <v>82.664839999999998</v>
      </c>
      <c r="AF4847">
        <v>-35.334889710968199</v>
      </c>
      <c r="AG4847">
        <v>-1.0452504600000001</v>
      </c>
      <c r="AH4847">
        <v>76.032369463878695</v>
      </c>
      <c r="AI4847">
        <v>90.714264451863698</v>
      </c>
      <c r="AJ4847">
        <v>114.9259339935</v>
      </c>
      <c r="AK4847">
        <v>83.848483502697704</v>
      </c>
      <c r="AL4847">
        <v>91.511611176263898</v>
      </c>
      <c r="AM4847">
        <v>114.201837650915</v>
      </c>
      <c r="AN4847">
        <v>0.99999994008271298</v>
      </c>
    </row>
    <row r="4848" spans="1:40" x14ac:dyDescent="0.25">
      <c r="A4848" t="str">
        <f>"20190305135726327"</f>
        <v>20190305135726327</v>
      </c>
      <c r="B4848" t="str">
        <f>"1551765446317569"</f>
        <v>1551765446317569</v>
      </c>
      <c r="C4848" t="s">
        <v>40</v>
      </c>
      <c r="D4848">
        <v>4.3631279999999997</v>
      </c>
      <c r="E4848">
        <v>0.50827259999999996</v>
      </c>
      <c r="F4848" t="s">
        <v>42</v>
      </c>
      <c r="G4848">
        <v>-181.20099999999999</v>
      </c>
      <c r="H4848" s="1">
        <v>-4.7213349999999999E-6</v>
      </c>
      <c r="I4848">
        <v>16.642199999999999</v>
      </c>
      <c r="J4848">
        <v>-192.16149999999999</v>
      </c>
      <c r="K4848">
        <v>1.1251949999999999</v>
      </c>
      <c r="L4848">
        <v>-53.981169999999999</v>
      </c>
      <c r="M4848">
        <v>0.54602899999999999</v>
      </c>
      <c r="N4848">
        <v>-1.9535400000000001E-2</v>
      </c>
      <c r="O4848">
        <v>0.83753849999999996</v>
      </c>
      <c r="P4848">
        <v>0.159635</v>
      </c>
      <c r="Q4848">
        <v>-3.0718760000000001E-2</v>
      </c>
      <c r="R4848">
        <v>0.98669799999999996</v>
      </c>
      <c r="S4848">
        <v>0.46490480000000001</v>
      </c>
      <c r="T4848">
        <v>-4.7052150000000001E-2</v>
      </c>
      <c r="U4848">
        <v>2.9645999999999999</v>
      </c>
      <c r="V4848">
        <v>-0.40436040000000001</v>
      </c>
      <c r="W4848">
        <v>-2.8262990000000002E-2</v>
      </c>
      <c r="X4848">
        <v>0.9141629</v>
      </c>
      <c r="Y4848">
        <v>-0.40961219999999998</v>
      </c>
      <c r="Z4848">
        <v>7.3519830000000003E-3</v>
      </c>
      <c r="AA4848">
        <v>0.91223010000000004</v>
      </c>
      <c r="AB4848">
        <v>27</v>
      </c>
      <c r="AC4848">
        <v>10.9604999999999</v>
      </c>
      <c r="AD4848">
        <v>-1.125199721335</v>
      </c>
      <c r="AE4848">
        <v>70.623369999999994</v>
      </c>
      <c r="AF4848">
        <v>-29.3808923773293</v>
      </c>
      <c r="AG4848">
        <v>-1.125199721335</v>
      </c>
      <c r="AH4848">
        <v>65.130829150654407</v>
      </c>
      <c r="AI4848">
        <v>90.902209394358806</v>
      </c>
      <c r="AJ4848">
        <v>114.280410040004</v>
      </c>
      <c r="AK4848">
        <v>71.459973531711</v>
      </c>
      <c r="AL4848">
        <v>91.619565760187896</v>
      </c>
      <c r="AM4848">
        <v>113.861177319795</v>
      </c>
      <c r="AN4848">
        <v>0.99999996871415398</v>
      </c>
    </row>
    <row r="4849" spans="1:40" x14ac:dyDescent="0.25">
      <c r="A4849" t="str">
        <f>"20190305135726351"</f>
        <v>20190305135726351</v>
      </c>
      <c r="B4849" t="str">
        <f>"1551765446346848"</f>
        <v>1551765446346848</v>
      </c>
      <c r="C4849" t="s">
        <v>40</v>
      </c>
      <c r="D4849">
        <v>4.3651900000000001</v>
      </c>
      <c r="E4849">
        <v>0.50977629999999996</v>
      </c>
      <c r="F4849" t="s">
        <v>80</v>
      </c>
      <c r="G4849">
        <v>-169.55189999999999</v>
      </c>
      <c r="H4849">
        <v>2.0508169999999999</v>
      </c>
      <c r="I4849">
        <v>68.71902</v>
      </c>
      <c r="J4849">
        <v>-192.02940000000001</v>
      </c>
      <c r="K4849">
        <v>1.1251469999999999</v>
      </c>
      <c r="L4849">
        <v>-53.737000000000002</v>
      </c>
      <c r="M4849">
        <v>0.52674960000000004</v>
      </c>
      <c r="N4849">
        <v>-1.9521960000000001E-2</v>
      </c>
      <c r="O4849">
        <v>0.84979629999999995</v>
      </c>
      <c r="P4849">
        <v>0.1439211</v>
      </c>
      <c r="Q4849">
        <v>-2.9928969999999999E-2</v>
      </c>
      <c r="R4849">
        <v>0.98913649999999997</v>
      </c>
      <c r="S4849">
        <v>0.5441589</v>
      </c>
      <c r="T4849">
        <v>2.2277709999999999E-2</v>
      </c>
      <c r="U4849">
        <v>2.9530940000000001</v>
      </c>
      <c r="V4849">
        <v>-0.39805689999999999</v>
      </c>
      <c r="W4849">
        <v>-2.7141680000000001E-2</v>
      </c>
      <c r="X4849">
        <v>0.91695910000000003</v>
      </c>
      <c r="Y4849">
        <v>-0.36411949999999998</v>
      </c>
      <c r="Z4849">
        <v>2.4099079999999998E-2</v>
      </c>
      <c r="AA4849">
        <v>0.93104039999999999</v>
      </c>
      <c r="AB4849">
        <v>27</v>
      </c>
      <c r="AC4849">
        <v>22.477499999999999</v>
      </c>
      <c r="AD4849">
        <v>0.92566999999999999</v>
      </c>
      <c r="AE4849">
        <v>122.45602</v>
      </c>
      <c r="AF4849">
        <v>-45.408507141855502</v>
      </c>
      <c r="AG4849">
        <v>0.92566999999999999</v>
      </c>
      <c r="AH4849">
        <v>115.918370985061</v>
      </c>
      <c r="AI4849">
        <v>89.573990816319693</v>
      </c>
      <c r="AJ4849">
        <v>111.39168474197</v>
      </c>
      <c r="AK4849">
        <v>124.498426165277</v>
      </c>
      <c r="AL4849">
        <v>91.555294742520005</v>
      </c>
      <c r="AM4849">
        <v>113.465925272471</v>
      </c>
      <c r="AN4849">
        <v>0.99999997875182101</v>
      </c>
    </row>
    <row r="4850" spans="1:40" x14ac:dyDescent="0.25">
      <c r="A4850" t="str">
        <f>"20190305135726374"</f>
        <v>20190305135726374</v>
      </c>
      <c r="B4850" t="str">
        <f>"1551765446367345"</f>
        <v>1551765446367345</v>
      </c>
      <c r="C4850" t="s">
        <v>40</v>
      </c>
      <c r="D4850">
        <v>4.328443</v>
      </c>
      <c r="E4850">
        <v>0.51058029999999999</v>
      </c>
      <c r="F4850" t="s">
        <v>80</v>
      </c>
      <c r="G4850">
        <v>-168.85900000000001</v>
      </c>
      <c r="H4850">
        <v>2.3716620000000002</v>
      </c>
      <c r="I4850">
        <v>81.033069999999995</v>
      </c>
      <c r="J4850">
        <v>-191.904</v>
      </c>
      <c r="K4850">
        <v>1.1250830000000001</v>
      </c>
      <c r="L4850">
        <v>-53.490749999999998</v>
      </c>
      <c r="M4850">
        <v>0.50726179999999998</v>
      </c>
      <c r="N4850">
        <v>-1.9496659999999999E-2</v>
      </c>
      <c r="O4850">
        <v>0.86157150000000005</v>
      </c>
      <c r="P4850">
        <v>0.129077</v>
      </c>
      <c r="Q4850">
        <v>-2.7802899999999998E-2</v>
      </c>
      <c r="R4850">
        <v>0.99124469999999998</v>
      </c>
      <c r="S4850">
        <v>0.50885009999999997</v>
      </c>
      <c r="T4850">
        <v>2.7375099999999999E-2</v>
      </c>
      <c r="U4850">
        <v>2.9597169999999999</v>
      </c>
      <c r="V4850">
        <v>-0.39103389999999999</v>
      </c>
      <c r="W4850">
        <v>-2.4651670000000001E-2</v>
      </c>
      <c r="X4850">
        <v>0.92004600000000003</v>
      </c>
      <c r="Y4850">
        <v>-0.3540392</v>
      </c>
      <c r="Z4850">
        <v>2.561722E-2</v>
      </c>
      <c r="AA4850">
        <v>0.93487969999999998</v>
      </c>
      <c r="AB4850">
        <v>27</v>
      </c>
      <c r="AC4850">
        <v>23.045000000000002</v>
      </c>
      <c r="AD4850">
        <v>1.2465789999999899</v>
      </c>
      <c r="AE4850">
        <v>134.52382</v>
      </c>
      <c r="AF4850">
        <v>-48.389039117714901</v>
      </c>
      <c r="AG4850">
        <v>1.2465789999999899</v>
      </c>
      <c r="AH4850">
        <v>127.60534289797199</v>
      </c>
      <c r="AI4850">
        <v>89.4766567589609</v>
      </c>
      <c r="AJ4850">
        <v>110.767156505475</v>
      </c>
      <c r="AK4850">
        <v>136.477751307853</v>
      </c>
      <c r="AL4850">
        <v>91.4125798458996</v>
      </c>
      <c r="AM4850">
        <v>113.02624892956899</v>
      </c>
      <c r="AN4850">
        <v>0.99999992894949696</v>
      </c>
    </row>
    <row r="4851" spans="1:40" x14ac:dyDescent="0.25">
      <c r="A4851" t="str">
        <f>"20190305135726414"</f>
        <v>20190305135726414</v>
      </c>
      <c r="B4851" t="str">
        <f>"1551765446407360"</f>
        <v>1551765446407360</v>
      </c>
      <c r="C4851" t="s">
        <v>40</v>
      </c>
      <c r="D4851">
        <v>4.3363699999999996</v>
      </c>
      <c r="E4851">
        <v>0.51069520000000002</v>
      </c>
      <c r="F4851" t="s">
        <v>80</v>
      </c>
      <c r="G4851">
        <v>-168.85890000000001</v>
      </c>
      <c r="H4851">
        <v>2.104787</v>
      </c>
      <c r="I4851">
        <v>91.858440000000002</v>
      </c>
      <c r="J4851">
        <v>-191.71199999999999</v>
      </c>
      <c r="K4851">
        <v>1.1249469999999999</v>
      </c>
      <c r="L4851">
        <v>-53.085169999999998</v>
      </c>
      <c r="M4851">
        <v>0.47504639999999998</v>
      </c>
      <c r="N4851">
        <v>-1.9443459999999999E-2</v>
      </c>
      <c r="O4851">
        <v>0.87974599999999903</v>
      </c>
      <c r="P4851">
        <v>0.10866290000000001</v>
      </c>
      <c r="Q4851">
        <v>-2.7480890000000001E-2</v>
      </c>
      <c r="R4851">
        <v>0.99369870000000005</v>
      </c>
      <c r="S4851">
        <v>0.47023009999999899</v>
      </c>
      <c r="T4851">
        <v>1.99908E-2</v>
      </c>
      <c r="U4851">
        <v>2.9658199999999999</v>
      </c>
      <c r="V4851">
        <v>-0.3759094</v>
      </c>
      <c r="W4851">
        <v>-2.357389E-2</v>
      </c>
      <c r="X4851">
        <v>0.92635650000000003</v>
      </c>
      <c r="Y4851">
        <v>-0.33149580000000001</v>
      </c>
      <c r="Z4851">
        <v>2.4001049999999999E-2</v>
      </c>
      <c r="AA4851">
        <v>0.94315139999999997</v>
      </c>
      <c r="AB4851">
        <v>27</v>
      </c>
      <c r="AC4851">
        <v>22.853100000000001</v>
      </c>
      <c r="AD4851">
        <v>0.97983999999999905</v>
      </c>
      <c r="AE4851">
        <v>144.94361000000001</v>
      </c>
      <c r="AF4851">
        <v>-48.757056456335803</v>
      </c>
      <c r="AG4851">
        <v>0.97983999999999905</v>
      </c>
      <c r="AH4851">
        <v>138.389824989884</v>
      </c>
      <c r="AI4851">
        <v>89.617387221153393</v>
      </c>
      <c r="AJ4851">
        <v>109.40821572046301</v>
      </c>
      <c r="AK4851">
        <v>146.73089075393301</v>
      </c>
      <c r="AL4851">
        <v>91.350809557259097</v>
      </c>
      <c r="AM4851">
        <v>112.08699196720799</v>
      </c>
      <c r="AN4851">
        <v>0.99999998519517097</v>
      </c>
    </row>
    <row r="4852" spans="1:40" x14ac:dyDescent="0.25">
      <c r="A4852" t="str">
        <f>"20190305135726435"</f>
        <v>20190305135726435</v>
      </c>
      <c r="B4852" t="str">
        <f>"1551765446426880"</f>
        <v>1551765446426880</v>
      </c>
      <c r="C4852" t="s">
        <v>40</v>
      </c>
      <c r="D4852">
        <v>4.3245839999999998</v>
      </c>
      <c r="E4852">
        <v>0.51112299999999999</v>
      </c>
      <c r="F4852" t="s">
        <v>70</v>
      </c>
      <c r="G4852">
        <v>-161.51060000000001</v>
      </c>
      <c r="H4852">
        <v>1.087831</v>
      </c>
      <c r="I4852">
        <v>166.05369999999999</v>
      </c>
      <c r="J4852">
        <v>-191.6086</v>
      </c>
      <c r="K4852">
        <v>1.1248479999999901</v>
      </c>
      <c r="L4852">
        <v>-52.848419999999997</v>
      </c>
      <c r="M4852">
        <v>0.45621469999999997</v>
      </c>
      <c r="N4852">
        <v>-1.940735E-2</v>
      </c>
      <c r="O4852">
        <v>0.88965810000000001</v>
      </c>
      <c r="P4852">
        <v>9.5922250000000001E-2</v>
      </c>
      <c r="Q4852">
        <v>-2.9488690000000001E-2</v>
      </c>
      <c r="R4852">
        <v>0.9949519</v>
      </c>
      <c r="S4852">
        <v>0.40989690000000001</v>
      </c>
      <c r="T4852">
        <v>-5.0330160000000004E-4</v>
      </c>
      <c r="U4852">
        <v>2.9741819999999999</v>
      </c>
      <c r="V4852">
        <v>-0.36795990000000001</v>
      </c>
      <c r="W4852">
        <v>-2.518273E-2</v>
      </c>
      <c r="X4852">
        <v>0.92950060000000001</v>
      </c>
      <c r="Y4852">
        <v>-0.33050499999999999</v>
      </c>
      <c r="Z4852">
        <v>1.863896E-2</v>
      </c>
      <c r="AA4852">
        <v>0.94362020000000002</v>
      </c>
      <c r="AB4852">
        <v>26</v>
      </c>
      <c r="AC4852">
        <v>30.0979999999999</v>
      </c>
      <c r="AD4852">
        <v>-3.70169999999998E-2</v>
      </c>
      <c r="AE4852">
        <v>218.90212</v>
      </c>
      <c r="AF4852">
        <v>-73.1032005499452</v>
      </c>
      <c r="AG4852">
        <v>-3.70169999999998E-2</v>
      </c>
      <c r="AH4852">
        <v>208.51845739246301</v>
      </c>
      <c r="AI4852">
        <v>90.009598581518702</v>
      </c>
      <c r="AJ4852">
        <v>109.319841510443</v>
      </c>
      <c r="AK4852">
        <v>220.96159479474301</v>
      </c>
      <c r="AL4852">
        <v>91.443016675840596</v>
      </c>
      <c r="AM4852">
        <v>111.597046621901</v>
      </c>
      <c r="AN4852">
        <v>1.00000001164931</v>
      </c>
    </row>
    <row r="4853" spans="1:40" x14ac:dyDescent="0.25">
      <c r="A4853" t="str">
        <f>"20190305135726457"</f>
        <v>20190305135726457</v>
      </c>
      <c r="B4853" t="str">
        <f>"1551765446447376"</f>
        <v>1551765446447376</v>
      </c>
      <c r="C4853" t="s">
        <v>40</v>
      </c>
      <c r="D4853">
        <v>4.279776</v>
      </c>
      <c r="E4853">
        <v>0.5117794</v>
      </c>
      <c r="F4853" t="s">
        <v>70</v>
      </c>
      <c r="G4853">
        <v>-163.73419999999999</v>
      </c>
      <c r="H4853">
        <v>0.29866219999999999</v>
      </c>
      <c r="I4853">
        <v>168.27539999999999</v>
      </c>
      <c r="J4853">
        <v>-191.51490000000001</v>
      </c>
      <c r="K4853">
        <v>1.1247510000000001</v>
      </c>
      <c r="L4853">
        <v>-52.621189999999999</v>
      </c>
      <c r="M4853">
        <v>0.43813039999999998</v>
      </c>
      <c r="N4853">
        <v>-1.93698E-2</v>
      </c>
      <c r="O4853">
        <v>0.89870269999999997</v>
      </c>
      <c r="P4853">
        <v>8.4069329999999998E-2</v>
      </c>
      <c r="Q4853">
        <v>-2.68328E-2</v>
      </c>
      <c r="R4853">
        <v>0.99609859999999995</v>
      </c>
      <c r="S4853">
        <v>0.3754883</v>
      </c>
      <c r="T4853">
        <v>-1.1128900000000001E-2</v>
      </c>
      <c r="U4853">
        <v>2.9786990000000002</v>
      </c>
      <c r="V4853">
        <v>-0.36036269999999998</v>
      </c>
      <c r="W4853">
        <v>-2.2139229999999999E-2</v>
      </c>
      <c r="X4853">
        <v>0.93254950000000003</v>
      </c>
      <c r="Y4853">
        <v>-0.32229570000000002</v>
      </c>
      <c r="Z4853">
        <v>1.575406E-2</v>
      </c>
      <c r="AA4853">
        <v>0.94650800000000002</v>
      </c>
      <c r="AB4853">
        <v>26</v>
      </c>
      <c r="AC4853">
        <v>27.7807</v>
      </c>
      <c r="AD4853">
        <v>-0.82608879999999996</v>
      </c>
      <c r="AE4853">
        <v>220.89659</v>
      </c>
      <c r="AF4853">
        <v>-71.827408958693695</v>
      </c>
      <c r="AG4853">
        <v>-0.82608879999999996</v>
      </c>
      <c r="AH4853">
        <v>210.728567762354</v>
      </c>
      <c r="AI4853">
        <v>90.212596801027701</v>
      </c>
      <c r="AJ4853">
        <v>108.821817278301</v>
      </c>
      <c r="AK4853">
        <v>222.63510139148801</v>
      </c>
      <c r="AL4853">
        <v>91.268588092895101</v>
      </c>
      <c r="AM4853">
        <v>111.12789907630599</v>
      </c>
      <c r="AN4853">
        <v>0.99999999550326601</v>
      </c>
    </row>
    <row r="4854" spans="1:40" x14ac:dyDescent="0.25">
      <c r="A4854" t="str">
        <f>"20190305135726479"</f>
        <v>20190305135726479</v>
      </c>
      <c r="B4854" t="str">
        <f>"1551765446466897"</f>
        <v>1551765446466897</v>
      </c>
      <c r="C4854" t="s">
        <v>40</v>
      </c>
      <c r="D4854">
        <v>4.3552530000000003</v>
      </c>
      <c r="E4854">
        <v>0.51185199999999997</v>
      </c>
      <c r="F4854" t="s">
        <v>70</v>
      </c>
      <c r="G4854">
        <v>-165.7072</v>
      </c>
      <c r="H4854">
        <v>0.46732810000000002</v>
      </c>
      <c r="I4854">
        <v>170.24619999999999</v>
      </c>
      <c r="J4854">
        <v>-191.42490000000001</v>
      </c>
      <c r="K4854">
        <v>1.1246480000000001</v>
      </c>
      <c r="L4854">
        <v>-52.389769999999999</v>
      </c>
      <c r="M4854">
        <v>0.41973250000000001</v>
      </c>
      <c r="N4854">
        <v>-1.932803E-2</v>
      </c>
      <c r="O4854">
        <v>0.90744199999999997</v>
      </c>
      <c r="P4854">
        <v>7.0182380000000003E-2</v>
      </c>
      <c r="Q4854">
        <v>-2.31338E-2</v>
      </c>
      <c r="R4854">
        <v>0.99726590000000004</v>
      </c>
      <c r="S4854">
        <v>0.3453522</v>
      </c>
      <c r="T4854">
        <v>-8.7970500000000007E-3</v>
      </c>
      <c r="U4854">
        <v>2.982361</v>
      </c>
      <c r="V4854">
        <v>-0.35453820000000003</v>
      </c>
      <c r="W4854">
        <v>-1.8124910000000001E-2</v>
      </c>
      <c r="X4854">
        <v>0.93486590000000003</v>
      </c>
      <c r="Y4854">
        <v>-0.31257079999999998</v>
      </c>
      <c r="Z4854">
        <v>1.63815E-2</v>
      </c>
      <c r="AA4854">
        <v>0.94975319999999996</v>
      </c>
      <c r="AB4854">
        <v>26</v>
      </c>
      <c r="AC4854">
        <v>25.717700000000001</v>
      </c>
      <c r="AD4854">
        <v>-0.65731989999999896</v>
      </c>
      <c r="AE4854">
        <v>222.63596999999999</v>
      </c>
      <c r="AF4854">
        <v>-70.1227297927161</v>
      </c>
      <c r="AG4854">
        <v>-0.65731989999999896</v>
      </c>
      <c r="AH4854">
        <v>212.86172476468499</v>
      </c>
      <c r="AI4854">
        <v>90.168046009165906</v>
      </c>
      <c r="AJ4854">
        <v>108.233358769593</v>
      </c>
      <c r="AK4854">
        <v>224.11546839258901</v>
      </c>
      <c r="AL4854">
        <v>91.038537663219799</v>
      </c>
      <c r="AM4854">
        <v>110.76871266057201</v>
      </c>
      <c r="AN4854">
        <v>1.00000004930227</v>
      </c>
    </row>
    <row r="4855" spans="1:40" x14ac:dyDescent="0.25">
      <c r="A4855" t="str">
        <f>"20190305135726503"</f>
        <v>20190305135726503</v>
      </c>
      <c r="B4855" t="str">
        <f>"1551765446497153"</f>
        <v>1551765446497153</v>
      </c>
      <c r="C4855" t="s">
        <v>40</v>
      </c>
      <c r="D4855">
        <v>4.2191999999999998</v>
      </c>
      <c r="E4855">
        <v>0.51294259999999903</v>
      </c>
      <c r="F4855" t="s">
        <v>70</v>
      </c>
      <c r="G4855">
        <v>-168.51740000000001</v>
      </c>
      <c r="H4855">
        <v>1.1178330000000001</v>
      </c>
      <c r="I4855">
        <v>172.69120000000001</v>
      </c>
      <c r="J4855">
        <v>-191.33420000000001</v>
      </c>
      <c r="K4855">
        <v>1.1245210000000001</v>
      </c>
      <c r="L4855">
        <v>-52.141330000000004</v>
      </c>
      <c r="M4855">
        <v>0.40003450000000002</v>
      </c>
      <c r="N4855">
        <v>-1.9277300000000001E-2</v>
      </c>
      <c r="O4855">
        <v>0.91629740000000004</v>
      </c>
      <c r="P4855">
        <v>5.4496900000000001E-2</v>
      </c>
      <c r="Q4855">
        <v>-2.103387E-2</v>
      </c>
      <c r="R4855">
        <v>0.99829239999999997</v>
      </c>
      <c r="S4855">
        <v>0.30398560000000002</v>
      </c>
      <c r="T4855" s="1">
        <v>-9.0003009999999999E-5</v>
      </c>
      <c r="U4855">
        <v>2.986847</v>
      </c>
      <c r="V4855">
        <v>-0.34913959999999999</v>
      </c>
      <c r="W4855">
        <v>-1.5718880000000001E-2</v>
      </c>
      <c r="X4855">
        <v>0.93693890000000002</v>
      </c>
      <c r="Y4855">
        <v>-0.30522100000000002</v>
      </c>
      <c r="Z4855">
        <v>1.8847470000000002E-2</v>
      </c>
      <c r="AA4855">
        <v>0.95209500000000002</v>
      </c>
      <c r="AB4855">
        <v>26</v>
      </c>
      <c r="AC4855">
        <v>22.816800000000001</v>
      </c>
      <c r="AD4855">
        <v>-6.6879999999998E-3</v>
      </c>
      <c r="AE4855">
        <v>224.83252999999999</v>
      </c>
      <c r="AF4855">
        <v>-69.0466198336551</v>
      </c>
      <c r="AG4855">
        <v>-6.6879999999998E-3</v>
      </c>
      <c r="AH4855">
        <v>215.18094039326201</v>
      </c>
      <c r="AI4855">
        <v>90.0016956445087</v>
      </c>
      <c r="AJ4855">
        <v>107.79024218882699</v>
      </c>
      <c r="AK4855">
        <v>225.987328989285</v>
      </c>
      <c r="AL4855">
        <v>90.900662554401606</v>
      </c>
      <c r="AM4855">
        <v>110.43733558287801</v>
      </c>
      <c r="AN4855">
        <v>1.00000002290491</v>
      </c>
    </row>
    <row r="4856" spans="1:40" x14ac:dyDescent="0.25">
      <c r="A4856" t="str">
        <f>"20190305135726527"</f>
        <v>20190305135726527</v>
      </c>
      <c r="B4856" t="str">
        <f>"1551765446516672"</f>
        <v>1551765446516672</v>
      </c>
      <c r="C4856" t="s">
        <v>40</v>
      </c>
      <c r="D4856">
        <v>4.2269750000000004</v>
      </c>
      <c r="E4856">
        <v>0.51389410000000002</v>
      </c>
      <c r="F4856" t="s">
        <v>70</v>
      </c>
      <c r="G4856">
        <v>-168.41120000000001</v>
      </c>
      <c r="H4856">
        <v>1.79276699999999</v>
      </c>
      <c r="I4856">
        <v>205.97569999999999</v>
      </c>
      <c r="J4856">
        <v>-191.24619999999999</v>
      </c>
      <c r="K4856">
        <v>1.12436</v>
      </c>
      <c r="L4856">
        <v>-51.883240000000001</v>
      </c>
      <c r="M4856">
        <v>0.37966719999999998</v>
      </c>
      <c r="N4856">
        <v>-1.92161E-2</v>
      </c>
      <c r="O4856">
        <v>0.92492350000000001</v>
      </c>
      <c r="P4856">
        <v>4.019474E-2</v>
      </c>
      <c r="Q4856">
        <v>-2.2073869999999999E-2</v>
      </c>
      <c r="R4856">
        <v>0.99894799999999995</v>
      </c>
      <c r="S4856">
        <v>0.2656097</v>
      </c>
      <c r="T4856">
        <v>7.743359E-3</v>
      </c>
      <c r="U4856">
        <v>2.9908139999999999</v>
      </c>
      <c r="V4856">
        <v>-0.34178639999999999</v>
      </c>
      <c r="W4856">
        <v>-1.6360820000000002E-2</v>
      </c>
      <c r="X4856">
        <v>0.9396352</v>
      </c>
      <c r="Y4856">
        <v>-0.29638819999999999</v>
      </c>
      <c r="Z4856">
        <v>2.1119840000000001E-2</v>
      </c>
      <c r="AA4856">
        <v>0.95483399999999996</v>
      </c>
      <c r="AB4856">
        <v>26</v>
      </c>
      <c r="AC4856">
        <v>22.834999999999901</v>
      </c>
      <c r="AD4856">
        <v>0.66840699999999897</v>
      </c>
      <c r="AE4856">
        <v>257.85894000000002</v>
      </c>
      <c r="AF4856">
        <v>-76.793624389833795</v>
      </c>
      <c r="AG4856">
        <v>0.66840699999999897</v>
      </c>
      <c r="AH4856">
        <v>247.21350264315399</v>
      </c>
      <c r="AI4856">
        <v>89.852059497124102</v>
      </c>
      <c r="AJ4856">
        <v>107.25672000920601</v>
      </c>
      <c r="AK4856">
        <v>258.867192598717</v>
      </c>
      <c r="AL4856">
        <v>90.9374477940639</v>
      </c>
      <c r="AM4856">
        <v>109.988538861927</v>
      </c>
      <c r="AN4856">
        <v>0.99999996436753502</v>
      </c>
    </row>
    <row r="4857" spans="1:40" x14ac:dyDescent="0.25">
      <c r="A4857" t="str">
        <f>"20190305135726550"</f>
        <v>20190305135726550</v>
      </c>
      <c r="B4857" t="str">
        <f>"1551765446546928"</f>
        <v>1551765446546928</v>
      </c>
      <c r="C4857" t="s">
        <v>40</v>
      </c>
      <c r="D4857">
        <v>4.1544740000000004</v>
      </c>
      <c r="E4857">
        <v>0.51469339999999997</v>
      </c>
      <c r="F4857" t="s">
        <v>69</v>
      </c>
      <c r="G4857">
        <v>-168.02629999999999</v>
      </c>
      <c r="H4857">
        <v>1.6571750000000001</v>
      </c>
      <c r="I4857">
        <v>249.3853</v>
      </c>
      <c r="J4857">
        <v>-191.1653</v>
      </c>
      <c r="K4857">
        <v>1.12417099999999</v>
      </c>
      <c r="L4857">
        <v>-51.628019999999999</v>
      </c>
      <c r="M4857">
        <v>0.35966350000000002</v>
      </c>
      <c r="N4857">
        <v>-1.9139050000000001E-2</v>
      </c>
      <c r="O4857">
        <v>0.93288579999999999</v>
      </c>
      <c r="P4857">
        <v>2.7879959999999999E-2</v>
      </c>
      <c r="Q4857">
        <v>-2.434824E-2</v>
      </c>
      <c r="R4857">
        <v>0.9993147</v>
      </c>
      <c r="S4857">
        <v>0.23075870000000001</v>
      </c>
      <c r="T4857">
        <v>5.2956339999999996E-3</v>
      </c>
      <c r="U4857">
        <v>2.9939879999999999</v>
      </c>
      <c r="V4857">
        <v>-0.33303280000000002</v>
      </c>
      <c r="W4857">
        <v>-1.818055E-2</v>
      </c>
      <c r="X4857">
        <v>0.94274000000000002</v>
      </c>
      <c r="Y4857">
        <v>-0.286933099999999</v>
      </c>
      <c r="Z4857">
        <v>2.0419090000000001E-2</v>
      </c>
      <c r="AA4857">
        <v>0.95773299999999995</v>
      </c>
      <c r="AB4857">
        <v>26</v>
      </c>
      <c r="AC4857">
        <v>23.138999999999999</v>
      </c>
      <c r="AD4857">
        <v>0.53300400000000003</v>
      </c>
      <c r="AE4857">
        <v>301.01332000000002</v>
      </c>
      <c r="AF4857">
        <v>-86.693066684428203</v>
      </c>
      <c r="AG4857">
        <v>0.53300400000000003</v>
      </c>
      <c r="AH4857">
        <v>289.18536640604702</v>
      </c>
      <c r="AI4857">
        <v>89.898844632697205</v>
      </c>
      <c r="AJ4857">
        <v>106.68787513558</v>
      </c>
      <c r="AK4857">
        <v>301.90089110139201</v>
      </c>
      <c r="AL4857">
        <v>91.041726132243497</v>
      </c>
      <c r="AM4857">
        <v>109.456302262531</v>
      </c>
      <c r="AN4857">
        <v>1.0000000429370699</v>
      </c>
    </row>
    <row r="4858" spans="1:40" x14ac:dyDescent="0.25">
      <c r="A4858" t="str">
        <f>"20190305135726593"</f>
        <v>20190305135726593</v>
      </c>
      <c r="B4858" t="str">
        <f>"1551765446586944"</f>
        <v>1551765446586944</v>
      </c>
      <c r="C4858" t="s">
        <v>40</v>
      </c>
      <c r="D4858">
        <v>4.139996</v>
      </c>
      <c r="E4858">
        <v>0.51659750000000004</v>
      </c>
      <c r="F4858" t="s">
        <v>51</v>
      </c>
      <c r="G4858">
        <v>-167.81360000000001</v>
      </c>
      <c r="H4858">
        <v>0.95512680000000005</v>
      </c>
      <c r="I4858">
        <v>297.38529999999997</v>
      </c>
      <c r="J4858">
        <v>-191.03469999999999</v>
      </c>
      <c r="K4858">
        <v>1.1238140000000001</v>
      </c>
      <c r="L4858">
        <v>-51.168059999999997</v>
      </c>
      <c r="M4858">
        <v>0.32411040000000002</v>
      </c>
      <c r="N4858">
        <v>-1.8955670000000001E-2</v>
      </c>
      <c r="O4858">
        <v>0.94582929999999998</v>
      </c>
      <c r="P4858">
        <v>6.4632350000000003E-3</v>
      </c>
      <c r="Q4858">
        <v>-1.969363E-2</v>
      </c>
      <c r="R4858">
        <v>0.99978520000000004</v>
      </c>
      <c r="S4858">
        <v>0.2004852</v>
      </c>
      <c r="T4858">
        <v>-1.4506580000000001E-3</v>
      </c>
      <c r="U4858">
        <v>2.996429</v>
      </c>
      <c r="V4858">
        <v>-0.31773410000000002</v>
      </c>
      <c r="W4858">
        <v>-1.273905E-2</v>
      </c>
      <c r="X4858">
        <v>0.94809429999999995</v>
      </c>
      <c r="Y4858">
        <v>-0.26025530000000002</v>
      </c>
      <c r="Z4858">
        <v>1.830967E-2</v>
      </c>
      <c r="AA4858">
        <v>0.96536619999999995</v>
      </c>
      <c r="AB4858">
        <v>26</v>
      </c>
      <c r="AC4858">
        <v>23.2210999999999</v>
      </c>
      <c r="AD4858">
        <v>-0.16868719999999901</v>
      </c>
      <c r="AE4858">
        <v>348.55336</v>
      </c>
      <c r="AF4858">
        <v>-91.022908503766899</v>
      </c>
      <c r="AG4858">
        <v>-0.16868719999999901</v>
      </c>
      <c r="AH4858">
        <v>337.25870999766801</v>
      </c>
      <c r="AI4858">
        <v>90.0276677536893</v>
      </c>
      <c r="AJ4858">
        <v>105.103725246582</v>
      </c>
      <c r="AK4858">
        <v>349.32597355070499</v>
      </c>
      <c r="AL4858">
        <v>90.729913527218798</v>
      </c>
      <c r="AM4858">
        <v>108.527505753252</v>
      </c>
      <c r="AN4858">
        <v>1.0000000216950999</v>
      </c>
    </row>
    <row r="4859" spans="1:40" x14ac:dyDescent="0.25">
      <c r="A4859" t="str">
        <f>"20190305135726613"</f>
        <v>20190305135726613</v>
      </c>
      <c r="B4859" t="str">
        <f>"1551765446607441"</f>
        <v>1551765446607441</v>
      </c>
      <c r="C4859" t="s">
        <v>40</v>
      </c>
      <c r="D4859">
        <v>4.2401660000000003</v>
      </c>
      <c r="E4859">
        <v>0.51738879999999998</v>
      </c>
      <c r="F4859" t="s">
        <v>49</v>
      </c>
      <c r="G4859">
        <v>-169.16309999999999</v>
      </c>
      <c r="H4859">
        <v>3.005093</v>
      </c>
      <c r="I4859">
        <v>381.38529999999997</v>
      </c>
      <c r="J4859">
        <v>-190.97749999999999</v>
      </c>
      <c r="K4859">
        <v>1.1236330000000001</v>
      </c>
      <c r="L4859">
        <v>-50.943910000000002</v>
      </c>
      <c r="M4859">
        <v>0.30701850000000003</v>
      </c>
      <c r="N4859">
        <v>-1.8858639999999999E-2</v>
      </c>
      <c r="O4859">
        <v>0.95151669999999999</v>
      </c>
      <c r="P4859">
        <v>-2.1607610000000002E-3</v>
      </c>
      <c r="Q4859">
        <v>-1.615776E-2</v>
      </c>
      <c r="R4859">
        <v>0.99986710000000001</v>
      </c>
      <c r="S4859">
        <v>0.15168760000000001</v>
      </c>
      <c r="T4859">
        <v>1.3047929999999999E-2</v>
      </c>
      <c r="U4859">
        <v>2.999908</v>
      </c>
      <c r="V4859">
        <v>-0.3089692</v>
      </c>
      <c r="W4859">
        <v>-8.7775930000000002E-3</v>
      </c>
      <c r="X4859">
        <v>0.95103150000000003</v>
      </c>
      <c r="Y4859">
        <v>-0.25859989999999999</v>
      </c>
      <c r="Z4859">
        <v>2.2666950000000002E-2</v>
      </c>
      <c r="AA4859">
        <v>0.96571859999999998</v>
      </c>
      <c r="AB4859">
        <v>26</v>
      </c>
      <c r="AC4859">
        <v>21.814399999999999</v>
      </c>
      <c r="AD4859">
        <v>1.8814599999999999</v>
      </c>
      <c r="AE4859">
        <v>432.32920999999999</v>
      </c>
      <c r="AF4859">
        <v>-111.994099245032</v>
      </c>
      <c r="AG4859">
        <v>1.8814599999999999</v>
      </c>
      <c r="AH4859">
        <v>418.13234270745698</v>
      </c>
      <c r="AI4859">
        <v>89.750967310387196</v>
      </c>
      <c r="AJ4859">
        <v>104.994358613727</v>
      </c>
      <c r="AK4859">
        <v>432.87512538313399</v>
      </c>
      <c r="AL4859">
        <v>90.502925509840196</v>
      </c>
      <c r="AM4859">
        <v>107.997838451048</v>
      </c>
      <c r="AN4859">
        <v>0.99999996333988095</v>
      </c>
    </row>
    <row r="4860" spans="1:40" x14ac:dyDescent="0.25">
      <c r="A4860" t="str">
        <f>"20190305135726658"</f>
        <v>20190305135726658</v>
      </c>
      <c r="B4860" t="str">
        <f>"1551765446647456"</f>
        <v>1551765446647456</v>
      </c>
      <c r="C4860" t="s">
        <v>40</v>
      </c>
      <c r="D4860">
        <v>4.191065</v>
      </c>
      <c r="E4860">
        <v>0.53552369999999905</v>
      </c>
      <c r="F4860" t="s">
        <v>47</v>
      </c>
      <c r="G4860">
        <v>0</v>
      </c>
      <c r="H4860">
        <v>0</v>
      </c>
      <c r="I4860">
        <v>0</v>
      </c>
      <c r="J4860">
        <v>-190.86760000000001</v>
      </c>
      <c r="K4860">
        <v>1.1231910000000001</v>
      </c>
      <c r="L4860">
        <v>-50.45682</v>
      </c>
      <c r="M4860">
        <v>0.27053199999999999</v>
      </c>
      <c r="N4860">
        <v>-1.864217E-2</v>
      </c>
      <c r="O4860">
        <v>0.96253049999999996</v>
      </c>
      <c r="P4860">
        <v>-1.8668819999999999E-2</v>
      </c>
      <c r="Q4860">
        <v>-9.4747249999999998E-3</v>
      </c>
      <c r="R4860">
        <v>0.99978080000000003</v>
      </c>
      <c r="S4860">
        <v>0.13221739999999901</v>
      </c>
      <c r="T4860">
        <v>2.344096E-2</v>
      </c>
      <c r="U4860">
        <v>3.0010680000000001</v>
      </c>
      <c r="V4860">
        <v>-0.28861140000000002</v>
      </c>
      <c r="W4860">
        <v>-1.14291E-3</v>
      </c>
      <c r="X4860">
        <v>0.95744560000000001</v>
      </c>
      <c r="Y4860">
        <v>-0.22793679999999999</v>
      </c>
      <c r="Z4860">
        <v>2.579567E-2</v>
      </c>
      <c r="AA4860">
        <v>0.97333409999999998</v>
      </c>
      <c r="AB4860">
        <v>26</v>
      </c>
      <c r="AC4860">
        <v>0.13221739999999901</v>
      </c>
      <c r="AD4860">
        <v>2.344096E-2</v>
      </c>
      <c r="AE4860">
        <v>3.0010680000000001</v>
      </c>
      <c r="AF4860">
        <v>-0.68469893063426901</v>
      </c>
      <c r="AG4860">
        <v>2.344096E-2</v>
      </c>
      <c r="AH4860">
        <v>2.9247186358744401</v>
      </c>
      <c r="AI4860">
        <v>89.552885510518905</v>
      </c>
      <c r="AJ4860">
        <v>103.17608803884001</v>
      </c>
      <c r="AK4860">
        <v>3.0038876815301601</v>
      </c>
      <c r="AL4860">
        <v>90.065483936127194</v>
      </c>
      <c r="AM4860">
        <v>106.774852760211</v>
      </c>
      <c r="AN4860">
        <v>0.99999996170629302</v>
      </c>
    </row>
    <row r="4861" spans="1:40" x14ac:dyDescent="0.25">
      <c r="A4861" t="str">
        <f>"20190305135726681"</f>
        <v>20190305135726681</v>
      </c>
      <c r="B4861" t="str">
        <f>"1551765446677713"</f>
        <v>1551765446677713</v>
      </c>
      <c r="C4861" t="s">
        <v>40</v>
      </c>
      <c r="D4861">
        <v>4.1976060000000004</v>
      </c>
      <c r="E4861">
        <v>0.53686369999999894</v>
      </c>
      <c r="F4861" t="s">
        <v>69</v>
      </c>
      <c r="G4861">
        <v>-168.1841</v>
      </c>
      <c r="H4861">
        <v>3.2424279999999999</v>
      </c>
      <c r="I4861">
        <v>249.3853</v>
      </c>
      <c r="J4861">
        <v>-190.8167</v>
      </c>
      <c r="K4861">
        <v>1.1229</v>
      </c>
      <c r="L4861">
        <v>-50.198700000000002</v>
      </c>
      <c r="M4861">
        <v>0.25166119999999997</v>
      </c>
      <c r="N4861">
        <v>-1.8516350000000001E-2</v>
      </c>
      <c r="O4861">
        <v>0.96763829999999995</v>
      </c>
      <c r="P4861">
        <v>-2.9587519999999999E-2</v>
      </c>
      <c r="Q4861">
        <v>-6.3938669999999897E-3</v>
      </c>
      <c r="R4861">
        <v>0.99954180000000004</v>
      </c>
      <c r="S4861">
        <v>0.22734070000000001</v>
      </c>
      <c r="T4861">
        <v>2.1240120000000001E-2</v>
      </c>
      <c r="U4861">
        <v>3.005096</v>
      </c>
      <c r="V4861">
        <v>-0.28044570000000002</v>
      </c>
      <c r="W4861">
        <v>2.3363260000000001E-3</v>
      </c>
      <c r="X4861">
        <v>0.95986709999999997</v>
      </c>
      <c r="Y4861">
        <v>-0.17798520000000001</v>
      </c>
      <c r="Z4861">
        <v>2.4998389999999999E-2</v>
      </c>
      <c r="AA4861">
        <v>0.98371560000000002</v>
      </c>
      <c r="AB4861">
        <v>26</v>
      </c>
      <c r="AC4861">
        <v>22.6326</v>
      </c>
      <c r="AD4861">
        <v>2.1195279999999999</v>
      </c>
      <c r="AE4861">
        <v>299.584</v>
      </c>
      <c r="AF4861">
        <v>-53.500005739912901</v>
      </c>
      <c r="AG4861">
        <v>2.1195279999999999</v>
      </c>
      <c r="AH4861">
        <v>295.62065708847501</v>
      </c>
      <c r="AI4861">
        <v>89.595776293161805</v>
      </c>
      <c r="AJ4861">
        <v>100.25808548078101</v>
      </c>
      <c r="AK4861">
        <v>300.430218038291</v>
      </c>
      <c r="AL4861">
        <v>89.866138265462297</v>
      </c>
      <c r="AM4861">
        <v>106.28685213100199</v>
      </c>
      <c r="AN4861">
        <v>1.0000000493650301</v>
      </c>
    </row>
    <row r="4862" spans="1:40" x14ac:dyDescent="0.25">
      <c r="A4862" t="str">
        <f>"20190305135726704"</f>
        <v>20190305135726704</v>
      </c>
      <c r="B4862" t="str">
        <f>"1551765446697232"</f>
        <v>1551765446697232</v>
      </c>
      <c r="C4862" t="s">
        <v>40</v>
      </c>
      <c r="D4862">
        <v>4.1896550000000001</v>
      </c>
      <c r="E4862">
        <v>0.53629629999999995</v>
      </c>
      <c r="F4862" t="s">
        <v>51</v>
      </c>
      <c r="G4862">
        <v>-167.13069999999999</v>
      </c>
      <c r="H4862">
        <v>4.8301669999999897</v>
      </c>
      <c r="I4862">
        <v>297.38529999999997</v>
      </c>
      <c r="J4862">
        <v>-190.77209999999999</v>
      </c>
      <c r="K4862">
        <v>1.1225780000000001</v>
      </c>
      <c r="L4862">
        <v>-49.949950000000001</v>
      </c>
      <c r="M4862">
        <v>0.2338577</v>
      </c>
      <c r="N4862">
        <v>-1.8385559999999999E-2</v>
      </c>
      <c r="O4862">
        <v>0.97209699999999999</v>
      </c>
      <c r="P4862">
        <v>-3.803691E-2</v>
      </c>
      <c r="Q4862">
        <v>-8.4441429999999994E-3</v>
      </c>
      <c r="R4862">
        <v>0.99924060000000003</v>
      </c>
      <c r="S4862">
        <v>0.2049561</v>
      </c>
      <c r="T4862">
        <v>3.2079820000000002E-2</v>
      </c>
      <c r="U4862">
        <v>3.00766</v>
      </c>
      <c r="V4862">
        <v>-0.2708583</v>
      </c>
      <c r="W4862">
        <v>7.3272409999999995E-4</v>
      </c>
      <c r="X4862">
        <v>0.96261890000000006</v>
      </c>
      <c r="Y4862">
        <v>-0.16727120000000001</v>
      </c>
      <c r="Z4862">
        <v>2.8370989999999999E-2</v>
      </c>
      <c r="AA4862">
        <v>0.98550260000000001</v>
      </c>
      <c r="AB4862">
        <v>26</v>
      </c>
      <c r="AC4862">
        <v>23.641400000000001</v>
      </c>
      <c r="AD4862">
        <v>3.707589</v>
      </c>
      <c r="AE4862">
        <v>347.33524999999997</v>
      </c>
      <c r="AF4862">
        <v>-58.248528219218301</v>
      </c>
      <c r="AG4862">
        <v>3.707589</v>
      </c>
      <c r="AH4862">
        <v>343.19136482564198</v>
      </c>
      <c r="AI4862">
        <v>89.389768671372707</v>
      </c>
      <c r="AJ4862">
        <v>99.632791511686904</v>
      </c>
      <c r="AK4862">
        <v>348.11916084407801</v>
      </c>
      <c r="AL4862">
        <v>89.958017995713007</v>
      </c>
      <c r="AM4862">
        <v>105.71535219238601</v>
      </c>
      <c r="AN4862">
        <v>0.999999951100352</v>
      </c>
    </row>
    <row r="4863" spans="1:40" x14ac:dyDescent="0.25">
      <c r="A4863" t="str">
        <f>"20190305135726725"</f>
        <v>20190305135726725</v>
      </c>
      <c r="B4863" t="str">
        <f>"1551765446717729"</f>
        <v>1551765446717729</v>
      </c>
      <c r="C4863" t="s">
        <v>40</v>
      </c>
      <c r="D4863">
        <v>4.1855500000000001</v>
      </c>
      <c r="E4863">
        <v>0.53738299999999894</v>
      </c>
      <c r="F4863" t="s">
        <v>95</v>
      </c>
      <c r="G4863">
        <v>-168.40090000000001</v>
      </c>
      <c r="H4863">
        <v>2.5537939999999999</v>
      </c>
      <c r="I4863">
        <v>334.70429999999999</v>
      </c>
      <c r="J4863">
        <v>-190.73330000000001</v>
      </c>
      <c r="K4863">
        <v>1.1221669999999999</v>
      </c>
      <c r="L4863">
        <v>-49.710940000000001</v>
      </c>
      <c r="M4863">
        <v>0.2172511</v>
      </c>
      <c r="N4863">
        <v>-1.8247300000000001E-2</v>
      </c>
      <c r="O4863">
        <v>0.97594519999999996</v>
      </c>
      <c r="P4863">
        <v>-4.3306450000000003E-2</v>
      </c>
      <c r="Q4863">
        <v>-1.0723460000000001E-2</v>
      </c>
      <c r="R4863">
        <v>0.99900429999999996</v>
      </c>
      <c r="S4863">
        <v>0.17500309999999999</v>
      </c>
      <c r="T4863">
        <v>1.1196019999999999E-2</v>
      </c>
      <c r="U4863">
        <v>3.0090330000000001</v>
      </c>
      <c r="V4863">
        <v>-0.25943260000000001</v>
      </c>
      <c r="W4863">
        <v>-1.0194030000000001E-3</v>
      </c>
      <c r="X4863">
        <v>0.96576059999999997</v>
      </c>
      <c r="Y4863">
        <v>-0.16023959999999901</v>
      </c>
      <c r="Z4863">
        <v>2.169103E-2</v>
      </c>
      <c r="AA4863">
        <v>0.98683980000000004</v>
      </c>
      <c r="AB4863">
        <v>26</v>
      </c>
      <c r="AC4863">
        <v>22.3324</v>
      </c>
      <c r="AD4863">
        <v>1.431627</v>
      </c>
      <c r="AE4863">
        <v>384.41523999999998</v>
      </c>
      <c r="AF4863">
        <v>-61.728858470940899</v>
      </c>
      <c r="AG4863">
        <v>1.431627</v>
      </c>
      <c r="AH4863">
        <v>380.07796810542402</v>
      </c>
      <c r="AI4863">
        <v>89.786978083734596</v>
      </c>
      <c r="AJ4863">
        <v>99.224920329354205</v>
      </c>
      <c r="AK4863">
        <v>385.06072685115601</v>
      </c>
      <c r="AL4863">
        <v>90.0584075040301</v>
      </c>
      <c r="AM4863">
        <v>105.036406463229</v>
      </c>
      <c r="AN4863">
        <v>0.99999992481879496</v>
      </c>
    </row>
    <row r="4864" spans="1:40" x14ac:dyDescent="0.25">
      <c r="A4864" t="str">
        <f>"20190305135726752"</f>
        <v>20190305135726752</v>
      </c>
      <c r="B4864" t="str">
        <f>"1551765446737249"</f>
        <v>1551765446737249</v>
      </c>
      <c r="C4864" t="s">
        <v>40</v>
      </c>
      <c r="D4864">
        <v>4.1855710000000004</v>
      </c>
      <c r="E4864">
        <v>0.53830339999999999</v>
      </c>
      <c r="F4864" t="s">
        <v>95</v>
      </c>
      <c r="G4864">
        <v>-168.98269999999999</v>
      </c>
      <c r="H4864">
        <v>2.1531259999999999</v>
      </c>
      <c r="I4864">
        <v>340.60079999999999</v>
      </c>
      <c r="J4864">
        <v>-190.69200000000001</v>
      </c>
      <c r="K4864">
        <v>1.121583</v>
      </c>
      <c r="L4864">
        <v>-49.427860000000003</v>
      </c>
      <c r="M4864">
        <v>0.1983771</v>
      </c>
      <c r="N4864">
        <v>-1.8058129999999999E-2</v>
      </c>
      <c r="O4864">
        <v>0.97995940000000004</v>
      </c>
      <c r="P4864">
        <v>-5.0278089999999998E-2</v>
      </c>
      <c r="Q4864">
        <v>-1.092358E-2</v>
      </c>
      <c r="R4864">
        <v>0.99867550000000005</v>
      </c>
      <c r="S4864">
        <v>0.16775509999999999</v>
      </c>
      <c r="T4864">
        <v>7.9514979999999996E-3</v>
      </c>
      <c r="U4864">
        <v>3.010345</v>
      </c>
      <c r="V4864">
        <v>-0.2475118</v>
      </c>
      <c r="W4864">
        <v>-6.3391870000000005E-4</v>
      </c>
      <c r="X4864">
        <v>0.96888459999999998</v>
      </c>
      <c r="Y4864">
        <v>-0.1435602</v>
      </c>
      <c r="Z4864">
        <v>2.050428E-2</v>
      </c>
      <c r="AA4864">
        <v>0.98942909999999995</v>
      </c>
      <c r="AB4864">
        <v>26</v>
      </c>
      <c r="AC4864">
        <v>21.709299999999999</v>
      </c>
      <c r="AD4864">
        <v>1.0315430000000001</v>
      </c>
      <c r="AE4864">
        <v>390.02866</v>
      </c>
      <c r="AF4864">
        <v>-56.107279749547502</v>
      </c>
      <c r="AG4864">
        <v>1.0315430000000001</v>
      </c>
      <c r="AH4864">
        <v>386.57922130829797</v>
      </c>
      <c r="AI4864">
        <v>89.848698317335504</v>
      </c>
      <c r="AJ4864">
        <v>98.258123053983397</v>
      </c>
      <c r="AK4864">
        <v>390.63100909833599</v>
      </c>
      <c r="AL4864">
        <v>90.036320871019299</v>
      </c>
      <c r="AM4864">
        <v>104.330325993435</v>
      </c>
      <c r="AN4864">
        <v>0.99999993055465597</v>
      </c>
    </row>
    <row r="4865" spans="1:40" x14ac:dyDescent="0.25">
      <c r="A4865" t="str">
        <f>"20190305135726795"</f>
        <v>20190305135726795</v>
      </c>
      <c r="B4865" t="str">
        <f>"1551765446787025"</f>
        <v>1551765446787025</v>
      </c>
      <c r="C4865" t="s">
        <v>40</v>
      </c>
      <c r="D4865">
        <v>4.2039970000000002</v>
      </c>
      <c r="E4865">
        <v>0.53968700000000003</v>
      </c>
      <c r="F4865" t="s">
        <v>49</v>
      </c>
      <c r="G4865">
        <v>-168.6653</v>
      </c>
      <c r="H4865">
        <v>2.9321269999999999</v>
      </c>
      <c r="I4865">
        <v>381.38529999999997</v>
      </c>
      <c r="J4865">
        <v>-190.63220000000001</v>
      </c>
      <c r="K4865">
        <v>1.120401</v>
      </c>
      <c r="L4865">
        <v>-48.94641</v>
      </c>
      <c r="M4865">
        <v>0.1686291</v>
      </c>
      <c r="N4865">
        <v>-1.768672E-2</v>
      </c>
      <c r="O4865">
        <v>0.98552090000000003</v>
      </c>
      <c r="P4865">
        <v>-6.1695140000000002E-2</v>
      </c>
      <c r="Q4865">
        <v>-6.8570200000000001E-3</v>
      </c>
      <c r="R4865">
        <v>0.9980715</v>
      </c>
      <c r="S4865">
        <v>0.15399170000000001</v>
      </c>
      <c r="T4865">
        <v>1.265836E-2</v>
      </c>
      <c r="U4865">
        <v>3.0118710000000002</v>
      </c>
      <c r="V4865">
        <v>-0.22933390000000001</v>
      </c>
      <c r="W4865">
        <v>4.3571490000000003E-3</v>
      </c>
      <c r="X4865">
        <v>0.97333809999999998</v>
      </c>
      <c r="Y4865">
        <v>-0.1181035</v>
      </c>
      <c r="Z4865">
        <v>2.1704569999999999E-2</v>
      </c>
      <c r="AA4865">
        <v>0.99276410000000004</v>
      </c>
      <c r="AB4865">
        <v>26</v>
      </c>
      <c r="AC4865">
        <v>21.966899999999999</v>
      </c>
      <c r="AD4865">
        <v>1.8117259999999999</v>
      </c>
      <c r="AE4865">
        <v>430.33170999999999</v>
      </c>
      <c r="AF4865">
        <v>-50.924674555010903</v>
      </c>
      <c r="AG4865">
        <v>1.8117259999999999</v>
      </c>
      <c r="AH4865">
        <v>427.86450930227898</v>
      </c>
      <c r="AI4865">
        <v>89.759091665389604</v>
      </c>
      <c r="AJ4865">
        <v>96.787446004797204</v>
      </c>
      <c r="AK4865">
        <v>430.88820261189898</v>
      </c>
      <c r="AL4865">
        <v>89.750352971576305</v>
      </c>
      <c r="AM4865">
        <v>103.257986448406</v>
      </c>
      <c r="AN4865">
        <v>1.00000003967411</v>
      </c>
    </row>
    <row r="4866" spans="1:40" x14ac:dyDescent="0.25">
      <c r="A4866" t="str">
        <f>"20190305135726816"</f>
        <v>20190305135726816</v>
      </c>
      <c r="B4866" t="str">
        <f>"1551765446807520"</f>
        <v>1551765446807520</v>
      </c>
      <c r="C4866" t="s">
        <v>40</v>
      </c>
      <c r="D4866">
        <v>4.206016</v>
      </c>
      <c r="E4866">
        <v>0.54008009999999995</v>
      </c>
      <c r="F4866" t="s">
        <v>47</v>
      </c>
      <c r="G4866">
        <v>0</v>
      </c>
      <c r="H4866">
        <v>0</v>
      </c>
      <c r="I4866">
        <v>0</v>
      </c>
      <c r="J4866">
        <v>-190.607</v>
      </c>
      <c r="K4866">
        <v>1.1197979999999901</v>
      </c>
      <c r="L4866">
        <v>-48.71002</v>
      </c>
      <c r="M4866">
        <v>0.15510499999999999</v>
      </c>
      <c r="N4866">
        <v>-1.7505719999999999E-2</v>
      </c>
      <c r="O4866">
        <v>0.98774289999999998</v>
      </c>
      <c r="P4866">
        <v>-6.4793039999999996E-2</v>
      </c>
      <c r="Q4866">
        <v>-6.8301859999999898E-3</v>
      </c>
      <c r="R4866">
        <v>0.99787530000000002</v>
      </c>
      <c r="S4866">
        <v>0.1302643</v>
      </c>
      <c r="T4866">
        <v>3.3040170000000001E-2</v>
      </c>
      <c r="U4866">
        <v>3.0140690000000001</v>
      </c>
      <c r="V4866">
        <v>-0.21899440000000001</v>
      </c>
      <c r="W4866">
        <v>4.8454250000000004E-3</v>
      </c>
      <c r="X4866">
        <v>0.97571410000000003</v>
      </c>
      <c r="Y4866">
        <v>-0.1123392</v>
      </c>
      <c r="Z4866">
        <v>2.816693E-2</v>
      </c>
      <c r="AA4866">
        <v>0.9932706</v>
      </c>
      <c r="AB4866">
        <v>25</v>
      </c>
      <c r="AC4866">
        <v>0.1302643</v>
      </c>
      <c r="AD4866">
        <v>3.3040170000000001E-2</v>
      </c>
      <c r="AE4866">
        <v>3.0140690000000001</v>
      </c>
      <c r="AF4866">
        <v>-0.33884081492095502</v>
      </c>
      <c r="AG4866">
        <v>3.3040170000000001E-2</v>
      </c>
      <c r="AH4866">
        <v>2.99742968455157</v>
      </c>
      <c r="AI4866">
        <v>89.372460289473395</v>
      </c>
      <c r="AJ4866">
        <v>96.449552398711305</v>
      </c>
      <c r="AK4866">
        <v>3.0167017526631401</v>
      </c>
      <c r="AL4866">
        <v>89.722376515406097</v>
      </c>
      <c r="AM4866">
        <v>102.650126911474</v>
      </c>
      <c r="AN4866">
        <v>1.0000000151568</v>
      </c>
    </row>
    <row r="4867" spans="1:40" x14ac:dyDescent="0.25">
      <c r="A4867" t="str">
        <f>"20190305135726836"</f>
        <v>20190305135726836</v>
      </c>
      <c r="B4867" t="str">
        <f>"1551765446827042"</f>
        <v>1551765446827042</v>
      </c>
      <c r="C4867" t="s">
        <v>40</v>
      </c>
      <c r="D4867">
        <v>4.2325439999999999</v>
      </c>
      <c r="E4867">
        <v>0.54048759999999996</v>
      </c>
      <c r="F4867" t="s">
        <v>47</v>
      </c>
      <c r="G4867">
        <v>0</v>
      </c>
      <c r="H4867">
        <v>0</v>
      </c>
      <c r="I4867">
        <v>0</v>
      </c>
      <c r="J4867">
        <v>-190.58510000000001</v>
      </c>
      <c r="K4867">
        <v>1.1192530000000001</v>
      </c>
      <c r="L4867">
        <v>-48.48395</v>
      </c>
      <c r="M4867">
        <v>0.1428751</v>
      </c>
      <c r="N4867">
        <v>-1.7335260000000002E-2</v>
      </c>
      <c r="O4867">
        <v>0.98958889999999999</v>
      </c>
      <c r="P4867">
        <v>-6.6194600000000006E-2</v>
      </c>
      <c r="Q4867">
        <v>-4.457407E-3</v>
      </c>
      <c r="R4867">
        <v>0.99779680000000004</v>
      </c>
      <c r="S4867">
        <v>0.1239471</v>
      </c>
      <c r="T4867">
        <v>3.4400699999999902E-2</v>
      </c>
      <c r="U4867">
        <v>3.0146480000000002</v>
      </c>
      <c r="V4867">
        <v>-0.20833199999999999</v>
      </c>
      <c r="W4867">
        <v>7.6420200000000002E-3</v>
      </c>
      <c r="X4867">
        <v>0.97802829999999996</v>
      </c>
      <c r="Y4867">
        <v>-0.10212889999999999</v>
      </c>
      <c r="Z4867">
        <v>2.848177E-2</v>
      </c>
      <c r="AA4867">
        <v>0.99436340000000001</v>
      </c>
      <c r="AB4867">
        <v>25</v>
      </c>
      <c r="AC4867">
        <v>0.1239471</v>
      </c>
      <c r="AD4867">
        <v>3.4400699999999902E-2</v>
      </c>
      <c r="AE4867">
        <v>3.0146480000000002</v>
      </c>
      <c r="AF4867">
        <v>-0.30806771169710701</v>
      </c>
      <c r="AG4867">
        <v>3.4400699999999902E-2</v>
      </c>
      <c r="AH4867">
        <v>3.0010320520820501</v>
      </c>
      <c r="AI4867">
        <v>89.346682685505996</v>
      </c>
      <c r="AJ4867">
        <v>95.861106269834295</v>
      </c>
      <c r="AK4867">
        <v>3.0169989228991398</v>
      </c>
      <c r="AL4867">
        <v>89.5621402403536</v>
      </c>
      <c r="AM4867">
        <v>102.024977589945</v>
      </c>
      <c r="AN4867">
        <v>0.99999998914728505</v>
      </c>
    </row>
    <row r="4868" spans="1:40" x14ac:dyDescent="0.25">
      <c r="A4868" t="str">
        <f>"20190305135726860"</f>
        <v>20190305135726860</v>
      </c>
      <c r="B4868" t="str">
        <f>"1551765446847537"</f>
        <v>1551765446847537</v>
      </c>
      <c r="C4868" t="s">
        <v>40</v>
      </c>
      <c r="D4868">
        <v>4.194197</v>
      </c>
      <c r="E4868">
        <v>0.54095260000000001</v>
      </c>
      <c r="F4868" t="s">
        <v>96</v>
      </c>
      <c r="G4868">
        <v>-172.69149999999999</v>
      </c>
      <c r="H4868">
        <v>7.1560399999999902</v>
      </c>
      <c r="I4868">
        <v>390.11860000000001</v>
      </c>
      <c r="J4868">
        <v>-190.5633</v>
      </c>
      <c r="K4868">
        <v>1.1185830000000001</v>
      </c>
      <c r="L4868">
        <v>-48.23413</v>
      </c>
      <c r="M4868">
        <v>0.13039580000000001</v>
      </c>
      <c r="N4868">
        <v>-1.7123679999999999E-2</v>
      </c>
      <c r="O4868">
        <v>0.99131420000000003</v>
      </c>
      <c r="P4868">
        <v>-6.90215E-2</v>
      </c>
      <c r="Q4868">
        <v>1.6079950000000001E-3</v>
      </c>
      <c r="R4868">
        <v>0.9976138</v>
      </c>
      <c r="S4868">
        <v>0.1230011</v>
      </c>
      <c r="T4868">
        <v>4.1496869999999998E-2</v>
      </c>
      <c r="U4868">
        <v>3.0149539999999999</v>
      </c>
      <c r="V4868">
        <v>-0.1988876</v>
      </c>
      <c r="W4868">
        <v>1.4086080000000001E-2</v>
      </c>
      <c r="X4868">
        <v>0.97992109999999999</v>
      </c>
      <c r="Y4868">
        <v>-8.9908199999999994E-2</v>
      </c>
      <c r="Z4868">
        <v>3.0627149999999999E-2</v>
      </c>
      <c r="AA4868">
        <v>0.995479</v>
      </c>
      <c r="AB4868">
        <v>25</v>
      </c>
      <c r="AC4868">
        <v>17.8718</v>
      </c>
      <c r="AD4868">
        <v>6.0374569999999901</v>
      </c>
      <c r="AE4868">
        <v>438.35273000000001</v>
      </c>
      <c r="AF4868">
        <v>-39.441097803098799</v>
      </c>
      <c r="AG4868">
        <v>6.0374569999999901</v>
      </c>
      <c r="AH4868">
        <v>436.85699704589302</v>
      </c>
      <c r="AI4868">
        <v>89.211417498529798</v>
      </c>
      <c r="AJ4868">
        <v>95.158892484697404</v>
      </c>
      <c r="AK4868">
        <v>438.67537764375999</v>
      </c>
      <c r="AL4868">
        <v>89.192900397275693</v>
      </c>
      <c r="AM4868">
        <v>101.47306986336299</v>
      </c>
      <c r="AN4868">
        <v>1.00000002865436</v>
      </c>
    </row>
    <row r="4869" spans="1:40" x14ac:dyDescent="0.25">
      <c r="A4869" t="str">
        <f>"20190305135726883"</f>
        <v>20190305135726883</v>
      </c>
      <c r="B4869" t="str">
        <f>"1551765446877793"</f>
        <v>1551765446877793</v>
      </c>
      <c r="C4869" t="s">
        <v>40</v>
      </c>
      <c r="D4869">
        <v>4.1595230000000001</v>
      </c>
      <c r="E4869">
        <v>0.54143050000000004</v>
      </c>
      <c r="F4869" t="s">
        <v>47</v>
      </c>
      <c r="G4869">
        <v>0</v>
      </c>
      <c r="H4869">
        <v>0</v>
      </c>
      <c r="I4869">
        <v>0</v>
      </c>
      <c r="J4869">
        <v>-190.54220000000001</v>
      </c>
      <c r="K4869">
        <v>1.1176839999999999</v>
      </c>
      <c r="L4869">
        <v>-47.967709999999997</v>
      </c>
      <c r="M4869">
        <v>0.1185233</v>
      </c>
      <c r="N4869">
        <v>-1.6835429999999998E-2</v>
      </c>
      <c r="O4869">
        <v>0.99280849999999998</v>
      </c>
      <c r="P4869">
        <v>-7.2744039999999996E-2</v>
      </c>
      <c r="Q4869">
        <v>2.266414E-3</v>
      </c>
      <c r="R4869">
        <v>0.99734809999999996</v>
      </c>
      <c r="S4869">
        <v>0.1179962</v>
      </c>
      <c r="T4869">
        <v>6.0940859999999999E-2</v>
      </c>
      <c r="U4869">
        <v>3.0152589999999999</v>
      </c>
      <c r="V4869">
        <v>-0.19078700000000001</v>
      </c>
      <c r="W4869">
        <v>1.5078279999999999E-2</v>
      </c>
      <c r="X4869">
        <v>0.98151560000000004</v>
      </c>
      <c r="Y4869">
        <v>-7.9650899999999997E-2</v>
      </c>
      <c r="Z4869">
        <v>3.6743499999999998E-2</v>
      </c>
      <c r="AA4869">
        <v>0.99614539999999996</v>
      </c>
      <c r="AB4869">
        <v>25</v>
      </c>
      <c r="AC4869">
        <v>0.1179962</v>
      </c>
      <c r="AD4869">
        <v>6.0940859999999999E-2</v>
      </c>
      <c r="AE4869">
        <v>3.0152589999999999</v>
      </c>
      <c r="AF4869">
        <v>-0.240166925101511</v>
      </c>
      <c r="AG4869">
        <v>6.0940859999999999E-2</v>
      </c>
      <c r="AH4869">
        <v>3.0067601755234401</v>
      </c>
      <c r="AI4869">
        <v>88.842576444311007</v>
      </c>
      <c r="AJ4869">
        <v>94.566841800027404</v>
      </c>
      <c r="AK4869">
        <v>3.01695221928422</v>
      </c>
      <c r="AL4869">
        <v>89.136045414041902</v>
      </c>
      <c r="AM4869">
        <v>100.999982801633</v>
      </c>
      <c r="AN4869">
        <v>0.99999995347005799</v>
      </c>
    </row>
    <row r="4870" spans="1:40" x14ac:dyDescent="0.25">
      <c r="A4870" t="str">
        <f>"20190305135726909"</f>
        <v>20190305135726909</v>
      </c>
      <c r="B4870" t="str">
        <f>"1551765446897313"</f>
        <v>1551765446897313</v>
      </c>
      <c r="C4870" t="s">
        <v>40</v>
      </c>
      <c r="D4870">
        <v>4.1960419999999896</v>
      </c>
      <c r="E4870">
        <v>0.54190890000000003</v>
      </c>
      <c r="F4870" t="s">
        <v>96</v>
      </c>
      <c r="G4870">
        <v>-174.47569999999999</v>
      </c>
      <c r="H4870">
        <v>10.28209</v>
      </c>
      <c r="I4870">
        <v>391.00349999999997</v>
      </c>
      <c r="J4870">
        <v>-190.52170000000001</v>
      </c>
      <c r="K4870">
        <v>1.1164909999999999</v>
      </c>
      <c r="L4870">
        <v>-47.688600000000001</v>
      </c>
      <c r="M4870">
        <v>0.1078766</v>
      </c>
      <c r="N4870">
        <v>-1.6493710000000002E-2</v>
      </c>
      <c r="O4870">
        <v>0.99402740000000001</v>
      </c>
      <c r="P4870">
        <v>-7.2903689999999993E-2</v>
      </c>
      <c r="Q4870" s="1">
        <v>1.098565E-5</v>
      </c>
      <c r="R4870">
        <v>0.99733899999999998</v>
      </c>
      <c r="S4870">
        <v>0.1103821</v>
      </c>
      <c r="T4870">
        <v>6.2962290000000004E-2</v>
      </c>
      <c r="U4870">
        <v>3.0158689999999999</v>
      </c>
      <c r="V4870">
        <v>-0.18032780000000001</v>
      </c>
      <c r="W4870">
        <v>1.323596E-2</v>
      </c>
      <c r="X4870">
        <v>0.98351750000000004</v>
      </c>
      <c r="Y4870">
        <v>-7.1484590000000001E-2</v>
      </c>
      <c r="Z4870">
        <v>3.7110940000000002E-2</v>
      </c>
      <c r="AA4870">
        <v>0.9967511</v>
      </c>
      <c r="AB4870">
        <v>25</v>
      </c>
      <c r="AC4870">
        <v>16.045999999999999</v>
      </c>
      <c r="AD4870">
        <v>9.1655990000000003</v>
      </c>
      <c r="AE4870">
        <v>438.69209999999998</v>
      </c>
      <c r="AF4870">
        <v>-31.365045842671599</v>
      </c>
      <c r="AG4870">
        <v>9.1655990000000003</v>
      </c>
      <c r="AH4870">
        <v>437.67174915693198</v>
      </c>
      <c r="AI4870">
        <v>88.803371113446104</v>
      </c>
      <c r="AJ4870">
        <v>94.099002972381598</v>
      </c>
      <c r="AK4870">
        <v>438.889888600581</v>
      </c>
      <c r="AL4870">
        <v>89.241613201383004</v>
      </c>
      <c r="AM4870">
        <v>100.389774158584</v>
      </c>
      <c r="AN4870">
        <v>0.99999998944810498</v>
      </c>
    </row>
    <row r="4871" spans="1:40" x14ac:dyDescent="0.25">
      <c r="A4871" t="str">
        <f>"20190305135726932"</f>
        <v>20190305135726932</v>
      </c>
      <c r="B4871" t="str">
        <f>"1551765446927569"</f>
        <v>1551765446927569</v>
      </c>
      <c r="C4871" t="s">
        <v>40</v>
      </c>
      <c r="D4871">
        <v>4.1672560000000001</v>
      </c>
      <c r="E4871">
        <v>0.54230389999999995</v>
      </c>
      <c r="F4871" t="s">
        <v>50</v>
      </c>
      <c r="G4871">
        <v>-177.6617</v>
      </c>
      <c r="H4871">
        <v>7.4283679999999901</v>
      </c>
      <c r="I4871">
        <v>293.67230000000001</v>
      </c>
      <c r="J4871">
        <v>-190.50370000000001</v>
      </c>
      <c r="K4871">
        <v>1.1152390000000001</v>
      </c>
      <c r="L4871">
        <v>-47.435119999999998</v>
      </c>
      <c r="M4871">
        <v>0.1000615</v>
      </c>
      <c r="N4871">
        <v>-1.6196289999999999E-2</v>
      </c>
      <c r="O4871">
        <v>0.99484939999999999</v>
      </c>
      <c r="P4871">
        <v>-6.7637230000000007E-2</v>
      </c>
      <c r="Q4871">
        <v>-3.2160919999999998E-3</v>
      </c>
      <c r="R4871">
        <v>0.99770479999999995</v>
      </c>
      <c r="S4871">
        <v>0.1136322</v>
      </c>
      <c r="T4871">
        <v>5.5772299999999997E-2</v>
      </c>
      <c r="U4871">
        <v>3.0162960000000001</v>
      </c>
      <c r="V4871">
        <v>-0.16730139999999999</v>
      </c>
      <c r="W4871">
        <v>1.0473359999999999E-2</v>
      </c>
      <c r="X4871">
        <v>0.98585020000000001</v>
      </c>
      <c r="Y4871">
        <v>-6.2570269999999997E-2</v>
      </c>
      <c r="Z4871">
        <v>3.4484010000000002E-2</v>
      </c>
      <c r="AA4871">
        <v>0.99744460000000001</v>
      </c>
      <c r="AB4871">
        <v>25</v>
      </c>
      <c r="AC4871">
        <v>12.842000000000001</v>
      </c>
      <c r="AD4871">
        <v>6.3131289999999902</v>
      </c>
      <c r="AE4871">
        <v>341.10741999999999</v>
      </c>
      <c r="AF4871">
        <v>-21.351362933639201</v>
      </c>
      <c r="AG4871">
        <v>6.3131289999999902</v>
      </c>
      <c r="AH4871">
        <v>340.563706122339</v>
      </c>
      <c r="AI4871">
        <v>88.940093509204502</v>
      </c>
      <c r="AJ4871">
        <v>93.587416752052107</v>
      </c>
      <c r="AK4871">
        <v>341.29074734700498</v>
      </c>
      <c r="AL4871">
        <v>89.399909723529305</v>
      </c>
      <c r="AM4871">
        <v>99.631486623068696</v>
      </c>
      <c r="AN4871">
        <v>1.0000000332758401</v>
      </c>
    </row>
    <row r="4872" spans="1:40" x14ac:dyDescent="0.25">
      <c r="A4872" t="str">
        <f>"20190305135726976"</f>
        <v>20190305135726976</v>
      </c>
      <c r="B4872" t="str">
        <f>"1551765446967586"</f>
        <v>1551765446967586</v>
      </c>
      <c r="C4872" t="s">
        <v>40</v>
      </c>
      <c r="D4872">
        <v>4.1837720000000003</v>
      </c>
      <c r="E4872">
        <v>0.54275319999999905</v>
      </c>
      <c r="F4872" t="s">
        <v>47</v>
      </c>
      <c r="G4872">
        <v>0</v>
      </c>
      <c r="H4872">
        <v>0</v>
      </c>
      <c r="I4872">
        <v>0</v>
      </c>
      <c r="J4872">
        <v>-190.46870000000001</v>
      </c>
      <c r="K4872">
        <v>1.112962</v>
      </c>
      <c r="L4872">
        <v>-46.941769999999998</v>
      </c>
      <c r="M4872">
        <v>8.9420769999999997E-2</v>
      </c>
      <c r="N4872">
        <v>-1.5711869999999999E-2</v>
      </c>
      <c r="O4872">
        <v>0.99587000000000003</v>
      </c>
      <c r="P4872">
        <v>-5.3986600000000003E-2</v>
      </c>
      <c r="Q4872">
        <v>-1.0041329999999999E-3</v>
      </c>
      <c r="R4872">
        <v>0.99854120000000002</v>
      </c>
      <c r="S4872">
        <v>0.13285829999999901</v>
      </c>
      <c r="T4872">
        <v>4.2079930000000001E-2</v>
      </c>
      <c r="U4872">
        <v>3.0160520000000002</v>
      </c>
      <c r="V4872">
        <v>-0.14318410000000001</v>
      </c>
      <c r="W4872">
        <v>1.3394730000000001E-2</v>
      </c>
      <c r="X4872">
        <v>0.98960539999999997</v>
      </c>
      <c r="Y4872">
        <v>-4.5532429999999999E-2</v>
      </c>
      <c r="Z4872">
        <v>2.9530560000000001E-2</v>
      </c>
      <c r="AA4872">
        <v>0.99852629999999998</v>
      </c>
      <c r="AB4872">
        <v>25</v>
      </c>
      <c r="AC4872">
        <v>0.13285829999999901</v>
      </c>
      <c r="AD4872">
        <v>4.2079930000000001E-2</v>
      </c>
      <c r="AE4872">
        <v>3.0160520000000002</v>
      </c>
      <c r="AF4872">
        <v>-0.137378368535164</v>
      </c>
      <c r="AG4872">
        <v>4.2079930000000001E-2</v>
      </c>
      <c r="AH4872">
        <v>3.0152624710311602</v>
      </c>
      <c r="AI4872">
        <v>89.201280850145494</v>
      </c>
      <c r="AJ4872">
        <v>92.608648900115995</v>
      </c>
      <c r="AK4872">
        <v>3.01868370417623</v>
      </c>
      <c r="AL4872">
        <v>89.232515533887806</v>
      </c>
      <c r="AM4872">
        <v>98.232882469839694</v>
      </c>
      <c r="AN4872">
        <v>0.999999976496871</v>
      </c>
    </row>
    <row r="4873" spans="1:40" x14ac:dyDescent="0.25">
      <c r="A4873" t="str">
        <f>"20190305135727017"</f>
        <v>20190305135727017</v>
      </c>
      <c r="B4873" t="str">
        <f>"1551765447007601"</f>
        <v>1551765447007601</v>
      </c>
      <c r="C4873" t="s">
        <v>40</v>
      </c>
      <c r="D4873">
        <v>4.2361649999999997</v>
      </c>
      <c r="E4873">
        <v>0.543188</v>
      </c>
      <c r="F4873" t="s">
        <v>95</v>
      </c>
      <c r="G4873">
        <v>-168.4023</v>
      </c>
      <c r="H4873">
        <v>6.7759340000000003</v>
      </c>
      <c r="I4873">
        <v>327.23149999999998</v>
      </c>
      <c r="J4873">
        <v>-190.43520000000001</v>
      </c>
      <c r="K4873">
        <v>1.111513</v>
      </c>
      <c r="L4873">
        <v>-46.480930000000001</v>
      </c>
      <c r="M4873">
        <v>8.4094569999999993E-2</v>
      </c>
      <c r="N4873">
        <v>-1.5316979999999999E-2</v>
      </c>
      <c r="O4873">
        <v>0.99634</v>
      </c>
      <c r="P4873">
        <v>-4.0333460000000002E-2</v>
      </c>
      <c r="Q4873" s="1">
        <v>-9.9614379999999998E-5</v>
      </c>
      <c r="R4873">
        <v>0.99918629999999997</v>
      </c>
      <c r="S4873">
        <v>0.17774960000000001</v>
      </c>
      <c r="T4873">
        <v>4.561639E-2</v>
      </c>
      <c r="U4873">
        <v>3.0140380000000002</v>
      </c>
      <c r="V4873">
        <v>-0.1242924</v>
      </c>
      <c r="W4873">
        <v>1.454857E-2</v>
      </c>
      <c r="X4873">
        <v>0.99213899999999999</v>
      </c>
      <c r="Y4873">
        <v>-2.5322629999999999E-2</v>
      </c>
      <c r="Z4873">
        <v>3.031257E-2</v>
      </c>
      <c r="AA4873">
        <v>0.99921970000000004</v>
      </c>
      <c r="AB4873">
        <v>25</v>
      </c>
      <c r="AC4873">
        <v>22.032900000000001</v>
      </c>
      <c r="AD4873">
        <v>5.6644209999999902</v>
      </c>
      <c r="AE4873">
        <v>373.71242999999998</v>
      </c>
      <c r="AF4873">
        <v>-9.4738696490208607</v>
      </c>
      <c r="AG4873">
        <v>5.6644209999999902</v>
      </c>
      <c r="AH4873">
        <v>374.15575034065802</v>
      </c>
      <c r="AI4873">
        <v>89.132931515256502</v>
      </c>
      <c r="AJ4873">
        <v>91.450456888910097</v>
      </c>
      <c r="AK4873">
        <v>374.31853465247099</v>
      </c>
      <c r="AL4873">
        <v>89.1663989562159</v>
      </c>
      <c r="AM4873">
        <v>97.140654091992104</v>
      </c>
      <c r="AN4873">
        <v>1.0000000284538999</v>
      </c>
    </row>
    <row r="4874" spans="1:40" x14ac:dyDescent="0.25">
      <c r="A4874" t="str">
        <f>"20190305135727037"</f>
        <v>20190305135727037</v>
      </c>
      <c r="B4874" t="str">
        <f>"1551765447027121"</f>
        <v>1551765447027121</v>
      </c>
      <c r="C4874" t="s">
        <v>40</v>
      </c>
      <c r="D4874">
        <v>4.197775</v>
      </c>
      <c r="E4874">
        <v>0.54334979999999999</v>
      </c>
      <c r="F4874" t="s">
        <v>51</v>
      </c>
      <c r="G4874">
        <v>-167.08879999999999</v>
      </c>
      <c r="H4874">
        <v>6.0617700000000001</v>
      </c>
      <c r="I4874">
        <v>269.69009999999997</v>
      </c>
      <c r="J4874">
        <v>-190.4178</v>
      </c>
      <c r="K4874">
        <v>1.1109599999999999</v>
      </c>
      <c r="L4874">
        <v>-46.24783</v>
      </c>
      <c r="M4874">
        <v>8.2860899999999904E-2</v>
      </c>
      <c r="N4874">
        <v>-1.5137019999999999E-2</v>
      </c>
      <c r="O4874">
        <v>0.9964461</v>
      </c>
      <c r="P4874">
        <v>-3.2017139999999999E-2</v>
      </c>
      <c r="Q4874">
        <v>8.7465220000000003E-4</v>
      </c>
      <c r="R4874">
        <v>0.99948689999999996</v>
      </c>
      <c r="S4874">
        <v>0.22236629999999999</v>
      </c>
      <c r="T4874">
        <v>4.715014E-2</v>
      </c>
      <c r="U4874">
        <v>3.0114139999999998</v>
      </c>
      <c r="V4874">
        <v>-0.1147821</v>
      </c>
      <c r="W4874">
        <v>1.556841E-2</v>
      </c>
      <c r="X4874">
        <v>0.9932687</v>
      </c>
      <c r="Y4874">
        <v>-9.2927389999999995E-3</v>
      </c>
      <c r="Z4874">
        <v>3.0640190000000001E-2</v>
      </c>
      <c r="AA4874">
        <v>0.99948729999999997</v>
      </c>
      <c r="AB4874">
        <v>25</v>
      </c>
      <c r="AC4874">
        <v>23.329000000000001</v>
      </c>
      <c r="AD4874">
        <v>4.9508099999999997</v>
      </c>
      <c r="AE4874">
        <v>315.93792999999999</v>
      </c>
      <c r="AF4874">
        <v>-2.9324302066918699</v>
      </c>
      <c r="AG4874">
        <v>4.9508099999999997</v>
      </c>
      <c r="AH4874">
        <v>316.70714488268902</v>
      </c>
      <c r="AI4874">
        <v>89.104455756228504</v>
      </c>
      <c r="AJ4874">
        <v>90.530493473584997</v>
      </c>
      <c r="AK4874">
        <v>316.75941230896001</v>
      </c>
      <c r="AL4874">
        <v>89.107959783286901</v>
      </c>
      <c r="AM4874">
        <v>96.591859464236805</v>
      </c>
      <c r="AN4874">
        <v>1.00000000813501</v>
      </c>
    </row>
    <row r="4875" spans="1:40" x14ac:dyDescent="0.25">
      <c r="A4875" t="str">
        <f>"20190305135727062"</f>
        <v>20190305135727062</v>
      </c>
      <c r="B4875" t="str">
        <f>"1551765447057377"</f>
        <v>1551765447057377</v>
      </c>
      <c r="C4875" t="s">
        <v>40</v>
      </c>
      <c r="D4875">
        <v>4.2304279999999999</v>
      </c>
      <c r="E4875">
        <v>0.54349360000000002</v>
      </c>
      <c r="F4875" t="s">
        <v>70</v>
      </c>
      <c r="G4875">
        <v>-169.38509999999999</v>
      </c>
      <c r="H4875">
        <v>5.1981279999999996</v>
      </c>
      <c r="I4875">
        <v>208.2139</v>
      </c>
      <c r="J4875">
        <v>-190.39760000000001</v>
      </c>
      <c r="K4875">
        <v>1.110355</v>
      </c>
      <c r="L4875">
        <v>-45.98462</v>
      </c>
      <c r="M4875">
        <v>8.2464190000000007E-2</v>
      </c>
      <c r="N4875">
        <v>-1.4959899999999899E-2</v>
      </c>
      <c r="O4875">
        <v>0.99648170000000003</v>
      </c>
      <c r="P4875">
        <v>-2.418178E-2</v>
      </c>
      <c r="Q4875">
        <v>7.0498030000000003E-3</v>
      </c>
      <c r="R4875">
        <v>0.99968270000000004</v>
      </c>
      <c r="S4875">
        <v>0.24874879999999999</v>
      </c>
      <c r="T4875">
        <v>4.8338409999999998E-2</v>
      </c>
      <c r="U4875">
        <v>3.0094599999999998</v>
      </c>
      <c r="V4875">
        <v>-0.1065769</v>
      </c>
      <c r="W4875">
        <v>2.1776210000000001E-2</v>
      </c>
      <c r="X4875">
        <v>0.99406600000000001</v>
      </c>
      <c r="Y4875">
        <v>-1.3842339999999999E-4</v>
      </c>
      <c r="Z4875">
        <v>3.0856229999999998E-2</v>
      </c>
      <c r="AA4875">
        <v>0.99952379999999996</v>
      </c>
      <c r="AB4875">
        <v>25</v>
      </c>
      <c r="AC4875">
        <v>21.012499999999999</v>
      </c>
      <c r="AD4875">
        <v>4.0877729999999897</v>
      </c>
      <c r="AE4875">
        <v>254.19852</v>
      </c>
      <c r="AF4875">
        <v>-2.3699896347139301E-2</v>
      </c>
      <c r="AG4875">
        <v>4.0877729999999897</v>
      </c>
      <c r="AH4875">
        <v>255.00001031308</v>
      </c>
      <c r="AI4875">
        <v>89.081599722388404</v>
      </c>
      <c r="AJ4875">
        <v>90.005325113634299</v>
      </c>
      <c r="AK4875">
        <v>255.03277379477299</v>
      </c>
      <c r="AL4875">
        <v>88.752216474777001</v>
      </c>
      <c r="AM4875">
        <v>96.119482623765705</v>
      </c>
      <c r="AN4875">
        <v>1.0000000256457799</v>
      </c>
    </row>
    <row r="4876" spans="1:40" x14ac:dyDescent="0.25">
      <c r="A4876" t="str">
        <f>"20190305135727085"</f>
        <v>20190305135727085</v>
      </c>
      <c r="B4876" t="str">
        <f>"1551765447077873"</f>
        <v>1551765447077873</v>
      </c>
      <c r="C4876" t="s">
        <v>40</v>
      </c>
      <c r="D4876">
        <v>4.1420669999999999</v>
      </c>
      <c r="E4876">
        <v>0.54378409999999999</v>
      </c>
      <c r="F4876" t="s">
        <v>97</v>
      </c>
      <c r="G4876">
        <v>-171.2217</v>
      </c>
      <c r="H4876">
        <v>5.8061299999999996</v>
      </c>
      <c r="I4876">
        <v>165.08629999999999</v>
      </c>
      <c r="J4876">
        <v>-190.37549999999999</v>
      </c>
      <c r="K4876">
        <v>1.1096600000000001</v>
      </c>
      <c r="L4876">
        <v>-45.711730000000003</v>
      </c>
      <c r="M4876">
        <v>8.3030980000000004E-2</v>
      </c>
      <c r="N4876">
        <v>-1.480766E-2</v>
      </c>
      <c r="O4876">
        <v>0.99643700000000002</v>
      </c>
      <c r="P4876">
        <v>-1.688742E-2</v>
      </c>
      <c r="Q4876">
        <v>1.365417E-2</v>
      </c>
      <c r="R4876">
        <v>0.99976410000000004</v>
      </c>
      <c r="S4876">
        <v>0.27319339999999998</v>
      </c>
      <c r="T4876">
        <v>6.689966E-2</v>
      </c>
      <c r="U4876">
        <v>3.0070800000000002</v>
      </c>
      <c r="V4876">
        <v>-9.983786E-2</v>
      </c>
      <c r="W4876">
        <v>2.842741E-2</v>
      </c>
      <c r="X4876">
        <v>0.99459759999999997</v>
      </c>
      <c r="Y4876">
        <v>7.4042609999999997E-3</v>
      </c>
      <c r="Z4876">
        <v>3.6826949999999997E-2</v>
      </c>
      <c r="AA4876">
        <v>0.99929420000000002</v>
      </c>
      <c r="AB4876">
        <v>25</v>
      </c>
      <c r="AC4876">
        <v>19.153799999999901</v>
      </c>
      <c r="AD4876">
        <v>4.6964699999999997</v>
      </c>
      <c r="AE4876">
        <v>210.79803000000001</v>
      </c>
      <c r="AF4876">
        <v>1.5821825440082999</v>
      </c>
      <c r="AG4876">
        <v>4.6964699999999997</v>
      </c>
      <c r="AH4876">
        <v>211.55635915485101</v>
      </c>
      <c r="AI4876">
        <v>88.728300117209997</v>
      </c>
      <c r="AJ4876">
        <v>89.571505709002395</v>
      </c>
      <c r="AK4876">
        <v>211.614397503856</v>
      </c>
      <c r="AL4876">
        <v>88.371010014636099</v>
      </c>
      <c r="AM4876">
        <v>95.7321578743272</v>
      </c>
      <c r="AN4876">
        <v>1.00000005092722</v>
      </c>
    </row>
    <row r="4877" spans="1:40" x14ac:dyDescent="0.25">
      <c r="A4877" t="str">
        <f>"20190305135727106"</f>
        <v>20190305135727106</v>
      </c>
      <c r="B4877" t="str">
        <f>"1551765447097393"</f>
        <v>1551765447097393</v>
      </c>
      <c r="C4877" t="s">
        <v>40</v>
      </c>
      <c r="D4877">
        <v>4.1824909999999997</v>
      </c>
      <c r="E4877">
        <v>0.54408789999999996</v>
      </c>
      <c r="F4877" t="s">
        <v>98</v>
      </c>
      <c r="G4877">
        <v>-175.87289999999999</v>
      </c>
      <c r="H4877">
        <v>5.4174730000000002</v>
      </c>
      <c r="I4877">
        <v>100.89660000000001</v>
      </c>
      <c r="J4877">
        <v>-190.35550000000001</v>
      </c>
      <c r="K4877">
        <v>1.109029</v>
      </c>
      <c r="L4877">
        <v>-45.478299999999997</v>
      </c>
      <c r="M4877">
        <v>8.4270789999999998E-2</v>
      </c>
      <c r="N4877">
        <v>-1.470248E-2</v>
      </c>
      <c r="O4877">
        <v>0.99633439999999995</v>
      </c>
      <c r="P4877">
        <v>-1.0972269999999999E-2</v>
      </c>
      <c r="Q4877">
        <v>1.478372E-2</v>
      </c>
      <c r="R4877">
        <v>0.99983049999999996</v>
      </c>
      <c r="S4877">
        <v>0.29721069999999999</v>
      </c>
      <c r="T4877">
        <v>8.8282589999999994E-2</v>
      </c>
      <c r="U4877">
        <v>3.0045169999999999</v>
      </c>
      <c r="V4877">
        <v>-9.5139260000000003E-2</v>
      </c>
      <c r="W4877">
        <v>2.9608990000000002E-2</v>
      </c>
      <c r="X4877">
        <v>0.99502349999999995</v>
      </c>
      <c r="Y4877">
        <v>1.412688E-2</v>
      </c>
      <c r="Z4877">
        <v>4.3773569999999998E-2</v>
      </c>
      <c r="AA4877">
        <v>0.99894159999999999</v>
      </c>
      <c r="AB4877">
        <v>25</v>
      </c>
      <c r="AC4877">
        <v>14.4826</v>
      </c>
      <c r="AD4877">
        <v>4.3084439999999997</v>
      </c>
      <c r="AE4877">
        <v>146.3749</v>
      </c>
      <c r="AF4877">
        <v>2.0928149670762299</v>
      </c>
      <c r="AG4877">
        <v>4.3084439999999997</v>
      </c>
      <c r="AH4877">
        <v>146.948628858847</v>
      </c>
      <c r="AI4877">
        <v>88.320774056789304</v>
      </c>
      <c r="AJ4877">
        <v>89.184059356090401</v>
      </c>
      <c r="AK4877">
        <v>147.026671348034</v>
      </c>
      <c r="AL4877">
        <v>88.3032818053547</v>
      </c>
      <c r="AM4877">
        <v>95.461737232098301</v>
      </c>
      <c r="AN4877">
        <v>0.99999996831720805</v>
      </c>
    </row>
    <row r="4878" spans="1:40" x14ac:dyDescent="0.25">
      <c r="A4878" t="str">
        <f>"20190305135727128"</f>
        <v>20190305135727128</v>
      </c>
      <c r="B4878" t="str">
        <f>"1551765447117889"</f>
        <v>1551765447117889</v>
      </c>
      <c r="C4878" t="s">
        <v>40</v>
      </c>
      <c r="D4878">
        <v>4.1785430000000003</v>
      </c>
      <c r="E4878">
        <v>0.54431799999999997</v>
      </c>
      <c r="F4878" t="s">
        <v>98</v>
      </c>
      <c r="G4878">
        <v>-175.77869999999999</v>
      </c>
      <c r="H4878">
        <v>5.3720530000000002</v>
      </c>
      <c r="I4878">
        <v>92.473429999999993</v>
      </c>
      <c r="J4878">
        <v>-190.33430000000001</v>
      </c>
      <c r="K4878">
        <v>1.1083989999999999</v>
      </c>
      <c r="L4878">
        <v>-45.24438</v>
      </c>
      <c r="M4878">
        <v>8.6176649999999994E-2</v>
      </c>
      <c r="N4878">
        <v>-1.461525E-2</v>
      </c>
      <c r="O4878">
        <v>0.99617270000000002</v>
      </c>
      <c r="P4878">
        <v>-5.957291E-3</v>
      </c>
      <c r="Q4878">
        <v>1.1766749999999999E-2</v>
      </c>
      <c r="R4878">
        <v>0.99991300000000005</v>
      </c>
      <c r="S4878">
        <v>0.317276</v>
      </c>
      <c r="T4878">
        <v>9.2788460000000003E-2</v>
      </c>
      <c r="U4878">
        <v>3.0026250000000001</v>
      </c>
      <c r="V4878">
        <v>-9.2019749999999997E-2</v>
      </c>
      <c r="W4878">
        <v>2.664472E-2</v>
      </c>
      <c r="X4878">
        <v>0.99540059999999997</v>
      </c>
      <c r="Y4878">
        <v>1.887612E-2</v>
      </c>
      <c r="Z4878">
        <v>4.516647E-2</v>
      </c>
      <c r="AA4878">
        <v>0.9988011</v>
      </c>
      <c r="AB4878">
        <v>25</v>
      </c>
      <c r="AC4878">
        <v>14.5556</v>
      </c>
      <c r="AD4878">
        <v>4.2636539999999998</v>
      </c>
      <c r="AE4878">
        <v>137.71780999999999</v>
      </c>
      <c r="AF4878">
        <v>2.62962028432259</v>
      </c>
      <c r="AG4878">
        <v>4.2636539999999998</v>
      </c>
      <c r="AH4878">
        <v>138.32873858349501</v>
      </c>
      <c r="AI4878">
        <v>88.234871665194007</v>
      </c>
      <c r="AJ4878">
        <v>88.910942148634206</v>
      </c>
      <c r="AK4878">
        <v>138.419411811972</v>
      </c>
      <c r="AL4878">
        <v>88.473189250257093</v>
      </c>
      <c r="AM4878">
        <v>95.281693206294094</v>
      </c>
      <c r="AN4878">
        <v>0.99999996498714905</v>
      </c>
    </row>
    <row r="4879" spans="1:40" x14ac:dyDescent="0.25">
      <c r="A4879" t="str">
        <f>"20190305135727176"</f>
        <v>20190305135727176</v>
      </c>
      <c r="B4879" t="str">
        <f>"1551765447167665"</f>
        <v>1551765447167665</v>
      </c>
      <c r="C4879" t="s">
        <v>40</v>
      </c>
      <c r="D4879">
        <v>4.1975110000000004</v>
      </c>
      <c r="E4879">
        <v>0.5446626</v>
      </c>
      <c r="F4879" t="s">
        <v>98</v>
      </c>
      <c r="G4879">
        <v>-175.00970000000001</v>
      </c>
      <c r="H4879">
        <v>4.9488029999999998</v>
      </c>
      <c r="I4879">
        <v>92.473290000000006</v>
      </c>
      <c r="J4879">
        <v>-190.28129999999999</v>
      </c>
      <c r="K4879">
        <v>1.1072839999999999</v>
      </c>
      <c r="L4879">
        <v>-44.717289999999998</v>
      </c>
      <c r="M4879">
        <v>9.2746410000000001E-2</v>
      </c>
      <c r="N4879">
        <v>-1.446528E-2</v>
      </c>
      <c r="O4879">
        <v>0.99558469999999999</v>
      </c>
      <c r="P4879">
        <v>3.675064E-3</v>
      </c>
      <c r="Q4879">
        <v>6.7322199999999997E-3</v>
      </c>
      <c r="R4879">
        <v>0.99997060000000004</v>
      </c>
      <c r="S4879">
        <v>0.33396910000000002</v>
      </c>
      <c r="T4879">
        <v>8.3694459999999998E-2</v>
      </c>
      <c r="U4879">
        <v>3.0012819999999998</v>
      </c>
      <c r="V4879">
        <v>-8.8962849999999996E-2</v>
      </c>
      <c r="W4879">
        <v>2.1686589999999999E-2</v>
      </c>
      <c r="X4879">
        <v>0.99579879999999998</v>
      </c>
      <c r="Y4879">
        <v>1.783276E-2</v>
      </c>
      <c r="Z4879">
        <v>4.1990619999999999E-2</v>
      </c>
      <c r="AA4879">
        <v>0.99895880000000004</v>
      </c>
      <c r="AB4879">
        <v>25</v>
      </c>
      <c r="AC4879">
        <v>15.2715999999999</v>
      </c>
      <c r="AD4879">
        <v>3.8415189999999999</v>
      </c>
      <c r="AE4879">
        <v>137.19058000000001</v>
      </c>
      <c r="AF4879">
        <v>2.47857740485671</v>
      </c>
      <c r="AG4879">
        <v>3.8415189999999999</v>
      </c>
      <c r="AH4879">
        <v>137.90885895055601</v>
      </c>
      <c r="AI4879">
        <v>88.404668026098605</v>
      </c>
      <c r="AJ4879">
        <v>88.970358119566498</v>
      </c>
      <c r="AK4879">
        <v>137.98461505263401</v>
      </c>
      <c r="AL4879">
        <v>88.757352470470394</v>
      </c>
      <c r="AM4879">
        <v>95.105147388688906</v>
      </c>
      <c r="AN4879">
        <v>0.99999997347369396</v>
      </c>
    </row>
    <row r="4880" spans="1:40" x14ac:dyDescent="0.25">
      <c r="A4880" t="str">
        <f>"20190305135727217"</f>
        <v>20190305135727217</v>
      </c>
      <c r="B4880" t="str">
        <f>"1551765447207681"</f>
        <v>1551765447207681</v>
      </c>
      <c r="C4880" t="s">
        <v>40</v>
      </c>
      <c r="D4880">
        <v>4.1533800000000003</v>
      </c>
      <c r="E4880">
        <v>0.54504940000000002</v>
      </c>
      <c r="F4880" t="s">
        <v>97</v>
      </c>
      <c r="G4880">
        <v>-165.3159</v>
      </c>
      <c r="H4880">
        <v>5.672777</v>
      </c>
      <c r="I4880">
        <v>160.1011</v>
      </c>
      <c r="J4880">
        <v>-190.2287</v>
      </c>
      <c r="K4880">
        <v>1.1068009999999999</v>
      </c>
      <c r="L4880">
        <v>-44.248690000000003</v>
      </c>
      <c r="M4880">
        <v>0.10034319999999999</v>
      </c>
      <c r="N4880">
        <v>-1.4363559999999999E-2</v>
      </c>
      <c r="O4880">
        <v>0.99484919999999999</v>
      </c>
      <c r="P4880">
        <v>8.2490250000000001E-3</v>
      </c>
      <c r="Q4880">
        <v>4.7113859999999997E-3</v>
      </c>
      <c r="R4880">
        <v>0.99995489999999998</v>
      </c>
      <c r="S4880">
        <v>0.36546329999999999</v>
      </c>
      <c r="T4880">
        <v>6.6833260000000005E-2</v>
      </c>
      <c r="U4880">
        <v>2.998291</v>
      </c>
      <c r="V4880">
        <v>-9.2000899999999997E-2</v>
      </c>
      <c r="W4880">
        <v>1.9682870000000002E-2</v>
      </c>
      <c r="X4880">
        <v>0.99556440000000002</v>
      </c>
      <c r="Y4880">
        <v>2.0688890000000001E-2</v>
      </c>
      <c r="Z4880">
        <v>3.6302960000000002E-2</v>
      </c>
      <c r="AA4880">
        <v>0.99912670000000003</v>
      </c>
      <c r="AB4880">
        <v>25</v>
      </c>
      <c r="AC4880">
        <v>24.912800000000001</v>
      </c>
      <c r="AD4880">
        <v>4.565976</v>
      </c>
      <c r="AE4880">
        <v>204.34978999999899</v>
      </c>
      <c r="AF4880">
        <v>4.2777044402045297</v>
      </c>
      <c r="AG4880">
        <v>4.565976</v>
      </c>
      <c r="AH4880">
        <v>205.71708727237501</v>
      </c>
      <c r="AI4880">
        <v>88.728779912916593</v>
      </c>
      <c r="AJ4880">
        <v>88.808756739845506</v>
      </c>
      <c r="AK4880">
        <v>205.81221267927799</v>
      </c>
      <c r="AL4880">
        <v>88.872181821260398</v>
      </c>
      <c r="AM4880">
        <v>95.279753474157104</v>
      </c>
      <c r="AN4880">
        <v>1.0000000277598</v>
      </c>
    </row>
    <row r="4881" spans="1:40" x14ac:dyDescent="0.25">
      <c r="A4881" t="str">
        <f>"20190305135727238"</f>
        <v>20190305135727238</v>
      </c>
      <c r="B4881" t="str">
        <f>"1551765447227201"</f>
        <v>1551765447227201</v>
      </c>
      <c r="C4881" t="s">
        <v>40</v>
      </c>
      <c r="D4881">
        <v>4.22614</v>
      </c>
      <c r="E4881">
        <v>0.54524340000000004</v>
      </c>
      <c r="F4881" t="s">
        <v>97</v>
      </c>
      <c r="G4881">
        <v>-164.2757</v>
      </c>
      <c r="H4881">
        <v>5.1600570000000001</v>
      </c>
      <c r="I4881">
        <v>159.22309999999999</v>
      </c>
      <c r="J4881">
        <v>-190.19980000000001</v>
      </c>
      <c r="K4881">
        <v>1.1066769999999999</v>
      </c>
      <c r="L4881">
        <v>-44.007809999999999</v>
      </c>
      <c r="M4881">
        <v>0.1046236</v>
      </c>
      <c r="N4881">
        <v>-1.431871E-2</v>
      </c>
      <c r="O4881">
        <v>0.99440879999999998</v>
      </c>
      <c r="P4881">
        <v>9.1494590000000004E-3</v>
      </c>
      <c r="Q4881">
        <v>5.1877970000000001E-3</v>
      </c>
      <c r="R4881">
        <v>0.99994470000000002</v>
      </c>
      <c r="S4881">
        <v>0.38223269999999998</v>
      </c>
      <c r="T4881">
        <v>5.969584E-2</v>
      </c>
      <c r="U4881">
        <v>2.9967039999999998</v>
      </c>
      <c r="V4881">
        <v>-9.5379459999999999E-2</v>
      </c>
      <c r="W4881">
        <v>2.0162949999999999E-2</v>
      </c>
      <c r="X4881">
        <v>0.99523680000000003</v>
      </c>
      <c r="Y4881">
        <v>2.1965809999999999E-2</v>
      </c>
      <c r="Z4881">
        <v>3.388969E-2</v>
      </c>
      <c r="AA4881">
        <v>0.99918419999999997</v>
      </c>
      <c r="AB4881">
        <v>25</v>
      </c>
      <c r="AC4881">
        <v>25.924099999999999</v>
      </c>
      <c r="AD4881">
        <v>4.0533799999999998</v>
      </c>
      <c r="AE4881">
        <v>203.23090999999999</v>
      </c>
      <c r="AF4881">
        <v>4.5150995215178202</v>
      </c>
      <c r="AG4881">
        <v>4.0533799999999998</v>
      </c>
      <c r="AH4881">
        <v>204.74773532496599</v>
      </c>
      <c r="AI4881">
        <v>88.866142242135297</v>
      </c>
      <c r="AJ4881">
        <v>88.736717529033996</v>
      </c>
      <c r="AK4881">
        <v>204.837621382929</v>
      </c>
      <c r="AL4881">
        <v>88.844669814008498</v>
      </c>
      <c r="AM4881">
        <v>95.474276520391001</v>
      </c>
      <c r="AN4881">
        <v>1.0000000370084099</v>
      </c>
    </row>
    <row r="4882" spans="1:40" x14ac:dyDescent="0.25">
      <c r="A4882" t="str">
        <f>"20190305135727263"</f>
        <v>20190305135727263</v>
      </c>
      <c r="B4882" t="str">
        <f>"1551765447257457"</f>
        <v>1551765447257457</v>
      </c>
      <c r="C4882" t="s">
        <v>40</v>
      </c>
      <c r="D4882">
        <v>4.2067110000000003</v>
      </c>
      <c r="E4882">
        <v>0.54557679999999997</v>
      </c>
      <c r="F4882" t="s">
        <v>97</v>
      </c>
      <c r="G4882">
        <v>-164.0026</v>
      </c>
      <c r="H4882">
        <v>5.1648880000000004</v>
      </c>
      <c r="I4882">
        <v>158.99260000000001</v>
      </c>
      <c r="J4882">
        <v>-190.1662</v>
      </c>
      <c r="K4882">
        <v>1.1065739999999999</v>
      </c>
      <c r="L4882">
        <v>-43.740229999999997</v>
      </c>
      <c r="M4882">
        <v>0.10957799999999999</v>
      </c>
      <c r="N4882">
        <v>-1.427758E-2</v>
      </c>
      <c r="O4882">
        <v>0.99387570000000003</v>
      </c>
      <c r="P4882">
        <v>1.166589E-2</v>
      </c>
      <c r="Q4882">
        <v>6.7256249999999998E-3</v>
      </c>
      <c r="R4882">
        <v>0.9999093</v>
      </c>
      <c r="S4882">
        <v>0.38667299999999999</v>
      </c>
      <c r="T4882">
        <v>5.9899569999999999E-2</v>
      </c>
      <c r="U4882">
        <v>2.9963069999999998</v>
      </c>
      <c r="V4882">
        <v>-9.7817210000000002E-2</v>
      </c>
      <c r="W4882">
        <v>2.169946E-2</v>
      </c>
      <c r="X4882">
        <v>0.99496779999999996</v>
      </c>
      <c r="Y4882">
        <v>1.8456489999999999E-2</v>
      </c>
      <c r="Z4882">
        <v>3.3895849999999998E-2</v>
      </c>
      <c r="AA4882">
        <v>0.99925489999999995</v>
      </c>
      <c r="AB4882">
        <v>25</v>
      </c>
      <c r="AC4882">
        <v>26.163599999999999</v>
      </c>
      <c r="AD4882">
        <v>4.0583139999999904</v>
      </c>
      <c r="AE4882">
        <v>202.73283000000001</v>
      </c>
      <c r="AF4882">
        <v>3.7872014680692598</v>
      </c>
      <c r="AG4882">
        <v>4.0583139999999904</v>
      </c>
      <c r="AH4882">
        <v>204.29848523603599</v>
      </c>
      <c r="AI4882">
        <v>88.862185592758095</v>
      </c>
      <c r="AJ4882">
        <v>88.937995994237696</v>
      </c>
      <c r="AK4882">
        <v>204.37388257118599</v>
      </c>
      <c r="AL4882">
        <v>88.756614930810599</v>
      </c>
      <c r="AM4882">
        <v>95.614815850971894</v>
      </c>
      <c r="AN4882">
        <v>0.99999999808665696</v>
      </c>
    </row>
    <row r="4883" spans="1:40" x14ac:dyDescent="0.25">
      <c r="A4883" t="str">
        <f>"20190305135727284"</f>
        <v>20190305135727284</v>
      </c>
      <c r="B4883" t="str">
        <f>"1551765447276977"</f>
        <v>1551765447276977</v>
      </c>
      <c r="C4883" t="s">
        <v>40</v>
      </c>
      <c r="D4883">
        <v>4.200285</v>
      </c>
      <c r="E4883">
        <v>0.54564419999999902</v>
      </c>
      <c r="F4883" t="s">
        <v>97</v>
      </c>
      <c r="G4883">
        <v>-163.36340000000001</v>
      </c>
      <c r="H4883">
        <v>5.3206730000000002</v>
      </c>
      <c r="I4883">
        <v>158.453</v>
      </c>
      <c r="J4883">
        <v>-190.1335</v>
      </c>
      <c r="K4883">
        <v>1.1064879999999999</v>
      </c>
      <c r="L4883">
        <v>-43.491849999999999</v>
      </c>
      <c r="M4883">
        <v>0.1143364</v>
      </c>
      <c r="N4883">
        <v>-1.424771E-2</v>
      </c>
      <c r="O4883">
        <v>0.99333990000000005</v>
      </c>
      <c r="P4883">
        <v>1.4009600000000001E-2</v>
      </c>
      <c r="Q4883">
        <v>1.023424E-2</v>
      </c>
      <c r="R4883">
        <v>0.99984949999999995</v>
      </c>
      <c r="S4883">
        <v>0.39704899999999999</v>
      </c>
      <c r="T4883">
        <v>6.2426570000000001E-2</v>
      </c>
      <c r="U4883">
        <v>2.9952390000000002</v>
      </c>
      <c r="V4883">
        <v>-0.1002131</v>
      </c>
      <c r="W4883">
        <v>2.5217070000000001E-2</v>
      </c>
      <c r="X4883">
        <v>0.99464640000000004</v>
      </c>
      <c r="Y4883">
        <v>1.7113369999999999E-2</v>
      </c>
      <c r="Z4883">
        <v>3.4676739999999998E-2</v>
      </c>
      <c r="AA4883">
        <v>0.99925200000000003</v>
      </c>
      <c r="AB4883">
        <v>25</v>
      </c>
      <c r="AC4883">
        <v>26.7700999999999</v>
      </c>
      <c r="AD4883">
        <v>4.2141849999999996</v>
      </c>
      <c r="AE4883">
        <v>201.94485</v>
      </c>
      <c r="AF4883">
        <v>3.5010186147004498</v>
      </c>
      <c r="AG4883">
        <v>4.2141849999999996</v>
      </c>
      <c r="AH4883">
        <v>203.59422300565799</v>
      </c>
      <c r="AI4883">
        <v>88.814382550140706</v>
      </c>
      <c r="AJ4883">
        <v>89.014835396492998</v>
      </c>
      <c r="AK4883">
        <v>203.667926114625</v>
      </c>
      <c r="AL4883">
        <v>88.555015164809603</v>
      </c>
      <c r="AM4883">
        <v>95.753277490519096</v>
      </c>
      <c r="AN4883">
        <v>1.00000001353197</v>
      </c>
    </row>
    <row r="4884" spans="1:40" x14ac:dyDescent="0.25">
      <c r="A4884" t="str">
        <f>"20190305135727329"</f>
        <v>20190305135727329</v>
      </c>
      <c r="B4884" t="str">
        <f>"1551765447316993"</f>
        <v>1551765447316993</v>
      </c>
      <c r="C4884" t="s">
        <v>40</v>
      </c>
      <c r="D4884">
        <v>4.2074400000000001</v>
      </c>
      <c r="E4884">
        <v>0.52332089999999998</v>
      </c>
      <c r="F4884" t="s">
        <v>97</v>
      </c>
      <c r="G4884">
        <v>-162.87960000000001</v>
      </c>
      <c r="H4884">
        <v>5.7853459999999997</v>
      </c>
      <c r="I4884">
        <v>158.0446</v>
      </c>
      <c r="J4884">
        <v>-190.06639999999999</v>
      </c>
      <c r="K4884">
        <v>1.106365</v>
      </c>
      <c r="L4884">
        <v>-43.011569999999999</v>
      </c>
      <c r="M4884">
        <v>0.1238083</v>
      </c>
      <c r="N4884">
        <v>-1.4203550000000001E-2</v>
      </c>
      <c r="O4884">
        <v>0.99220450000000004</v>
      </c>
      <c r="P4884">
        <v>1.891441E-2</v>
      </c>
      <c r="Q4884">
        <v>1.52543E-2</v>
      </c>
      <c r="R4884">
        <v>0.9997047</v>
      </c>
      <c r="S4884">
        <v>0.40489199999999997</v>
      </c>
      <c r="T4884">
        <v>6.9510340000000004E-2</v>
      </c>
      <c r="U4884">
        <v>2.9940799999999999</v>
      </c>
      <c r="V4884">
        <v>-0.1047642</v>
      </c>
      <c r="W4884">
        <v>3.0260059999999998E-2</v>
      </c>
      <c r="X4884">
        <v>0.99403660000000005</v>
      </c>
      <c r="Y4884">
        <v>1.018442E-2</v>
      </c>
      <c r="Z4884">
        <v>3.6917249999999999E-2</v>
      </c>
      <c r="AA4884">
        <v>0.9992664</v>
      </c>
      <c r="AB4884">
        <v>25</v>
      </c>
      <c r="AC4884">
        <v>27.186799999999899</v>
      </c>
      <c r="AD4884">
        <v>4.6789809999999896</v>
      </c>
      <c r="AE4884">
        <v>201.05617000000001</v>
      </c>
      <c r="AF4884">
        <v>2.08154567674358</v>
      </c>
      <c r="AG4884">
        <v>4.6789809999999896</v>
      </c>
      <c r="AH4884">
        <v>202.76740847008199</v>
      </c>
      <c r="AI4884">
        <v>88.678169338030202</v>
      </c>
      <c r="AJ4884">
        <v>89.411840424460195</v>
      </c>
      <c r="AK4884">
        <v>202.83206756643699</v>
      </c>
      <c r="AL4884">
        <v>88.265961545472294</v>
      </c>
      <c r="AM4884">
        <v>96.016346668142702</v>
      </c>
      <c r="AN4884">
        <v>0.99999998548620095</v>
      </c>
    </row>
    <row r="4885" spans="1:40" x14ac:dyDescent="0.25">
      <c r="A4885" t="str">
        <f>"20190305135727353"</f>
        <v>20190305135727353</v>
      </c>
      <c r="B4885" t="str">
        <f>"1551765447347249"</f>
        <v>1551765447347249</v>
      </c>
      <c r="C4885" t="s">
        <v>40</v>
      </c>
      <c r="D4885">
        <v>4.2346329999999996</v>
      </c>
      <c r="E4885">
        <v>0.5147931</v>
      </c>
      <c r="F4885" t="s">
        <v>97</v>
      </c>
      <c r="G4885">
        <v>-173.10759999999999</v>
      </c>
      <c r="H4885">
        <v>5.6384429999999996</v>
      </c>
      <c r="I4885">
        <v>166.6782</v>
      </c>
      <c r="J4885">
        <v>-190.02799999999999</v>
      </c>
      <c r="K4885">
        <v>1.1063459999999901</v>
      </c>
      <c r="L4885">
        <v>-42.753140000000002</v>
      </c>
      <c r="M4885">
        <v>0.12899089999999999</v>
      </c>
      <c r="N4885">
        <v>-1.418204E-2</v>
      </c>
      <c r="O4885">
        <v>0.99154439999999999</v>
      </c>
      <c r="P4885">
        <v>2.2556949999999999E-2</v>
      </c>
      <c r="Q4885">
        <v>1.5682649999999999E-2</v>
      </c>
      <c r="R4885">
        <v>0.99962249999999997</v>
      </c>
      <c r="S4885">
        <v>0.24224850000000001</v>
      </c>
      <c r="T4885">
        <v>6.4738870000000004E-2</v>
      </c>
      <c r="U4885">
        <v>2.9953310000000002</v>
      </c>
      <c r="V4885">
        <v>-0.1063307</v>
      </c>
      <c r="W4885">
        <v>3.068282E-2</v>
      </c>
      <c r="X4885">
        <v>0.99385730000000005</v>
      </c>
      <c r="Y4885">
        <v>-4.869892E-2</v>
      </c>
      <c r="Z4885">
        <v>3.5392989999999999E-2</v>
      </c>
      <c r="AA4885">
        <v>0.99818620000000002</v>
      </c>
      <c r="AB4885">
        <v>25</v>
      </c>
      <c r="AC4885">
        <v>16.920400000000001</v>
      </c>
      <c r="AD4885">
        <v>4.5320970000000003</v>
      </c>
      <c r="AE4885">
        <v>209.43133999999901</v>
      </c>
      <c r="AF4885">
        <v>-10.2336771905075</v>
      </c>
      <c r="AG4885">
        <v>4.5320970000000003</v>
      </c>
      <c r="AH4885">
        <v>209.76655311579199</v>
      </c>
      <c r="AI4885">
        <v>88.763762331534807</v>
      </c>
      <c r="AJ4885">
        <v>92.793019111842298</v>
      </c>
      <c r="AK4885">
        <v>210.06493010052199</v>
      </c>
      <c r="AL4885">
        <v>88.241727941205994</v>
      </c>
      <c r="AM4885">
        <v>96.106725486249005</v>
      </c>
      <c r="AN4885">
        <v>0.99999999298446596</v>
      </c>
    </row>
    <row r="4886" spans="1:40" x14ac:dyDescent="0.25">
      <c r="A4886" t="str">
        <f>"20190305135727379"</f>
        <v>20190305135727379</v>
      </c>
      <c r="B4886" t="str">
        <f>"1551765447367745"</f>
        <v>1551765447367745</v>
      </c>
      <c r="C4886" t="s">
        <v>40</v>
      </c>
      <c r="D4886">
        <v>4.2233890000000001</v>
      </c>
      <c r="E4886">
        <v>0.51286520000000002</v>
      </c>
      <c r="F4886" t="s">
        <v>95</v>
      </c>
      <c r="G4886">
        <v>-167.98259999999999</v>
      </c>
      <c r="H4886">
        <v>10.664630000000001</v>
      </c>
      <c r="I4886">
        <v>314.49709999999999</v>
      </c>
      <c r="J4886">
        <v>-189.9837</v>
      </c>
      <c r="K4886">
        <v>1.1063799999999999</v>
      </c>
      <c r="L4886">
        <v>-42.465850000000003</v>
      </c>
      <c r="M4886">
        <v>0.1347505</v>
      </c>
      <c r="N4886">
        <v>-1.4158749999999999E-2</v>
      </c>
      <c r="O4886">
        <v>0.99077839999999995</v>
      </c>
      <c r="P4886">
        <v>2.6855670000000002E-2</v>
      </c>
      <c r="Q4886">
        <v>1.5493349999999999E-2</v>
      </c>
      <c r="R4886">
        <v>0.99951920000000005</v>
      </c>
      <c r="S4886">
        <v>0.1848602</v>
      </c>
      <c r="T4886">
        <v>8.0150369999999999E-2</v>
      </c>
      <c r="U4886">
        <v>2.9956969999999998</v>
      </c>
      <c r="V4886">
        <v>-0.1078374</v>
      </c>
      <c r="W4886">
        <v>3.0469300000000001E-2</v>
      </c>
      <c r="X4886">
        <v>0.99370150000000002</v>
      </c>
      <c r="Y4886">
        <v>-7.3535870000000003E-2</v>
      </c>
      <c r="Z4886">
        <v>4.0411130000000003E-2</v>
      </c>
      <c r="AA4886">
        <v>0.99647350000000001</v>
      </c>
      <c r="AB4886">
        <v>25</v>
      </c>
      <c r="AC4886">
        <v>22.001100000000001</v>
      </c>
      <c r="AD4886">
        <v>9.5582499999999992</v>
      </c>
      <c r="AE4886">
        <v>356.96294999999998</v>
      </c>
      <c r="AF4886">
        <v>-26.286582341079701</v>
      </c>
      <c r="AG4886">
        <v>9.5582499999999992</v>
      </c>
      <c r="AH4886">
        <v>356.41701272302498</v>
      </c>
      <c r="AI4886">
        <v>88.4679916801894</v>
      </c>
      <c r="AJ4886">
        <v>94.218059938046594</v>
      </c>
      <c r="AK4886">
        <v>357.51284104580299</v>
      </c>
      <c r="AL4886">
        <v>88.253967431071501</v>
      </c>
      <c r="AM4886">
        <v>96.193553144962095</v>
      </c>
      <c r="AN4886">
        <v>0.99999997709174904</v>
      </c>
    </row>
    <row r="4887" spans="1:40" x14ac:dyDescent="0.25">
      <c r="A4887" t="str">
        <f>"20190305135727417"</f>
        <v>20190305135727417</v>
      </c>
      <c r="B4887" t="str">
        <f>"1551765447407761"</f>
        <v>1551765447407761</v>
      </c>
      <c r="C4887" t="s">
        <v>40</v>
      </c>
      <c r="D4887">
        <v>4.2168289999999997</v>
      </c>
      <c r="E4887">
        <v>0.51147140000000002</v>
      </c>
      <c r="F4887" t="s">
        <v>95</v>
      </c>
      <c r="G4887">
        <v>-168.24090000000001</v>
      </c>
      <c r="H4887">
        <v>10.10894</v>
      </c>
      <c r="I4887">
        <v>314.49709999999999</v>
      </c>
      <c r="J4887">
        <v>-189.91630000000001</v>
      </c>
      <c r="K4887">
        <v>1.1065510000000001</v>
      </c>
      <c r="L4887">
        <v>-42.046840000000003</v>
      </c>
      <c r="M4887">
        <v>0.14302239999999999</v>
      </c>
      <c r="N4887">
        <v>-1.4126629999999999E-2</v>
      </c>
      <c r="O4887">
        <v>0.98961860000000001</v>
      </c>
      <c r="P4887">
        <v>3.087583E-2</v>
      </c>
      <c r="Q4887">
        <v>1.7068380000000001E-2</v>
      </c>
      <c r="R4887">
        <v>0.99937750000000003</v>
      </c>
      <c r="S4887">
        <v>0.18244930000000001</v>
      </c>
      <c r="T4887">
        <v>7.5542689999999996E-2</v>
      </c>
      <c r="U4887">
        <v>2.9953609999999999</v>
      </c>
      <c r="V4887">
        <v>-0.11213670000000001</v>
      </c>
      <c r="W4887">
        <v>3.2002049999999997E-2</v>
      </c>
      <c r="X4887">
        <v>0.99317739999999999</v>
      </c>
      <c r="Y4887">
        <v>-8.2652050000000005E-2</v>
      </c>
      <c r="Z4887">
        <v>3.8815629999999997E-2</v>
      </c>
      <c r="AA4887">
        <v>0.99582230000000005</v>
      </c>
      <c r="AB4887">
        <v>25</v>
      </c>
      <c r="AC4887">
        <v>21.6754</v>
      </c>
      <c r="AD4887">
        <v>9.0023889999999902</v>
      </c>
      <c r="AE4887">
        <v>356.543939999999</v>
      </c>
      <c r="AF4887">
        <v>-29.527585241964999</v>
      </c>
      <c r="AG4887">
        <v>9.0023889999999902</v>
      </c>
      <c r="AH4887">
        <v>355.75215263844399</v>
      </c>
      <c r="AI4887">
        <v>88.555391999160605</v>
      </c>
      <c r="AJ4887">
        <v>94.744699333824997</v>
      </c>
      <c r="AK4887">
        <v>357.08894606920501</v>
      </c>
      <c r="AL4887">
        <v>88.166104592169702</v>
      </c>
      <c r="AM4887">
        <v>96.441814722079599</v>
      </c>
      <c r="AN4887">
        <v>1.00000005928092</v>
      </c>
    </row>
    <row r="4888" spans="1:40" x14ac:dyDescent="0.25">
      <c r="A4888" t="str">
        <f>"20190305135727439"</f>
        <v>20190305135727439</v>
      </c>
      <c r="B4888" t="str">
        <f>"1551765447437041"</f>
        <v>1551765447437041</v>
      </c>
      <c r="C4888" t="s">
        <v>40</v>
      </c>
      <c r="D4888">
        <v>4.2285380000000004</v>
      </c>
      <c r="E4888">
        <v>0.51129559999999996</v>
      </c>
      <c r="F4888" t="s">
        <v>95</v>
      </c>
      <c r="G4888">
        <v>-168.0635</v>
      </c>
      <c r="H4888">
        <v>9.7901199999999999</v>
      </c>
      <c r="I4888">
        <v>314.49709999999999</v>
      </c>
      <c r="J4888">
        <v>-189.8742</v>
      </c>
      <c r="K4888">
        <v>1.1066750000000001</v>
      </c>
      <c r="L4888">
        <v>-41.795229999999997</v>
      </c>
      <c r="M4888">
        <v>0.14783089999999999</v>
      </c>
      <c r="N4888">
        <v>-1.410789E-2</v>
      </c>
      <c r="O4888">
        <v>0.98891200000000001</v>
      </c>
      <c r="P4888">
        <v>3.3026359999999998E-2</v>
      </c>
      <c r="Q4888">
        <v>1.7475460000000002E-2</v>
      </c>
      <c r="R4888">
        <v>0.99930169999999996</v>
      </c>
      <c r="S4888">
        <v>0.18356320000000001</v>
      </c>
      <c r="T4888">
        <v>7.2941900000000004E-2</v>
      </c>
      <c r="U4888">
        <v>2.9949650000000001</v>
      </c>
      <c r="V4888">
        <v>-0.1148315</v>
      </c>
      <c r="W4888">
        <v>3.2376170000000003E-2</v>
      </c>
      <c r="X4888">
        <v>0.99285730000000005</v>
      </c>
      <c r="Y4888">
        <v>-8.7115890000000001E-2</v>
      </c>
      <c r="Z4888">
        <v>3.7915579999999997E-2</v>
      </c>
      <c r="AA4888">
        <v>0.99547640000000004</v>
      </c>
      <c r="AB4888">
        <v>25</v>
      </c>
      <c r="AC4888">
        <v>21.810700000000001</v>
      </c>
      <c r="AD4888">
        <v>8.6834449999999901</v>
      </c>
      <c r="AE4888">
        <v>356.29232999999999</v>
      </c>
      <c r="AF4888">
        <v>-31.0868532340976</v>
      </c>
      <c r="AG4888">
        <v>8.6834449999999901</v>
      </c>
      <c r="AH4888">
        <v>355.39114779077602</v>
      </c>
      <c r="AI4888">
        <v>88.605664821756307</v>
      </c>
      <c r="AJ4888">
        <v>94.999065101631899</v>
      </c>
      <c r="AK4888">
        <v>356.85383925230701</v>
      </c>
      <c r="AL4888">
        <v>88.144657972715507</v>
      </c>
      <c r="AM4888">
        <v>96.597379970267895</v>
      </c>
      <c r="AN4888">
        <v>1.0000000539697</v>
      </c>
    </row>
    <row r="4889" spans="1:40" x14ac:dyDescent="0.25">
      <c r="A4889" t="str">
        <f>"20190305135727463"</f>
        <v>20190305135727463</v>
      </c>
      <c r="B4889" t="str">
        <f>"1551765447456991"</f>
        <v>1551765447456991</v>
      </c>
      <c r="C4889" t="s">
        <v>40</v>
      </c>
      <c r="D4889">
        <v>4.2372420000000002</v>
      </c>
      <c r="E4889">
        <v>0.51110239999999996</v>
      </c>
      <c r="F4889" t="s">
        <v>95</v>
      </c>
      <c r="G4889">
        <v>-167.43350000000001</v>
      </c>
      <c r="H4889">
        <v>9.5120179999999994</v>
      </c>
      <c r="I4889">
        <v>314.49709999999999</v>
      </c>
      <c r="J4889">
        <v>-189.83009999999999</v>
      </c>
      <c r="K4889">
        <v>1.1067910000000001</v>
      </c>
      <c r="L4889">
        <v>-41.538020000000003</v>
      </c>
      <c r="M4889">
        <v>0.15260099999999999</v>
      </c>
      <c r="N4889">
        <v>-1.404323E-2</v>
      </c>
      <c r="O4889">
        <v>0.98818810000000001</v>
      </c>
      <c r="P4889">
        <v>3.5926310000000003E-2</v>
      </c>
      <c r="Q4889">
        <v>1.9528440000000001E-2</v>
      </c>
      <c r="R4889">
        <v>0.99916360000000004</v>
      </c>
      <c r="S4889">
        <v>0.1886139</v>
      </c>
      <c r="T4889">
        <v>7.0646760000000003E-2</v>
      </c>
      <c r="U4889">
        <v>2.9946290000000002</v>
      </c>
      <c r="V4889">
        <v>-0.1167301</v>
      </c>
      <c r="W4889">
        <v>3.434251E-2</v>
      </c>
      <c r="X4889">
        <v>0.9925697</v>
      </c>
      <c r="Y4889">
        <v>-9.0240829999999994E-2</v>
      </c>
      <c r="Z4889">
        <v>3.7069350000000001E-2</v>
      </c>
      <c r="AA4889">
        <v>0.99522980000000005</v>
      </c>
      <c r="AB4889">
        <v>25</v>
      </c>
      <c r="AC4889">
        <v>22.3965999999999</v>
      </c>
      <c r="AD4889">
        <v>8.405227</v>
      </c>
      <c r="AE4889">
        <v>356.03512000000001</v>
      </c>
      <c r="AF4889">
        <v>-32.184570527354602</v>
      </c>
      <c r="AG4889">
        <v>8.405227</v>
      </c>
      <c r="AH4889">
        <v>355.08532731329598</v>
      </c>
      <c r="AI4889">
        <v>88.649538367737605</v>
      </c>
      <c r="AJ4889">
        <v>95.179078956816895</v>
      </c>
      <c r="AK4889">
        <v>356.63999228093098</v>
      </c>
      <c r="AL4889">
        <v>88.031932065229697</v>
      </c>
      <c r="AM4889">
        <v>96.707399572409699</v>
      </c>
      <c r="AN4889">
        <v>0.99999996679859904</v>
      </c>
    </row>
    <row r="4890" spans="1:40" x14ac:dyDescent="0.25">
      <c r="A4890" t="str">
        <f>"20190305135727489"</f>
        <v>20190305135727489</v>
      </c>
      <c r="B4890" t="str">
        <f>"1551765447477488"</f>
        <v>1551765447477488</v>
      </c>
      <c r="C4890" t="s">
        <v>40</v>
      </c>
      <c r="D4890">
        <v>4.2389070000000002</v>
      </c>
      <c r="E4890">
        <v>0.51101269999999999</v>
      </c>
      <c r="F4890" t="s">
        <v>51</v>
      </c>
      <c r="G4890">
        <v>-167.89850000000001</v>
      </c>
      <c r="H4890">
        <v>9.5187720000000002</v>
      </c>
      <c r="I4890">
        <v>293.76900000000001</v>
      </c>
      <c r="J4890">
        <v>-189.78290000000001</v>
      </c>
      <c r="K4890">
        <v>1.1068690000000001</v>
      </c>
      <c r="L4890">
        <v>-41.269559999999998</v>
      </c>
      <c r="M4890">
        <v>0.15738829999999901</v>
      </c>
      <c r="N4890">
        <v>-1.381805E-2</v>
      </c>
      <c r="O4890">
        <v>0.98744010000000004</v>
      </c>
      <c r="P4890">
        <v>3.9992590000000001E-2</v>
      </c>
      <c r="Q4890">
        <v>2.256679E-2</v>
      </c>
      <c r="R4890">
        <v>0.99894510000000003</v>
      </c>
      <c r="S4890">
        <v>0.19583130000000001</v>
      </c>
      <c r="T4890">
        <v>7.5112819999999997E-2</v>
      </c>
      <c r="U4890">
        <v>2.9940190000000002</v>
      </c>
      <c r="V4890">
        <v>-0.1174809</v>
      </c>
      <c r="W4890">
        <v>3.7123549999999998E-2</v>
      </c>
      <c r="X4890">
        <v>0.99238099999999996</v>
      </c>
      <c r="Y4890">
        <v>-9.2668810000000004E-2</v>
      </c>
      <c r="Z4890">
        <v>3.8271609999999998E-2</v>
      </c>
      <c r="AA4890">
        <v>0.99496119999999999</v>
      </c>
      <c r="AB4890">
        <v>24</v>
      </c>
      <c r="AC4890">
        <v>21.884399999999999</v>
      </c>
      <c r="AD4890">
        <v>8.4119030000000006</v>
      </c>
      <c r="AE4890">
        <v>335.03856000000002</v>
      </c>
      <c r="AF4890">
        <v>-31.105062823205799</v>
      </c>
      <c r="AG4890">
        <v>8.4119030000000006</v>
      </c>
      <c r="AH4890">
        <v>334.09706917165801</v>
      </c>
      <c r="AI4890">
        <v>88.563918286085396</v>
      </c>
      <c r="AJ4890">
        <v>95.319011412901304</v>
      </c>
      <c r="AK4890">
        <v>335.647339739806</v>
      </c>
      <c r="AL4890">
        <v>87.872488365993703</v>
      </c>
      <c r="AM4890">
        <v>96.751415955962003</v>
      </c>
      <c r="AN4890">
        <v>0.999999984495206</v>
      </c>
    </row>
    <row r="4891" spans="1:40" x14ac:dyDescent="0.25">
      <c r="A4891" t="str">
        <f>"20190305135727510"</f>
        <v>20190305135727510</v>
      </c>
      <c r="B4891" t="str">
        <f>"1551765447507744"</f>
        <v>1551765447507744</v>
      </c>
      <c r="C4891" t="s">
        <v>40</v>
      </c>
      <c r="D4891">
        <v>4.1941249999999997</v>
      </c>
      <c r="E4891">
        <v>0.5108203</v>
      </c>
      <c r="F4891" t="s">
        <v>51</v>
      </c>
      <c r="G4891">
        <v>-167.89850000000001</v>
      </c>
      <c r="H4891">
        <v>9.8124900000000004</v>
      </c>
      <c r="I4891">
        <v>274.73700000000002</v>
      </c>
      <c r="J4891">
        <v>-189.74080000000001</v>
      </c>
      <c r="K4891">
        <v>1.1069089999999999</v>
      </c>
      <c r="L4891">
        <v>-41.034970000000001</v>
      </c>
      <c r="M4891">
        <v>0.16135539999999901</v>
      </c>
      <c r="N4891">
        <v>-1.344949E-2</v>
      </c>
      <c r="O4891">
        <v>0.98680469999999998</v>
      </c>
      <c r="P4891">
        <v>4.2953680000000001E-2</v>
      </c>
      <c r="Q4891">
        <v>2.4047530000000001E-2</v>
      </c>
      <c r="R4891">
        <v>0.9987876</v>
      </c>
      <c r="S4891">
        <v>0.2072754</v>
      </c>
      <c r="T4891">
        <v>8.2454799999999995E-2</v>
      </c>
      <c r="U4891">
        <v>2.9930110000000001</v>
      </c>
      <c r="V4891">
        <v>-0.11852550000000001</v>
      </c>
      <c r="W4891">
        <v>3.820569E-2</v>
      </c>
      <c r="X4891">
        <v>0.99221570000000003</v>
      </c>
      <c r="Y4891">
        <v>-9.2867710000000006E-2</v>
      </c>
      <c r="Z4891">
        <v>4.0273370000000003E-2</v>
      </c>
      <c r="AA4891">
        <v>0.99486359999999996</v>
      </c>
      <c r="AB4891">
        <v>24</v>
      </c>
      <c r="AC4891">
        <v>21.842299999999899</v>
      </c>
      <c r="AD4891">
        <v>8.7055809999999898</v>
      </c>
      <c r="AE4891">
        <v>315.77197000000001</v>
      </c>
      <c r="AF4891">
        <v>-29.377865228033698</v>
      </c>
      <c r="AG4891">
        <v>8.7055809999999898</v>
      </c>
      <c r="AH4891">
        <v>314.91992898647698</v>
      </c>
      <c r="AI4891">
        <v>88.423372561555198</v>
      </c>
      <c r="AJ4891">
        <v>95.329514432099103</v>
      </c>
      <c r="AK4891">
        <v>316.407028649415</v>
      </c>
      <c r="AL4891">
        <v>87.810442276287404</v>
      </c>
      <c r="AM4891">
        <v>96.812009772783497</v>
      </c>
      <c r="AN4891">
        <v>0.99999998211255703</v>
      </c>
    </row>
    <row r="4892" spans="1:40" x14ac:dyDescent="0.25">
      <c r="A4892" t="str">
        <f>"20190305135727531"</f>
        <v>20190305135727531</v>
      </c>
      <c r="B4892" t="str">
        <f>"1551765447527263"</f>
        <v>1551765447527263</v>
      </c>
      <c r="C4892" t="s">
        <v>40</v>
      </c>
      <c r="D4892">
        <v>4.2066670000000004</v>
      </c>
      <c r="E4892">
        <v>0.51075879999999996</v>
      </c>
      <c r="F4892" t="s">
        <v>51</v>
      </c>
      <c r="G4892">
        <v>-167.4503</v>
      </c>
      <c r="H4892">
        <v>9.8740579999999998</v>
      </c>
      <c r="I4892">
        <v>269.69499999999999</v>
      </c>
      <c r="J4892">
        <v>-189.69890000000001</v>
      </c>
      <c r="K4892">
        <v>1.106954</v>
      </c>
      <c r="L4892">
        <v>-40.805759999999999</v>
      </c>
      <c r="M4892">
        <v>0.1650219</v>
      </c>
      <c r="N4892">
        <v>-1.299342E-2</v>
      </c>
      <c r="O4892">
        <v>0.98620430000000003</v>
      </c>
      <c r="P4892">
        <v>4.4478579999999997E-2</v>
      </c>
      <c r="Q4892">
        <v>2.3221450000000001E-2</v>
      </c>
      <c r="R4892">
        <v>0.99874039999999997</v>
      </c>
      <c r="S4892">
        <v>0.21466060000000001</v>
      </c>
      <c r="T4892">
        <v>8.4429499999999894E-2</v>
      </c>
      <c r="U4892">
        <v>2.9923709999999999</v>
      </c>
      <c r="V4892">
        <v>-0.1207241</v>
      </c>
      <c r="W4892">
        <v>3.68934E-2</v>
      </c>
      <c r="X4892">
        <v>0.99200029999999995</v>
      </c>
      <c r="Y4892">
        <v>-9.4110349999999995E-2</v>
      </c>
      <c r="Z4892">
        <v>4.0435819999999997E-2</v>
      </c>
      <c r="AA4892">
        <v>0.99474019999999996</v>
      </c>
      <c r="AB4892">
        <v>25</v>
      </c>
      <c r="AC4892">
        <v>22.2486</v>
      </c>
      <c r="AD4892">
        <v>8.7671039999999998</v>
      </c>
      <c r="AE4892">
        <v>310.50076000000001</v>
      </c>
      <c r="AF4892">
        <v>-29.277012704511598</v>
      </c>
      <c r="AG4892">
        <v>8.7671039999999998</v>
      </c>
      <c r="AH4892">
        <v>309.66923832382298</v>
      </c>
      <c r="AI4892">
        <v>88.385517117046504</v>
      </c>
      <c r="AJ4892">
        <v>95.400852958089899</v>
      </c>
      <c r="AK4892">
        <v>311.17365368794202</v>
      </c>
      <c r="AL4892">
        <v>87.885684090356804</v>
      </c>
      <c r="AM4892">
        <v>96.938641169669197</v>
      </c>
      <c r="AN4892">
        <v>1.00000001324223</v>
      </c>
    </row>
    <row r="4893" spans="1:40" x14ac:dyDescent="0.25">
      <c r="A4893" t="str">
        <f>"20190305135727552"</f>
        <v>20190305135727552</v>
      </c>
      <c r="B4893" t="str">
        <f>"1551765447547759"</f>
        <v>1551765447547759</v>
      </c>
      <c r="C4893" t="s">
        <v>40</v>
      </c>
      <c r="D4893">
        <v>4.2060320000000004</v>
      </c>
      <c r="E4893">
        <v>0.51063740000000002</v>
      </c>
      <c r="F4893" t="s">
        <v>51</v>
      </c>
      <c r="G4893">
        <v>-166.9736</v>
      </c>
      <c r="H4893">
        <v>9.4318519999999992</v>
      </c>
      <c r="I4893">
        <v>269.69499999999999</v>
      </c>
      <c r="J4893">
        <v>-189.65639999999999</v>
      </c>
      <c r="K4893">
        <v>1.1070139999999999</v>
      </c>
      <c r="L4893">
        <v>-40.576390000000004</v>
      </c>
      <c r="M4893">
        <v>0.16852899999999901</v>
      </c>
      <c r="N4893">
        <v>-1.2522E-2</v>
      </c>
      <c r="O4893">
        <v>0.98561719999999997</v>
      </c>
      <c r="P4893">
        <v>4.4805810000000001E-2</v>
      </c>
      <c r="Q4893">
        <v>2.1743519999999999E-2</v>
      </c>
      <c r="R4893">
        <v>0.99875899999999995</v>
      </c>
      <c r="S4893">
        <v>0.2189941</v>
      </c>
      <c r="T4893">
        <v>8.0224039999999996E-2</v>
      </c>
      <c r="U4893">
        <v>2.9921570000000002</v>
      </c>
      <c r="V4893">
        <v>-0.12395829999999999</v>
      </c>
      <c r="W4893">
        <v>3.4917719999999999E-2</v>
      </c>
      <c r="X4893">
        <v>0.99167289999999997</v>
      </c>
      <c r="Y4893">
        <v>-9.6206319999999998E-2</v>
      </c>
      <c r="Z4893">
        <v>3.8568970000000001E-2</v>
      </c>
      <c r="AA4893">
        <v>0.99461390000000005</v>
      </c>
      <c r="AB4893">
        <v>25</v>
      </c>
      <c r="AC4893">
        <v>22.682799999999901</v>
      </c>
      <c r="AD4893">
        <v>8.3248379999999997</v>
      </c>
      <c r="AE4893">
        <v>310.27139</v>
      </c>
      <c r="AF4893">
        <v>-29.914094495497601</v>
      </c>
      <c r="AG4893">
        <v>8.3248379999999997</v>
      </c>
      <c r="AH4893">
        <v>309.434217076717</v>
      </c>
      <c r="AI4893">
        <v>88.466067227184197</v>
      </c>
      <c r="AJ4893">
        <v>95.521825358539104</v>
      </c>
      <c r="AK4893">
        <v>310.98824845175801</v>
      </c>
      <c r="AL4893">
        <v>87.998955293143396</v>
      </c>
      <c r="AM4893">
        <v>97.124970127382298</v>
      </c>
      <c r="AN4893">
        <v>1.00000002395164</v>
      </c>
    </row>
    <row r="4894" spans="1:40" x14ac:dyDescent="0.25">
      <c r="A4894" t="str">
        <f>"20190305135727598"</f>
        <v>20190305135727598</v>
      </c>
      <c r="B4894" t="str">
        <f>"1551765447587775"</f>
        <v>1551765447587775</v>
      </c>
      <c r="C4894" t="s">
        <v>40</v>
      </c>
      <c r="D4894">
        <v>4.104673</v>
      </c>
      <c r="E4894">
        <v>0.51068930000000001</v>
      </c>
      <c r="F4894" t="s">
        <v>69</v>
      </c>
      <c r="G4894">
        <v>-169.1439</v>
      </c>
      <c r="H4894">
        <v>8.0328599999999994</v>
      </c>
      <c r="I4894">
        <v>239.76259999999999</v>
      </c>
      <c r="J4894">
        <v>-189.56110000000001</v>
      </c>
      <c r="K4894">
        <v>1.107138</v>
      </c>
      <c r="L4894">
        <v>-40.073700000000002</v>
      </c>
      <c r="M4894">
        <v>0.17559029999999901</v>
      </c>
      <c r="N4894">
        <v>-1.1463549999999999E-2</v>
      </c>
      <c r="O4894">
        <v>0.98439659999999995</v>
      </c>
      <c r="P4894">
        <v>4.7252229999999999E-2</v>
      </c>
      <c r="Q4894">
        <v>2.1755400000000001E-2</v>
      </c>
      <c r="R4894">
        <v>0.99864600000000003</v>
      </c>
      <c r="S4894">
        <v>0.21894839999999999</v>
      </c>
      <c r="T4894">
        <v>7.3926329999999998E-2</v>
      </c>
      <c r="U4894">
        <v>2.9923099999999998</v>
      </c>
      <c r="V4894">
        <v>-0.12866830000000001</v>
      </c>
      <c r="W4894">
        <v>3.3804960000000002E-2</v>
      </c>
      <c r="X4894">
        <v>0.99111130000000003</v>
      </c>
      <c r="Y4894">
        <v>-0.1033466</v>
      </c>
      <c r="Z4894">
        <v>3.5409990000000002E-2</v>
      </c>
      <c r="AA4894">
        <v>0.99401490000000003</v>
      </c>
      <c r="AB4894">
        <v>25</v>
      </c>
      <c r="AC4894">
        <v>20.417200000000001</v>
      </c>
      <c r="AD4894">
        <v>6.9257220000000004</v>
      </c>
      <c r="AE4894">
        <v>279.83629999999999</v>
      </c>
      <c r="AF4894">
        <v>-29.022142718249501</v>
      </c>
      <c r="AG4894">
        <v>6.9257220000000004</v>
      </c>
      <c r="AH4894">
        <v>278.90336756179698</v>
      </c>
      <c r="AI4894">
        <v>88.585161092941604</v>
      </c>
      <c r="AJ4894">
        <v>95.940706947747501</v>
      </c>
      <c r="AK4894">
        <v>280.49481070153701</v>
      </c>
      <c r="AL4894">
        <v>88.062749290497194</v>
      </c>
      <c r="AM4894">
        <v>97.3968968896517</v>
      </c>
      <c r="AN4894">
        <v>0.99999995786658902</v>
      </c>
    </row>
    <row r="4895" spans="1:40" x14ac:dyDescent="0.25">
      <c r="A4895" t="str">
        <f>"20190305135727619"</f>
        <v>20190305135727619</v>
      </c>
      <c r="B4895" t="str">
        <f>"1551765447607296"</f>
        <v>1551765447607296</v>
      </c>
      <c r="C4895" t="s">
        <v>40</v>
      </c>
      <c r="D4895">
        <v>4.0810380000000004</v>
      </c>
      <c r="E4895">
        <v>0.5107505</v>
      </c>
      <c r="F4895" t="s">
        <v>50</v>
      </c>
      <c r="G4895">
        <v>-177.4658</v>
      </c>
      <c r="H4895">
        <v>4.9728510000000004</v>
      </c>
      <c r="I4895">
        <v>119.495</v>
      </c>
      <c r="J4895">
        <v>-189.51650000000001</v>
      </c>
      <c r="K4895">
        <v>1.1072059999999999</v>
      </c>
      <c r="L4895">
        <v>-39.842590000000001</v>
      </c>
      <c r="M4895">
        <v>0.1785138</v>
      </c>
      <c r="N4895">
        <v>-1.0979589999999999E-2</v>
      </c>
      <c r="O4895">
        <v>0.98387619999999998</v>
      </c>
      <c r="P4895">
        <v>4.9357480000000002E-2</v>
      </c>
      <c r="Q4895">
        <v>2.305316E-2</v>
      </c>
      <c r="R4895">
        <v>0.99851509999999999</v>
      </c>
      <c r="S4895">
        <v>0.22677610000000001</v>
      </c>
      <c r="T4895">
        <v>7.2478409999999993E-2</v>
      </c>
      <c r="U4895">
        <v>2.9917600000000002</v>
      </c>
      <c r="V4895">
        <v>-0.129523</v>
      </c>
      <c r="W4895">
        <v>3.4586029999999997E-2</v>
      </c>
      <c r="X4895">
        <v>0.99097310000000005</v>
      </c>
      <c r="Y4895">
        <v>-0.1036977</v>
      </c>
      <c r="Z4895">
        <v>3.4438160000000002E-2</v>
      </c>
      <c r="AA4895">
        <v>0.99401249999999997</v>
      </c>
      <c r="AB4895">
        <v>25</v>
      </c>
      <c r="AC4895">
        <v>12.050700000000001</v>
      </c>
      <c r="AD4895">
        <v>3.8656450000000002</v>
      </c>
      <c r="AE4895">
        <v>159.33758999999901</v>
      </c>
      <c r="AF4895">
        <v>-16.578858265030199</v>
      </c>
      <c r="AG4895">
        <v>3.8656450000000002</v>
      </c>
      <c r="AH4895">
        <v>158.83629373985801</v>
      </c>
      <c r="AI4895">
        <v>88.613381063868601</v>
      </c>
      <c r="AJ4895">
        <v>95.958785515626701</v>
      </c>
      <c r="AK4895">
        <v>159.74595444533901</v>
      </c>
      <c r="AL4895">
        <v>88.017971253741507</v>
      </c>
      <c r="AM4895">
        <v>97.446509164672094</v>
      </c>
      <c r="AN4895">
        <v>1.0000000429618801</v>
      </c>
    </row>
    <row r="4896" spans="1:40" x14ac:dyDescent="0.25">
      <c r="A4896" t="str">
        <f>"20190305135727642"</f>
        <v>20190305135727642</v>
      </c>
      <c r="B4896" t="str">
        <f>"1551765447637551"</f>
        <v>1551765447637551</v>
      </c>
      <c r="C4896" t="s">
        <v>40</v>
      </c>
      <c r="D4896">
        <v>4.0031210000000002</v>
      </c>
      <c r="E4896">
        <v>0.51085320000000001</v>
      </c>
      <c r="F4896" t="s">
        <v>97</v>
      </c>
      <c r="G4896">
        <v>-173.2107</v>
      </c>
      <c r="H4896">
        <v>6.3830039999999997</v>
      </c>
      <c r="I4896">
        <v>168.93620000000001</v>
      </c>
      <c r="J4896">
        <v>-189.4659</v>
      </c>
      <c r="K4896">
        <v>1.107291</v>
      </c>
      <c r="L4896">
        <v>-39.583039999999997</v>
      </c>
      <c r="M4896">
        <v>0.18153710000000001</v>
      </c>
      <c r="N4896">
        <v>-1.045777E-2</v>
      </c>
      <c r="O4896">
        <v>0.98332850000000005</v>
      </c>
      <c r="P4896">
        <v>5.0855230000000001E-2</v>
      </c>
      <c r="Q4896">
        <v>2.4316290000000001E-2</v>
      </c>
      <c r="R4896">
        <v>0.99841000000000002</v>
      </c>
      <c r="S4896">
        <v>0.23361209999999999</v>
      </c>
      <c r="T4896">
        <v>7.5585719999999995E-2</v>
      </c>
      <c r="U4896">
        <v>2.9911500000000002</v>
      </c>
      <c r="V4896">
        <v>-0.13108510000000001</v>
      </c>
      <c r="W4896">
        <v>3.5291320000000001E-2</v>
      </c>
      <c r="X4896">
        <v>0.99074269999999998</v>
      </c>
      <c r="Y4896">
        <v>-0.10448209999999999</v>
      </c>
      <c r="Z4896">
        <v>3.4905940000000003E-2</v>
      </c>
      <c r="AA4896">
        <v>0.99391399999999996</v>
      </c>
      <c r="AB4896">
        <v>25</v>
      </c>
      <c r="AC4896">
        <v>16.255199999999999</v>
      </c>
      <c r="AD4896">
        <v>5.2757129999999997</v>
      </c>
      <c r="AE4896">
        <v>208.51924</v>
      </c>
      <c r="AF4896">
        <v>-21.857065524845201</v>
      </c>
      <c r="AG4896">
        <v>5.2757129999999997</v>
      </c>
      <c r="AH4896">
        <v>207.87294304785499</v>
      </c>
      <c r="AI4896">
        <v>88.554140545168096</v>
      </c>
      <c r="AJ4896">
        <v>96.002382341038697</v>
      </c>
      <c r="AK4896">
        <v>209.08544882987999</v>
      </c>
      <c r="AL4896">
        <v>87.977536217119706</v>
      </c>
      <c r="AM4896">
        <v>97.537023347118804</v>
      </c>
      <c r="AN4896">
        <v>0.99999993915631902</v>
      </c>
    </row>
    <row r="4897" spans="1:40" x14ac:dyDescent="0.25">
      <c r="A4897" t="str">
        <f>"20190305135727663"</f>
        <v>20190305135727663</v>
      </c>
      <c r="B4897" t="str">
        <f>"1551765447657072"</f>
        <v>1551765447657072</v>
      </c>
      <c r="C4897" t="s">
        <v>40</v>
      </c>
      <c r="D4897">
        <v>3.931638</v>
      </c>
      <c r="E4897">
        <v>0.51086169999999997</v>
      </c>
      <c r="F4897" t="s">
        <v>70</v>
      </c>
      <c r="G4897">
        <v>-169.71109999999999</v>
      </c>
      <c r="H4897">
        <v>7.634563</v>
      </c>
      <c r="I4897">
        <v>207.64830000000001</v>
      </c>
      <c r="J4897">
        <v>-189.41900000000001</v>
      </c>
      <c r="K4897">
        <v>1.1074040000000001</v>
      </c>
      <c r="L4897">
        <v>-39.345089999999999</v>
      </c>
      <c r="M4897">
        <v>0.18401699999999999</v>
      </c>
      <c r="N4897">
        <v>-9.9905749999999998E-3</v>
      </c>
      <c r="O4897">
        <v>0.98287230000000003</v>
      </c>
      <c r="P4897">
        <v>5.1722879999999999E-2</v>
      </c>
      <c r="Q4897">
        <v>2.5220469999999998E-2</v>
      </c>
      <c r="R4897">
        <v>0.99834299999999998</v>
      </c>
      <c r="S4897">
        <v>0.23896790000000001</v>
      </c>
      <c r="T4897">
        <v>7.8959109999999999E-2</v>
      </c>
      <c r="U4897">
        <v>2.9906920000000001</v>
      </c>
      <c r="V4897">
        <v>-0.1327304</v>
      </c>
      <c r="W4897">
        <v>3.5684470000000003E-2</v>
      </c>
      <c r="X4897">
        <v>0.99050959999999999</v>
      </c>
      <c r="Y4897">
        <v>-0.1052115</v>
      </c>
      <c r="Z4897">
        <v>3.5516249999999999E-2</v>
      </c>
      <c r="AA4897">
        <v>0.99381540000000002</v>
      </c>
      <c r="AB4897">
        <v>25</v>
      </c>
      <c r="AC4897">
        <v>19.707899999999999</v>
      </c>
      <c r="AD4897">
        <v>6.5271590000000002</v>
      </c>
      <c r="AE4897">
        <v>246.99338999999901</v>
      </c>
      <c r="AF4897">
        <v>-26.0638482507741</v>
      </c>
      <c r="AG4897">
        <v>6.5271590000000002</v>
      </c>
      <c r="AH4897">
        <v>246.230974579991</v>
      </c>
      <c r="AI4897">
        <v>88.489975197317605</v>
      </c>
      <c r="AJ4897">
        <v>96.042327960336706</v>
      </c>
      <c r="AK4897">
        <v>247.69259341543199</v>
      </c>
      <c r="AL4897">
        <v>87.954996314900797</v>
      </c>
      <c r="AM4897">
        <v>97.632290176403799</v>
      </c>
      <c r="AN4897">
        <v>1.0000000040877499</v>
      </c>
    </row>
    <row r="4898" spans="1:40" x14ac:dyDescent="0.25">
      <c r="A4898" t="str">
        <f>"20190305135727686"</f>
        <v>20190305135727686</v>
      </c>
      <c r="B4898" t="str">
        <f>"1551765447677568"</f>
        <v>1551765447677568</v>
      </c>
      <c r="C4898" t="s">
        <v>40</v>
      </c>
      <c r="D4898">
        <v>3.9283779999999999</v>
      </c>
      <c r="E4898">
        <v>0.51091049999999905</v>
      </c>
      <c r="F4898" t="s">
        <v>70</v>
      </c>
      <c r="G4898">
        <v>-169.39500000000001</v>
      </c>
      <c r="H4898">
        <v>7.8853530000000003</v>
      </c>
      <c r="I4898">
        <v>208.636</v>
      </c>
      <c r="J4898">
        <v>-189.3689</v>
      </c>
      <c r="K4898">
        <v>1.10755</v>
      </c>
      <c r="L4898">
        <v>-39.09216</v>
      </c>
      <c r="M4898">
        <v>0.18633230000000001</v>
      </c>
      <c r="N4898">
        <v>-9.5029180000000008E-3</v>
      </c>
      <c r="O4898">
        <v>0.9824408</v>
      </c>
      <c r="P4898">
        <v>5.3100679999999997E-2</v>
      </c>
      <c r="Q4898">
        <v>2.5846899999999999E-2</v>
      </c>
      <c r="R4898">
        <v>0.99825459999999999</v>
      </c>
      <c r="S4898">
        <v>0.2414703</v>
      </c>
      <c r="T4898">
        <v>8.1736089999999997E-2</v>
      </c>
      <c r="U4898">
        <v>2.9904169999999999</v>
      </c>
      <c r="V4898">
        <v>-0.13371089999999999</v>
      </c>
      <c r="W4898">
        <v>3.5764049999999999E-2</v>
      </c>
      <c r="X4898">
        <v>0.99037489999999995</v>
      </c>
      <c r="Y4898">
        <v>-0.1067215</v>
      </c>
      <c r="Z4898">
        <v>3.5911989999999998E-2</v>
      </c>
      <c r="AA4898">
        <v>0.99364019999999997</v>
      </c>
      <c r="AB4898">
        <v>25</v>
      </c>
      <c r="AC4898">
        <v>19.973899999999901</v>
      </c>
      <c r="AD4898">
        <v>6.7778029999999996</v>
      </c>
      <c r="AE4898">
        <v>247.72816</v>
      </c>
      <c r="AF4898">
        <v>-26.518060213268701</v>
      </c>
      <c r="AG4898">
        <v>6.7778029999999996</v>
      </c>
      <c r="AH4898">
        <v>246.927551296697</v>
      </c>
      <c r="AI4898">
        <v>88.436693283393694</v>
      </c>
      <c r="AJ4898">
        <v>96.129619831763193</v>
      </c>
      <c r="AK4898">
        <v>248.43985533799599</v>
      </c>
      <c r="AL4898">
        <v>87.950433913575097</v>
      </c>
      <c r="AM4898">
        <v>97.689032332084494</v>
      </c>
      <c r="AN4898">
        <v>1.0000000573006</v>
      </c>
    </row>
    <row r="4899" spans="1:40" x14ac:dyDescent="0.25">
      <c r="A4899" t="str">
        <f>"20190305135727708"</f>
        <v>20190305135727708</v>
      </c>
      <c r="B4899" t="str">
        <f>"1551765447697088"</f>
        <v>1551765447697088</v>
      </c>
      <c r="C4899" t="s">
        <v>40</v>
      </c>
      <c r="D4899">
        <v>3.8907850000000002</v>
      </c>
      <c r="E4899">
        <v>0.51094839999999997</v>
      </c>
      <c r="F4899" t="s">
        <v>70</v>
      </c>
      <c r="G4899">
        <v>-169.01300000000001</v>
      </c>
      <c r="H4899">
        <v>8.0021609999999992</v>
      </c>
      <c r="I4899">
        <v>208.21289999999999</v>
      </c>
      <c r="J4899">
        <v>-189.32060000000001</v>
      </c>
      <c r="K4899">
        <v>1.1077269999999999</v>
      </c>
      <c r="L4899">
        <v>-38.849550000000001</v>
      </c>
      <c r="M4899">
        <v>0.18823129999999999</v>
      </c>
      <c r="N4899">
        <v>-9.0444259999999995E-3</v>
      </c>
      <c r="O4899">
        <v>0.98208309999999999</v>
      </c>
      <c r="P4899">
        <v>5.481867E-2</v>
      </c>
      <c r="Q4899">
        <v>2.626247E-2</v>
      </c>
      <c r="R4899">
        <v>0.99815089999999995</v>
      </c>
      <c r="S4899">
        <v>0.24610899999999999</v>
      </c>
      <c r="T4899">
        <v>8.3358290000000002E-2</v>
      </c>
      <c r="U4899">
        <v>2.9899900000000001</v>
      </c>
      <c r="V4899">
        <v>-0.13393769999999999</v>
      </c>
      <c r="W4899">
        <v>3.565492E-2</v>
      </c>
      <c r="X4899">
        <v>0.99034820000000001</v>
      </c>
      <c r="Y4899">
        <v>-0.107100399999999</v>
      </c>
      <c r="Z4899">
        <v>3.596688E-2</v>
      </c>
      <c r="AA4899">
        <v>0.99359739999999996</v>
      </c>
      <c r="AB4899">
        <v>25</v>
      </c>
      <c r="AC4899">
        <v>20.307600000000001</v>
      </c>
      <c r="AD4899">
        <v>6.8944339999999897</v>
      </c>
      <c r="AE4899">
        <v>247.06245000000001</v>
      </c>
      <c r="AF4899">
        <v>-26.5416913445349</v>
      </c>
      <c r="AG4899">
        <v>6.8944339999999897</v>
      </c>
      <c r="AH4899">
        <v>246.277963254811</v>
      </c>
      <c r="AI4899">
        <v>88.405678026247003</v>
      </c>
      <c r="AJ4899">
        <v>96.151098528870406</v>
      </c>
      <c r="AK4899">
        <v>247.79997938770501</v>
      </c>
      <c r="AL4899">
        <v>87.956690616027601</v>
      </c>
      <c r="AM4899">
        <v>97.7021231818552</v>
      </c>
      <c r="AN4899">
        <v>1.00000006902236</v>
      </c>
    </row>
    <row r="4900" spans="1:40" x14ac:dyDescent="0.25">
      <c r="A4900" t="str">
        <f>"20190305135727731"</f>
        <v>20190305135727731</v>
      </c>
      <c r="B4900" t="str">
        <f>"1551765447727343"</f>
        <v>1551765447727343</v>
      </c>
      <c r="C4900" t="s">
        <v>40</v>
      </c>
      <c r="D4900">
        <v>3.854568</v>
      </c>
      <c r="E4900">
        <v>0.51097979999999998</v>
      </c>
      <c r="F4900" t="s">
        <v>70</v>
      </c>
      <c r="G4900">
        <v>-169.71559999999999</v>
      </c>
      <c r="H4900">
        <v>7.6887589999999904</v>
      </c>
      <c r="I4900">
        <v>194.13839999999999</v>
      </c>
      <c r="J4900">
        <v>-189.27</v>
      </c>
      <c r="K4900">
        <v>1.107907</v>
      </c>
      <c r="L4900">
        <v>-38.596310000000003</v>
      </c>
      <c r="M4900">
        <v>0.18987560000000001</v>
      </c>
      <c r="N4900">
        <v>-8.577454E-3</v>
      </c>
      <c r="O4900">
        <v>0.9817707</v>
      </c>
      <c r="P4900">
        <v>5.6221100000000003E-2</v>
      </c>
      <c r="Q4900">
        <v>2.8090529999999999E-2</v>
      </c>
      <c r="R4900">
        <v>0.99802310000000005</v>
      </c>
      <c r="S4900">
        <v>0.25155640000000001</v>
      </c>
      <c r="T4900">
        <v>8.4443450000000003E-2</v>
      </c>
      <c r="U4900">
        <v>2.9895320000000001</v>
      </c>
      <c r="V4900">
        <v>-0.13421089999999999</v>
      </c>
      <c r="W4900">
        <v>3.6944390000000001E-2</v>
      </c>
      <c r="X4900">
        <v>0.99026389999999997</v>
      </c>
      <c r="Y4900">
        <v>-0.1069537</v>
      </c>
      <c r="Z4900">
        <v>3.5841890000000001E-2</v>
      </c>
      <c r="AA4900">
        <v>0.9936178</v>
      </c>
      <c r="AB4900">
        <v>25</v>
      </c>
      <c r="AC4900">
        <v>19.554400000000001</v>
      </c>
      <c r="AD4900">
        <v>6.5808519999999904</v>
      </c>
      <c r="AE4900">
        <v>232.73471000000001</v>
      </c>
      <c r="AF4900">
        <v>-24.9737972142232</v>
      </c>
      <c r="AG4900">
        <v>6.5808519999999904</v>
      </c>
      <c r="AH4900">
        <v>232.02934526996901</v>
      </c>
      <c r="AI4900">
        <v>88.384728067457701</v>
      </c>
      <c r="AJ4900">
        <v>96.143213470467302</v>
      </c>
      <c r="AK4900">
        <v>233.46223511898799</v>
      </c>
      <c r="AL4900">
        <v>87.882760605443494</v>
      </c>
      <c r="AM4900">
        <v>97.718293543459097</v>
      </c>
      <c r="AN4900">
        <v>1.0000000226372401</v>
      </c>
    </row>
    <row r="4901" spans="1:40" x14ac:dyDescent="0.25">
      <c r="A4901" t="str">
        <f>"20190305135727752"</f>
        <v>20190305135727752</v>
      </c>
      <c r="B4901" t="str">
        <f>"1551765447747839"</f>
        <v>1551765447747839</v>
      </c>
      <c r="C4901" t="s">
        <v>40</v>
      </c>
      <c r="D4901">
        <v>3.8430430000000002</v>
      </c>
      <c r="E4901">
        <v>0.51100239999999997</v>
      </c>
      <c r="F4901" t="s">
        <v>70</v>
      </c>
      <c r="G4901">
        <v>-168.41380000000001</v>
      </c>
      <c r="H4901">
        <v>8.3814329999999995</v>
      </c>
      <c r="I4901">
        <v>204.86279999999999</v>
      </c>
      <c r="J4901">
        <v>-189.22049999999999</v>
      </c>
      <c r="K4901">
        <v>1.1080730000000001</v>
      </c>
      <c r="L4901">
        <v>-38.348509999999997</v>
      </c>
      <c r="M4901">
        <v>0.19115270000000001</v>
      </c>
      <c r="N4901">
        <v>-8.1362309999999903E-3</v>
      </c>
      <c r="O4901">
        <v>0.98152660000000003</v>
      </c>
      <c r="P4901">
        <v>5.6335540000000003E-2</v>
      </c>
      <c r="Q4901">
        <v>2.781612E-2</v>
      </c>
      <c r="R4901">
        <v>0.99802429999999998</v>
      </c>
      <c r="S4901">
        <v>0.2560577</v>
      </c>
      <c r="T4901">
        <v>8.9299439999999994E-2</v>
      </c>
      <c r="U4901">
        <v>2.9890140000000001</v>
      </c>
      <c r="V4901">
        <v>-0.13540739999999901</v>
      </c>
      <c r="W4901">
        <v>3.6165280000000001E-2</v>
      </c>
      <c r="X4901">
        <v>0.9901297</v>
      </c>
      <c r="Y4901">
        <v>-0.1067504</v>
      </c>
      <c r="Z4901">
        <v>3.6965650000000003E-2</v>
      </c>
      <c r="AA4901">
        <v>0.99359850000000005</v>
      </c>
      <c r="AB4901">
        <v>26</v>
      </c>
      <c r="AC4901">
        <v>20.8066999999999</v>
      </c>
      <c r="AD4901">
        <v>7.2733599999999896</v>
      </c>
      <c r="AE4901">
        <v>243.21131</v>
      </c>
      <c r="AF4901">
        <v>-26.0459070403456</v>
      </c>
      <c r="AG4901">
        <v>7.2733599999999896</v>
      </c>
      <c r="AH4901">
        <v>242.488366752899</v>
      </c>
      <c r="AI4901">
        <v>88.291766675220103</v>
      </c>
      <c r="AJ4901">
        <v>96.130689672992204</v>
      </c>
      <c r="AK4901">
        <v>243.99159626866799</v>
      </c>
      <c r="AL4901">
        <v>87.927430039496699</v>
      </c>
      <c r="AM4901">
        <v>97.787304696449496</v>
      </c>
      <c r="AN4901">
        <v>0.99999995713716305</v>
      </c>
    </row>
    <row r="4902" spans="1:40" x14ac:dyDescent="0.25">
      <c r="A4902" t="str">
        <f>"20190305135727777"</f>
        <v>20190305135727777</v>
      </c>
      <c r="B4902" t="str">
        <f>"1551765447767360"</f>
        <v>1551765447767360</v>
      </c>
      <c r="C4902" t="s">
        <v>40</v>
      </c>
      <c r="D4902">
        <v>3.8104499999999999</v>
      </c>
      <c r="E4902">
        <v>0.51101790000000002</v>
      </c>
      <c r="F4902" t="s">
        <v>70</v>
      </c>
      <c r="G4902">
        <v>-168.41399999999999</v>
      </c>
      <c r="H4902">
        <v>8.2527519999999992</v>
      </c>
      <c r="I4902">
        <v>204.18389999999999</v>
      </c>
      <c r="J4902">
        <v>-189.16380000000001</v>
      </c>
      <c r="K4902">
        <v>1.1082179999999999</v>
      </c>
      <c r="L4902">
        <v>-38.064610000000002</v>
      </c>
      <c r="M4902">
        <v>0.19230459999999999</v>
      </c>
      <c r="N4902">
        <v>-7.6614669999999999E-3</v>
      </c>
      <c r="O4902">
        <v>0.98130539999999999</v>
      </c>
      <c r="P4902">
        <v>5.5450569999999998E-2</v>
      </c>
      <c r="Q4902">
        <v>2.6073869999999999E-2</v>
      </c>
      <c r="R4902">
        <v>0.99812089999999998</v>
      </c>
      <c r="S4902">
        <v>0.25642399999999999</v>
      </c>
      <c r="T4902">
        <v>8.8052749999999999E-2</v>
      </c>
      <c r="U4902">
        <v>2.9890140000000001</v>
      </c>
      <c r="V4902">
        <v>-0.1374766</v>
      </c>
      <c r="W4902">
        <v>3.3890730000000001E-2</v>
      </c>
      <c r="X4902">
        <v>0.98992500000000005</v>
      </c>
      <c r="Y4902">
        <v>-0.1077926</v>
      </c>
      <c r="Z4902">
        <v>3.6079930000000003E-2</v>
      </c>
      <c r="AA4902">
        <v>0.99351849999999997</v>
      </c>
      <c r="AB4902">
        <v>26</v>
      </c>
      <c r="AC4902">
        <v>20.7498</v>
      </c>
      <c r="AD4902">
        <v>7.1445340000000002</v>
      </c>
      <c r="AE4902">
        <v>242.24851000000001</v>
      </c>
      <c r="AF4902">
        <v>-26.201756484216801</v>
      </c>
      <c r="AG4902">
        <v>7.1445340000000002</v>
      </c>
      <c r="AH4902">
        <v>241.50860460265801</v>
      </c>
      <c r="AI4902">
        <v>88.315396298467306</v>
      </c>
      <c r="AJ4902">
        <v>96.191916650566696</v>
      </c>
      <c r="AK4902">
        <v>243.03082624650401</v>
      </c>
      <c r="AL4902">
        <v>88.057832201172303</v>
      </c>
      <c r="AM4902">
        <v>97.906425461910999</v>
      </c>
      <c r="AN4902">
        <v>0.99999995137624498</v>
      </c>
    </row>
    <row r="4903" spans="1:40" x14ac:dyDescent="0.25">
      <c r="A4903" t="str">
        <f>"20190305135727800"</f>
        <v>20190305135727800</v>
      </c>
      <c r="B4903" t="str">
        <f>"1551765447797617"</f>
        <v>1551765447797617</v>
      </c>
      <c r="C4903" t="s">
        <v>40</v>
      </c>
      <c r="D4903">
        <v>3.8282720000000001</v>
      </c>
      <c r="E4903">
        <v>0.51103069999999995</v>
      </c>
      <c r="F4903" t="s">
        <v>97</v>
      </c>
      <c r="G4903">
        <v>-171.47970000000001</v>
      </c>
      <c r="H4903">
        <v>6.880045</v>
      </c>
      <c r="I4903">
        <v>170.1277</v>
      </c>
      <c r="J4903">
        <v>-189.11170000000001</v>
      </c>
      <c r="K4903">
        <v>1.1083289999999999</v>
      </c>
      <c r="L4903">
        <v>-37.803800000000003</v>
      </c>
      <c r="M4903">
        <v>0.1931097</v>
      </c>
      <c r="N4903">
        <v>-7.2519589999999997E-3</v>
      </c>
      <c r="O4903">
        <v>0.98115039999999998</v>
      </c>
      <c r="P4903">
        <v>5.371045E-2</v>
      </c>
      <c r="Q4903">
        <v>2.5333620000000001E-2</v>
      </c>
      <c r="R4903">
        <v>0.99823519999999999</v>
      </c>
      <c r="S4903">
        <v>0.25392150000000002</v>
      </c>
      <c r="T4903">
        <v>8.2876210000000006E-2</v>
      </c>
      <c r="U4903">
        <v>2.9893800000000001</v>
      </c>
      <c r="V4903">
        <v>-0.14003119999999999</v>
      </c>
      <c r="W4903">
        <v>3.2696919999999997E-2</v>
      </c>
      <c r="X4903">
        <v>0.98960709999999996</v>
      </c>
      <c r="Y4903">
        <v>-0.1094363</v>
      </c>
      <c r="Z4903">
        <v>3.3990079999999999E-2</v>
      </c>
      <c r="AA4903">
        <v>0.99341250000000003</v>
      </c>
      <c r="AB4903">
        <v>26</v>
      </c>
      <c r="AC4903">
        <v>17.632000000000001</v>
      </c>
      <c r="AD4903">
        <v>5.7717159999999996</v>
      </c>
      <c r="AE4903">
        <v>207.9315</v>
      </c>
      <c r="AF4903">
        <v>-22.837075875502698</v>
      </c>
      <c r="AG4903">
        <v>5.7717159999999996</v>
      </c>
      <c r="AH4903">
        <v>207.26387780949901</v>
      </c>
      <c r="AI4903">
        <v>88.414476421443297</v>
      </c>
      <c r="AJ4903">
        <v>96.287690839905096</v>
      </c>
      <c r="AK4903">
        <v>208.59808192972201</v>
      </c>
      <c r="AL4903">
        <v>88.126270551478996</v>
      </c>
      <c r="AM4903">
        <v>98.053986436836297</v>
      </c>
      <c r="AN4903">
        <v>1.0000000189606599</v>
      </c>
    </row>
    <row r="4904" spans="1:40" x14ac:dyDescent="0.25">
      <c r="A4904" t="str">
        <f>"20190305135727843"</f>
        <v>20190305135727843</v>
      </c>
      <c r="B4904" t="str">
        <f>"1551765447837632"</f>
        <v>1551765447837632</v>
      </c>
      <c r="C4904" t="s">
        <v>40</v>
      </c>
      <c r="D4904">
        <v>3.8089949999999999</v>
      </c>
      <c r="E4904">
        <v>0.51098940000000004</v>
      </c>
      <c r="F4904" t="s">
        <v>97</v>
      </c>
      <c r="G4904">
        <v>-171.8751</v>
      </c>
      <c r="H4904">
        <v>6.6598129999999998</v>
      </c>
      <c r="I4904">
        <v>169.28479999999999</v>
      </c>
      <c r="J4904">
        <v>-189.01429999999999</v>
      </c>
      <c r="K4904">
        <v>1.1085430000000001</v>
      </c>
      <c r="L4904">
        <v>-37.315890000000003</v>
      </c>
      <c r="M4904">
        <v>0.19396859999999999</v>
      </c>
      <c r="N4904">
        <v>-6.5618269999999897E-3</v>
      </c>
      <c r="O4904">
        <v>0.98098580000000002</v>
      </c>
      <c r="P4904">
        <v>5.094974E-2</v>
      </c>
      <c r="Q4904">
        <v>3.2774879999999999E-2</v>
      </c>
      <c r="R4904">
        <v>0.99816329999999998</v>
      </c>
      <c r="S4904">
        <v>0.24885560000000001</v>
      </c>
      <c r="T4904">
        <v>8.0150250000000006E-2</v>
      </c>
      <c r="U4904">
        <v>2.989868</v>
      </c>
      <c r="V4904">
        <v>-0.1436075</v>
      </c>
      <c r="W4904">
        <v>3.9363049999999997E-2</v>
      </c>
      <c r="X4904">
        <v>0.98885149999999999</v>
      </c>
      <c r="Y4904">
        <v>-0.1119853</v>
      </c>
      <c r="Z4904">
        <v>3.2413150000000002E-2</v>
      </c>
      <c r="AA4904">
        <v>0.99318110000000004</v>
      </c>
      <c r="AB4904">
        <v>26</v>
      </c>
      <c r="AC4904">
        <v>17.139199999999899</v>
      </c>
      <c r="AD4904">
        <v>5.5512699999999997</v>
      </c>
      <c r="AE4904">
        <v>206.60068999999999</v>
      </c>
      <c r="AF4904">
        <v>-23.244568136299002</v>
      </c>
      <c r="AG4904">
        <v>5.5512699999999997</v>
      </c>
      <c r="AH4904">
        <v>205.853638216099</v>
      </c>
      <c r="AI4904">
        <v>88.465025047891899</v>
      </c>
      <c r="AJ4904">
        <v>96.442432373957701</v>
      </c>
      <c r="AK4904">
        <v>207.23621042969401</v>
      </c>
      <c r="AL4904">
        <v>87.744080371881196</v>
      </c>
      <c r="AM4904">
        <v>98.2631003512045</v>
      </c>
      <c r="AN4904">
        <v>0.99999992640689805</v>
      </c>
    </row>
    <row r="4905" spans="1:40" x14ac:dyDescent="0.25">
      <c r="A4905" t="str">
        <f>"20190305135727863"</f>
        <v>20190305135727863</v>
      </c>
      <c r="B4905" t="str">
        <f>"1551765447857152"</f>
        <v>1551765447857152</v>
      </c>
      <c r="C4905" t="s">
        <v>40</v>
      </c>
      <c r="D4905">
        <v>3.7990089999999999</v>
      </c>
      <c r="E4905">
        <v>0.51098659999999996</v>
      </c>
      <c r="F4905" t="s">
        <v>70</v>
      </c>
      <c r="G4905">
        <v>-169.27279999999999</v>
      </c>
      <c r="H4905">
        <v>9.4015749999999993</v>
      </c>
      <c r="I4905">
        <v>208.21250000000001</v>
      </c>
      <c r="J4905">
        <v>-188.9648</v>
      </c>
      <c r="K4905">
        <v>1.1086549999999999</v>
      </c>
      <c r="L4905">
        <v>-37.06738</v>
      </c>
      <c r="M4905">
        <v>0.19413639999999999</v>
      </c>
      <c r="N4905">
        <v>-6.2525189999999998E-3</v>
      </c>
      <c r="O4905">
        <v>0.98095460000000001</v>
      </c>
      <c r="P4905">
        <v>5.0275819999999999E-2</v>
      </c>
      <c r="Q4905">
        <v>3.496987E-2</v>
      </c>
      <c r="R4905">
        <v>0.99812299999999998</v>
      </c>
      <c r="S4905">
        <v>0.24040220000000001</v>
      </c>
      <c r="T4905">
        <v>0.1009891</v>
      </c>
      <c r="U4905">
        <v>2.9899290000000001</v>
      </c>
      <c r="V4905">
        <v>-0.14444070000000001</v>
      </c>
      <c r="W4905">
        <v>4.120596E-2</v>
      </c>
      <c r="X4905">
        <v>0.98865510000000001</v>
      </c>
      <c r="Y4905">
        <v>-0.11496629999999999</v>
      </c>
      <c r="Z4905">
        <v>3.8831419999999998E-2</v>
      </c>
      <c r="AA4905">
        <v>0.99261010000000005</v>
      </c>
      <c r="AB4905">
        <v>26</v>
      </c>
      <c r="AC4905">
        <v>19.692</v>
      </c>
      <c r="AD4905">
        <v>8.2929199999999899</v>
      </c>
      <c r="AE4905">
        <v>245.27987999999999</v>
      </c>
      <c r="AF4905">
        <v>-28.269240518973501</v>
      </c>
      <c r="AG4905">
        <v>8.2929199999999899</v>
      </c>
      <c r="AH4905">
        <v>244.15882817053799</v>
      </c>
      <c r="AI4905">
        <v>88.067580865107402</v>
      </c>
      <c r="AJ4905">
        <v>96.604422925677</v>
      </c>
      <c r="AK4905">
        <v>245.929778301158</v>
      </c>
      <c r="AL4905">
        <v>87.638403720109807</v>
      </c>
      <c r="AM4905">
        <v>98.312002390321894</v>
      </c>
      <c r="AN4905">
        <v>0.99999997685601005</v>
      </c>
    </row>
    <row r="4906" spans="1:40" x14ac:dyDescent="0.25">
      <c r="A4906" t="str">
        <f>"20190305135727889"</f>
        <v>20190305135727889</v>
      </c>
      <c r="B4906" t="str">
        <f>"1551765447877648"</f>
        <v>1551765447877648</v>
      </c>
      <c r="C4906" t="s">
        <v>40</v>
      </c>
      <c r="D4906">
        <v>3.8559939999999999</v>
      </c>
      <c r="E4906">
        <v>0.51100670000000004</v>
      </c>
      <c r="F4906" t="s">
        <v>70</v>
      </c>
      <c r="G4906">
        <v>-169.39580000000001</v>
      </c>
      <c r="H4906">
        <v>9.8598839999999992</v>
      </c>
      <c r="I4906">
        <v>208.3228</v>
      </c>
      <c r="J4906">
        <v>-188.90629999999999</v>
      </c>
      <c r="K4906">
        <v>1.1087849999999999</v>
      </c>
      <c r="L4906">
        <v>-36.772579999999998</v>
      </c>
      <c r="M4906">
        <v>0.19411390000000001</v>
      </c>
      <c r="N4906">
        <v>-5.9239409999999899E-3</v>
      </c>
      <c r="O4906">
        <v>0.98096110000000003</v>
      </c>
      <c r="P4906">
        <v>4.8955760000000001E-2</v>
      </c>
      <c r="Q4906">
        <v>3.5852389999999998E-2</v>
      </c>
      <c r="R4906">
        <v>0.99815730000000003</v>
      </c>
      <c r="S4906">
        <v>0.2384338</v>
      </c>
      <c r="T4906">
        <v>0.10662770000000001</v>
      </c>
      <c r="U4906">
        <v>2.9898989999999999</v>
      </c>
      <c r="V4906">
        <v>-0.1457359</v>
      </c>
      <c r="W4906">
        <v>4.1705730000000003E-2</v>
      </c>
      <c r="X4906">
        <v>0.98844410000000005</v>
      </c>
      <c r="Y4906">
        <v>-0.115596699999999</v>
      </c>
      <c r="Z4906">
        <v>4.0325560000000003E-2</v>
      </c>
      <c r="AA4906">
        <v>0.99247730000000001</v>
      </c>
      <c r="AB4906">
        <v>26</v>
      </c>
      <c r="AC4906">
        <v>19.510499999999901</v>
      </c>
      <c r="AD4906">
        <v>8.751099</v>
      </c>
      <c r="AE4906">
        <v>245.09537999999901</v>
      </c>
      <c r="AF4906">
        <v>-28.4018980129893</v>
      </c>
      <c r="AG4906">
        <v>8.751099</v>
      </c>
      <c r="AH4906">
        <v>243.911590914052</v>
      </c>
      <c r="AI4906">
        <v>87.958992948057599</v>
      </c>
      <c r="AJ4906">
        <v>96.641804973587995</v>
      </c>
      <c r="AK4906">
        <v>245.71551380951101</v>
      </c>
      <c r="AL4906">
        <v>87.609744496284904</v>
      </c>
      <c r="AM4906">
        <v>98.387245525125707</v>
      </c>
      <c r="AN4906">
        <v>1.00000002964422</v>
      </c>
    </row>
    <row r="4907" spans="1:40" x14ac:dyDescent="0.25">
      <c r="A4907" t="str">
        <f>"20190305135727914"</f>
        <v>20190305135727914</v>
      </c>
      <c r="B4907" t="str">
        <f>"1551765447906928"</f>
        <v>1551765447906928</v>
      </c>
      <c r="C4907" t="s">
        <v>40</v>
      </c>
      <c r="D4907">
        <v>3.8614510000000002</v>
      </c>
      <c r="E4907">
        <v>0.5103261</v>
      </c>
      <c r="F4907" t="s">
        <v>69</v>
      </c>
      <c r="G4907">
        <v>-167.89859999999999</v>
      </c>
      <c r="H4907">
        <v>10.84911</v>
      </c>
      <c r="I4907">
        <v>230.9614</v>
      </c>
      <c r="J4907">
        <v>-188.84899999999999</v>
      </c>
      <c r="K4907">
        <v>1.10894</v>
      </c>
      <c r="L4907">
        <v>-36.481870000000001</v>
      </c>
      <c r="M4907">
        <v>0.19375790000000001</v>
      </c>
      <c r="N4907">
        <v>-5.647923E-3</v>
      </c>
      <c r="O4907">
        <v>0.98103309999999999</v>
      </c>
      <c r="P4907">
        <v>4.744719E-2</v>
      </c>
      <c r="Q4907">
        <v>3.5772279999999997E-2</v>
      </c>
      <c r="R4907">
        <v>0.99823300000000004</v>
      </c>
      <c r="S4907">
        <v>0.2346191</v>
      </c>
      <c r="T4907">
        <v>0.10878259999999999</v>
      </c>
      <c r="U4907">
        <v>2.9901119999999999</v>
      </c>
      <c r="V4907">
        <v>-0.14689070000000001</v>
      </c>
      <c r="W4907">
        <v>4.1284580000000001E-2</v>
      </c>
      <c r="X4907">
        <v>0.98829080000000002</v>
      </c>
      <c r="Y4907">
        <v>-0.1165011</v>
      </c>
      <c r="Z4907">
        <v>4.0749029999999999E-2</v>
      </c>
      <c r="AA4907">
        <v>0.99235430000000002</v>
      </c>
      <c r="AB4907">
        <v>27</v>
      </c>
      <c r="AC4907">
        <v>20.950399999999998</v>
      </c>
      <c r="AD4907">
        <v>9.7401699999999902</v>
      </c>
      <c r="AE4907">
        <v>267.44326999999998</v>
      </c>
      <c r="AF4907">
        <v>-31.225545227899101</v>
      </c>
      <c r="AG4907">
        <v>9.7401699999999902</v>
      </c>
      <c r="AH4907">
        <v>266.08348309454402</v>
      </c>
      <c r="AI4907">
        <v>87.917859861328495</v>
      </c>
      <c r="AJ4907">
        <v>96.693186112401193</v>
      </c>
      <c r="AK4907">
        <v>268.08641435576902</v>
      </c>
      <c r="AL4907">
        <v>87.633895343763996</v>
      </c>
      <c r="AM4907">
        <v>98.454041184306504</v>
      </c>
      <c r="AN4907">
        <v>0.999999999828453</v>
      </c>
    </row>
    <row r="4908" spans="1:40" x14ac:dyDescent="0.25">
      <c r="A4908" t="str">
        <f>"20190305135727936"</f>
        <v>20190305135727936</v>
      </c>
      <c r="B4908" t="str">
        <f>"1551765447927424"</f>
        <v>1551765447927424</v>
      </c>
      <c r="C4908" t="s">
        <v>40</v>
      </c>
      <c r="D4908">
        <v>3.800659</v>
      </c>
      <c r="E4908">
        <v>0.53614359999999905</v>
      </c>
      <c r="F4908" t="s">
        <v>97</v>
      </c>
      <c r="G4908">
        <v>-173.50790000000001</v>
      </c>
      <c r="H4908">
        <v>5.3205499999999999</v>
      </c>
      <c r="I4908">
        <v>167.01609999999999</v>
      </c>
      <c r="J4908">
        <v>-188.7971</v>
      </c>
      <c r="K4908">
        <v>1.109097</v>
      </c>
      <c r="L4908">
        <v>-36.216769999999997</v>
      </c>
      <c r="M4908">
        <v>0.19317219999999999</v>
      </c>
      <c r="N4908">
        <v>-5.4304039999999998E-3</v>
      </c>
      <c r="O4908">
        <v>0.98114990000000002</v>
      </c>
      <c r="P4908">
        <v>4.7603510000000002E-2</v>
      </c>
      <c r="Q4908">
        <v>3.5091749999999998E-2</v>
      </c>
      <c r="R4908">
        <v>0.99824970000000002</v>
      </c>
      <c r="S4908">
        <v>0.22558590000000001</v>
      </c>
      <c r="T4908">
        <v>6.1930300000000001E-2</v>
      </c>
      <c r="U4908">
        <v>2.9923709999999999</v>
      </c>
      <c r="V4908">
        <v>-0.14616789999999999</v>
      </c>
      <c r="W4908">
        <v>4.0323589999999999E-2</v>
      </c>
      <c r="X4908">
        <v>0.98843769999999997</v>
      </c>
      <c r="Y4908">
        <v>-0.1189003</v>
      </c>
      <c r="Z4908">
        <v>2.5395999999999998E-2</v>
      </c>
      <c r="AA4908">
        <v>0.99258139999999995</v>
      </c>
      <c r="AB4908">
        <v>27</v>
      </c>
      <c r="AC4908">
        <v>15.2891999999999</v>
      </c>
      <c r="AD4908">
        <v>4.2114529999999997</v>
      </c>
      <c r="AE4908">
        <v>203.23286999999999</v>
      </c>
      <c r="AF4908">
        <v>-24.2479460487687</v>
      </c>
      <c r="AG4908">
        <v>4.2114529999999997</v>
      </c>
      <c r="AH4908">
        <v>202.271961062131</v>
      </c>
      <c r="AI4908">
        <v>88.815708267022899</v>
      </c>
      <c r="AJ4908">
        <v>96.835879077704405</v>
      </c>
      <c r="AK4908">
        <v>203.76370004462399</v>
      </c>
      <c r="AL4908">
        <v>87.689002066605497</v>
      </c>
      <c r="AM4908">
        <v>98.411806039055406</v>
      </c>
      <c r="AN4908">
        <v>1.00000006684109</v>
      </c>
    </row>
    <row r="4909" spans="1:40" x14ac:dyDescent="0.25">
      <c r="A4909" t="str">
        <f>"20190305135727979"</f>
        <v>20190305135727979</v>
      </c>
      <c r="B4909" t="str">
        <f>"1551765447967440"</f>
        <v>1551765447967440</v>
      </c>
      <c r="C4909" t="s">
        <v>40</v>
      </c>
      <c r="D4909">
        <v>3.8086509999999998</v>
      </c>
      <c r="E4909">
        <v>0.54499849999999905</v>
      </c>
      <c r="F4909" t="s">
        <v>98</v>
      </c>
      <c r="G4909">
        <v>-170.1875</v>
      </c>
      <c r="H4909">
        <v>5.1523960000000004</v>
      </c>
      <c r="I4909">
        <v>92.47336</v>
      </c>
      <c r="J4909">
        <v>-188.6996</v>
      </c>
      <c r="K4909">
        <v>1.1093820000000001</v>
      </c>
      <c r="L4909">
        <v>-35.711979999999997</v>
      </c>
      <c r="M4909">
        <v>0.1914651</v>
      </c>
      <c r="N4909">
        <v>-5.0926549999999998E-3</v>
      </c>
      <c r="O4909">
        <v>0.98148619999999998</v>
      </c>
      <c r="P4909">
        <v>4.7141389999999998E-2</v>
      </c>
      <c r="Q4909">
        <v>3.1862870000000001E-2</v>
      </c>
      <c r="R4909">
        <v>0.99837989999999999</v>
      </c>
      <c r="S4909">
        <v>0.4311371</v>
      </c>
      <c r="T4909">
        <v>9.3673229999999996E-2</v>
      </c>
      <c r="U4909">
        <v>2.9814150000000001</v>
      </c>
      <c r="V4909">
        <v>-0.1449511</v>
      </c>
      <c r="W4909">
        <v>3.6650380000000003E-2</v>
      </c>
      <c r="X4909">
        <v>0.98875979999999997</v>
      </c>
      <c r="Y4909">
        <v>-4.9119290000000003E-2</v>
      </c>
      <c r="Z4909">
        <v>3.537916E-2</v>
      </c>
      <c r="AA4909">
        <v>0.99816609999999995</v>
      </c>
      <c r="AB4909">
        <v>27</v>
      </c>
      <c r="AC4909">
        <v>18.5121</v>
      </c>
      <c r="AD4909">
        <v>4.0430139999999897</v>
      </c>
      <c r="AE4909">
        <v>128.18534</v>
      </c>
      <c r="AF4909">
        <v>-6.36752599966169</v>
      </c>
      <c r="AG4909">
        <v>4.0430139999999897</v>
      </c>
      <c r="AH4909">
        <v>129.23230884565399</v>
      </c>
      <c r="AI4909">
        <v>88.210264077681501</v>
      </c>
      <c r="AJ4909">
        <v>92.820792732862401</v>
      </c>
      <c r="AK4909">
        <v>129.45223443084799</v>
      </c>
      <c r="AL4909">
        <v>87.899617520652299</v>
      </c>
      <c r="AM4909">
        <v>98.340090620600805</v>
      </c>
      <c r="AN4909">
        <v>1.00000000692069</v>
      </c>
    </row>
    <row r="4910" spans="1:40" x14ac:dyDescent="0.25">
      <c r="A4910" t="str">
        <f>"20190305135728002"</f>
        <v>20190305135728002</v>
      </c>
      <c r="B4910" t="str">
        <f>"1551765447997696"</f>
        <v>1551765447997696</v>
      </c>
      <c r="C4910" t="s">
        <v>40</v>
      </c>
      <c r="D4910">
        <v>3.7987609999999998</v>
      </c>
      <c r="E4910">
        <v>0.54683289999999996</v>
      </c>
      <c r="F4910" t="s">
        <v>80</v>
      </c>
      <c r="G4910">
        <v>-168.8596</v>
      </c>
      <c r="H4910">
        <v>4.1644269999999999</v>
      </c>
      <c r="I4910">
        <v>82.389069999999904</v>
      </c>
      <c r="J4910">
        <v>-188.64570000000001</v>
      </c>
      <c r="K4910">
        <v>1.109531</v>
      </c>
      <c r="L4910">
        <v>-35.429470000000002</v>
      </c>
      <c r="M4910">
        <v>0.19019539999999999</v>
      </c>
      <c r="N4910">
        <v>-4.9415350000000004E-3</v>
      </c>
      <c r="O4910">
        <v>0.98173379999999999</v>
      </c>
      <c r="P4910">
        <v>4.5278810000000003E-2</v>
      </c>
      <c r="Q4910">
        <v>3.2022460000000003E-2</v>
      </c>
      <c r="R4910">
        <v>0.99846100000000004</v>
      </c>
      <c r="S4910">
        <v>0.50041199999999997</v>
      </c>
      <c r="T4910">
        <v>7.7055689999999996E-2</v>
      </c>
      <c r="U4910">
        <v>2.97879</v>
      </c>
      <c r="V4910">
        <v>-0.14552979999999999</v>
      </c>
      <c r="W4910">
        <v>3.6604640000000001E-2</v>
      </c>
      <c r="X4910">
        <v>0.98867649999999996</v>
      </c>
      <c r="Y4910">
        <v>-2.4999730000000001E-2</v>
      </c>
      <c r="Z4910">
        <v>2.9837550000000001E-2</v>
      </c>
      <c r="AA4910">
        <v>0.99924210000000002</v>
      </c>
      <c r="AB4910">
        <v>27</v>
      </c>
      <c r="AC4910">
        <v>19.786100000000001</v>
      </c>
      <c r="AD4910">
        <v>3.0548959999999998</v>
      </c>
      <c r="AE4910">
        <v>117.818539999999</v>
      </c>
      <c r="AF4910">
        <v>-2.9819479040191301</v>
      </c>
      <c r="AG4910">
        <v>3.0548959999999998</v>
      </c>
      <c r="AH4910">
        <v>119.35308801562</v>
      </c>
      <c r="AI4910">
        <v>88.534266057308798</v>
      </c>
      <c r="AJ4910">
        <v>91.431194585895696</v>
      </c>
      <c r="AK4910">
        <v>119.42941020425999</v>
      </c>
      <c r="AL4910">
        <v>87.902240020955404</v>
      </c>
      <c r="AM4910">
        <v>98.373611781912302</v>
      </c>
      <c r="AN4910">
        <v>1.0000000220048999</v>
      </c>
    </row>
    <row r="4911" spans="1:40" x14ac:dyDescent="0.25">
      <c r="A4911" t="str">
        <f>"20190305135728026"</f>
        <v>20190305135728026</v>
      </c>
      <c r="B4911" t="str">
        <f>"1551765448017216"</f>
        <v>1551765448017216</v>
      </c>
      <c r="C4911" t="s">
        <v>40</v>
      </c>
      <c r="D4911">
        <v>3.8827479999999999</v>
      </c>
      <c r="E4911">
        <v>0.54753560000000001</v>
      </c>
      <c r="F4911" t="s">
        <v>80</v>
      </c>
      <c r="G4911">
        <v>-168.8596</v>
      </c>
      <c r="H4911">
        <v>4.1683269999999997</v>
      </c>
      <c r="I4911">
        <v>80.231639999999999</v>
      </c>
      <c r="J4911">
        <v>-188.59059999999999</v>
      </c>
      <c r="K4911">
        <v>1.1096790000000001</v>
      </c>
      <c r="L4911">
        <v>-35.137210000000003</v>
      </c>
      <c r="M4911">
        <v>0.1886755</v>
      </c>
      <c r="N4911">
        <v>-4.8087260000000001E-3</v>
      </c>
      <c r="O4911">
        <v>0.98202769999999995</v>
      </c>
      <c r="P4911">
        <v>4.3023430000000001E-2</v>
      </c>
      <c r="Q4911">
        <v>3.494705E-2</v>
      </c>
      <c r="R4911">
        <v>0.99846270000000004</v>
      </c>
      <c r="S4911">
        <v>0.50961299999999998</v>
      </c>
      <c r="T4911">
        <v>7.8782679999999994E-2</v>
      </c>
      <c r="U4911">
        <v>2.9789729999999999</v>
      </c>
      <c r="V4911">
        <v>-0.146233</v>
      </c>
      <c r="W4911">
        <v>3.9344469999999999E-2</v>
      </c>
      <c r="X4911">
        <v>0.98846750000000005</v>
      </c>
      <c r="Y4911">
        <v>-2.046388E-2</v>
      </c>
      <c r="Z4911">
        <v>3.0270269999999998E-2</v>
      </c>
      <c r="AA4911">
        <v>0.9993322</v>
      </c>
      <c r="AB4911">
        <v>27</v>
      </c>
      <c r="AC4911">
        <v>19.730999999999899</v>
      </c>
      <c r="AD4911">
        <v>3.0586479999999998</v>
      </c>
      <c r="AE4911">
        <v>115.36884999999999</v>
      </c>
      <c r="AF4911">
        <v>-2.3892829306028101</v>
      </c>
      <c r="AG4911">
        <v>3.0586479999999998</v>
      </c>
      <c r="AH4911">
        <v>116.939658509097</v>
      </c>
      <c r="AI4911">
        <v>88.502038285514999</v>
      </c>
      <c r="AJ4911">
        <v>91.170490705526205</v>
      </c>
      <c r="AK4911">
        <v>117.004050069793</v>
      </c>
      <c r="AL4911">
        <v>87.745146004792403</v>
      </c>
      <c r="AM4911">
        <v>98.415248761496002</v>
      </c>
      <c r="AN4911">
        <v>1.0000000380824099</v>
      </c>
    </row>
    <row r="4912" spans="1:40" x14ac:dyDescent="0.25">
      <c r="A4912" t="str">
        <f>"20190305135728047"</f>
        <v>20190305135728047</v>
      </c>
      <c r="B4912" t="str">
        <f>"1551765448037711"</f>
        <v>1551765448037711</v>
      </c>
      <c r="C4912" t="s">
        <v>40</v>
      </c>
      <c r="D4912">
        <v>3.8445659999999999</v>
      </c>
      <c r="E4912">
        <v>0.54801489999999997</v>
      </c>
      <c r="F4912" t="s">
        <v>80</v>
      </c>
      <c r="G4912">
        <v>-168.8597</v>
      </c>
      <c r="H4912">
        <v>4.4466549999999998</v>
      </c>
      <c r="I4912">
        <v>80.463530000000006</v>
      </c>
      <c r="J4912">
        <v>-188.54310000000001</v>
      </c>
      <c r="K4912">
        <v>1.1097969999999999</v>
      </c>
      <c r="L4912">
        <v>-34.882080000000002</v>
      </c>
      <c r="M4912">
        <v>0.18716740000000001</v>
      </c>
      <c r="N4912">
        <v>-4.7115859999999898E-3</v>
      </c>
      <c r="O4912">
        <v>0.98231670000000004</v>
      </c>
      <c r="P4912">
        <v>4.2139530000000001E-2</v>
      </c>
      <c r="Q4912">
        <v>3.8767660000000002E-2</v>
      </c>
      <c r="R4912">
        <v>0.99835929999999995</v>
      </c>
      <c r="S4912">
        <v>0.50857540000000001</v>
      </c>
      <c r="T4912">
        <v>8.6012599999999995E-2</v>
      </c>
      <c r="U4912">
        <v>2.9796749999999999</v>
      </c>
      <c r="V4912">
        <v>-0.14558579999999999</v>
      </c>
      <c r="W4912">
        <v>4.3026340000000003E-2</v>
      </c>
      <c r="X4912">
        <v>0.9884096</v>
      </c>
      <c r="Y4912">
        <v>-1.931797E-2</v>
      </c>
      <c r="Z4912">
        <v>3.2524200000000003E-2</v>
      </c>
      <c r="AA4912">
        <v>0.99928430000000001</v>
      </c>
      <c r="AB4912">
        <v>27</v>
      </c>
      <c r="AC4912">
        <v>19.683399999999999</v>
      </c>
      <c r="AD4912">
        <v>3.3368579999999999</v>
      </c>
      <c r="AE4912">
        <v>115.34560999999999</v>
      </c>
      <c r="AF4912">
        <v>-2.2517992771203499</v>
      </c>
      <c r="AG4912">
        <v>3.3368579999999999</v>
      </c>
      <c r="AH4912">
        <v>116.89625004434301</v>
      </c>
      <c r="AI4912">
        <v>88.365212377417805</v>
      </c>
      <c r="AJ4912">
        <v>91.103565255484995</v>
      </c>
      <c r="AK4912">
        <v>116.96554405347899</v>
      </c>
      <c r="AL4912">
        <v>87.534011078861695</v>
      </c>
      <c r="AM4912">
        <v>98.379018116784195</v>
      </c>
      <c r="AN4912">
        <v>1.0000000142337899</v>
      </c>
    </row>
    <row r="4913" spans="1:40" x14ac:dyDescent="0.25">
      <c r="A4913" t="str">
        <f>"20190305135728068"</f>
        <v>20190305135728068</v>
      </c>
      <c r="B4913" t="str">
        <f>"1551765448057232"</f>
        <v>1551765448057232</v>
      </c>
      <c r="C4913" t="s">
        <v>40</v>
      </c>
      <c r="D4913">
        <v>3.8443390000000002</v>
      </c>
      <c r="E4913">
        <v>0.54835819999999902</v>
      </c>
      <c r="F4913" t="s">
        <v>80</v>
      </c>
      <c r="G4913">
        <v>-168.85980000000001</v>
      </c>
      <c r="H4913">
        <v>4.839874</v>
      </c>
      <c r="I4913">
        <v>80.184010000000001</v>
      </c>
      <c r="J4913">
        <v>-188.49539999999999</v>
      </c>
      <c r="K4913">
        <v>1.109909</v>
      </c>
      <c r="L4913">
        <v>-34.623259999999902</v>
      </c>
      <c r="M4913">
        <v>0.18548529999999999</v>
      </c>
      <c r="N4913">
        <v>-4.6282650000000003E-3</v>
      </c>
      <c r="O4913">
        <v>0.98263619999999996</v>
      </c>
      <c r="P4913">
        <v>3.92606E-2</v>
      </c>
      <c r="Q4913">
        <v>3.9809659999999997E-2</v>
      </c>
      <c r="R4913">
        <v>0.99843570000000004</v>
      </c>
      <c r="S4913">
        <v>0.50970459999999995</v>
      </c>
      <c r="T4913">
        <v>9.6591830000000004E-2</v>
      </c>
      <c r="U4913">
        <v>2.9796749999999999</v>
      </c>
      <c r="V4913">
        <v>-0.14675250000000001</v>
      </c>
      <c r="W4913">
        <v>4.3936240000000001E-2</v>
      </c>
      <c r="X4913">
        <v>0.98819699999999999</v>
      </c>
      <c r="Y4913">
        <v>-1.725786E-2</v>
      </c>
      <c r="Z4913">
        <v>3.5884140000000002E-2</v>
      </c>
      <c r="AA4913">
        <v>0.99920699999999996</v>
      </c>
      <c r="AB4913">
        <v>28</v>
      </c>
      <c r="AC4913">
        <v>19.635599999999901</v>
      </c>
      <c r="AD4913">
        <v>3.729965</v>
      </c>
      <c r="AE4913">
        <v>114.80727</v>
      </c>
      <c r="AF4913">
        <v>-1.9983814520721901</v>
      </c>
      <c r="AG4913">
        <v>3.729965</v>
      </c>
      <c r="AH4913">
        <v>116.337826914098</v>
      </c>
      <c r="AI4913">
        <v>88.1639112076072</v>
      </c>
      <c r="AJ4913">
        <v>90.984095772047894</v>
      </c>
      <c r="AK4913">
        <v>116.41475910907501</v>
      </c>
      <c r="AL4913">
        <v>87.481828260151801</v>
      </c>
      <c r="AM4913">
        <v>98.446992254611004</v>
      </c>
      <c r="AN4913">
        <v>1.00000000012529</v>
      </c>
    </row>
    <row r="4914" spans="1:40" x14ac:dyDescent="0.25">
      <c r="A4914" t="str">
        <f>"20190305135728088"</f>
        <v>20190305135728088</v>
      </c>
      <c r="B4914" t="str">
        <f>"1551765448077728"</f>
        <v>1551765448077728</v>
      </c>
      <c r="C4914" t="s">
        <v>40</v>
      </c>
      <c r="D4914">
        <v>3.8710070000000001</v>
      </c>
      <c r="E4914">
        <v>0.54867330000000003</v>
      </c>
      <c r="F4914" t="s">
        <v>80</v>
      </c>
      <c r="G4914">
        <v>-168.85990000000001</v>
      </c>
      <c r="H4914">
        <v>4.9488940000000001</v>
      </c>
      <c r="I4914">
        <v>81.492599999999996</v>
      </c>
      <c r="J4914">
        <v>-188.45169999999999</v>
      </c>
      <c r="K4914">
        <v>1.1100049999999999</v>
      </c>
      <c r="L4914">
        <v>-34.383119999999998</v>
      </c>
      <c r="M4914">
        <v>0.18380769999999999</v>
      </c>
      <c r="N4914">
        <v>-4.5630699999999998E-3</v>
      </c>
      <c r="O4914">
        <v>0.98295160000000004</v>
      </c>
      <c r="P4914">
        <v>3.6223320000000003E-2</v>
      </c>
      <c r="Q4914">
        <v>3.9219270000000001E-2</v>
      </c>
      <c r="R4914">
        <v>0.99857379999999996</v>
      </c>
      <c r="S4914">
        <v>0.50408940000000002</v>
      </c>
      <c r="T4914">
        <v>9.8555680000000007E-2</v>
      </c>
      <c r="U4914">
        <v>2.9809570000000001</v>
      </c>
      <c r="V4914">
        <v>-0.14808569999999999</v>
      </c>
      <c r="W4914">
        <v>4.3236429999999999E-2</v>
      </c>
      <c r="X4914">
        <v>0.98802889999999999</v>
      </c>
      <c r="Y4914">
        <v>-1.7455370000000001E-2</v>
      </c>
      <c r="Z4914">
        <v>3.6464469999999999E-2</v>
      </c>
      <c r="AA4914">
        <v>0.99918249999999997</v>
      </c>
      <c r="AB4914">
        <v>28</v>
      </c>
      <c r="AC4914">
        <v>19.5917999999999</v>
      </c>
      <c r="AD4914">
        <v>3.838889</v>
      </c>
      <c r="AE4914">
        <v>115.87572</v>
      </c>
      <c r="AF4914">
        <v>-2.03890411726075</v>
      </c>
      <c r="AG4914">
        <v>3.838889</v>
      </c>
      <c r="AH4914">
        <v>117.377327256369</v>
      </c>
      <c r="AI4914">
        <v>88.127060579748601</v>
      </c>
      <c r="AJ4914">
        <v>90.995156867178395</v>
      </c>
      <c r="AK4914">
        <v>117.45778455514299</v>
      </c>
      <c r="AL4914">
        <v>87.521962400831598</v>
      </c>
      <c r="AM4914">
        <v>98.524037235539097</v>
      </c>
      <c r="AN4914">
        <v>0.99999993532942</v>
      </c>
    </row>
    <row r="4915" spans="1:40" x14ac:dyDescent="0.25">
      <c r="A4915" t="str">
        <f>"20190305135728111"</f>
        <v>20190305135728111</v>
      </c>
      <c r="B4915" t="str">
        <f>"1551765448107008"</f>
        <v>1551765448107008</v>
      </c>
      <c r="C4915" t="s">
        <v>40</v>
      </c>
      <c r="D4915">
        <v>3.9019729999999999</v>
      </c>
      <c r="E4915">
        <v>0.54908769999999996</v>
      </c>
      <c r="F4915" t="s">
        <v>80</v>
      </c>
      <c r="G4915">
        <v>-168.85980000000001</v>
      </c>
      <c r="H4915">
        <v>4.810276</v>
      </c>
      <c r="I4915">
        <v>83.050809999999998</v>
      </c>
      <c r="J4915">
        <v>-188.40170000000001</v>
      </c>
      <c r="K4915">
        <v>1.1101000000000001</v>
      </c>
      <c r="L4915">
        <v>-34.104430000000001</v>
      </c>
      <c r="M4915">
        <v>0.18176059999999999</v>
      </c>
      <c r="N4915">
        <v>-4.4987270000000001E-3</v>
      </c>
      <c r="O4915">
        <v>0.98333250000000005</v>
      </c>
      <c r="P4915">
        <v>3.2691720000000001E-2</v>
      </c>
      <c r="Q4915">
        <v>3.7973079999999999E-2</v>
      </c>
      <c r="R4915">
        <v>0.99874379999999996</v>
      </c>
      <c r="S4915">
        <v>0.49758910000000001</v>
      </c>
      <c r="T4915">
        <v>9.3978400000000004E-2</v>
      </c>
      <c r="U4915">
        <v>2.9825439999999999</v>
      </c>
      <c r="V4915">
        <v>-0.1495387</v>
      </c>
      <c r="W4915">
        <v>4.1879630000000001E-2</v>
      </c>
      <c r="X4915">
        <v>0.98786850000000004</v>
      </c>
      <c r="Y4915">
        <v>-1.756947E-2</v>
      </c>
      <c r="Z4915">
        <v>3.492663E-2</v>
      </c>
      <c r="AA4915">
        <v>0.99923550000000005</v>
      </c>
      <c r="AB4915">
        <v>28</v>
      </c>
      <c r="AC4915">
        <v>19.541899999999998</v>
      </c>
      <c r="AD4915">
        <v>3.7001759999999999</v>
      </c>
      <c r="AE4915">
        <v>117.15524000000001</v>
      </c>
      <c r="AF4915">
        <v>-2.0760275853463801</v>
      </c>
      <c r="AG4915">
        <v>3.7001759999999999</v>
      </c>
      <c r="AH4915">
        <v>118.64056402026</v>
      </c>
      <c r="AI4915">
        <v>88.213904723362305</v>
      </c>
      <c r="AJ4915">
        <v>91.002485798747102</v>
      </c>
      <c r="AK4915">
        <v>118.716404190877</v>
      </c>
      <c r="AL4915">
        <v>87.599771855747093</v>
      </c>
      <c r="AM4915">
        <v>98.607804139021695</v>
      </c>
      <c r="AN4915">
        <v>0.99999994974943696</v>
      </c>
    </row>
    <row r="4916" spans="1:40" x14ac:dyDescent="0.25">
      <c r="A4916" t="str">
        <f>"20190305135728134"</f>
        <v>20190305135728134</v>
      </c>
      <c r="B4916" t="str">
        <f>"1551765448127504"</f>
        <v>1551765448127504</v>
      </c>
      <c r="C4916" t="s">
        <v>40</v>
      </c>
      <c r="D4916">
        <v>3.8938739999999998</v>
      </c>
      <c r="E4916">
        <v>0.54968859999999997</v>
      </c>
      <c r="F4916" t="s">
        <v>50</v>
      </c>
      <c r="G4916">
        <v>-177.4545</v>
      </c>
      <c r="H4916">
        <v>3.0334110000000001</v>
      </c>
      <c r="I4916">
        <v>32.500329999999998</v>
      </c>
      <c r="J4916">
        <v>-188.35059999999999</v>
      </c>
      <c r="K4916">
        <v>1.110169</v>
      </c>
      <c r="L4916">
        <v>-33.815640000000002</v>
      </c>
      <c r="M4916">
        <v>0.17955279999999901</v>
      </c>
      <c r="N4916">
        <v>-4.44371E-3</v>
      </c>
      <c r="O4916">
        <v>0.98373829999999995</v>
      </c>
      <c r="P4916">
        <v>2.9255550000000002E-2</v>
      </c>
      <c r="Q4916">
        <v>3.6017380000000002E-2</v>
      </c>
      <c r="R4916">
        <v>0.9989228</v>
      </c>
      <c r="S4916">
        <v>0.49052430000000002</v>
      </c>
      <c r="T4916">
        <v>8.6179969999999995E-2</v>
      </c>
      <c r="U4916">
        <v>2.9844360000000001</v>
      </c>
      <c r="V4916">
        <v>-0.15073399999999901</v>
      </c>
      <c r="W4916">
        <v>3.9834269999999998E-2</v>
      </c>
      <c r="X4916">
        <v>0.98777150000000002</v>
      </c>
      <c r="Y4916">
        <v>-1.7715640000000001E-2</v>
      </c>
      <c r="Z4916">
        <v>3.2351089999999999E-2</v>
      </c>
      <c r="AA4916">
        <v>0.99931959999999997</v>
      </c>
      <c r="AB4916">
        <v>28</v>
      </c>
      <c r="AC4916">
        <v>10.896099999999899</v>
      </c>
      <c r="AD4916">
        <v>1.9232419999999999</v>
      </c>
      <c r="AE4916">
        <v>66.315969999999993</v>
      </c>
      <c r="AF4916">
        <v>-1.1873465524334199</v>
      </c>
      <c r="AG4916">
        <v>1.9232419999999999</v>
      </c>
      <c r="AH4916">
        <v>67.139663676368002</v>
      </c>
      <c r="AI4916">
        <v>88.359444999772606</v>
      </c>
      <c r="AJ4916">
        <v>91.013154546334704</v>
      </c>
      <c r="AK4916">
        <v>67.177697863219095</v>
      </c>
      <c r="AL4916">
        <v>87.717060477999098</v>
      </c>
      <c r="AM4916">
        <v>98.676404644948505</v>
      </c>
      <c r="AN4916">
        <v>1.00000002201734</v>
      </c>
    </row>
    <row r="4917" spans="1:40" x14ac:dyDescent="0.25">
      <c r="A4917" t="str">
        <f>"20190305135728155"</f>
        <v>20190305135728155</v>
      </c>
      <c r="B4917" t="str">
        <f>"1551765448147024"</f>
        <v>1551765448147024</v>
      </c>
      <c r="C4917" t="s">
        <v>40</v>
      </c>
      <c r="D4917">
        <v>3.9688490000000001</v>
      </c>
      <c r="E4917">
        <v>0.5501627</v>
      </c>
      <c r="F4917" t="s">
        <v>50</v>
      </c>
      <c r="G4917">
        <v>-177.58070000000001</v>
      </c>
      <c r="H4917">
        <v>2.9405589999999999</v>
      </c>
      <c r="I4917">
        <v>32.525570000000002</v>
      </c>
      <c r="J4917">
        <v>-188.304</v>
      </c>
      <c r="K4917">
        <v>1.1102129999999999</v>
      </c>
      <c r="L4917">
        <v>-33.548740000000002</v>
      </c>
      <c r="M4917">
        <v>0.17746679999999901</v>
      </c>
      <c r="N4917">
        <v>-4.4010530000000003E-3</v>
      </c>
      <c r="O4917">
        <v>0.98411700000000002</v>
      </c>
      <c r="P4917">
        <v>2.541086E-2</v>
      </c>
      <c r="Q4917">
        <v>3.492017E-2</v>
      </c>
      <c r="R4917">
        <v>0.99906700000000004</v>
      </c>
      <c r="S4917">
        <v>0.48475649999999998</v>
      </c>
      <c r="T4917">
        <v>8.2386849999999998E-2</v>
      </c>
      <c r="U4917">
        <v>2.9860530000000001</v>
      </c>
      <c r="V4917">
        <v>-0.15244869999999999</v>
      </c>
      <c r="W4917">
        <v>3.8666930000000002E-2</v>
      </c>
      <c r="X4917">
        <v>0.98755470000000001</v>
      </c>
      <c r="Y4917">
        <v>-1.755599E-2</v>
      </c>
      <c r="Z4917">
        <v>3.1085720000000001E-2</v>
      </c>
      <c r="AA4917">
        <v>0.99936250000000004</v>
      </c>
      <c r="AB4917">
        <v>28</v>
      </c>
      <c r="AC4917">
        <v>10.723299999999901</v>
      </c>
      <c r="AD4917">
        <v>1.83034599999999</v>
      </c>
      <c r="AE4917">
        <v>66.074309999999997</v>
      </c>
      <c r="AF4917">
        <v>-1.1721494491185001</v>
      </c>
      <c r="AG4917">
        <v>1.83034599999999</v>
      </c>
      <c r="AH4917">
        <v>66.878523044079401</v>
      </c>
      <c r="AI4917">
        <v>88.432548552763606</v>
      </c>
      <c r="AJ4917">
        <v>91.004094258552797</v>
      </c>
      <c r="AK4917">
        <v>66.913832242431297</v>
      </c>
      <c r="AL4917">
        <v>87.783995692803302</v>
      </c>
      <c r="AM4917">
        <v>98.775473410607006</v>
      </c>
      <c r="AN4917">
        <v>1.0000000115497001</v>
      </c>
    </row>
    <row r="4918" spans="1:40" x14ac:dyDescent="0.25">
      <c r="A4918" t="str">
        <f>"20190305135728178"</f>
        <v>20190305135728178</v>
      </c>
      <c r="B4918" t="str">
        <f>"1551765448167520"</f>
        <v>1551765448167520</v>
      </c>
      <c r="C4918" t="s">
        <v>40</v>
      </c>
      <c r="D4918">
        <v>3.906609</v>
      </c>
      <c r="E4918">
        <v>0.55053409999999903</v>
      </c>
      <c r="F4918" t="s">
        <v>80</v>
      </c>
      <c r="G4918">
        <v>-168.8596</v>
      </c>
      <c r="H4918">
        <v>4.2616480000000001</v>
      </c>
      <c r="I4918">
        <v>88.203900000000004</v>
      </c>
      <c r="J4918">
        <v>-188.2551</v>
      </c>
      <c r="K4918">
        <v>1.110239</v>
      </c>
      <c r="L4918">
        <v>-33.264499999999998</v>
      </c>
      <c r="M4918">
        <v>0.17521800000000001</v>
      </c>
      <c r="N4918">
        <v>-4.3637349999999997E-3</v>
      </c>
      <c r="O4918">
        <v>0.98451999999999995</v>
      </c>
      <c r="P4918">
        <v>2.1074490000000001E-2</v>
      </c>
      <c r="Q4918">
        <v>3.5221809999999999E-2</v>
      </c>
      <c r="R4918">
        <v>0.99915730000000003</v>
      </c>
      <c r="S4918">
        <v>0.4771881</v>
      </c>
      <c r="T4918">
        <v>7.7339889999999994E-2</v>
      </c>
      <c r="U4918">
        <v>2.987946</v>
      </c>
      <c r="V4918">
        <v>-0.1544817</v>
      </c>
      <c r="W4918">
        <v>3.8908020000000001E-2</v>
      </c>
      <c r="X4918">
        <v>0.98722920000000003</v>
      </c>
      <c r="Y4918">
        <v>-1.7831E-2</v>
      </c>
      <c r="Z4918">
        <v>2.9418030000000001E-2</v>
      </c>
      <c r="AA4918">
        <v>0.99940810000000002</v>
      </c>
      <c r="AB4918">
        <v>28</v>
      </c>
      <c r="AC4918">
        <v>19.395499999999998</v>
      </c>
      <c r="AD4918">
        <v>3.1514090000000001</v>
      </c>
      <c r="AE4918">
        <v>121.4684</v>
      </c>
      <c r="AF4918">
        <v>-2.1867779275722099</v>
      </c>
      <c r="AG4918">
        <v>3.1514090000000001</v>
      </c>
      <c r="AH4918">
        <v>122.907007133921</v>
      </c>
      <c r="AI4918">
        <v>88.531456167630694</v>
      </c>
      <c r="AJ4918">
        <v>91.019306632553096</v>
      </c>
      <c r="AK4918">
        <v>122.966848292569</v>
      </c>
      <c r="AL4918">
        <v>87.770171739094806</v>
      </c>
      <c r="AM4918">
        <v>98.893526903119096</v>
      </c>
      <c r="AN4918">
        <v>0.99999996149392401</v>
      </c>
    </row>
    <row r="4919" spans="1:40" x14ac:dyDescent="0.25">
      <c r="A4919" t="str">
        <f>"20190305135728225"</f>
        <v>20190305135728225</v>
      </c>
      <c r="B4919" t="str">
        <f>"1551765448217296"</f>
        <v>1551765448217296</v>
      </c>
      <c r="C4919" t="s">
        <v>40</v>
      </c>
      <c r="D4919">
        <v>3.9524650000000001</v>
      </c>
      <c r="E4919">
        <v>0.55152089999999998</v>
      </c>
      <c r="F4919" t="s">
        <v>80</v>
      </c>
      <c r="G4919">
        <v>-168.8596</v>
      </c>
      <c r="H4919">
        <v>4.2671890000000001</v>
      </c>
      <c r="I4919">
        <v>90.864379999999997</v>
      </c>
      <c r="J4919">
        <v>-188.1558</v>
      </c>
      <c r="K4919">
        <v>1.110266</v>
      </c>
      <c r="L4919">
        <v>-32.675809999999998</v>
      </c>
      <c r="M4919">
        <v>0.1705351</v>
      </c>
      <c r="N4919">
        <v>-4.3092390000000003E-3</v>
      </c>
      <c r="O4919">
        <v>0.98534219999999895</v>
      </c>
      <c r="P4919">
        <v>1.314478E-2</v>
      </c>
      <c r="Q4919">
        <v>3.6905769999999997E-2</v>
      </c>
      <c r="R4919">
        <v>0.99923229999999996</v>
      </c>
      <c r="S4919">
        <v>0.46719359999999999</v>
      </c>
      <c r="T4919">
        <v>7.604408E-2</v>
      </c>
      <c r="U4919">
        <v>2.9899900000000001</v>
      </c>
      <c r="V4919">
        <v>-0.1576235</v>
      </c>
      <c r="W4919">
        <v>4.0504159999999997E-2</v>
      </c>
      <c r="X4919">
        <v>0.98666830000000005</v>
      </c>
      <c r="Y4919">
        <v>-1.644083E-2</v>
      </c>
      <c r="Z4919">
        <v>2.896758E-2</v>
      </c>
      <c r="AA4919">
        <v>0.99944509999999998</v>
      </c>
      <c r="AB4919">
        <v>29</v>
      </c>
      <c r="AC4919">
        <v>19.296199999999999</v>
      </c>
      <c r="AD4919">
        <v>3.1569229999999999</v>
      </c>
      <c r="AE4919">
        <v>123.54019</v>
      </c>
      <c r="AF4919">
        <v>-2.0532886699214501</v>
      </c>
      <c r="AG4919">
        <v>3.1569229999999999</v>
      </c>
      <c r="AH4919">
        <v>124.941556746117</v>
      </c>
      <c r="AI4919">
        <v>88.552799517991502</v>
      </c>
      <c r="AJ4919">
        <v>90.941513685862205</v>
      </c>
      <c r="AK4919">
        <v>124.998299025759</v>
      </c>
      <c r="AL4919">
        <v>87.678647657189799</v>
      </c>
      <c r="AM4919">
        <v>99.076493383593601</v>
      </c>
      <c r="AN4919">
        <v>1.0000000444772199</v>
      </c>
    </row>
    <row r="4920" spans="1:40" x14ac:dyDescent="0.25">
      <c r="A4920" t="str">
        <f>"20190305135728244"</f>
        <v>20190305135728244</v>
      </c>
      <c r="B4920" t="str">
        <f>"1551765448237792"</f>
        <v>1551765448237792</v>
      </c>
      <c r="C4920" t="s">
        <v>40</v>
      </c>
      <c r="D4920">
        <v>3.915781</v>
      </c>
      <c r="E4920">
        <v>0.5518923</v>
      </c>
      <c r="F4920" t="s">
        <v>80</v>
      </c>
      <c r="G4920">
        <v>-169.3623</v>
      </c>
      <c r="H4920">
        <v>4.3609059999999999</v>
      </c>
      <c r="I4920">
        <v>91.966139999999996</v>
      </c>
      <c r="J4920">
        <v>-188.11420000000001</v>
      </c>
      <c r="K4920">
        <v>1.110277</v>
      </c>
      <c r="L4920">
        <v>-32.423679999999997</v>
      </c>
      <c r="M4920">
        <v>0.16852300000000001</v>
      </c>
      <c r="N4920">
        <v>-4.294094E-3</v>
      </c>
      <c r="O4920">
        <v>0.98568840000000002</v>
      </c>
      <c r="P4920">
        <v>1.0019439999999999E-2</v>
      </c>
      <c r="Q4920">
        <v>3.724152E-2</v>
      </c>
      <c r="R4920">
        <v>0.99925609999999998</v>
      </c>
      <c r="S4920">
        <v>0.45135500000000001</v>
      </c>
      <c r="T4920">
        <v>7.8069330000000006E-2</v>
      </c>
      <c r="U4920">
        <v>2.9934690000000002</v>
      </c>
      <c r="V4920">
        <v>-0.158696</v>
      </c>
      <c r="W4920">
        <v>4.0811479999999997E-2</v>
      </c>
      <c r="X4920">
        <v>0.98648360000000002</v>
      </c>
      <c r="Y4920">
        <v>-1.974592E-2</v>
      </c>
      <c r="Z4920">
        <v>2.9606509999999999E-2</v>
      </c>
      <c r="AA4920">
        <v>0.99936659999999999</v>
      </c>
      <c r="AB4920">
        <v>29</v>
      </c>
      <c r="AC4920">
        <v>18.751899999999999</v>
      </c>
      <c r="AD4920">
        <v>3.250629</v>
      </c>
      <c r="AE4920">
        <v>124.38982</v>
      </c>
      <c r="AF4920">
        <v>-2.4773838635722201</v>
      </c>
      <c r="AG4920">
        <v>3.250629</v>
      </c>
      <c r="AH4920">
        <v>125.686958802186</v>
      </c>
      <c r="AI4920">
        <v>88.518782938904195</v>
      </c>
      <c r="AJ4920">
        <v>91.129196401204794</v>
      </c>
      <c r="AK4920">
        <v>125.753392131765</v>
      </c>
      <c r="AL4920">
        <v>87.661024714882501</v>
      </c>
      <c r="AM4920">
        <v>99.138895101453201</v>
      </c>
      <c r="AN4920">
        <v>0.99999994519237301</v>
      </c>
    </row>
    <row r="4921" spans="1:40" x14ac:dyDescent="0.25">
      <c r="A4921" t="str">
        <f>"20190305135728265"</f>
        <v>20190305135728265</v>
      </c>
      <c r="B4921" t="str">
        <f>"1551765448257312"</f>
        <v>1551765448257312</v>
      </c>
      <c r="C4921" t="s">
        <v>40</v>
      </c>
      <c r="D4921">
        <v>3.9264410000000001</v>
      </c>
      <c r="E4921">
        <v>0.55232009999999998</v>
      </c>
      <c r="F4921" t="s">
        <v>80</v>
      </c>
      <c r="G4921">
        <v>-169.63679999999999</v>
      </c>
      <c r="H4921">
        <v>4.3561120000000004</v>
      </c>
      <c r="I4921">
        <v>91.966130000000007</v>
      </c>
      <c r="J4921">
        <v>-188.06950000000001</v>
      </c>
      <c r="K4921">
        <v>1.110301</v>
      </c>
      <c r="L4921">
        <v>-32.149900000000002</v>
      </c>
      <c r="M4921">
        <v>0.1663019</v>
      </c>
      <c r="N4921">
        <v>-4.2658959999999999E-3</v>
      </c>
      <c r="O4921">
        <v>0.98606570000000004</v>
      </c>
      <c r="P4921">
        <v>6.8289040000000002E-3</v>
      </c>
      <c r="Q4921">
        <v>3.8069029999999997E-2</v>
      </c>
      <c r="R4921">
        <v>0.99925180000000002</v>
      </c>
      <c r="S4921">
        <v>0.44486999999999999</v>
      </c>
      <c r="T4921">
        <v>7.8148599999999999E-2</v>
      </c>
      <c r="U4921">
        <v>2.9948730000000001</v>
      </c>
      <c r="V4921">
        <v>-0.1596254</v>
      </c>
      <c r="W4921">
        <v>4.1590910000000002E-2</v>
      </c>
      <c r="X4921">
        <v>0.98630110000000004</v>
      </c>
      <c r="Y4921">
        <v>-1.9679100000000001E-2</v>
      </c>
      <c r="Z4921">
        <v>2.9612759999999998E-2</v>
      </c>
      <c r="AA4921">
        <v>0.99936769999999997</v>
      </c>
      <c r="AB4921">
        <v>29</v>
      </c>
      <c r="AC4921">
        <v>18.432700000000001</v>
      </c>
      <c r="AD4921">
        <v>3.2458109999999998</v>
      </c>
      <c r="AE4921">
        <v>124.11602999999999</v>
      </c>
      <c r="AF4921">
        <v>-2.4632524475606599</v>
      </c>
      <c r="AG4921">
        <v>3.2458109999999998</v>
      </c>
      <c r="AH4921">
        <v>125.36919985143599</v>
      </c>
      <c r="AI4921">
        <v>88.517228517855898</v>
      </c>
      <c r="AJ4921">
        <v>91.125601919880097</v>
      </c>
      <c r="AK4921">
        <v>125.435398405144</v>
      </c>
      <c r="AL4921">
        <v>87.616328758763302</v>
      </c>
      <c r="AM4921">
        <v>99.193177610565101</v>
      </c>
      <c r="AN4921">
        <v>0.99999996599049801</v>
      </c>
    </row>
    <row r="4922" spans="1:40" x14ac:dyDescent="0.25">
      <c r="A4922" t="str">
        <f>"20190305135728288"</f>
        <v>20190305135728288</v>
      </c>
      <c r="B4922" t="str">
        <f>"1551765448277808"</f>
        <v>1551765448277808</v>
      </c>
      <c r="C4922" t="s">
        <v>40</v>
      </c>
      <c r="D4922">
        <v>3.9361890000000002</v>
      </c>
      <c r="E4922">
        <v>0.55276829999999999</v>
      </c>
      <c r="F4922" t="s">
        <v>80</v>
      </c>
      <c r="G4922">
        <v>-169.6728</v>
      </c>
      <c r="H4922">
        <v>4.4450969999999996</v>
      </c>
      <c r="I4922">
        <v>93.450460000000007</v>
      </c>
      <c r="J4922">
        <v>-188.0215</v>
      </c>
      <c r="K4922">
        <v>1.1103510000000001</v>
      </c>
      <c r="L4922">
        <v>-31.850100000000001</v>
      </c>
      <c r="M4922">
        <v>0.16378699999999999</v>
      </c>
      <c r="N4922">
        <v>-4.200535E-3</v>
      </c>
      <c r="O4922">
        <v>0.9864868</v>
      </c>
      <c r="P4922">
        <v>3.515322E-3</v>
      </c>
      <c r="Q4922">
        <v>3.9695300000000003E-2</v>
      </c>
      <c r="R4922">
        <v>0.99920560000000003</v>
      </c>
      <c r="S4922">
        <v>0.43885800000000003</v>
      </c>
      <c r="T4922">
        <v>7.9552289999999998E-2</v>
      </c>
      <c r="U4922">
        <v>2.996216</v>
      </c>
      <c r="V4922">
        <v>-0.16038529999999901</v>
      </c>
      <c r="W4922">
        <v>4.3121140000000002E-2</v>
      </c>
      <c r="X4922">
        <v>0.98611210000000005</v>
      </c>
      <c r="Y4922">
        <v>-1.9159019999999999E-2</v>
      </c>
      <c r="Z4922">
        <v>3.0014570000000001E-2</v>
      </c>
      <c r="AA4922">
        <v>0.99936579999999997</v>
      </c>
      <c r="AB4922">
        <v>29</v>
      </c>
      <c r="AC4922">
        <v>18.348700000000001</v>
      </c>
      <c r="AD4922">
        <v>3.334746</v>
      </c>
      <c r="AE4922">
        <v>125.30056</v>
      </c>
      <c r="AF4922">
        <v>-2.42019555552038</v>
      </c>
      <c r="AG4922">
        <v>3.334746</v>
      </c>
      <c r="AH4922">
        <v>126.52600456977299</v>
      </c>
      <c r="AI4922">
        <v>88.490525888659306</v>
      </c>
      <c r="AJ4922">
        <v>91.095822816669198</v>
      </c>
      <c r="AK4922">
        <v>126.593079233431</v>
      </c>
      <c r="AL4922">
        <v>87.528574297363804</v>
      </c>
      <c r="AM4922">
        <v>99.237929123152</v>
      </c>
      <c r="AN4922">
        <v>0.99999997546869901</v>
      </c>
    </row>
    <row r="4923" spans="1:40" x14ac:dyDescent="0.25">
      <c r="A4923" t="str">
        <f>"20190305135728312"</f>
        <v>20190305135728312</v>
      </c>
      <c r="B4923" t="str">
        <f>"1551765448307089"</f>
        <v>1551765448307089</v>
      </c>
      <c r="C4923" t="s">
        <v>40</v>
      </c>
      <c r="D4923">
        <v>3.9407230000000002</v>
      </c>
      <c r="E4923">
        <v>0.56188079999999996</v>
      </c>
      <c r="F4923" t="s">
        <v>80</v>
      </c>
      <c r="G4923">
        <v>-168.85980000000001</v>
      </c>
      <c r="H4923">
        <v>4.8104800000000001</v>
      </c>
      <c r="I4923">
        <v>101.0176</v>
      </c>
      <c r="J4923">
        <v>-187.9736</v>
      </c>
      <c r="K4923">
        <v>1.1104259999999999</v>
      </c>
      <c r="L4923">
        <v>-31.546230000000001</v>
      </c>
      <c r="M4923">
        <v>0.16110350000000001</v>
      </c>
      <c r="N4923">
        <v>-4.0858750000000001E-3</v>
      </c>
      <c r="O4923">
        <v>0.9869291</v>
      </c>
      <c r="P4923">
        <v>7.6492249999999997E-4</v>
      </c>
      <c r="Q4923">
        <v>4.1354399999999999E-2</v>
      </c>
      <c r="R4923">
        <v>0.99914429999999999</v>
      </c>
      <c r="S4923">
        <v>0.43229679999999998</v>
      </c>
      <c r="T4923">
        <v>8.3476899999999896E-2</v>
      </c>
      <c r="U4923">
        <v>2.9975589999999999</v>
      </c>
      <c r="V4923">
        <v>-0.1604246</v>
      </c>
      <c r="W4923">
        <v>4.4627449999999999E-2</v>
      </c>
      <c r="X4923">
        <v>0.98603870000000005</v>
      </c>
      <c r="Y4923">
        <v>-1.865143E-2</v>
      </c>
      <c r="Z4923">
        <v>3.118839E-2</v>
      </c>
      <c r="AA4923">
        <v>0.99933950000000005</v>
      </c>
      <c r="AB4923">
        <v>29</v>
      </c>
      <c r="AC4923">
        <v>19.113800000000001</v>
      </c>
      <c r="AD4923">
        <v>3.7000540000000002</v>
      </c>
      <c r="AE4923">
        <v>132.56383</v>
      </c>
      <c r="AF4923">
        <v>-2.4906514324703899</v>
      </c>
      <c r="AG4923">
        <v>3.7000540000000002</v>
      </c>
      <c r="AH4923">
        <v>133.809392585138</v>
      </c>
      <c r="AI4923">
        <v>88.416353441389901</v>
      </c>
      <c r="AJ4923">
        <v>91.066347702610202</v>
      </c>
      <c r="AK4923">
        <v>133.88370807594401</v>
      </c>
      <c r="AL4923">
        <v>87.442185931012204</v>
      </c>
      <c r="AM4923">
        <v>99.240829662743295</v>
      </c>
      <c r="AN4923">
        <v>0.99999998973817605</v>
      </c>
    </row>
    <row r="4924" spans="1:40" x14ac:dyDescent="0.25">
      <c r="A4924" t="str">
        <f>"20190305135728355"</f>
        <v>20190305135728355</v>
      </c>
      <c r="B4924" t="str">
        <f>"1551765448347104"</f>
        <v>1551765448347104</v>
      </c>
      <c r="C4924" t="s">
        <v>40</v>
      </c>
      <c r="D4924">
        <v>3.9266580000000002</v>
      </c>
      <c r="E4924">
        <v>0.56335089999999999</v>
      </c>
      <c r="F4924" t="s">
        <v>80</v>
      </c>
      <c r="G4924">
        <v>-168.8595</v>
      </c>
      <c r="H4924">
        <v>3.912585</v>
      </c>
      <c r="I4924">
        <v>83.772329999999997</v>
      </c>
      <c r="J4924">
        <v>-187.88800000000001</v>
      </c>
      <c r="K4924">
        <v>1.110565</v>
      </c>
      <c r="L4924">
        <v>-30.98535</v>
      </c>
      <c r="M4924">
        <v>0.1557916</v>
      </c>
      <c r="N4924">
        <v>-3.7931250000000001E-3</v>
      </c>
      <c r="O4924">
        <v>0.98778270000000001</v>
      </c>
      <c r="P4924">
        <v>-3.8991619999999999E-3</v>
      </c>
      <c r="Q4924">
        <v>4.5972209999999999E-2</v>
      </c>
      <c r="R4924">
        <v>0.99893509999999996</v>
      </c>
      <c r="S4924">
        <v>0.49711610000000001</v>
      </c>
      <c r="T4924">
        <v>7.2877999999999998E-2</v>
      </c>
      <c r="U4924">
        <v>2.9991759999999998</v>
      </c>
      <c r="V4924">
        <v>-0.15973679999999901</v>
      </c>
      <c r="W4924">
        <v>4.8876179999999998E-2</v>
      </c>
      <c r="X4924">
        <v>0.98594890000000002</v>
      </c>
      <c r="Y4924">
        <v>7.7655689999999999E-3</v>
      </c>
      <c r="Z4924">
        <v>2.7430630000000001E-2</v>
      </c>
      <c r="AA4924">
        <v>0.99959359999999997</v>
      </c>
      <c r="AB4924">
        <v>29</v>
      </c>
      <c r="AC4924">
        <v>19.028500000000001</v>
      </c>
      <c r="AD4924">
        <v>2.8020200000000002</v>
      </c>
      <c r="AE4924">
        <v>114.75767999999999</v>
      </c>
      <c r="AF4924">
        <v>0.91721490153829699</v>
      </c>
      <c r="AG4924">
        <v>2.8020200000000002</v>
      </c>
      <c r="AH4924">
        <v>116.253510364267</v>
      </c>
      <c r="AI4924">
        <v>88.619329016161302</v>
      </c>
      <c r="AJ4924">
        <v>89.547958145962099</v>
      </c>
      <c r="AK4924">
        <v>116.290890749322</v>
      </c>
      <c r="AL4924">
        <v>87.198484940512401</v>
      </c>
      <c r="AM4924">
        <v>99.202713735475598</v>
      </c>
      <c r="AN4924">
        <v>0.99999997982842104</v>
      </c>
    </row>
    <row r="4925" spans="1:40" x14ac:dyDescent="0.25">
      <c r="A4925" t="str">
        <f>"20190305135728378"</f>
        <v>20190305135728378</v>
      </c>
      <c r="B4925" t="str">
        <f>"1551765448367600"</f>
        <v>1551765448367600</v>
      </c>
      <c r="C4925" t="s">
        <v>40</v>
      </c>
      <c r="D4925">
        <v>3.9005860000000001</v>
      </c>
      <c r="E4925">
        <v>0.56419490000000005</v>
      </c>
      <c r="F4925" t="s">
        <v>50</v>
      </c>
      <c r="G4925">
        <v>-177.4117</v>
      </c>
      <c r="H4925">
        <v>2.93397</v>
      </c>
      <c r="I4925">
        <v>32.520940000000003</v>
      </c>
      <c r="J4925">
        <v>-187.84289999999999</v>
      </c>
      <c r="K4925">
        <v>1.1106510000000001</v>
      </c>
      <c r="L4925">
        <v>-30.68085</v>
      </c>
      <c r="M4925">
        <v>0.1527329</v>
      </c>
      <c r="N4925">
        <v>-3.6116949999999998E-3</v>
      </c>
      <c r="O4925">
        <v>0.9882609</v>
      </c>
      <c r="P4925">
        <v>-7.2925079999999996E-3</v>
      </c>
      <c r="Q4925">
        <v>4.9991180000000003E-2</v>
      </c>
      <c r="R4925">
        <v>0.99872300000000003</v>
      </c>
      <c r="S4925">
        <v>0.49508669999999999</v>
      </c>
      <c r="T4925">
        <v>8.6169839999999998E-2</v>
      </c>
      <c r="U4925">
        <v>3.00116</v>
      </c>
      <c r="V4925">
        <v>-0.16003870000000001</v>
      </c>
      <c r="W4925">
        <v>5.267119E-2</v>
      </c>
      <c r="X4925">
        <v>0.98570449999999998</v>
      </c>
      <c r="Y4925">
        <v>1.007679E-2</v>
      </c>
      <c r="Z4925">
        <v>3.1572570000000001E-2</v>
      </c>
      <c r="AA4925">
        <v>0.99945070000000003</v>
      </c>
      <c r="AB4925">
        <v>30</v>
      </c>
      <c r="AC4925">
        <v>10.431199999999899</v>
      </c>
      <c r="AD4925">
        <v>1.8233189999999999</v>
      </c>
      <c r="AE4925">
        <v>63.201790000000003</v>
      </c>
      <c r="AF4925">
        <v>0.65522784015948299</v>
      </c>
      <c r="AG4925">
        <v>1.8233189999999999</v>
      </c>
      <c r="AH4925">
        <v>64.001609015739902</v>
      </c>
      <c r="AI4925">
        <v>88.368247819720494</v>
      </c>
      <c r="AJ4925">
        <v>89.413444772172497</v>
      </c>
      <c r="AK4925">
        <v>64.030928248010895</v>
      </c>
      <c r="AL4925">
        <v>86.980765993331204</v>
      </c>
      <c r="AM4925">
        <v>99.222055021554795</v>
      </c>
      <c r="AN4925">
        <v>1.00000000053697</v>
      </c>
    </row>
    <row r="4926" spans="1:40" x14ac:dyDescent="0.25">
      <c r="A4926" t="str">
        <f>"20190305135728402"</f>
        <v>20190305135728402</v>
      </c>
      <c r="B4926" t="str">
        <f>"1551765448396880"</f>
        <v>1551765448396880</v>
      </c>
      <c r="C4926" t="s">
        <v>40</v>
      </c>
      <c r="D4926">
        <v>3.939155</v>
      </c>
      <c r="E4926">
        <v>0.56444709999999998</v>
      </c>
      <c r="F4926" t="s">
        <v>50</v>
      </c>
      <c r="G4926">
        <v>-177.49780000000001</v>
      </c>
      <c r="H4926">
        <v>3.266629</v>
      </c>
      <c r="I4926">
        <v>32.48563</v>
      </c>
      <c r="J4926">
        <v>-187.79589999999999</v>
      </c>
      <c r="K4926">
        <v>1.1107590000000001</v>
      </c>
      <c r="L4926">
        <v>-30.355499999999999</v>
      </c>
      <c r="M4926">
        <v>0.14935119999999999</v>
      </c>
      <c r="N4926">
        <v>-3.4118859999999998E-3</v>
      </c>
      <c r="O4926">
        <v>0.98877839999999995</v>
      </c>
      <c r="P4926">
        <v>-1.048608E-2</v>
      </c>
      <c r="Q4926">
        <v>5.6845010000000001E-2</v>
      </c>
      <c r="R4926">
        <v>0.99832799999999999</v>
      </c>
      <c r="S4926">
        <v>0.4916992</v>
      </c>
      <c r="T4926">
        <v>0.1024731</v>
      </c>
      <c r="U4926">
        <v>3.0022890000000002</v>
      </c>
      <c r="V4926">
        <v>-0.15981529999999899</v>
      </c>
      <c r="W4926">
        <v>5.9286449999999997E-2</v>
      </c>
      <c r="X4926">
        <v>0.98536500000000005</v>
      </c>
      <c r="Y4926">
        <v>1.2310969999999999E-2</v>
      </c>
      <c r="Z4926">
        <v>3.6685839999999997E-2</v>
      </c>
      <c r="AA4926">
        <v>0.999251</v>
      </c>
      <c r="AB4926">
        <v>30</v>
      </c>
      <c r="AC4926">
        <v>10.2980999999999</v>
      </c>
      <c r="AD4926">
        <v>2.1558700000000002</v>
      </c>
      <c r="AE4926">
        <v>62.84113</v>
      </c>
      <c r="AF4926">
        <v>0.79623263188008198</v>
      </c>
      <c r="AG4926">
        <v>2.1558700000000002</v>
      </c>
      <c r="AH4926">
        <v>63.601453623055399</v>
      </c>
      <c r="AI4926">
        <v>88.058765920426097</v>
      </c>
      <c r="AJ4926">
        <v>89.282746170155903</v>
      </c>
      <c r="AK4926">
        <v>63.642962413974999</v>
      </c>
      <c r="AL4926">
        <v>86.601143543014203</v>
      </c>
      <c r="AM4926">
        <v>99.2125212041324</v>
      </c>
      <c r="AN4926">
        <v>0.999999998246346</v>
      </c>
    </row>
    <row r="4927" spans="1:40" x14ac:dyDescent="0.25">
      <c r="A4927" t="str">
        <f>"20190305135728427"</f>
        <v>20190305135728427</v>
      </c>
      <c r="B4927" t="str">
        <f>"1551765448417376"</f>
        <v>1551765448417376</v>
      </c>
      <c r="C4927" t="s">
        <v>40</v>
      </c>
      <c r="D4927">
        <v>4.2213969999999996</v>
      </c>
      <c r="E4927">
        <v>0.56269309999999995</v>
      </c>
      <c r="F4927" t="s">
        <v>80</v>
      </c>
      <c r="G4927">
        <v>-168.86009999999999</v>
      </c>
      <c r="H4927">
        <v>5.5960039999999998</v>
      </c>
      <c r="I4927">
        <v>87.060289999999995</v>
      </c>
      <c r="J4927">
        <v>-187.75</v>
      </c>
      <c r="K4927">
        <v>1.1108910000000001</v>
      </c>
      <c r="L4927">
        <v>-30.030149999999999</v>
      </c>
      <c r="M4927">
        <v>0.14586729999999901</v>
      </c>
      <c r="N4927">
        <v>-3.214424E-3</v>
      </c>
      <c r="O4927">
        <v>0.98929889999999998</v>
      </c>
      <c r="P4927">
        <v>-1.293442E-2</v>
      </c>
      <c r="Q4927">
        <v>6.8705440000000007E-2</v>
      </c>
      <c r="R4927">
        <v>0.99755309999999997</v>
      </c>
      <c r="S4927">
        <v>0.4843903</v>
      </c>
      <c r="T4927">
        <v>0.11473559999999999</v>
      </c>
      <c r="U4927">
        <v>3.003571</v>
      </c>
      <c r="V4927">
        <v>-0.15873689999999999</v>
      </c>
      <c r="W4927">
        <v>7.0917930000000004E-2</v>
      </c>
      <c r="X4927">
        <v>0.9847707</v>
      </c>
      <c r="Y4927">
        <v>1.3372719999999999E-2</v>
      </c>
      <c r="Z4927">
        <v>4.0494120000000002E-2</v>
      </c>
      <c r="AA4927">
        <v>0.99909029999999999</v>
      </c>
      <c r="AB4927">
        <v>30</v>
      </c>
      <c r="AC4927">
        <v>18.889900000000001</v>
      </c>
      <c r="AD4927">
        <v>4.4851130000000001</v>
      </c>
      <c r="AE4927">
        <v>117.09043999999901</v>
      </c>
      <c r="AF4927">
        <v>1.6058029812257499</v>
      </c>
      <c r="AG4927">
        <v>4.4851130000000001</v>
      </c>
      <c r="AH4927">
        <v>118.424129792847</v>
      </c>
      <c r="AI4927">
        <v>87.831255377269798</v>
      </c>
      <c r="AJ4927">
        <v>89.223130493818502</v>
      </c>
      <c r="AK4927">
        <v>118.519911234486</v>
      </c>
      <c r="AL4927">
        <v>85.933288406534899</v>
      </c>
      <c r="AM4927">
        <v>99.156841659390196</v>
      </c>
      <c r="AN4927">
        <v>1.0000000438977901</v>
      </c>
    </row>
    <row r="4928" spans="1:40" x14ac:dyDescent="0.25">
      <c r="A4928" t="str">
        <f>"20190305135728447"</f>
        <v>20190305135728447</v>
      </c>
      <c r="B4928" t="str">
        <f>"1551765448436896"</f>
        <v>1551765448436896</v>
      </c>
      <c r="C4928" t="s">
        <v>40</v>
      </c>
      <c r="D4928">
        <v>4.0493290000000002</v>
      </c>
      <c r="E4928">
        <v>0.56240080000000003</v>
      </c>
      <c r="F4928" t="s">
        <v>80</v>
      </c>
      <c r="G4928">
        <v>-168.9332</v>
      </c>
      <c r="H4928">
        <v>6.5224039999999999</v>
      </c>
      <c r="I4928">
        <v>91.966849999999994</v>
      </c>
      <c r="J4928">
        <v>-187.7115</v>
      </c>
      <c r="K4928">
        <v>1.111</v>
      </c>
      <c r="L4928">
        <v>-29.750399999999999</v>
      </c>
      <c r="M4928">
        <v>0.14281140000000001</v>
      </c>
      <c r="N4928">
        <v>-3.054148E-3</v>
      </c>
      <c r="O4928">
        <v>0.98974519999999999</v>
      </c>
      <c r="P4928">
        <v>-1.5708969999999999E-2</v>
      </c>
      <c r="Q4928">
        <v>8.4960480000000005E-2</v>
      </c>
      <c r="R4928">
        <v>0.99626049999999999</v>
      </c>
      <c r="S4928">
        <v>0.46336359999999899</v>
      </c>
      <c r="T4928">
        <v>0.13325890000000001</v>
      </c>
      <c r="U4928">
        <v>3.004181</v>
      </c>
      <c r="V4928">
        <v>-0.15836939999999999</v>
      </c>
      <c r="W4928">
        <v>8.6983110000000002E-2</v>
      </c>
      <c r="X4928">
        <v>0.98354109999999995</v>
      </c>
      <c r="Y4928">
        <v>9.566171E-3</v>
      </c>
      <c r="Z4928">
        <v>4.6396479999999997E-2</v>
      </c>
      <c r="AA4928">
        <v>0.99887729999999997</v>
      </c>
      <c r="AB4928">
        <v>30</v>
      </c>
      <c r="AC4928">
        <v>18.778300000000002</v>
      </c>
      <c r="AD4928">
        <v>5.4114040000000001</v>
      </c>
      <c r="AE4928">
        <v>121.71725000000001</v>
      </c>
      <c r="AF4928">
        <v>1.20080871167125</v>
      </c>
      <c r="AG4928">
        <v>5.4114040000000001</v>
      </c>
      <c r="AH4928">
        <v>122.914092522987</v>
      </c>
      <c r="AI4928">
        <v>87.479249541978504</v>
      </c>
      <c r="AJ4928">
        <v>89.440266929309999</v>
      </c>
      <c r="AK4928">
        <v>123.03901566398601</v>
      </c>
      <c r="AL4928">
        <v>85.009928894341598</v>
      </c>
      <c r="AM4928">
        <v>99.147228740912894</v>
      </c>
      <c r="AN4928">
        <v>1.00000001183542</v>
      </c>
    </row>
    <row r="4929" spans="1:40" x14ac:dyDescent="0.25">
      <c r="A4929" t="str">
        <f>"20190305135728468"</f>
        <v>20190305135728468</v>
      </c>
      <c r="B4929" t="str">
        <f>"1551765448457392"</f>
        <v>1551765448457392</v>
      </c>
      <c r="C4929" t="s">
        <v>40</v>
      </c>
      <c r="D4929">
        <v>4.6984139999999996</v>
      </c>
      <c r="E4929">
        <v>0.53909700000000005</v>
      </c>
      <c r="F4929" t="s">
        <v>80</v>
      </c>
      <c r="G4929">
        <v>-169.37039999999999</v>
      </c>
      <c r="H4929">
        <v>8.3162610000000008</v>
      </c>
      <c r="I4929">
        <v>91.967449999999999</v>
      </c>
      <c r="J4929">
        <v>-187.6738</v>
      </c>
      <c r="K4929">
        <v>1.1110990000000001</v>
      </c>
      <c r="L4929">
        <v>-29.469180000000001</v>
      </c>
      <c r="M4929">
        <v>0.13970689999999999</v>
      </c>
      <c r="N4929">
        <v>-2.9054630000000001E-3</v>
      </c>
      <c r="O4929">
        <v>0.99018870000000003</v>
      </c>
      <c r="P4929">
        <v>-1.862596E-2</v>
      </c>
      <c r="Q4929">
        <v>9.251616E-2</v>
      </c>
      <c r="R4929">
        <v>0.99553700000000001</v>
      </c>
      <c r="S4929">
        <v>0.45254519999999998</v>
      </c>
      <c r="T4929">
        <v>0.17778099999999999</v>
      </c>
      <c r="U4929">
        <v>3.0032350000000001</v>
      </c>
      <c r="V4929">
        <v>-0.15813269999999999</v>
      </c>
      <c r="W4929">
        <v>9.4365489999999996E-2</v>
      </c>
      <c r="X4929">
        <v>0.98289839999999995</v>
      </c>
      <c r="Y4929">
        <v>9.1172219999999995E-3</v>
      </c>
      <c r="Z4929">
        <v>6.0770780000000003E-2</v>
      </c>
      <c r="AA4929">
        <v>0.9981101</v>
      </c>
      <c r="AB4929">
        <v>31</v>
      </c>
      <c r="AC4929">
        <v>18.3034</v>
      </c>
      <c r="AD4929">
        <v>7.2051619999999996</v>
      </c>
      <c r="AE4929">
        <v>121.43662999999999</v>
      </c>
      <c r="AF4929">
        <v>1.15431619399557</v>
      </c>
      <c r="AG4929">
        <v>7.2051619999999996</v>
      </c>
      <c r="AH4929">
        <v>122.381542876418</v>
      </c>
      <c r="AI4929">
        <v>86.630773941109993</v>
      </c>
      <c r="AJ4929">
        <v>89.459595921162503</v>
      </c>
      <c r="AK4929">
        <v>122.59889413096001</v>
      </c>
      <c r="AL4929">
        <v>84.585199160381094</v>
      </c>
      <c r="AM4929">
        <v>99.139659500892805</v>
      </c>
      <c r="AN4929">
        <v>1.00000003061739</v>
      </c>
    </row>
    <row r="4930" spans="1:40" x14ac:dyDescent="0.25">
      <c r="A4930" t="str">
        <f>"20190305135728491"</f>
        <v>20190305135728491</v>
      </c>
      <c r="B4930" t="str">
        <f>"1551765448487648"</f>
        <v>1551765448487648</v>
      </c>
      <c r="C4930" t="s">
        <v>40</v>
      </c>
      <c r="D4930">
        <v>4.2852300000000003</v>
      </c>
      <c r="E4930">
        <v>0.51065079999999996</v>
      </c>
      <c r="F4930" t="s">
        <v>70</v>
      </c>
      <c r="G4930">
        <v>-169.19730000000001</v>
      </c>
      <c r="H4930">
        <v>8.886177</v>
      </c>
      <c r="I4930">
        <v>184.38069999999999</v>
      </c>
      <c r="J4930">
        <v>-187.63380000000001</v>
      </c>
      <c r="K4930">
        <v>1.1111660000000001</v>
      </c>
      <c r="L4930">
        <v>-29.163599999999999</v>
      </c>
      <c r="M4930">
        <v>0.13631170000000001</v>
      </c>
      <c r="N4930">
        <v>-2.759619E-3</v>
      </c>
      <c r="O4930">
        <v>0.99066220000000005</v>
      </c>
      <c r="P4930">
        <v>-2.0890990000000002E-2</v>
      </c>
      <c r="Q4930">
        <v>9.2002730000000005E-2</v>
      </c>
      <c r="R4930">
        <v>0.99553959999999997</v>
      </c>
      <c r="S4930">
        <v>0.259903</v>
      </c>
      <c r="T4930">
        <v>0.1093696</v>
      </c>
      <c r="U4930">
        <v>3.0081479999999998</v>
      </c>
      <c r="V4930">
        <v>-0.15701590000000001</v>
      </c>
      <c r="W4930">
        <v>9.3691839999999998E-2</v>
      </c>
      <c r="X4930">
        <v>0.98314179999999995</v>
      </c>
      <c r="Y4930">
        <v>-5.0597379999999997E-2</v>
      </c>
      <c r="Z4930">
        <v>3.8477949999999997E-2</v>
      </c>
      <c r="AA4930">
        <v>0.99797760000000002</v>
      </c>
      <c r="AB4930">
        <v>31</v>
      </c>
      <c r="AC4930">
        <v>18.436499999999899</v>
      </c>
      <c r="AD4930">
        <v>7.7750110000000001</v>
      </c>
      <c r="AE4930">
        <v>213.54429999999999</v>
      </c>
      <c r="AF4930">
        <v>-10.830033195768999</v>
      </c>
      <c r="AG4930">
        <v>7.7750110000000001</v>
      </c>
      <c r="AH4930">
        <v>213.782879565147</v>
      </c>
      <c r="AI4930">
        <v>87.919808660744195</v>
      </c>
      <c r="AJ4930">
        <v>92.900069426206102</v>
      </c>
      <c r="AK4930">
        <v>214.19817928786799</v>
      </c>
      <c r="AL4930">
        <v>84.623967935786496</v>
      </c>
      <c r="AM4930">
        <v>99.073979863736398</v>
      </c>
      <c r="AN4930">
        <v>0.99999997632131699</v>
      </c>
    </row>
    <row r="4931" spans="1:40" x14ac:dyDescent="0.25">
      <c r="A4931" t="str">
        <f>"20190305135728513"</f>
        <v>20190305135728513</v>
      </c>
      <c r="B4931" t="str">
        <f>"1551765448507168"</f>
        <v>1551765448507168</v>
      </c>
      <c r="C4931" t="s">
        <v>40</v>
      </c>
      <c r="D4931">
        <v>4.3401889999999996</v>
      </c>
      <c r="E4931">
        <v>0.46901359999999997</v>
      </c>
      <c r="F4931" t="s">
        <v>96</v>
      </c>
      <c r="G4931">
        <v>-184.63659999999999</v>
      </c>
      <c r="H4931">
        <v>47.179960000000001</v>
      </c>
      <c r="I4931">
        <v>391.87</v>
      </c>
      <c r="J4931">
        <v>-187.5942</v>
      </c>
      <c r="K4931">
        <v>1.1112120000000001</v>
      </c>
      <c r="L4931">
        <v>-28.852720000000001</v>
      </c>
      <c r="M4931">
        <v>0.13284749999999901</v>
      </c>
      <c r="N4931">
        <v>-2.6302439999999999E-3</v>
      </c>
      <c r="O4931">
        <v>0.99113300000000004</v>
      </c>
      <c r="P4931">
        <v>-2.3982099999999999E-2</v>
      </c>
      <c r="Q4931">
        <v>8.1076999999999996E-2</v>
      </c>
      <c r="R4931">
        <v>0.99641930000000001</v>
      </c>
      <c r="S4931">
        <v>2.1240229999999999E-2</v>
      </c>
      <c r="T4931">
        <v>0.32647510000000002</v>
      </c>
      <c r="U4931">
        <v>2.9837340000000001</v>
      </c>
      <c r="V4931">
        <v>-0.15669640000000001</v>
      </c>
      <c r="W4931">
        <v>8.2622470000000003E-2</v>
      </c>
      <c r="X4931">
        <v>0.98418479999999997</v>
      </c>
      <c r="Y4931">
        <v>-0.12584690000000001</v>
      </c>
      <c r="Z4931">
        <v>0.10950559999999999</v>
      </c>
      <c r="AA4931">
        <v>0.98598739999999996</v>
      </c>
      <c r="AB4931">
        <v>31</v>
      </c>
      <c r="AC4931">
        <v>2.95760000000001</v>
      </c>
      <c r="AD4931">
        <v>46.0687479999999</v>
      </c>
      <c r="AE4931">
        <v>420.72271999999998</v>
      </c>
      <c r="AF4931">
        <v>-52.3333217928637</v>
      </c>
      <c r="AG4931">
        <v>46.0687479999999</v>
      </c>
      <c r="AH4931">
        <v>412.441575624221</v>
      </c>
      <c r="AI4931">
        <v>83.676897818324093</v>
      </c>
      <c r="AJ4931">
        <v>97.231424466585494</v>
      </c>
      <c r="AK4931">
        <v>418.29315009398903</v>
      </c>
      <c r="AL4931">
        <v>85.260678461541502</v>
      </c>
      <c r="AM4931">
        <v>99.046383949409204</v>
      </c>
      <c r="AN4931">
        <v>0.99999997743644997</v>
      </c>
    </row>
    <row r="4932" spans="1:40" x14ac:dyDescent="0.25">
      <c r="A4932" t="str">
        <f>"20190305135728604"</f>
        <v>20190305135728604</v>
      </c>
      <c r="B4932" t="str">
        <f>"1551765448596960"</f>
        <v>1551765448596960</v>
      </c>
      <c r="C4932" t="s">
        <v>40</v>
      </c>
      <c r="D4932">
        <v>4.0181969999999998</v>
      </c>
      <c r="E4932">
        <v>0.47830820000000002</v>
      </c>
      <c r="F4932" t="s">
        <v>42</v>
      </c>
      <c r="G4932">
        <v>-189.32140000000001</v>
      </c>
      <c r="H4932" s="1">
        <v>-3.6818189999999999E-6</v>
      </c>
      <c r="I4932">
        <v>-12.065390000000001</v>
      </c>
      <c r="J4932">
        <v>-187.44329999999999</v>
      </c>
      <c r="K4932">
        <v>1.111318</v>
      </c>
      <c r="L4932">
        <v>-27.578610000000001</v>
      </c>
      <c r="M4932">
        <v>0.1186734</v>
      </c>
      <c r="N4932">
        <v>-2.2464439999999998E-3</v>
      </c>
      <c r="O4932">
        <v>0.9929308</v>
      </c>
      <c r="P4932">
        <v>-2.798958E-2</v>
      </c>
      <c r="Q4932">
        <v>7.4119980000000002E-2</v>
      </c>
      <c r="R4932">
        <v>0.99685650000000003</v>
      </c>
      <c r="S4932">
        <v>-0.31066890000000003</v>
      </c>
      <c r="T4932">
        <v>-0.1998761</v>
      </c>
      <c r="U4932">
        <v>3.0195620000000001</v>
      </c>
      <c r="V4932">
        <v>-0.14662829999999999</v>
      </c>
      <c r="W4932">
        <v>7.5302140000000004E-2</v>
      </c>
      <c r="X4932">
        <v>0.98632129999999996</v>
      </c>
      <c r="Y4932">
        <v>-0.2194535</v>
      </c>
      <c r="Z4932">
        <v>-6.2118100000000002E-2</v>
      </c>
      <c r="AA4932">
        <v>0.97364340000000005</v>
      </c>
      <c r="AB4932">
        <v>32</v>
      </c>
      <c r="AC4932">
        <v>-1.8781000000000101</v>
      </c>
      <c r="AD4932">
        <v>-1.1113216818189999</v>
      </c>
      <c r="AE4932">
        <v>15.51322</v>
      </c>
      <c r="AF4932">
        <v>-3.6871904021356401</v>
      </c>
      <c r="AG4932">
        <v>-1.1113216818189999</v>
      </c>
      <c r="AH4932">
        <v>15.1043180399557</v>
      </c>
      <c r="AI4932">
        <v>94.088405474123306</v>
      </c>
      <c r="AJ4932">
        <v>103.718454765196</v>
      </c>
      <c r="AK4932">
        <v>15.587521688652499</v>
      </c>
      <c r="AL4932">
        <v>85.681417207182406</v>
      </c>
      <c r="AM4932">
        <v>98.455764911921406</v>
      </c>
      <c r="AN4932">
        <v>0.99999998874157903</v>
      </c>
    </row>
    <row r="4933" spans="1:40" x14ac:dyDescent="0.25">
      <c r="A4933" t="str">
        <f>"20190305135728627"</f>
        <v>20190305135728627</v>
      </c>
      <c r="B4933" t="str">
        <f>"1551765448617456"</f>
        <v>1551765448617456</v>
      </c>
      <c r="C4933" t="s">
        <v>40</v>
      </c>
      <c r="D4933">
        <v>4.0470889999999997</v>
      </c>
      <c r="E4933">
        <v>0.48082039999999998</v>
      </c>
      <c r="F4933" t="s">
        <v>42</v>
      </c>
      <c r="G4933">
        <v>-189.5607</v>
      </c>
      <c r="H4933" s="1">
        <v>-3.4452609999999998E-6</v>
      </c>
      <c r="I4933">
        <v>-2.517868</v>
      </c>
      <c r="J4933">
        <v>-187.40790000000001</v>
      </c>
      <c r="K4933">
        <v>1.1112919999999999</v>
      </c>
      <c r="L4933">
        <v>-27.25543</v>
      </c>
      <c r="M4933">
        <v>0.1151021</v>
      </c>
      <c r="N4933">
        <v>-2.1816729999999999E-3</v>
      </c>
      <c r="O4933">
        <v>0.99335130000000005</v>
      </c>
      <c r="P4933">
        <v>-2.7649030000000002E-2</v>
      </c>
      <c r="Q4933">
        <v>7.2425310000000007E-2</v>
      </c>
      <c r="R4933">
        <v>0.9969905</v>
      </c>
      <c r="S4933">
        <v>-0.25450129999999999</v>
      </c>
      <c r="T4933">
        <v>-0.1335779</v>
      </c>
      <c r="U4933">
        <v>3.012238</v>
      </c>
      <c r="V4933">
        <v>-0.14275009999999999</v>
      </c>
      <c r="W4933">
        <v>7.3561269999999998E-2</v>
      </c>
      <c r="X4933">
        <v>0.98702129999999999</v>
      </c>
      <c r="Y4933">
        <v>-0.19824040000000001</v>
      </c>
      <c r="Z4933">
        <v>-4.1152269999999998E-2</v>
      </c>
      <c r="AA4933">
        <v>0.97928919999999997</v>
      </c>
      <c r="AB4933">
        <v>32</v>
      </c>
      <c r="AC4933">
        <v>-2.1527999999999801</v>
      </c>
      <c r="AD4933">
        <v>-1.111295445261</v>
      </c>
      <c r="AE4933">
        <v>24.737562</v>
      </c>
      <c r="AF4933">
        <v>-4.9758773358003197</v>
      </c>
      <c r="AG4933">
        <v>-1.111295445261</v>
      </c>
      <c r="AH4933">
        <v>24.276729848763001</v>
      </c>
      <c r="AI4933">
        <v>92.567645401019305</v>
      </c>
      <c r="AJ4933">
        <v>101.583195851859</v>
      </c>
      <c r="AK4933">
        <v>24.8063287283187</v>
      </c>
      <c r="AL4933">
        <v>85.781439006818502</v>
      </c>
      <c r="AM4933">
        <v>98.229464566188994</v>
      </c>
      <c r="AN4933">
        <v>0.99999994907385503</v>
      </c>
    </row>
    <row r="4934" spans="1:40" x14ac:dyDescent="0.25">
      <c r="A4934" t="str">
        <f>"20190305135728669"</f>
        <v>20190305135728669</v>
      </c>
      <c r="B4934" t="str">
        <f>"1551765448657472"</f>
        <v>1551765448657472</v>
      </c>
      <c r="C4934" t="s">
        <v>40</v>
      </c>
      <c r="D4934">
        <v>4.0150829999999997</v>
      </c>
      <c r="E4934">
        <v>0.48283150000000002</v>
      </c>
      <c r="F4934" t="s">
        <v>42</v>
      </c>
      <c r="G4934">
        <v>-189.72829999999999</v>
      </c>
      <c r="H4934" s="1">
        <v>-1.363478E-6</v>
      </c>
      <c r="I4934">
        <v>2.6987519999999998</v>
      </c>
      <c r="J4934">
        <v>-187.345</v>
      </c>
      <c r="K4934">
        <v>1.1111839999999999</v>
      </c>
      <c r="L4934">
        <v>-26.654720000000001</v>
      </c>
      <c r="M4934">
        <v>0.10849159999999999</v>
      </c>
      <c r="N4934">
        <v>-2.0926389999999999E-3</v>
      </c>
      <c r="O4934">
        <v>0.99409510000000001</v>
      </c>
      <c r="P4934">
        <v>-2.8458890000000001E-2</v>
      </c>
      <c r="Q4934">
        <v>5.0871E-2</v>
      </c>
      <c r="R4934">
        <v>0.99829970000000001</v>
      </c>
      <c r="S4934">
        <v>-0.23323060000000001</v>
      </c>
      <c r="T4934">
        <v>-0.111696699999999</v>
      </c>
      <c r="U4934">
        <v>3.0107119999999998</v>
      </c>
      <c r="V4934">
        <v>-0.1369803</v>
      </c>
      <c r="W4934">
        <v>5.194501E-2</v>
      </c>
      <c r="X4934">
        <v>0.98921079999999995</v>
      </c>
      <c r="Y4934">
        <v>-0.18489349999999999</v>
      </c>
      <c r="Z4934">
        <v>-3.4271469999999998E-2</v>
      </c>
      <c r="AA4934">
        <v>0.98216079999999994</v>
      </c>
      <c r="AB4934">
        <v>32</v>
      </c>
      <c r="AC4934">
        <v>-2.38329999999999</v>
      </c>
      <c r="AD4934">
        <v>-1.111185363478</v>
      </c>
      <c r="AE4934">
        <v>29.353471999999901</v>
      </c>
      <c r="AF4934">
        <v>-5.5459490645104799</v>
      </c>
      <c r="AG4934">
        <v>-1.111185363478</v>
      </c>
      <c r="AH4934">
        <v>28.880524301875301</v>
      </c>
      <c r="AI4934">
        <v>92.163884852704399</v>
      </c>
      <c r="AJ4934">
        <v>100.87022515310601</v>
      </c>
      <c r="AK4934">
        <v>29.429185647743601</v>
      </c>
      <c r="AL4934">
        <v>87.022429921460798</v>
      </c>
      <c r="AM4934">
        <v>97.883858273288496</v>
      </c>
      <c r="AN4934">
        <v>0.99999994674431303</v>
      </c>
    </row>
    <row r="4935" spans="1:40" x14ac:dyDescent="0.25">
      <c r="A4935" t="str">
        <f>"20190305135728691"</f>
        <v>20190305135728691</v>
      </c>
      <c r="B4935" t="str">
        <f>"1551765448687728"</f>
        <v>1551765448687728</v>
      </c>
      <c r="C4935" t="s">
        <v>40</v>
      </c>
      <c r="D4935">
        <v>4.0474480000000002</v>
      </c>
      <c r="E4935">
        <v>0.48342089999999999</v>
      </c>
      <c r="F4935" t="s">
        <v>42</v>
      </c>
      <c r="G4935">
        <v>-189.03809999999999</v>
      </c>
      <c r="H4935" s="1">
        <v>-3.0956679999999998E-6</v>
      </c>
      <c r="I4935">
        <v>-3.5488659999999999</v>
      </c>
      <c r="J4935">
        <v>-187.31229999999999</v>
      </c>
      <c r="K4935">
        <v>1.111111</v>
      </c>
      <c r="L4935">
        <v>-26.325620000000001</v>
      </c>
      <c r="M4935">
        <v>0.1048813</v>
      </c>
      <c r="N4935">
        <v>-2.0588339999999998E-3</v>
      </c>
      <c r="O4935">
        <v>0.99448259999999999</v>
      </c>
      <c r="P4935">
        <v>-2.9528470000000001E-2</v>
      </c>
      <c r="Q4935">
        <v>3.8092800000000003E-2</v>
      </c>
      <c r="R4935">
        <v>0.9988378</v>
      </c>
      <c r="S4935">
        <v>-0.2202759</v>
      </c>
      <c r="T4935">
        <v>-0.14457139999999999</v>
      </c>
      <c r="U4935">
        <v>3.006195</v>
      </c>
      <c r="V4935">
        <v>-0.13441689999999901</v>
      </c>
      <c r="W4935">
        <v>3.9143400000000002E-2</v>
      </c>
      <c r="X4935">
        <v>0.99015149999999996</v>
      </c>
      <c r="Y4935">
        <v>-0.17719109999999999</v>
      </c>
      <c r="Z4935">
        <v>-4.5130150000000001E-2</v>
      </c>
      <c r="AA4935">
        <v>0.98314120000000005</v>
      </c>
      <c r="AB4935">
        <v>32</v>
      </c>
      <c r="AC4935">
        <v>-1.72579999999999</v>
      </c>
      <c r="AD4935">
        <v>-1.1111140956679999</v>
      </c>
      <c r="AE4935">
        <v>22.776754</v>
      </c>
      <c r="AF4935">
        <v>-4.0954518386534797</v>
      </c>
      <c r="AG4935">
        <v>-1.1111140956679999</v>
      </c>
      <c r="AH4935">
        <v>22.417086556675901</v>
      </c>
      <c r="AI4935">
        <v>92.791444188543494</v>
      </c>
      <c r="AJ4935">
        <v>100.35337585219401</v>
      </c>
      <c r="AK4935">
        <v>22.815193840636599</v>
      </c>
      <c r="AL4935">
        <v>87.756675376953396</v>
      </c>
      <c r="AM4935">
        <v>97.730864092094293</v>
      </c>
      <c r="AN4935">
        <v>1.0000000508607001</v>
      </c>
    </row>
    <row r="4936" spans="1:40" x14ac:dyDescent="0.25">
      <c r="A4936" t="str">
        <f>"20190305135728715"</f>
        <v>20190305135728715</v>
      </c>
      <c r="B4936" t="str">
        <f>"1551765448707248"</f>
        <v>1551765448707248</v>
      </c>
      <c r="C4936" t="s">
        <v>40</v>
      </c>
      <c r="D4936">
        <v>4.00373</v>
      </c>
      <c r="E4936">
        <v>0.48377629999999999</v>
      </c>
      <c r="F4936" t="s">
        <v>42</v>
      </c>
      <c r="G4936">
        <v>-188.7775</v>
      </c>
      <c r="H4936" s="1">
        <v>-1.971751E-6</v>
      </c>
      <c r="I4936">
        <v>-6.2765069999999996</v>
      </c>
      <c r="J4936">
        <v>-187.2791</v>
      </c>
      <c r="K4936">
        <v>1.1110690000000001</v>
      </c>
      <c r="L4936">
        <v>-25.978090000000002</v>
      </c>
      <c r="M4936">
        <v>0.101076399999999</v>
      </c>
      <c r="N4936">
        <v>-2.0332689999999999E-3</v>
      </c>
      <c r="O4936">
        <v>0.9948766</v>
      </c>
      <c r="P4936">
        <v>-3.4440829999999999E-2</v>
      </c>
      <c r="Q4936">
        <v>1.938407E-2</v>
      </c>
      <c r="R4936">
        <v>0.99921879999999996</v>
      </c>
      <c r="S4936">
        <v>-0.21948239999999999</v>
      </c>
      <c r="T4936">
        <v>-0.1664447</v>
      </c>
      <c r="U4936">
        <v>3.0033569999999998</v>
      </c>
      <c r="V4936">
        <v>-0.13541739999999999</v>
      </c>
      <c r="W4936">
        <v>2.0391309999999999E-2</v>
      </c>
      <c r="X4936">
        <v>0.99057879999999998</v>
      </c>
      <c r="Y4936">
        <v>-0.17320739999999901</v>
      </c>
      <c r="Z4936">
        <v>-5.2380790000000003E-2</v>
      </c>
      <c r="AA4936">
        <v>0.98349149999999996</v>
      </c>
      <c r="AB4936">
        <v>33</v>
      </c>
      <c r="AC4936">
        <v>-1.4984</v>
      </c>
      <c r="AD4936">
        <v>-1.1110709717509999</v>
      </c>
      <c r="AE4936">
        <v>19.701582999999999</v>
      </c>
      <c r="AF4936">
        <v>-3.4711192919909002</v>
      </c>
      <c r="AG4936">
        <v>-1.1110709717509999</v>
      </c>
      <c r="AH4936">
        <v>19.387924339600801</v>
      </c>
      <c r="AI4936">
        <v>93.228657441911494</v>
      </c>
      <c r="AJ4936">
        <v>100.150415952919</v>
      </c>
      <c r="AK4936">
        <v>19.7275127180692</v>
      </c>
      <c r="AL4936">
        <v>88.831583037818902</v>
      </c>
      <c r="AM4936">
        <v>97.784385242240603</v>
      </c>
      <c r="AN4936">
        <v>1.0000000183778499</v>
      </c>
    </row>
    <row r="4937" spans="1:40" x14ac:dyDescent="0.25">
      <c r="A4937" t="str">
        <f>"20190305135728734"</f>
        <v>20190305135728734</v>
      </c>
      <c r="B4937" t="str">
        <f>"1551765448727744"</f>
        <v>1551765448727744</v>
      </c>
      <c r="C4937" t="s">
        <v>40</v>
      </c>
      <c r="D4937">
        <v>4.0396859999999997</v>
      </c>
      <c r="E4937">
        <v>0.48395290000000002</v>
      </c>
      <c r="F4937" t="s">
        <v>42</v>
      </c>
      <c r="G4937">
        <v>-188.51499999999999</v>
      </c>
      <c r="H4937" s="1">
        <v>-5.060704E-7</v>
      </c>
      <c r="I4937">
        <v>-10.025869999999999</v>
      </c>
      <c r="J4937">
        <v>-187.25200000000001</v>
      </c>
      <c r="K4937">
        <v>1.1110739999999999</v>
      </c>
      <c r="L4937">
        <v>-25.683689999999999</v>
      </c>
      <c r="M4937">
        <v>9.7858000000000001E-2</v>
      </c>
      <c r="N4937">
        <v>-2.0180139999999998E-3</v>
      </c>
      <c r="O4937">
        <v>0.99519840000000004</v>
      </c>
      <c r="P4937">
        <v>-4.1582529999999999E-2</v>
      </c>
      <c r="Q4937">
        <v>8.8693790000000002E-3</v>
      </c>
      <c r="R4937">
        <v>0.99909570000000003</v>
      </c>
      <c r="S4937">
        <v>-0.2322998</v>
      </c>
      <c r="T4937">
        <v>-0.20883689999999999</v>
      </c>
      <c r="U4937">
        <v>2.998383</v>
      </c>
      <c r="V4937">
        <v>-0.1392301</v>
      </c>
      <c r="W4937">
        <v>9.8225139999999992E-3</v>
      </c>
      <c r="X4937">
        <v>0.99021130000000002</v>
      </c>
      <c r="Y4937">
        <v>-0.174253399999999</v>
      </c>
      <c r="Z4937">
        <v>-6.632644E-2</v>
      </c>
      <c r="AA4937">
        <v>0.98246460000000002</v>
      </c>
      <c r="AB4937">
        <v>33</v>
      </c>
      <c r="AC4937">
        <v>-1.2629999999999699</v>
      </c>
      <c r="AD4937">
        <v>-1.1110745060703999</v>
      </c>
      <c r="AE4937">
        <v>15.657819999999999</v>
      </c>
      <c r="AF4937">
        <v>-2.7752999653611199</v>
      </c>
      <c r="AG4937">
        <v>-1.1110745060703999</v>
      </c>
      <c r="AH4937">
        <v>15.382120716541801</v>
      </c>
      <c r="AI4937">
        <v>94.065964596396697</v>
      </c>
      <c r="AJ4937">
        <v>100.227489340864</v>
      </c>
      <c r="AK4937">
        <v>15.6699206824425</v>
      </c>
      <c r="AL4937">
        <v>89.437202331209207</v>
      </c>
      <c r="AM4937">
        <v>98.003686875573194</v>
      </c>
      <c r="AN4937">
        <v>0.99999996058748897</v>
      </c>
    </row>
    <row r="4938" spans="1:40" x14ac:dyDescent="0.25">
      <c r="A4938" t="str">
        <f>"20190305135728758"</f>
        <v>20190305135728758</v>
      </c>
      <c r="B4938" t="str">
        <f>"1551765448747264"</f>
        <v>1551765448747264</v>
      </c>
      <c r="C4938" t="s">
        <v>40</v>
      </c>
      <c r="D4938">
        <v>3.998278</v>
      </c>
      <c r="E4938">
        <v>0.48279260000000002</v>
      </c>
      <c r="F4938" t="s">
        <v>42</v>
      </c>
      <c r="G4938">
        <v>-188.49879999999999</v>
      </c>
      <c r="H4938" s="1">
        <v>-4.3133270000000004E-6</v>
      </c>
      <c r="I4938">
        <v>-10.933450000000001</v>
      </c>
      <c r="J4938">
        <v>-187.22110000000001</v>
      </c>
      <c r="K4938">
        <v>1.1111059999999999</v>
      </c>
      <c r="L4938">
        <v>-25.335270000000001</v>
      </c>
      <c r="M4938">
        <v>9.405326E-2</v>
      </c>
      <c r="N4938">
        <v>-2.007048E-3</v>
      </c>
      <c r="O4938">
        <v>0.99556509999999998</v>
      </c>
      <c r="P4938">
        <v>-4.7777939999999998E-2</v>
      </c>
      <c r="Q4938">
        <v>1.484241E-2</v>
      </c>
      <c r="R4938">
        <v>0.99874770000000002</v>
      </c>
      <c r="S4938">
        <v>-0.25309749999999998</v>
      </c>
      <c r="T4938">
        <v>-0.2255394</v>
      </c>
      <c r="U4938">
        <v>2.9941710000000001</v>
      </c>
      <c r="V4938">
        <v>-0.14162559999999999</v>
      </c>
      <c r="W4938">
        <v>1.575435E-2</v>
      </c>
      <c r="X4938">
        <v>0.98979490000000003</v>
      </c>
      <c r="Y4938">
        <v>-0.1773409</v>
      </c>
      <c r="Z4938">
        <v>-7.1877529999999995E-2</v>
      </c>
      <c r="AA4938">
        <v>0.98152119999999998</v>
      </c>
      <c r="AB4938">
        <v>33</v>
      </c>
      <c r="AC4938">
        <v>-1.2776999999999801</v>
      </c>
      <c r="AD4938">
        <v>-1.1111103133269999</v>
      </c>
      <c r="AE4938">
        <v>14.401820000000001</v>
      </c>
      <c r="AF4938">
        <v>-2.6111562312849599</v>
      </c>
      <c r="AG4938">
        <v>-1.1111103133269999</v>
      </c>
      <c r="AH4938">
        <v>14.1343330089173</v>
      </c>
      <c r="AI4938">
        <v>94.420327356726403</v>
      </c>
      <c r="AJ4938">
        <v>100.46673338950001</v>
      </c>
      <c r="AK4938">
        <v>14.416382091201999</v>
      </c>
      <c r="AL4938">
        <v>89.097304871302597</v>
      </c>
      <c r="AM4938">
        <v>98.142941288222403</v>
      </c>
      <c r="AN4938">
        <v>0.99999997709264599</v>
      </c>
    </row>
    <row r="4939" spans="1:40" x14ac:dyDescent="0.25">
      <c r="A4939" t="str">
        <f>"20190305135728780"</f>
        <v>20190305135728780</v>
      </c>
      <c r="B4939" t="str">
        <f>"1551765448777520"</f>
        <v>1551765448777520</v>
      </c>
      <c r="C4939" t="s">
        <v>40</v>
      </c>
      <c r="D4939">
        <v>4.0671549999999996</v>
      </c>
      <c r="E4939">
        <v>0.48540230000000001</v>
      </c>
      <c r="F4939" t="s">
        <v>42</v>
      </c>
      <c r="G4939">
        <v>-193.7165</v>
      </c>
      <c r="H4939" s="1">
        <v>-2.8041989999999999E-6</v>
      </c>
      <c r="I4939">
        <v>43.82067</v>
      </c>
      <c r="J4939">
        <v>-187.19329999999999</v>
      </c>
      <c r="K4939">
        <v>1.1111660000000001</v>
      </c>
      <c r="L4939">
        <v>-25.008479999999999</v>
      </c>
      <c r="M4939">
        <v>9.0489529999999999E-2</v>
      </c>
      <c r="N4939">
        <v>-2.00257E-3</v>
      </c>
      <c r="O4939">
        <v>0.99589539999999999</v>
      </c>
      <c r="P4939">
        <v>-4.8132179999999997E-2</v>
      </c>
      <c r="Q4939">
        <v>2.451716E-2</v>
      </c>
      <c r="R4939">
        <v>0.99853999999999998</v>
      </c>
      <c r="S4939">
        <v>-0.2809296</v>
      </c>
      <c r="T4939">
        <v>-4.8056010000000003E-2</v>
      </c>
      <c r="U4939">
        <v>2.991028</v>
      </c>
      <c r="V4939">
        <v>-0.1384917</v>
      </c>
      <c r="W4939">
        <v>2.5438249999999999E-2</v>
      </c>
      <c r="X4939">
        <v>0.99003680000000005</v>
      </c>
      <c r="Y4939">
        <v>-0.18320980000000001</v>
      </c>
      <c r="Z4939">
        <v>-1.3784070000000001E-2</v>
      </c>
      <c r="AA4939">
        <v>0.9829772</v>
      </c>
      <c r="AB4939">
        <v>33</v>
      </c>
      <c r="AC4939">
        <v>-6.5232000000000001</v>
      </c>
      <c r="AD4939">
        <v>-1.11116880419899</v>
      </c>
      <c r="AE4939">
        <v>68.829149999999998</v>
      </c>
      <c r="AF4939">
        <v>-12.7214817241403</v>
      </c>
      <c r="AG4939">
        <v>-1.11116880419899</v>
      </c>
      <c r="AH4939">
        <v>67.938939459892495</v>
      </c>
      <c r="AI4939">
        <v>90.921007779279904</v>
      </c>
      <c r="AJ4939">
        <v>100.605748175496</v>
      </c>
      <c r="AK4939">
        <v>69.128650271099602</v>
      </c>
      <c r="AL4939">
        <v>88.5423383403825</v>
      </c>
      <c r="AM4939">
        <v>97.963170771128404</v>
      </c>
      <c r="AN4939">
        <v>0.99999996044309503</v>
      </c>
    </row>
    <row r="4940" spans="1:40" x14ac:dyDescent="0.25">
      <c r="A4940" t="str">
        <f>"20190305135728806"</f>
        <v>20190305135728806</v>
      </c>
      <c r="B4940" t="str">
        <f>"1551765448797040"</f>
        <v>1551765448797040</v>
      </c>
      <c r="C4940" t="s">
        <v>40</v>
      </c>
      <c r="D4940">
        <v>3.988836</v>
      </c>
      <c r="E4940">
        <v>0.48638100000000001</v>
      </c>
      <c r="F4940" t="s">
        <v>54</v>
      </c>
      <c r="G4940">
        <v>-208.56049999999999</v>
      </c>
      <c r="H4940">
        <v>7.5874159999999996E-2</v>
      </c>
      <c r="I4940">
        <v>219.6422</v>
      </c>
      <c r="J4940">
        <v>-187.16220000000001</v>
      </c>
      <c r="K4940">
        <v>1.111256</v>
      </c>
      <c r="L4940">
        <v>-24.62509</v>
      </c>
      <c r="M4940">
        <v>8.6313630000000002E-2</v>
      </c>
      <c r="N4940">
        <v>-2.0035029999999998E-3</v>
      </c>
      <c r="O4940">
        <v>0.99626599999999998</v>
      </c>
      <c r="P4940">
        <v>-5.0478420000000003E-2</v>
      </c>
      <c r="Q4940">
        <v>3.0113770000000002E-2</v>
      </c>
      <c r="R4940">
        <v>0.99827100000000002</v>
      </c>
      <c r="S4940">
        <v>-0.261322</v>
      </c>
      <c r="T4940">
        <v>-1.26617E-2</v>
      </c>
      <c r="U4940">
        <v>2.9920960000000001</v>
      </c>
      <c r="V4940">
        <v>-0.1366995</v>
      </c>
      <c r="W4940">
        <v>3.10379E-2</v>
      </c>
      <c r="X4940">
        <v>0.99012619999999896</v>
      </c>
      <c r="Y4940">
        <v>-0.17266679999999901</v>
      </c>
      <c r="Z4940">
        <v>-2.1571870000000001E-3</v>
      </c>
      <c r="AA4940">
        <v>0.98497800000000002</v>
      </c>
      <c r="AB4940">
        <v>33</v>
      </c>
      <c r="AC4940">
        <v>-21.3982999999999</v>
      </c>
      <c r="AD4940">
        <v>-1.0353818400000001</v>
      </c>
      <c r="AE4940">
        <v>244.26729</v>
      </c>
      <c r="AF4940">
        <v>-42.401324336153202</v>
      </c>
      <c r="AG4940">
        <v>-1.0353818400000001</v>
      </c>
      <c r="AH4940">
        <v>241.50440974774301</v>
      </c>
      <c r="AI4940">
        <v>90.241937380406995</v>
      </c>
      <c r="AJ4940">
        <v>99.958021518090007</v>
      </c>
      <c r="AK4940">
        <v>245.20057962537501</v>
      </c>
      <c r="AL4940">
        <v>88.221373670273493</v>
      </c>
      <c r="AM4940">
        <v>97.860716403935101</v>
      </c>
      <c r="AN4940">
        <v>0.99999999823154895</v>
      </c>
    </row>
    <row r="4941" spans="1:40" x14ac:dyDescent="0.25">
      <c r="A4941" t="str">
        <f>"20190305135728846"</f>
        <v>20190305135728846</v>
      </c>
      <c r="B4941" t="str">
        <f>"1551765448837057"</f>
        <v>1551765448837057</v>
      </c>
      <c r="C4941" t="s">
        <v>40</v>
      </c>
      <c r="D4941">
        <v>4.03111</v>
      </c>
      <c r="E4941">
        <v>0.48603499999999999</v>
      </c>
      <c r="F4941" t="s">
        <v>96</v>
      </c>
      <c r="G4941">
        <v>-223.48429999999999</v>
      </c>
      <c r="H4941">
        <v>3.8732600000000001</v>
      </c>
      <c r="I4941">
        <v>391.87</v>
      </c>
      <c r="J4941">
        <v>-187.1155</v>
      </c>
      <c r="K4941">
        <v>1.111372</v>
      </c>
      <c r="L4941">
        <v>-24.00995</v>
      </c>
      <c r="M4941">
        <v>7.9625630000000003E-2</v>
      </c>
      <c r="N4941">
        <v>-2.01724E-3</v>
      </c>
      <c r="O4941">
        <v>0.99682280000000001</v>
      </c>
      <c r="P4941">
        <v>-5.7137300000000002E-2</v>
      </c>
      <c r="Q4941">
        <v>4.3164960000000002E-2</v>
      </c>
      <c r="R4941">
        <v>0.99743280000000001</v>
      </c>
      <c r="S4941">
        <v>-0.26087949999999999</v>
      </c>
      <c r="T4941">
        <v>1.983774E-2</v>
      </c>
      <c r="U4941">
        <v>2.991425</v>
      </c>
      <c r="V4941">
        <v>-0.1367302</v>
      </c>
      <c r="W4941">
        <v>4.4082490000000002E-2</v>
      </c>
      <c r="X4941">
        <v>0.98962700000000003</v>
      </c>
      <c r="Y4941">
        <v>-0.16592579999999901</v>
      </c>
      <c r="Z4941">
        <v>8.5655920000000003E-3</v>
      </c>
      <c r="AA4941">
        <v>0.98610100000000001</v>
      </c>
      <c r="AB4941">
        <v>34</v>
      </c>
      <c r="AC4941">
        <v>-36.368799999999901</v>
      </c>
      <c r="AD4941">
        <v>2.7618879999999999</v>
      </c>
      <c r="AE4941">
        <v>415.87995000000001</v>
      </c>
      <c r="AF4941">
        <v>-69.365056998012506</v>
      </c>
      <c r="AG4941">
        <v>2.7618879999999999</v>
      </c>
      <c r="AH4941">
        <v>411.64554685312999</v>
      </c>
      <c r="AI4941">
        <v>89.620930311219098</v>
      </c>
      <c r="AJ4941">
        <v>99.564871581991895</v>
      </c>
      <c r="AK4941">
        <v>417.45801633418699</v>
      </c>
      <c r="AL4941">
        <v>87.473440641436596</v>
      </c>
      <c r="AM4941">
        <v>97.866376128897997</v>
      </c>
      <c r="AN4941">
        <v>1.00000000632282</v>
      </c>
    </row>
    <row r="4942" spans="1:40" x14ac:dyDescent="0.25">
      <c r="A4942" t="str">
        <f>"20190305135728869"</f>
        <v>20190305135728869</v>
      </c>
      <c r="B4942" t="str">
        <f>"1551765448867313"</f>
        <v>1551765448867313</v>
      </c>
      <c r="C4942" t="s">
        <v>40</v>
      </c>
      <c r="D4942">
        <v>4.0603089999999904</v>
      </c>
      <c r="E4942">
        <v>0.48583850000000001</v>
      </c>
      <c r="F4942" t="s">
        <v>96</v>
      </c>
      <c r="G4942">
        <v>-226.5693</v>
      </c>
      <c r="H4942">
        <v>9.8511749999999996</v>
      </c>
      <c r="I4942">
        <v>391.87</v>
      </c>
      <c r="J4942">
        <v>-187.09129999999999</v>
      </c>
      <c r="K4942">
        <v>1.1114059999999999</v>
      </c>
      <c r="L4942">
        <v>-23.667110000000001</v>
      </c>
      <c r="M4942">
        <v>7.5904970000000002E-2</v>
      </c>
      <c r="N4942">
        <v>-2.029987E-3</v>
      </c>
      <c r="O4942">
        <v>0.99711300000000003</v>
      </c>
      <c r="P4942">
        <v>-6.1288820000000001E-2</v>
      </c>
      <c r="Q4942">
        <v>3.87418E-2</v>
      </c>
      <c r="R4942">
        <v>0.99736789999999997</v>
      </c>
      <c r="S4942">
        <v>-0.28353879999999998</v>
      </c>
      <c r="T4942">
        <v>6.2809589999999998E-2</v>
      </c>
      <c r="U4942">
        <v>2.9887700000000001</v>
      </c>
      <c r="V4942">
        <v>-0.13713829999999999</v>
      </c>
      <c r="W4942">
        <v>3.9657980000000002E-2</v>
      </c>
      <c r="X4942">
        <v>0.98975769999999996</v>
      </c>
      <c r="Y4942">
        <v>-0.16971600000000001</v>
      </c>
      <c r="Z4942">
        <v>2.275744E-2</v>
      </c>
      <c r="AA4942">
        <v>0.98523019999999994</v>
      </c>
      <c r="AB4942">
        <v>34</v>
      </c>
      <c r="AC4942">
        <v>-39.478000000000002</v>
      </c>
      <c r="AD4942">
        <v>8.7397689999999901</v>
      </c>
      <c r="AE4942">
        <v>415.53710999999998</v>
      </c>
      <c r="AF4942">
        <v>-70.874432383997302</v>
      </c>
      <c r="AG4942">
        <v>8.7397689999999901</v>
      </c>
      <c r="AH4942">
        <v>411.16146510067802</v>
      </c>
      <c r="AI4942">
        <v>88.799980065711097</v>
      </c>
      <c r="AJ4942">
        <v>99.780312761543698</v>
      </c>
      <c r="AK4942">
        <v>417.31680904519402</v>
      </c>
      <c r="AL4942">
        <v>87.7271690582199</v>
      </c>
      <c r="AM4942">
        <v>97.888531028353199</v>
      </c>
      <c r="AN4942">
        <v>0.99999998670693002</v>
      </c>
    </row>
    <row r="4943" spans="1:40" x14ac:dyDescent="0.25">
      <c r="A4943" t="str">
        <f>"20190305135728893"</f>
        <v>20190305135728893</v>
      </c>
      <c r="B4943" t="str">
        <f>"1551765448886832"</f>
        <v>1551765448886832</v>
      </c>
      <c r="C4943" t="s">
        <v>40</v>
      </c>
      <c r="D4943">
        <v>4.0501620000000003</v>
      </c>
      <c r="E4943">
        <v>0.48597170000000001</v>
      </c>
      <c r="F4943" t="s">
        <v>96</v>
      </c>
      <c r="G4943">
        <v>-228.297</v>
      </c>
      <c r="H4943">
        <v>7.7251000000000003</v>
      </c>
      <c r="I4943">
        <v>390.11860000000001</v>
      </c>
      <c r="J4943">
        <v>-187.06729999999999</v>
      </c>
      <c r="K4943">
        <v>1.1114389999999901</v>
      </c>
      <c r="L4943">
        <v>-23.307220000000001</v>
      </c>
      <c r="M4943">
        <v>7.2004020000000002E-2</v>
      </c>
      <c r="N4943">
        <v>-2.0469899999999998E-3</v>
      </c>
      <c r="O4943">
        <v>0.99740229999999996</v>
      </c>
      <c r="P4943">
        <v>-6.5851530000000005E-2</v>
      </c>
      <c r="Q4943">
        <v>3.7871250000000002E-2</v>
      </c>
      <c r="R4943">
        <v>0.99711050000000001</v>
      </c>
      <c r="S4943">
        <v>-0.29753109999999999</v>
      </c>
      <c r="T4943">
        <v>4.7754999999999999E-2</v>
      </c>
      <c r="U4943">
        <v>2.9877929999999999</v>
      </c>
      <c r="V4943">
        <v>-0.13779379999999999</v>
      </c>
      <c r="W4943">
        <v>3.8787950000000002E-2</v>
      </c>
      <c r="X4943">
        <v>0.98970119999999895</v>
      </c>
      <c r="Y4943">
        <v>-0.17047129999999999</v>
      </c>
      <c r="Z4943">
        <v>1.781713E-2</v>
      </c>
      <c r="AA4943">
        <v>0.98520149999999995</v>
      </c>
      <c r="AB4943">
        <v>34</v>
      </c>
      <c r="AC4943">
        <v>-41.229700000000001</v>
      </c>
      <c r="AD4943">
        <v>6.6136609999999996</v>
      </c>
      <c r="AE4943">
        <v>413.42581999999999</v>
      </c>
      <c r="AF4943">
        <v>-70.873104403451094</v>
      </c>
      <c r="AG4943">
        <v>6.6136609999999996</v>
      </c>
      <c r="AH4943">
        <v>409.28028549201599</v>
      </c>
      <c r="AI4943">
        <v>89.087797328382706</v>
      </c>
      <c r="AJ4943">
        <v>99.824211614895006</v>
      </c>
      <c r="AK4943">
        <v>415.42398767046598</v>
      </c>
      <c r="AL4943">
        <v>87.777056639344906</v>
      </c>
      <c r="AM4943">
        <v>97.926205652156199</v>
      </c>
      <c r="AN4943">
        <v>1.00000005083253</v>
      </c>
    </row>
    <row r="4944" spans="1:40" x14ac:dyDescent="0.25">
      <c r="A4944" t="str">
        <f>"20190305135728917"</f>
        <v>20190305135728917</v>
      </c>
      <c r="B4944" t="str">
        <f>"1551765448907329"</f>
        <v>1551765448907329</v>
      </c>
      <c r="C4944" t="s">
        <v>40</v>
      </c>
      <c r="D4944">
        <v>4.1409010000000004</v>
      </c>
      <c r="E4944">
        <v>0.48592229999999997</v>
      </c>
      <c r="F4944" t="s">
        <v>96</v>
      </c>
      <c r="G4944">
        <v>-230.00630000000001</v>
      </c>
      <c r="H4944">
        <v>6.8091600000000003</v>
      </c>
      <c r="I4944">
        <v>390.11860000000001</v>
      </c>
      <c r="J4944">
        <v>-187.0438</v>
      </c>
      <c r="K4944">
        <v>1.111478</v>
      </c>
      <c r="L4944">
        <v>-22.93375</v>
      </c>
      <c r="M4944">
        <v>6.796141E-2</v>
      </c>
      <c r="N4944">
        <v>-2.0675519999999998E-3</v>
      </c>
      <c r="O4944">
        <v>0.99768579999999996</v>
      </c>
      <c r="P4944">
        <v>-7.0400409999999997E-2</v>
      </c>
      <c r="Q4944">
        <v>4.3860120000000002E-2</v>
      </c>
      <c r="R4944">
        <v>0.9965541</v>
      </c>
      <c r="S4944">
        <v>-0.31019590000000002</v>
      </c>
      <c r="T4944">
        <v>4.116094E-2</v>
      </c>
      <c r="U4944">
        <v>2.9866329999999999</v>
      </c>
      <c r="V4944">
        <v>-0.1383344</v>
      </c>
      <c r="W4944">
        <v>4.478037E-2</v>
      </c>
      <c r="X4944">
        <v>0.98937269999999999</v>
      </c>
      <c r="Y4944">
        <v>-0.1706541</v>
      </c>
      <c r="Z4944">
        <v>1.5669559999999999E-2</v>
      </c>
      <c r="AA4944">
        <v>0.98520640000000004</v>
      </c>
      <c r="AB4944">
        <v>34</v>
      </c>
      <c r="AC4944">
        <v>-42.962499999999999</v>
      </c>
      <c r="AD4944">
        <v>5.6976820000000004</v>
      </c>
      <c r="AE4944">
        <v>413.05234999999999</v>
      </c>
      <c r="AF4944">
        <v>-70.921498194598797</v>
      </c>
      <c r="AG4944">
        <v>5.6976820000000004</v>
      </c>
      <c r="AH4944">
        <v>409.100540831393</v>
      </c>
      <c r="AI4944">
        <v>89.213798937483702</v>
      </c>
      <c r="AJ4944">
        <v>99.835023952430802</v>
      </c>
      <c r="AK4944">
        <v>415.24158630233302</v>
      </c>
      <c r="AL4944">
        <v>87.433415553700797</v>
      </c>
      <c r="AM4944">
        <v>97.959512714173698</v>
      </c>
      <c r="AN4944">
        <v>1.0000000136329901</v>
      </c>
    </row>
    <row r="4945" spans="1:40" x14ac:dyDescent="0.25">
      <c r="A4945" t="str">
        <f>"20190305135728939"</f>
        <v>20190305135728939</v>
      </c>
      <c r="B4945" t="str">
        <f>"1551765448927824"</f>
        <v>1551765448927824</v>
      </c>
      <c r="C4945" t="s">
        <v>40</v>
      </c>
      <c r="D4945">
        <v>4.0888049999999998</v>
      </c>
      <c r="E4945">
        <v>0.48602309999999999</v>
      </c>
      <c r="F4945" t="s">
        <v>96</v>
      </c>
      <c r="G4945">
        <v>-231.98269999999999</v>
      </c>
      <c r="H4945">
        <v>8.9008979999999998</v>
      </c>
      <c r="I4945">
        <v>391.00349999999997</v>
      </c>
      <c r="J4945">
        <v>-187.02369999999999</v>
      </c>
      <c r="K4945">
        <v>1.1114949999999999</v>
      </c>
      <c r="L4945">
        <v>-22.592189999999999</v>
      </c>
      <c r="M4945">
        <v>6.426904E-2</v>
      </c>
      <c r="N4945">
        <v>-2.0885679999999998E-3</v>
      </c>
      <c r="O4945">
        <v>0.9979304</v>
      </c>
      <c r="P4945">
        <v>-7.5230519999999995E-2</v>
      </c>
      <c r="Q4945">
        <v>4.9216129999999997E-2</v>
      </c>
      <c r="R4945">
        <v>0.99595089999999997</v>
      </c>
      <c r="S4945">
        <v>-0.32406620000000003</v>
      </c>
      <c r="T4945">
        <v>5.6171659999999998E-2</v>
      </c>
      <c r="U4945">
        <v>2.9850159999999999</v>
      </c>
      <c r="V4945">
        <v>-0.13950129999999999</v>
      </c>
      <c r="W4945">
        <v>5.0136350000000003E-2</v>
      </c>
      <c r="X4945">
        <v>0.98895189999999999</v>
      </c>
      <c r="Y4945">
        <v>-0.1715806</v>
      </c>
      <c r="Z4945">
        <v>2.065755E-2</v>
      </c>
      <c r="AA4945">
        <v>0.98495350000000004</v>
      </c>
      <c r="AB4945">
        <v>35</v>
      </c>
      <c r="AC4945">
        <v>-44.958999999999897</v>
      </c>
      <c r="AD4945">
        <v>7.7894030000000001</v>
      </c>
      <c r="AE4945">
        <v>413.59568999999999</v>
      </c>
      <c r="AF4945">
        <v>-71.422470823857594</v>
      </c>
      <c r="AG4945">
        <v>7.7894030000000001</v>
      </c>
      <c r="AH4945">
        <v>409.70751922600698</v>
      </c>
      <c r="AI4945">
        <v>88.926995833638699</v>
      </c>
      <c r="AJ4945">
        <v>99.888743942667205</v>
      </c>
      <c r="AK4945">
        <v>415.959247340422</v>
      </c>
      <c r="AL4945">
        <v>87.126194109773806</v>
      </c>
      <c r="AM4945">
        <v>98.029153250303807</v>
      </c>
      <c r="AN4945">
        <v>1.0000000634032999</v>
      </c>
    </row>
    <row r="4946" spans="1:40" x14ac:dyDescent="0.25">
      <c r="A4946" t="str">
        <f>"20190305135728981"</f>
        <v>20190305135728981</v>
      </c>
      <c r="B4946" t="str">
        <f>"1551765448977380"</f>
        <v>1551765448977380</v>
      </c>
      <c r="C4946" t="s">
        <v>40</v>
      </c>
      <c r="D4946">
        <v>4.1006479999999996</v>
      </c>
      <c r="E4946">
        <v>0.52578990000000003</v>
      </c>
      <c r="F4946" t="s">
        <v>96</v>
      </c>
      <c r="G4946">
        <v>-233.83529999999999</v>
      </c>
      <c r="H4946">
        <v>10.893750000000001</v>
      </c>
      <c r="I4946">
        <v>391.00349999999997</v>
      </c>
      <c r="J4946">
        <v>-186.98859999999999</v>
      </c>
      <c r="K4946">
        <v>1.1114820000000001</v>
      </c>
      <c r="L4946">
        <v>-21.939609999999998</v>
      </c>
      <c r="M4946">
        <v>5.7228380000000002E-2</v>
      </c>
      <c r="N4946">
        <v>-2.1337700000000001E-3</v>
      </c>
      <c r="O4946">
        <v>0.99835879999999999</v>
      </c>
      <c r="P4946">
        <v>-8.6567820000000004E-2</v>
      </c>
      <c r="Q4946">
        <v>3.7043640000000003E-2</v>
      </c>
      <c r="R4946">
        <v>0.99555700000000003</v>
      </c>
      <c r="S4946">
        <v>-0.33764650000000002</v>
      </c>
      <c r="T4946">
        <v>7.0558190000000007E-2</v>
      </c>
      <c r="U4946">
        <v>2.983215</v>
      </c>
      <c r="V4946">
        <v>-0.14372279999999901</v>
      </c>
      <c r="W4946">
        <v>3.7952199999999998E-2</v>
      </c>
      <c r="X4946">
        <v>0.98889000000000005</v>
      </c>
      <c r="Y4946">
        <v>-0.16911229999999999</v>
      </c>
      <c r="Z4946">
        <v>2.5482189999999998E-2</v>
      </c>
      <c r="AA4946">
        <v>0.98526729999999996</v>
      </c>
      <c r="AB4946">
        <v>35</v>
      </c>
      <c r="AC4946">
        <v>-46.846699999999998</v>
      </c>
      <c r="AD4946">
        <v>9.7822680000000002</v>
      </c>
      <c r="AE4946">
        <v>412.94310999999999</v>
      </c>
      <c r="AF4946">
        <v>-70.363058712052705</v>
      </c>
      <c r="AG4946">
        <v>9.7822680000000002</v>
      </c>
      <c r="AH4946">
        <v>409.35856992184</v>
      </c>
      <c r="AI4946">
        <v>88.650865048887297</v>
      </c>
      <c r="AJ4946">
        <v>99.753044119821496</v>
      </c>
      <c r="AK4946">
        <v>415.47694468766099</v>
      </c>
      <c r="AL4946">
        <v>87.824976812772505</v>
      </c>
      <c r="AM4946">
        <v>98.269325429602802</v>
      </c>
      <c r="AN4946">
        <v>1.00000002241233</v>
      </c>
    </row>
    <row r="4947" spans="1:40" x14ac:dyDescent="0.25">
      <c r="A4947" t="str">
        <f>"20190305135729007"</f>
        <v>20190305135729007</v>
      </c>
      <c r="B4947" t="str">
        <f>"1551765448996901"</f>
        <v>1551765448996901</v>
      </c>
      <c r="C4947" t="s">
        <v>40</v>
      </c>
      <c r="D4947">
        <v>4.0970879999999896</v>
      </c>
      <c r="E4947">
        <v>0.5311399</v>
      </c>
      <c r="F4947" t="s">
        <v>96</v>
      </c>
      <c r="G4947">
        <v>-194.54679999999999</v>
      </c>
      <c r="H4947">
        <v>14.63341</v>
      </c>
      <c r="I4947">
        <v>391.87</v>
      </c>
      <c r="J4947">
        <v>-186.96850000000001</v>
      </c>
      <c r="K4947">
        <v>1.111469</v>
      </c>
      <c r="L4947">
        <v>-21.524049999999999</v>
      </c>
      <c r="M4947">
        <v>5.2754250000000003E-2</v>
      </c>
      <c r="N4947">
        <v>-2.165391E-3</v>
      </c>
      <c r="O4947">
        <v>0.99860519999999997</v>
      </c>
      <c r="P4947">
        <v>-9.1708300000000006E-2</v>
      </c>
      <c r="Q4947">
        <v>2.9205450000000001E-2</v>
      </c>
      <c r="R4947">
        <v>0.99535750000000001</v>
      </c>
      <c r="S4947">
        <v>-5.4885860000000002E-2</v>
      </c>
      <c r="T4947">
        <v>9.8192570000000007E-2</v>
      </c>
      <c r="U4947">
        <v>3.0049739999999998</v>
      </c>
      <c r="V4947">
        <v>-0.14435029999999999</v>
      </c>
      <c r="W4947">
        <v>3.0127080000000001E-2</v>
      </c>
      <c r="X4947">
        <v>0.9890679</v>
      </c>
      <c r="Y4947">
        <v>-7.0973399999999895E-2</v>
      </c>
      <c r="Z4947">
        <v>3.4712340000000001E-2</v>
      </c>
      <c r="AA4947">
        <v>0.99687400000000004</v>
      </c>
      <c r="AB4947">
        <v>35</v>
      </c>
      <c r="AC4947">
        <v>-7.5782999999999801</v>
      </c>
      <c r="AD4947">
        <v>13.521941</v>
      </c>
      <c r="AE4947">
        <v>413.39404999999999</v>
      </c>
      <c r="AF4947">
        <v>-29.344705237028201</v>
      </c>
      <c r="AG4947">
        <v>13.521941</v>
      </c>
      <c r="AH4947">
        <v>411.97798430360098</v>
      </c>
      <c r="AI4947">
        <v>88.124860223960198</v>
      </c>
      <c r="AJ4947">
        <v>94.074229738289105</v>
      </c>
      <c r="AK4947">
        <v>413.243044907853</v>
      </c>
      <c r="AL4947">
        <v>88.273584205026395</v>
      </c>
      <c r="AM4947">
        <v>98.303454207898099</v>
      </c>
      <c r="AN4947">
        <v>0.99999998043491301</v>
      </c>
    </row>
    <row r="4948" spans="1:40" x14ac:dyDescent="0.25">
      <c r="A4948" t="str">
        <f>"20190305135729032"</f>
        <v>20190305135729032</v>
      </c>
      <c r="B4948" t="str">
        <f>"1551765449027155"</f>
        <v>1551765449027155</v>
      </c>
      <c r="C4948" t="s">
        <v>40</v>
      </c>
      <c r="D4948">
        <v>4.0757700000000003</v>
      </c>
      <c r="E4948">
        <v>0.53338430000000003</v>
      </c>
      <c r="F4948" t="s">
        <v>96</v>
      </c>
      <c r="G4948">
        <v>-190.77369999999999</v>
      </c>
      <c r="H4948">
        <v>13.786250000000001</v>
      </c>
      <c r="I4948">
        <v>391.87</v>
      </c>
      <c r="J4948">
        <v>-186.95230000000001</v>
      </c>
      <c r="K4948">
        <v>1.1114630000000001</v>
      </c>
      <c r="L4948">
        <v>-21.157869999999999</v>
      </c>
      <c r="M4948">
        <v>4.8820280000000001E-2</v>
      </c>
      <c r="N4948">
        <v>-2.1948559999999998E-3</v>
      </c>
      <c r="O4948">
        <v>0.99880519999999995</v>
      </c>
      <c r="P4948">
        <v>-9.4633110000000006E-2</v>
      </c>
      <c r="Q4948">
        <v>2.3184360000000001E-2</v>
      </c>
      <c r="R4948">
        <v>0.99524219999999997</v>
      </c>
      <c r="S4948">
        <v>-2.7694699999999999E-2</v>
      </c>
      <c r="T4948">
        <v>9.2248440000000001E-2</v>
      </c>
      <c r="U4948">
        <v>3.0087280000000001</v>
      </c>
      <c r="V4948">
        <v>-0.143319899999999</v>
      </c>
      <c r="W4948">
        <v>2.413355E-2</v>
      </c>
      <c r="X4948">
        <v>0.98938210000000004</v>
      </c>
      <c r="Y4948">
        <v>-5.80086E-2</v>
      </c>
      <c r="Z4948">
        <v>3.2758860000000001E-2</v>
      </c>
      <c r="AA4948">
        <v>0.99777850000000001</v>
      </c>
      <c r="AB4948">
        <v>35</v>
      </c>
      <c r="AC4948">
        <v>-3.8213999999999801</v>
      </c>
      <c r="AD4948">
        <v>12.674787</v>
      </c>
      <c r="AE4948">
        <v>413.02787000000001</v>
      </c>
      <c r="AF4948">
        <v>-23.958467160420302</v>
      </c>
      <c r="AG4948">
        <v>12.674787</v>
      </c>
      <c r="AH4948">
        <v>411.96088303444799</v>
      </c>
      <c r="AI4948">
        <v>88.240709342094107</v>
      </c>
      <c r="AJ4948">
        <v>93.328409598444296</v>
      </c>
      <c r="AK4948">
        <v>412.851580504053</v>
      </c>
      <c r="AL4948">
        <v>88.617115153207905</v>
      </c>
      <c r="AM4948">
        <v>98.242417910160299</v>
      </c>
      <c r="AN4948">
        <v>0.99999998088601105</v>
      </c>
    </row>
    <row r="4949" spans="1:40" x14ac:dyDescent="0.25">
      <c r="A4949" t="str">
        <f>"20190305135729051"</f>
        <v>20190305135729051</v>
      </c>
      <c r="B4949" t="str">
        <f>"1551765449047652"</f>
        <v>1551765449047652</v>
      </c>
      <c r="C4949" t="s">
        <v>40</v>
      </c>
      <c r="D4949">
        <v>4.0937089999999996</v>
      </c>
      <c r="E4949">
        <v>0.53408829999999996</v>
      </c>
      <c r="F4949" t="s">
        <v>96</v>
      </c>
      <c r="G4949">
        <v>-189.5043</v>
      </c>
      <c r="H4949">
        <v>13.29965</v>
      </c>
      <c r="I4949">
        <v>391.87</v>
      </c>
      <c r="J4949">
        <v>-186.93879999999999</v>
      </c>
      <c r="K4949">
        <v>1.1114729999999999</v>
      </c>
      <c r="L4949">
        <v>-20.81982</v>
      </c>
      <c r="M4949">
        <v>4.5218389999999997E-2</v>
      </c>
      <c r="N4949">
        <v>-2.2222740000000002E-3</v>
      </c>
      <c r="O4949">
        <v>0.99897469999999999</v>
      </c>
      <c r="P4949">
        <v>-9.7139160000000002E-2</v>
      </c>
      <c r="Q4949">
        <v>2.4415590000000001E-2</v>
      </c>
      <c r="R4949">
        <v>0.9949713</v>
      </c>
      <c r="S4949">
        <v>-1.8600459999999999E-2</v>
      </c>
      <c r="T4949">
        <v>8.8837860000000005E-2</v>
      </c>
      <c r="U4949">
        <v>3.0104980000000001</v>
      </c>
      <c r="V4949">
        <v>-0.1422543</v>
      </c>
      <c r="W4949">
        <v>2.5394880000000002E-2</v>
      </c>
      <c r="X4949">
        <v>0.9895043</v>
      </c>
      <c r="Y4949">
        <v>-5.1388179999999999E-2</v>
      </c>
      <c r="Z4949">
        <v>3.1653050000000002E-2</v>
      </c>
      <c r="AA4949">
        <v>0.99817699999999998</v>
      </c>
      <c r="AB4949">
        <v>36</v>
      </c>
      <c r="AC4949">
        <v>-2.5655000000000099</v>
      </c>
      <c r="AD4949">
        <v>12.188177</v>
      </c>
      <c r="AE4949">
        <v>412.68982</v>
      </c>
      <c r="AF4949">
        <v>-21.205594850813402</v>
      </c>
      <c r="AG4949">
        <v>12.188177</v>
      </c>
      <c r="AH4949">
        <v>411.79251692800699</v>
      </c>
      <c r="AI4949">
        <v>88.3069046153676</v>
      </c>
      <c r="AJ4949">
        <v>92.947889443153002</v>
      </c>
      <c r="AK4949">
        <v>412.51824918355197</v>
      </c>
      <c r="AL4949">
        <v>88.544824079383403</v>
      </c>
      <c r="AM4949">
        <v>98.180970613568803</v>
      </c>
      <c r="AN4949">
        <v>0.99999997275859598</v>
      </c>
    </row>
    <row r="4950" spans="1:40" x14ac:dyDescent="0.25">
      <c r="A4950" t="str">
        <f>"20190305135729071"</f>
        <v>20190305135729071</v>
      </c>
      <c r="B4950" t="str">
        <f>"1551765449067818"</f>
        <v>1551765449067818</v>
      </c>
      <c r="C4950" t="s">
        <v>40</v>
      </c>
      <c r="D4950">
        <v>4.1427820000000004</v>
      </c>
      <c r="E4950">
        <v>0.53435889999999997</v>
      </c>
      <c r="F4950" t="s">
        <v>96</v>
      </c>
      <c r="G4950">
        <v>-189.7561</v>
      </c>
      <c r="H4950">
        <v>14.51779</v>
      </c>
      <c r="I4950">
        <v>391.87</v>
      </c>
      <c r="J4950">
        <v>-186.9273</v>
      </c>
      <c r="K4950">
        <v>1.111502</v>
      </c>
      <c r="L4950">
        <v>-20.50949</v>
      </c>
      <c r="M4950">
        <v>4.1939360000000002E-2</v>
      </c>
      <c r="N4950">
        <v>-2.247364E-3</v>
      </c>
      <c r="O4950">
        <v>0.99911760000000005</v>
      </c>
      <c r="P4950">
        <v>-9.9130209999999996E-2</v>
      </c>
      <c r="Q4950">
        <v>2.870292E-2</v>
      </c>
      <c r="R4950">
        <v>0.9946604</v>
      </c>
      <c r="S4950">
        <v>-2.055359E-2</v>
      </c>
      <c r="T4950">
        <v>9.7804550000000004E-2</v>
      </c>
      <c r="U4950">
        <v>3.010742</v>
      </c>
      <c r="V4950">
        <v>-0.14101959999999999</v>
      </c>
      <c r="W4950">
        <v>2.971385E-2</v>
      </c>
      <c r="X4950">
        <v>0.98956080000000002</v>
      </c>
      <c r="Y4950">
        <v>-4.8756630000000002E-2</v>
      </c>
      <c r="Z4950">
        <v>3.4651960000000002E-2</v>
      </c>
      <c r="AA4950">
        <v>0.99820940000000002</v>
      </c>
      <c r="AB4950">
        <v>36</v>
      </c>
      <c r="AC4950">
        <v>-2.8288000000000002</v>
      </c>
      <c r="AD4950">
        <v>13.406288</v>
      </c>
      <c r="AE4950">
        <v>412.37948999999998</v>
      </c>
      <c r="AF4950">
        <v>-20.100044975482099</v>
      </c>
      <c r="AG4950">
        <v>13.406288</v>
      </c>
      <c r="AH4950">
        <v>411.46317694359902</v>
      </c>
      <c r="AI4950">
        <v>88.136070900409507</v>
      </c>
      <c r="AJ4950">
        <v>92.796685208043399</v>
      </c>
      <c r="AK4950">
        <v>412.17191358276102</v>
      </c>
      <c r="AL4950">
        <v>88.297271193791403</v>
      </c>
      <c r="AM4950">
        <v>98.110455619234301</v>
      </c>
      <c r="AN4950">
        <v>1.0000000086813099</v>
      </c>
    </row>
    <row r="4951" spans="1:40" x14ac:dyDescent="0.25">
      <c r="A4951" t="str">
        <f>"20190305135729095"</f>
        <v>20190305135729095</v>
      </c>
      <c r="B4951" t="str">
        <f>"1551765449087337"</f>
        <v>1551765449087337</v>
      </c>
      <c r="C4951" t="s">
        <v>40</v>
      </c>
      <c r="D4951">
        <v>4.1010309999999999</v>
      </c>
      <c r="E4951">
        <v>0.53543809999999903</v>
      </c>
      <c r="F4951" t="s">
        <v>96</v>
      </c>
      <c r="G4951">
        <v>-190.26339999999999</v>
      </c>
      <c r="H4951">
        <v>16.9148</v>
      </c>
      <c r="I4951">
        <v>391.87</v>
      </c>
      <c r="J4951">
        <v>-186.91460000000001</v>
      </c>
      <c r="K4951">
        <v>1.1114999999999999</v>
      </c>
      <c r="L4951">
        <v>-20.128879999999999</v>
      </c>
      <c r="M4951">
        <v>3.7992720000000001E-2</v>
      </c>
      <c r="N4951">
        <v>-2.277514E-3</v>
      </c>
      <c r="O4951">
        <v>0.99927540000000004</v>
      </c>
      <c r="P4951">
        <v>-0.10227609999999999</v>
      </c>
      <c r="Q4951">
        <v>3.5865599999999997E-2</v>
      </c>
      <c r="R4951">
        <v>0.99410929999999997</v>
      </c>
      <c r="S4951">
        <v>-2.4353030000000001E-2</v>
      </c>
      <c r="T4951">
        <v>0.1153631</v>
      </c>
      <c r="U4951">
        <v>3.010345</v>
      </c>
      <c r="V4951">
        <v>-0.14029369999999999</v>
      </c>
      <c r="W4951">
        <v>3.6915799999999999E-2</v>
      </c>
      <c r="X4951">
        <v>0.98942149999999995</v>
      </c>
      <c r="Y4951">
        <v>-4.6070479999999997E-2</v>
      </c>
      <c r="Z4951">
        <v>4.050778E-2</v>
      </c>
      <c r="AA4951">
        <v>0.99811660000000002</v>
      </c>
      <c r="AB4951">
        <v>36</v>
      </c>
      <c r="AC4951">
        <v>-3.3487999999999798</v>
      </c>
      <c r="AD4951">
        <v>15.8033</v>
      </c>
      <c r="AE4951">
        <v>411.99887999999999</v>
      </c>
      <c r="AF4951">
        <v>-18.9714701883</v>
      </c>
      <c r="AG4951">
        <v>15.8033</v>
      </c>
      <c r="AH4951">
        <v>410.96956875269598</v>
      </c>
      <c r="AI4951">
        <v>87.800190696101893</v>
      </c>
      <c r="AJ4951">
        <v>92.643052237670901</v>
      </c>
      <c r="AK4951">
        <v>411.71063553516899</v>
      </c>
      <c r="AL4951">
        <v>87.884399765409398</v>
      </c>
      <c r="AM4951">
        <v>98.070379306269004</v>
      </c>
      <c r="AN4951">
        <v>1.0000000016057899</v>
      </c>
    </row>
    <row r="4952" spans="1:40" x14ac:dyDescent="0.25">
      <c r="A4952" t="str">
        <f>"20190305135729116"</f>
        <v>20190305135729116</v>
      </c>
      <c r="B4952" t="str">
        <f>"1551765449107831"</f>
        <v>1551765449107831</v>
      </c>
      <c r="C4952" t="s">
        <v>40</v>
      </c>
      <c r="D4952">
        <v>4.2296889999999996</v>
      </c>
      <c r="E4952">
        <v>0.5359313</v>
      </c>
      <c r="F4952" t="s">
        <v>96</v>
      </c>
      <c r="G4952">
        <v>-190.37979999999999</v>
      </c>
      <c r="H4952">
        <v>21.44971</v>
      </c>
      <c r="I4952">
        <v>391.87</v>
      </c>
      <c r="J4952">
        <v>-186.904</v>
      </c>
      <c r="K4952">
        <v>1.1114759999999999</v>
      </c>
      <c r="L4952">
        <v>-19.771329999999999</v>
      </c>
      <c r="M4952">
        <v>3.4392390000000002E-2</v>
      </c>
      <c r="N4952">
        <v>-2.304595E-3</v>
      </c>
      <c r="O4952">
        <v>0.99940569999999895</v>
      </c>
      <c r="P4952">
        <v>-0.1049089</v>
      </c>
      <c r="Q4952">
        <v>4.3012420000000003E-2</v>
      </c>
      <c r="R4952">
        <v>0.99355130000000003</v>
      </c>
      <c r="S4952">
        <v>-2.5314329999999999E-2</v>
      </c>
      <c r="T4952">
        <v>0.14857919999999999</v>
      </c>
      <c r="U4952">
        <v>3.009827</v>
      </c>
      <c r="V4952">
        <v>-0.13939760000000001</v>
      </c>
      <c r="W4952">
        <v>4.4108689999999999E-2</v>
      </c>
      <c r="X4952">
        <v>0.98925359999999996</v>
      </c>
      <c r="Y4952">
        <v>-4.278767E-2</v>
      </c>
      <c r="Z4952">
        <v>5.1539500000000002E-2</v>
      </c>
      <c r="AA4952">
        <v>0.99775389999999997</v>
      </c>
      <c r="AB4952">
        <v>36</v>
      </c>
      <c r="AC4952">
        <v>-3.47579999999996</v>
      </c>
      <c r="AD4952">
        <v>20.338234</v>
      </c>
      <c r="AE4952">
        <v>411.64132999999998</v>
      </c>
      <c r="AF4952">
        <v>-17.588179451644301</v>
      </c>
      <c r="AG4952">
        <v>20.338234</v>
      </c>
      <c r="AH4952">
        <v>410.27680093161598</v>
      </c>
      <c r="AI4952">
        <v>87.164657672592199</v>
      </c>
      <c r="AJ4952">
        <v>92.454713036980806</v>
      </c>
      <c r="AK4952">
        <v>411.15695446063302</v>
      </c>
      <c r="AL4952">
        <v>87.471937954423197</v>
      </c>
      <c r="AM4952">
        <v>98.020847363549606</v>
      </c>
      <c r="AN4952">
        <v>0.99999997626611703</v>
      </c>
    </row>
    <row r="4953" spans="1:40" x14ac:dyDescent="0.25">
      <c r="A4953" t="str">
        <f>"20190305135729139"</f>
        <v>20190305135729139</v>
      </c>
      <c r="B4953" t="str">
        <f>"1551765449127352"</f>
        <v>1551765449127352</v>
      </c>
      <c r="C4953" t="s">
        <v>40</v>
      </c>
      <c r="D4953">
        <v>4.1266720000000001</v>
      </c>
      <c r="E4953">
        <v>0.53654840000000004</v>
      </c>
      <c r="F4953" t="s">
        <v>96</v>
      </c>
      <c r="G4953">
        <v>-190.93530000000001</v>
      </c>
      <c r="H4953">
        <v>25.449269999999999</v>
      </c>
      <c r="I4953">
        <v>391.87</v>
      </c>
      <c r="J4953">
        <v>-186.8946</v>
      </c>
      <c r="K4953">
        <v>1.1114109999999999</v>
      </c>
      <c r="L4953">
        <v>-19.419460000000001</v>
      </c>
      <c r="M4953">
        <v>3.0981180000000001E-2</v>
      </c>
      <c r="N4953">
        <v>-2.330117E-3</v>
      </c>
      <c r="O4953">
        <v>0.99951730000000005</v>
      </c>
      <c r="P4953">
        <v>-0.1068254</v>
      </c>
      <c r="Q4953">
        <v>4.7572900000000001E-2</v>
      </c>
      <c r="R4953">
        <v>0.99313899999999999</v>
      </c>
      <c r="S4953">
        <v>-2.946472E-2</v>
      </c>
      <c r="T4953">
        <v>0.17788370000000001</v>
      </c>
      <c r="U4953">
        <v>3.008667</v>
      </c>
      <c r="V4953">
        <v>-0.13795499999999999</v>
      </c>
      <c r="W4953">
        <v>4.8726159999999998E-2</v>
      </c>
      <c r="X4953">
        <v>0.98923919999999999</v>
      </c>
      <c r="Y4953">
        <v>-4.0752150000000001E-2</v>
      </c>
      <c r="Z4953">
        <v>6.1278550000000001E-2</v>
      </c>
      <c r="AA4953">
        <v>0.99728839999999996</v>
      </c>
      <c r="AB4953">
        <v>36</v>
      </c>
      <c r="AC4953">
        <v>-4.04070000000001</v>
      </c>
      <c r="AD4953">
        <v>24.337858999999899</v>
      </c>
      <c r="AE4953">
        <v>411.28946000000002</v>
      </c>
      <c r="AF4953">
        <v>-16.7224769124334</v>
      </c>
      <c r="AG4953">
        <v>24.337858999999899</v>
      </c>
      <c r="AH4953">
        <v>409.53294863163501</v>
      </c>
      <c r="AI4953">
        <v>86.601832687339893</v>
      </c>
      <c r="AJ4953">
        <v>92.338262106041199</v>
      </c>
      <c r="AK4953">
        <v>410.59616246345098</v>
      </c>
      <c r="AL4953">
        <v>87.207090785253499</v>
      </c>
      <c r="AM4953">
        <v>97.939018953072505</v>
      </c>
      <c r="AN4953">
        <v>1.00000000775499</v>
      </c>
    </row>
    <row r="4954" spans="1:40" x14ac:dyDescent="0.25">
      <c r="A4954" t="str">
        <f>"20190305135729162"</f>
        <v>20190305135729162</v>
      </c>
      <c r="B4954" t="str">
        <f>"1551765449157448"</f>
        <v>1551765449157448</v>
      </c>
      <c r="C4954" t="s">
        <v>40</v>
      </c>
      <c r="D4954">
        <v>4.1599629999999896</v>
      </c>
      <c r="E4954">
        <v>0.53713239999999995</v>
      </c>
      <c r="F4954" t="s">
        <v>96</v>
      </c>
      <c r="G4954">
        <v>-191.02959999999999</v>
      </c>
      <c r="H4954">
        <v>27.72223</v>
      </c>
      <c r="I4954">
        <v>391.87</v>
      </c>
      <c r="J4954">
        <v>-186.88570000000001</v>
      </c>
      <c r="K4954">
        <v>1.1113249999999999</v>
      </c>
      <c r="L4954">
        <v>-19.041499999999999</v>
      </c>
      <c r="M4954">
        <v>2.7490110000000002E-2</v>
      </c>
      <c r="N4954">
        <v>-2.3568339999999999E-3</v>
      </c>
      <c r="O4954">
        <v>0.99961929999999999</v>
      </c>
      <c r="P4954">
        <v>-0.1098486</v>
      </c>
      <c r="Q4954">
        <v>4.6542939999999998E-2</v>
      </c>
      <c r="R4954">
        <v>0.99285800000000002</v>
      </c>
      <c r="S4954">
        <v>-3.024292E-2</v>
      </c>
      <c r="T4954">
        <v>0.19463</v>
      </c>
      <c r="U4954">
        <v>3.0081479999999998</v>
      </c>
      <c r="V4954">
        <v>-0.13749439999999999</v>
      </c>
      <c r="W4954">
        <v>4.7757399999999998E-2</v>
      </c>
      <c r="X4954">
        <v>0.98935059999999997</v>
      </c>
      <c r="Y4954">
        <v>-3.7518389999999999E-2</v>
      </c>
      <c r="Z4954">
        <v>6.6857059999999996E-2</v>
      </c>
      <c r="AA4954">
        <v>0.99705690000000002</v>
      </c>
      <c r="AB4954">
        <v>36</v>
      </c>
      <c r="AC4954">
        <v>-4.1438999999999702</v>
      </c>
      <c r="AD4954">
        <v>26.610904999999999</v>
      </c>
      <c r="AE4954">
        <v>410.91149999999999</v>
      </c>
      <c r="AF4954">
        <v>-15.3738968694552</v>
      </c>
      <c r="AG4954">
        <v>26.610904999999999</v>
      </c>
      <c r="AH4954">
        <v>408.92744435836102</v>
      </c>
      <c r="AI4954">
        <v>86.279354825000198</v>
      </c>
      <c r="AJ4954">
        <v>92.153058585193193</v>
      </c>
      <c r="AK4954">
        <v>410.08066489330099</v>
      </c>
      <c r="AL4954">
        <v>87.262661448542602</v>
      </c>
      <c r="AM4954">
        <v>97.911969008507398</v>
      </c>
      <c r="AN4954">
        <v>1.00000004450323</v>
      </c>
    </row>
    <row r="4955" spans="1:40" x14ac:dyDescent="0.25">
      <c r="A4955" t="str">
        <f>"20190305135729183"</f>
        <v>20190305135729183</v>
      </c>
      <c r="B4955" t="str">
        <f>"1551765449177926"</f>
        <v>1551765449177926</v>
      </c>
      <c r="C4955" t="s">
        <v>40</v>
      </c>
      <c r="D4955">
        <v>4.1879359999999997</v>
      </c>
      <c r="E4955">
        <v>0.5377499</v>
      </c>
      <c r="F4955" t="s">
        <v>96</v>
      </c>
      <c r="G4955">
        <v>-191.6662</v>
      </c>
      <c r="H4955">
        <v>27.08907</v>
      </c>
      <c r="I4955">
        <v>391.87</v>
      </c>
      <c r="J4955">
        <v>-186.8785</v>
      </c>
      <c r="K4955">
        <v>1.111226</v>
      </c>
      <c r="L4955">
        <v>-18.6907</v>
      </c>
      <c r="M4955">
        <v>2.4424589999999999E-2</v>
      </c>
      <c r="N4955">
        <v>-2.3818390000000002E-3</v>
      </c>
      <c r="O4955">
        <v>0.9996988</v>
      </c>
      <c r="P4955">
        <v>-0.1127032</v>
      </c>
      <c r="Q4955">
        <v>4.486076E-2</v>
      </c>
      <c r="R4955">
        <v>0.99261549999999998</v>
      </c>
      <c r="S4955">
        <v>-3.5003659999999999E-2</v>
      </c>
      <c r="T4955">
        <v>0.190215</v>
      </c>
      <c r="U4955">
        <v>3.0087890000000002</v>
      </c>
      <c r="V4955">
        <v>-0.1372823</v>
      </c>
      <c r="W4955">
        <v>4.6135559999999999E-2</v>
      </c>
      <c r="X4955">
        <v>0.98945700000000003</v>
      </c>
      <c r="Y4955">
        <v>-3.6030220000000002E-2</v>
      </c>
      <c r="Z4955">
        <v>6.5420259999999994E-2</v>
      </c>
      <c r="AA4955">
        <v>0.99720710000000001</v>
      </c>
      <c r="AB4955">
        <v>37</v>
      </c>
      <c r="AC4955">
        <v>-4.7877000000000001</v>
      </c>
      <c r="AD4955">
        <v>25.977844000000001</v>
      </c>
      <c r="AE4955">
        <v>410.5607</v>
      </c>
      <c r="AF4955">
        <v>-14.7550120531901</v>
      </c>
      <c r="AG4955">
        <v>25.977844000000001</v>
      </c>
      <c r="AH4955">
        <v>408.68528803664901</v>
      </c>
      <c r="AI4955">
        <v>86.365281851596606</v>
      </c>
      <c r="AJ4955">
        <v>92.067686092867206</v>
      </c>
      <c r="AK4955">
        <v>409.775820927952</v>
      </c>
      <c r="AL4955">
        <v>87.355688593887393</v>
      </c>
      <c r="AM4955">
        <v>97.899079370729098</v>
      </c>
      <c r="AN4955">
        <v>1.0000000373194</v>
      </c>
    </row>
    <row r="4956" spans="1:40" x14ac:dyDescent="0.25">
      <c r="A4956" t="str">
        <f>"20190305135729208"</f>
        <v>20190305135729208</v>
      </c>
      <c r="B4956" t="str">
        <f>"1551765449197447"</f>
        <v>1551765449197447</v>
      </c>
      <c r="C4956" t="s">
        <v>40</v>
      </c>
      <c r="D4956">
        <v>4.170922</v>
      </c>
      <c r="E4956">
        <v>0.53815409999999997</v>
      </c>
      <c r="F4956" t="s">
        <v>96</v>
      </c>
      <c r="G4956">
        <v>-192.20330000000001</v>
      </c>
      <c r="H4956">
        <v>26.48611</v>
      </c>
      <c r="I4956">
        <v>391.87</v>
      </c>
      <c r="J4956">
        <v>-186.87110000000001</v>
      </c>
      <c r="K4956">
        <v>1.1111070000000001</v>
      </c>
      <c r="L4956">
        <v>-18.278169999999999</v>
      </c>
      <c r="M4956">
        <v>2.1030199999999999E-2</v>
      </c>
      <c r="N4956">
        <v>-2.4121759999999998E-3</v>
      </c>
      <c r="O4956">
        <v>0.99977590000000005</v>
      </c>
      <c r="P4956">
        <v>-0.1152251</v>
      </c>
      <c r="Q4956">
        <v>4.4615410000000001E-2</v>
      </c>
      <c r="R4956">
        <v>0.99233689999999997</v>
      </c>
      <c r="S4956">
        <v>-3.9031980000000001E-2</v>
      </c>
      <c r="T4956">
        <v>0.1860029</v>
      </c>
      <c r="U4956">
        <v>3.0094910000000001</v>
      </c>
      <c r="V4956">
        <v>-0.13642079999999901</v>
      </c>
      <c r="W4956">
        <v>4.5971230000000002E-2</v>
      </c>
      <c r="X4956">
        <v>0.98958380000000001</v>
      </c>
      <c r="Y4956">
        <v>-3.3969949999999999E-2</v>
      </c>
      <c r="Z4956">
        <v>6.4054599999999906E-2</v>
      </c>
      <c r="AA4956">
        <v>0.99736800000000003</v>
      </c>
      <c r="AB4956">
        <v>37</v>
      </c>
      <c r="AC4956">
        <v>-5.3322000000000003</v>
      </c>
      <c r="AD4956">
        <v>25.375003</v>
      </c>
      <c r="AE4956">
        <v>410.14816999999999</v>
      </c>
      <c r="AF4956">
        <v>-13.9033362149589</v>
      </c>
      <c r="AG4956">
        <v>25.375003</v>
      </c>
      <c r="AH4956">
        <v>408.38244862689697</v>
      </c>
      <c r="AI4956">
        <v>86.446528841822897</v>
      </c>
      <c r="AJ4956">
        <v>91.949875500763099</v>
      </c>
      <c r="AK4956">
        <v>409.40617714154803</v>
      </c>
      <c r="AL4956">
        <v>87.365114024376197</v>
      </c>
      <c r="AM4956">
        <v>97.849136164220496</v>
      </c>
      <c r="AN4956">
        <v>1.00000004294139</v>
      </c>
    </row>
    <row r="4957" spans="1:40" x14ac:dyDescent="0.25">
      <c r="A4957" t="str">
        <f>"20190305135729252"</f>
        <v>20190305135729252</v>
      </c>
      <c r="B4957" t="str">
        <f>"1551765449247222"</f>
        <v>1551765449247222</v>
      </c>
      <c r="C4957" t="s">
        <v>40</v>
      </c>
      <c r="D4957">
        <v>4.1740019999999998</v>
      </c>
      <c r="E4957">
        <v>0.53966359999999902</v>
      </c>
      <c r="F4957" t="s">
        <v>96</v>
      </c>
      <c r="G4957">
        <v>-192.8057</v>
      </c>
      <c r="H4957">
        <v>26.582560000000001</v>
      </c>
      <c r="I4957">
        <v>391.87</v>
      </c>
      <c r="J4957">
        <v>-186.8613</v>
      </c>
      <c r="K4957">
        <v>1.1109279999999999</v>
      </c>
      <c r="L4957">
        <v>-17.570039999999999</v>
      </c>
      <c r="M4957">
        <v>1.5736300000000002E-2</v>
      </c>
      <c r="N4957">
        <v>-2.4680660000000001E-3</v>
      </c>
      <c r="O4957">
        <v>0.99987309999999996</v>
      </c>
      <c r="P4957">
        <v>-0.1175992</v>
      </c>
      <c r="Q4957">
        <v>4.9734670000000002E-2</v>
      </c>
      <c r="R4957">
        <v>0.991815</v>
      </c>
      <c r="S4957">
        <v>-4.3548580000000003E-2</v>
      </c>
      <c r="T4957">
        <v>0.18691179999999999</v>
      </c>
      <c r="U4957">
        <v>3.0097049999999999</v>
      </c>
      <c r="V4957">
        <v>-0.1335557</v>
      </c>
      <c r="W4957">
        <v>5.1240229999999998E-2</v>
      </c>
      <c r="X4957">
        <v>0.98971580000000003</v>
      </c>
      <c r="Y4957">
        <v>-3.0172939999999999E-2</v>
      </c>
      <c r="Z4957">
        <v>6.4418180000000005E-2</v>
      </c>
      <c r="AA4957">
        <v>0.99746670000000004</v>
      </c>
      <c r="AB4957">
        <v>37</v>
      </c>
      <c r="AC4957">
        <v>-5.9443999999999999</v>
      </c>
      <c r="AD4957">
        <v>25.471632</v>
      </c>
      <c r="AE4957">
        <v>409.44004000000001</v>
      </c>
      <c r="AF4957">
        <v>-12.339010741399299</v>
      </c>
      <c r="AG4957">
        <v>25.471632</v>
      </c>
      <c r="AH4957">
        <v>407.71818174620199</v>
      </c>
      <c r="AI4957">
        <v>86.426802735925705</v>
      </c>
      <c r="AJ4957">
        <v>91.733446173937395</v>
      </c>
      <c r="AK4957">
        <v>408.699364997364</v>
      </c>
      <c r="AL4957">
        <v>87.062864925847904</v>
      </c>
      <c r="AM4957">
        <v>97.685267677492405</v>
      </c>
      <c r="AN4957">
        <v>1.00000002547129</v>
      </c>
    </row>
    <row r="4958" spans="1:40" x14ac:dyDescent="0.25">
      <c r="A4958" t="str">
        <f>"20190305135729273"</f>
        <v>20190305135729273</v>
      </c>
      <c r="B4958" t="str">
        <f>"1551765449267719"</f>
        <v>1551765449267719</v>
      </c>
      <c r="C4958" t="s">
        <v>40</v>
      </c>
      <c r="D4958">
        <v>4.1720810000000004</v>
      </c>
      <c r="E4958">
        <v>0.54012729999999998</v>
      </c>
      <c r="F4958" t="s">
        <v>96</v>
      </c>
      <c r="G4958">
        <v>-192.18719999999999</v>
      </c>
      <c r="H4958">
        <v>28.477879999999999</v>
      </c>
      <c r="I4958">
        <v>391.87</v>
      </c>
      <c r="J4958">
        <v>-186.85749999999999</v>
      </c>
      <c r="K4958">
        <v>1.1108499999999999</v>
      </c>
      <c r="L4958">
        <v>-17.20148</v>
      </c>
      <c r="M4958">
        <v>1.318998E-2</v>
      </c>
      <c r="N4958">
        <v>-2.4994320000000002E-3</v>
      </c>
      <c r="O4958">
        <v>0.99990990000000002</v>
      </c>
      <c r="P4958">
        <v>-0.1168117</v>
      </c>
      <c r="Q4958">
        <v>5.4026360000000002E-2</v>
      </c>
      <c r="R4958">
        <v>0.99168350000000005</v>
      </c>
      <c r="S4958">
        <v>-3.9154050000000003E-2</v>
      </c>
      <c r="T4958">
        <v>0.20119090000000001</v>
      </c>
      <c r="U4958">
        <v>3.01004</v>
      </c>
      <c r="V4958">
        <v>-0.1302624</v>
      </c>
      <c r="W4958">
        <v>5.5617529999999998E-2</v>
      </c>
      <c r="X4958">
        <v>0.98991839999999998</v>
      </c>
      <c r="Y4958">
        <v>-2.6165440000000002E-2</v>
      </c>
      <c r="Z4958">
        <v>6.9162089999999996E-2</v>
      </c>
      <c r="AA4958">
        <v>0.99726219999999999</v>
      </c>
      <c r="AB4958">
        <v>37</v>
      </c>
      <c r="AC4958">
        <v>-5.3296999999999999</v>
      </c>
      <c r="AD4958">
        <v>27.36703</v>
      </c>
      <c r="AE4958">
        <v>409.07148000000001</v>
      </c>
      <c r="AF4958">
        <v>-10.6771187426993</v>
      </c>
      <c r="AG4958">
        <v>27.36703</v>
      </c>
      <c r="AH4958">
        <v>407.14366844231199</v>
      </c>
      <c r="AI4958">
        <v>86.1558441518536</v>
      </c>
      <c r="AJ4958">
        <v>91.502205996922896</v>
      </c>
      <c r="AK4958">
        <v>408.20206019608702</v>
      </c>
      <c r="AL4958">
        <v>86.811705156246305</v>
      </c>
      <c r="AM4958">
        <v>97.496425384050994</v>
      </c>
      <c r="AN4958">
        <v>1.0000000205778099</v>
      </c>
    </row>
    <row r="4959" spans="1:40" x14ac:dyDescent="0.25">
      <c r="A4959" t="str">
        <f>"20190305135729294"</f>
        <v>20190305135729294</v>
      </c>
      <c r="B4959" t="str">
        <f>"1551765449287239"</f>
        <v>1551765449287239</v>
      </c>
      <c r="C4959" t="s">
        <v>40</v>
      </c>
      <c r="D4959">
        <v>4.1900760000000004</v>
      </c>
      <c r="E4959">
        <v>0.54066419999999904</v>
      </c>
      <c r="F4959" t="s">
        <v>96</v>
      </c>
      <c r="G4959">
        <v>-191.38919999999999</v>
      </c>
      <c r="H4959">
        <v>30.246510000000001</v>
      </c>
      <c r="I4959">
        <v>391.87</v>
      </c>
      <c r="J4959">
        <v>-186.8546</v>
      </c>
      <c r="K4959">
        <v>1.110795</v>
      </c>
      <c r="L4959">
        <v>-16.837489999999999</v>
      </c>
      <c r="M4959">
        <v>1.076568E-2</v>
      </c>
      <c r="N4959">
        <v>-2.532191E-3</v>
      </c>
      <c r="O4959">
        <v>0.99993880000000002</v>
      </c>
      <c r="P4959">
        <v>-0.1143078</v>
      </c>
      <c r="Q4959">
        <v>5.9141480000000003E-2</v>
      </c>
      <c r="R4959">
        <v>0.99168339999999999</v>
      </c>
      <c r="S4959">
        <v>-3.3340450000000001E-2</v>
      </c>
      <c r="T4959">
        <v>0.21435190000000001</v>
      </c>
      <c r="U4959">
        <v>3.0095519999999998</v>
      </c>
      <c r="V4959">
        <v>-0.12538160000000001</v>
      </c>
      <c r="W4959">
        <v>6.0822429999999997E-2</v>
      </c>
      <c r="X4959">
        <v>0.99024239999999997</v>
      </c>
      <c r="Y4959">
        <v>-2.1813840000000001E-2</v>
      </c>
      <c r="Z4959">
        <v>7.3552820000000005E-2</v>
      </c>
      <c r="AA4959">
        <v>0.99705270000000001</v>
      </c>
      <c r="AB4959">
        <v>38</v>
      </c>
      <c r="AC4959">
        <v>-4.5345999999999798</v>
      </c>
      <c r="AD4959">
        <v>29.135715000000001</v>
      </c>
      <c r="AE4959">
        <v>408.70749000000001</v>
      </c>
      <c r="AF4959">
        <v>-8.8891970980234198</v>
      </c>
      <c r="AG4959">
        <v>29.135715000000001</v>
      </c>
      <c r="AH4959">
        <v>406.56909694245002</v>
      </c>
      <c r="AI4959">
        <v>85.902030398488293</v>
      </c>
      <c r="AJ4959">
        <v>91.252511192183903</v>
      </c>
      <c r="AK4959">
        <v>407.70864388949201</v>
      </c>
      <c r="AL4959">
        <v>86.512979109290598</v>
      </c>
      <c r="AM4959">
        <v>97.216224497815404</v>
      </c>
      <c r="AN4959">
        <v>0.99999996218371101</v>
      </c>
    </row>
    <row r="4960" spans="1:40" x14ac:dyDescent="0.25">
      <c r="A4960" t="str">
        <f>"20190305135729318"</f>
        <v>20190305135729318</v>
      </c>
      <c r="B4960" t="str">
        <f>"1551765449307735"</f>
        <v>1551765449307735</v>
      </c>
      <c r="C4960" t="s">
        <v>40</v>
      </c>
      <c r="D4960">
        <v>4.1537290000000002</v>
      </c>
      <c r="E4960">
        <v>0.54936459999999998</v>
      </c>
      <c r="F4960" t="s">
        <v>96</v>
      </c>
      <c r="G4960">
        <v>-189.7706</v>
      </c>
      <c r="H4960">
        <v>32.167079999999999</v>
      </c>
      <c r="I4960">
        <v>391.87</v>
      </c>
      <c r="J4960">
        <v>-186.85230000000001</v>
      </c>
      <c r="K4960">
        <v>1.1107260000000001</v>
      </c>
      <c r="L4960">
        <v>-16.440249999999999</v>
      </c>
      <c r="M4960">
        <v>8.1980109999999998E-3</v>
      </c>
      <c r="N4960">
        <v>-2.5695280000000002E-3</v>
      </c>
      <c r="O4960">
        <v>0.99996309999999999</v>
      </c>
      <c r="P4960">
        <v>-0.11335580000000001</v>
      </c>
      <c r="Q4960">
        <v>6.4934919999999993E-2</v>
      </c>
      <c r="R4960">
        <v>0.99143020000000004</v>
      </c>
      <c r="S4960">
        <v>-2.1469120000000001E-2</v>
      </c>
      <c r="T4960">
        <v>0.2286484</v>
      </c>
      <c r="U4960">
        <v>3.009064</v>
      </c>
      <c r="V4960">
        <v>-0.1219121</v>
      </c>
      <c r="W4960">
        <v>6.6695560000000001E-2</v>
      </c>
      <c r="X4960">
        <v>0.99029750000000005</v>
      </c>
      <c r="Y4960">
        <v>-1.5311750000000001E-2</v>
      </c>
      <c r="Z4960">
        <v>7.8320899999999999E-2</v>
      </c>
      <c r="AA4960">
        <v>0.99681059999999999</v>
      </c>
      <c r="AB4960">
        <v>38</v>
      </c>
      <c r="AC4960">
        <v>-2.9182999999999799</v>
      </c>
      <c r="AD4960">
        <v>31.056353999999999</v>
      </c>
      <c r="AE4960">
        <v>408.31025</v>
      </c>
      <c r="AF4960">
        <v>-6.2295076125195497</v>
      </c>
      <c r="AG4960">
        <v>31.056353999999999</v>
      </c>
      <c r="AH4960">
        <v>405.92436017483197</v>
      </c>
      <c r="AI4960">
        <v>85.625465765188693</v>
      </c>
      <c r="AJ4960">
        <v>90.879219168264299</v>
      </c>
      <c r="AK4960">
        <v>407.15831082297001</v>
      </c>
      <c r="AL4960">
        <v>86.175787104965096</v>
      </c>
      <c r="AM4960">
        <v>97.018173410725495</v>
      </c>
      <c r="AN4960">
        <v>0.99999999817818597</v>
      </c>
    </row>
    <row r="4961" spans="1:40" x14ac:dyDescent="0.25">
      <c r="A4961" t="str">
        <f>"20190305135729451"</f>
        <v>20190305135729451</v>
      </c>
      <c r="B4961" t="str">
        <f>"1551765449447306"</f>
        <v>1551765449447306</v>
      </c>
      <c r="C4961" t="s">
        <v>40</v>
      </c>
      <c r="D4961">
        <v>4.1954849999999997</v>
      </c>
      <c r="E4961">
        <v>0.5259703</v>
      </c>
      <c r="F4961" t="s">
        <v>96</v>
      </c>
      <c r="G4961">
        <v>-179.8777</v>
      </c>
      <c r="H4961">
        <v>23.290759999999999</v>
      </c>
      <c r="I4961">
        <v>391.87</v>
      </c>
      <c r="J4961">
        <v>-186.858</v>
      </c>
      <c r="K4961">
        <v>1.11052</v>
      </c>
      <c r="L4961">
        <v>-14.16141</v>
      </c>
      <c r="M4961">
        <v>-5.8920429999999996E-3</v>
      </c>
      <c r="N4961">
        <v>-2.8022540000000001E-3</v>
      </c>
      <c r="O4961">
        <v>0.9999787</v>
      </c>
      <c r="P4961">
        <v>-0.1295232</v>
      </c>
      <c r="Q4961">
        <v>5.4883670000000002E-2</v>
      </c>
      <c r="R4961">
        <v>0.9900563</v>
      </c>
      <c r="S4961">
        <v>5.160522E-2</v>
      </c>
      <c r="T4961">
        <v>0.16411010000000001</v>
      </c>
      <c r="U4961">
        <v>3.0210880000000002</v>
      </c>
      <c r="V4961">
        <v>-0.1240322</v>
      </c>
      <c r="W4961">
        <v>5.6913900000000003E-2</v>
      </c>
      <c r="X4961">
        <v>0.99064459999999999</v>
      </c>
      <c r="Y4961">
        <v>2.2943950000000001E-2</v>
      </c>
      <c r="Z4961">
        <v>5.7027109999999999E-2</v>
      </c>
      <c r="AA4961">
        <v>0.99810900000000002</v>
      </c>
      <c r="AB4961">
        <v>39</v>
      </c>
      <c r="AC4961">
        <v>6.9802999999999997</v>
      </c>
      <c r="AD4961">
        <v>22.180239999999898</v>
      </c>
      <c r="AE4961">
        <v>406.03140999999999</v>
      </c>
      <c r="AF4961">
        <v>9.3446656225886908</v>
      </c>
      <c r="AG4961">
        <v>22.180239999999898</v>
      </c>
      <c r="AH4961">
        <v>404.77569971050502</v>
      </c>
      <c r="AI4961">
        <v>86.864369654532496</v>
      </c>
      <c r="AJ4961">
        <v>88.677502592961005</v>
      </c>
      <c r="AK4961">
        <v>405.49063231865699</v>
      </c>
      <c r="AL4961">
        <v>86.737310542462197</v>
      </c>
      <c r="AM4961">
        <v>97.1364980138394</v>
      </c>
      <c r="AN4961">
        <v>0.99999995107960304</v>
      </c>
    </row>
    <row r="4962" spans="1:40" x14ac:dyDescent="0.25">
      <c r="A4962" t="str">
        <f>"20190305135729473"</f>
        <v>20190305135729473</v>
      </c>
      <c r="B4962" t="str">
        <f>"1551765449467798"</f>
        <v>1551765449467798</v>
      </c>
      <c r="C4962" t="s">
        <v>40</v>
      </c>
      <c r="D4962">
        <v>4.1469800000000001</v>
      </c>
      <c r="E4962">
        <v>0.52625859999999902</v>
      </c>
      <c r="F4962" t="s">
        <v>50</v>
      </c>
      <c r="G4962">
        <v>-202.75839999999999</v>
      </c>
      <c r="H4962">
        <v>7.8077240000000003</v>
      </c>
      <c r="I4962">
        <v>249.15280000000001</v>
      </c>
      <c r="J4962">
        <v>-186.8622</v>
      </c>
      <c r="K4962">
        <v>1.110533</v>
      </c>
      <c r="L4962">
        <v>-13.756379999999901</v>
      </c>
      <c r="M4962">
        <v>-8.3194429999999993E-3</v>
      </c>
      <c r="N4962">
        <v>-2.8496789999999999E-3</v>
      </c>
      <c r="O4962">
        <v>0.99996130000000005</v>
      </c>
      <c r="P4962">
        <v>-0.13267699999999999</v>
      </c>
      <c r="Q4962">
        <v>5.9776080000000002E-2</v>
      </c>
      <c r="R4962">
        <v>0.98935510000000004</v>
      </c>
      <c r="S4962">
        <v>-0.1812897</v>
      </c>
      <c r="T4962">
        <v>7.6358679999999998E-2</v>
      </c>
      <c r="U4962">
        <v>3.0021969999999998</v>
      </c>
      <c r="V4962">
        <v>-0.1248136</v>
      </c>
      <c r="W4962">
        <v>6.1852829999999998E-2</v>
      </c>
      <c r="X4962">
        <v>0.99025030000000003</v>
      </c>
      <c r="Y4962">
        <v>-5.1947069999999998E-2</v>
      </c>
      <c r="Z4962">
        <v>2.8232400000000001E-2</v>
      </c>
      <c r="AA4962">
        <v>0.99825070000000005</v>
      </c>
      <c r="AB4962">
        <v>39</v>
      </c>
      <c r="AC4962">
        <v>-15.896199999999901</v>
      </c>
      <c r="AD4962">
        <v>6.6971910000000001</v>
      </c>
      <c r="AE4962">
        <v>262.90917999999999</v>
      </c>
      <c r="AF4962">
        <v>-13.6995258211943</v>
      </c>
      <c r="AG4962">
        <v>6.6971910000000001</v>
      </c>
      <c r="AH4962">
        <v>262.86238087782499</v>
      </c>
      <c r="AI4962">
        <v>88.542514694234697</v>
      </c>
      <c r="AJ4962">
        <v>92.983369112864807</v>
      </c>
      <c r="AK4962">
        <v>263.30431188223099</v>
      </c>
      <c r="AL4962">
        <v>86.453830052925696</v>
      </c>
      <c r="AM4962">
        <v>97.183819362289398</v>
      </c>
      <c r="AN4962">
        <v>0.99999993198702697</v>
      </c>
    </row>
    <row r="4963" spans="1:40" x14ac:dyDescent="0.25">
      <c r="A4963" t="str">
        <f>"20190305135729496"</f>
        <v>20190305135729496</v>
      </c>
      <c r="B4963" t="str">
        <f>"1551765449487319"</f>
        <v>1551765449487319</v>
      </c>
      <c r="C4963" t="s">
        <v>40</v>
      </c>
      <c r="D4963">
        <v>4.144469</v>
      </c>
      <c r="E4963">
        <v>0.52686630000000001</v>
      </c>
      <c r="F4963" t="s">
        <v>96</v>
      </c>
      <c r="G4963">
        <v>-212.4186</v>
      </c>
      <c r="H4963">
        <v>14.02116</v>
      </c>
      <c r="I4963">
        <v>391.87</v>
      </c>
      <c r="J4963">
        <v>-186.8672</v>
      </c>
      <c r="K4963">
        <v>1.11054599999999</v>
      </c>
      <c r="L4963">
        <v>-13.367520000000001</v>
      </c>
      <c r="M4963">
        <v>-1.0621139999999999E-2</v>
      </c>
      <c r="N4963">
        <v>-2.895651E-3</v>
      </c>
      <c r="O4963">
        <v>0.99993940000000003</v>
      </c>
      <c r="P4963">
        <v>-0.13529939999999999</v>
      </c>
      <c r="Q4963">
        <v>6.4518720000000002E-2</v>
      </c>
      <c r="R4963">
        <v>0.98870190000000002</v>
      </c>
      <c r="S4963">
        <v>-0.1890869</v>
      </c>
      <c r="T4963">
        <v>9.5523479999999994E-2</v>
      </c>
      <c r="U4963">
        <v>3.00116</v>
      </c>
      <c r="V4963">
        <v>-0.12518899999999999</v>
      </c>
      <c r="W4963">
        <v>6.6643229999999998E-2</v>
      </c>
      <c r="X4963">
        <v>0.98989210000000005</v>
      </c>
      <c r="Y4963">
        <v>-5.224065E-2</v>
      </c>
      <c r="Z4963">
        <v>3.4649979999999997E-2</v>
      </c>
      <c r="AA4963">
        <v>0.99803319999999995</v>
      </c>
      <c r="AB4963">
        <v>39</v>
      </c>
      <c r="AC4963">
        <v>-25.551400000000001</v>
      </c>
      <c r="AD4963">
        <v>12.910614000000001</v>
      </c>
      <c r="AE4963">
        <v>405.23752000000002</v>
      </c>
      <c r="AF4963">
        <v>-21.224398379929799</v>
      </c>
      <c r="AG4963">
        <v>12.910614000000001</v>
      </c>
      <c r="AH4963">
        <v>405.07651565524202</v>
      </c>
      <c r="AI4963">
        <v>88.176983717356606</v>
      </c>
      <c r="AJ4963">
        <v>92.999328251963604</v>
      </c>
      <c r="AK4963">
        <v>405.83758152226102</v>
      </c>
      <c r="AL4963">
        <v>86.1787920388483</v>
      </c>
      <c r="AM4963">
        <v>97.207779128762496</v>
      </c>
      <c r="AN4963">
        <v>0.99999998773412102</v>
      </c>
    </row>
    <row r="4964" spans="1:40" x14ac:dyDescent="0.25">
      <c r="A4964" t="str">
        <f>"20190305135729518"</f>
        <v>20190305135729518</v>
      </c>
      <c r="B4964" t="str">
        <f>"1551765449507815"</f>
        <v>1551765449507815</v>
      </c>
      <c r="C4964" t="s">
        <v>40</v>
      </c>
      <c r="D4964">
        <v>4.1185559999999999</v>
      </c>
      <c r="E4964">
        <v>0.52786390000000005</v>
      </c>
      <c r="F4964" t="s">
        <v>96</v>
      </c>
      <c r="G4964">
        <v>-212.88380000000001</v>
      </c>
      <c r="H4964">
        <v>15.73127</v>
      </c>
      <c r="I4964">
        <v>391.87</v>
      </c>
      <c r="J4964">
        <v>-186.87299999999999</v>
      </c>
      <c r="K4964">
        <v>1.110574</v>
      </c>
      <c r="L4964">
        <v>-12.97452</v>
      </c>
      <c r="M4964">
        <v>-1.289908E-2</v>
      </c>
      <c r="N4964">
        <v>-2.9426159999999999E-3</v>
      </c>
      <c r="O4964">
        <v>0.99991249999999998</v>
      </c>
      <c r="P4964">
        <v>-0.1383315</v>
      </c>
      <c r="Q4964">
        <v>7.1255089999999993E-2</v>
      </c>
      <c r="R4964">
        <v>0.98781940000000001</v>
      </c>
      <c r="S4964">
        <v>-0.19265750000000001</v>
      </c>
      <c r="T4964">
        <v>0.108269</v>
      </c>
      <c r="U4964">
        <v>3.0008539999999999</v>
      </c>
      <c r="V4964">
        <v>-0.12601189999999901</v>
      </c>
      <c r="W4964">
        <v>7.342717E-2</v>
      </c>
      <c r="X4964">
        <v>0.98930759999999995</v>
      </c>
      <c r="Y4964">
        <v>-5.1144920000000003E-2</v>
      </c>
      <c r="Z4964">
        <v>3.893017E-2</v>
      </c>
      <c r="AA4964">
        <v>0.99793220000000005</v>
      </c>
      <c r="AB4964">
        <v>39</v>
      </c>
      <c r="AC4964">
        <v>-26.0108</v>
      </c>
      <c r="AD4964">
        <v>14.620695999999899</v>
      </c>
      <c r="AE4964">
        <v>404.84451999999999</v>
      </c>
      <c r="AF4964">
        <v>-20.759527421550501</v>
      </c>
      <c r="AG4964">
        <v>14.620695999999899</v>
      </c>
      <c r="AH4964">
        <v>404.62079918828698</v>
      </c>
      <c r="AI4964">
        <v>87.933272534795194</v>
      </c>
      <c r="AJ4964">
        <v>92.937049448791797</v>
      </c>
      <c r="AK4964">
        <v>405.416716313054</v>
      </c>
      <c r="AL4964">
        <v>85.789143580555802</v>
      </c>
      <c r="AM4964">
        <v>97.258895073234299</v>
      </c>
      <c r="AN4964">
        <v>1.0000000378267799</v>
      </c>
    </row>
    <row r="4965" spans="1:40" x14ac:dyDescent="0.25">
      <c r="A4965" t="str">
        <f>"20190305135729541"</f>
        <v>20190305135729541</v>
      </c>
      <c r="B4965" t="str">
        <f>"1551765449537095"</f>
        <v>1551765449537095</v>
      </c>
      <c r="C4965" t="s">
        <v>40</v>
      </c>
      <c r="D4965">
        <v>4.1250629999999999</v>
      </c>
      <c r="E4965">
        <v>0.52978049999999999</v>
      </c>
      <c r="F4965" t="s">
        <v>96</v>
      </c>
      <c r="G4965">
        <v>-213.1661</v>
      </c>
      <c r="H4965">
        <v>18.317630000000001</v>
      </c>
      <c r="I4965">
        <v>391.87</v>
      </c>
      <c r="J4965">
        <v>-186.87979999999999</v>
      </c>
      <c r="K4965">
        <v>1.1106</v>
      </c>
      <c r="L4965">
        <v>-12.574619999999999</v>
      </c>
      <c r="M4965">
        <v>-1.515088E-2</v>
      </c>
      <c r="N4965">
        <v>-2.9924550000000002E-3</v>
      </c>
      <c r="O4965">
        <v>0.99988069999999896</v>
      </c>
      <c r="P4965">
        <v>-0.14021719999999999</v>
      </c>
      <c r="Q4965">
        <v>8.1255530000000006E-2</v>
      </c>
      <c r="R4965">
        <v>0.98678089999999996</v>
      </c>
      <c r="S4965">
        <v>-0.19486999999999999</v>
      </c>
      <c r="T4965">
        <v>0.12752939999999999</v>
      </c>
      <c r="U4965">
        <v>3.0004879999999998</v>
      </c>
      <c r="V4965">
        <v>-0.1257365</v>
      </c>
      <c r="W4965">
        <v>8.3486370000000004E-2</v>
      </c>
      <c r="X4965">
        <v>0.9885446</v>
      </c>
      <c r="Y4965">
        <v>-4.9619219999999999E-2</v>
      </c>
      <c r="Z4965">
        <v>4.5374619999999997E-2</v>
      </c>
      <c r="AA4965">
        <v>0.99773699999999999</v>
      </c>
      <c r="AB4965">
        <v>39</v>
      </c>
      <c r="AC4965">
        <v>-26.286300000000001</v>
      </c>
      <c r="AD4965">
        <v>17.2070299999999</v>
      </c>
      <c r="AE4965">
        <v>404.44461999999999</v>
      </c>
      <c r="AF4965">
        <v>-20.119299194066599</v>
      </c>
      <c r="AG4965">
        <v>17.2070299999999</v>
      </c>
      <c r="AH4965">
        <v>404.06814701283099</v>
      </c>
      <c r="AI4965">
        <v>87.564576045895194</v>
      </c>
      <c r="AJ4965">
        <v>92.850508533178996</v>
      </c>
      <c r="AK4965">
        <v>404.93448298689498</v>
      </c>
      <c r="AL4965">
        <v>85.211009298222706</v>
      </c>
      <c r="AM4965">
        <v>97.248730528431693</v>
      </c>
      <c r="AN4965">
        <v>1.0000000337985899</v>
      </c>
    </row>
    <row r="4966" spans="1:40" x14ac:dyDescent="0.25">
      <c r="A4966" t="str">
        <f>"20190305135729562"</f>
        <v>20190305135729562</v>
      </c>
      <c r="B4966" t="str">
        <f>"1551765449557591"</f>
        <v>1551765449557591</v>
      </c>
      <c r="C4966" t="s">
        <v>40</v>
      </c>
      <c r="D4966">
        <v>4.1277049999999997</v>
      </c>
      <c r="E4966">
        <v>0.53048799999999996</v>
      </c>
      <c r="F4966" t="s">
        <v>96</v>
      </c>
      <c r="G4966">
        <v>-212.01490000000001</v>
      </c>
      <c r="H4966">
        <v>21.750820000000001</v>
      </c>
      <c r="I4966">
        <v>391.87</v>
      </c>
      <c r="J4966">
        <v>-186.887</v>
      </c>
      <c r="K4966">
        <v>1.1106049999999901</v>
      </c>
      <c r="L4966">
        <v>-12.193659999999999</v>
      </c>
      <c r="M4966">
        <v>-1.722274E-2</v>
      </c>
      <c r="N4966">
        <v>-3.0412780000000001E-3</v>
      </c>
      <c r="O4966">
        <v>0.99984709999999999</v>
      </c>
      <c r="P4966">
        <v>-0.14120460000000001</v>
      </c>
      <c r="Q4966">
        <v>8.9648439999999996E-2</v>
      </c>
      <c r="R4966">
        <v>0.98591300000000004</v>
      </c>
      <c r="S4966">
        <v>-0.18650820000000001</v>
      </c>
      <c r="T4966">
        <v>0.15315500000000001</v>
      </c>
      <c r="U4966">
        <v>3.0010680000000001</v>
      </c>
      <c r="V4966">
        <v>-0.1247287</v>
      </c>
      <c r="W4966">
        <v>9.194513E-2</v>
      </c>
      <c r="X4966">
        <v>0.98792150000000001</v>
      </c>
      <c r="Y4966">
        <v>-4.4741789999999997E-2</v>
      </c>
      <c r="Z4966">
        <v>5.3916850000000002E-2</v>
      </c>
      <c r="AA4966">
        <v>0.99754259999999995</v>
      </c>
      <c r="AB4966">
        <v>40</v>
      </c>
      <c r="AC4966">
        <v>-25.1279</v>
      </c>
      <c r="AD4966">
        <v>20.640214999999898</v>
      </c>
      <c r="AE4966">
        <v>404.06366000000003</v>
      </c>
      <c r="AF4966">
        <v>-18.1179641220557</v>
      </c>
      <c r="AG4966">
        <v>20.640214999999898</v>
      </c>
      <c r="AH4966">
        <v>403.38798403086099</v>
      </c>
      <c r="AI4966">
        <v>87.073837337027399</v>
      </c>
      <c r="AJ4966">
        <v>92.571682144618805</v>
      </c>
      <c r="AK4966">
        <v>404.32183314737898</v>
      </c>
      <c r="AL4966">
        <v>84.724481218645906</v>
      </c>
      <c r="AM4966">
        <v>97.195729465985494</v>
      </c>
      <c r="AN4966">
        <v>1.0000000228483199</v>
      </c>
    </row>
    <row r="4967" spans="1:40" x14ac:dyDescent="0.25">
      <c r="A4967" t="str">
        <f>"20190305135729609"</f>
        <v>20190305135729609</v>
      </c>
      <c r="B4967" t="str">
        <f>"1551765449597608"</f>
        <v>1551765449597608</v>
      </c>
      <c r="C4967" t="s">
        <v>40</v>
      </c>
      <c r="D4967">
        <v>4.1489279999999997</v>
      </c>
      <c r="E4967">
        <v>0.53100719999999901</v>
      </c>
      <c r="F4967" t="s">
        <v>96</v>
      </c>
      <c r="G4967">
        <v>-211.79689999999999</v>
      </c>
      <c r="H4967">
        <v>24.447050000000001</v>
      </c>
      <c r="I4967">
        <v>391.87</v>
      </c>
      <c r="J4967">
        <v>-186.9049</v>
      </c>
      <c r="K4967">
        <v>1.110482</v>
      </c>
      <c r="L4967">
        <v>-11.37302</v>
      </c>
      <c r="M4967">
        <v>-2.141595E-2</v>
      </c>
      <c r="N4967">
        <v>-3.1465270000000001E-3</v>
      </c>
      <c r="O4967">
        <v>0.99976569999999998</v>
      </c>
      <c r="P4967">
        <v>-0.1429378</v>
      </c>
      <c r="Q4967">
        <v>8.5829370000000002E-2</v>
      </c>
      <c r="R4967">
        <v>0.98600310000000002</v>
      </c>
      <c r="S4967">
        <v>-0.18498229999999999</v>
      </c>
      <c r="T4967">
        <v>0.17329839999999999</v>
      </c>
      <c r="U4967">
        <v>3.00061</v>
      </c>
      <c r="V4967">
        <v>-0.1222676</v>
      </c>
      <c r="W4967">
        <v>8.8280830000000005E-2</v>
      </c>
      <c r="X4967">
        <v>0.98856319999999998</v>
      </c>
      <c r="Y4967">
        <v>-4.0031789999999998E-2</v>
      </c>
      <c r="Z4967">
        <v>6.0699879999999998E-2</v>
      </c>
      <c r="AA4967">
        <v>0.99735300000000005</v>
      </c>
      <c r="AB4967">
        <v>40</v>
      </c>
      <c r="AC4967">
        <v>-24.891999999999999</v>
      </c>
      <c r="AD4967">
        <v>23.336568</v>
      </c>
      <c r="AE4967">
        <v>403.24302</v>
      </c>
      <c r="AF4967">
        <v>-16.196377022086999</v>
      </c>
      <c r="AG4967">
        <v>23.336568</v>
      </c>
      <c r="AH4967">
        <v>402.34122128812999</v>
      </c>
      <c r="AI4967">
        <v>86.683133731197998</v>
      </c>
      <c r="AJ4967">
        <v>92.305215625836496</v>
      </c>
      <c r="AK4967">
        <v>403.34275298099101</v>
      </c>
      <c r="AL4967">
        <v>84.935287981804095</v>
      </c>
      <c r="AM4967">
        <v>97.050657481796506</v>
      </c>
      <c r="AN4967">
        <v>1.0000000356747401</v>
      </c>
    </row>
    <row r="4968" spans="1:40" x14ac:dyDescent="0.25">
      <c r="A4968" t="str">
        <f>"20190305135729632"</f>
        <v>20190305135729632</v>
      </c>
      <c r="B4968" t="str">
        <f>"1551765449626886"</f>
        <v>1551765449626886</v>
      </c>
      <c r="C4968" t="s">
        <v>40</v>
      </c>
      <c r="D4968">
        <v>4.0945839999999896</v>
      </c>
      <c r="E4968">
        <v>0.53100800000000004</v>
      </c>
      <c r="F4968" t="s">
        <v>96</v>
      </c>
      <c r="G4968">
        <v>-211.87010000000001</v>
      </c>
      <c r="H4968">
        <v>22.29571</v>
      </c>
      <c r="I4968">
        <v>391.87</v>
      </c>
      <c r="J4968">
        <v>-186.9153</v>
      </c>
      <c r="K4968">
        <v>1.1103889999999901</v>
      </c>
      <c r="L4968">
        <v>-10.953430000000001</v>
      </c>
      <c r="M4968">
        <v>-2.3414299999999999E-2</v>
      </c>
      <c r="N4968">
        <v>-3.199239E-3</v>
      </c>
      <c r="O4968">
        <v>0.99972079999999997</v>
      </c>
      <c r="P4968">
        <v>-0.14100570000000001</v>
      </c>
      <c r="Q4968">
        <v>7.6959020000000003E-2</v>
      </c>
      <c r="R4968">
        <v>0.98701300000000003</v>
      </c>
      <c r="S4968">
        <v>-0.18585209999999999</v>
      </c>
      <c r="T4968">
        <v>0.157712299999999</v>
      </c>
      <c r="U4968">
        <v>3.0019230000000001</v>
      </c>
      <c r="V4968">
        <v>-0.1182758</v>
      </c>
      <c r="W4968">
        <v>7.9506149999999998E-2</v>
      </c>
      <c r="X4968">
        <v>0.98979269999999997</v>
      </c>
      <c r="Y4968">
        <v>-3.831362E-2</v>
      </c>
      <c r="Z4968">
        <v>5.5566230000000001E-2</v>
      </c>
      <c r="AA4968">
        <v>0.99771960000000004</v>
      </c>
      <c r="AB4968">
        <v>40</v>
      </c>
      <c r="AC4968">
        <v>-24.954799999999999</v>
      </c>
      <c r="AD4968">
        <v>21.185320999999998</v>
      </c>
      <c r="AE4968">
        <v>402.82342999999997</v>
      </c>
      <c r="AF4968">
        <v>-15.473447484252601</v>
      </c>
      <c r="AG4968">
        <v>21.185320999999998</v>
      </c>
      <c r="AH4968">
        <v>402.189123351082</v>
      </c>
      <c r="AI4968">
        <v>86.9869552452882</v>
      </c>
      <c r="AJ4968">
        <v>92.203257494064701</v>
      </c>
      <c r="AK4968">
        <v>403.04383923443498</v>
      </c>
      <c r="AL4968">
        <v>85.439820162615007</v>
      </c>
      <c r="AM4968">
        <v>96.814277834740494</v>
      </c>
      <c r="AN4968">
        <v>0.99999999086337599</v>
      </c>
    </row>
    <row r="4969" spans="1:40" x14ac:dyDescent="0.25">
      <c r="A4969" t="str">
        <f>"20190305135729663"</f>
        <v>20190305135729663</v>
      </c>
      <c r="B4969" t="str">
        <f>"1551765449657144"</f>
        <v>1551765449657144</v>
      </c>
      <c r="C4969" t="s">
        <v>40</v>
      </c>
      <c r="D4969">
        <v>4.1322039999999998</v>
      </c>
      <c r="E4969">
        <v>0.53068409999999999</v>
      </c>
      <c r="F4969" t="s">
        <v>96</v>
      </c>
      <c r="G4969">
        <v>-210.97120000000001</v>
      </c>
      <c r="H4969">
        <v>17.466709999999999</v>
      </c>
      <c r="I4969">
        <v>391.87</v>
      </c>
      <c r="J4969">
        <v>-186.93090000000001</v>
      </c>
      <c r="K4969">
        <v>1.11022</v>
      </c>
      <c r="L4969">
        <v>-10.37738</v>
      </c>
      <c r="M4969">
        <v>-2.5991670000000001E-2</v>
      </c>
      <c r="N4969">
        <v>-3.269643E-3</v>
      </c>
      <c r="O4969">
        <v>0.99965680000000001</v>
      </c>
      <c r="P4969">
        <v>-0.13527110000000001</v>
      </c>
      <c r="Q4969">
        <v>6.6618159999999996E-2</v>
      </c>
      <c r="R4969">
        <v>0.98856650000000001</v>
      </c>
      <c r="S4969">
        <v>-0.17941279999999901</v>
      </c>
      <c r="T4969">
        <v>0.1219885</v>
      </c>
      <c r="U4969">
        <v>3.0043329999999999</v>
      </c>
      <c r="V4969">
        <v>-0.1098807</v>
      </c>
      <c r="W4969">
        <v>6.9308770000000006E-2</v>
      </c>
      <c r="X4969">
        <v>0.9915254</v>
      </c>
      <c r="Y4969">
        <v>-3.3591000000000003E-2</v>
      </c>
      <c r="Z4969">
        <v>4.3766979999999997E-2</v>
      </c>
      <c r="AA4969">
        <v>0.9984769</v>
      </c>
      <c r="AB4969">
        <v>40</v>
      </c>
      <c r="AC4969">
        <v>-24.040299999999998</v>
      </c>
      <c r="AD4969">
        <v>16.356490000000001</v>
      </c>
      <c r="AE4969">
        <v>402.247379999999</v>
      </c>
      <c r="AF4969">
        <v>-13.554708546275601</v>
      </c>
      <c r="AG4969">
        <v>16.356490000000001</v>
      </c>
      <c r="AH4969">
        <v>402.07388691523602</v>
      </c>
      <c r="AI4969">
        <v>87.671795614368094</v>
      </c>
      <c r="AJ4969">
        <v>91.930823179729998</v>
      </c>
      <c r="AK4969">
        <v>402.63466744434697</v>
      </c>
      <c r="AL4969">
        <v>86.0257139552848</v>
      </c>
      <c r="AM4969">
        <v>96.323706922238898</v>
      </c>
      <c r="AN4969">
        <v>1.0000000463382801</v>
      </c>
    </row>
    <row r="4970" spans="1:40" x14ac:dyDescent="0.25">
      <c r="A4970" t="str">
        <f>"20190305135729686"</f>
        <v>20190305135729686</v>
      </c>
      <c r="B4970" t="str">
        <f>"1551765449677639"</f>
        <v>1551765449677639</v>
      </c>
      <c r="C4970" t="s">
        <v>40</v>
      </c>
      <c r="D4970">
        <v>4.1062940000000001</v>
      </c>
      <c r="E4970">
        <v>0.53055659999999905</v>
      </c>
      <c r="F4970" t="s">
        <v>96</v>
      </c>
      <c r="G4970">
        <v>-208.78100000000001</v>
      </c>
      <c r="H4970">
        <v>12.65743</v>
      </c>
      <c r="I4970">
        <v>391.87</v>
      </c>
      <c r="J4970">
        <v>-186.9427</v>
      </c>
      <c r="K4970">
        <v>1.1101110000000001</v>
      </c>
      <c r="L4970">
        <v>-9.9658510000000007</v>
      </c>
      <c r="M4970">
        <v>-2.7733839999999999E-2</v>
      </c>
      <c r="N4970">
        <v>-3.318831E-3</v>
      </c>
      <c r="O4970">
        <v>0.99960979999999999</v>
      </c>
      <c r="P4970">
        <v>-0.13354920000000001</v>
      </c>
      <c r="Q4970">
        <v>6.244305E-2</v>
      </c>
      <c r="R4970">
        <v>0.98907299999999998</v>
      </c>
      <c r="S4970">
        <v>-0.16331479999999901</v>
      </c>
      <c r="T4970">
        <v>8.6307640000000005E-2</v>
      </c>
      <c r="U4970">
        <v>3.0065309999999998</v>
      </c>
      <c r="V4970">
        <v>-0.1063857</v>
      </c>
      <c r="W4970">
        <v>6.5218689999999996E-2</v>
      </c>
      <c r="X4970">
        <v>0.9921837</v>
      </c>
      <c r="Y4970">
        <v>-2.6499410000000001E-2</v>
      </c>
      <c r="Z4970">
        <v>3.196703E-2</v>
      </c>
      <c r="AA4970">
        <v>0.99913759999999996</v>
      </c>
      <c r="AB4970">
        <v>40</v>
      </c>
      <c r="AC4970">
        <v>-21.838299999999901</v>
      </c>
      <c r="AD4970">
        <v>11.547319</v>
      </c>
      <c r="AE4970">
        <v>401.83585099999999</v>
      </c>
      <c r="AF4970">
        <v>-10.6765961359089</v>
      </c>
      <c r="AG4970">
        <v>11.547319</v>
      </c>
      <c r="AH4970">
        <v>401.95599340599398</v>
      </c>
      <c r="AI4970">
        <v>88.355049649641998</v>
      </c>
      <c r="AJ4970">
        <v>91.521510086035903</v>
      </c>
      <c r="AK4970">
        <v>402.26353416154501</v>
      </c>
      <c r="AL4970">
        <v>86.260589992552497</v>
      </c>
      <c r="AM4970">
        <v>96.120088199074004</v>
      </c>
      <c r="AN4970">
        <v>0.99999994461774599</v>
      </c>
    </row>
    <row r="4971" spans="1:40" x14ac:dyDescent="0.25">
      <c r="A4971" t="str">
        <f>"20190305135729707"</f>
        <v>20190305135729707</v>
      </c>
      <c r="B4971" t="str">
        <f>"1551765449697159"</f>
        <v>1551765449697159</v>
      </c>
      <c r="C4971" t="s">
        <v>40</v>
      </c>
      <c r="D4971">
        <v>4.1029</v>
      </c>
      <c r="E4971">
        <v>0.53037140000000005</v>
      </c>
      <c r="F4971" t="s">
        <v>96</v>
      </c>
      <c r="G4971">
        <v>-208.05850000000001</v>
      </c>
      <c r="H4971">
        <v>11.01046</v>
      </c>
      <c r="I4971">
        <v>391.87</v>
      </c>
      <c r="J4971">
        <v>-186.9545</v>
      </c>
      <c r="K4971">
        <v>1.1100049999999999</v>
      </c>
      <c r="L4971">
        <v>-9.5778499999999998</v>
      </c>
      <c r="M4971">
        <v>-2.9291419999999999E-2</v>
      </c>
      <c r="N4971">
        <v>-3.36418E-3</v>
      </c>
      <c r="O4971">
        <v>0.99956520000000004</v>
      </c>
      <c r="P4971">
        <v>-0.13109689999999999</v>
      </c>
      <c r="Q4971">
        <v>5.8502470000000001E-2</v>
      </c>
      <c r="R4971">
        <v>0.98964189999999996</v>
      </c>
      <c r="S4971">
        <v>-0.15801999999999999</v>
      </c>
      <c r="T4971">
        <v>7.4089290000000002E-2</v>
      </c>
      <c r="U4971">
        <v>3.0071409999999998</v>
      </c>
      <c r="V4971">
        <v>-0.102343</v>
      </c>
      <c r="W4971">
        <v>6.1361199999999998E-2</v>
      </c>
      <c r="X4971">
        <v>0.99285480000000004</v>
      </c>
      <c r="Y4971">
        <v>-2.318243E-2</v>
      </c>
      <c r="Z4971">
        <v>2.7954639999999999E-2</v>
      </c>
      <c r="AA4971">
        <v>0.99934040000000002</v>
      </c>
      <c r="AB4971">
        <v>41</v>
      </c>
      <c r="AC4971">
        <v>-21.103999999999999</v>
      </c>
      <c r="AD4971">
        <v>9.9004549999999991</v>
      </c>
      <c r="AE4971">
        <v>401.44785000000002</v>
      </c>
      <c r="AF4971">
        <v>-9.3302406371178694</v>
      </c>
      <c r="AG4971">
        <v>9.9004549999999991</v>
      </c>
      <c r="AH4971">
        <v>401.65014862145301</v>
      </c>
      <c r="AI4971">
        <v>88.588357188895301</v>
      </c>
      <c r="AJ4971">
        <v>91.330728460099493</v>
      </c>
      <c r="AK4971">
        <v>401.88047263731102</v>
      </c>
      <c r="AL4971">
        <v>86.4820521218371</v>
      </c>
      <c r="AM4971">
        <v>95.885236097174598</v>
      </c>
      <c r="AN4971">
        <v>0.99999997019873899</v>
      </c>
    </row>
    <row r="4972" spans="1:40" x14ac:dyDescent="0.25">
      <c r="A4972" t="str">
        <f>"20190305135729732"</f>
        <v>20190305135729732</v>
      </c>
      <c r="B4972" t="str">
        <f>"1551765449727416"</f>
        <v>1551765449727416</v>
      </c>
      <c r="C4972" t="s">
        <v>40</v>
      </c>
      <c r="D4972">
        <v>4.13401</v>
      </c>
      <c r="E4972">
        <v>0.53036240000000001</v>
      </c>
      <c r="F4972" t="s">
        <v>96</v>
      </c>
      <c r="G4972">
        <v>-207.10499999999999</v>
      </c>
      <c r="H4972">
        <v>9.4146599999999996</v>
      </c>
      <c r="I4972">
        <v>391.87</v>
      </c>
      <c r="J4972">
        <v>-186.96860000000001</v>
      </c>
      <c r="K4972">
        <v>1.1098969999999999</v>
      </c>
      <c r="L4972">
        <v>-9.138306</v>
      </c>
      <c r="M4972">
        <v>-3.0947889999999999E-2</v>
      </c>
      <c r="N4972">
        <v>-3.414303E-3</v>
      </c>
      <c r="O4972">
        <v>0.99951520000000005</v>
      </c>
      <c r="P4972">
        <v>-0.12834589999999901</v>
      </c>
      <c r="Q4972">
        <v>5.4671890000000001E-2</v>
      </c>
      <c r="R4972">
        <v>0.99022129999999997</v>
      </c>
      <c r="S4972">
        <v>-0.15097049999999901</v>
      </c>
      <c r="T4972">
        <v>6.2219980000000001E-2</v>
      </c>
      <c r="U4972">
        <v>3.0077210000000001</v>
      </c>
      <c r="V4972">
        <v>-9.7900349999999997E-2</v>
      </c>
      <c r="W4972">
        <v>5.762275E-2</v>
      </c>
      <c r="X4972">
        <v>0.99352660000000004</v>
      </c>
      <c r="Y4972">
        <v>-1.9184070000000001E-2</v>
      </c>
      <c r="Z4972">
        <v>2.4063379999999999E-2</v>
      </c>
      <c r="AA4972">
        <v>0.99952629999999998</v>
      </c>
      <c r="AB4972">
        <v>41</v>
      </c>
      <c r="AC4972">
        <v>-20.136399999999899</v>
      </c>
      <c r="AD4972">
        <v>8.3047629999999995</v>
      </c>
      <c r="AE4972">
        <v>401.008306</v>
      </c>
      <c r="AF4972">
        <v>-7.7130219265012796</v>
      </c>
      <c r="AG4972">
        <v>8.3047629999999995</v>
      </c>
      <c r="AH4972">
        <v>401.26773564405602</v>
      </c>
      <c r="AI4972">
        <v>88.814576736985998</v>
      </c>
      <c r="AJ4972">
        <v>91.101182952103599</v>
      </c>
      <c r="AK4972">
        <v>401.427771167657</v>
      </c>
      <c r="AL4972">
        <v>86.696629765267005</v>
      </c>
      <c r="AM4972">
        <v>95.627657030865905</v>
      </c>
      <c r="AN4972">
        <v>0.999999982377622</v>
      </c>
    </row>
    <row r="4973" spans="1:40" x14ac:dyDescent="0.25">
      <c r="A4973" t="str">
        <f>"20190305135729753"</f>
        <v>20190305135729753</v>
      </c>
      <c r="B4973" t="str">
        <f>"1551765449747913"</f>
        <v>1551765449747913</v>
      </c>
      <c r="C4973" t="s">
        <v>40</v>
      </c>
      <c r="D4973">
        <v>4.0644280000000004</v>
      </c>
      <c r="E4973">
        <v>0.5303213</v>
      </c>
      <c r="F4973" t="s">
        <v>50</v>
      </c>
      <c r="G4973">
        <v>-203.34190000000001</v>
      </c>
      <c r="H4973">
        <v>6.8499509999999999</v>
      </c>
      <c r="I4973">
        <v>336.15109999999999</v>
      </c>
      <c r="J4973">
        <v>-186.98179999999999</v>
      </c>
      <c r="K4973">
        <v>1.109815</v>
      </c>
      <c r="L4973">
        <v>-8.7419740000000008</v>
      </c>
      <c r="M4973">
        <v>-3.2345199999999998E-2</v>
      </c>
      <c r="N4973">
        <v>-3.458568E-3</v>
      </c>
      <c r="O4973">
        <v>0.99947079999999999</v>
      </c>
      <c r="P4973">
        <v>-0.1248823</v>
      </c>
      <c r="Q4973">
        <v>5.0941500000000001E-2</v>
      </c>
      <c r="R4973">
        <v>0.99086300000000005</v>
      </c>
      <c r="S4973">
        <v>-0.14265439999999999</v>
      </c>
      <c r="T4973">
        <v>5.0010680000000002E-2</v>
      </c>
      <c r="U4973">
        <v>3.008362</v>
      </c>
      <c r="V4973">
        <v>-9.3001539999999994E-2</v>
      </c>
      <c r="W4973">
        <v>5.3978249999999998E-2</v>
      </c>
      <c r="X4973">
        <v>0.99420169999999997</v>
      </c>
      <c r="Y4973">
        <v>-1.502302E-2</v>
      </c>
      <c r="Z4973">
        <v>2.0053640000000001E-2</v>
      </c>
      <c r="AA4973">
        <v>0.99968599999999996</v>
      </c>
      <c r="AB4973">
        <v>41</v>
      </c>
      <c r="AC4973">
        <v>-16.360099999999999</v>
      </c>
      <c r="AD4973">
        <v>5.7401359999999997</v>
      </c>
      <c r="AE4973">
        <v>344.89307400000001</v>
      </c>
      <c r="AF4973">
        <v>-5.1944021092977</v>
      </c>
      <c r="AG4973">
        <v>5.7401359999999997</v>
      </c>
      <c r="AH4973">
        <v>345.146392909231</v>
      </c>
      <c r="AI4973">
        <v>89.047308542597193</v>
      </c>
      <c r="AJ4973">
        <v>90.862227904478203</v>
      </c>
      <c r="AK4973">
        <v>345.23320163742198</v>
      </c>
      <c r="AL4973">
        <v>86.905770197961004</v>
      </c>
      <c r="AM4973">
        <v>95.344121075022002</v>
      </c>
      <c r="AN4973">
        <v>0.99999997909916105</v>
      </c>
    </row>
    <row r="4974" spans="1:40" x14ac:dyDescent="0.25">
      <c r="A4974" t="str">
        <f>"20190305135729775"</f>
        <v>20190305135729775</v>
      </c>
      <c r="B4974" t="str">
        <f>"1551765449767432"</f>
        <v>1551765449767432</v>
      </c>
      <c r="C4974" t="s">
        <v>40</v>
      </c>
      <c r="D4974">
        <v>4.0989699999999996</v>
      </c>
      <c r="E4974">
        <v>0.5303698</v>
      </c>
      <c r="F4974" t="s">
        <v>96</v>
      </c>
      <c r="G4974">
        <v>-204.55250000000001</v>
      </c>
      <c r="H4974">
        <v>6.1204020000000003</v>
      </c>
      <c r="I4974">
        <v>390.11860000000001</v>
      </c>
      <c r="J4974">
        <v>-186.9956</v>
      </c>
      <c r="K4974">
        <v>1.1097379999999999</v>
      </c>
      <c r="L4974">
        <v>-8.3429260000000003</v>
      </c>
      <c r="M4974">
        <v>-3.3677550000000001E-2</v>
      </c>
      <c r="N4974">
        <v>-3.5024549999999998E-3</v>
      </c>
      <c r="O4974">
        <v>0.99942660000000005</v>
      </c>
      <c r="P4974">
        <v>-0.1217785</v>
      </c>
      <c r="Q4974">
        <v>4.9859359999999998E-2</v>
      </c>
      <c r="R4974">
        <v>0.99130419999999997</v>
      </c>
      <c r="S4974">
        <v>-0.13255310000000001</v>
      </c>
      <c r="T4974">
        <v>3.7799840000000001E-2</v>
      </c>
      <c r="U4974">
        <v>3.0090029999999999</v>
      </c>
      <c r="V4974">
        <v>-8.8544849999999994E-2</v>
      </c>
      <c r="W4974">
        <v>5.29769E-2</v>
      </c>
      <c r="X4974">
        <v>0.99466239999999995</v>
      </c>
      <c r="Y4974">
        <v>-1.03339E-2</v>
      </c>
      <c r="Z4974">
        <v>1.6043660000000001E-2</v>
      </c>
      <c r="AA4974">
        <v>0.99981790000000004</v>
      </c>
      <c r="AB4974">
        <v>41</v>
      </c>
      <c r="AC4974">
        <v>-17.556899999999999</v>
      </c>
      <c r="AD4974">
        <v>5.0106639999999896</v>
      </c>
      <c r="AE4974">
        <v>398.46152599999999</v>
      </c>
      <c r="AF4974">
        <v>-4.1269989379426502</v>
      </c>
      <c r="AG4974">
        <v>5.0106639999999896</v>
      </c>
      <c r="AH4974">
        <v>398.76383825152999</v>
      </c>
      <c r="AI4974">
        <v>89.280126751055406</v>
      </c>
      <c r="AJ4974">
        <v>90.592960435536298</v>
      </c>
      <c r="AK4974">
        <v>398.81667163127298</v>
      </c>
      <c r="AL4974">
        <v>86.963225658820306</v>
      </c>
      <c r="AM4974">
        <v>95.087061177575706</v>
      </c>
      <c r="AN4974">
        <v>1.00000001618444</v>
      </c>
    </row>
    <row r="4975" spans="1:40" x14ac:dyDescent="0.25">
      <c r="A4975" t="str">
        <f>"20190305135729798"</f>
        <v>20190305135729798</v>
      </c>
      <c r="B4975" t="str">
        <f>"1551765449786951"</f>
        <v>1551765449786951</v>
      </c>
      <c r="C4975" t="s">
        <v>40</v>
      </c>
      <c r="D4975">
        <v>4.0975089999999996</v>
      </c>
      <c r="E4975">
        <v>0.53015449999999997</v>
      </c>
      <c r="F4975" t="s">
        <v>96</v>
      </c>
      <c r="G4975">
        <v>-203.25129999999999</v>
      </c>
      <c r="H4975">
        <v>5.9535920000000004</v>
      </c>
      <c r="I4975">
        <v>390.11860000000001</v>
      </c>
      <c r="J4975">
        <v>-187.011</v>
      </c>
      <c r="K4975">
        <v>1.109661</v>
      </c>
      <c r="L4975">
        <v>-7.9131770000000001</v>
      </c>
      <c r="M4975">
        <v>-3.5033069999999999E-2</v>
      </c>
      <c r="N4975">
        <v>-3.5490830000000002E-3</v>
      </c>
      <c r="O4975">
        <v>0.99937989999999999</v>
      </c>
      <c r="P4975">
        <v>-0.1203671</v>
      </c>
      <c r="Q4975">
        <v>4.9502740000000003E-2</v>
      </c>
      <c r="R4975">
        <v>0.99149449999999995</v>
      </c>
      <c r="S4975">
        <v>-0.1227722</v>
      </c>
      <c r="T4975">
        <v>3.6583419999999998E-2</v>
      </c>
      <c r="U4975">
        <v>3.0093990000000002</v>
      </c>
      <c r="V4975">
        <v>-8.5767369999999996E-2</v>
      </c>
      <c r="W4975">
        <v>5.269501E-2</v>
      </c>
      <c r="X4975">
        <v>0.99492069999999999</v>
      </c>
      <c r="Y4975">
        <v>-5.7282219999999998E-3</v>
      </c>
      <c r="Z4975">
        <v>1.5685359999999999E-2</v>
      </c>
      <c r="AA4975">
        <v>0.99986059999999999</v>
      </c>
      <c r="AB4975">
        <v>41</v>
      </c>
      <c r="AC4975">
        <v>-16.240299999999898</v>
      </c>
      <c r="AD4975">
        <v>4.8439310000000004</v>
      </c>
      <c r="AE4975">
        <v>398.03177699999998</v>
      </c>
      <c r="AF4975">
        <v>-2.2856306273938101</v>
      </c>
      <c r="AG4975">
        <v>4.8439310000000004</v>
      </c>
      <c r="AH4975">
        <v>398.29750414620401</v>
      </c>
      <c r="AI4975">
        <v>89.303238034362494</v>
      </c>
      <c r="AJ4975">
        <v>90.328788279244193</v>
      </c>
      <c r="AK4975">
        <v>398.333515516825</v>
      </c>
      <c r="AL4975">
        <v>86.979399316047605</v>
      </c>
      <c r="AM4975">
        <v>94.927015292813806</v>
      </c>
      <c r="AN4975">
        <v>1.0000000025620499</v>
      </c>
    </row>
    <row r="4976" spans="1:40" x14ac:dyDescent="0.25">
      <c r="A4976" t="str">
        <f>"20190305135729821"</f>
        <v>20190305135729821</v>
      </c>
      <c r="B4976" t="str">
        <f>"1551765449817207"</f>
        <v>1551765449817207</v>
      </c>
      <c r="C4976" t="s">
        <v>40</v>
      </c>
      <c r="D4976">
        <v>4.0701869999999998</v>
      </c>
      <c r="E4976">
        <v>0.53002740000000004</v>
      </c>
      <c r="F4976" t="s">
        <v>96</v>
      </c>
      <c r="G4976">
        <v>-202.93100000000001</v>
      </c>
      <c r="H4976">
        <v>6.0197419999999999</v>
      </c>
      <c r="I4976">
        <v>390.11860000000001</v>
      </c>
      <c r="J4976">
        <v>-187.0266</v>
      </c>
      <c r="K4976">
        <v>1.1096109999999999</v>
      </c>
      <c r="L4976">
        <v>-7.4914249999999996</v>
      </c>
      <c r="M4976">
        <v>-3.6286119999999998E-2</v>
      </c>
      <c r="N4976">
        <v>-3.5942209999999999E-3</v>
      </c>
      <c r="O4976">
        <v>0.99933499999999997</v>
      </c>
      <c r="P4976">
        <v>-0.1182975</v>
      </c>
      <c r="Q4976">
        <v>4.8885919999999999E-2</v>
      </c>
      <c r="R4976">
        <v>0.99177409999999999</v>
      </c>
      <c r="S4976">
        <v>-0.1203613</v>
      </c>
      <c r="T4976">
        <v>3.7122130000000003E-2</v>
      </c>
      <c r="U4976">
        <v>3.009277</v>
      </c>
      <c r="V4976">
        <v>-8.2429359999999993E-2</v>
      </c>
      <c r="W4976">
        <v>5.2152160000000003E-2</v>
      </c>
      <c r="X4976">
        <v>0.99523139999999999</v>
      </c>
      <c r="Y4976">
        <v>-3.6761179999999999E-3</v>
      </c>
      <c r="Z4976">
        <v>1.5909070000000001E-2</v>
      </c>
      <c r="AA4976">
        <v>0.9998667</v>
      </c>
      <c r="AB4976">
        <v>41</v>
      </c>
      <c r="AC4976">
        <v>-15.9043999999999</v>
      </c>
      <c r="AD4976">
        <v>4.9101309999999998</v>
      </c>
      <c r="AE4976">
        <v>397.61002500000001</v>
      </c>
      <c r="AF4976">
        <v>-1.4658847407722899</v>
      </c>
      <c r="AG4976">
        <v>4.9101309999999998</v>
      </c>
      <c r="AH4976">
        <v>397.86470733044899</v>
      </c>
      <c r="AI4976">
        <v>89.2929415768007</v>
      </c>
      <c r="AJ4976">
        <v>90.211098464663706</v>
      </c>
      <c r="AK4976">
        <v>397.89770487356998</v>
      </c>
      <c r="AL4976">
        <v>87.010545130189897</v>
      </c>
      <c r="AM4976">
        <v>94.734677064838095</v>
      </c>
      <c r="AN4976">
        <v>0.999999993364317</v>
      </c>
    </row>
    <row r="4977" spans="1:40" x14ac:dyDescent="0.25">
      <c r="A4977" t="str">
        <f>"20190305135729844"</f>
        <v>20190305135729844</v>
      </c>
      <c r="B4977" t="str">
        <f>"1551765449837706"</f>
        <v>1551765449837706</v>
      </c>
      <c r="C4977" t="s">
        <v>40</v>
      </c>
      <c r="D4977">
        <v>4.0582820000000002</v>
      </c>
      <c r="E4977">
        <v>0.53032969999999902</v>
      </c>
      <c r="F4977" t="s">
        <v>96</v>
      </c>
      <c r="G4977">
        <v>-202.22829999999999</v>
      </c>
      <c r="H4977">
        <v>6.2644609999999998</v>
      </c>
      <c r="I4977">
        <v>390.11860000000001</v>
      </c>
      <c r="J4977">
        <v>-187.04329999999999</v>
      </c>
      <c r="K4977">
        <v>1.1095429999999999</v>
      </c>
      <c r="L4977">
        <v>-7.0535579999999998</v>
      </c>
      <c r="M4977">
        <v>-3.7504599999999999E-2</v>
      </c>
      <c r="N4977">
        <v>-3.6404850000000002E-3</v>
      </c>
      <c r="O4977">
        <v>0.99928980000000001</v>
      </c>
      <c r="P4977">
        <v>-0.1166625</v>
      </c>
      <c r="Q4977">
        <v>4.9861299999999997E-2</v>
      </c>
      <c r="R4977">
        <v>0.9919192</v>
      </c>
      <c r="S4977">
        <v>-0.1150513</v>
      </c>
      <c r="T4977">
        <v>3.9013619999999999E-2</v>
      </c>
      <c r="U4977">
        <v>3.0092469999999998</v>
      </c>
      <c r="V4977">
        <v>-7.957061E-2</v>
      </c>
      <c r="W4977">
        <v>5.319927E-2</v>
      </c>
      <c r="X4977">
        <v>0.99540870000000004</v>
      </c>
      <c r="Y4977">
        <v>-6.9507629999999998E-4</v>
      </c>
      <c r="Z4977">
        <v>1.6582570000000001E-2</v>
      </c>
      <c r="AA4977">
        <v>0.99986229999999998</v>
      </c>
      <c r="AB4977">
        <v>42</v>
      </c>
      <c r="AC4977">
        <v>-15.185</v>
      </c>
      <c r="AD4977">
        <v>5.1549180000000003</v>
      </c>
      <c r="AE4977">
        <v>397.17215800000002</v>
      </c>
      <c r="AF4977">
        <v>-0.27838772018004698</v>
      </c>
      <c r="AG4977">
        <v>5.1549180000000003</v>
      </c>
      <c r="AH4977">
        <v>397.39539109442302</v>
      </c>
      <c r="AI4977">
        <v>89.256814711898002</v>
      </c>
      <c r="AJ4977">
        <v>90.040137452982194</v>
      </c>
      <c r="AK4977">
        <v>397.42892137135499</v>
      </c>
      <c r="AL4977">
        <v>86.950466944765907</v>
      </c>
      <c r="AM4977">
        <v>94.5703702947892</v>
      </c>
      <c r="AN4977">
        <v>1.00000006216999</v>
      </c>
    </row>
    <row r="4978" spans="1:40" x14ac:dyDescent="0.25">
      <c r="A4978" t="str">
        <f>"20190305135729887"</f>
        <v>20190305135729887</v>
      </c>
      <c r="B4978" t="str">
        <f>"1551765449877720"</f>
        <v>1551765449877720</v>
      </c>
      <c r="C4978" t="s">
        <v>40</v>
      </c>
      <c r="D4978">
        <v>4.0494349999999999</v>
      </c>
      <c r="E4978">
        <v>0.54150589999999998</v>
      </c>
      <c r="F4978" t="s">
        <v>96</v>
      </c>
      <c r="G4978">
        <v>-201.2826</v>
      </c>
      <c r="H4978">
        <v>7.0156099999999997</v>
      </c>
      <c r="I4978">
        <v>390.11860000000001</v>
      </c>
      <c r="J4978">
        <v>-187.0753</v>
      </c>
      <c r="K4978">
        <v>1.1093999999999999</v>
      </c>
      <c r="L4978">
        <v>-6.2459410000000002</v>
      </c>
      <c r="M4978">
        <v>-3.9489370000000003E-2</v>
      </c>
      <c r="N4978">
        <v>-3.7239389999999999E-3</v>
      </c>
      <c r="O4978">
        <v>0.99921300000000002</v>
      </c>
      <c r="P4978">
        <v>-0.1144501</v>
      </c>
      <c r="Q4978">
        <v>5.1120270000000002E-2</v>
      </c>
      <c r="R4978">
        <v>0.99211289999999996</v>
      </c>
      <c r="S4978">
        <v>-0.1078949</v>
      </c>
      <c r="T4978">
        <v>4.4752E-2</v>
      </c>
      <c r="U4978">
        <v>3.0094910000000001</v>
      </c>
      <c r="V4978">
        <v>-7.5358410000000001E-2</v>
      </c>
      <c r="W4978">
        <v>5.4586750000000003E-2</v>
      </c>
      <c r="X4978">
        <v>0.99566129999999997</v>
      </c>
      <c r="Y4978">
        <v>3.6699699999999998E-3</v>
      </c>
      <c r="Z4978">
        <v>1.8567230000000001E-2</v>
      </c>
      <c r="AA4978">
        <v>0.99982090000000001</v>
      </c>
      <c r="AB4978">
        <v>42</v>
      </c>
      <c r="AC4978">
        <v>-14.2073</v>
      </c>
      <c r="AD4978">
        <v>5.9062099999999997</v>
      </c>
      <c r="AE4978">
        <v>396.36454099999997</v>
      </c>
      <c r="AF4978">
        <v>1.45575451176096</v>
      </c>
      <c r="AG4978">
        <v>5.9062099999999997</v>
      </c>
      <c r="AH4978">
        <v>396.52847827204101</v>
      </c>
      <c r="AI4978">
        <v>89.146660019328095</v>
      </c>
      <c r="AJ4978">
        <v>89.789653910436002</v>
      </c>
      <c r="AK4978">
        <v>396.57513363611599</v>
      </c>
      <c r="AL4978">
        <v>86.870854344007597</v>
      </c>
      <c r="AM4978">
        <v>94.328281510581405</v>
      </c>
      <c r="AN4978">
        <v>1.0000000137754901</v>
      </c>
    </row>
    <row r="4979" spans="1:40" x14ac:dyDescent="0.25">
      <c r="A4979" t="str">
        <f>"20190305135729911"</f>
        <v>20190305135729911</v>
      </c>
      <c r="B4979" t="str">
        <f>"1551765449907000"</f>
        <v>1551765449907000</v>
      </c>
      <c r="C4979" t="s">
        <v>40</v>
      </c>
      <c r="D4979">
        <v>4.056146</v>
      </c>
      <c r="E4979">
        <v>0.53987399999999997</v>
      </c>
      <c r="F4979" t="s">
        <v>96</v>
      </c>
      <c r="G4979">
        <v>-188.89410000000001</v>
      </c>
      <c r="H4979">
        <v>16.9071</v>
      </c>
      <c r="I4979">
        <v>391.87</v>
      </c>
      <c r="J4979">
        <v>-187.09379999999999</v>
      </c>
      <c r="K4979">
        <v>1.1092900000000001</v>
      </c>
      <c r="L4979">
        <v>-5.793488</v>
      </c>
      <c r="M4979">
        <v>-4.0436850000000003E-2</v>
      </c>
      <c r="N4979">
        <v>-3.7697849999999999E-3</v>
      </c>
      <c r="O4979">
        <v>0.99917500000000004</v>
      </c>
      <c r="P4979">
        <v>-0.1133603</v>
      </c>
      <c r="Q4979">
        <v>4.8408470000000002E-2</v>
      </c>
      <c r="R4979">
        <v>0.99237390000000003</v>
      </c>
      <c r="S4979">
        <v>-1.377869E-2</v>
      </c>
      <c r="T4979">
        <v>0.1196816</v>
      </c>
      <c r="U4979">
        <v>3.0160830000000001</v>
      </c>
      <c r="V4979">
        <v>-7.3292880000000005E-2</v>
      </c>
      <c r="W4979">
        <v>5.1946440000000003E-2</v>
      </c>
      <c r="X4979">
        <v>0.99595670000000003</v>
      </c>
      <c r="Y4979">
        <v>3.5878800000000002E-2</v>
      </c>
      <c r="Z4979">
        <v>4.3354530000000002E-2</v>
      </c>
      <c r="AA4979">
        <v>0.99841530000000001</v>
      </c>
      <c r="AB4979">
        <v>42</v>
      </c>
      <c r="AC4979">
        <v>-1.80030000000002</v>
      </c>
      <c r="AD4979">
        <v>15.79781</v>
      </c>
      <c r="AE4979">
        <v>397.66348799999997</v>
      </c>
      <c r="AF4979">
        <v>14.2590421480114</v>
      </c>
      <c r="AG4979">
        <v>15.79781</v>
      </c>
      <c r="AH4979">
        <v>396.784838416122</v>
      </c>
      <c r="AI4979">
        <v>87.721467788938597</v>
      </c>
      <c r="AJ4979">
        <v>87.941878226358199</v>
      </c>
      <c r="AK4979">
        <v>397.355129677072</v>
      </c>
      <c r="AL4979">
        <v>87.022348076921404</v>
      </c>
      <c r="AM4979">
        <v>94.208834169514802</v>
      </c>
      <c r="AN4979">
        <v>1.00000001358112</v>
      </c>
    </row>
    <row r="4980" spans="1:40" x14ac:dyDescent="0.25">
      <c r="A4980" t="str">
        <f>"20190305135729934"</f>
        <v>20190305135729934</v>
      </c>
      <c r="B4980" t="str">
        <f>"1551765449927496"</f>
        <v>1551765449927496</v>
      </c>
      <c r="C4980" t="s">
        <v>40</v>
      </c>
      <c r="D4980">
        <v>3.9640360000000001</v>
      </c>
      <c r="E4980">
        <v>0.53979999999999995</v>
      </c>
      <c r="F4980" t="s">
        <v>96</v>
      </c>
      <c r="G4980">
        <v>-190.1157</v>
      </c>
      <c r="H4980">
        <v>12.982609999999999</v>
      </c>
      <c r="I4980">
        <v>391.87</v>
      </c>
      <c r="J4980">
        <v>-187.11150000000001</v>
      </c>
      <c r="K4980">
        <v>1.109154</v>
      </c>
      <c r="L4980">
        <v>-5.3698119999999996</v>
      </c>
      <c r="M4980">
        <v>-4.1162150000000002E-2</v>
      </c>
      <c r="N4980">
        <v>-3.812176E-3</v>
      </c>
      <c r="O4980">
        <v>0.99914519999999996</v>
      </c>
      <c r="P4980">
        <v>-0.1122446</v>
      </c>
      <c r="Q4980">
        <v>4.4567900000000001E-2</v>
      </c>
      <c r="R4980">
        <v>0.99268069999999997</v>
      </c>
      <c r="S4980">
        <v>-2.29187E-2</v>
      </c>
      <c r="T4980">
        <v>9.0052370000000007E-2</v>
      </c>
      <c r="U4980">
        <v>3.0160520000000002</v>
      </c>
      <c r="V4980">
        <v>-7.1416610000000005E-2</v>
      </c>
      <c r="W4980">
        <v>4.817606E-2</v>
      </c>
      <c r="X4980">
        <v>0.99628249999999996</v>
      </c>
      <c r="Y4980">
        <v>3.3574970000000003E-2</v>
      </c>
      <c r="Z4980">
        <v>3.3607280000000003E-2</v>
      </c>
      <c r="AA4980">
        <v>0.99887099999999995</v>
      </c>
      <c r="AB4980">
        <v>42</v>
      </c>
      <c r="AC4980">
        <v>-3.0041999999999902</v>
      </c>
      <c r="AD4980">
        <v>11.873455999999999</v>
      </c>
      <c r="AE4980">
        <v>397.23981199999997</v>
      </c>
      <c r="AF4980">
        <v>13.3377944341222</v>
      </c>
      <c r="AG4980">
        <v>11.873455999999999</v>
      </c>
      <c r="AH4980">
        <v>396.67242929574502</v>
      </c>
      <c r="AI4980">
        <v>88.2864653485953</v>
      </c>
      <c r="AJ4980">
        <v>88.074200599987805</v>
      </c>
      <c r="AK4980">
        <v>397.074164207568</v>
      </c>
      <c r="AL4980">
        <v>87.238646349540801</v>
      </c>
      <c r="AM4980">
        <v>94.100125440591995</v>
      </c>
      <c r="AN4980">
        <v>1.0000000423736299</v>
      </c>
    </row>
    <row r="4981" spans="1:40" x14ac:dyDescent="0.25">
      <c r="A4981" t="str">
        <f>"20190305135729986"</f>
        <v>20190305135729986</v>
      </c>
      <c r="B4981" t="str">
        <f>"1551765449977272"</f>
        <v>1551765449977272</v>
      </c>
      <c r="C4981" t="s">
        <v>40</v>
      </c>
      <c r="D4981">
        <v>3.9901810000000002</v>
      </c>
      <c r="E4981">
        <v>0.53895170000000003</v>
      </c>
      <c r="F4981" t="s">
        <v>96</v>
      </c>
      <c r="G4981">
        <v>-189.78649999999999</v>
      </c>
      <c r="H4981">
        <v>12.31226</v>
      </c>
      <c r="I4981">
        <v>391.87</v>
      </c>
      <c r="J4981">
        <v>-187.15360000000001</v>
      </c>
      <c r="K4981">
        <v>1.1087899999999999</v>
      </c>
      <c r="L4981">
        <v>-4.3735660000000003</v>
      </c>
      <c r="M4981">
        <v>-4.2256019999999998E-2</v>
      </c>
      <c r="N4981">
        <v>-3.9113220000000001E-3</v>
      </c>
      <c r="O4981">
        <v>0.99909910000000002</v>
      </c>
      <c r="P4981">
        <v>-0.1132755</v>
      </c>
      <c r="Q4981">
        <v>4.1499229999999998E-2</v>
      </c>
      <c r="R4981">
        <v>0.99269660000000004</v>
      </c>
      <c r="S4981">
        <v>-2.030945E-2</v>
      </c>
      <c r="T4981">
        <v>8.5058930000000005E-2</v>
      </c>
      <c r="U4981">
        <v>3.016022</v>
      </c>
      <c r="V4981">
        <v>-7.1309449999999996E-2</v>
      </c>
      <c r="W4981">
        <v>4.5266239999999999E-2</v>
      </c>
      <c r="X4981">
        <v>0.99642660000000005</v>
      </c>
      <c r="Y4981">
        <v>3.5532849999999998E-2</v>
      </c>
      <c r="Z4981">
        <v>3.2053159999999997E-2</v>
      </c>
      <c r="AA4981">
        <v>0.99885429999999997</v>
      </c>
      <c r="AB4981">
        <v>42</v>
      </c>
      <c r="AC4981">
        <v>-2.63289999999997</v>
      </c>
      <c r="AD4981">
        <v>11.203469999999999</v>
      </c>
      <c r="AE4981">
        <v>396.24356599999999</v>
      </c>
      <c r="AF4981">
        <v>14.1019837659823</v>
      </c>
      <c r="AG4981">
        <v>11.203469999999999</v>
      </c>
      <c r="AH4981">
        <v>395.68459033284802</v>
      </c>
      <c r="AI4981">
        <v>88.379180912814505</v>
      </c>
      <c r="AJ4981">
        <v>87.958873455992006</v>
      </c>
      <c r="AK4981">
        <v>396.09428008120801</v>
      </c>
      <c r="AL4981">
        <v>87.405549010623702</v>
      </c>
      <c r="AM4981">
        <v>94.093404125491006</v>
      </c>
      <c r="AN4981">
        <v>1.0000000196652901</v>
      </c>
    </row>
    <row r="4982" spans="1:40" x14ac:dyDescent="0.25">
      <c r="A4982" t="str">
        <f>"20190305135730009"</f>
        <v>20190305135730009</v>
      </c>
      <c r="B4982" t="str">
        <f>"1551765449997768"</f>
        <v>1551765449997768</v>
      </c>
      <c r="C4982" t="s">
        <v>40</v>
      </c>
      <c r="D4982">
        <v>4.0206780000000002</v>
      </c>
      <c r="E4982">
        <v>0.53849250000000004</v>
      </c>
      <c r="F4982" t="s">
        <v>96</v>
      </c>
      <c r="G4982">
        <v>-191.1163</v>
      </c>
      <c r="H4982">
        <v>12.8927</v>
      </c>
      <c r="I4982">
        <v>391.87</v>
      </c>
      <c r="J4982">
        <v>-187.17269999999999</v>
      </c>
      <c r="K4982">
        <v>1.1086129999999901</v>
      </c>
      <c r="L4982">
        <v>-3.922577</v>
      </c>
      <c r="M4982">
        <v>-4.245902E-2</v>
      </c>
      <c r="N4982">
        <v>-3.9563050000000002E-3</v>
      </c>
      <c r="O4982">
        <v>0.99909040000000005</v>
      </c>
      <c r="P4982">
        <v>-0.1137364</v>
      </c>
      <c r="Q4982">
        <v>3.9818239999999998E-2</v>
      </c>
      <c r="R4982">
        <v>0.9927127</v>
      </c>
      <c r="S4982">
        <v>-3.015137E-2</v>
      </c>
      <c r="T4982">
        <v>8.9660050000000005E-2</v>
      </c>
      <c r="U4982">
        <v>3.0148929999999998</v>
      </c>
      <c r="V4982">
        <v>-7.154597E-2</v>
      </c>
      <c r="W4982">
        <v>4.365898E-2</v>
      </c>
      <c r="X4982">
        <v>0.99648139999999996</v>
      </c>
      <c r="Y4982">
        <v>3.2473250000000002E-2</v>
      </c>
      <c r="Z4982">
        <v>3.363062E-2</v>
      </c>
      <c r="AA4982">
        <v>0.99890659999999998</v>
      </c>
      <c r="AB4982">
        <v>43</v>
      </c>
      <c r="AC4982">
        <v>-3.9436</v>
      </c>
      <c r="AD4982">
        <v>11.784087</v>
      </c>
      <c r="AE4982">
        <v>395.79257699999999</v>
      </c>
      <c r="AF4982">
        <v>12.85365935956</v>
      </c>
      <c r="AG4982">
        <v>11.784087</v>
      </c>
      <c r="AH4982">
        <v>395.25275310459801</v>
      </c>
      <c r="AI4982">
        <v>88.293188140507397</v>
      </c>
      <c r="AJ4982">
        <v>88.137391896334407</v>
      </c>
      <c r="AK4982">
        <v>395.63723295731302</v>
      </c>
      <c r="AL4982">
        <v>87.497729487359095</v>
      </c>
      <c r="AM4982">
        <v>94.106709711811703</v>
      </c>
      <c r="AN4982">
        <v>1.00000005645191</v>
      </c>
    </row>
    <row r="4983" spans="1:40" x14ac:dyDescent="0.25">
      <c r="A4983" t="str">
        <f>"20190305135730033"</f>
        <v>20190305135730033</v>
      </c>
      <c r="B4983" t="str">
        <f>"1551765450027047"</f>
        <v>1551765450027047</v>
      </c>
      <c r="C4983" t="s">
        <v>40</v>
      </c>
      <c r="D4983">
        <v>3.9934820000000002</v>
      </c>
      <c r="E4983">
        <v>0.53840940000000004</v>
      </c>
      <c r="F4983" t="s">
        <v>96</v>
      </c>
      <c r="G4983">
        <v>-191.79050000000001</v>
      </c>
      <c r="H4983">
        <v>12.10754</v>
      </c>
      <c r="I4983">
        <v>391.87</v>
      </c>
      <c r="J4983">
        <v>-187.1917</v>
      </c>
      <c r="K4983">
        <v>1.10839</v>
      </c>
      <c r="L4983">
        <v>-3.4724119999999998</v>
      </c>
      <c r="M4983">
        <v>-4.2354870000000003E-2</v>
      </c>
      <c r="N4983">
        <v>-4.0020560000000004E-3</v>
      </c>
      <c r="O4983">
        <v>0.99909460000000005</v>
      </c>
      <c r="P4983">
        <v>-0.1136025</v>
      </c>
      <c r="Q4983">
        <v>3.6744600000000002E-2</v>
      </c>
      <c r="R4983">
        <v>0.99284649999999997</v>
      </c>
      <c r="S4983">
        <v>-3.5171510000000003E-2</v>
      </c>
      <c r="T4983">
        <v>8.3775039999999995E-2</v>
      </c>
      <c r="U4983">
        <v>3.014618</v>
      </c>
      <c r="V4983">
        <v>-7.1485149999999997E-2</v>
      </c>
      <c r="W4983">
        <v>4.0668540000000003E-2</v>
      </c>
      <c r="X4983">
        <v>0.99661230000000001</v>
      </c>
      <c r="Y4983">
        <v>3.0703939999999999E-2</v>
      </c>
      <c r="Z4983">
        <v>3.1733310000000001E-2</v>
      </c>
      <c r="AA4983">
        <v>0.99902460000000004</v>
      </c>
      <c r="AB4983">
        <v>43</v>
      </c>
      <c r="AC4983">
        <v>-4.5988000000000104</v>
      </c>
      <c r="AD4983">
        <v>10.99915</v>
      </c>
      <c r="AE4983">
        <v>395.34241200000002</v>
      </c>
      <c r="AF4983">
        <v>12.140741373824399</v>
      </c>
      <c r="AG4983">
        <v>10.99915</v>
      </c>
      <c r="AH4983">
        <v>394.87680622639601</v>
      </c>
      <c r="AI4983">
        <v>88.405212642962596</v>
      </c>
      <c r="AJ4983">
        <v>88.238959169860493</v>
      </c>
      <c r="AK4983">
        <v>395.21648624189203</v>
      </c>
      <c r="AL4983">
        <v>87.669221662366994</v>
      </c>
      <c r="AM4983">
        <v>94.102693499367902</v>
      </c>
      <c r="AN4983">
        <v>1.0000000666637601</v>
      </c>
    </row>
    <row r="4984" spans="1:40" x14ac:dyDescent="0.25">
      <c r="A4984" t="str">
        <f>"20190305135730058"</f>
        <v>20190305135730058</v>
      </c>
      <c r="B4984" t="str">
        <f>"1551765450047545"</f>
        <v>1551765450047545</v>
      </c>
      <c r="C4984" t="s">
        <v>40</v>
      </c>
      <c r="D4984">
        <v>4.0241040000000003</v>
      </c>
      <c r="E4984">
        <v>0.5383038</v>
      </c>
      <c r="F4984" t="s">
        <v>96</v>
      </c>
      <c r="G4984">
        <v>-191.86019999999999</v>
      </c>
      <c r="H4984">
        <v>11.40222</v>
      </c>
      <c r="I4984">
        <v>391.87</v>
      </c>
      <c r="J4984">
        <v>-187.21170000000001</v>
      </c>
      <c r="K4984">
        <v>1.108117</v>
      </c>
      <c r="L4984">
        <v>-2.9944760000000001</v>
      </c>
      <c r="M4984">
        <v>-4.1888189999999999E-2</v>
      </c>
      <c r="N4984">
        <v>-4.0522850000000001E-3</v>
      </c>
      <c r="O4984">
        <v>0.9991141</v>
      </c>
      <c r="P4984">
        <v>-0.1134014</v>
      </c>
      <c r="Q4984">
        <v>3.5231749999999999E-2</v>
      </c>
      <c r="R4984">
        <v>0.99292440000000004</v>
      </c>
      <c r="S4984">
        <v>-3.5598749999999998E-2</v>
      </c>
      <c r="T4984">
        <v>7.8494670000000002E-2</v>
      </c>
      <c r="U4984">
        <v>3.0146480000000002</v>
      </c>
      <c r="V4984">
        <v>-7.171922E-2</v>
      </c>
      <c r="W4984">
        <v>3.9253940000000001E-2</v>
      </c>
      <c r="X4984">
        <v>0.99665210000000004</v>
      </c>
      <c r="Y4984">
        <v>3.0094880000000001E-2</v>
      </c>
      <c r="Z4984">
        <v>3.0037560000000001E-2</v>
      </c>
      <c r="AA4984">
        <v>0.99909559999999997</v>
      </c>
      <c r="AB4984">
        <v>43</v>
      </c>
      <c r="AC4984">
        <v>-4.6484999999999799</v>
      </c>
      <c r="AD4984">
        <v>10.294103</v>
      </c>
      <c r="AE4984">
        <v>394.864475999999</v>
      </c>
      <c r="AF4984">
        <v>11.887795478050901</v>
      </c>
      <c r="AG4984">
        <v>10.294103</v>
      </c>
      <c r="AH4984">
        <v>394.44457405495899</v>
      </c>
      <c r="AI4984">
        <v>88.505728442440002</v>
      </c>
      <c r="AJ4984">
        <v>88.273738708868393</v>
      </c>
      <c r="AK4984">
        <v>394.75791346001</v>
      </c>
      <c r="AL4984">
        <v>87.750336833479096</v>
      </c>
      <c r="AM4984">
        <v>94.1159174001548</v>
      </c>
      <c r="AN4984">
        <v>0.99999996337867003</v>
      </c>
    </row>
    <row r="4985" spans="1:40" x14ac:dyDescent="0.25">
      <c r="A4985" t="str">
        <f>"20190305135730079"</f>
        <v>20190305135730079</v>
      </c>
      <c r="B4985" t="str">
        <f>"1551765450067063"</f>
        <v>1551765450067063</v>
      </c>
      <c r="C4985" t="s">
        <v>40</v>
      </c>
      <c r="D4985">
        <v>3.9835880000000001</v>
      </c>
      <c r="E4985">
        <v>0.53813630000000001</v>
      </c>
      <c r="F4985" t="s">
        <v>96</v>
      </c>
      <c r="G4985">
        <v>-191.90649999999999</v>
      </c>
      <c r="H4985">
        <v>10.98804</v>
      </c>
      <c r="I4985">
        <v>391.87</v>
      </c>
      <c r="J4985">
        <v>-187.22839999999999</v>
      </c>
      <c r="K4985">
        <v>1.107874</v>
      </c>
      <c r="L4985">
        <v>-2.584778</v>
      </c>
      <c r="M4985">
        <v>-4.1231869999999997E-2</v>
      </c>
      <c r="N4985">
        <v>-4.0964510000000001E-3</v>
      </c>
      <c r="O4985">
        <v>0.99914119999999995</v>
      </c>
      <c r="P4985">
        <v>-0.11229889999999999</v>
      </c>
      <c r="Q4985">
        <v>3.6589820000000002E-2</v>
      </c>
      <c r="R4985">
        <v>0.99300060000000001</v>
      </c>
      <c r="S4985">
        <v>-3.5842899999999997E-2</v>
      </c>
      <c r="T4985">
        <v>7.5428839999999997E-2</v>
      </c>
      <c r="U4985">
        <v>3.014618</v>
      </c>
      <c r="V4985">
        <v>-7.1244589999999997E-2</v>
      </c>
      <c r="W4985">
        <v>4.06995E-2</v>
      </c>
      <c r="X4985">
        <v>0.99662819999999996</v>
      </c>
      <c r="Y4985">
        <v>2.935683E-2</v>
      </c>
      <c r="Z4985">
        <v>2.9068980000000001E-2</v>
      </c>
      <c r="AA4985">
        <v>0.99914619999999998</v>
      </c>
      <c r="AB4985">
        <v>43</v>
      </c>
      <c r="AC4985">
        <v>-4.6780999999999997</v>
      </c>
      <c r="AD4985">
        <v>9.8801659999999991</v>
      </c>
      <c r="AE4985">
        <v>394.45477799999998</v>
      </c>
      <c r="AF4985">
        <v>11.582857122854399</v>
      </c>
      <c r="AG4985">
        <v>9.8801659999999991</v>
      </c>
      <c r="AH4985">
        <v>394.06502270479803</v>
      </c>
      <c r="AI4985">
        <v>88.564376498676793</v>
      </c>
      <c r="AJ4985">
        <v>88.316374796692202</v>
      </c>
      <c r="AK4985">
        <v>394.35900189884001</v>
      </c>
      <c r="AL4985">
        <v>87.667446171291402</v>
      </c>
      <c r="AM4985">
        <v>94.088869115262995</v>
      </c>
      <c r="AN4985">
        <v>1.0000000049698701</v>
      </c>
    </row>
    <row r="4986" spans="1:40" x14ac:dyDescent="0.25">
      <c r="A4986" t="str">
        <f>"20190305135730121"</f>
        <v>20190305135730121</v>
      </c>
      <c r="B4986" t="str">
        <f>"1551765450117816"</f>
        <v>1551765450117816</v>
      </c>
      <c r="C4986" t="s">
        <v>40</v>
      </c>
      <c r="D4986">
        <v>3.9985279999999999</v>
      </c>
      <c r="E4986">
        <v>0.53785519999999998</v>
      </c>
      <c r="F4986" t="s">
        <v>96</v>
      </c>
      <c r="G4986">
        <v>-191.65110000000001</v>
      </c>
      <c r="H4986">
        <v>11.38105</v>
      </c>
      <c r="I4986">
        <v>391.87</v>
      </c>
      <c r="J4986">
        <v>-187.26089999999999</v>
      </c>
      <c r="K4986">
        <v>1.107369</v>
      </c>
      <c r="L4986">
        <v>-1.7528079999999999</v>
      </c>
      <c r="M4986">
        <v>-3.9145920000000001E-2</v>
      </c>
      <c r="N4986">
        <v>-4.1878339999999997E-3</v>
      </c>
      <c r="O4986">
        <v>0.99922469999999997</v>
      </c>
      <c r="P4986">
        <v>-0.1105068</v>
      </c>
      <c r="Q4986">
        <v>4.0249229999999997E-2</v>
      </c>
      <c r="R4986">
        <v>0.9930601</v>
      </c>
      <c r="S4986">
        <v>-3.3798219999999997E-2</v>
      </c>
      <c r="T4986">
        <v>7.8507899999999894E-2</v>
      </c>
      <c r="U4986">
        <v>3.0144350000000002</v>
      </c>
      <c r="V4986">
        <v>-7.1473800000000004E-2</v>
      </c>
      <c r="W4986">
        <v>4.4541230000000001E-2</v>
      </c>
      <c r="X4986">
        <v>0.99644750000000004</v>
      </c>
      <c r="Y4986">
        <v>2.7947369999999999E-2</v>
      </c>
      <c r="Z4986">
        <v>3.0184599999999999E-2</v>
      </c>
      <c r="AA4986">
        <v>0.99915359999999998</v>
      </c>
      <c r="AB4986">
        <v>43</v>
      </c>
      <c r="AC4986">
        <v>-4.3902000000000196</v>
      </c>
      <c r="AD4986">
        <v>10.273681</v>
      </c>
      <c r="AE4986">
        <v>393.62280800000002</v>
      </c>
      <c r="AF4986">
        <v>11.014525190591</v>
      </c>
      <c r="AG4986">
        <v>10.273681</v>
      </c>
      <c r="AH4986">
        <v>393.22511047865697</v>
      </c>
      <c r="AI4986">
        <v>88.5039763880104</v>
      </c>
      <c r="AJ4986">
        <v>88.395522520468106</v>
      </c>
      <c r="AK4986">
        <v>393.51347600484598</v>
      </c>
      <c r="AL4986">
        <v>87.447130974670102</v>
      </c>
      <c r="AM4986">
        <v>94.102720431712001</v>
      </c>
      <c r="AN4986">
        <v>1.0000000227563</v>
      </c>
    </row>
    <row r="4987" spans="1:40" x14ac:dyDescent="0.25">
      <c r="A4987" t="str">
        <f>"20190305135730143"</f>
        <v>20190305135730143</v>
      </c>
      <c r="B4987" t="str">
        <f>"1551765450137335"</f>
        <v>1551765450137335</v>
      </c>
      <c r="C4987" t="s">
        <v>40</v>
      </c>
      <c r="D4987">
        <v>3.9470689999999999</v>
      </c>
      <c r="E4987">
        <v>0.53788899999999995</v>
      </c>
      <c r="F4987" t="s">
        <v>96</v>
      </c>
      <c r="G4987">
        <v>-191.2688</v>
      </c>
      <c r="H4987">
        <v>13.372199999999999</v>
      </c>
      <c r="I4987">
        <v>391.87</v>
      </c>
      <c r="J4987">
        <v>-187.2766</v>
      </c>
      <c r="K4987">
        <v>1.1071070000000001</v>
      </c>
      <c r="L4987">
        <v>-1.3289789999999999</v>
      </c>
      <c r="M4987">
        <v>-3.7719679999999998E-2</v>
      </c>
      <c r="N4987">
        <v>-4.2346099999999998E-3</v>
      </c>
      <c r="O4987">
        <v>0.99927940000000004</v>
      </c>
      <c r="P4987">
        <v>-0.109392</v>
      </c>
      <c r="Q4987">
        <v>4.051751E-2</v>
      </c>
      <c r="R4987">
        <v>0.99317259999999996</v>
      </c>
      <c r="S4987">
        <v>-3.0685420000000001E-2</v>
      </c>
      <c r="T4987">
        <v>9.3904379999999996E-2</v>
      </c>
      <c r="U4987">
        <v>3.0137330000000002</v>
      </c>
      <c r="V4987">
        <v>-7.1748699999999999E-2</v>
      </c>
      <c r="W4987">
        <v>4.4902780000000003E-2</v>
      </c>
      <c r="X4987">
        <v>0.99641150000000001</v>
      </c>
      <c r="Y4987">
        <v>2.7551900000000001E-2</v>
      </c>
      <c r="Z4987">
        <v>3.5335230000000002E-2</v>
      </c>
      <c r="AA4987">
        <v>0.99899570000000004</v>
      </c>
      <c r="AB4987">
        <v>44</v>
      </c>
      <c r="AC4987">
        <v>-3.9921999999999902</v>
      </c>
      <c r="AD4987">
        <v>12.265092999999901</v>
      </c>
      <c r="AE4987">
        <v>393.19897900000001</v>
      </c>
      <c r="AF4987">
        <v>10.8315753802702</v>
      </c>
      <c r="AG4987">
        <v>12.265092999999901</v>
      </c>
      <c r="AH4987">
        <v>392.687694245881</v>
      </c>
      <c r="AI4987">
        <v>88.211701637810293</v>
      </c>
      <c r="AJ4987">
        <v>88.420000819927907</v>
      </c>
      <c r="AK4987">
        <v>393.028473197126</v>
      </c>
      <c r="AL4987">
        <v>87.426394896984206</v>
      </c>
      <c r="AM4987">
        <v>94.118594261589706</v>
      </c>
      <c r="AN4987">
        <v>1.00000000646783</v>
      </c>
    </row>
    <row r="4988" spans="1:40" x14ac:dyDescent="0.25">
      <c r="A4988" t="str">
        <f>"20190305135730164"</f>
        <v>20190305135730164</v>
      </c>
      <c r="B4988" t="str">
        <f>"1551765450157832"</f>
        <v>1551765450157832</v>
      </c>
      <c r="C4988" t="s">
        <v>40</v>
      </c>
      <c r="D4988">
        <v>3.9861300000000002</v>
      </c>
      <c r="E4988">
        <v>0.53817209999999904</v>
      </c>
      <c r="F4988" t="s">
        <v>96</v>
      </c>
      <c r="G4988">
        <v>-190.83619999999999</v>
      </c>
      <c r="H4988">
        <v>13.748779999999901</v>
      </c>
      <c r="I4988">
        <v>391.87</v>
      </c>
      <c r="J4988">
        <v>-187.292</v>
      </c>
      <c r="K4988">
        <v>1.1068530000000001</v>
      </c>
      <c r="L4988">
        <v>-0.89303589999999999</v>
      </c>
      <c r="M4988">
        <v>-3.6026370000000002E-2</v>
      </c>
      <c r="N4988">
        <v>-4.2822149999999998E-3</v>
      </c>
      <c r="O4988">
        <v>0.9993417</v>
      </c>
      <c r="P4988">
        <v>-0.10809240000000001</v>
      </c>
      <c r="Q4988">
        <v>3.889542E-2</v>
      </c>
      <c r="R4988">
        <v>0.99337969999999998</v>
      </c>
      <c r="S4988">
        <v>-2.7282710000000002E-2</v>
      </c>
      <c r="T4988">
        <v>9.6892000000000006E-2</v>
      </c>
      <c r="U4988">
        <v>3.0136720000000001</v>
      </c>
      <c r="V4988">
        <v>-7.2106580000000003E-2</v>
      </c>
      <c r="W4988">
        <v>4.337506E-2</v>
      </c>
      <c r="X4988">
        <v>0.99645329999999999</v>
      </c>
      <c r="Y4988">
        <v>2.6986090000000001E-2</v>
      </c>
      <c r="Z4988">
        <v>3.637543E-2</v>
      </c>
      <c r="AA4988">
        <v>0.99897380000000002</v>
      </c>
      <c r="AB4988">
        <v>44</v>
      </c>
      <c r="AC4988">
        <v>-3.54419999999998</v>
      </c>
      <c r="AD4988">
        <v>12.641927000000001</v>
      </c>
      <c r="AE4988">
        <v>392.76303589999998</v>
      </c>
      <c r="AF4988">
        <v>10.5970786704976</v>
      </c>
      <c r="AG4988">
        <v>12.641927000000001</v>
      </c>
      <c r="AH4988">
        <v>392.22942904154598</v>
      </c>
      <c r="AI4988">
        <v>88.1546146137362</v>
      </c>
      <c r="AJ4988">
        <v>88.452384831334797</v>
      </c>
      <c r="AK4988">
        <v>392.57616000067998</v>
      </c>
      <c r="AL4988">
        <v>87.514012106403996</v>
      </c>
      <c r="AM4988">
        <v>94.138893417966798</v>
      </c>
      <c r="AN4988">
        <v>0.99999996689509396</v>
      </c>
    </row>
    <row r="4989" spans="1:40" x14ac:dyDescent="0.25">
      <c r="A4989" t="str">
        <f>"20190305135730187"</f>
        <v>20190305135730187</v>
      </c>
      <c r="B4989" t="str">
        <f>"1551765450177352"</f>
        <v>1551765450177352</v>
      </c>
      <c r="C4989" t="s">
        <v>40</v>
      </c>
      <c r="D4989">
        <v>3.9911150000000002</v>
      </c>
      <c r="E4989">
        <v>0.53852869999999997</v>
      </c>
      <c r="F4989" t="s">
        <v>96</v>
      </c>
      <c r="G4989">
        <v>-190.0181</v>
      </c>
      <c r="H4989">
        <v>13.3066</v>
      </c>
      <c r="I4989">
        <v>391.87</v>
      </c>
      <c r="J4989">
        <v>-187.30670000000001</v>
      </c>
      <c r="K4989">
        <v>1.106595</v>
      </c>
      <c r="L4989">
        <v>-0.45236209999999999</v>
      </c>
      <c r="M4989">
        <v>-3.4101659999999999E-2</v>
      </c>
      <c r="N4989">
        <v>-4.3296519999999998E-3</v>
      </c>
      <c r="O4989">
        <v>0.99940899999999999</v>
      </c>
      <c r="P4989">
        <v>-0.1057758</v>
      </c>
      <c r="Q4989">
        <v>3.9433030000000001E-2</v>
      </c>
      <c r="R4989">
        <v>0.99360780000000004</v>
      </c>
      <c r="S4989">
        <v>-2.0919799999999999E-2</v>
      </c>
      <c r="T4989">
        <v>9.3620060000000005E-2</v>
      </c>
      <c r="U4989">
        <v>3.0140380000000002</v>
      </c>
      <c r="V4989">
        <v>-7.1673650000000005E-2</v>
      </c>
      <c r="W4989">
        <v>4.4003399999999998E-2</v>
      </c>
      <c r="X4989">
        <v>0.99645700000000004</v>
      </c>
      <c r="Y4989">
        <v>2.717048E-2</v>
      </c>
      <c r="Z4989">
        <v>3.533994E-2</v>
      </c>
      <c r="AA4989">
        <v>0.9990059</v>
      </c>
      <c r="AB4989">
        <v>44</v>
      </c>
      <c r="AC4989">
        <v>-2.71139999999999</v>
      </c>
      <c r="AD4989">
        <v>12.200005000000001</v>
      </c>
      <c r="AE4989">
        <v>392.32236210000002</v>
      </c>
      <c r="AF4989">
        <v>10.6588393624489</v>
      </c>
      <c r="AG4989">
        <v>12.200005000000001</v>
      </c>
      <c r="AH4989">
        <v>391.80776869411898</v>
      </c>
      <c r="AI4989">
        <v>88.217174825878004</v>
      </c>
      <c r="AJ4989">
        <v>88.441695213560095</v>
      </c>
      <c r="AK4989">
        <v>392.14254881053</v>
      </c>
      <c r="AL4989">
        <v>87.477976504922196</v>
      </c>
      <c r="AM4989">
        <v>94.114113743399898</v>
      </c>
      <c r="AN4989">
        <v>0.99999998208244101</v>
      </c>
    </row>
    <row r="4990" spans="1:40" x14ac:dyDescent="0.25">
      <c r="A4990" t="str">
        <f>"20190305135730209"</f>
        <v>20190305135730209</v>
      </c>
      <c r="B4990" t="str">
        <f>"1551765450197848"</f>
        <v>1551765450197848</v>
      </c>
      <c r="C4990" t="s">
        <v>40</v>
      </c>
      <c r="D4990">
        <v>3.97966</v>
      </c>
      <c r="E4990">
        <v>0.53881409999999996</v>
      </c>
      <c r="F4990" t="s">
        <v>96</v>
      </c>
      <c r="G4990">
        <v>-188.75649999999999</v>
      </c>
      <c r="H4990">
        <v>13.730729999999999</v>
      </c>
      <c r="I4990">
        <v>391.87</v>
      </c>
      <c r="J4990">
        <v>-187.3203</v>
      </c>
      <c r="K4990">
        <v>1.10636</v>
      </c>
      <c r="L4990">
        <v>-1.7852779999999999E-2</v>
      </c>
      <c r="M4990">
        <v>-3.2032249999999998E-2</v>
      </c>
      <c r="N4990">
        <v>-4.3754930000000003E-3</v>
      </c>
      <c r="O4990">
        <v>0.99947730000000001</v>
      </c>
      <c r="P4990">
        <v>-0.10336910000000001</v>
      </c>
      <c r="Q4990">
        <v>4.1128289999999998E-2</v>
      </c>
      <c r="R4990">
        <v>0.99379240000000002</v>
      </c>
      <c r="S4990">
        <v>-1.113892E-2</v>
      </c>
      <c r="T4990">
        <v>9.6992490000000001E-2</v>
      </c>
      <c r="U4990">
        <v>3.0142519999999999</v>
      </c>
      <c r="V4990">
        <v>-7.1293049999999997E-2</v>
      </c>
      <c r="W4990">
        <v>4.5784499999999999E-2</v>
      </c>
      <c r="X4990">
        <v>0.99640410000000001</v>
      </c>
      <c r="Y4990">
        <v>2.8343030000000002E-2</v>
      </c>
      <c r="Z4990">
        <v>3.6502670000000001E-2</v>
      </c>
      <c r="AA4990">
        <v>0.99893149999999997</v>
      </c>
      <c r="AB4990">
        <v>44</v>
      </c>
      <c r="AC4990">
        <v>-1.4361999999999799</v>
      </c>
      <c r="AD4990">
        <v>12.624370000000001</v>
      </c>
      <c r="AE4990">
        <v>391.88785278</v>
      </c>
      <c r="AF4990">
        <v>11.106180969574201</v>
      </c>
      <c r="AG4990">
        <v>12.624370000000001</v>
      </c>
      <c r="AH4990">
        <v>391.326654625</v>
      </c>
      <c r="AI4990">
        <v>88.152996969121403</v>
      </c>
      <c r="AJ4990">
        <v>88.374333768550301</v>
      </c>
      <c r="AK4990">
        <v>391.68772331235999</v>
      </c>
      <c r="AL4990">
        <v>87.375824094764198</v>
      </c>
      <c r="AM4990">
        <v>94.092558007743406</v>
      </c>
      <c r="AN4990">
        <v>1.0000000249576799</v>
      </c>
    </row>
    <row r="4991" spans="1:40" x14ac:dyDescent="0.25">
      <c r="A4991" t="str">
        <f>"20190305135730235"</f>
        <v>20190305135730235</v>
      </c>
      <c r="B4991" t="str">
        <f>"1551765450227127"</f>
        <v>1551765450227127</v>
      </c>
      <c r="C4991" t="s">
        <v>40</v>
      </c>
      <c r="D4991">
        <v>3.9312320000000001</v>
      </c>
      <c r="E4991">
        <v>0.53925319999999899</v>
      </c>
      <c r="F4991" t="s">
        <v>96</v>
      </c>
      <c r="G4991">
        <v>-187.52860000000001</v>
      </c>
      <c r="H4991">
        <v>14.55606</v>
      </c>
      <c r="I4991">
        <v>391.87</v>
      </c>
      <c r="J4991">
        <v>-187.3349</v>
      </c>
      <c r="K4991">
        <v>1.106109</v>
      </c>
      <c r="L4991">
        <v>0.49197390000000002</v>
      </c>
      <c r="M4991">
        <v>-2.943517E-2</v>
      </c>
      <c r="N4991">
        <v>-4.4274259999999999E-3</v>
      </c>
      <c r="O4991">
        <v>0.99955689999999997</v>
      </c>
      <c r="P4991">
        <v>-9.9901690000000001E-2</v>
      </c>
      <c r="Q4991">
        <v>4.175388E-2</v>
      </c>
      <c r="R4991">
        <v>0.99412080000000003</v>
      </c>
      <c r="S4991">
        <v>-1.6021729999999999E-3</v>
      </c>
      <c r="T4991">
        <v>0.103451</v>
      </c>
      <c r="U4991">
        <v>3.0142820000000001</v>
      </c>
      <c r="V4991">
        <v>-7.0376560000000005E-2</v>
      </c>
      <c r="W4991">
        <v>4.6499949999999998E-2</v>
      </c>
      <c r="X4991">
        <v>0.99643610000000005</v>
      </c>
      <c r="Y4991">
        <v>2.8906459999999998E-2</v>
      </c>
      <c r="Z4991">
        <v>3.869508E-2</v>
      </c>
      <c r="AA4991">
        <v>0.99883290000000002</v>
      </c>
      <c r="AB4991">
        <v>44</v>
      </c>
      <c r="AC4991">
        <v>-0.19370000000000601</v>
      </c>
      <c r="AD4991">
        <v>13.449951</v>
      </c>
      <c r="AE4991">
        <v>391.3780261</v>
      </c>
      <c r="AF4991">
        <v>11.313414322233699</v>
      </c>
      <c r="AG4991">
        <v>13.449951</v>
      </c>
      <c r="AH4991">
        <v>390.752659682743</v>
      </c>
      <c r="AI4991">
        <v>88.029446831323696</v>
      </c>
      <c r="AJ4991">
        <v>88.341585546605401</v>
      </c>
      <c r="AK4991">
        <v>391.14771579886099</v>
      </c>
      <c r="AL4991">
        <v>87.334788063907993</v>
      </c>
      <c r="AM4991">
        <v>94.039993181155893</v>
      </c>
      <c r="AN4991">
        <v>1.00000000346532</v>
      </c>
    </row>
    <row r="4992" spans="1:40" x14ac:dyDescent="0.25">
      <c r="A4992" t="str">
        <f>"20190305135730275"</f>
        <v>20190305135730275</v>
      </c>
      <c r="B4992" t="str">
        <f>"1551765450267143"</f>
        <v>1551765450267143</v>
      </c>
      <c r="C4992" t="s">
        <v>40</v>
      </c>
      <c r="D4992">
        <v>3.934402</v>
      </c>
      <c r="E4992">
        <v>0.53964559999999995</v>
      </c>
      <c r="F4992" t="s">
        <v>96</v>
      </c>
      <c r="G4992">
        <v>-185.7184</v>
      </c>
      <c r="H4992">
        <v>14.9599799999999</v>
      </c>
      <c r="I4992">
        <v>391.87</v>
      </c>
      <c r="J4992">
        <v>-187.35570000000001</v>
      </c>
      <c r="K4992">
        <v>1.1057570000000001</v>
      </c>
      <c r="L4992">
        <v>1.309601</v>
      </c>
      <c r="M4992">
        <v>-2.5063410000000001E-2</v>
      </c>
      <c r="N4992">
        <v>-4.5071870000000002E-3</v>
      </c>
      <c r="O4992">
        <v>0.99967569999999994</v>
      </c>
      <c r="P4992">
        <v>-9.5357049999999999E-2</v>
      </c>
      <c r="Q4992">
        <v>3.6191910000000001E-2</v>
      </c>
      <c r="R4992">
        <v>0.99478500000000003</v>
      </c>
      <c r="S4992">
        <v>1.2451169999999999E-2</v>
      </c>
      <c r="T4992">
        <v>0.1067061</v>
      </c>
      <c r="U4992">
        <v>3.0144959999999998</v>
      </c>
      <c r="V4992">
        <v>-7.0168510000000003E-2</v>
      </c>
      <c r="W4992">
        <v>4.1072079999999997E-2</v>
      </c>
      <c r="X4992">
        <v>0.9966893</v>
      </c>
      <c r="Y4992">
        <v>2.9191290000000002E-2</v>
      </c>
      <c r="Z4992">
        <v>3.9855399999999999E-2</v>
      </c>
      <c r="AA4992">
        <v>0.99877890000000003</v>
      </c>
      <c r="AB4992">
        <v>44</v>
      </c>
      <c r="AC4992">
        <v>1.63730000000001</v>
      </c>
      <c r="AD4992">
        <v>13.8542229999999</v>
      </c>
      <c r="AE4992">
        <v>390.56039900000002</v>
      </c>
      <c r="AF4992">
        <v>11.4113018082151</v>
      </c>
      <c r="AG4992">
        <v>13.8542229999999</v>
      </c>
      <c r="AH4992">
        <v>389.90605605932001</v>
      </c>
      <c r="AI4992">
        <v>87.9658808252656</v>
      </c>
      <c r="AJ4992">
        <v>88.323614515023806</v>
      </c>
      <c r="AK4992">
        <v>390.31895912910102</v>
      </c>
      <c r="AL4992">
        <v>87.646081146472497</v>
      </c>
      <c r="AM4992">
        <v>94.027069431427904</v>
      </c>
      <c r="AN4992">
        <v>1.00000004814281</v>
      </c>
    </row>
    <row r="4993" spans="1:40" x14ac:dyDescent="0.25">
      <c r="A4993" t="str">
        <f>"20190305135730297"</f>
        <v>20190305135730297</v>
      </c>
      <c r="B4993" t="str">
        <f>"1551765450287641"</f>
        <v>1551765450287641</v>
      </c>
      <c r="C4993" t="s">
        <v>40</v>
      </c>
      <c r="D4993">
        <v>3.9381309999999998</v>
      </c>
      <c r="E4993">
        <v>0.53975309999999999</v>
      </c>
      <c r="F4993" t="s">
        <v>96</v>
      </c>
      <c r="G4993">
        <v>-183.55690000000001</v>
      </c>
      <c r="H4993">
        <v>13.10568</v>
      </c>
      <c r="I4993">
        <v>391.87</v>
      </c>
      <c r="J4993">
        <v>-187.36529999999999</v>
      </c>
      <c r="K4993">
        <v>1.105629</v>
      </c>
      <c r="L4993">
        <v>1.7468870000000001</v>
      </c>
      <c r="M4993">
        <v>-2.2661859999999999E-2</v>
      </c>
      <c r="N4993">
        <v>-4.5511650000000002E-3</v>
      </c>
      <c r="O4993">
        <v>0.99973290000000004</v>
      </c>
      <c r="P4993">
        <v>-9.3159660000000005E-2</v>
      </c>
      <c r="Q4993">
        <v>3.443558E-2</v>
      </c>
      <c r="R4993">
        <v>0.99505549999999998</v>
      </c>
      <c r="S4993">
        <v>2.9327389999999998E-2</v>
      </c>
      <c r="T4993">
        <v>9.2640639999999996E-2</v>
      </c>
      <c r="U4993">
        <v>3.0151669999999999</v>
      </c>
      <c r="V4993">
        <v>-7.0356269999999999E-2</v>
      </c>
      <c r="W4993">
        <v>3.9384490000000001E-2</v>
      </c>
      <c r="X4993">
        <v>0.99674419999999997</v>
      </c>
      <c r="Y4993">
        <v>3.2380579999999999E-2</v>
      </c>
      <c r="Z4993">
        <v>3.5238980000000003E-2</v>
      </c>
      <c r="AA4993">
        <v>0.99885420000000003</v>
      </c>
      <c r="AB4993">
        <v>45</v>
      </c>
      <c r="AC4993">
        <v>3.80839999999997</v>
      </c>
      <c r="AD4993">
        <v>12.000050999999999</v>
      </c>
      <c r="AE4993">
        <v>390.12311299999999</v>
      </c>
      <c r="AF4993">
        <v>12.636473290057699</v>
      </c>
      <c r="AG4993">
        <v>12.000050999999999</v>
      </c>
      <c r="AH4993">
        <v>389.56805886931102</v>
      </c>
      <c r="AI4993">
        <v>88.236575511270303</v>
      </c>
      <c r="AJ4993">
        <v>88.142140244478995</v>
      </c>
      <c r="AK4993">
        <v>389.95763125295599</v>
      </c>
      <c r="AL4993">
        <v>87.742851324644803</v>
      </c>
      <c r="AM4993">
        <v>94.037587981862401</v>
      </c>
      <c r="AN4993">
        <v>1.0000000715072499</v>
      </c>
    </row>
    <row r="4994" spans="1:40" x14ac:dyDescent="0.25">
      <c r="A4994" t="str">
        <f>"20190305135730333"</f>
        <v>20190305135730333</v>
      </c>
      <c r="B4994" t="str">
        <f>"1551765450327657"</f>
        <v>1551765450327657</v>
      </c>
      <c r="C4994" t="s">
        <v>40</v>
      </c>
      <c r="D4994">
        <v>3.9510040000000002</v>
      </c>
      <c r="E4994">
        <v>0.54004259999999904</v>
      </c>
      <c r="F4994" t="s">
        <v>96</v>
      </c>
      <c r="G4994">
        <v>-182.59569999999999</v>
      </c>
      <c r="H4994">
        <v>12.579420000000001</v>
      </c>
      <c r="I4994">
        <v>391.87</v>
      </c>
      <c r="J4994">
        <v>-187.37889999999999</v>
      </c>
      <c r="K4994">
        <v>1.1054649999999999</v>
      </c>
      <c r="L4994">
        <v>2.4601440000000001</v>
      </c>
      <c r="M4994">
        <v>-1.8703319999999999E-2</v>
      </c>
      <c r="N4994">
        <v>-4.6263759999999998E-3</v>
      </c>
      <c r="O4994">
        <v>0.99981439999999999</v>
      </c>
      <c r="P4994">
        <v>-8.8480790000000004E-2</v>
      </c>
      <c r="Q4994">
        <v>3.6024359999999998E-2</v>
      </c>
      <c r="R4994">
        <v>0.99542620000000004</v>
      </c>
      <c r="S4994">
        <v>3.6865229999999999E-2</v>
      </c>
      <c r="T4994">
        <v>8.8681700000000002E-2</v>
      </c>
      <c r="U4994">
        <v>3.0152890000000001</v>
      </c>
      <c r="V4994">
        <v>-6.9590579999999999E-2</v>
      </c>
      <c r="W4994">
        <v>4.107541E-2</v>
      </c>
      <c r="X4994">
        <v>0.99672959999999999</v>
      </c>
      <c r="Y4994">
        <v>3.0919869999999999E-2</v>
      </c>
      <c r="Z4994">
        <v>3.4006719999999997E-2</v>
      </c>
      <c r="AA4994">
        <v>0.99894320000000003</v>
      </c>
      <c r="AB4994">
        <v>45</v>
      </c>
      <c r="AC4994">
        <v>4.7831999999999901</v>
      </c>
      <c r="AD4994">
        <v>11.473954999999901</v>
      </c>
      <c r="AE4994">
        <v>389.40985599999999</v>
      </c>
      <c r="AF4994">
        <v>12.0552335991108</v>
      </c>
      <c r="AG4994">
        <v>11.473954999999901</v>
      </c>
      <c r="AH4994">
        <v>388.91467631642502</v>
      </c>
      <c r="AI4994">
        <v>88.310932255889895</v>
      </c>
      <c r="AJ4994">
        <v>88.224564517099196</v>
      </c>
      <c r="AK4994">
        <v>389.270607360459</v>
      </c>
      <c r="AL4994">
        <v>87.645889998849697</v>
      </c>
      <c r="AM4994">
        <v>93.993848040537301</v>
      </c>
      <c r="AN4994">
        <v>0.99999996682378101</v>
      </c>
    </row>
    <row r="4995" spans="1:40" x14ac:dyDescent="0.25">
      <c r="A4995" t="str">
        <f>"20190305135730354"</f>
        <v>20190305135730354</v>
      </c>
      <c r="B4995" t="str">
        <f>"1551765450347176"</f>
        <v>1551765450347176</v>
      </c>
      <c r="C4995" t="s">
        <v>40</v>
      </c>
      <c r="D4995">
        <v>3.9235359999999999</v>
      </c>
      <c r="E4995">
        <v>0.54011529999999996</v>
      </c>
      <c r="F4995" t="s">
        <v>96</v>
      </c>
      <c r="G4995">
        <v>-180.4949</v>
      </c>
      <c r="H4995">
        <v>13.60346</v>
      </c>
      <c r="I4995">
        <v>391.87</v>
      </c>
      <c r="J4995">
        <v>-187.38579999999999</v>
      </c>
      <c r="K4995">
        <v>1.1053770000000001</v>
      </c>
      <c r="L4995">
        <v>2.9039920000000001</v>
      </c>
      <c r="M4995">
        <v>-1.62279E-2</v>
      </c>
      <c r="N4995">
        <v>-4.6741320000000001E-3</v>
      </c>
      <c r="O4995">
        <v>0.99985740000000001</v>
      </c>
      <c r="P4995">
        <v>-8.5218929999999998E-2</v>
      </c>
      <c r="Q4995">
        <v>3.6930570000000003E-2</v>
      </c>
      <c r="R4995">
        <v>0.99567760000000005</v>
      </c>
      <c r="S4995">
        <v>5.3298949999999998E-2</v>
      </c>
      <c r="T4995">
        <v>9.6766000000000005E-2</v>
      </c>
      <c r="U4995">
        <v>3.015015</v>
      </c>
      <c r="V4995">
        <v>-6.8776980000000001E-2</v>
      </c>
      <c r="W4995">
        <v>4.2039699999999999E-2</v>
      </c>
      <c r="X4995">
        <v>0.99674589999999996</v>
      </c>
      <c r="Y4995">
        <v>3.3888540000000002E-2</v>
      </c>
      <c r="Z4995">
        <v>3.6732180000000003E-2</v>
      </c>
      <c r="AA4995">
        <v>0.99875040000000004</v>
      </c>
      <c r="AB4995">
        <v>45</v>
      </c>
      <c r="AC4995">
        <v>6.8908999999999798</v>
      </c>
      <c r="AD4995">
        <v>12.498082999999999</v>
      </c>
      <c r="AE4995">
        <v>388.96600799999999</v>
      </c>
      <c r="AF4995">
        <v>13.188550899675301</v>
      </c>
      <c r="AG4995">
        <v>12.498082999999999</v>
      </c>
      <c r="AH4995">
        <v>388.402086554542</v>
      </c>
      <c r="AI4995">
        <v>88.158021317010906</v>
      </c>
      <c r="AJ4995">
        <v>88.055216206747701</v>
      </c>
      <c r="AK4995">
        <v>388.82685194496298</v>
      </c>
      <c r="AL4995">
        <v>87.590592554945999</v>
      </c>
      <c r="AM4995">
        <v>93.947239142102305</v>
      </c>
      <c r="AN4995">
        <v>0.99999999926041006</v>
      </c>
    </row>
    <row r="4996" spans="1:40" x14ac:dyDescent="0.25">
      <c r="A4996" t="str">
        <f>"20190305135730377"</f>
        <v>20190305135730377</v>
      </c>
      <c r="B4996" t="str">
        <f>"1551765450367672"</f>
        <v>1551765450367672</v>
      </c>
      <c r="C4996" t="s">
        <v>40</v>
      </c>
      <c r="D4996">
        <v>3.9377490000000002</v>
      </c>
      <c r="E4996">
        <v>0.54018909999999998</v>
      </c>
      <c r="F4996" t="s">
        <v>96</v>
      </c>
      <c r="G4996">
        <v>-179.18020000000001</v>
      </c>
      <c r="H4996">
        <v>14.0933799999999</v>
      </c>
      <c r="I4996">
        <v>391.87</v>
      </c>
      <c r="J4996">
        <v>-187.39189999999999</v>
      </c>
      <c r="K4996">
        <v>1.10531</v>
      </c>
      <c r="L4996">
        <v>3.3626100000000001</v>
      </c>
      <c r="M4996">
        <v>-1.366708E-2</v>
      </c>
      <c r="N4996">
        <v>-4.7235369999999999E-3</v>
      </c>
      <c r="O4996">
        <v>0.99989550000000005</v>
      </c>
      <c r="P4996">
        <v>-8.2774940000000005E-2</v>
      </c>
      <c r="Q4996">
        <v>3.7907509999999998E-2</v>
      </c>
      <c r="R4996">
        <v>0.99584700000000004</v>
      </c>
      <c r="S4996">
        <v>6.3598630000000003E-2</v>
      </c>
      <c r="T4996">
        <v>0.1006655</v>
      </c>
      <c r="U4996">
        <v>3.0147400000000002</v>
      </c>
      <c r="V4996">
        <v>-6.8868499999999999E-2</v>
      </c>
      <c r="W4996">
        <v>4.3081130000000002E-2</v>
      </c>
      <c r="X4996">
        <v>0.99669509999999994</v>
      </c>
      <c r="Y4996">
        <v>3.4740479999999997E-2</v>
      </c>
      <c r="Z4996">
        <v>3.8075249999999998E-2</v>
      </c>
      <c r="AA4996">
        <v>0.99867079999999997</v>
      </c>
      <c r="AB4996">
        <v>45</v>
      </c>
      <c r="AC4996">
        <v>8.2116999999999791</v>
      </c>
      <c r="AD4996">
        <v>12.98807</v>
      </c>
      <c r="AE4996">
        <v>388.50738999999999</v>
      </c>
      <c r="AF4996">
        <v>13.5056661973238</v>
      </c>
      <c r="AG4996">
        <v>12.98807</v>
      </c>
      <c r="AH4996">
        <v>387.92551559963999</v>
      </c>
      <c r="AI4996">
        <v>88.083566020090203</v>
      </c>
      <c r="AJ4996">
        <v>88.006046978599599</v>
      </c>
      <c r="AK4996">
        <v>388.37777824562198</v>
      </c>
      <c r="AL4996">
        <v>87.530868865315895</v>
      </c>
      <c r="AM4996">
        <v>93.952675821823206</v>
      </c>
      <c r="AN4996">
        <v>0.99999998820916802</v>
      </c>
    </row>
    <row r="4997" spans="1:40" x14ac:dyDescent="0.25">
      <c r="A4997" t="str">
        <f>"20190305135730399"</f>
        <v>20190305135730399</v>
      </c>
      <c r="B4997" t="str">
        <f>"1551765450387192"</f>
        <v>1551765450387192</v>
      </c>
      <c r="C4997" t="s">
        <v>40</v>
      </c>
      <c r="D4997">
        <v>3.965497</v>
      </c>
      <c r="E4997">
        <v>0.54021019999999997</v>
      </c>
      <c r="F4997" t="s">
        <v>96</v>
      </c>
      <c r="G4997">
        <v>-178.16079999999999</v>
      </c>
      <c r="H4997">
        <v>14.62379</v>
      </c>
      <c r="I4997">
        <v>391.87</v>
      </c>
      <c r="J4997">
        <v>-187.39670000000001</v>
      </c>
      <c r="K4997">
        <v>1.1052519999999999</v>
      </c>
      <c r="L4997">
        <v>3.8169249999999999</v>
      </c>
      <c r="M4997">
        <v>-1.113169E-2</v>
      </c>
      <c r="N4997">
        <v>-4.772264E-3</v>
      </c>
      <c r="O4997">
        <v>0.9999266</v>
      </c>
      <c r="P4997">
        <v>-8.1665520000000005E-2</v>
      </c>
      <c r="Q4997">
        <v>4.0888689999999998E-2</v>
      </c>
      <c r="R4997">
        <v>0.9958207</v>
      </c>
      <c r="S4997">
        <v>7.1624759999999996E-2</v>
      </c>
      <c r="T4997">
        <v>0.1048912</v>
      </c>
      <c r="U4997">
        <v>3.014465</v>
      </c>
      <c r="V4997">
        <v>-7.0258020000000004E-2</v>
      </c>
      <c r="W4997">
        <v>4.6131279999999997E-2</v>
      </c>
      <c r="X4997">
        <v>0.99646159999999995</v>
      </c>
      <c r="Y4997">
        <v>3.486479E-2</v>
      </c>
      <c r="Z4997">
        <v>3.9525820000000003E-2</v>
      </c>
      <c r="AA4997">
        <v>0.99861009999999995</v>
      </c>
      <c r="AB4997">
        <v>45</v>
      </c>
      <c r="AC4997">
        <v>9.2359000000000098</v>
      </c>
      <c r="AD4997">
        <v>13.518537999999999</v>
      </c>
      <c r="AE4997">
        <v>388.05307499999998</v>
      </c>
      <c r="AF4997">
        <v>13.5386424349674</v>
      </c>
      <c r="AG4997">
        <v>13.518537999999999</v>
      </c>
      <c r="AH4997">
        <v>387.456266175721</v>
      </c>
      <c r="AI4997">
        <v>88.002950729215797</v>
      </c>
      <c r="AJ4997">
        <v>87.998763561967095</v>
      </c>
      <c r="AK4997">
        <v>387.92834893504602</v>
      </c>
      <c r="AL4997">
        <v>87.355933988586003</v>
      </c>
      <c r="AM4997">
        <v>94.033107951794193</v>
      </c>
      <c r="AN4997">
        <v>1.00000000232165</v>
      </c>
    </row>
    <row r="4998" spans="1:40" x14ac:dyDescent="0.25">
      <c r="A4998" t="str">
        <f>"20190305135730424"</f>
        <v>20190305135730424</v>
      </c>
      <c r="B4998" t="str">
        <f>"1551765450417448"</f>
        <v>1551765450417448</v>
      </c>
      <c r="C4998" t="s">
        <v>40</v>
      </c>
      <c r="D4998">
        <v>3.9327480000000001</v>
      </c>
      <c r="E4998">
        <v>0.54024989999999995</v>
      </c>
      <c r="F4998" t="s">
        <v>50</v>
      </c>
      <c r="G4998">
        <v>-182.3673</v>
      </c>
      <c r="H4998">
        <v>8.8263459999999991</v>
      </c>
      <c r="I4998">
        <v>205.44990000000001</v>
      </c>
      <c r="J4998">
        <v>-187.4006</v>
      </c>
      <c r="K4998">
        <v>1.1052029999999999</v>
      </c>
      <c r="L4998">
        <v>4.2973330000000001</v>
      </c>
      <c r="M4998">
        <v>-8.4608970000000002E-3</v>
      </c>
      <c r="N4998">
        <v>-4.8231849999999998E-3</v>
      </c>
      <c r="O4998">
        <v>0.99995259999999997</v>
      </c>
      <c r="P4998">
        <v>-7.96843E-2</v>
      </c>
      <c r="Q4998">
        <v>4.1552409999999998E-2</v>
      </c>
      <c r="R4998">
        <v>0.99595370000000005</v>
      </c>
      <c r="S4998">
        <v>7.5180049999999998E-2</v>
      </c>
      <c r="T4998">
        <v>0.1154149</v>
      </c>
      <c r="U4998">
        <v>3.014008</v>
      </c>
      <c r="V4998">
        <v>-7.0925559999999999E-2</v>
      </c>
      <c r="W4998">
        <v>4.6861E-2</v>
      </c>
      <c r="X4998">
        <v>0.9963803</v>
      </c>
      <c r="Y4998">
        <v>3.3372819999999997E-2</v>
      </c>
      <c r="Z4998">
        <v>4.3065850000000003E-2</v>
      </c>
      <c r="AA4998">
        <v>0.99851469999999998</v>
      </c>
      <c r="AB4998">
        <v>45</v>
      </c>
      <c r="AC4998">
        <v>5.0332999999999899</v>
      </c>
      <c r="AD4998">
        <v>7.7211429999999996</v>
      </c>
      <c r="AE4998">
        <v>201.152567</v>
      </c>
      <c r="AF4998">
        <v>6.7251682705905402</v>
      </c>
      <c r="AG4998">
        <v>7.7211429999999996</v>
      </c>
      <c r="AH4998">
        <v>200.80710187025801</v>
      </c>
      <c r="AI4998">
        <v>87.799263288474904</v>
      </c>
      <c r="AJ4998">
        <v>88.081841784367995</v>
      </c>
      <c r="AK4998">
        <v>201.067988747653</v>
      </c>
      <c r="AL4998">
        <v>87.314078959446206</v>
      </c>
      <c r="AM4998">
        <v>94.071630402198807</v>
      </c>
      <c r="AN4998">
        <v>1.0000000453052</v>
      </c>
    </row>
    <row r="4999" spans="1:40" x14ac:dyDescent="0.25">
      <c r="A4999" t="str">
        <f>"20190305135730448"</f>
        <v>20190305135730448</v>
      </c>
      <c r="B4999" t="str">
        <f>"1551765450437944"</f>
        <v>1551765450437944</v>
      </c>
      <c r="C4999" t="s">
        <v>40</v>
      </c>
      <c r="D4999">
        <v>3.9195730000000002</v>
      </c>
      <c r="E4999">
        <v>0.54035230000000001</v>
      </c>
      <c r="F4999" t="s">
        <v>50</v>
      </c>
      <c r="G4999">
        <v>-181.9682</v>
      </c>
      <c r="H4999">
        <v>9.0256640000000008</v>
      </c>
      <c r="I4999">
        <v>205.49119999999999</v>
      </c>
      <c r="J4999">
        <v>-187.40350000000001</v>
      </c>
      <c r="K4999">
        <v>1.105154</v>
      </c>
      <c r="L4999">
        <v>4.8060609999999997</v>
      </c>
      <c r="M4999">
        <v>-5.6569659999999898E-3</v>
      </c>
      <c r="N4999">
        <v>-4.8760629999999999E-3</v>
      </c>
      <c r="O4999">
        <v>0.99997210000000003</v>
      </c>
      <c r="P4999">
        <v>-7.6856869999999994E-2</v>
      </c>
      <c r="Q4999">
        <v>4.050757E-2</v>
      </c>
      <c r="R4999">
        <v>0.99621890000000002</v>
      </c>
      <c r="S4999">
        <v>8.1375119999999995E-2</v>
      </c>
      <c r="T4999">
        <v>0.11864379999999999</v>
      </c>
      <c r="U4999">
        <v>3.013763</v>
      </c>
      <c r="V4999">
        <v>-7.089268E-2</v>
      </c>
      <c r="W4999">
        <v>4.5876439999999997E-2</v>
      </c>
      <c r="X4999">
        <v>0.99642839999999999</v>
      </c>
      <c r="Y4999">
        <v>3.2622249999999998E-2</v>
      </c>
      <c r="Z4999">
        <v>4.4190470000000003E-2</v>
      </c>
      <c r="AA4999">
        <v>0.99849030000000005</v>
      </c>
      <c r="AB4999">
        <v>46</v>
      </c>
      <c r="AC4999">
        <v>5.4353000000000096</v>
      </c>
      <c r="AD4999">
        <v>7.9205100000000002</v>
      </c>
      <c r="AE4999">
        <v>200.68513899999999</v>
      </c>
      <c r="AF4999">
        <v>6.56028426841364</v>
      </c>
      <c r="AG4999">
        <v>7.9205100000000002</v>
      </c>
      <c r="AH4999">
        <v>200.33934599071901</v>
      </c>
      <c r="AI4999">
        <v>87.737175214864905</v>
      </c>
      <c r="AJ4999">
        <v>88.124470578891504</v>
      </c>
      <c r="AK4999">
        <v>200.60315391421801</v>
      </c>
      <c r="AL4999">
        <v>87.370550682847195</v>
      </c>
      <c r="AM4999">
        <v>94.069553404299398</v>
      </c>
      <c r="AN4999">
        <v>0.99999998807560697</v>
      </c>
    </row>
    <row r="5000" spans="1:40" x14ac:dyDescent="0.25">
      <c r="A5000" t="str">
        <f>"20190305135730488"</f>
        <v>20190305135730488</v>
      </c>
      <c r="B5000" t="str">
        <f>"1551765450476984"</f>
        <v>1551765450476984</v>
      </c>
      <c r="C5000" t="s">
        <v>40</v>
      </c>
      <c r="D5000">
        <v>3.9031449999999999</v>
      </c>
      <c r="E5000">
        <v>0.54022369999999897</v>
      </c>
      <c r="F5000" t="s">
        <v>96</v>
      </c>
      <c r="G5000">
        <v>-175.761</v>
      </c>
      <c r="H5000">
        <v>16.054739999999999</v>
      </c>
      <c r="I5000">
        <v>391.00349999999997</v>
      </c>
      <c r="J5000">
        <v>-187.405</v>
      </c>
      <c r="K5000">
        <v>1.1051219999999999</v>
      </c>
      <c r="L5000">
        <v>5.6330260000000001</v>
      </c>
      <c r="M5000">
        <v>-1.2245699999999999E-3</v>
      </c>
      <c r="N5000">
        <v>-4.9584109999999898E-3</v>
      </c>
      <c r="O5000">
        <v>0.99998690000000001</v>
      </c>
      <c r="P5000">
        <v>-7.5569150000000002E-2</v>
      </c>
      <c r="Q5000">
        <v>3.8198660000000002E-2</v>
      </c>
      <c r="R5000">
        <v>0.99640859999999998</v>
      </c>
      <c r="S5000">
        <v>9.0850829999999994E-2</v>
      </c>
      <c r="T5000">
        <v>0.1166571</v>
      </c>
      <c r="U5000">
        <v>3.0136409999999998</v>
      </c>
      <c r="V5000">
        <v>-7.4035530000000002E-2</v>
      </c>
      <c r="W5000">
        <v>4.3674699999999997E-2</v>
      </c>
      <c r="X5000">
        <v>0.99629880000000004</v>
      </c>
      <c r="Y5000">
        <v>3.1330799999999999E-2</v>
      </c>
      <c r="Z5000">
        <v>4.3616740000000001E-2</v>
      </c>
      <c r="AA5000">
        <v>0.99855689999999997</v>
      </c>
      <c r="AB5000">
        <v>46</v>
      </c>
      <c r="AC5000">
        <v>11.644</v>
      </c>
      <c r="AD5000">
        <v>14.949617999999999</v>
      </c>
      <c r="AE5000">
        <v>385.370474</v>
      </c>
      <c r="AF5000">
        <v>12.0977211454281</v>
      </c>
      <c r="AG5000">
        <v>14.949617999999999</v>
      </c>
      <c r="AH5000">
        <v>384.77740838194802</v>
      </c>
      <c r="AI5000">
        <v>87.776124630033095</v>
      </c>
      <c r="AJ5000">
        <v>88.199166361411301</v>
      </c>
      <c r="AK5000">
        <v>385.25770587541399</v>
      </c>
      <c r="AL5000">
        <v>87.496827844008394</v>
      </c>
      <c r="AM5000">
        <v>94.249870740281494</v>
      </c>
      <c r="AN5000">
        <v>1.00000001900195</v>
      </c>
    </row>
    <row r="5001" spans="1:40" x14ac:dyDescent="0.25">
      <c r="A5001" t="str">
        <f>"20190305135730512"</f>
        <v>20190305135730512</v>
      </c>
      <c r="B5001" t="str">
        <f>"1551765450507241"</f>
        <v>1551765450507241</v>
      </c>
      <c r="C5001" t="s">
        <v>40</v>
      </c>
      <c r="D5001">
        <v>3.896296</v>
      </c>
      <c r="E5001">
        <v>0.54022519999999996</v>
      </c>
      <c r="F5001" t="s">
        <v>96</v>
      </c>
      <c r="G5001">
        <v>-175.44820000000001</v>
      </c>
      <c r="H5001">
        <v>15.142899999999999</v>
      </c>
      <c r="I5001">
        <v>391.00349999999997</v>
      </c>
      <c r="J5001">
        <v>-187.40430000000001</v>
      </c>
      <c r="K5001">
        <v>1.1051310000000001</v>
      </c>
      <c r="L5001">
        <v>6.0996699999999997</v>
      </c>
      <c r="M5001">
        <v>1.185033E-3</v>
      </c>
      <c r="N5001">
        <v>-5.0031520000000003E-3</v>
      </c>
      <c r="O5001">
        <v>0.99998679999999995</v>
      </c>
      <c r="P5001">
        <v>-7.4694689999999994E-2</v>
      </c>
      <c r="Q5001">
        <v>3.7665789999999998E-2</v>
      </c>
      <c r="R5001">
        <v>0.99649480000000001</v>
      </c>
      <c r="S5001">
        <v>9.3505859999999996E-2</v>
      </c>
      <c r="T5001">
        <v>0.10977919999999999</v>
      </c>
      <c r="U5001">
        <v>3.0137019999999999</v>
      </c>
      <c r="V5001">
        <v>-7.5567709999999996E-2</v>
      </c>
      <c r="W5001">
        <v>4.3194030000000001E-2</v>
      </c>
      <c r="X5001">
        <v>0.99620469999999905</v>
      </c>
      <c r="Y5001">
        <v>2.980325E-2</v>
      </c>
      <c r="Z5001">
        <v>4.1384980000000002E-2</v>
      </c>
      <c r="AA5001">
        <v>0.99869870000000005</v>
      </c>
      <c r="AB5001">
        <v>46</v>
      </c>
      <c r="AC5001">
        <v>11.9560999999999</v>
      </c>
      <c r="AD5001">
        <v>14.037769000000001</v>
      </c>
      <c r="AE5001">
        <v>384.90383000000003</v>
      </c>
      <c r="AF5001">
        <v>11.4847008274653</v>
      </c>
      <c r="AG5001">
        <v>14.037769000000001</v>
      </c>
      <c r="AH5001">
        <v>384.40691278387197</v>
      </c>
      <c r="AI5001">
        <v>87.909534396524094</v>
      </c>
      <c r="AJ5001">
        <v>88.288716500910098</v>
      </c>
      <c r="AK5001">
        <v>384.834551343329</v>
      </c>
      <c r="AL5001">
        <v>87.524394182958702</v>
      </c>
      <c r="AM5001">
        <v>94.337898539824295</v>
      </c>
      <c r="AN5001">
        <v>1.0000000036621799</v>
      </c>
    </row>
    <row r="5002" spans="1:40" x14ac:dyDescent="0.25">
      <c r="A5002" t="str">
        <f>"20190305135730534"</f>
        <v>20190305135730534</v>
      </c>
      <c r="B5002" t="str">
        <f>"1551765450527736"</f>
        <v>1551765450527736</v>
      </c>
      <c r="C5002" t="s">
        <v>40</v>
      </c>
      <c r="D5002">
        <v>3.8601999999999999</v>
      </c>
      <c r="E5002">
        <v>0.54008869999999998</v>
      </c>
      <c r="F5002" t="s">
        <v>96</v>
      </c>
      <c r="G5002">
        <v>-175.13210000000001</v>
      </c>
      <c r="H5002">
        <v>15.188040000000001</v>
      </c>
      <c r="I5002">
        <v>391.00349999999997</v>
      </c>
      <c r="J5002">
        <v>-187.4024</v>
      </c>
      <c r="K5002">
        <v>1.1051709999999999</v>
      </c>
      <c r="L5002">
        <v>6.591583</v>
      </c>
      <c r="M5002">
        <v>3.6088079999999998E-3</v>
      </c>
      <c r="N5002">
        <v>-5.048889E-3</v>
      </c>
      <c r="O5002">
        <v>0.99998069999999895</v>
      </c>
      <c r="P5002">
        <v>-7.3308310000000002E-2</v>
      </c>
      <c r="Q5002">
        <v>3.6808800000000003E-2</v>
      </c>
      <c r="R5002">
        <v>0.99662980000000001</v>
      </c>
      <c r="S5002">
        <v>9.6084589999999998E-2</v>
      </c>
      <c r="T5002">
        <v>0.1102612</v>
      </c>
      <c r="U5002">
        <v>3.0135800000000001</v>
      </c>
      <c r="V5002">
        <v>-7.6606839999999995E-2</v>
      </c>
      <c r="W5002">
        <v>4.2381290000000002E-2</v>
      </c>
      <c r="X5002">
        <v>0.99616020000000005</v>
      </c>
      <c r="Y5002">
        <v>2.8235119999999999E-2</v>
      </c>
      <c r="Z5002">
        <v>4.1591490000000002E-2</v>
      </c>
      <c r="AA5002">
        <v>0.9987357</v>
      </c>
      <c r="AB5002">
        <v>46</v>
      </c>
      <c r="AC5002">
        <v>12.270299999999899</v>
      </c>
      <c r="AD5002">
        <v>14.082869000000001</v>
      </c>
      <c r="AE5002">
        <v>384.41191700000002</v>
      </c>
      <c r="AF5002">
        <v>10.8683618477225</v>
      </c>
      <c r="AG5002">
        <v>14.082869000000001</v>
      </c>
      <c r="AH5002">
        <v>383.93893108294498</v>
      </c>
      <c r="AI5002">
        <v>87.900174592931194</v>
      </c>
      <c r="AJ5002">
        <v>88.378531156660401</v>
      </c>
      <c r="AK5002">
        <v>384.35081799007298</v>
      </c>
      <c r="AL5002">
        <v>87.571003342062397</v>
      </c>
      <c r="AM5002">
        <v>94.397512173939305</v>
      </c>
      <c r="AN5002">
        <v>0.99999996287044401</v>
      </c>
    </row>
    <row r="5003" spans="1:40" x14ac:dyDescent="0.25">
      <c r="A5003" t="str">
        <f>"20190305135730555"</f>
        <v>20190305135730555</v>
      </c>
      <c r="B5003" t="str">
        <f>"1551765450547256"</f>
        <v>1551765450547256</v>
      </c>
      <c r="C5003" t="s">
        <v>40</v>
      </c>
      <c r="D5003">
        <v>3.905564</v>
      </c>
      <c r="E5003">
        <v>0.54001899999999903</v>
      </c>
      <c r="F5003" t="s">
        <v>96</v>
      </c>
      <c r="G5003">
        <v>-174.7328</v>
      </c>
      <c r="H5003">
        <v>14.9355799999999</v>
      </c>
      <c r="I5003">
        <v>391.00349999999997</v>
      </c>
      <c r="J5003">
        <v>-187.3999</v>
      </c>
      <c r="K5003">
        <v>1.1052169999999999</v>
      </c>
      <c r="L5003">
        <v>7.0187679999999997</v>
      </c>
      <c r="M5003">
        <v>5.6190550000000004E-3</v>
      </c>
      <c r="N5003">
        <v>-5.0877980000000001E-3</v>
      </c>
      <c r="O5003">
        <v>0.99997130000000001</v>
      </c>
      <c r="P5003">
        <v>-7.2561E-2</v>
      </c>
      <c r="Q5003">
        <v>3.524468E-2</v>
      </c>
      <c r="R5003">
        <v>0.99674110000000005</v>
      </c>
      <c r="S5003">
        <v>9.9319459999999998E-2</v>
      </c>
      <c r="T5003">
        <v>0.1084185</v>
      </c>
      <c r="U5003">
        <v>3.013458</v>
      </c>
      <c r="V5003">
        <v>-7.7879530000000002E-2</v>
      </c>
      <c r="W5003">
        <v>4.085387E-2</v>
      </c>
      <c r="X5003">
        <v>0.99612529999999999</v>
      </c>
      <c r="Y5003">
        <v>2.7298570000000001E-2</v>
      </c>
      <c r="Z5003">
        <v>4.102111E-2</v>
      </c>
      <c r="AA5003">
        <v>0.99878529999999999</v>
      </c>
      <c r="AB5003">
        <v>46</v>
      </c>
      <c r="AC5003">
        <v>12.6671</v>
      </c>
      <c r="AD5003">
        <v>13.830362999999901</v>
      </c>
      <c r="AE5003">
        <v>383.98473200000001</v>
      </c>
      <c r="AF5003">
        <v>10.495639674295299</v>
      </c>
      <c r="AG5003">
        <v>13.830362999999901</v>
      </c>
      <c r="AH5003">
        <v>383.55280711054502</v>
      </c>
      <c r="AI5003">
        <v>87.935663332377501</v>
      </c>
      <c r="AJ5003">
        <v>88.4325344153727</v>
      </c>
      <c r="AK5003">
        <v>383.94556024945001</v>
      </c>
      <c r="AL5003">
        <v>87.658593899223902</v>
      </c>
      <c r="AM5003">
        <v>94.470431494625998</v>
      </c>
      <c r="AN5003">
        <v>0.99999993659354103</v>
      </c>
    </row>
    <row r="5004" spans="1:40" x14ac:dyDescent="0.25">
      <c r="A5004" t="str">
        <f>"20190305135730578"</f>
        <v>20190305135730578</v>
      </c>
      <c r="B5004" t="str">
        <f>"1551765450567752"</f>
        <v>1551765450567752</v>
      </c>
      <c r="C5004" t="s">
        <v>40</v>
      </c>
      <c r="D5004">
        <v>3.8473000000000002</v>
      </c>
      <c r="E5004">
        <v>0.5399659</v>
      </c>
      <c r="F5004" t="s">
        <v>96</v>
      </c>
      <c r="G5004">
        <v>-174.53639999999999</v>
      </c>
      <c r="H5004">
        <v>14.313129999999999</v>
      </c>
      <c r="I5004">
        <v>391.00349999999997</v>
      </c>
      <c r="J5004">
        <v>-187.39619999999999</v>
      </c>
      <c r="K5004">
        <v>1.1053010000000001</v>
      </c>
      <c r="L5004">
        <v>7.4933170000000002</v>
      </c>
      <c r="M5004">
        <v>7.7208340000000002E-3</v>
      </c>
      <c r="N5004">
        <v>-5.1303199999999998E-3</v>
      </c>
      <c r="O5004">
        <v>0.99995699999999998</v>
      </c>
      <c r="P5004">
        <v>-7.1675959999999997E-2</v>
      </c>
      <c r="Q5004">
        <v>3.5814029999999997E-2</v>
      </c>
      <c r="R5004">
        <v>0.99678480000000003</v>
      </c>
      <c r="S5004">
        <v>0.1009521</v>
      </c>
      <c r="T5004">
        <v>0.10365489999999999</v>
      </c>
      <c r="U5004">
        <v>3.0134889999999999</v>
      </c>
      <c r="V5004">
        <v>-7.9092519999999999E-2</v>
      </c>
      <c r="W5004">
        <v>4.145799E-2</v>
      </c>
      <c r="X5004">
        <v>0.99600480000000002</v>
      </c>
      <c r="Y5004">
        <v>2.573953E-2</v>
      </c>
      <c r="Z5004">
        <v>3.9485949999999999E-2</v>
      </c>
      <c r="AA5004">
        <v>0.99888860000000002</v>
      </c>
      <c r="AB5004">
        <v>46</v>
      </c>
      <c r="AC5004">
        <v>12.8598</v>
      </c>
      <c r="AD5004">
        <v>13.207828999999901</v>
      </c>
      <c r="AE5004">
        <v>383.51018299999998</v>
      </c>
      <c r="AF5004">
        <v>9.88664611183391</v>
      </c>
      <c r="AG5004">
        <v>13.207828999999901</v>
      </c>
      <c r="AH5004">
        <v>383.144117398248</v>
      </c>
      <c r="AI5004">
        <v>88.026325439393901</v>
      </c>
      <c r="AJ5004">
        <v>88.521868418312806</v>
      </c>
      <c r="AK5004">
        <v>383.49916194838897</v>
      </c>
      <c r="AL5004">
        <v>87.623951113707193</v>
      </c>
      <c r="AM5004">
        <v>94.5403175083582</v>
      </c>
      <c r="AN5004">
        <v>0.99999997663891405</v>
      </c>
    </row>
    <row r="5005" spans="1:40" x14ac:dyDescent="0.25">
      <c r="A5005" t="str">
        <f>"20190305135730600"</f>
        <v>20190305135730600</v>
      </c>
      <c r="B5005" t="str">
        <f>"1551765450597032"</f>
        <v>1551765450597032</v>
      </c>
      <c r="C5005" t="s">
        <v>40</v>
      </c>
      <c r="D5005">
        <v>3.8355630000000001</v>
      </c>
      <c r="E5005">
        <v>0.54002779999999995</v>
      </c>
      <c r="F5005" t="s">
        <v>96</v>
      </c>
      <c r="G5005">
        <v>-174.2526</v>
      </c>
      <c r="H5005">
        <v>14.5697299999999</v>
      </c>
      <c r="I5005">
        <v>391.00349999999997</v>
      </c>
      <c r="J5005">
        <v>-187.39169999999999</v>
      </c>
      <c r="K5005">
        <v>1.105421</v>
      </c>
      <c r="L5005">
        <v>7.9620059999999997</v>
      </c>
      <c r="M5005">
        <v>9.6310690000000008E-3</v>
      </c>
      <c r="N5005">
        <v>-5.1715149999999998E-3</v>
      </c>
      <c r="O5005">
        <v>0.9999403</v>
      </c>
      <c r="P5005">
        <v>-7.0713529999999997E-2</v>
      </c>
      <c r="Q5005">
        <v>3.6313350000000001E-2</v>
      </c>
      <c r="R5005">
        <v>0.99683549999999999</v>
      </c>
      <c r="S5005">
        <v>0.1032715</v>
      </c>
      <c r="T5005">
        <v>0.10579230000000001</v>
      </c>
      <c r="U5005">
        <v>3.013306</v>
      </c>
      <c r="V5005">
        <v>-8.0041550000000003E-2</v>
      </c>
      <c r="W5005">
        <v>4.1982539999999999E-2</v>
      </c>
      <c r="X5005">
        <v>0.99590699999999999</v>
      </c>
      <c r="Y5005">
        <v>2.4598749999999999E-2</v>
      </c>
      <c r="Z5005">
        <v>4.0235750000000001E-2</v>
      </c>
      <c r="AA5005">
        <v>0.99888739999999998</v>
      </c>
      <c r="AB5005">
        <v>46</v>
      </c>
      <c r="AC5005">
        <v>13.1390999999999</v>
      </c>
      <c r="AD5005">
        <v>13.464308999999901</v>
      </c>
      <c r="AE5005">
        <v>383.041494</v>
      </c>
      <c r="AF5005">
        <v>9.4376949248837807</v>
      </c>
      <c r="AG5005">
        <v>13.464308999999901</v>
      </c>
      <c r="AH5005">
        <v>382.67799369390599</v>
      </c>
      <c r="AI5005">
        <v>87.985523647679997</v>
      </c>
      <c r="AJ5005">
        <v>88.587244352371499</v>
      </c>
      <c r="AK5005">
        <v>383.03107518834003</v>
      </c>
      <c r="AL5005">
        <v>87.593870400428102</v>
      </c>
      <c r="AM5005">
        <v>94.5950140973397</v>
      </c>
      <c r="AN5005">
        <v>0.99999996802012603</v>
      </c>
    </row>
    <row r="5006" spans="1:40" x14ac:dyDescent="0.25">
      <c r="A5006" t="str">
        <f>"20190305135730623"</f>
        <v>20190305135730623</v>
      </c>
      <c r="B5006" t="str">
        <f>"1551765450617528"</f>
        <v>1551765450617528</v>
      </c>
      <c r="C5006" t="s">
        <v>40</v>
      </c>
      <c r="D5006">
        <v>3.7817569999999998</v>
      </c>
      <c r="E5006">
        <v>0.53995170000000003</v>
      </c>
      <c r="F5006" t="s">
        <v>96</v>
      </c>
      <c r="G5006">
        <v>-173.84630000000001</v>
      </c>
      <c r="H5006">
        <v>14.933490000000001</v>
      </c>
      <c r="I5006">
        <v>391.00349999999997</v>
      </c>
      <c r="J5006">
        <v>-187.38630000000001</v>
      </c>
      <c r="K5006">
        <v>1.1055759999999999</v>
      </c>
      <c r="L5006">
        <v>8.4365229999999993</v>
      </c>
      <c r="M5006">
        <v>1.1366019999999999E-2</v>
      </c>
      <c r="N5006">
        <v>-5.2124210000000001E-3</v>
      </c>
      <c r="O5006">
        <v>0.99992179999999997</v>
      </c>
      <c r="P5006">
        <v>-6.9618719999999995E-2</v>
      </c>
      <c r="Q5006">
        <v>3.6804469999999999E-2</v>
      </c>
      <c r="R5006">
        <v>0.99689450000000002</v>
      </c>
      <c r="S5006">
        <v>0.1065521</v>
      </c>
      <c r="T5006">
        <v>0.10877589999999999</v>
      </c>
      <c r="U5006">
        <v>3.0131230000000002</v>
      </c>
      <c r="V5006">
        <v>-8.0686579999999994E-2</v>
      </c>
      <c r="W5006">
        <v>4.2490390000000003E-2</v>
      </c>
      <c r="X5006">
        <v>0.99583350000000004</v>
      </c>
      <c r="Y5006">
        <v>2.395106E-2</v>
      </c>
      <c r="Z5006">
        <v>4.1264780000000001E-2</v>
      </c>
      <c r="AA5006">
        <v>0.99886109999999995</v>
      </c>
      <c r="AB5006">
        <v>47</v>
      </c>
      <c r="AC5006">
        <v>13.5399999999999</v>
      </c>
      <c r="AD5006">
        <v>13.827914</v>
      </c>
      <c r="AE5006">
        <v>382.56697700000001</v>
      </c>
      <c r="AF5006">
        <v>9.1788254618825995</v>
      </c>
      <c r="AG5006">
        <v>13.827914</v>
      </c>
      <c r="AH5006">
        <v>382.19745870227302</v>
      </c>
      <c r="AI5006">
        <v>87.928537761981502</v>
      </c>
      <c r="AJ5006">
        <v>88.624253315968403</v>
      </c>
      <c r="AK5006">
        <v>382.557655106948</v>
      </c>
      <c r="AL5006">
        <v>87.564746969507397</v>
      </c>
      <c r="AM5006">
        <v>94.632223784221196</v>
      </c>
      <c r="AN5006">
        <v>1.00000005857834</v>
      </c>
    </row>
    <row r="5007" spans="1:40" x14ac:dyDescent="0.25">
      <c r="A5007" t="str">
        <f>"20190305135730648"</f>
        <v>20190305135730648</v>
      </c>
      <c r="B5007" t="str">
        <f>"1551765450637047"</f>
        <v>1551765450637047</v>
      </c>
      <c r="C5007" t="s">
        <v>40</v>
      </c>
      <c r="D5007">
        <v>3.885999</v>
      </c>
      <c r="E5007">
        <v>0.53993089999999999</v>
      </c>
      <c r="F5007" t="s">
        <v>47</v>
      </c>
      <c r="G5007">
        <v>0</v>
      </c>
      <c r="H5007">
        <v>0</v>
      </c>
      <c r="I5007">
        <v>0</v>
      </c>
      <c r="J5007">
        <v>-187.37970000000001</v>
      </c>
      <c r="K5007">
        <v>1.1057809999999999</v>
      </c>
      <c r="L5007">
        <v>8.9563290000000002</v>
      </c>
      <c r="M5007">
        <v>1.3007629999999999E-2</v>
      </c>
      <c r="N5007">
        <v>-5.2568149999999998E-3</v>
      </c>
      <c r="O5007">
        <v>0.99990159999999995</v>
      </c>
      <c r="P5007">
        <v>-6.9748359999999995E-2</v>
      </c>
      <c r="Q5007">
        <v>3.7242699999999997E-2</v>
      </c>
      <c r="R5007">
        <v>0.99686909999999895</v>
      </c>
      <c r="S5007">
        <v>0.1092834</v>
      </c>
      <c r="T5007">
        <v>0.110696</v>
      </c>
      <c r="U5007">
        <v>3.0128780000000002</v>
      </c>
      <c r="V5007">
        <v>-8.2468410000000006E-2</v>
      </c>
      <c r="W5007">
        <v>4.2943919999999997E-2</v>
      </c>
      <c r="X5007">
        <v>0.995668</v>
      </c>
      <c r="Y5007">
        <v>2.3215960000000001E-2</v>
      </c>
      <c r="Z5007">
        <v>4.1946039999999997E-2</v>
      </c>
      <c r="AA5007">
        <v>0.99885009999999996</v>
      </c>
      <c r="AB5007">
        <v>47</v>
      </c>
      <c r="AC5007">
        <v>0.1092834</v>
      </c>
      <c r="AD5007">
        <v>0.110696</v>
      </c>
      <c r="AE5007">
        <v>3.0128780000000002</v>
      </c>
      <c r="AF5007">
        <v>6.9988857485184394E-2</v>
      </c>
      <c r="AG5007">
        <v>0.110696</v>
      </c>
      <c r="AH5007">
        <v>3.0099867980755799</v>
      </c>
      <c r="AI5007">
        <v>87.894394412633702</v>
      </c>
      <c r="AJ5007">
        <v>88.667986290723903</v>
      </c>
      <c r="AK5007">
        <v>3.0128346401980601</v>
      </c>
      <c r="AL5007">
        <v>87.538737712405506</v>
      </c>
      <c r="AM5007">
        <v>94.734842174315105</v>
      </c>
      <c r="AN5007">
        <v>0.99999999256844696</v>
      </c>
    </row>
    <row r="5008" spans="1:40" x14ac:dyDescent="0.25">
      <c r="A5008" t="str">
        <f>"20190305135730670"</f>
        <v>20190305135730670</v>
      </c>
      <c r="B5008" t="str">
        <f>"1551765450667037"</f>
        <v>1551765450667037</v>
      </c>
      <c r="C5008" t="s">
        <v>40</v>
      </c>
      <c r="D5008">
        <v>3.7935919999999999</v>
      </c>
      <c r="E5008">
        <v>0.58413700000000002</v>
      </c>
      <c r="F5008" t="s">
        <v>47</v>
      </c>
      <c r="G5008">
        <v>0</v>
      </c>
      <c r="H5008">
        <v>0</v>
      </c>
      <c r="I5008">
        <v>0</v>
      </c>
      <c r="J5008">
        <v>-187.3732</v>
      </c>
      <c r="K5008">
        <v>1.106017</v>
      </c>
      <c r="L5008">
        <v>9.4251710000000006</v>
      </c>
      <c r="M5008">
        <v>1.419404E-2</v>
      </c>
      <c r="N5008">
        <v>-5.2984319999999996E-3</v>
      </c>
      <c r="O5008">
        <v>0.99988520000000003</v>
      </c>
      <c r="P5008">
        <v>-7.0299009999999995E-2</v>
      </c>
      <c r="Q5008">
        <v>3.9009269999999999E-2</v>
      </c>
      <c r="R5008">
        <v>0.99676290000000001</v>
      </c>
      <c r="S5008">
        <v>0.10871889999999899</v>
      </c>
      <c r="T5008">
        <v>0.11199099999999999</v>
      </c>
      <c r="U5008">
        <v>3.012848</v>
      </c>
      <c r="V5008">
        <v>-8.4212209999999996E-2</v>
      </c>
      <c r="W5008">
        <v>4.471605E-2</v>
      </c>
      <c r="X5008">
        <v>0.995444</v>
      </c>
      <c r="Y5008">
        <v>2.1842360000000002E-2</v>
      </c>
      <c r="Z5008">
        <v>4.2416309999999999E-2</v>
      </c>
      <c r="AA5008">
        <v>0.99886129999999995</v>
      </c>
      <c r="AB5008">
        <v>47</v>
      </c>
      <c r="AC5008">
        <v>0.10871889999999899</v>
      </c>
      <c r="AD5008">
        <v>0.11199099999999999</v>
      </c>
      <c r="AE5008">
        <v>3.012848</v>
      </c>
      <c r="AF5008">
        <v>6.58519921131E-2</v>
      </c>
      <c r="AG5008">
        <v>0.11199099999999999</v>
      </c>
      <c r="AH5008">
        <v>3.0099342587289599</v>
      </c>
      <c r="AI5008">
        <v>87.869681010391403</v>
      </c>
      <c r="AJ5008">
        <v>88.746670500925205</v>
      </c>
      <c r="AK5008">
        <v>3.01273674767917</v>
      </c>
      <c r="AL5008">
        <v>87.4371044509965</v>
      </c>
      <c r="AM5008">
        <v>94.835573800040706</v>
      </c>
      <c r="AN5008">
        <v>0.99999998928834299</v>
      </c>
    </row>
    <row r="5009" spans="1:40" x14ac:dyDescent="0.25">
      <c r="A5009" t="str">
        <f>"20190305135730691"</f>
        <v>20190305135730691</v>
      </c>
      <c r="B5009" t="str">
        <f>"1551765450687516"</f>
        <v>1551765450687516</v>
      </c>
      <c r="C5009" t="s">
        <v>40</v>
      </c>
      <c r="D5009">
        <v>3.7336390000000002</v>
      </c>
      <c r="E5009">
        <v>0.59341259999999996</v>
      </c>
      <c r="F5009" t="s">
        <v>98</v>
      </c>
      <c r="G5009">
        <v>-174.53639999999999</v>
      </c>
      <c r="H5009">
        <v>4.9203330000000003</v>
      </c>
      <c r="I5009">
        <v>94.474909999999994</v>
      </c>
      <c r="J5009">
        <v>-187.3665</v>
      </c>
      <c r="K5009">
        <v>1.106287</v>
      </c>
      <c r="L5009">
        <v>9.8737490000000001</v>
      </c>
      <c r="M5009">
        <v>1.5038289999999999E-2</v>
      </c>
      <c r="N5009">
        <v>-5.4036700000000002E-3</v>
      </c>
      <c r="O5009">
        <v>0.99987230000000005</v>
      </c>
      <c r="P5009">
        <v>-7.0275169999999998E-2</v>
      </c>
      <c r="Q5009">
        <v>4.1929769999999998E-2</v>
      </c>
      <c r="R5009">
        <v>0.99664600000000003</v>
      </c>
      <c r="S5009">
        <v>0.45834350000000001</v>
      </c>
      <c r="T5009">
        <v>0.13619289999999901</v>
      </c>
      <c r="U5009">
        <v>3.036743</v>
      </c>
      <c r="V5009">
        <v>-8.5039649999999994E-2</v>
      </c>
      <c r="W5009">
        <v>4.7694529999999999E-2</v>
      </c>
      <c r="X5009">
        <v>0.99523539999999999</v>
      </c>
      <c r="Y5009">
        <v>0.13418469999999999</v>
      </c>
      <c r="Z5009">
        <v>4.9734069999999998E-2</v>
      </c>
      <c r="AA5009">
        <v>0.98970749999999996</v>
      </c>
      <c r="AB5009">
        <v>47</v>
      </c>
      <c r="AC5009">
        <v>12.8301</v>
      </c>
      <c r="AD5009">
        <v>3.8140459999999998</v>
      </c>
      <c r="AE5009">
        <v>84.601160999999905</v>
      </c>
      <c r="AF5009">
        <v>11.5334595772112</v>
      </c>
      <c r="AG5009">
        <v>3.8140459999999998</v>
      </c>
      <c r="AH5009">
        <v>84.616427479841605</v>
      </c>
      <c r="AI5009">
        <v>87.442779825980594</v>
      </c>
      <c r="AJ5009">
        <v>82.238253659769796</v>
      </c>
      <c r="AK5009">
        <v>85.483960110423993</v>
      </c>
      <c r="AL5009">
        <v>87.266267637754098</v>
      </c>
      <c r="AM5009">
        <v>94.883876357189195</v>
      </c>
      <c r="AN5009">
        <v>1.0000000058386</v>
      </c>
    </row>
    <row r="5010" spans="1:40" x14ac:dyDescent="0.25">
      <c r="A5010" t="str">
        <f>"20190305135730713"</f>
        <v>20190305135730713</v>
      </c>
      <c r="B5010" t="str">
        <f>"1551765450707036"</f>
        <v>1551765450707036</v>
      </c>
      <c r="C5010" t="s">
        <v>40</v>
      </c>
      <c r="D5010">
        <v>3.7524000000000002</v>
      </c>
      <c r="E5010">
        <v>0.5975705</v>
      </c>
      <c r="F5010" t="s">
        <v>98</v>
      </c>
      <c r="G5010">
        <v>-172.92699999999999</v>
      </c>
      <c r="H5010">
        <v>5.5390519999999999</v>
      </c>
      <c r="I5010">
        <v>92.473479999999995</v>
      </c>
      <c r="J5010">
        <v>-187.35929999999999</v>
      </c>
      <c r="K5010">
        <v>1.1066049999999901</v>
      </c>
      <c r="L5010">
        <v>10.34055</v>
      </c>
      <c r="M5010">
        <v>1.56519E-2</v>
      </c>
      <c r="N5010">
        <v>-5.6648209999999996E-3</v>
      </c>
      <c r="O5010">
        <v>0.99986149999999996</v>
      </c>
      <c r="P5010">
        <v>-6.9152790000000006E-2</v>
      </c>
      <c r="Q5010">
        <v>4.3680169999999997E-2</v>
      </c>
      <c r="R5010">
        <v>0.99664940000000002</v>
      </c>
      <c r="S5010">
        <v>0.53155520000000001</v>
      </c>
      <c r="T5010">
        <v>0.16318239999999901</v>
      </c>
      <c r="U5010">
        <v>3.0407099999999998</v>
      </c>
      <c r="V5010">
        <v>-8.4551319999999999E-2</v>
      </c>
      <c r="W5010">
        <v>4.9648200000000003E-2</v>
      </c>
      <c r="X5010">
        <v>0.99518139999999999</v>
      </c>
      <c r="Y5010">
        <v>0.15648799999999999</v>
      </c>
      <c r="Z5010">
        <v>5.8497500000000001E-2</v>
      </c>
      <c r="AA5010">
        <v>0.98594599999999999</v>
      </c>
      <c r="AB5010">
        <v>47</v>
      </c>
      <c r="AC5010">
        <v>14.4322999999999</v>
      </c>
      <c r="AD5010">
        <v>4.4324469999999998</v>
      </c>
      <c r="AE5010">
        <v>82.132930000000002</v>
      </c>
      <c r="AF5010">
        <v>13.107942781640901</v>
      </c>
      <c r="AG5010">
        <v>4.4324469999999998</v>
      </c>
      <c r="AH5010">
        <v>82.116770680988907</v>
      </c>
      <c r="AI5010">
        <v>86.948876015225906</v>
      </c>
      <c r="AJ5010">
        <v>80.930637672102307</v>
      </c>
      <c r="AK5010">
        <v>83.274418505617305</v>
      </c>
      <c r="AL5010">
        <v>87.154197579318705</v>
      </c>
      <c r="AM5010">
        <v>94.856228004216504</v>
      </c>
      <c r="AN5010">
        <v>0.99999994419146898</v>
      </c>
    </row>
    <row r="5011" spans="1:40" x14ac:dyDescent="0.25">
      <c r="A5011" t="str">
        <f>"20190305135730735"</f>
        <v>20190305135730735</v>
      </c>
      <c r="B5011" t="str">
        <f>"1551765450727532"</f>
        <v>1551765450727532</v>
      </c>
      <c r="C5011" t="s">
        <v>40</v>
      </c>
      <c r="D5011">
        <v>3.6923539999999999</v>
      </c>
      <c r="E5011">
        <v>0.59980739999999999</v>
      </c>
      <c r="F5011" t="s">
        <v>98</v>
      </c>
      <c r="G5011">
        <v>-172.02549999999999</v>
      </c>
      <c r="H5011">
        <v>5.7100419999999996</v>
      </c>
      <c r="I5011">
        <v>92.47354</v>
      </c>
      <c r="J5011">
        <v>-187.35239999999999</v>
      </c>
      <c r="K5011">
        <v>1.1069560000000001</v>
      </c>
      <c r="L5011">
        <v>10.78403</v>
      </c>
      <c r="M5011">
        <v>1.5955029999999999E-2</v>
      </c>
      <c r="N5011">
        <v>-6.1001730000000004E-3</v>
      </c>
      <c r="O5011">
        <v>0.99985409999999997</v>
      </c>
      <c r="P5011">
        <v>-6.7834279999999997E-2</v>
      </c>
      <c r="Q5011">
        <v>4.3632869999999997E-2</v>
      </c>
      <c r="R5011">
        <v>0.99674200000000002</v>
      </c>
      <c r="S5011">
        <v>0.56793209999999905</v>
      </c>
      <c r="T5011">
        <v>0.17050179999999901</v>
      </c>
      <c r="U5011">
        <v>3.0420229999999999</v>
      </c>
      <c r="V5011">
        <v>-8.3566650000000006E-2</v>
      </c>
      <c r="W5011">
        <v>4.9976810000000003E-2</v>
      </c>
      <c r="X5011">
        <v>0.99524820000000003</v>
      </c>
      <c r="Y5011">
        <v>0.16749829999999999</v>
      </c>
      <c r="Z5011">
        <v>6.1161420000000001E-2</v>
      </c>
      <c r="AA5011">
        <v>0.9839734</v>
      </c>
      <c r="AB5011">
        <v>47</v>
      </c>
      <c r="AC5011">
        <v>15.326899999999901</v>
      </c>
      <c r="AD5011">
        <v>4.6030859999999896</v>
      </c>
      <c r="AE5011">
        <v>81.689509999999999</v>
      </c>
      <c r="AF5011">
        <v>13.978690883183299</v>
      </c>
      <c r="AG5011">
        <v>4.6030859999999896</v>
      </c>
      <c r="AH5011">
        <v>81.673150297060602</v>
      </c>
      <c r="AI5011">
        <v>86.820369883142703</v>
      </c>
      <c r="AJ5011">
        <v>80.2877017292424</v>
      </c>
      <c r="AK5011">
        <v>82.988527393714193</v>
      </c>
      <c r="AL5011">
        <v>87.135346435869906</v>
      </c>
      <c r="AM5011">
        <v>94.799618336546501</v>
      </c>
      <c r="AN5011">
        <v>1.00000002306661</v>
      </c>
    </row>
    <row r="5012" spans="1:40" x14ac:dyDescent="0.25">
      <c r="A5012" t="str">
        <f>"20190305135730756"</f>
        <v>20190305135730756</v>
      </c>
      <c r="B5012" t="str">
        <f>"1551765450747052"</f>
        <v>1551765450747052</v>
      </c>
      <c r="C5012" t="s">
        <v>40</v>
      </c>
      <c r="D5012">
        <v>3.7582300000000002</v>
      </c>
      <c r="E5012">
        <v>0.60112319999999997</v>
      </c>
      <c r="F5012" t="s">
        <v>98</v>
      </c>
      <c r="G5012">
        <v>-171.5181</v>
      </c>
      <c r="H5012">
        <v>5.7097689999999997</v>
      </c>
      <c r="I5012">
        <v>92.47354</v>
      </c>
      <c r="J5012">
        <v>-187.34540000000001</v>
      </c>
      <c r="K5012">
        <v>1.107342</v>
      </c>
      <c r="L5012">
        <v>11.23859</v>
      </c>
      <c r="M5012">
        <v>1.5920340000000002E-2</v>
      </c>
      <c r="N5012">
        <v>-6.6978000000000003E-3</v>
      </c>
      <c r="O5012">
        <v>0.99985080000000004</v>
      </c>
      <c r="P5012">
        <v>-6.6467390000000001E-2</v>
      </c>
      <c r="Q5012">
        <v>4.0033310000000003E-2</v>
      </c>
      <c r="R5012">
        <v>0.99698509999999996</v>
      </c>
      <c r="S5012">
        <v>0.58973690000000001</v>
      </c>
      <c r="T5012">
        <v>0.17142829999999901</v>
      </c>
      <c r="U5012">
        <v>3.0424500000000001</v>
      </c>
      <c r="V5012">
        <v>-8.2211080000000006E-2</v>
      </c>
      <c r="W5012">
        <v>4.6913389999999999E-2</v>
      </c>
      <c r="X5012">
        <v>0.99551020000000001</v>
      </c>
      <c r="Y5012">
        <v>0.17430279999999901</v>
      </c>
      <c r="Z5012">
        <v>6.1977839999999999E-2</v>
      </c>
      <c r="AA5012">
        <v>0.98273969999999999</v>
      </c>
      <c r="AB5012">
        <v>47</v>
      </c>
      <c r="AC5012">
        <v>15.827299999999999</v>
      </c>
      <c r="AD5012">
        <v>4.6024269999999996</v>
      </c>
      <c r="AE5012">
        <v>81.234949999999998</v>
      </c>
      <c r="AF5012">
        <v>14.4871755958845</v>
      </c>
      <c r="AG5012">
        <v>4.6024269999999996</v>
      </c>
      <c r="AH5012">
        <v>81.225447442909996</v>
      </c>
      <c r="AI5012">
        <v>86.8072316372091</v>
      </c>
      <c r="AJ5012">
        <v>79.887201843002003</v>
      </c>
      <c r="AK5012">
        <v>82.635548666038702</v>
      </c>
      <c r="AL5012">
        <v>87.311073922718094</v>
      </c>
      <c r="AM5012">
        <v>94.720879501846994</v>
      </c>
      <c r="AN5012">
        <v>1.00000004307004</v>
      </c>
    </row>
    <row r="5013" spans="1:40" x14ac:dyDescent="0.25">
      <c r="A5013" t="str">
        <f>"20190305135730779"</f>
        <v>20190305135730779</v>
      </c>
      <c r="B5013" t="str">
        <f>"1551765450767247"</f>
        <v>1551765450767247</v>
      </c>
      <c r="C5013" t="s">
        <v>40</v>
      </c>
      <c r="D5013">
        <v>3.6990500000000002</v>
      </c>
      <c r="E5013">
        <v>0.60219719999999999</v>
      </c>
      <c r="F5013" t="s">
        <v>98</v>
      </c>
      <c r="G5013">
        <v>-171.20699999999999</v>
      </c>
      <c r="H5013">
        <v>5.2855800000000004</v>
      </c>
      <c r="I5013">
        <v>92.473399999999998</v>
      </c>
      <c r="J5013">
        <v>-187.3381</v>
      </c>
      <c r="K5013">
        <v>1.107775</v>
      </c>
      <c r="L5013">
        <v>11.726990000000001</v>
      </c>
      <c r="M5013">
        <v>1.5446E-2</v>
      </c>
      <c r="N5013">
        <v>-7.3344859999999899E-3</v>
      </c>
      <c r="O5013">
        <v>0.99985380000000001</v>
      </c>
      <c r="P5013">
        <v>-6.5262719999999996E-2</v>
      </c>
      <c r="Q5013">
        <v>3.4735080000000002E-2</v>
      </c>
      <c r="R5013">
        <v>0.99726340000000002</v>
      </c>
      <c r="S5013">
        <v>0.60455319999999901</v>
      </c>
      <c r="T5013">
        <v>0.1565194</v>
      </c>
      <c r="U5013">
        <v>3.043091</v>
      </c>
      <c r="V5013">
        <v>-8.0586030000000003E-2</v>
      </c>
      <c r="W5013">
        <v>4.2180719999999998E-2</v>
      </c>
      <c r="X5013">
        <v>0.99585469999999998</v>
      </c>
      <c r="Y5013">
        <v>0.1793855</v>
      </c>
      <c r="Z5013">
        <v>5.7761460000000001E-2</v>
      </c>
      <c r="AA5013">
        <v>0.98208169999999995</v>
      </c>
      <c r="AB5013">
        <v>47</v>
      </c>
      <c r="AC5013">
        <v>16.1311</v>
      </c>
      <c r="AD5013">
        <v>4.1778050000000002</v>
      </c>
      <c r="AE5013">
        <v>80.746409999999997</v>
      </c>
      <c r="AF5013">
        <v>14.843721161656401</v>
      </c>
      <c r="AG5013">
        <v>4.1778050000000002</v>
      </c>
      <c r="AH5013">
        <v>80.777999982169504</v>
      </c>
      <c r="AI5013">
        <v>87.087995169525001</v>
      </c>
      <c r="AJ5013">
        <v>79.5875229899939</v>
      </c>
      <c r="AK5013">
        <v>82.236703445982201</v>
      </c>
      <c r="AL5013">
        <v>87.5825054174352</v>
      </c>
      <c r="AM5013">
        <v>94.626378212464701</v>
      </c>
      <c r="AN5013">
        <v>0.99999995244148299</v>
      </c>
    </row>
    <row r="5014" spans="1:40" x14ac:dyDescent="0.25">
      <c r="A5014" t="str">
        <f>"20190305135730802"</f>
        <v>20190305135730802</v>
      </c>
      <c r="B5014" t="str">
        <f>"1551765450797487"</f>
        <v>1551765450797487</v>
      </c>
      <c r="C5014" t="s">
        <v>40</v>
      </c>
      <c r="D5014">
        <v>3.6824620000000001</v>
      </c>
      <c r="E5014">
        <v>0.60330090000000003</v>
      </c>
      <c r="F5014" t="s">
        <v>98</v>
      </c>
      <c r="G5014">
        <v>-170.38339999999999</v>
      </c>
      <c r="H5014">
        <v>4.9186560000000004</v>
      </c>
      <c r="I5014">
        <v>95.379090000000005</v>
      </c>
      <c r="J5014">
        <v>-187.33150000000001</v>
      </c>
      <c r="K5014">
        <v>1.1082160000000001</v>
      </c>
      <c r="L5014">
        <v>12.198090000000001</v>
      </c>
      <c r="M5014">
        <v>1.4562830000000001E-2</v>
      </c>
      <c r="N5014">
        <v>-7.9295709999999998E-3</v>
      </c>
      <c r="O5014">
        <v>0.99986249999999999</v>
      </c>
      <c r="P5014">
        <v>-6.4018259999999994E-2</v>
      </c>
      <c r="Q5014">
        <v>3.1495429999999998E-2</v>
      </c>
      <c r="R5014">
        <v>0.99745159999999999</v>
      </c>
      <c r="S5014">
        <v>0.61691280000000004</v>
      </c>
      <c r="T5014">
        <v>0.13866339999999999</v>
      </c>
      <c r="U5014">
        <v>3.0437620000000001</v>
      </c>
      <c r="V5014">
        <v>-7.8504240000000003E-2</v>
      </c>
      <c r="W5014">
        <v>3.9462160000000003E-2</v>
      </c>
      <c r="X5014">
        <v>0.99613240000000003</v>
      </c>
      <c r="Y5014">
        <v>0.18409990000000001</v>
      </c>
      <c r="Z5014">
        <v>5.25686E-2</v>
      </c>
      <c r="AA5014">
        <v>0.98150079999999995</v>
      </c>
      <c r="AB5014">
        <v>47</v>
      </c>
      <c r="AC5014">
        <v>16.9481</v>
      </c>
      <c r="AD5014">
        <v>3.8104399999999998</v>
      </c>
      <c r="AE5014">
        <v>83.180999999999997</v>
      </c>
      <c r="AF5014">
        <v>15.703274466100201</v>
      </c>
      <c r="AG5014">
        <v>3.8104399999999998</v>
      </c>
      <c r="AH5014">
        <v>83.251262133818301</v>
      </c>
      <c r="AI5014">
        <v>87.424730800741401</v>
      </c>
      <c r="AJ5014">
        <v>79.318085393696606</v>
      </c>
      <c r="AK5014">
        <v>84.804981745325605</v>
      </c>
      <c r="AL5014">
        <v>87.738397465411694</v>
      </c>
      <c r="AM5014">
        <v>94.506111935235396</v>
      </c>
      <c r="AN5014">
        <v>0.99999996804980096</v>
      </c>
    </row>
    <row r="5015" spans="1:40" x14ac:dyDescent="0.25">
      <c r="A5015" t="str">
        <f>"20190305135730849"</f>
        <v>20190305135730849</v>
      </c>
      <c r="B5015" t="str">
        <f>"1551765450837502"</f>
        <v>1551765450837502</v>
      </c>
      <c r="C5015" t="s">
        <v>40</v>
      </c>
      <c r="D5015">
        <v>3.6629550000000002</v>
      </c>
      <c r="E5015">
        <v>0.60436999999999996</v>
      </c>
      <c r="F5015" t="s">
        <v>80</v>
      </c>
      <c r="G5015">
        <v>-168.85980000000001</v>
      </c>
      <c r="H5015">
        <v>4.9190360000000002</v>
      </c>
      <c r="I5015">
        <v>101.5226</v>
      </c>
      <c r="J5015">
        <v>-187.31970000000001</v>
      </c>
      <c r="K5015">
        <v>1.1091770000000001</v>
      </c>
      <c r="L5015">
        <v>13.17404</v>
      </c>
      <c r="M5015">
        <v>1.162096E-2</v>
      </c>
      <c r="N5015">
        <v>-9.0925929999999995E-3</v>
      </c>
      <c r="O5015">
        <v>0.99989119999999998</v>
      </c>
      <c r="P5015">
        <v>-6.4112479999999999E-2</v>
      </c>
      <c r="Q5015">
        <v>2.871715E-2</v>
      </c>
      <c r="R5015">
        <v>0.99752940000000001</v>
      </c>
      <c r="S5015">
        <v>0.6294708</v>
      </c>
      <c r="T5015">
        <v>0.12986429999999999</v>
      </c>
      <c r="U5015">
        <v>3.0439759999999998</v>
      </c>
      <c r="V5015">
        <v>-7.5743710000000006E-2</v>
      </c>
      <c r="W5015">
        <v>3.7692980000000001E-2</v>
      </c>
      <c r="X5015">
        <v>0.99641469999999999</v>
      </c>
      <c r="Y5015">
        <v>0.19087950000000001</v>
      </c>
      <c r="Z5015">
        <v>5.0858439999999998E-2</v>
      </c>
      <c r="AA5015">
        <v>0.98029509999999997</v>
      </c>
      <c r="AB5015">
        <v>47</v>
      </c>
      <c r="AC5015">
        <v>18.459900000000001</v>
      </c>
      <c r="AD5015">
        <v>3.8098589999999999</v>
      </c>
      <c r="AE5015">
        <v>88.348559999999907</v>
      </c>
      <c r="AF5015">
        <v>17.400910847568699</v>
      </c>
      <c r="AG5015">
        <v>3.8098589999999999</v>
      </c>
      <c r="AH5015">
        <v>88.3996132208067</v>
      </c>
      <c r="AI5015">
        <v>87.578594522124106</v>
      </c>
      <c r="AJ5015">
        <v>78.864057347922298</v>
      </c>
      <c r="AK5015">
        <v>90.176484415356995</v>
      </c>
      <c r="AL5015">
        <v>87.839839745597502</v>
      </c>
      <c r="AM5015">
        <v>94.347050123650703</v>
      </c>
      <c r="AN5015">
        <v>1.00000006236096</v>
      </c>
    </row>
    <row r="5016" spans="1:40" x14ac:dyDescent="0.25">
      <c r="A5016" t="str">
        <f>"20190305135730871"</f>
        <v>20190305135730871</v>
      </c>
      <c r="B5016" t="str">
        <f>"1551765450867364"</f>
        <v>1551765450867364</v>
      </c>
      <c r="C5016" t="s">
        <v>40</v>
      </c>
      <c r="D5016">
        <v>3.705444</v>
      </c>
      <c r="E5016">
        <v>0.60517900000000002</v>
      </c>
      <c r="F5016" t="s">
        <v>80</v>
      </c>
      <c r="G5016">
        <v>-168.85980000000001</v>
      </c>
      <c r="H5016">
        <v>4.6288980000000004</v>
      </c>
      <c r="I5016">
        <v>101.3331</v>
      </c>
      <c r="J5016">
        <v>-187.31540000000001</v>
      </c>
      <c r="K5016">
        <v>1.109602</v>
      </c>
      <c r="L5016">
        <v>13.64035</v>
      </c>
      <c r="M5016">
        <v>9.8229460000000008E-3</v>
      </c>
      <c r="N5016">
        <v>-9.5874199999999993E-3</v>
      </c>
      <c r="O5016">
        <v>0.99990579999999996</v>
      </c>
      <c r="P5016">
        <v>-6.5035869999999996E-2</v>
      </c>
      <c r="Q5016">
        <v>3.0782259999999999E-2</v>
      </c>
      <c r="R5016">
        <v>0.99740799999999996</v>
      </c>
      <c r="S5016">
        <v>0.6375885</v>
      </c>
      <c r="T5016">
        <v>0.121568</v>
      </c>
      <c r="U5016">
        <v>3.0449220000000001</v>
      </c>
      <c r="V5016">
        <v>-7.4911580000000005E-2</v>
      </c>
      <c r="W5016">
        <v>4.0186859999999998E-2</v>
      </c>
      <c r="X5016">
        <v>0.99638009999999999</v>
      </c>
      <c r="Y5016">
        <v>0.19510910000000001</v>
      </c>
      <c r="Z5016">
        <v>4.8651989999999999E-2</v>
      </c>
      <c r="AA5016">
        <v>0.9795741</v>
      </c>
      <c r="AB5016">
        <v>47</v>
      </c>
      <c r="AC5016">
        <v>18.4556</v>
      </c>
      <c r="AD5016">
        <v>3.5192960000000002</v>
      </c>
      <c r="AE5016">
        <v>87.692750000000004</v>
      </c>
      <c r="AF5016">
        <v>17.5661768780943</v>
      </c>
      <c r="AG5016">
        <v>3.5192960000000002</v>
      </c>
      <c r="AH5016">
        <v>87.734504630995104</v>
      </c>
      <c r="AI5016">
        <v>87.747581089197993</v>
      </c>
      <c r="AJ5016">
        <v>78.677963876364004</v>
      </c>
      <c r="AK5016">
        <v>89.544956961820006</v>
      </c>
      <c r="AL5016">
        <v>87.696842356303705</v>
      </c>
      <c r="AM5016">
        <v>94.299621689607903</v>
      </c>
      <c r="AN5016">
        <v>1.0000000161053799</v>
      </c>
    </row>
    <row r="5017" spans="1:40" x14ac:dyDescent="0.25">
      <c r="A5017" t="str">
        <f>"20190305135730890"</f>
        <v>20190305135730890</v>
      </c>
      <c r="B5017" t="str">
        <f>"1551765450887834"</f>
        <v>1551765450887834</v>
      </c>
      <c r="C5017" t="s">
        <v>40</v>
      </c>
      <c r="D5017">
        <v>3.6769699999999998</v>
      </c>
      <c r="E5017">
        <v>0.60570999999999997</v>
      </c>
      <c r="F5017" t="s">
        <v>80</v>
      </c>
      <c r="G5017">
        <v>-168.85990000000001</v>
      </c>
      <c r="H5017">
        <v>4.965516</v>
      </c>
      <c r="I5017">
        <v>101.342</v>
      </c>
      <c r="J5017">
        <v>-187.31219999999999</v>
      </c>
      <c r="K5017">
        <v>1.109934</v>
      </c>
      <c r="L5017">
        <v>14.07324</v>
      </c>
      <c r="M5017">
        <v>8.0141550000000002E-3</v>
      </c>
      <c r="N5017">
        <v>-1.000063E-2</v>
      </c>
      <c r="O5017">
        <v>0.99991790000000003</v>
      </c>
      <c r="P5017">
        <v>-6.5686140000000004E-2</v>
      </c>
      <c r="Q5017">
        <v>3.2311819999999998E-2</v>
      </c>
      <c r="R5017">
        <v>0.99731700000000001</v>
      </c>
      <c r="S5017">
        <v>0.64086909999999997</v>
      </c>
      <c r="T5017">
        <v>0.13389709999999999</v>
      </c>
      <c r="U5017">
        <v>3.0454409999999998</v>
      </c>
      <c r="V5017">
        <v>-7.379115E-2</v>
      </c>
      <c r="W5017">
        <v>4.2078770000000001E-2</v>
      </c>
      <c r="X5017">
        <v>0.99638559999999998</v>
      </c>
      <c r="Y5017">
        <v>0.1978191</v>
      </c>
      <c r="Z5017">
        <v>5.2998259999999998E-2</v>
      </c>
      <c r="AA5017">
        <v>0.97880480000000003</v>
      </c>
      <c r="AB5017">
        <v>47</v>
      </c>
      <c r="AC5017">
        <v>18.452299999999902</v>
      </c>
      <c r="AD5017">
        <v>3.8555820000000001</v>
      </c>
      <c r="AE5017">
        <v>87.26876</v>
      </c>
      <c r="AF5017">
        <v>17.719180704187099</v>
      </c>
      <c r="AG5017">
        <v>3.8555820000000001</v>
      </c>
      <c r="AH5017">
        <v>87.250825634475106</v>
      </c>
      <c r="AI5017">
        <v>87.520319331334804</v>
      </c>
      <c r="AJ5017">
        <v>78.520306310978995</v>
      </c>
      <c r="AK5017">
        <v>89.115326691226002</v>
      </c>
      <c r="AL5017">
        <v>87.588352052864806</v>
      </c>
      <c r="AM5017">
        <v>94.235526042326399</v>
      </c>
      <c r="AN5017">
        <v>1.00000001029519</v>
      </c>
    </row>
    <row r="5018" spans="1:40" x14ac:dyDescent="0.25">
      <c r="A5018" t="str">
        <f>"20190305135730915"</f>
        <v>20190305135730915</v>
      </c>
      <c r="B5018" t="str">
        <f>"1551765450907354"</f>
        <v>1551765450907354</v>
      </c>
      <c r="C5018" t="s">
        <v>40</v>
      </c>
      <c r="D5018">
        <v>3.695535</v>
      </c>
      <c r="E5018">
        <v>0.60600639999999995</v>
      </c>
      <c r="F5018" t="s">
        <v>98</v>
      </c>
      <c r="G5018">
        <v>-169.92939999999999</v>
      </c>
      <c r="H5018">
        <v>4.9181660000000003</v>
      </c>
      <c r="I5018">
        <v>96.402600000000007</v>
      </c>
      <c r="J5018">
        <v>-187.30959999999999</v>
      </c>
      <c r="K5018">
        <v>1.1102430000000001</v>
      </c>
      <c r="L5018">
        <v>14.578670000000001</v>
      </c>
      <c r="M5018">
        <v>5.7977599999999999E-3</v>
      </c>
      <c r="N5018">
        <v>-1.042651E-2</v>
      </c>
      <c r="O5018">
        <v>0.99992879999999995</v>
      </c>
      <c r="P5018">
        <v>-6.5973619999999997E-2</v>
      </c>
      <c r="Q5018">
        <v>3.3376360000000001E-2</v>
      </c>
      <c r="R5018">
        <v>0.99726300000000001</v>
      </c>
      <c r="S5018">
        <v>0.64309689999999997</v>
      </c>
      <c r="T5018">
        <v>0.14089070000000001</v>
      </c>
      <c r="U5018">
        <v>3.045868</v>
      </c>
      <c r="V5018">
        <v>-7.1902279999999999E-2</v>
      </c>
      <c r="W5018">
        <v>4.3525599999999998E-2</v>
      </c>
      <c r="X5018">
        <v>0.9964615</v>
      </c>
      <c r="Y5018">
        <v>0.20062260000000001</v>
      </c>
      <c r="Z5018">
        <v>5.5645119999999999E-2</v>
      </c>
      <c r="AA5018">
        <v>0.97808700000000004</v>
      </c>
      <c r="AB5018">
        <v>47</v>
      </c>
      <c r="AC5018">
        <v>17.380199999999999</v>
      </c>
      <c r="AD5018">
        <v>3.8079230000000002</v>
      </c>
      <c r="AE5018">
        <v>81.823930000000004</v>
      </c>
      <c r="AF5018">
        <v>16.870525935029601</v>
      </c>
      <c r="AG5018">
        <v>3.8079230000000002</v>
      </c>
      <c r="AH5018">
        <v>81.753908592081203</v>
      </c>
      <c r="AI5018">
        <v>87.388164038426893</v>
      </c>
      <c r="AJ5018">
        <v>78.340255769491606</v>
      </c>
      <c r="AK5018">
        <v>83.563248458762104</v>
      </c>
      <c r="AL5018">
        <v>87.505378649562303</v>
      </c>
      <c r="AM5018">
        <v>94.127173401213199</v>
      </c>
      <c r="AN5018">
        <v>0.99999996835340299</v>
      </c>
    </row>
    <row r="5019" spans="1:40" x14ac:dyDescent="0.25">
      <c r="A5019" t="str">
        <f>"20190305135730937"</f>
        <v>20190305135730937</v>
      </c>
      <c r="B5019" t="str">
        <f>"1551765450927850"</f>
        <v>1551765450927850</v>
      </c>
      <c r="C5019" t="s">
        <v>40</v>
      </c>
      <c r="D5019">
        <v>3.7182569999999999</v>
      </c>
      <c r="E5019">
        <v>0.60628130000000002</v>
      </c>
      <c r="F5019" t="s">
        <v>98</v>
      </c>
      <c r="G5019">
        <v>-170.2663</v>
      </c>
      <c r="H5019">
        <v>4.9187089999999998</v>
      </c>
      <c r="I5019">
        <v>95.102329999999995</v>
      </c>
      <c r="J5019">
        <v>-187.3081</v>
      </c>
      <c r="K5019">
        <v>1.1104620000000001</v>
      </c>
      <c r="L5019">
        <v>15.056699999999999</v>
      </c>
      <c r="M5019">
        <v>3.6696020000000001E-3</v>
      </c>
      <c r="N5019">
        <v>-1.078076E-2</v>
      </c>
      <c r="O5019">
        <v>0.99993520000000002</v>
      </c>
      <c r="P5019">
        <v>-6.5307329999999997E-2</v>
      </c>
      <c r="Q5019">
        <v>3.2845199999999998E-2</v>
      </c>
      <c r="R5019">
        <v>0.99732449999999995</v>
      </c>
      <c r="S5019">
        <v>0.64471440000000002</v>
      </c>
      <c r="T5019">
        <v>0.14406759999999999</v>
      </c>
      <c r="U5019">
        <v>3.0460509999999998</v>
      </c>
      <c r="V5019">
        <v>-6.9135340000000003E-2</v>
      </c>
      <c r="W5019">
        <v>4.3325519999999999E-2</v>
      </c>
      <c r="X5019">
        <v>0.9966661</v>
      </c>
      <c r="Y5019">
        <v>0.20317859999999999</v>
      </c>
      <c r="Z5019">
        <v>5.7001459999999997E-2</v>
      </c>
      <c r="AA5019">
        <v>0.97748109999999999</v>
      </c>
      <c r="AB5019">
        <v>47</v>
      </c>
      <c r="AC5019">
        <v>17.041799999999899</v>
      </c>
      <c r="AD5019">
        <v>3.8082470000000002</v>
      </c>
      <c r="AE5019">
        <v>80.045630000000003</v>
      </c>
      <c r="AF5019">
        <v>16.711746240824699</v>
      </c>
      <c r="AG5019">
        <v>3.8082470000000002</v>
      </c>
      <c r="AH5019">
        <v>79.934547066047401</v>
      </c>
      <c r="AI5019">
        <v>87.330014491101906</v>
      </c>
      <c r="AJ5019">
        <v>78.191381285364599</v>
      </c>
      <c r="AK5019">
        <v>81.751556696400996</v>
      </c>
      <c r="AL5019">
        <v>87.516853430159799</v>
      </c>
      <c r="AM5019">
        <v>93.968057239591701</v>
      </c>
      <c r="AN5019">
        <v>1.0000000554046899</v>
      </c>
    </row>
    <row r="5020" spans="1:40" x14ac:dyDescent="0.25">
      <c r="A5020" t="str">
        <f>"20190305135730961"</f>
        <v>20190305135730961</v>
      </c>
      <c r="B5020" t="str">
        <f>"1551765450957130"</f>
        <v>1551765450957130</v>
      </c>
      <c r="C5020" t="s">
        <v>40</v>
      </c>
      <c r="D5020">
        <v>3.6938200000000001</v>
      </c>
      <c r="E5020">
        <v>0.58527559999999901</v>
      </c>
      <c r="F5020" t="s">
        <v>98</v>
      </c>
      <c r="G5020">
        <v>-169.99870000000001</v>
      </c>
      <c r="H5020">
        <v>4.9182269999999999</v>
      </c>
      <c r="I5020">
        <v>96.29</v>
      </c>
      <c r="J5020">
        <v>-187.30760000000001</v>
      </c>
      <c r="K5020">
        <v>1.1106069999999999</v>
      </c>
      <c r="L5020">
        <v>15.53342</v>
      </c>
      <c r="M5020">
        <v>1.574527E-3</v>
      </c>
      <c r="N5020">
        <v>-1.1090650000000001E-2</v>
      </c>
      <c r="O5020">
        <v>0.99993719999999997</v>
      </c>
      <c r="P5020">
        <v>-6.4913890000000002E-2</v>
      </c>
      <c r="Q5020">
        <v>2.9944410000000001E-2</v>
      </c>
      <c r="R5020">
        <v>0.99744149999999998</v>
      </c>
      <c r="S5020">
        <v>0.64901730000000002</v>
      </c>
      <c r="T5020">
        <v>0.14277279999999901</v>
      </c>
      <c r="U5020">
        <v>3.0458370000000001</v>
      </c>
      <c r="V5020">
        <v>-6.6656869999999993E-2</v>
      </c>
      <c r="W5020">
        <v>4.0722849999999998E-2</v>
      </c>
      <c r="X5020">
        <v>0.99694459999999996</v>
      </c>
      <c r="Y5020">
        <v>0.20656640000000001</v>
      </c>
      <c r="Z5020">
        <v>5.6879150000000003E-2</v>
      </c>
      <c r="AA5020">
        <v>0.97677789999999998</v>
      </c>
      <c r="AB5020">
        <v>47</v>
      </c>
      <c r="AC5020">
        <v>17.308899999999898</v>
      </c>
      <c r="AD5020">
        <v>3.8076199999999898</v>
      </c>
      <c r="AE5020">
        <v>80.75658</v>
      </c>
      <c r="AF5020">
        <v>17.145276370228601</v>
      </c>
      <c r="AG5020">
        <v>3.8076199999999898</v>
      </c>
      <c r="AH5020">
        <v>80.612399617865506</v>
      </c>
      <c r="AI5020">
        <v>87.354800271905702</v>
      </c>
      <c r="AJ5020">
        <v>77.992804171794006</v>
      </c>
      <c r="AK5020">
        <v>82.5034389830289</v>
      </c>
      <c r="AL5020">
        <v>87.666107221551101</v>
      </c>
      <c r="AM5020">
        <v>93.825168891919702</v>
      </c>
      <c r="AN5020">
        <v>1.0000000121497301</v>
      </c>
    </row>
    <row r="5021" spans="1:40" x14ac:dyDescent="0.25">
      <c r="A5021" t="str">
        <f>"20190305135730984"</f>
        <v>20190305135730984</v>
      </c>
      <c r="B5021" t="str">
        <f>"1551765450977224"</f>
        <v>1551765450977224</v>
      </c>
      <c r="C5021" t="s">
        <v>40</v>
      </c>
      <c r="D5021">
        <v>3.790279</v>
      </c>
      <c r="E5021">
        <v>0.58186749999999998</v>
      </c>
      <c r="F5021" t="s">
        <v>70</v>
      </c>
      <c r="G5021">
        <v>-163.1823</v>
      </c>
      <c r="H5021">
        <v>11.256830000000001</v>
      </c>
      <c r="I5021">
        <v>167.71680000000001</v>
      </c>
      <c r="J5021">
        <v>-187.3081</v>
      </c>
      <c r="K5021">
        <v>1.1106830000000001</v>
      </c>
      <c r="L5021">
        <v>16.013670000000001</v>
      </c>
      <c r="M5021">
        <v>-4.5617070000000001E-4</v>
      </c>
      <c r="N5021">
        <v>-1.1363379999999999E-2</v>
      </c>
      <c r="O5021">
        <v>0.99993529999999997</v>
      </c>
      <c r="P5021">
        <v>-6.5298480000000006E-2</v>
      </c>
      <c r="Q5021">
        <v>2.6891439999999999E-2</v>
      </c>
      <c r="R5021">
        <v>0.99750329999999998</v>
      </c>
      <c r="S5021">
        <v>0.48080440000000002</v>
      </c>
      <c r="T5021">
        <v>0.2022091</v>
      </c>
      <c r="U5021">
        <v>3.0329280000000001</v>
      </c>
      <c r="V5021">
        <v>-6.5011979999999997E-2</v>
      </c>
      <c r="W5021">
        <v>3.7937899999999997E-2</v>
      </c>
      <c r="X5021">
        <v>0.99716309999999997</v>
      </c>
      <c r="Y5021">
        <v>0.15660639999999901</v>
      </c>
      <c r="Z5021">
        <v>7.7039159999999995E-2</v>
      </c>
      <c r="AA5021">
        <v>0.98465190000000002</v>
      </c>
      <c r="AB5021">
        <v>47</v>
      </c>
      <c r="AC5021">
        <v>24.125800000000002</v>
      </c>
      <c r="AD5021">
        <v>10.146146999999999</v>
      </c>
      <c r="AE5021">
        <v>151.70312999999999</v>
      </c>
      <c r="AF5021">
        <v>24.0899049099161</v>
      </c>
      <c r="AG5021">
        <v>10.146146999999999</v>
      </c>
      <c r="AH5021">
        <v>151.03317961165101</v>
      </c>
      <c r="AI5021">
        <v>86.204576042150293</v>
      </c>
      <c r="AJ5021">
        <v>80.937616349861202</v>
      </c>
      <c r="AK5021">
        <v>153.27846933316999</v>
      </c>
      <c r="AL5021">
        <v>87.825796781803206</v>
      </c>
      <c r="AM5021">
        <v>93.730230026735398</v>
      </c>
      <c r="AN5021">
        <v>1.00000004490076</v>
      </c>
    </row>
    <row r="5022" spans="1:40" x14ac:dyDescent="0.25">
      <c r="A5022" t="str">
        <f>"20190305135731006"</f>
        <v>20190305135731006</v>
      </c>
      <c r="B5022" t="str">
        <f>"1551765450997720"</f>
        <v>1551765450997720</v>
      </c>
      <c r="C5022" t="s">
        <v>40</v>
      </c>
      <c r="D5022">
        <v>3.8075830000000002</v>
      </c>
      <c r="E5022">
        <v>0.57976539999999999</v>
      </c>
      <c r="F5022" t="s">
        <v>70</v>
      </c>
      <c r="G5022">
        <v>-164.5274</v>
      </c>
      <c r="H5022">
        <v>12.87937</v>
      </c>
      <c r="I5022">
        <v>169.05940000000001</v>
      </c>
      <c r="J5022">
        <v>-187.30950000000001</v>
      </c>
      <c r="K5022">
        <v>1.1106849999999999</v>
      </c>
      <c r="L5022">
        <v>16.506959999999999</v>
      </c>
      <c r="M5022">
        <v>-2.4169230000000001E-3</v>
      </c>
      <c r="N5022">
        <v>-1.1606989999999999E-2</v>
      </c>
      <c r="O5022">
        <v>0.99992970000000003</v>
      </c>
      <c r="P5022">
        <v>-6.6543420000000006E-2</v>
      </c>
      <c r="Q5022">
        <v>2.2362300000000002E-2</v>
      </c>
      <c r="R5022">
        <v>0.99753289999999994</v>
      </c>
      <c r="S5022">
        <v>0.45112609999999997</v>
      </c>
      <c r="T5022">
        <v>0.2330557</v>
      </c>
      <c r="U5022">
        <v>3.0307620000000002</v>
      </c>
      <c r="V5022">
        <v>-6.4284839999999996E-2</v>
      </c>
      <c r="W5022">
        <v>3.3651979999999998E-2</v>
      </c>
      <c r="X5022">
        <v>0.99736400000000003</v>
      </c>
      <c r="Y5022">
        <v>0.14910950000000001</v>
      </c>
      <c r="Z5022">
        <v>8.7396130000000002E-2</v>
      </c>
      <c r="AA5022">
        <v>0.98495089999999996</v>
      </c>
      <c r="AB5022">
        <v>47</v>
      </c>
      <c r="AC5022">
        <v>22.7821</v>
      </c>
      <c r="AD5022">
        <v>11.768685</v>
      </c>
      <c r="AE5022">
        <v>152.55243999999999</v>
      </c>
      <c r="AF5022">
        <v>23.0167726261129</v>
      </c>
      <c r="AG5022">
        <v>11.768685</v>
      </c>
      <c r="AH5022">
        <v>151.61429866911499</v>
      </c>
      <c r="AI5022">
        <v>85.611538878514693</v>
      </c>
      <c r="AJ5022">
        <v>81.367762008967205</v>
      </c>
      <c r="AK5022">
        <v>153.80237101449001</v>
      </c>
      <c r="AL5022">
        <v>88.071519417261499</v>
      </c>
      <c r="AM5022">
        <v>93.687883373958798</v>
      </c>
      <c r="AN5022">
        <v>0.99999997245387195</v>
      </c>
    </row>
    <row r="5023" spans="1:40" x14ac:dyDescent="0.25">
      <c r="A5023" t="str">
        <f>"20190305135731026"</f>
        <v>20190305135731026</v>
      </c>
      <c r="B5023" t="str">
        <f>"1551765451017240"</f>
        <v>1551765451017240</v>
      </c>
      <c r="C5023" t="s">
        <v>40</v>
      </c>
      <c r="D5023">
        <v>3.7762820000000001</v>
      </c>
      <c r="E5023">
        <v>0.57877000000000001</v>
      </c>
      <c r="F5023" t="s">
        <v>70</v>
      </c>
      <c r="G5023">
        <v>-165.4888</v>
      </c>
      <c r="H5023">
        <v>11.32178</v>
      </c>
      <c r="I5023">
        <v>170.02080000000001</v>
      </c>
      <c r="J5023">
        <v>-187.31129999999999</v>
      </c>
      <c r="K5023">
        <v>1.1106510000000001</v>
      </c>
      <c r="L5023">
        <v>16.918700000000001</v>
      </c>
      <c r="M5023">
        <v>-3.9243999999999998E-3</v>
      </c>
      <c r="N5023">
        <v>-1.178364E-2</v>
      </c>
      <c r="O5023">
        <v>0.99992289999999995</v>
      </c>
      <c r="P5023">
        <v>-6.7120470000000002E-2</v>
      </c>
      <c r="Q5023">
        <v>1.7601149999999999E-2</v>
      </c>
      <c r="R5023">
        <v>0.99758959999999997</v>
      </c>
      <c r="S5023">
        <v>0.43092350000000001</v>
      </c>
      <c r="T5023">
        <v>0.2016529</v>
      </c>
      <c r="U5023">
        <v>3.031647</v>
      </c>
      <c r="V5023">
        <v>-6.3335130000000003E-2</v>
      </c>
      <c r="W5023">
        <v>2.907564E-2</v>
      </c>
      <c r="X5023">
        <v>0.99756869999999997</v>
      </c>
      <c r="Y5023">
        <v>0.1442348</v>
      </c>
      <c r="Z5023">
        <v>7.7449229999999994E-2</v>
      </c>
      <c r="AA5023">
        <v>0.98650800000000005</v>
      </c>
      <c r="AB5023">
        <v>47</v>
      </c>
      <c r="AC5023">
        <v>21.822499999999899</v>
      </c>
      <c r="AD5023">
        <v>10.211129</v>
      </c>
      <c r="AE5023">
        <v>153.10210000000001</v>
      </c>
      <c r="AF5023">
        <v>22.325874796721699</v>
      </c>
      <c r="AG5023">
        <v>10.211129</v>
      </c>
      <c r="AH5023">
        <v>152.35107925856599</v>
      </c>
      <c r="AI5023">
        <v>86.205962331235099</v>
      </c>
      <c r="AJ5023">
        <v>81.6630851901282</v>
      </c>
      <c r="AK5023">
        <v>154.31643850265399</v>
      </c>
      <c r="AL5023">
        <v>88.333853762707307</v>
      </c>
      <c r="AM5023">
        <v>93.632803995491599</v>
      </c>
      <c r="AN5023">
        <v>1.0000000213766</v>
      </c>
    </row>
    <row r="5024" spans="1:40" x14ac:dyDescent="0.25">
      <c r="A5024" t="str">
        <f>"20190305135731049"</f>
        <v>20190305135731049</v>
      </c>
      <c r="B5024" t="str">
        <f>"1551765451037736"</f>
        <v>1551765451037736</v>
      </c>
      <c r="C5024" t="s">
        <v>40</v>
      </c>
      <c r="D5024">
        <v>3.7704689999999998</v>
      </c>
      <c r="E5024">
        <v>0.57846569999999997</v>
      </c>
      <c r="F5024" t="s">
        <v>98</v>
      </c>
      <c r="G5024">
        <v>-175.87280000000001</v>
      </c>
      <c r="H5024">
        <v>5.7517870000000002</v>
      </c>
      <c r="I5024">
        <v>99.169880000000006</v>
      </c>
      <c r="J5024">
        <v>-187.3141</v>
      </c>
      <c r="K5024">
        <v>1.1105879999999999</v>
      </c>
      <c r="L5024">
        <v>17.39676</v>
      </c>
      <c r="M5024">
        <v>-5.5247530000000003E-3</v>
      </c>
      <c r="N5024">
        <v>-1.1964399999999899E-2</v>
      </c>
      <c r="O5024">
        <v>0.99991319999999995</v>
      </c>
      <c r="P5024">
        <v>-6.8358849999999999E-2</v>
      </c>
      <c r="Q5024">
        <v>1.3586350000000001E-2</v>
      </c>
      <c r="R5024">
        <v>0.99756829999999996</v>
      </c>
      <c r="S5024">
        <v>0.42173769999999999</v>
      </c>
      <c r="T5024">
        <v>0.17111899999999999</v>
      </c>
      <c r="U5024">
        <v>3.0325929999999999</v>
      </c>
      <c r="V5024">
        <v>-6.295589E-2</v>
      </c>
      <c r="W5024">
        <v>2.5252340000000002E-2</v>
      </c>
      <c r="X5024">
        <v>0.99769680000000005</v>
      </c>
      <c r="Y5024">
        <v>0.14293429999999999</v>
      </c>
      <c r="Z5024">
        <v>6.7724950000000006E-2</v>
      </c>
      <c r="AA5024">
        <v>0.98741230000000002</v>
      </c>
      <c r="AB5024">
        <v>47</v>
      </c>
      <c r="AC5024">
        <v>11.441299999999901</v>
      </c>
      <c r="AD5024">
        <v>4.6411989999999896</v>
      </c>
      <c r="AE5024">
        <v>81.773119999999906</v>
      </c>
      <c r="AF5024">
        <v>11.855476495106</v>
      </c>
      <c r="AG5024">
        <v>4.6411989999999896</v>
      </c>
      <c r="AH5024">
        <v>81.451310846351504</v>
      </c>
      <c r="AI5024">
        <v>86.772674687132707</v>
      </c>
      <c r="AJ5024">
        <v>81.718587333283807</v>
      </c>
      <c r="AK5024">
        <v>82.440336545119607</v>
      </c>
      <c r="AL5024">
        <v>88.552993700722595</v>
      </c>
      <c r="AM5024">
        <v>93.610646689251396</v>
      </c>
      <c r="AN5024">
        <v>1.0000000147457</v>
      </c>
    </row>
    <row r="5025" spans="1:40" x14ac:dyDescent="0.25">
      <c r="A5025" t="str">
        <f>"20190305135731071"</f>
        <v>20190305135731071</v>
      </c>
      <c r="B5025" t="str">
        <f>"1551765451067017"</f>
        <v>1551765451067017</v>
      </c>
      <c r="C5025" t="s">
        <v>40</v>
      </c>
      <c r="D5025">
        <v>3.8283369999999999</v>
      </c>
      <c r="E5025">
        <v>0.57838210000000001</v>
      </c>
      <c r="F5025" t="s">
        <v>98</v>
      </c>
      <c r="G5025">
        <v>-175.87289999999999</v>
      </c>
      <c r="H5025">
        <v>5.3466909999999999</v>
      </c>
      <c r="I5025">
        <v>100.8575</v>
      </c>
      <c r="J5025">
        <v>-187.3175</v>
      </c>
      <c r="K5025">
        <v>1.110519</v>
      </c>
      <c r="L5025">
        <v>17.8627</v>
      </c>
      <c r="M5025">
        <v>-6.9061180000000002E-3</v>
      </c>
      <c r="N5025">
        <v>-1.20471E-2</v>
      </c>
      <c r="O5025">
        <v>0.9999036</v>
      </c>
      <c r="P5025">
        <v>-6.9559949999999995E-2</v>
      </c>
      <c r="Q5025">
        <v>1.357029E-2</v>
      </c>
      <c r="R5025">
        <v>0.99748550000000002</v>
      </c>
      <c r="S5025">
        <v>0.41587829999999898</v>
      </c>
      <c r="T5025">
        <v>0.15397930000000001</v>
      </c>
      <c r="U5025">
        <v>3.033722</v>
      </c>
      <c r="V5025">
        <v>-6.2776410000000005E-2</v>
      </c>
      <c r="W5025">
        <v>2.5327659999999998E-2</v>
      </c>
      <c r="X5025">
        <v>0.99770619999999999</v>
      </c>
      <c r="Y5025">
        <v>0.14242379999999999</v>
      </c>
      <c r="Z5025">
        <v>6.2229989999999999E-2</v>
      </c>
      <c r="AA5025">
        <v>0.98784760000000005</v>
      </c>
      <c r="AB5025">
        <v>47</v>
      </c>
      <c r="AC5025">
        <v>11.444599999999999</v>
      </c>
      <c r="AD5025">
        <v>4.2361719999999998</v>
      </c>
      <c r="AE5025">
        <v>82.994799999999998</v>
      </c>
      <c r="AF5025">
        <v>11.9868946693627</v>
      </c>
      <c r="AG5025">
        <v>4.2361719999999998</v>
      </c>
      <c r="AH5025">
        <v>82.702339233188994</v>
      </c>
      <c r="AI5025">
        <v>87.098033905740195</v>
      </c>
      <c r="AJ5025">
        <v>81.752967799790994</v>
      </c>
      <c r="AK5025">
        <v>83.673817360447003</v>
      </c>
      <c r="AL5025">
        <v>88.548676801971098</v>
      </c>
      <c r="AM5025">
        <v>93.600346433128394</v>
      </c>
      <c r="AN5025">
        <v>1.000000014766</v>
      </c>
    </row>
    <row r="5026" spans="1:40" x14ac:dyDescent="0.25">
      <c r="A5026" t="str">
        <f>"20190305135731113"</f>
        <v>20190305135731113</v>
      </c>
      <c r="B5026" t="str">
        <f>"1551765451107032"</f>
        <v>1551765451107032</v>
      </c>
      <c r="C5026" t="s">
        <v>40</v>
      </c>
      <c r="D5026">
        <v>3.8144990000000001</v>
      </c>
      <c r="E5026">
        <v>0.57817919999999901</v>
      </c>
      <c r="F5026" t="s">
        <v>98</v>
      </c>
      <c r="G5026">
        <v>-175.87289999999999</v>
      </c>
      <c r="H5026">
        <v>5.2962480000000003</v>
      </c>
      <c r="I5026">
        <v>102.2782</v>
      </c>
      <c r="J5026">
        <v>-187.3252</v>
      </c>
      <c r="K5026">
        <v>1.1097349999999999</v>
      </c>
      <c r="L5026">
        <v>18.753299999999999</v>
      </c>
      <c r="M5026">
        <v>-9.1120060000000006E-3</v>
      </c>
      <c r="N5026">
        <v>-9.8035210000000008E-3</v>
      </c>
      <c r="O5026">
        <v>0.99991039999999998</v>
      </c>
      <c r="P5026">
        <v>-7.0815439999999993E-2</v>
      </c>
      <c r="Q5026">
        <v>1.7888540000000001E-2</v>
      </c>
      <c r="R5026">
        <v>0.99732900000000002</v>
      </c>
      <c r="S5026">
        <v>0.4113617</v>
      </c>
      <c r="T5026">
        <v>0.150451799999999</v>
      </c>
      <c r="U5026">
        <v>3.0342099999999999</v>
      </c>
      <c r="V5026">
        <v>-6.1827640000000003E-2</v>
      </c>
      <c r="W5026">
        <v>2.7439789999999999E-2</v>
      </c>
      <c r="X5026">
        <v>0.99770959999999997</v>
      </c>
      <c r="Y5026">
        <v>0.1431645</v>
      </c>
      <c r="Z5026">
        <v>5.8837529999999999E-2</v>
      </c>
      <c r="AA5026">
        <v>0.98794839999999995</v>
      </c>
      <c r="AB5026">
        <v>47</v>
      </c>
      <c r="AC5026">
        <v>11.452299999999999</v>
      </c>
      <c r="AD5026">
        <v>4.1865129999999997</v>
      </c>
      <c r="AE5026">
        <v>83.524900000000002</v>
      </c>
      <c r="AF5026">
        <v>12.182898090166599</v>
      </c>
      <c r="AG5026">
        <v>4.1865129999999997</v>
      </c>
      <c r="AH5026">
        <v>83.211877418320995</v>
      </c>
      <c r="AI5026">
        <v>87.150124071310501</v>
      </c>
      <c r="AJ5026">
        <v>81.670608242548695</v>
      </c>
      <c r="AK5026">
        <v>84.203126072944798</v>
      </c>
      <c r="AL5026">
        <v>88.427618516909803</v>
      </c>
      <c r="AM5026">
        <v>93.546060524161902</v>
      </c>
      <c r="AN5026">
        <v>1.0000000225376799</v>
      </c>
    </row>
    <row r="5027" spans="1:40" x14ac:dyDescent="0.25">
      <c r="A5027" t="str">
        <f>"20190305135731135"</f>
        <v>20190305135731135</v>
      </c>
      <c r="B5027" t="str">
        <f>"1551765451127529"</f>
        <v>1551765451127529</v>
      </c>
      <c r="C5027" t="s">
        <v>40</v>
      </c>
      <c r="D5027">
        <v>3.8379650000000001</v>
      </c>
      <c r="E5027">
        <v>0.57823780000000002</v>
      </c>
      <c r="F5027" t="s">
        <v>98</v>
      </c>
      <c r="G5027">
        <v>-175.87280000000001</v>
      </c>
      <c r="H5027">
        <v>5.4857189999999996</v>
      </c>
      <c r="I5027">
        <v>104.26649999999999</v>
      </c>
      <c r="J5027">
        <v>-187.32990000000001</v>
      </c>
      <c r="K5027">
        <v>1.109354</v>
      </c>
      <c r="L5027">
        <v>19.22186</v>
      </c>
      <c r="M5027">
        <v>-1.0111999999999999E-2</v>
      </c>
      <c r="N5027">
        <v>-8.4896999999999993E-3</v>
      </c>
      <c r="O5027">
        <v>0.99991289999999999</v>
      </c>
      <c r="P5027">
        <v>-7.1496630000000005E-2</v>
      </c>
      <c r="Q5027">
        <v>1.9552710000000001E-2</v>
      </c>
      <c r="R5027">
        <v>0.99724919999999995</v>
      </c>
      <c r="S5027">
        <v>0.40634160000000002</v>
      </c>
      <c r="T5027">
        <v>0.15526470000000001</v>
      </c>
      <c r="U5027">
        <v>3.0340880000000001</v>
      </c>
      <c r="V5027">
        <v>-6.1504919999999998E-2</v>
      </c>
      <c r="W5027">
        <v>2.781254E-2</v>
      </c>
      <c r="X5027">
        <v>0.99771920000000003</v>
      </c>
      <c r="Y5027">
        <v>0.14254979999999901</v>
      </c>
      <c r="Z5027">
        <v>5.9098820000000003E-2</v>
      </c>
      <c r="AA5027">
        <v>0.9880217</v>
      </c>
      <c r="AB5027">
        <v>48</v>
      </c>
      <c r="AC5027">
        <v>11.457099999999899</v>
      </c>
      <c r="AD5027">
        <v>4.3763649999999998</v>
      </c>
      <c r="AE5027">
        <v>85.044639999999902</v>
      </c>
      <c r="AF5027">
        <v>12.284565728797</v>
      </c>
      <c r="AG5027">
        <v>4.3763649999999998</v>
      </c>
      <c r="AH5027">
        <v>84.704127180017906</v>
      </c>
      <c r="AI5027">
        <v>87.072926944729005</v>
      </c>
      <c r="AJ5027">
        <v>81.747978215558703</v>
      </c>
      <c r="AK5027">
        <v>85.702113667557896</v>
      </c>
      <c r="AL5027">
        <v>88.406253320679298</v>
      </c>
      <c r="AM5027">
        <v>93.527564256140096</v>
      </c>
      <c r="AN5027">
        <v>0.99999999730704903</v>
      </c>
    </row>
    <row r="5028" spans="1:40" x14ac:dyDescent="0.25">
      <c r="A5028" t="str">
        <f>"20190305135731159"</f>
        <v>20190305135731159</v>
      </c>
      <c r="B5028" t="str">
        <f>"1551765451157784"</f>
        <v>1551765451157784</v>
      </c>
      <c r="C5028" t="s">
        <v>40</v>
      </c>
      <c r="D5028">
        <v>3.8722500000000002</v>
      </c>
      <c r="E5028">
        <v>0.57827390000000001</v>
      </c>
      <c r="F5028" t="s">
        <v>70</v>
      </c>
      <c r="G5028">
        <v>-167.04069999999999</v>
      </c>
      <c r="H5028">
        <v>9.9782189999999993</v>
      </c>
      <c r="I5028">
        <v>171.572</v>
      </c>
      <c r="J5028">
        <v>-187.3355</v>
      </c>
      <c r="K5028">
        <v>1.1090660000000001</v>
      </c>
      <c r="L5028">
        <v>19.754819999999999</v>
      </c>
      <c r="M5028">
        <v>-1.114324E-2</v>
      </c>
      <c r="N5028">
        <v>-7.2581199999999998E-3</v>
      </c>
      <c r="O5028">
        <v>0.99991149999999995</v>
      </c>
      <c r="P5028">
        <v>-7.1908559999999996E-2</v>
      </c>
      <c r="Q5028">
        <v>2.125171E-2</v>
      </c>
      <c r="R5028">
        <v>0.99718479999999998</v>
      </c>
      <c r="S5028">
        <v>0.4040222</v>
      </c>
      <c r="T5028">
        <v>0.1766083</v>
      </c>
      <c r="U5028">
        <v>3.0337830000000001</v>
      </c>
      <c r="V5028">
        <v>-6.0882270000000002E-2</v>
      </c>
      <c r="W5028">
        <v>2.8301099999999999E-2</v>
      </c>
      <c r="X5028">
        <v>0.99774370000000001</v>
      </c>
      <c r="Y5028">
        <v>0.14279510000000001</v>
      </c>
      <c r="Z5028">
        <v>6.4808770000000002E-2</v>
      </c>
      <c r="AA5028">
        <v>0.98762819999999996</v>
      </c>
      <c r="AB5028">
        <v>48</v>
      </c>
      <c r="AC5028">
        <v>20.294799999999999</v>
      </c>
      <c r="AD5028">
        <v>8.8691530000000007</v>
      </c>
      <c r="AE5028">
        <v>151.81718000000001</v>
      </c>
      <c r="AF5028">
        <v>21.911849981111601</v>
      </c>
      <c r="AG5028">
        <v>8.8691530000000007</v>
      </c>
      <c r="AH5028">
        <v>151.07504711753401</v>
      </c>
      <c r="AI5028">
        <v>86.674909452312093</v>
      </c>
      <c r="AJ5028">
        <v>81.747395949499094</v>
      </c>
      <c r="AK5028">
        <v>152.91324633954099</v>
      </c>
      <c r="AL5028">
        <v>88.3782499507371</v>
      </c>
      <c r="AM5028">
        <v>93.491855957834602</v>
      </c>
      <c r="AN5028">
        <v>1.0000000469756201</v>
      </c>
    </row>
    <row r="5029" spans="1:40" x14ac:dyDescent="0.25">
      <c r="A5029" t="str">
        <f>"20190305135731181"</f>
        <v>20190305135731181</v>
      </c>
      <c r="B5029" t="str">
        <f>"1551765451177304"</f>
        <v>1551765451177304</v>
      </c>
      <c r="C5029" t="s">
        <v>40</v>
      </c>
      <c r="D5029">
        <v>3.9118189999999999</v>
      </c>
      <c r="E5029">
        <v>0.5784186</v>
      </c>
      <c r="F5029" t="s">
        <v>70</v>
      </c>
      <c r="G5029">
        <v>-167.16499999999999</v>
      </c>
      <c r="H5029">
        <v>10.713760000000001</v>
      </c>
      <c r="I5029">
        <v>171.69560000000001</v>
      </c>
      <c r="J5029">
        <v>-187.34100000000001</v>
      </c>
      <c r="K5029">
        <v>1.108954</v>
      </c>
      <c r="L5029">
        <v>20.230440000000002</v>
      </c>
      <c r="M5029">
        <v>-1.1966589999999999E-2</v>
      </c>
      <c r="N5029">
        <v>-6.4864450000000004E-3</v>
      </c>
      <c r="O5029">
        <v>0.9999074</v>
      </c>
      <c r="P5029">
        <v>-7.1308049999999998E-2</v>
      </c>
      <c r="Q5029">
        <v>2.2402229999999999E-2</v>
      </c>
      <c r="R5029">
        <v>0.99720279999999994</v>
      </c>
      <c r="S5029">
        <v>0.40269470000000002</v>
      </c>
      <c r="T5029">
        <v>0.19175310000000001</v>
      </c>
      <c r="U5029">
        <v>3.033417</v>
      </c>
      <c r="V5029">
        <v>-5.9456639999999998E-2</v>
      </c>
      <c r="W5029">
        <v>2.8694810000000001E-2</v>
      </c>
      <c r="X5029">
        <v>0.99781839999999999</v>
      </c>
      <c r="Y5029">
        <v>0.143164299999999</v>
      </c>
      <c r="Z5029">
        <v>6.8960259999999995E-2</v>
      </c>
      <c r="AA5029">
        <v>0.98729350000000005</v>
      </c>
      <c r="AB5029">
        <v>48</v>
      </c>
      <c r="AC5029">
        <v>20.175999999999899</v>
      </c>
      <c r="AD5029">
        <v>9.604806</v>
      </c>
      <c r="AE5029">
        <v>151.46516</v>
      </c>
      <c r="AF5029">
        <v>21.900584367569401</v>
      </c>
      <c r="AG5029">
        <v>9.604806</v>
      </c>
      <c r="AH5029">
        <v>150.61777195124401</v>
      </c>
      <c r="AI5029">
        <v>86.389093049062794</v>
      </c>
      <c r="AJ5029">
        <v>81.726884426933594</v>
      </c>
      <c r="AK5029">
        <v>152.50442984220399</v>
      </c>
      <c r="AL5029">
        <v>88.3556828232377</v>
      </c>
      <c r="AM5029">
        <v>93.4100306218686</v>
      </c>
      <c r="AN5029">
        <v>1.00000002176979</v>
      </c>
    </row>
    <row r="5030" spans="1:40" x14ac:dyDescent="0.25">
      <c r="A5030" t="str">
        <f>"20190305135731202"</f>
        <v>20190305135731202</v>
      </c>
      <c r="B5030" t="str">
        <f>"1551765451197801"</f>
        <v>1551765451197801</v>
      </c>
      <c r="C5030" t="s">
        <v>40</v>
      </c>
      <c r="D5030">
        <v>3.8904899999999998</v>
      </c>
      <c r="E5030">
        <v>0.57826699999999998</v>
      </c>
      <c r="F5030" t="s">
        <v>70</v>
      </c>
      <c r="G5030">
        <v>-167.0865</v>
      </c>
      <c r="H5030">
        <v>10.96552</v>
      </c>
      <c r="I5030">
        <v>171.61709999999999</v>
      </c>
      <c r="J5030">
        <v>-187.3467</v>
      </c>
      <c r="K5030">
        <v>1.1089389999999999</v>
      </c>
      <c r="L5030">
        <v>20.700469999999999</v>
      </c>
      <c r="M5030">
        <v>-1.270757E-2</v>
      </c>
      <c r="N5030">
        <v>-6.0131550000000001E-3</v>
      </c>
      <c r="O5030">
        <v>0.99990120000000005</v>
      </c>
      <c r="P5030">
        <v>-7.0117940000000004E-2</v>
      </c>
      <c r="Q5030">
        <v>2.2754010000000002E-2</v>
      </c>
      <c r="R5030">
        <v>0.99727920000000003</v>
      </c>
      <c r="S5030">
        <v>0.40579219999999999</v>
      </c>
      <c r="T5030">
        <v>0.19747400000000001</v>
      </c>
      <c r="U5030">
        <v>3.0329899999999999</v>
      </c>
      <c r="V5030">
        <v>-5.752401E-2</v>
      </c>
      <c r="W5030">
        <v>2.8585180000000002E-2</v>
      </c>
      <c r="X5030">
        <v>0.99793480000000001</v>
      </c>
      <c r="Y5030">
        <v>0.14489279999999999</v>
      </c>
      <c r="Z5030">
        <v>7.0339390000000002E-2</v>
      </c>
      <c r="AA5030">
        <v>0.98694400000000004</v>
      </c>
      <c r="AB5030">
        <v>48</v>
      </c>
      <c r="AC5030">
        <v>20.260200000000001</v>
      </c>
      <c r="AD5030">
        <v>9.8565810000000003</v>
      </c>
      <c r="AE5030">
        <v>150.91663</v>
      </c>
      <c r="AF5030">
        <v>22.083849481051001</v>
      </c>
      <c r="AG5030">
        <v>9.8565810000000003</v>
      </c>
      <c r="AH5030">
        <v>150.01839408660999</v>
      </c>
      <c r="AI5030">
        <v>86.280894257004306</v>
      </c>
      <c r="AJ5030">
        <v>81.625769589392306</v>
      </c>
      <c r="AK5030">
        <v>151.95514851836001</v>
      </c>
      <c r="AL5030">
        <v>88.361966692687901</v>
      </c>
      <c r="AM5030">
        <v>93.299053024363701</v>
      </c>
      <c r="AN5030">
        <v>0.99999999464657596</v>
      </c>
    </row>
    <row r="5031" spans="1:40" x14ac:dyDescent="0.25">
      <c r="A5031" t="str">
        <f>"20190305135731226"</f>
        <v>20190305135731226</v>
      </c>
      <c r="B5031" t="str">
        <f>"1551765451217321"</f>
        <v>1551765451217321</v>
      </c>
      <c r="C5031" t="s">
        <v>40</v>
      </c>
      <c r="D5031">
        <v>3.868036</v>
      </c>
      <c r="E5031">
        <v>0.57824249999999999</v>
      </c>
      <c r="F5031" t="s">
        <v>70</v>
      </c>
      <c r="G5031">
        <v>-167.0248</v>
      </c>
      <c r="H5031">
        <v>10.75778</v>
      </c>
      <c r="I5031">
        <v>171.5556</v>
      </c>
      <c r="J5031">
        <v>-187.35339999999999</v>
      </c>
      <c r="K5031">
        <v>1.1089690000000001</v>
      </c>
      <c r="L5031">
        <v>21.205439999999999</v>
      </c>
      <c r="M5031">
        <v>-1.346697E-2</v>
      </c>
      <c r="N5031">
        <v>-5.7130080000000003E-3</v>
      </c>
      <c r="O5031">
        <v>0.99989300000000003</v>
      </c>
      <c r="P5031">
        <v>-6.8804809999999994E-2</v>
      </c>
      <c r="Q5031">
        <v>2.175117E-2</v>
      </c>
      <c r="R5031">
        <v>0.99739299999999997</v>
      </c>
      <c r="S5031">
        <v>0.40850829999999999</v>
      </c>
      <c r="T5031">
        <v>0.1939603</v>
      </c>
      <c r="U5031">
        <v>3.0324710000000001</v>
      </c>
      <c r="V5031">
        <v>-5.5446420000000003E-2</v>
      </c>
      <c r="W5031">
        <v>2.729202E-2</v>
      </c>
      <c r="X5031">
        <v>0.99808859999999999</v>
      </c>
      <c r="Y5031">
        <v>0.1465466</v>
      </c>
      <c r="Z5031">
        <v>6.8898680000000004E-2</v>
      </c>
      <c r="AA5031">
        <v>0.98680140000000005</v>
      </c>
      <c r="AB5031">
        <v>49</v>
      </c>
      <c r="AC5031">
        <v>20.328599999999899</v>
      </c>
      <c r="AD5031">
        <v>9.6488110000000002</v>
      </c>
      <c r="AE5031">
        <v>150.35015999999999</v>
      </c>
      <c r="AF5031">
        <v>22.261512414626399</v>
      </c>
      <c r="AG5031">
        <v>9.6488110000000002</v>
      </c>
      <c r="AH5031">
        <v>149.45826216205199</v>
      </c>
      <c r="AI5031">
        <v>86.346387988245198</v>
      </c>
      <c r="AJ5031">
        <v>81.528191086452594</v>
      </c>
      <c r="AK5031">
        <v>151.41481637277499</v>
      </c>
      <c r="AL5031">
        <v>88.436088261277803</v>
      </c>
      <c r="AM5031">
        <v>93.179661485426905</v>
      </c>
      <c r="AN5031">
        <v>1.00000000664822</v>
      </c>
    </row>
    <row r="5032" spans="1:40" x14ac:dyDescent="0.25">
      <c r="A5032" t="str">
        <f>"20190305135731248"</f>
        <v>20190305135731248</v>
      </c>
      <c r="B5032" t="str">
        <f>"1551765451237817"</f>
        <v>1551765451237817</v>
      </c>
      <c r="C5032" t="s">
        <v>40</v>
      </c>
      <c r="D5032">
        <v>3.9227379999999998</v>
      </c>
      <c r="E5032">
        <v>0.57828210000000002</v>
      </c>
      <c r="F5032" t="s">
        <v>70</v>
      </c>
      <c r="G5032">
        <v>-166.91309999999999</v>
      </c>
      <c r="H5032">
        <v>10.40601</v>
      </c>
      <c r="I5032">
        <v>171.4442</v>
      </c>
      <c r="J5032">
        <v>-187.36009999999999</v>
      </c>
      <c r="K5032">
        <v>1.1090139999999999</v>
      </c>
      <c r="L5032">
        <v>21.684329999999999</v>
      </c>
      <c r="M5032">
        <v>-1.4186539999999999E-2</v>
      </c>
      <c r="N5032">
        <v>-5.5329899999999998E-3</v>
      </c>
      <c r="O5032">
        <v>0.99988410000000005</v>
      </c>
      <c r="P5032">
        <v>-6.8024299999999996E-2</v>
      </c>
      <c r="Q5032">
        <v>2.1219439999999999E-2</v>
      </c>
      <c r="R5032">
        <v>0.99745799999999996</v>
      </c>
      <c r="S5032">
        <v>0.41253659999999998</v>
      </c>
      <c r="T5032">
        <v>0.18763830000000001</v>
      </c>
      <c r="U5032">
        <v>3.0321959999999999</v>
      </c>
      <c r="V5032">
        <v>-5.3943930000000001E-2</v>
      </c>
      <c r="W5032">
        <v>2.6587039999999999E-2</v>
      </c>
      <c r="X5032">
        <v>0.99818989999999996</v>
      </c>
      <c r="Y5032">
        <v>0.14857670000000001</v>
      </c>
      <c r="Z5032">
        <v>6.665799E-2</v>
      </c>
      <c r="AA5032">
        <v>0.98665179999999997</v>
      </c>
      <c r="AB5032">
        <v>49</v>
      </c>
      <c r="AC5032">
        <v>20.446999999999999</v>
      </c>
      <c r="AD5032">
        <v>9.296996</v>
      </c>
      <c r="AE5032">
        <v>149.75987000000001</v>
      </c>
      <c r="AF5032">
        <v>22.484483063122202</v>
      </c>
      <c r="AG5032">
        <v>9.296996</v>
      </c>
      <c r="AH5032">
        <v>148.891417894022</v>
      </c>
      <c r="AI5032">
        <v>86.4669621088414</v>
      </c>
      <c r="AJ5032">
        <v>81.412500700906605</v>
      </c>
      <c r="AK5032">
        <v>150.866299867572</v>
      </c>
      <c r="AL5032">
        <v>88.476495215289106</v>
      </c>
      <c r="AM5032">
        <v>93.093355197504494</v>
      </c>
      <c r="AN5032">
        <v>0.99999994737090603</v>
      </c>
    </row>
    <row r="5033" spans="1:40" x14ac:dyDescent="0.25">
      <c r="A5033" t="str">
        <f>"20190305135731272"</f>
        <v>20190305135731272</v>
      </c>
      <c r="B5033" t="str">
        <f>"1551765451267096"</f>
        <v>1551765451267096</v>
      </c>
      <c r="C5033" t="s">
        <v>40</v>
      </c>
      <c r="D5033">
        <v>3.9546299999999999</v>
      </c>
      <c r="E5033">
        <v>0.57823930000000001</v>
      </c>
      <c r="F5033" t="s">
        <v>70</v>
      </c>
      <c r="G5033">
        <v>-166.85890000000001</v>
      </c>
      <c r="H5033">
        <v>10.154310000000001</v>
      </c>
      <c r="I5033">
        <v>171.3903</v>
      </c>
      <c r="J5033">
        <v>-187.3681</v>
      </c>
      <c r="K5033">
        <v>1.109049</v>
      </c>
      <c r="L5033">
        <v>22.217860000000002</v>
      </c>
      <c r="M5033">
        <v>-1.501867E-2</v>
      </c>
      <c r="N5033">
        <v>-5.3968369999999998E-3</v>
      </c>
      <c r="O5033">
        <v>0.9998726</v>
      </c>
      <c r="P5033">
        <v>-6.7336229999999997E-2</v>
      </c>
      <c r="Q5033">
        <v>2.1568009999999999E-2</v>
      </c>
      <c r="R5033">
        <v>0.99749719999999997</v>
      </c>
      <c r="S5033">
        <v>0.41522219999999999</v>
      </c>
      <c r="T5033">
        <v>0.1831998</v>
      </c>
      <c r="U5033">
        <v>3.0320740000000002</v>
      </c>
      <c r="V5033">
        <v>-5.2424739999999997E-2</v>
      </c>
      <c r="W5033">
        <v>2.6805829999999999E-2</v>
      </c>
      <c r="X5033">
        <v>0.99826499999999996</v>
      </c>
      <c r="Y5033">
        <v>0.15027599999999999</v>
      </c>
      <c r="Z5033">
        <v>6.5072110000000002E-2</v>
      </c>
      <c r="AA5033">
        <v>0.9865003</v>
      </c>
      <c r="AB5033">
        <v>49</v>
      </c>
      <c r="AC5033">
        <v>20.5092</v>
      </c>
      <c r="AD5033">
        <v>9.045261</v>
      </c>
      <c r="AE5033">
        <v>149.17243999999999</v>
      </c>
      <c r="AF5033">
        <v>22.665501626452599</v>
      </c>
      <c r="AG5033">
        <v>9.045261</v>
      </c>
      <c r="AH5033">
        <v>148.312397187264</v>
      </c>
      <c r="AI5033">
        <v>86.549930617402794</v>
      </c>
      <c r="AJ5033">
        <v>81.311130044654902</v>
      </c>
      <c r="AK5033">
        <v>150.306715984249</v>
      </c>
      <c r="AL5033">
        <v>88.463955017920696</v>
      </c>
      <c r="AM5033">
        <v>93.006175287041202</v>
      </c>
      <c r="AN5033">
        <v>0.99999995805552699</v>
      </c>
    </row>
    <row r="5034" spans="1:40" x14ac:dyDescent="0.25">
      <c r="A5034" t="str">
        <f>"20190305135731325"</f>
        <v>20190305135731325</v>
      </c>
      <c r="B5034" t="str">
        <f>"1551765451317849"</f>
        <v>1551765451317849</v>
      </c>
      <c r="C5034" t="s">
        <v>40</v>
      </c>
      <c r="D5034">
        <v>3.9594369999999999</v>
      </c>
      <c r="E5034">
        <v>0.57810139999999999</v>
      </c>
      <c r="F5034" t="s">
        <v>70</v>
      </c>
      <c r="G5034">
        <v>-166.85730000000001</v>
      </c>
      <c r="H5034">
        <v>10.116580000000001</v>
      </c>
      <c r="I5034">
        <v>171.3887</v>
      </c>
      <c r="J5034">
        <v>-187.38720000000001</v>
      </c>
      <c r="K5034">
        <v>1.1091070000000001</v>
      </c>
      <c r="L5034">
        <v>23.381959999999999</v>
      </c>
      <c r="M5034">
        <v>-1.6985500000000001E-2</v>
      </c>
      <c r="N5034">
        <v>-5.2484469999999998E-3</v>
      </c>
      <c r="O5034">
        <v>0.99984200000000001</v>
      </c>
      <c r="P5034">
        <v>-6.4024940000000002E-2</v>
      </c>
      <c r="Q5034">
        <v>2.1832890000000001E-2</v>
      </c>
      <c r="R5034">
        <v>0.99770950000000003</v>
      </c>
      <c r="S5034">
        <v>0.41685489999999997</v>
      </c>
      <c r="T5034">
        <v>0.18306720000000001</v>
      </c>
      <c r="U5034">
        <v>3.0317080000000001</v>
      </c>
      <c r="V5034">
        <v>-4.7145380000000001E-2</v>
      </c>
      <c r="W5034">
        <v>2.694073E-2</v>
      </c>
      <c r="X5034">
        <v>0.99852470000000004</v>
      </c>
      <c r="Y5034">
        <v>0.15275910000000001</v>
      </c>
      <c r="Z5034">
        <v>6.4872289999999999E-2</v>
      </c>
      <c r="AA5034">
        <v>0.98613200000000001</v>
      </c>
      <c r="AB5034">
        <v>49</v>
      </c>
      <c r="AC5034">
        <v>20.529900000000001</v>
      </c>
      <c r="AD5034">
        <v>9.0074729999999992</v>
      </c>
      <c r="AE5034">
        <v>148.00673999999901</v>
      </c>
      <c r="AF5034">
        <v>22.957517145897199</v>
      </c>
      <c r="AG5034">
        <v>9.0074729999999992</v>
      </c>
      <c r="AH5034">
        <v>147.102125652486</v>
      </c>
      <c r="AI5034">
        <v>86.537800576579897</v>
      </c>
      <c r="AJ5034">
        <v>81.129679155813506</v>
      </c>
      <c r="AK5034">
        <v>149.155011765712</v>
      </c>
      <c r="AL5034">
        <v>88.456223140466605</v>
      </c>
      <c r="AM5034">
        <v>92.703214782196198</v>
      </c>
      <c r="AN5034">
        <v>1.0000000331491801</v>
      </c>
    </row>
    <row r="5035" spans="1:40" x14ac:dyDescent="0.25">
      <c r="A5035" t="str">
        <f>"20190305135731349"</f>
        <v>20190305135731349</v>
      </c>
      <c r="B5035" t="str">
        <f>"1551765451337369"</f>
        <v>1551765451337369</v>
      </c>
      <c r="C5035" t="s">
        <v>40</v>
      </c>
      <c r="D5035">
        <v>3.9876130000000001</v>
      </c>
      <c r="E5035">
        <v>0.57808459999999995</v>
      </c>
      <c r="F5035" t="s">
        <v>70</v>
      </c>
      <c r="G5035">
        <v>-166.6174</v>
      </c>
      <c r="H5035">
        <v>10.012510000000001</v>
      </c>
      <c r="I5035">
        <v>171.1491</v>
      </c>
      <c r="J5035">
        <v>-187.3964</v>
      </c>
      <c r="K5035">
        <v>1.1091249999999999</v>
      </c>
      <c r="L5035">
        <v>23.90042</v>
      </c>
      <c r="M5035">
        <v>-1.7912000000000001E-2</v>
      </c>
      <c r="N5035">
        <v>-5.2255369999999997E-3</v>
      </c>
      <c r="O5035">
        <v>0.99982590000000005</v>
      </c>
      <c r="P5035">
        <v>-6.3960050000000004E-2</v>
      </c>
      <c r="Q5035">
        <v>2.1988049999999999E-2</v>
      </c>
      <c r="R5035">
        <v>0.99771019999999999</v>
      </c>
      <c r="S5035">
        <v>0.42591859999999998</v>
      </c>
      <c r="T5035">
        <v>0.18257979999999999</v>
      </c>
      <c r="U5035">
        <v>3.0302120000000001</v>
      </c>
      <c r="V5035">
        <v>-4.6154840000000003E-2</v>
      </c>
      <c r="W5035">
        <v>2.7076099999999902E-2</v>
      </c>
      <c r="X5035">
        <v>0.99856730000000005</v>
      </c>
      <c r="Y5035">
        <v>0.1566351</v>
      </c>
      <c r="Z5035">
        <v>6.4688910000000002E-2</v>
      </c>
      <c r="AA5035">
        <v>0.98553579999999996</v>
      </c>
      <c r="AB5035">
        <v>49</v>
      </c>
      <c r="AC5035">
        <v>20.779</v>
      </c>
      <c r="AD5035">
        <v>8.9033850000000001</v>
      </c>
      <c r="AE5035">
        <v>147.24868000000001</v>
      </c>
      <c r="AF5035">
        <v>23.3295927495253</v>
      </c>
      <c r="AG5035">
        <v>8.9033850000000001</v>
      </c>
      <c r="AH5035">
        <v>146.32832460999899</v>
      </c>
      <c r="AI5035">
        <v>86.561437851762904</v>
      </c>
      <c r="AJ5035">
        <v>80.941390621486406</v>
      </c>
      <c r="AK5035">
        <v>148.443655120339</v>
      </c>
      <c r="AL5035">
        <v>88.448464157949601</v>
      </c>
      <c r="AM5035">
        <v>92.646388218103098</v>
      </c>
      <c r="AN5035">
        <v>1.0000000185379601</v>
      </c>
    </row>
    <row r="5036" spans="1:40" x14ac:dyDescent="0.25">
      <c r="A5036" t="str">
        <f>"20190305135731373"</f>
        <v>20190305135731373</v>
      </c>
      <c r="B5036" t="str">
        <f>"1551765451367625"</f>
        <v>1551765451367625</v>
      </c>
      <c r="C5036" t="s">
        <v>40</v>
      </c>
      <c r="D5036">
        <v>4.00997</v>
      </c>
      <c r="E5036">
        <v>0.57812339999999995</v>
      </c>
      <c r="F5036" t="s">
        <v>70</v>
      </c>
      <c r="G5036">
        <v>-166.6841</v>
      </c>
      <c r="H5036">
        <v>9.9925010000000007</v>
      </c>
      <c r="I5036">
        <v>171.2157</v>
      </c>
      <c r="J5036">
        <v>-187.40620000000001</v>
      </c>
      <c r="K5036">
        <v>1.10914</v>
      </c>
      <c r="L5036">
        <v>24.419830000000001</v>
      </c>
      <c r="M5036">
        <v>-1.8858670000000001E-2</v>
      </c>
      <c r="N5036">
        <v>-5.2250550000000002E-3</v>
      </c>
      <c r="O5036">
        <v>0.99980849999999999</v>
      </c>
      <c r="P5036">
        <v>-6.4102740000000005E-2</v>
      </c>
      <c r="Q5036">
        <v>2.2127589999999999E-2</v>
      </c>
      <c r="R5036">
        <v>0.99769790000000003</v>
      </c>
      <c r="S5036">
        <v>0.42604059999999999</v>
      </c>
      <c r="T5036">
        <v>0.182726</v>
      </c>
      <c r="U5036">
        <v>3.0301819999999999</v>
      </c>
      <c r="V5036">
        <v>-4.5352799999999999E-2</v>
      </c>
      <c r="W5036">
        <v>2.7218619999999999E-2</v>
      </c>
      <c r="X5036">
        <v>0.99860020000000005</v>
      </c>
      <c r="Y5036">
        <v>0.15761020000000001</v>
      </c>
      <c r="Z5036">
        <v>6.4730460000000004E-2</v>
      </c>
      <c r="AA5036">
        <v>0.98537759999999996</v>
      </c>
      <c r="AB5036">
        <v>49</v>
      </c>
      <c r="AC5036">
        <v>20.722100000000001</v>
      </c>
      <c r="AD5036">
        <v>8.8833609999999901</v>
      </c>
      <c r="AE5036">
        <v>146.79587000000001</v>
      </c>
      <c r="AF5036">
        <v>23.402799023821999</v>
      </c>
      <c r="AG5036">
        <v>8.8833609999999901</v>
      </c>
      <c r="AH5036">
        <v>145.85526952378899</v>
      </c>
      <c r="AI5036">
        <v>86.558597799026003</v>
      </c>
      <c r="AJ5036">
        <v>80.884462373298405</v>
      </c>
      <c r="AK5036">
        <v>147.98771824939701</v>
      </c>
      <c r="AL5036">
        <v>88.440295393569201</v>
      </c>
      <c r="AM5036">
        <v>92.600379635744503</v>
      </c>
      <c r="AN5036">
        <v>1.00000004459129</v>
      </c>
    </row>
    <row r="5037" spans="1:40" x14ac:dyDescent="0.25">
      <c r="A5037" t="str">
        <f>"20190305135731415"</f>
        <v>20190305135731415</v>
      </c>
      <c r="B5037" t="str">
        <f>"1551765451407640"</f>
        <v>1551765451407640</v>
      </c>
      <c r="C5037" t="s">
        <v>40</v>
      </c>
      <c r="D5037">
        <v>4.0428230000000003</v>
      </c>
      <c r="E5037">
        <v>0.53574889999999997</v>
      </c>
      <c r="F5037" t="s">
        <v>70</v>
      </c>
      <c r="G5037">
        <v>-166.76070000000001</v>
      </c>
      <c r="H5037">
        <v>10.02773</v>
      </c>
      <c r="I5037">
        <v>171.29230000000001</v>
      </c>
      <c r="J5037">
        <v>-187.4254</v>
      </c>
      <c r="K5037">
        <v>1.109162</v>
      </c>
      <c r="L5037">
        <v>25.37894</v>
      </c>
      <c r="M5037">
        <v>-2.060762E-2</v>
      </c>
      <c r="N5037">
        <v>-5.3195250000000003E-3</v>
      </c>
      <c r="O5037">
        <v>0.99977349999999998</v>
      </c>
      <c r="P5037">
        <v>-6.5537029999999996E-2</v>
      </c>
      <c r="Q5037">
        <v>2.2099629999999999E-2</v>
      </c>
      <c r="R5037">
        <v>0.99760539999999998</v>
      </c>
      <c r="S5037">
        <v>0.42594910000000002</v>
      </c>
      <c r="T5037">
        <v>0.18400540000000001</v>
      </c>
      <c r="U5037">
        <v>3.0302120000000001</v>
      </c>
      <c r="V5037">
        <v>-4.5041299999999999E-2</v>
      </c>
      <c r="W5037">
        <v>2.728535E-2</v>
      </c>
      <c r="X5037">
        <v>0.99861239999999996</v>
      </c>
      <c r="Y5037">
        <v>0.159303</v>
      </c>
      <c r="Z5037">
        <v>6.5228699999999903E-2</v>
      </c>
      <c r="AA5037">
        <v>0.98507250000000002</v>
      </c>
      <c r="AB5037">
        <v>50</v>
      </c>
      <c r="AC5037">
        <v>20.6646999999999</v>
      </c>
      <c r="AD5037">
        <v>8.9185679999999898</v>
      </c>
      <c r="AE5037">
        <v>145.91336000000001</v>
      </c>
      <c r="AF5037">
        <v>23.580916402839101</v>
      </c>
      <c r="AG5037">
        <v>8.9185679999999898</v>
      </c>
      <c r="AH5037">
        <v>144.925728656742</v>
      </c>
      <c r="AI5037">
        <v>86.524118883884398</v>
      </c>
      <c r="AJ5037">
        <v>80.758371902977004</v>
      </c>
      <c r="AK5037">
        <v>147.10223417832901</v>
      </c>
      <c r="AL5037">
        <v>88.436470504853403</v>
      </c>
      <c r="AM5037">
        <v>92.582512011694305</v>
      </c>
      <c r="AN5037">
        <v>0.99999996723203499</v>
      </c>
    </row>
    <row r="5038" spans="1:40" x14ac:dyDescent="0.25">
      <c r="A5038" t="str">
        <f>"20190305135731437"</f>
        <v>20190305135731437</v>
      </c>
      <c r="B5038" t="str">
        <f>"1551765451427161"</f>
        <v>1551765451427161</v>
      </c>
      <c r="C5038" t="s">
        <v>40</v>
      </c>
      <c r="D5038">
        <v>4.0791300000000001</v>
      </c>
      <c r="E5038">
        <v>0.52651040000000005</v>
      </c>
      <c r="F5038" t="s">
        <v>96</v>
      </c>
      <c r="G5038">
        <v>-176.91390000000001</v>
      </c>
      <c r="H5038">
        <v>14.764519999999999</v>
      </c>
      <c r="I5038">
        <v>391.00349999999997</v>
      </c>
      <c r="J5038">
        <v>-187.43629999999999</v>
      </c>
      <c r="K5038">
        <v>1.109181</v>
      </c>
      <c r="L5038">
        <v>25.888339999999999</v>
      </c>
      <c r="M5038">
        <v>-2.1509239999999999E-2</v>
      </c>
      <c r="N5038">
        <v>-5.445704E-3</v>
      </c>
      <c r="O5038">
        <v>0.99975380000000003</v>
      </c>
      <c r="P5038">
        <v>-6.7551230000000004E-2</v>
      </c>
      <c r="Q5038">
        <v>2.2185239999999998E-2</v>
      </c>
      <c r="R5038">
        <v>0.9974691</v>
      </c>
      <c r="S5038">
        <v>8.6547849999999996E-2</v>
      </c>
      <c r="T5038">
        <v>0.1124327</v>
      </c>
      <c r="U5038">
        <v>3.0104060000000001</v>
      </c>
      <c r="V5038">
        <v>-4.615764E-2</v>
      </c>
      <c r="W5038">
        <v>2.7494129999999999E-2</v>
      </c>
      <c r="X5038">
        <v>0.99855570000000005</v>
      </c>
      <c r="Y5038">
        <v>5.0209820000000002E-2</v>
      </c>
      <c r="Z5038">
        <v>4.2720849999999998E-2</v>
      </c>
      <c r="AA5038">
        <v>0.99782459999999995</v>
      </c>
      <c r="AB5038">
        <v>50</v>
      </c>
      <c r="AC5038">
        <v>10.5223999999999</v>
      </c>
      <c r="AD5038">
        <v>13.655339</v>
      </c>
      <c r="AE5038">
        <v>365.11516</v>
      </c>
      <c r="AF5038">
        <v>18.347788787595199</v>
      </c>
      <c r="AG5038">
        <v>13.655339</v>
      </c>
      <c r="AH5038">
        <v>364.29521464994599</v>
      </c>
      <c r="AI5038">
        <v>87.856029743298507</v>
      </c>
      <c r="AJ5038">
        <v>87.1167248868922</v>
      </c>
      <c r="AK5038">
        <v>365.01248342138899</v>
      </c>
      <c r="AL5038">
        <v>88.424503807137896</v>
      </c>
      <c r="AM5038">
        <v>92.646579234597695</v>
      </c>
      <c r="AN5038">
        <v>0.99999997045865796</v>
      </c>
    </row>
    <row r="5039" spans="1:40" x14ac:dyDescent="0.25">
      <c r="A5039" t="str">
        <f>"20190305135731460"</f>
        <v>20190305135731460</v>
      </c>
      <c r="B5039" t="str">
        <f>"1551765451457416"</f>
        <v>1551765451457416</v>
      </c>
      <c r="C5039" t="s">
        <v>40</v>
      </c>
      <c r="D5039">
        <v>4.0236229999999997</v>
      </c>
      <c r="E5039">
        <v>0.52309890000000003</v>
      </c>
      <c r="F5039" t="s">
        <v>96</v>
      </c>
      <c r="G5039">
        <v>-186.54089999999999</v>
      </c>
      <c r="H5039">
        <v>13.083410000000001</v>
      </c>
      <c r="I5039">
        <v>391.87</v>
      </c>
      <c r="J5039">
        <v>-187.44749999999999</v>
      </c>
      <c r="K5039">
        <v>1.1092059999999999</v>
      </c>
      <c r="L5039">
        <v>26.390409999999999</v>
      </c>
      <c r="M5039">
        <v>-2.2356620000000001E-2</v>
      </c>
      <c r="N5039">
        <v>-5.6459350000000004E-3</v>
      </c>
      <c r="O5039">
        <v>0.99973409999999996</v>
      </c>
      <c r="P5039">
        <v>-7.0124519999999996E-2</v>
      </c>
      <c r="Q5039">
        <v>2.286009E-2</v>
      </c>
      <c r="R5039">
        <v>0.99727619999999895</v>
      </c>
      <c r="S5039">
        <v>7.3547359999999997E-3</v>
      </c>
      <c r="T5039">
        <v>9.8348019999999994E-2</v>
      </c>
      <c r="U5039">
        <v>3.0059200000000001</v>
      </c>
      <c r="V5039">
        <v>-4.7889590000000003E-2</v>
      </c>
      <c r="W5039">
        <v>2.836497E-2</v>
      </c>
      <c r="X5039">
        <v>0.99844980000000005</v>
      </c>
      <c r="Y5039">
        <v>2.4803140000000001E-2</v>
      </c>
      <c r="Z5039">
        <v>3.8325819999999997E-2</v>
      </c>
      <c r="AA5039">
        <v>0.9989574</v>
      </c>
      <c r="AB5039">
        <v>50</v>
      </c>
      <c r="AC5039">
        <v>0.90659999999999696</v>
      </c>
      <c r="AD5039">
        <v>11.974203999999901</v>
      </c>
      <c r="AE5039">
        <v>365.47958999999997</v>
      </c>
      <c r="AF5039">
        <v>9.0676587938533793</v>
      </c>
      <c r="AG5039">
        <v>11.974203999999901</v>
      </c>
      <c r="AH5039">
        <v>364.976202144181</v>
      </c>
      <c r="AI5039">
        <v>88.121483163437802</v>
      </c>
      <c r="AJ5039">
        <v>88.576806596228295</v>
      </c>
      <c r="AK5039">
        <v>365.285138116822</v>
      </c>
      <c r="AL5039">
        <v>88.374588913183601</v>
      </c>
      <c r="AM5039">
        <v>92.746027051829003</v>
      </c>
      <c r="AN5039">
        <v>0.99999999373675397</v>
      </c>
    </row>
    <row r="5040" spans="1:40" x14ac:dyDescent="0.25">
      <c r="A5040" t="str">
        <f>"20190305135731485"</f>
        <v>20190305135731485</v>
      </c>
      <c r="B5040" t="str">
        <f>"1551765451477912"</f>
        <v>1551765451477912</v>
      </c>
      <c r="C5040" t="s">
        <v>40</v>
      </c>
      <c r="D5040">
        <v>3.976934</v>
      </c>
      <c r="E5040">
        <v>0.52243949999999995</v>
      </c>
      <c r="F5040" t="s">
        <v>96</v>
      </c>
      <c r="G5040">
        <v>-190.75540000000001</v>
      </c>
      <c r="H5040">
        <v>11.79218</v>
      </c>
      <c r="I5040">
        <v>391.87</v>
      </c>
      <c r="J5040">
        <v>-187.4605</v>
      </c>
      <c r="K5040">
        <v>1.1092390000000001</v>
      </c>
      <c r="L5040">
        <v>26.9556</v>
      </c>
      <c r="M5040">
        <v>-2.3217910000000001E-2</v>
      </c>
      <c r="N5040">
        <v>-6.0485419999999996E-3</v>
      </c>
      <c r="O5040">
        <v>0.99971209999999999</v>
      </c>
      <c r="P5040">
        <v>-7.2567610000000005E-2</v>
      </c>
      <c r="Q5040">
        <v>2.226854E-2</v>
      </c>
      <c r="R5040">
        <v>0.99711479999999997</v>
      </c>
      <c r="S5040">
        <v>-2.7191159999999999E-2</v>
      </c>
      <c r="T5040">
        <v>8.7814929999999999E-2</v>
      </c>
      <c r="U5040">
        <v>3.0042719999999998</v>
      </c>
      <c r="V5040">
        <v>-4.9472809999999999E-2</v>
      </c>
      <c r="W5040">
        <v>2.8174790000000002E-2</v>
      </c>
      <c r="X5040">
        <v>0.99837799999999999</v>
      </c>
      <c r="Y5040">
        <v>1.4175989999999999E-2</v>
      </c>
      <c r="Z5040">
        <v>3.5248450000000001E-2</v>
      </c>
      <c r="AA5040">
        <v>0.999278</v>
      </c>
      <c r="AB5040">
        <v>50</v>
      </c>
      <c r="AC5040">
        <v>-3.2949000000000099</v>
      </c>
      <c r="AD5040">
        <v>10.682941</v>
      </c>
      <c r="AE5040">
        <v>364.9144</v>
      </c>
      <c r="AF5040">
        <v>5.1742590172923002</v>
      </c>
      <c r="AG5040">
        <v>10.682941</v>
      </c>
      <c r="AH5040">
        <v>364.58009456091702</v>
      </c>
      <c r="AI5040">
        <v>88.321765867736403</v>
      </c>
      <c r="AJ5040">
        <v>89.186891150318701</v>
      </c>
      <c r="AK5040">
        <v>364.77327689242099</v>
      </c>
      <c r="AL5040">
        <v>88.385489798460995</v>
      </c>
      <c r="AM5040">
        <v>92.836867902140597</v>
      </c>
      <c r="AN5040">
        <v>1.00000000430242</v>
      </c>
    </row>
    <row r="5041" spans="1:40" x14ac:dyDescent="0.25">
      <c r="A5041" t="str">
        <f>"20190305135731508"</f>
        <v>20190305135731508</v>
      </c>
      <c r="B5041" t="str">
        <f>"1551765451497432"</f>
        <v>1551765451497432</v>
      </c>
      <c r="C5041" t="s">
        <v>40</v>
      </c>
      <c r="D5041">
        <v>3.9818820000000001</v>
      </c>
      <c r="E5041">
        <v>0.52175190000000005</v>
      </c>
      <c r="F5041" t="s">
        <v>96</v>
      </c>
      <c r="G5041">
        <v>-192.3005</v>
      </c>
      <c r="H5041">
        <v>11.75858</v>
      </c>
      <c r="I5041">
        <v>391.87</v>
      </c>
      <c r="J5041">
        <v>-187.4727</v>
      </c>
      <c r="K5041">
        <v>1.109275</v>
      </c>
      <c r="L5041">
        <v>27.47241</v>
      </c>
      <c r="M5041">
        <v>-2.389229E-2</v>
      </c>
      <c r="N5041">
        <v>-6.5896059999999996E-3</v>
      </c>
      <c r="O5041">
        <v>0.99969280000000005</v>
      </c>
      <c r="P5041">
        <v>-7.4058879999999994E-2</v>
      </c>
      <c r="Q5041">
        <v>1.926487E-2</v>
      </c>
      <c r="R5041">
        <v>0.9970677</v>
      </c>
      <c r="S5041">
        <v>-3.98407E-2</v>
      </c>
      <c r="T5041">
        <v>8.7660669999999996E-2</v>
      </c>
      <c r="U5041">
        <v>3.0038149999999999</v>
      </c>
      <c r="V5041">
        <v>-5.028067E-2</v>
      </c>
      <c r="W5041">
        <v>2.5716630000000001E-2</v>
      </c>
      <c r="X5041">
        <v>0.99840399999999996</v>
      </c>
      <c r="Y5041">
        <v>1.064156E-2</v>
      </c>
      <c r="Z5041">
        <v>3.5741229999999999E-2</v>
      </c>
      <c r="AA5041">
        <v>0.99930439999999998</v>
      </c>
      <c r="AB5041">
        <v>50</v>
      </c>
      <c r="AC5041">
        <v>-4.8277999999999901</v>
      </c>
      <c r="AD5041">
        <v>10.649305</v>
      </c>
      <c r="AE5041">
        <v>364.39758999999998</v>
      </c>
      <c r="AF5041">
        <v>3.8767498983219402</v>
      </c>
      <c r="AG5041">
        <v>10.649305</v>
      </c>
      <c r="AH5041">
        <v>364.098004469312</v>
      </c>
      <c r="AI5041">
        <v>88.324759359305403</v>
      </c>
      <c r="AJ5041">
        <v>89.389963660162394</v>
      </c>
      <c r="AK5041">
        <v>364.27433857642598</v>
      </c>
      <c r="AL5041">
        <v>88.526383207095506</v>
      </c>
      <c r="AM5041">
        <v>92.883039691729195</v>
      </c>
      <c r="AN5041">
        <v>1.0000000190250999</v>
      </c>
    </row>
    <row r="5042" spans="1:40" x14ac:dyDescent="0.25">
      <c r="A5042" t="str">
        <f>"20190305135731550"</f>
        <v>20190305135731550</v>
      </c>
      <c r="B5042" t="str">
        <f>"1551765451538426"</f>
        <v>1551765451538426</v>
      </c>
      <c r="C5042" t="s">
        <v>40</v>
      </c>
      <c r="D5042">
        <v>4.0236549999999998</v>
      </c>
      <c r="E5042">
        <v>0.5213487</v>
      </c>
      <c r="F5042" t="s">
        <v>96</v>
      </c>
      <c r="G5042">
        <v>-193.5188</v>
      </c>
      <c r="H5042">
        <v>10.73884</v>
      </c>
      <c r="I5042">
        <v>391.87</v>
      </c>
      <c r="J5042">
        <v>-187.49529999999999</v>
      </c>
      <c r="K5042">
        <v>1.1092550000000001</v>
      </c>
      <c r="L5042">
        <v>28.39133</v>
      </c>
      <c r="M5042">
        <v>-2.473057E-2</v>
      </c>
      <c r="N5042">
        <v>-7.6730000000000001E-3</v>
      </c>
      <c r="O5042">
        <v>0.99966469999999996</v>
      </c>
      <c r="P5042">
        <v>-7.7471109999999996E-2</v>
      </c>
      <c r="Q5042">
        <v>1.370189E-2</v>
      </c>
      <c r="R5042">
        <v>0.99690040000000002</v>
      </c>
      <c r="S5042">
        <v>-4.9835209999999998E-2</v>
      </c>
      <c r="T5042">
        <v>7.9373120000000005E-2</v>
      </c>
      <c r="U5042">
        <v>3.0036010000000002</v>
      </c>
      <c r="V5042">
        <v>-5.2838299999999998E-2</v>
      </c>
      <c r="W5042">
        <v>2.1250379999999999E-2</v>
      </c>
      <c r="X5042">
        <v>0.99837699999999996</v>
      </c>
      <c r="Y5042">
        <v>8.1536539999999998E-3</v>
      </c>
      <c r="Z5042">
        <v>3.4070360000000001E-2</v>
      </c>
      <c r="AA5042">
        <v>0.9993862</v>
      </c>
      <c r="AB5042">
        <v>50</v>
      </c>
      <c r="AC5042">
        <v>-6.0235000000000101</v>
      </c>
      <c r="AD5042">
        <v>9.6295850000000005</v>
      </c>
      <c r="AE5042">
        <v>363.47867000000002</v>
      </c>
      <c r="AF5042">
        <v>2.9655608801283999</v>
      </c>
      <c r="AG5042">
        <v>9.6295850000000005</v>
      </c>
      <c r="AH5042">
        <v>363.26157069866099</v>
      </c>
      <c r="AI5042">
        <v>88.481570664866197</v>
      </c>
      <c r="AJ5042">
        <v>89.532264457702496</v>
      </c>
      <c r="AK5042">
        <v>363.40128261339999</v>
      </c>
      <c r="AL5042">
        <v>88.782351317308994</v>
      </c>
      <c r="AM5042">
        <v>93.029506653199306</v>
      </c>
      <c r="AN5042">
        <v>1.0000000493630099</v>
      </c>
    </row>
    <row r="5043" spans="1:40" x14ac:dyDescent="0.25">
      <c r="A5043" t="str">
        <f>"20190305135731572"</f>
        <v>20190305135731572</v>
      </c>
      <c r="B5043" t="str">
        <f>"1551765451567704"</f>
        <v>1551765451567704</v>
      </c>
      <c r="C5043" t="s">
        <v>40</v>
      </c>
      <c r="D5043">
        <v>4.0390579999999998</v>
      </c>
      <c r="E5043">
        <v>0.52147250000000001</v>
      </c>
      <c r="F5043" t="s">
        <v>96</v>
      </c>
      <c r="G5043">
        <v>-195.15110000000001</v>
      </c>
      <c r="H5043">
        <v>8.3832229999999992</v>
      </c>
      <c r="I5043">
        <v>391.87</v>
      </c>
      <c r="J5043">
        <v>-187.5077</v>
      </c>
      <c r="K5043">
        <v>1.1091949999999999</v>
      </c>
      <c r="L5043">
        <v>28.888729999999999</v>
      </c>
      <c r="M5043">
        <v>-2.4994990000000002E-2</v>
      </c>
      <c r="N5043">
        <v>-8.2425529999999997E-3</v>
      </c>
      <c r="O5043">
        <v>0.99965360000000003</v>
      </c>
      <c r="P5043">
        <v>-7.8911729999999999E-2</v>
      </c>
      <c r="Q5043">
        <v>1.1403E-2</v>
      </c>
      <c r="R5043">
        <v>0.99681640000000005</v>
      </c>
      <c r="S5043">
        <v>-6.3262940000000004E-2</v>
      </c>
      <c r="T5043">
        <v>6.0107710000000002E-2</v>
      </c>
      <c r="U5043">
        <v>3.003571</v>
      </c>
      <c r="V5043">
        <v>-5.4006989999999998E-2</v>
      </c>
      <c r="W5043">
        <v>1.9532689999999998E-2</v>
      </c>
      <c r="X5043">
        <v>0.9983495</v>
      </c>
      <c r="Y5043">
        <v>3.9475600000000001E-3</v>
      </c>
      <c r="Z5043">
        <v>2.8234459999999999E-2</v>
      </c>
      <c r="AA5043">
        <v>0.99959359999999997</v>
      </c>
      <c r="AB5043">
        <v>50</v>
      </c>
      <c r="AC5043">
        <v>-7.6434000000000104</v>
      </c>
      <c r="AD5043">
        <v>7.2740279999999897</v>
      </c>
      <c r="AE5043">
        <v>362.98126999999999</v>
      </c>
      <c r="AF5043">
        <v>1.4314349336297201</v>
      </c>
      <c r="AG5043">
        <v>7.2740279999999897</v>
      </c>
      <c r="AH5043">
        <v>362.91323432101501</v>
      </c>
      <c r="AI5043">
        <v>88.851758418303206</v>
      </c>
      <c r="AJ5043">
        <v>89.774010018711195</v>
      </c>
      <c r="AK5043">
        <v>362.98894767562001</v>
      </c>
      <c r="AL5043">
        <v>88.880788127553302</v>
      </c>
      <c r="AM5043">
        <v>93.096470139464898</v>
      </c>
      <c r="AN5043">
        <v>1.00000000254887</v>
      </c>
    </row>
    <row r="5044" spans="1:40" x14ac:dyDescent="0.25">
      <c r="A5044" t="str">
        <f>"20190305135731593"</f>
        <v>20190305135731593</v>
      </c>
      <c r="B5044" t="str">
        <f>"1551765451587226"</f>
        <v>1551765451587226</v>
      </c>
      <c r="C5044" t="s">
        <v>40</v>
      </c>
      <c r="D5044">
        <v>4.0104709999999999</v>
      </c>
      <c r="E5044">
        <v>0.52164409999999894</v>
      </c>
      <c r="F5044" t="s">
        <v>96</v>
      </c>
      <c r="G5044">
        <v>-195.50659999999999</v>
      </c>
      <c r="H5044">
        <v>7.5015159999999996</v>
      </c>
      <c r="I5044">
        <v>390.11860000000001</v>
      </c>
      <c r="J5044">
        <v>-187.5198</v>
      </c>
      <c r="K5044">
        <v>1.1091569999999999</v>
      </c>
      <c r="L5044">
        <v>29.368130000000001</v>
      </c>
      <c r="M5044">
        <v>-2.515643E-2</v>
      </c>
      <c r="N5044">
        <v>-8.8512780000000006E-3</v>
      </c>
      <c r="O5044">
        <v>0.99964430000000004</v>
      </c>
      <c r="P5044">
        <v>-7.9379450000000004E-2</v>
      </c>
      <c r="Q5044">
        <v>1.032315E-2</v>
      </c>
      <c r="R5044">
        <v>0.99679099999999998</v>
      </c>
      <c r="S5044">
        <v>-6.6513059999999999E-2</v>
      </c>
      <c r="T5044">
        <v>5.3153869999999999E-2</v>
      </c>
      <c r="U5044">
        <v>3.0037229999999999</v>
      </c>
      <c r="V5044">
        <v>-5.4307849999999998E-2</v>
      </c>
      <c r="W5044">
        <v>1.9074540000000001E-2</v>
      </c>
      <c r="X5044">
        <v>0.99834199999999995</v>
      </c>
      <c r="Y5044">
        <v>3.0280559999999999E-3</v>
      </c>
      <c r="Z5044">
        <v>2.6529359999999998E-2</v>
      </c>
      <c r="AA5044">
        <v>0.99964339999999996</v>
      </c>
      <c r="AB5044">
        <v>50</v>
      </c>
      <c r="AC5044">
        <v>-7.9867999999999801</v>
      </c>
      <c r="AD5044">
        <v>6.3923589999999999</v>
      </c>
      <c r="AE5044">
        <v>360.75047000000001</v>
      </c>
      <c r="AF5044">
        <v>1.09093527552824</v>
      </c>
      <c r="AG5044">
        <v>6.3923589999999999</v>
      </c>
      <c r="AH5044">
        <v>360.72401415477702</v>
      </c>
      <c r="AI5044">
        <v>88.984777359405896</v>
      </c>
      <c r="AJ5044">
        <v>89.826721277234597</v>
      </c>
      <c r="AK5044">
        <v>360.78229832032503</v>
      </c>
      <c r="AL5044">
        <v>88.907043039985396</v>
      </c>
      <c r="AM5044">
        <v>93.1137093297109</v>
      </c>
      <c r="AN5044">
        <v>0.99999996480591602</v>
      </c>
    </row>
    <row r="5045" spans="1:40" x14ac:dyDescent="0.25">
      <c r="A5045" t="str">
        <f>"20190305135731617"</f>
        <v>20190305135731617</v>
      </c>
      <c r="B5045" t="str">
        <f>"1551765451607721"</f>
        <v>1551765451607721</v>
      </c>
      <c r="C5045" t="s">
        <v>40</v>
      </c>
      <c r="D5045">
        <v>4.0335260000000002</v>
      </c>
      <c r="E5045">
        <v>0.52185530000000002</v>
      </c>
      <c r="F5045" t="s">
        <v>96</v>
      </c>
      <c r="G5045">
        <v>-195.5188</v>
      </c>
      <c r="H5045">
        <v>7.0522150000000003</v>
      </c>
      <c r="I5045">
        <v>390.11860000000001</v>
      </c>
      <c r="J5045">
        <v>-187.5335</v>
      </c>
      <c r="K5045">
        <v>1.109116</v>
      </c>
      <c r="L5045">
        <v>29.911529999999999</v>
      </c>
      <c r="M5045">
        <v>-2.5248019999999999E-2</v>
      </c>
      <c r="N5045">
        <v>-9.5783529999999995E-3</v>
      </c>
      <c r="O5045">
        <v>0.9996353</v>
      </c>
      <c r="P5045">
        <v>-7.9754259999999993E-2</v>
      </c>
      <c r="Q5045">
        <v>9.0997360000000006E-3</v>
      </c>
      <c r="R5045">
        <v>0.99677300000000002</v>
      </c>
      <c r="S5045">
        <v>-6.6604609999999995E-2</v>
      </c>
      <c r="T5045">
        <v>4.9485800000000003E-2</v>
      </c>
      <c r="U5045">
        <v>3.0038450000000001</v>
      </c>
      <c r="V5045">
        <v>-5.4585399999999999E-2</v>
      </c>
      <c r="W5045">
        <v>1.8592540000000001E-2</v>
      </c>
      <c r="X5045">
        <v>0.998336</v>
      </c>
      <c r="Y5045">
        <v>3.0899859999999999E-3</v>
      </c>
      <c r="Z5045">
        <v>2.6035599999999999E-2</v>
      </c>
      <c r="AA5045">
        <v>0.99965630000000005</v>
      </c>
      <c r="AB5045">
        <v>50</v>
      </c>
      <c r="AC5045">
        <v>-7.9852999999999899</v>
      </c>
      <c r="AD5045">
        <v>5.9430989999999904</v>
      </c>
      <c r="AE5045">
        <v>360.20706999999999</v>
      </c>
      <c r="AF5045">
        <v>1.1118760718446501</v>
      </c>
      <c r="AG5045">
        <v>5.9430989999999904</v>
      </c>
      <c r="AH5045">
        <v>360.19584949646099</v>
      </c>
      <c r="AI5045">
        <v>89.054730993554301</v>
      </c>
      <c r="AJ5045">
        <v>89.823136207695896</v>
      </c>
      <c r="AK5045">
        <v>360.24659150171101</v>
      </c>
      <c r="AL5045">
        <v>88.934664552814496</v>
      </c>
      <c r="AM5045">
        <v>93.129609718180106</v>
      </c>
      <c r="AN5045">
        <v>1.0000000086664</v>
      </c>
    </row>
    <row r="5046" spans="1:40" x14ac:dyDescent="0.25">
      <c r="A5046" t="str">
        <f>"20190305135731639"</f>
        <v>20190305135731639</v>
      </c>
      <c r="B5046" t="str">
        <f>"1551765451637977"</f>
        <v>1551765451637977</v>
      </c>
      <c r="C5046" t="s">
        <v>40</v>
      </c>
      <c r="D5046">
        <v>3.9904199999999999</v>
      </c>
      <c r="E5046">
        <v>0.52215290000000003</v>
      </c>
      <c r="F5046" t="s">
        <v>96</v>
      </c>
      <c r="G5046">
        <v>-195.44499999999999</v>
      </c>
      <c r="H5046">
        <v>6.6381229999999896</v>
      </c>
      <c r="I5046">
        <v>390.11860000000001</v>
      </c>
      <c r="J5046">
        <v>-187.54640000000001</v>
      </c>
      <c r="K5046">
        <v>1.109065</v>
      </c>
      <c r="L5046">
        <v>30.419160000000002</v>
      </c>
      <c r="M5046">
        <v>-2.525668E-2</v>
      </c>
      <c r="N5046">
        <v>-1.0224550000000001E-2</v>
      </c>
      <c r="O5046">
        <v>0.99962870000000004</v>
      </c>
      <c r="P5046">
        <v>-7.9849870000000003E-2</v>
      </c>
      <c r="Q5046">
        <v>7.0220609999999996E-3</v>
      </c>
      <c r="R5046">
        <v>0.99678219999999995</v>
      </c>
      <c r="S5046">
        <v>-6.5978999999999996E-2</v>
      </c>
      <c r="T5046">
        <v>4.6109909999999997E-2</v>
      </c>
      <c r="U5046">
        <v>3.0039980000000002</v>
      </c>
      <c r="V5046">
        <v>-5.4665329999999998E-2</v>
      </c>
      <c r="W5046">
        <v>1.717513E-2</v>
      </c>
      <c r="X5046">
        <v>0.99835700000000005</v>
      </c>
      <c r="Y5046">
        <v>3.3077380000000002E-3</v>
      </c>
      <c r="Z5046">
        <v>2.555818E-2</v>
      </c>
      <c r="AA5046">
        <v>0.99966790000000005</v>
      </c>
      <c r="AB5046">
        <v>50</v>
      </c>
      <c r="AC5046">
        <v>-7.8985999999999796</v>
      </c>
      <c r="AD5046">
        <v>5.5290579999999903</v>
      </c>
      <c r="AE5046">
        <v>359.69943999999998</v>
      </c>
      <c r="AF5046">
        <v>1.18892779547215</v>
      </c>
      <c r="AG5046">
        <v>5.5290579999999903</v>
      </c>
      <c r="AH5046">
        <v>359.69923847062199</v>
      </c>
      <c r="AI5046">
        <v>89.119361462724598</v>
      </c>
      <c r="AJ5046">
        <v>89.810618735142896</v>
      </c>
      <c r="AK5046">
        <v>359.74369513309802</v>
      </c>
      <c r="AL5046">
        <v>89.015889142919605</v>
      </c>
      <c r="AM5046">
        <v>93.134117515527905</v>
      </c>
      <c r="AN5046">
        <v>0.99999999142176299</v>
      </c>
    </row>
    <row r="5047" spans="1:40" x14ac:dyDescent="0.25">
      <c r="A5047" t="str">
        <f>"20190305135731662"</f>
        <v>20190305135731662</v>
      </c>
      <c r="B5047" t="str">
        <f>"1551765451657496"</f>
        <v>1551765451657496</v>
      </c>
      <c r="C5047" t="s">
        <v>40</v>
      </c>
      <c r="D5047">
        <v>3.993617</v>
      </c>
      <c r="E5047">
        <v>0.52246219999999999</v>
      </c>
      <c r="F5047" t="s">
        <v>96</v>
      </c>
      <c r="G5047">
        <v>-195.21770000000001</v>
      </c>
      <c r="H5047">
        <v>6.050611</v>
      </c>
      <c r="I5047">
        <v>390.11860000000001</v>
      </c>
      <c r="J5047">
        <v>-187.55889999999999</v>
      </c>
      <c r="K5047">
        <v>1.109008</v>
      </c>
      <c r="L5047">
        <v>30.91583</v>
      </c>
      <c r="M5047">
        <v>-2.5200920000000002E-2</v>
      </c>
      <c r="N5047">
        <v>-1.079747E-2</v>
      </c>
      <c r="O5047">
        <v>0.99962410000000002</v>
      </c>
      <c r="P5047">
        <v>-7.9848199999999994E-2</v>
      </c>
      <c r="Q5047">
        <v>4.9682099999999998E-3</v>
      </c>
      <c r="R5047">
        <v>0.99679459999999998</v>
      </c>
      <c r="S5047">
        <v>-6.4071660000000002E-2</v>
      </c>
      <c r="T5047">
        <v>4.1272639999999999E-2</v>
      </c>
      <c r="U5047">
        <v>3.0042719999999998</v>
      </c>
      <c r="V5047">
        <v>-5.4713310000000001E-2</v>
      </c>
      <c r="W5047">
        <v>1.570763E-2</v>
      </c>
      <c r="X5047">
        <v>0.9983786</v>
      </c>
      <c r="Y5047">
        <v>3.8879090000000002E-3</v>
      </c>
      <c r="Z5047">
        <v>2.4521279999999999E-2</v>
      </c>
      <c r="AA5047">
        <v>0.99969169999999996</v>
      </c>
      <c r="AB5047">
        <v>50</v>
      </c>
      <c r="AC5047">
        <v>-7.65880000000001</v>
      </c>
      <c r="AD5047">
        <v>4.9416029999999997</v>
      </c>
      <c r="AE5047">
        <v>359.20276999999999</v>
      </c>
      <c r="AF5047">
        <v>1.39613649546473</v>
      </c>
      <c r="AG5047">
        <v>4.9416029999999997</v>
      </c>
      <c r="AH5047">
        <v>359.21374273623599</v>
      </c>
      <c r="AI5047">
        <v>89.211853652924404</v>
      </c>
      <c r="AJ5047">
        <v>89.777312734701496</v>
      </c>
      <c r="AK5047">
        <v>359.25044413041201</v>
      </c>
      <c r="AL5047">
        <v>89.099982129272504</v>
      </c>
      <c r="AM5047">
        <v>93.136795122269007</v>
      </c>
      <c r="AN5047">
        <v>1.0000000524346599</v>
      </c>
    </row>
    <row r="5048" spans="1:40" x14ac:dyDescent="0.25">
      <c r="A5048" t="str">
        <f>"20190305135731688"</f>
        <v>20190305135731688</v>
      </c>
      <c r="B5048" t="str">
        <f>"1551765451677993"</f>
        <v>1551765451677993</v>
      </c>
      <c r="C5048" t="s">
        <v>40</v>
      </c>
      <c r="D5048">
        <v>3.973903</v>
      </c>
      <c r="E5048">
        <v>0.52271120000000004</v>
      </c>
      <c r="F5048" t="s">
        <v>96</v>
      </c>
      <c r="G5048">
        <v>-194.97040000000001</v>
      </c>
      <c r="H5048">
        <v>5.4553339999999997</v>
      </c>
      <c r="I5048">
        <v>391.87</v>
      </c>
      <c r="J5048">
        <v>-187.5735</v>
      </c>
      <c r="K5048">
        <v>1.108922</v>
      </c>
      <c r="L5048">
        <v>31.49588</v>
      </c>
      <c r="M5048">
        <v>-2.507477E-2</v>
      </c>
      <c r="N5048">
        <v>-1.1394629999999999E-2</v>
      </c>
      <c r="O5048">
        <v>0.99962059999999997</v>
      </c>
      <c r="P5048">
        <v>-7.9331239999999997E-2</v>
      </c>
      <c r="Q5048">
        <v>3.1682680000000001E-3</v>
      </c>
      <c r="R5048">
        <v>0.99684329999999999</v>
      </c>
      <c r="S5048">
        <v>-6.1691280000000001E-2</v>
      </c>
      <c r="T5048">
        <v>3.617799E-2</v>
      </c>
      <c r="U5048">
        <v>3.0045169999999999</v>
      </c>
      <c r="V5048">
        <v>-5.4315820000000001E-2</v>
      </c>
      <c r="W5048">
        <v>1.452092E-2</v>
      </c>
      <c r="X5048">
        <v>0.99841820000000003</v>
      </c>
      <c r="Y5048">
        <v>4.5546989999999997E-3</v>
      </c>
      <c r="Z5048">
        <v>2.3423409999999999E-2</v>
      </c>
      <c r="AA5048">
        <v>0.99971529999999997</v>
      </c>
      <c r="AB5048">
        <v>50</v>
      </c>
      <c r="AC5048">
        <v>-7.3969000000000102</v>
      </c>
      <c r="AD5048">
        <v>4.3464119999999999</v>
      </c>
      <c r="AE5048">
        <v>360.37412</v>
      </c>
      <c r="AF5048">
        <v>1.6420724768903201</v>
      </c>
      <c r="AG5048">
        <v>4.3464119999999999</v>
      </c>
      <c r="AH5048">
        <v>360.39388138222</v>
      </c>
      <c r="AI5048">
        <v>89.309043745375504</v>
      </c>
      <c r="AJ5048">
        <v>89.738943482714106</v>
      </c>
      <c r="AK5048">
        <v>360.423830284617</v>
      </c>
      <c r="AL5048">
        <v>89.167983314649703</v>
      </c>
      <c r="AM5048">
        <v>93.113928178122094</v>
      </c>
      <c r="AN5048">
        <v>0.99999998375557897</v>
      </c>
    </row>
    <row r="5049" spans="1:40" x14ac:dyDescent="0.25">
      <c r="A5049" t="str">
        <f>"20190305135731711"</f>
        <v>20190305135731711</v>
      </c>
      <c r="B5049" t="str">
        <f>"1551765451707273"</f>
        <v>1551765451707273</v>
      </c>
      <c r="C5049" t="s">
        <v>40</v>
      </c>
      <c r="D5049">
        <v>3.956467</v>
      </c>
      <c r="E5049">
        <v>0.52340010000000003</v>
      </c>
      <c r="F5049" t="s">
        <v>96</v>
      </c>
      <c r="G5049">
        <v>-194.53870000000001</v>
      </c>
      <c r="H5049">
        <v>4.9336250000000001</v>
      </c>
      <c r="I5049">
        <v>391.87</v>
      </c>
      <c r="J5049">
        <v>-187.58590000000001</v>
      </c>
      <c r="K5049">
        <v>1.1088480000000001</v>
      </c>
      <c r="L5049">
        <v>31.99231</v>
      </c>
      <c r="M5049">
        <v>-2.492697E-2</v>
      </c>
      <c r="N5049">
        <v>-1.1845130000000001E-2</v>
      </c>
      <c r="O5049">
        <v>0.99961909999999998</v>
      </c>
      <c r="P5049">
        <v>-7.8563960000000002E-2</v>
      </c>
      <c r="Q5049">
        <v>2.2418E-3</v>
      </c>
      <c r="R5049">
        <v>0.99690659999999998</v>
      </c>
      <c r="S5049">
        <v>-5.807495E-2</v>
      </c>
      <c r="T5049">
        <v>3.1890269999999998E-2</v>
      </c>
      <c r="U5049">
        <v>3.004791</v>
      </c>
      <c r="V5049">
        <v>-5.369107E-2</v>
      </c>
      <c r="W5049">
        <v>1.4057E-2</v>
      </c>
      <c r="X5049">
        <v>0.99845859999999997</v>
      </c>
      <c r="Y5049">
        <v>5.6110630000000003E-3</v>
      </c>
      <c r="Z5049">
        <v>2.2447390000000001E-2</v>
      </c>
      <c r="AA5049">
        <v>0.99973230000000002</v>
      </c>
      <c r="AB5049">
        <v>50</v>
      </c>
      <c r="AC5049">
        <v>-6.9527999999999901</v>
      </c>
      <c r="AD5049">
        <v>3.8247769999999899</v>
      </c>
      <c r="AE5049">
        <v>359.87768999999997</v>
      </c>
      <c r="AF5049">
        <v>2.0204223284748002</v>
      </c>
      <c r="AG5049">
        <v>3.8247769999999899</v>
      </c>
      <c r="AH5049">
        <v>359.89853875445101</v>
      </c>
      <c r="AI5049">
        <v>89.3911287382506</v>
      </c>
      <c r="AJ5049">
        <v>89.678352525176393</v>
      </c>
      <c r="AK5049">
        <v>359.92453267744099</v>
      </c>
      <c r="AL5049">
        <v>89.194566662603705</v>
      </c>
      <c r="AM5049">
        <v>93.078056203059006</v>
      </c>
      <c r="AN5049">
        <v>0.99999995308035095</v>
      </c>
    </row>
    <row r="5050" spans="1:40" x14ac:dyDescent="0.25">
      <c r="A5050" t="str">
        <f>"20190305135731730"</f>
        <v>20190305135731730</v>
      </c>
      <c r="B5050" t="str">
        <f>"1551765451727769"</f>
        <v>1551765451727769</v>
      </c>
      <c r="C5050" t="s">
        <v>40</v>
      </c>
      <c r="D5050">
        <v>3.9717250000000002</v>
      </c>
      <c r="E5050">
        <v>0.52354999999999996</v>
      </c>
      <c r="F5050" t="s">
        <v>96</v>
      </c>
      <c r="G5050">
        <v>-193.63229999999999</v>
      </c>
      <c r="H5050">
        <v>4.965274</v>
      </c>
      <c r="I5050">
        <v>391.87</v>
      </c>
      <c r="J5050">
        <v>-187.5967</v>
      </c>
      <c r="K5050">
        <v>1.1087849999999999</v>
      </c>
      <c r="L5050">
        <v>32.428959999999996</v>
      </c>
      <c r="M5050">
        <v>-2.477619E-2</v>
      </c>
      <c r="N5050">
        <v>-1.220007E-2</v>
      </c>
      <c r="O5050">
        <v>0.99961860000000002</v>
      </c>
      <c r="P5050">
        <v>-7.7527780000000004E-2</v>
      </c>
      <c r="Q5050">
        <v>1.3372220000000001E-3</v>
      </c>
      <c r="R5050">
        <v>0.99698929999999997</v>
      </c>
      <c r="S5050">
        <v>-5.0491330000000001E-2</v>
      </c>
      <c r="T5050">
        <v>3.2204030000000002E-2</v>
      </c>
      <c r="U5050">
        <v>3.0052490000000001</v>
      </c>
      <c r="V5050">
        <v>-5.2801599999999997E-2</v>
      </c>
      <c r="W5050">
        <v>1.351632E-2</v>
      </c>
      <c r="X5050">
        <v>0.99851350000000005</v>
      </c>
      <c r="Y5050">
        <v>7.9853589999999992E-3</v>
      </c>
      <c r="Z5050">
        <v>2.2905490000000001E-2</v>
      </c>
      <c r="AA5050">
        <v>0.99970570000000003</v>
      </c>
      <c r="AB5050">
        <v>50</v>
      </c>
      <c r="AC5050">
        <v>-6.0355999999999801</v>
      </c>
      <c r="AD5050">
        <v>3.8564889999999998</v>
      </c>
      <c r="AE5050">
        <v>359.44103999999999</v>
      </c>
      <c r="AF5050">
        <v>2.8721646592900099</v>
      </c>
      <c r="AG5050">
        <v>3.8564889999999998</v>
      </c>
      <c r="AH5050">
        <v>359.43886892331398</v>
      </c>
      <c r="AI5050">
        <v>89.385305732576299</v>
      </c>
      <c r="AJ5050">
        <v>89.5421769182567</v>
      </c>
      <c r="AK5050">
        <v>359.471031280837</v>
      </c>
      <c r="AL5050">
        <v>89.225548292325001</v>
      </c>
      <c r="AM5050">
        <v>93.026993272087395</v>
      </c>
      <c r="AN5050">
        <v>0.99999995477557502</v>
      </c>
    </row>
    <row r="5051" spans="1:40" x14ac:dyDescent="0.25">
      <c r="A5051" t="str">
        <f>"20190305135731750"</f>
        <v>20190305135731750</v>
      </c>
      <c r="B5051" t="str">
        <f>"1551765451747290"</f>
        <v>1551765451747290</v>
      </c>
      <c r="C5051" t="s">
        <v>40</v>
      </c>
      <c r="D5051">
        <v>3.9625379999999999</v>
      </c>
      <c r="E5051">
        <v>0.52376329999999904</v>
      </c>
      <c r="F5051" t="s">
        <v>96</v>
      </c>
      <c r="G5051">
        <v>-193.12809999999999</v>
      </c>
      <c r="H5051">
        <v>4.9246660000000002</v>
      </c>
      <c r="I5051">
        <v>391.87</v>
      </c>
      <c r="J5051">
        <v>-187.6079</v>
      </c>
      <c r="K5051">
        <v>1.108733</v>
      </c>
      <c r="L5051">
        <v>32.882570000000001</v>
      </c>
      <c r="M5051">
        <v>-2.460389E-2</v>
      </c>
      <c r="N5051">
        <v>-1.2529510000000001E-2</v>
      </c>
      <c r="O5051">
        <v>0.99961880000000003</v>
      </c>
      <c r="P5051">
        <v>-7.6139349999999995E-2</v>
      </c>
      <c r="Q5051">
        <v>2.228082E-4</v>
      </c>
      <c r="R5051">
        <v>0.99709709999999996</v>
      </c>
      <c r="S5051">
        <v>-4.6249390000000001E-2</v>
      </c>
      <c r="T5051">
        <v>3.1906129999999998E-2</v>
      </c>
      <c r="U5051">
        <v>3.0054319999999999</v>
      </c>
      <c r="V5051">
        <v>-5.1580819999999999E-2</v>
      </c>
      <c r="W5051">
        <v>1.273962E-2</v>
      </c>
      <c r="X5051">
        <v>0.99858749999999996</v>
      </c>
      <c r="Y5051">
        <v>9.2247990000000005E-3</v>
      </c>
      <c r="Z5051">
        <v>2.313548E-2</v>
      </c>
      <c r="AA5051">
        <v>0.99968979999999996</v>
      </c>
      <c r="AB5051">
        <v>50</v>
      </c>
      <c r="AC5051">
        <v>-5.5201999999999796</v>
      </c>
      <c r="AD5051">
        <v>3.8159329999999998</v>
      </c>
      <c r="AE5051">
        <v>358.98742999999899</v>
      </c>
      <c r="AF5051">
        <v>3.3142771951729899</v>
      </c>
      <c r="AG5051">
        <v>3.8159329999999998</v>
      </c>
      <c r="AH5051">
        <v>358.97401760765399</v>
      </c>
      <c r="AI5051">
        <v>89.390988501827493</v>
      </c>
      <c r="AJ5051">
        <v>89.471023832489607</v>
      </c>
      <c r="AK5051">
        <v>359.00959749756998</v>
      </c>
      <c r="AL5051">
        <v>89.270053749734899</v>
      </c>
      <c r="AM5051">
        <v>92.956915718527</v>
      </c>
      <c r="AN5051">
        <v>0.999999937032931</v>
      </c>
    </row>
    <row r="5052" spans="1:40" x14ac:dyDescent="0.25">
      <c r="A5052" t="str">
        <f>"20190305135731774"</f>
        <v>20190305135731774</v>
      </c>
      <c r="B5052" t="str">
        <f>"1551765451767786"</f>
        <v>1551765451767786</v>
      </c>
      <c r="C5052" t="s">
        <v>40</v>
      </c>
      <c r="D5052">
        <v>3.9379080000000002</v>
      </c>
      <c r="E5052">
        <v>0.52395639999999999</v>
      </c>
      <c r="F5052" t="s">
        <v>96</v>
      </c>
      <c r="G5052">
        <v>-192.4393</v>
      </c>
      <c r="H5052">
        <v>4.6568100000000001</v>
      </c>
      <c r="I5052">
        <v>391.87</v>
      </c>
      <c r="J5052">
        <v>-187.62129999999999</v>
      </c>
      <c r="K5052">
        <v>1.108695</v>
      </c>
      <c r="L5052">
        <v>33.429749999999999</v>
      </c>
      <c r="M5052">
        <v>-2.4379709999999999E-2</v>
      </c>
      <c r="N5052">
        <v>-1.287642E-2</v>
      </c>
      <c r="O5052">
        <v>0.99961979999999995</v>
      </c>
      <c r="P5052">
        <v>-7.5243969999999993E-2</v>
      </c>
      <c r="Q5052">
        <v>-2.112064E-4</v>
      </c>
      <c r="R5052">
        <v>0.99716510000000003</v>
      </c>
      <c r="S5052">
        <v>-4.0451050000000002E-2</v>
      </c>
      <c r="T5052">
        <v>2.970648E-2</v>
      </c>
      <c r="U5052">
        <v>3.005646</v>
      </c>
      <c r="V5052">
        <v>-5.0906609999999998E-2</v>
      </c>
      <c r="W5052">
        <v>1.266047E-2</v>
      </c>
      <c r="X5052">
        <v>0.99862320000000004</v>
      </c>
      <c r="Y5052">
        <v>1.0929670000000001E-2</v>
      </c>
      <c r="Z5052">
        <v>2.275079E-2</v>
      </c>
      <c r="AA5052">
        <v>0.99968140000000005</v>
      </c>
      <c r="AB5052">
        <v>50</v>
      </c>
      <c r="AC5052">
        <v>-4.8180000000000103</v>
      </c>
      <c r="AD5052">
        <v>3.5481150000000001</v>
      </c>
      <c r="AE5052">
        <v>358.44024999999999</v>
      </c>
      <c r="AF5052">
        <v>3.9224422607771299</v>
      </c>
      <c r="AG5052">
        <v>3.5481150000000001</v>
      </c>
      <c r="AH5052">
        <v>358.41605132885502</v>
      </c>
      <c r="AI5052">
        <v>89.432856865655097</v>
      </c>
      <c r="AJ5052">
        <v>89.372990091834694</v>
      </c>
      <c r="AK5052">
        <v>358.45507462374002</v>
      </c>
      <c r="AL5052">
        <v>89.274589146365699</v>
      </c>
      <c r="AM5052">
        <v>92.918229144601497</v>
      </c>
      <c r="AN5052">
        <v>1.0000000330102701</v>
      </c>
    </row>
    <row r="5053" spans="1:40" x14ac:dyDescent="0.25">
      <c r="A5053" t="str">
        <f>"20190305135731794"</f>
        <v>20190305135731794</v>
      </c>
      <c r="B5053" t="str">
        <f>"1551765451787305"</f>
        <v>1551765451787305</v>
      </c>
      <c r="C5053" t="s">
        <v>40</v>
      </c>
      <c r="D5053">
        <v>3.938504</v>
      </c>
      <c r="E5053">
        <v>0.52419870000000002</v>
      </c>
      <c r="F5053" t="s">
        <v>96</v>
      </c>
      <c r="G5053">
        <v>-191.95740000000001</v>
      </c>
      <c r="H5053">
        <v>4.7576269999999896</v>
      </c>
      <c r="I5053">
        <v>391.87</v>
      </c>
      <c r="J5053">
        <v>-187.6317</v>
      </c>
      <c r="K5053">
        <v>1.1086720000000001</v>
      </c>
      <c r="L5053">
        <v>33.859769999999997</v>
      </c>
      <c r="M5053">
        <v>-2.4195479999999998E-2</v>
      </c>
      <c r="N5053">
        <v>-1.3117790000000001E-2</v>
      </c>
      <c r="O5053">
        <v>0.99962119999999999</v>
      </c>
      <c r="P5053">
        <v>-7.4942259999999997E-2</v>
      </c>
      <c r="Q5053">
        <v>-5.4327529999999996E-4</v>
      </c>
      <c r="R5053">
        <v>0.99718770000000001</v>
      </c>
      <c r="S5053">
        <v>-3.6361690000000002E-2</v>
      </c>
      <c r="T5053">
        <v>3.059912E-2</v>
      </c>
      <c r="U5053">
        <v>3.005798</v>
      </c>
      <c r="V5053">
        <v>-5.0786659999999997E-2</v>
      </c>
      <c r="W5053">
        <v>1.2574170000000001E-2</v>
      </c>
      <c r="X5053">
        <v>0.99863029999999997</v>
      </c>
      <c r="Y5053">
        <v>1.210609E-2</v>
      </c>
      <c r="Z5053">
        <v>2.3288610000000001E-2</v>
      </c>
      <c r="AA5053">
        <v>0.99965550000000003</v>
      </c>
      <c r="AB5053">
        <v>50</v>
      </c>
      <c r="AC5053">
        <v>-4.3257000000000101</v>
      </c>
      <c r="AD5053">
        <v>3.6489549999999999</v>
      </c>
      <c r="AE5053">
        <v>358.01022999999998</v>
      </c>
      <c r="AF5053">
        <v>4.3380905521940996</v>
      </c>
      <c r="AG5053">
        <v>3.6489549999999999</v>
      </c>
      <c r="AH5053">
        <v>357.97289260322702</v>
      </c>
      <c r="AI5053">
        <v>89.416025245771806</v>
      </c>
      <c r="AJ5053">
        <v>89.305695714346598</v>
      </c>
      <c r="AK5053">
        <v>358.01777294004899</v>
      </c>
      <c r="AL5053">
        <v>89.279534095229295</v>
      </c>
      <c r="AM5053">
        <v>92.911344172960895</v>
      </c>
      <c r="AN5053">
        <v>0.99999993533161502</v>
      </c>
    </row>
    <row r="5054" spans="1:40" x14ac:dyDescent="0.25">
      <c r="A5054" t="str">
        <f>"20190305135731817"</f>
        <v>20190305135731817</v>
      </c>
      <c r="B5054" t="str">
        <f>"1551765451807801"</f>
        <v>1551765451807801</v>
      </c>
      <c r="C5054" t="s">
        <v>40</v>
      </c>
      <c r="D5054">
        <v>3.9292669999999998</v>
      </c>
      <c r="E5054">
        <v>0.52445359999999996</v>
      </c>
      <c r="F5054" t="s">
        <v>96</v>
      </c>
      <c r="G5054">
        <v>-191.6353</v>
      </c>
      <c r="H5054">
        <v>4.9840150000000003</v>
      </c>
      <c r="I5054">
        <v>391.87</v>
      </c>
      <c r="J5054">
        <v>-187.64420000000001</v>
      </c>
      <c r="K5054">
        <v>1.108644</v>
      </c>
      <c r="L5054">
        <v>34.383580000000002</v>
      </c>
      <c r="M5054">
        <v>-2.3964280000000001E-2</v>
      </c>
      <c r="N5054">
        <v>-1.3374759999999999E-2</v>
      </c>
      <c r="O5054">
        <v>0.99962340000000005</v>
      </c>
      <c r="P5054">
        <v>-7.5022859999999997E-2</v>
      </c>
      <c r="Q5054" s="1">
        <v>9.3460079999999995E-5</v>
      </c>
      <c r="R5054">
        <v>0.99718180000000001</v>
      </c>
      <c r="S5054">
        <v>-3.3615109999999997E-2</v>
      </c>
      <c r="T5054">
        <v>3.2538409999999997E-2</v>
      </c>
      <c r="U5054">
        <v>3.005951</v>
      </c>
      <c r="V5054">
        <v>-5.109702E-2</v>
      </c>
      <c r="W5054">
        <v>1.347245E-2</v>
      </c>
      <c r="X5054">
        <v>0.99860280000000001</v>
      </c>
      <c r="Y5054">
        <v>1.278904E-2</v>
      </c>
      <c r="Z5054">
        <v>2.4189809999999999E-2</v>
      </c>
      <c r="AA5054">
        <v>0.9996256</v>
      </c>
      <c r="AB5054">
        <v>50</v>
      </c>
      <c r="AC5054">
        <v>-3.9910999999999799</v>
      </c>
      <c r="AD5054">
        <v>3.8753709999999999</v>
      </c>
      <c r="AE5054">
        <v>357.48642000000001</v>
      </c>
      <c r="AF5054">
        <v>4.5771790764776901</v>
      </c>
      <c r="AG5054">
        <v>3.8753709999999999</v>
      </c>
      <c r="AH5054">
        <v>357.43738904587701</v>
      </c>
      <c r="AI5054">
        <v>89.3788688362296</v>
      </c>
      <c r="AJ5054">
        <v>89.266336657301807</v>
      </c>
      <c r="AK5054">
        <v>357.48770070677801</v>
      </c>
      <c r="AL5054">
        <v>89.228062108396998</v>
      </c>
      <c r="AM5054">
        <v>92.929185187146899</v>
      </c>
      <c r="AN5054">
        <v>0.99999998226486098</v>
      </c>
    </row>
    <row r="5055" spans="1:40" x14ac:dyDescent="0.25">
      <c r="A5055" t="str">
        <f>"20190305135731840"</f>
        <v>20190305135731840</v>
      </c>
      <c r="B5055" t="str">
        <f>"1551765451828297"</f>
        <v>1551765451828297</v>
      </c>
      <c r="C5055" t="s">
        <v>40</v>
      </c>
      <c r="D5055">
        <v>3.9199860000000002</v>
      </c>
      <c r="E5055">
        <v>0.5247096</v>
      </c>
      <c r="F5055" t="s">
        <v>96</v>
      </c>
      <c r="G5055">
        <v>-191.42760000000001</v>
      </c>
      <c r="H5055">
        <v>5.414301</v>
      </c>
      <c r="I5055">
        <v>391.87</v>
      </c>
      <c r="J5055">
        <v>-187.6558</v>
      </c>
      <c r="K5055">
        <v>1.1086290000000001</v>
      </c>
      <c r="L5055">
        <v>34.871339999999996</v>
      </c>
      <c r="M5055">
        <v>-2.3743159999999999E-2</v>
      </c>
      <c r="N5055">
        <v>-1.3583110000000001E-2</v>
      </c>
      <c r="O5055">
        <v>0.99962580000000001</v>
      </c>
      <c r="P5055">
        <v>-7.5454759999999996E-2</v>
      </c>
      <c r="Q5055">
        <v>-5.0762910000000004E-4</v>
      </c>
      <c r="R5055">
        <v>0.99714910000000001</v>
      </c>
      <c r="S5055">
        <v>-3.1814580000000002E-2</v>
      </c>
      <c r="T5055">
        <v>3.6205889999999998E-2</v>
      </c>
      <c r="U5055">
        <v>3.0060730000000002</v>
      </c>
      <c r="V5055">
        <v>-5.1749150000000001E-2</v>
      </c>
      <c r="W5055">
        <v>1.308339E-2</v>
      </c>
      <c r="X5055">
        <v>0.99857439999999997</v>
      </c>
      <c r="Y5055">
        <v>1.31675E-2</v>
      </c>
      <c r="Z5055">
        <v>2.5616739999999999E-2</v>
      </c>
      <c r="AA5055">
        <v>0.9995851</v>
      </c>
      <c r="AB5055">
        <v>50</v>
      </c>
      <c r="AC5055">
        <v>-3.77180000000001</v>
      </c>
      <c r="AD5055">
        <v>4.3056720000000004</v>
      </c>
      <c r="AE5055">
        <v>356.99865999999997</v>
      </c>
      <c r="AF5055">
        <v>4.7056375287746297</v>
      </c>
      <c r="AG5055">
        <v>4.3056720000000004</v>
      </c>
      <c r="AH5055">
        <v>356.93564848209098</v>
      </c>
      <c r="AI5055">
        <v>89.308941436963494</v>
      </c>
      <c r="AJ5055">
        <v>89.244688634381603</v>
      </c>
      <c r="AK5055">
        <v>356.992631567172</v>
      </c>
      <c r="AL5055">
        <v>89.250355576732701</v>
      </c>
      <c r="AM5055">
        <v>92.966587022657706</v>
      </c>
      <c r="AN5055">
        <v>0.99999999097748704</v>
      </c>
    </row>
    <row r="5056" spans="1:40" x14ac:dyDescent="0.25">
      <c r="A5056" t="str">
        <f>"20190305135731862"</f>
        <v>20190305135731862</v>
      </c>
      <c r="B5056" t="str">
        <f>"1551765451857578"</f>
        <v>1551765451857578</v>
      </c>
      <c r="C5056" t="s">
        <v>40</v>
      </c>
      <c r="D5056">
        <v>3.9506009999999998</v>
      </c>
      <c r="E5056">
        <v>0.5250688</v>
      </c>
      <c r="F5056" t="s">
        <v>96</v>
      </c>
      <c r="G5056">
        <v>-191.35230000000001</v>
      </c>
      <c r="H5056">
        <v>5.4274300000000002</v>
      </c>
      <c r="I5056">
        <v>391.87</v>
      </c>
      <c r="J5056">
        <v>-187.66720000000001</v>
      </c>
      <c r="K5056">
        <v>1.1086020000000001</v>
      </c>
      <c r="L5056">
        <v>35.357759999999999</v>
      </c>
      <c r="M5056">
        <v>-2.3514170000000001E-2</v>
      </c>
      <c r="N5056">
        <v>-1.3764159999999999E-2</v>
      </c>
      <c r="O5056">
        <v>0.99962870000000004</v>
      </c>
      <c r="P5056">
        <v>-7.5628710000000002E-2</v>
      </c>
      <c r="Q5056">
        <v>-1.090634E-3</v>
      </c>
      <c r="R5056">
        <v>0.99713549999999995</v>
      </c>
      <c r="S5056">
        <v>-3.1127930000000002E-2</v>
      </c>
      <c r="T5056">
        <v>3.636789E-2</v>
      </c>
      <c r="U5056">
        <v>3.0062259999999998</v>
      </c>
      <c r="V5056">
        <v>-5.2151290000000003E-2</v>
      </c>
      <c r="W5056">
        <v>1.2684310000000001E-2</v>
      </c>
      <c r="X5056">
        <v>0.99855859999999996</v>
      </c>
      <c r="Y5056">
        <v>1.3167379999999999E-2</v>
      </c>
      <c r="Z5056">
        <v>2.585111E-2</v>
      </c>
      <c r="AA5056">
        <v>0.99957910000000005</v>
      </c>
      <c r="AB5056">
        <v>50</v>
      </c>
      <c r="AC5056">
        <v>-3.6850999999999998</v>
      </c>
      <c r="AD5056">
        <v>4.3188279999999999</v>
      </c>
      <c r="AE5056">
        <v>356.512239999999</v>
      </c>
      <c r="AF5056">
        <v>4.6991136025957001</v>
      </c>
      <c r="AG5056">
        <v>4.3188279999999999</v>
      </c>
      <c r="AH5056">
        <v>356.44800353187799</v>
      </c>
      <c r="AI5056">
        <v>89.305881897195903</v>
      </c>
      <c r="AJ5056">
        <v>89.2447039167741</v>
      </c>
      <c r="AK5056">
        <v>356.505137642931</v>
      </c>
      <c r="AL5056">
        <v>89.273223054598702</v>
      </c>
      <c r="AM5056">
        <v>92.989645777616303</v>
      </c>
      <c r="AN5056">
        <v>0.99999996320139894</v>
      </c>
    </row>
    <row r="5057" spans="1:40" x14ac:dyDescent="0.25">
      <c r="A5057" t="str">
        <f>"20190305135731886"</f>
        <v>20190305135731886</v>
      </c>
      <c r="B5057" t="str">
        <f>"1551765451877097"</f>
        <v>1551765451877097</v>
      </c>
      <c r="C5057" t="s">
        <v>40</v>
      </c>
      <c r="D5057">
        <v>3.9505699999999999</v>
      </c>
      <c r="E5057">
        <v>0.52527630000000003</v>
      </c>
      <c r="F5057" t="s">
        <v>96</v>
      </c>
      <c r="G5057">
        <v>-191.10509999999999</v>
      </c>
      <c r="H5057">
        <v>5.6062139999999996</v>
      </c>
      <c r="I5057">
        <v>391.87</v>
      </c>
      <c r="J5057">
        <v>-187.68</v>
      </c>
      <c r="K5057">
        <v>1.108571</v>
      </c>
      <c r="L5057">
        <v>35.908230000000003</v>
      </c>
      <c r="M5057">
        <v>-2.3239599999999999E-2</v>
      </c>
      <c r="N5057">
        <v>-1.39412999999999E-2</v>
      </c>
      <c r="O5057">
        <v>0.99963270000000004</v>
      </c>
      <c r="P5057">
        <v>-7.6288220000000004E-2</v>
      </c>
      <c r="Q5057">
        <v>-2.3527859999999999E-3</v>
      </c>
      <c r="R5057">
        <v>0.99708300000000005</v>
      </c>
      <c r="S5057">
        <v>-2.8991699999999999E-2</v>
      </c>
      <c r="T5057">
        <v>3.7928339999999998E-2</v>
      </c>
      <c r="U5057">
        <v>3.0064700000000002</v>
      </c>
      <c r="V5057">
        <v>-5.3086179999999997E-2</v>
      </c>
      <c r="W5057">
        <v>1.16034E-2</v>
      </c>
      <c r="X5057">
        <v>0.99852249999999998</v>
      </c>
      <c r="Y5057">
        <v>1.3604E-2</v>
      </c>
      <c r="Z5057">
        <v>2.6545989999999998E-2</v>
      </c>
      <c r="AA5057">
        <v>0.99955510000000003</v>
      </c>
      <c r="AB5057">
        <v>50</v>
      </c>
      <c r="AC5057">
        <v>-3.42509999999998</v>
      </c>
      <c r="AD5057">
        <v>4.4976430000000001</v>
      </c>
      <c r="AE5057">
        <v>355.96177</v>
      </c>
      <c r="AF5057">
        <v>4.8482645613636102</v>
      </c>
      <c r="AG5057">
        <v>4.4976430000000001</v>
      </c>
      <c r="AH5057">
        <v>355.88840869389099</v>
      </c>
      <c r="AI5057">
        <v>89.276013682207406</v>
      </c>
      <c r="AJ5057">
        <v>89.219508396098306</v>
      </c>
      <c r="AK5057">
        <v>355.94984745674799</v>
      </c>
      <c r="AL5057">
        <v>89.335159220691594</v>
      </c>
      <c r="AM5057">
        <v>93.043249620072103</v>
      </c>
      <c r="AN5057">
        <v>0.99999998220240005</v>
      </c>
    </row>
    <row r="5058" spans="1:40" x14ac:dyDescent="0.25">
      <c r="A5058" t="str">
        <f>"20190305135731929"</f>
        <v>20190305135731929</v>
      </c>
      <c r="B5058" t="str">
        <f>"1551765451917114"</f>
        <v>1551765451917114</v>
      </c>
      <c r="C5058" t="s">
        <v>40</v>
      </c>
      <c r="D5058">
        <v>3.9744480000000002</v>
      </c>
      <c r="E5058">
        <v>0.52564129999999998</v>
      </c>
      <c r="F5058" t="s">
        <v>96</v>
      </c>
      <c r="G5058">
        <v>-191.172</v>
      </c>
      <c r="H5058">
        <v>5.3999509999999997</v>
      </c>
      <c r="I5058">
        <v>391.87</v>
      </c>
      <c r="J5058">
        <v>-187.70160000000001</v>
      </c>
      <c r="K5058">
        <v>1.1085100000000001</v>
      </c>
      <c r="L5058">
        <v>36.857939999999999</v>
      </c>
      <c r="M5058">
        <v>-2.2710129999999999E-2</v>
      </c>
      <c r="N5058">
        <v>-1.418615E-2</v>
      </c>
      <c r="O5058">
        <v>0.99964140000000001</v>
      </c>
      <c r="P5058">
        <v>-7.6975440000000006E-2</v>
      </c>
      <c r="Q5058">
        <v>-5.8037990000000001E-3</v>
      </c>
      <c r="R5058">
        <v>0.99701609999999996</v>
      </c>
      <c r="S5058">
        <v>-2.9495239999999999E-2</v>
      </c>
      <c r="T5058">
        <v>3.6247010000000003E-2</v>
      </c>
      <c r="U5058">
        <v>3.0066220000000001</v>
      </c>
      <c r="V5058">
        <v>-5.4304860000000003E-2</v>
      </c>
      <c r="W5058">
        <v>8.4044600000000007E-3</v>
      </c>
      <c r="X5058">
        <v>0.99848899999999996</v>
      </c>
      <c r="Y5058">
        <v>1.2907409999999999E-2</v>
      </c>
      <c r="Z5058">
        <v>2.6231730000000002E-2</v>
      </c>
      <c r="AA5058">
        <v>0.99957260000000003</v>
      </c>
      <c r="AB5058">
        <v>50</v>
      </c>
      <c r="AC5058">
        <v>-3.4703999999999802</v>
      </c>
      <c r="AD5058">
        <v>4.2914409999999998</v>
      </c>
      <c r="AE5058">
        <v>355.01206000000002</v>
      </c>
      <c r="AF5058">
        <v>4.5930058636389601</v>
      </c>
      <c r="AG5058">
        <v>4.2914409999999998</v>
      </c>
      <c r="AH5058">
        <v>354.94744097953298</v>
      </c>
      <c r="AI5058">
        <v>89.307365346634001</v>
      </c>
      <c r="AJ5058">
        <v>89.258636253412504</v>
      </c>
      <c r="AK5058">
        <v>355.00309579866899</v>
      </c>
      <c r="AL5058">
        <v>89.518454228370103</v>
      </c>
      <c r="AM5058">
        <v>93.113080756013105</v>
      </c>
      <c r="AN5058">
        <v>0.99999996794425505</v>
      </c>
    </row>
    <row r="5059" spans="1:40" x14ac:dyDescent="0.25">
      <c r="A5059" t="str">
        <f>"20190305135731954"</f>
        <v>20190305135731954</v>
      </c>
      <c r="B5059" t="str">
        <f>"1551765451947370"</f>
        <v>1551765451947370</v>
      </c>
      <c r="C5059" t="s">
        <v>40</v>
      </c>
      <c r="D5059">
        <v>3.993544</v>
      </c>
      <c r="E5059">
        <v>0.52584880000000001</v>
      </c>
      <c r="F5059" t="s">
        <v>96</v>
      </c>
      <c r="G5059">
        <v>-191.11009999999999</v>
      </c>
      <c r="H5059">
        <v>4.7489290000000004</v>
      </c>
      <c r="I5059">
        <v>391.87</v>
      </c>
      <c r="J5059">
        <v>-187.71350000000001</v>
      </c>
      <c r="K5059">
        <v>1.108484</v>
      </c>
      <c r="L5059">
        <v>37.392670000000003</v>
      </c>
      <c r="M5059">
        <v>-2.2370749999999998E-2</v>
      </c>
      <c r="N5059">
        <v>-1.4294950000000001E-2</v>
      </c>
      <c r="O5059">
        <v>0.99964759999999997</v>
      </c>
      <c r="P5059">
        <v>-7.6665460000000005E-2</v>
      </c>
      <c r="Q5059">
        <v>-7.6954390000000001E-3</v>
      </c>
      <c r="R5059">
        <v>0.9970272</v>
      </c>
      <c r="S5059">
        <v>-2.886963E-2</v>
      </c>
      <c r="T5059">
        <v>3.083408E-2</v>
      </c>
      <c r="U5059">
        <v>3.0069270000000001</v>
      </c>
      <c r="V5059">
        <v>-5.4334149999999998E-2</v>
      </c>
      <c r="W5059">
        <v>6.6254290000000004E-3</v>
      </c>
      <c r="X5059">
        <v>0.99850079999999997</v>
      </c>
      <c r="Y5059">
        <v>1.2776330000000001E-2</v>
      </c>
      <c r="Z5059">
        <v>2.4540920000000001E-2</v>
      </c>
      <c r="AA5059">
        <v>0.99961719999999998</v>
      </c>
      <c r="AB5059">
        <v>50</v>
      </c>
      <c r="AC5059">
        <v>-3.3965999999999701</v>
      </c>
      <c r="AD5059">
        <v>3.6404450000000002</v>
      </c>
      <c r="AE5059">
        <v>354.47732999999999</v>
      </c>
      <c r="AF5059">
        <v>4.5345055811511799</v>
      </c>
      <c r="AG5059">
        <v>3.6404450000000002</v>
      </c>
      <c r="AH5059">
        <v>354.42721558510902</v>
      </c>
      <c r="AI5059">
        <v>89.411564001577602</v>
      </c>
      <c r="AJ5059">
        <v>89.267003642808703</v>
      </c>
      <c r="AK5059">
        <v>354.47491551318097</v>
      </c>
      <c r="AL5059">
        <v>89.620388092867998</v>
      </c>
      <c r="AM5059">
        <v>93.114719792620704</v>
      </c>
      <c r="AN5059">
        <v>0.99999997188314704</v>
      </c>
    </row>
    <row r="5060" spans="1:40" x14ac:dyDescent="0.25">
      <c r="A5060" t="str">
        <f>"20190305135731975"</f>
        <v>20190305135731975</v>
      </c>
      <c r="B5060" t="str">
        <f>"1551765451967865"</f>
        <v>1551765451967865</v>
      </c>
      <c r="C5060" t="s">
        <v>40</v>
      </c>
      <c r="D5060">
        <v>4.0100749999999996</v>
      </c>
      <c r="E5060">
        <v>0.52598129999999998</v>
      </c>
      <c r="F5060" t="s">
        <v>96</v>
      </c>
      <c r="G5060">
        <v>-190.81620000000001</v>
      </c>
      <c r="H5060">
        <v>4.3862649999999999</v>
      </c>
      <c r="I5060">
        <v>391.87</v>
      </c>
      <c r="J5060">
        <v>-187.72409999999999</v>
      </c>
      <c r="K5060">
        <v>1.1084579999999999</v>
      </c>
      <c r="L5060">
        <v>37.876040000000003</v>
      </c>
      <c r="M5060">
        <v>-2.202786E-2</v>
      </c>
      <c r="N5060">
        <v>-1.4379670000000001E-2</v>
      </c>
      <c r="O5060">
        <v>0.99965389999999998</v>
      </c>
      <c r="P5060">
        <v>-7.6729909999999998E-2</v>
      </c>
      <c r="Q5060">
        <v>-9.1624730000000008E-3</v>
      </c>
      <c r="R5060">
        <v>0.99700979999999995</v>
      </c>
      <c r="S5060">
        <v>-2.632141E-2</v>
      </c>
      <c r="T5060">
        <v>2.7806399999999998E-2</v>
      </c>
      <c r="U5060">
        <v>3.0071409999999998</v>
      </c>
      <c r="V5060">
        <v>-5.4742159999999998E-2</v>
      </c>
      <c r="W5060">
        <v>5.2473950000000002E-3</v>
      </c>
      <c r="X5060">
        <v>0.99848680000000001</v>
      </c>
      <c r="Y5060">
        <v>1.3280729999999999E-2</v>
      </c>
      <c r="Z5060">
        <v>2.361916E-2</v>
      </c>
      <c r="AA5060">
        <v>0.99963279999999999</v>
      </c>
      <c r="AB5060">
        <v>49</v>
      </c>
      <c r="AC5060">
        <v>-3.0921000000000101</v>
      </c>
      <c r="AD5060">
        <v>3.2778070000000001</v>
      </c>
      <c r="AE5060">
        <v>353.99396000000002</v>
      </c>
      <c r="AF5060">
        <v>4.7067829209925502</v>
      </c>
      <c r="AG5060">
        <v>3.2778070000000001</v>
      </c>
      <c r="AH5060">
        <v>353.94582314100501</v>
      </c>
      <c r="AI5060">
        <v>89.4694596615644</v>
      </c>
      <c r="AJ5060">
        <v>89.238123791672606</v>
      </c>
      <c r="AK5060">
        <v>353.99229305616001</v>
      </c>
      <c r="AL5060">
        <v>89.699345052681593</v>
      </c>
      <c r="AM5060">
        <v>93.138106415159399</v>
      </c>
      <c r="AN5060">
        <v>1.00000006450499</v>
      </c>
    </row>
    <row r="5061" spans="1:40" x14ac:dyDescent="0.25">
      <c r="A5061" t="str">
        <f>"20190305135731997"</f>
        <v>20190305135731997</v>
      </c>
      <c r="B5061" t="str">
        <f>"1551765451987386"</f>
        <v>1551765451987386</v>
      </c>
      <c r="C5061" t="s">
        <v>40</v>
      </c>
      <c r="D5061">
        <v>4.0004400000000002</v>
      </c>
      <c r="E5061">
        <v>0.52612349999999997</v>
      </c>
      <c r="F5061" t="s">
        <v>96</v>
      </c>
      <c r="G5061">
        <v>-190.72550000000001</v>
      </c>
      <c r="H5061">
        <v>4.0287620000000004</v>
      </c>
      <c r="I5061">
        <v>391.87</v>
      </c>
      <c r="J5061">
        <v>-187.73419999999999</v>
      </c>
      <c r="K5061">
        <v>1.108436</v>
      </c>
      <c r="L5061">
        <v>38.348239999999997</v>
      </c>
      <c r="M5061">
        <v>-2.1658050000000002E-2</v>
      </c>
      <c r="N5061">
        <v>-1.445134E-2</v>
      </c>
      <c r="O5061">
        <v>0.99966100000000002</v>
      </c>
      <c r="P5061">
        <v>-7.6432029999999998E-2</v>
      </c>
      <c r="Q5061">
        <v>-9.3802339999999994E-3</v>
      </c>
      <c r="R5061">
        <v>0.99703070000000005</v>
      </c>
      <c r="S5061">
        <v>-2.549744E-2</v>
      </c>
      <c r="T5061">
        <v>2.4808650000000002E-2</v>
      </c>
      <c r="U5061">
        <v>3.007263</v>
      </c>
      <c r="V5061">
        <v>-5.4812670000000001E-2</v>
      </c>
      <c r="W5061">
        <v>5.1062529999999998E-3</v>
      </c>
      <c r="X5061">
        <v>0.99848360000000003</v>
      </c>
      <c r="Y5061">
        <v>1.318481E-2</v>
      </c>
      <c r="Z5061">
        <v>2.2694550000000001E-2</v>
      </c>
      <c r="AA5061">
        <v>0.99965550000000003</v>
      </c>
      <c r="AB5061">
        <v>49</v>
      </c>
      <c r="AC5061">
        <v>-2.9913000000000198</v>
      </c>
      <c r="AD5061">
        <v>2.92032599999999</v>
      </c>
      <c r="AE5061">
        <v>353.52175999999997</v>
      </c>
      <c r="AF5061">
        <v>4.6664748649677197</v>
      </c>
      <c r="AG5061">
        <v>2.92032599999999</v>
      </c>
      <c r="AH5061">
        <v>353.479492784554</v>
      </c>
      <c r="AI5061">
        <v>89.526693984570699</v>
      </c>
      <c r="AJ5061">
        <v>89.243651217096001</v>
      </c>
      <c r="AK5061">
        <v>353.522355885504</v>
      </c>
      <c r="AL5061">
        <v>89.707431982874695</v>
      </c>
      <c r="AM5061">
        <v>93.142150372275296</v>
      </c>
      <c r="AN5061">
        <v>1.0000000010405901</v>
      </c>
    </row>
    <row r="5062" spans="1:40" x14ac:dyDescent="0.25">
      <c r="A5062" t="str">
        <f>"20190305135732018"</f>
        <v>20190305135732018</v>
      </c>
      <c r="B5062" t="str">
        <f>"1551765452007882"</f>
        <v>1551765452007882</v>
      </c>
      <c r="C5062" t="s">
        <v>40</v>
      </c>
      <c r="D5062">
        <v>4.0459149999999999</v>
      </c>
      <c r="E5062">
        <v>0.52623469999999894</v>
      </c>
      <c r="F5062" t="s">
        <v>96</v>
      </c>
      <c r="G5062">
        <v>-190.50550000000001</v>
      </c>
      <c r="H5062">
        <v>4.1443729999999999</v>
      </c>
      <c r="I5062">
        <v>391.87</v>
      </c>
      <c r="J5062">
        <v>-187.74420000000001</v>
      </c>
      <c r="K5062">
        <v>1.108411</v>
      </c>
      <c r="L5062">
        <v>38.820740000000001</v>
      </c>
      <c r="M5062">
        <v>-2.1247100000000001E-2</v>
      </c>
      <c r="N5062">
        <v>-1.45135E-2</v>
      </c>
      <c r="O5062">
        <v>0.99966889999999997</v>
      </c>
      <c r="P5062">
        <v>-7.6089509999999999E-2</v>
      </c>
      <c r="Q5062">
        <v>-8.8949839999999999E-3</v>
      </c>
      <c r="R5062">
        <v>0.99706130000000004</v>
      </c>
      <c r="S5062">
        <v>-2.3574830000000001E-2</v>
      </c>
      <c r="T5062">
        <v>2.582622E-2</v>
      </c>
      <c r="U5062">
        <v>3.007355</v>
      </c>
      <c r="V5062">
        <v>-5.4879160000000003E-2</v>
      </c>
      <c r="W5062">
        <v>5.6593750000000003E-3</v>
      </c>
      <c r="X5062">
        <v>0.99847699999999995</v>
      </c>
      <c r="Y5062">
        <v>1.341315E-2</v>
      </c>
      <c r="Z5062">
        <v>2.3094799999999999E-2</v>
      </c>
      <c r="AA5062">
        <v>0.99964330000000001</v>
      </c>
      <c r="AB5062">
        <v>49</v>
      </c>
      <c r="AC5062">
        <v>-2.7612999999999999</v>
      </c>
      <c r="AD5062">
        <v>3.035962</v>
      </c>
      <c r="AE5062">
        <v>353.04926</v>
      </c>
      <c r="AF5062">
        <v>4.7410360489127203</v>
      </c>
      <c r="AG5062">
        <v>3.035962</v>
      </c>
      <c r="AH5062">
        <v>353.00211791899</v>
      </c>
      <c r="AI5062">
        <v>89.507289540978704</v>
      </c>
      <c r="AJ5062">
        <v>89.230528625523405</v>
      </c>
      <c r="AK5062">
        <v>353.04700783801502</v>
      </c>
      <c r="AL5062">
        <v>89.675739978264801</v>
      </c>
      <c r="AM5062">
        <v>93.145975030287204</v>
      </c>
      <c r="AN5062">
        <v>1.00000003512834</v>
      </c>
    </row>
    <row r="5063" spans="1:40" x14ac:dyDescent="0.25">
      <c r="A5063" t="str">
        <f>"20190305135732042"</f>
        <v>20190305135732042</v>
      </c>
      <c r="B5063" t="str">
        <f>"1551765452037161"</f>
        <v>1551765452037161</v>
      </c>
      <c r="C5063" t="s">
        <v>40</v>
      </c>
      <c r="D5063">
        <v>4.0390639999999998</v>
      </c>
      <c r="E5063">
        <v>0.52642559999999905</v>
      </c>
      <c r="F5063" t="s">
        <v>96</v>
      </c>
      <c r="G5063">
        <v>-190.3075</v>
      </c>
      <c r="H5063">
        <v>4.4499360000000001</v>
      </c>
      <c r="I5063">
        <v>391.87</v>
      </c>
      <c r="J5063">
        <v>-187.75460000000001</v>
      </c>
      <c r="K5063">
        <v>1.108379</v>
      </c>
      <c r="L5063">
        <v>39.328609999999998</v>
      </c>
      <c r="M5063">
        <v>-2.0751820000000001E-2</v>
      </c>
      <c r="N5063">
        <v>-1.457085E-2</v>
      </c>
      <c r="O5063">
        <v>0.99967850000000003</v>
      </c>
      <c r="P5063">
        <v>-7.5998140000000006E-2</v>
      </c>
      <c r="Q5063">
        <v>-9.9176030000000005E-3</v>
      </c>
      <c r="R5063">
        <v>0.99705860000000002</v>
      </c>
      <c r="S5063">
        <v>-2.183533E-2</v>
      </c>
      <c r="T5063">
        <v>2.8464440000000001E-2</v>
      </c>
      <c r="U5063">
        <v>3.0074160000000001</v>
      </c>
      <c r="V5063">
        <v>-5.528317E-2</v>
      </c>
      <c r="W5063">
        <v>4.7009449999999998E-3</v>
      </c>
      <c r="X5063">
        <v>0.9984596</v>
      </c>
      <c r="Y5063">
        <v>1.3496330000000001E-2</v>
      </c>
      <c r="Z5063">
        <v>2.4028810000000001E-2</v>
      </c>
      <c r="AA5063">
        <v>0.99962010000000001</v>
      </c>
      <c r="AB5063">
        <v>49</v>
      </c>
      <c r="AC5063">
        <v>-2.55289999999999</v>
      </c>
      <c r="AD5063">
        <v>3.3415569999999999</v>
      </c>
      <c r="AE5063">
        <v>352.54138999999998</v>
      </c>
      <c r="AF5063">
        <v>4.76387391239194</v>
      </c>
      <c r="AG5063">
        <v>3.3415569999999999</v>
      </c>
      <c r="AH5063">
        <v>352.48677346748298</v>
      </c>
      <c r="AI5063">
        <v>89.456904738069994</v>
      </c>
      <c r="AJ5063">
        <v>89.225692215995494</v>
      </c>
      <c r="AK5063">
        <v>352.53480107268001</v>
      </c>
      <c r="AL5063">
        <v>89.730654686345801</v>
      </c>
      <c r="AM5063">
        <v>93.169143183236201</v>
      </c>
      <c r="AN5063">
        <v>0.99999995030064903</v>
      </c>
    </row>
    <row r="5064" spans="1:40" x14ac:dyDescent="0.25">
      <c r="A5064" t="str">
        <f>"20190305135732063"</f>
        <v>20190305135732063</v>
      </c>
      <c r="B5064" t="str">
        <f>"1551765452057657"</f>
        <v>1551765452057657</v>
      </c>
      <c r="C5064" t="s">
        <v>40</v>
      </c>
      <c r="D5064">
        <v>4.0320830000000001</v>
      </c>
      <c r="E5064">
        <v>0.52655589999999997</v>
      </c>
      <c r="F5064" t="s">
        <v>96</v>
      </c>
      <c r="G5064">
        <v>-190.10300000000001</v>
      </c>
      <c r="H5064">
        <v>4.2809309999999998</v>
      </c>
      <c r="I5064">
        <v>391.87</v>
      </c>
      <c r="J5064">
        <v>-187.76439999999999</v>
      </c>
      <c r="K5064">
        <v>1.1083430000000001</v>
      </c>
      <c r="L5064">
        <v>39.816470000000002</v>
      </c>
      <c r="M5064">
        <v>-2.021599E-2</v>
      </c>
      <c r="N5064">
        <v>-1.461785E-2</v>
      </c>
      <c r="O5064">
        <v>0.99968869999999999</v>
      </c>
      <c r="P5064">
        <v>-7.7628710000000004E-2</v>
      </c>
      <c r="Q5064">
        <v>-9.8313610000000003E-3</v>
      </c>
      <c r="R5064">
        <v>0.99693390000000004</v>
      </c>
      <c r="S5064">
        <v>-2.003479E-2</v>
      </c>
      <c r="T5064">
        <v>2.706563E-2</v>
      </c>
      <c r="U5064">
        <v>3.0075989999999999</v>
      </c>
      <c r="V5064">
        <v>-5.7449750000000001E-2</v>
      </c>
      <c r="W5064">
        <v>4.8430419999999997E-3</v>
      </c>
      <c r="X5064">
        <v>0.99833669999999997</v>
      </c>
      <c r="Y5064">
        <v>1.3559130000000001E-2</v>
      </c>
      <c r="Z5064">
        <v>2.3610760000000001E-2</v>
      </c>
      <c r="AA5064">
        <v>0.99962930000000005</v>
      </c>
      <c r="AB5064">
        <v>49</v>
      </c>
      <c r="AC5064">
        <v>-2.33859999999998</v>
      </c>
      <c r="AD5064">
        <v>3.1725880000000002</v>
      </c>
      <c r="AE5064">
        <v>352.053529999999</v>
      </c>
      <c r="AF5064">
        <v>4.7793615557124696</v>
      </c>
      <c r="AG5064">
        <v>3.1725880000000002</v>
      </c>
      <c r="AH5064">
        <v>352.00026500152899</v>
      </c>
      <c r="AI5064">
        <v>89.483653148166098</v>
      </c>
      <c r="AJ5064">
        <v>89.222101665014407</v>
      </c>
      <c r="AK5064">
        <v>352.04700562942497</v>
      </c>
      <c r="AL5064">
        <v>89.7225130618788</v>
      </c>
      <c r="AM5064">
        <v>93.293480068948298</v>
      </c>
      <c r="AN5064">
        <v>1.00000004769888</v>
      </c>
    </row>
    <row r="5065" spans="1:40" x14ac:dyDescent="0.25">
      <c r="A5065" t="str">
        <f>"20190305135732086"</f>
        <v>20190305135732086</v>
      </c>
      <c r="B5065" t="str">
        <f>"1551765452077177"</f>
        <v>1551765452077177</v>
      </c>
      <c r="C5065" t="s">
        <v>40</v>
      </c>
      <c r="D5065">
        <v>4.0333059999999996</v>
      </c>
      <c r="E5065">
        <v>0.52669949999999999</v>
      </c>
      <c r="F5065" t="s">
        <v>96</v>
      </c>
      <c r="G5065">
        <v>-190.55779999999999</v>
      </c>
      <c r="H5065">
        <v>4.3974380000000002</v>
      </c>
      <c r="I5065">
        <v>391.87</v>
      </c>
      <c r="J5065">
        <v>-187.77430000000001</v>
      </c>
      <c r="K5065">
        <v>1.1083019999999999</v>
      </c>
      <c r="L5065">
        <v>40.325290000000003</v>
      </c>
      <c r="M5065">
        <v>-1.9588830000000002E-2</v>
      </c>
      <c r="N5065">
        <v>-1.465968E-2</v>
      </c>
      <c r="O5065">
        <v>0.9997007</v>
      </c>
      <c r="P5065">
        <v>-8.2001099999999993E-2</v>
      </c>
      <c r="Q5065">
        <v>-9.2666220000000004E-3</v>
      </c>
      <c r="R5065">
        <v>0.99658919999999995</v>
      </c>
      <c r="S5065">
        <v>-2.3864750000000001E-2</v>
      </c>
      <c r="T5065">
        <v>2.8099059999999999E-2</v>
      </c>
      <c r="U5065">
        <v>3.0076290000000001</v>
      </c>
      <c r="V5065">
        <v>-6.2452500000000001E-2</v>
      </c>
      <c r="W5065">
        <v>5.4629209999999999E-3</v>
      </c>
      <c r="X5065">
        <v>0.99803299999999995</v>
      </c>
      <c r="Y5065">
        <v>1.165918E-2</v>
      </c>
      <c r="Z5065">
        <v>2.3995929999999999E-2</v>
      </c>
      <c r="AA5065">
        <v>0.99964399999999998</v>
      </c>
      <c r="AB5065">
        <v>49</v>
      </c>
      <c r="AC5065">
        <v>-2.7834999999999699</v>
      </c>
      <c r="AD5065">
        <v>3.2891360000000001</v>
      </c>
      <c r="AE5065">
        <v>351.54471000000001</v>
      </c>
      <c r="AF5065">
        <v>4.10376422768885</v>
      </c>
      <c r="AG5065">
        <v>3.2891360000000001</v>
      </c>
      <c r="AH5065">
        <v>351.50100445054301</v>
      </c>
      <c r="AI5065">
        <v>89.463912570915497</v>
      </c>
      <c r="AJ5065">
        <v>89.331103794283493</v>
      </c>
      <c r="AK5065">
        <v>351.54034679706899</v>
      </c>
      <c r="AL5065">
        <v>89.686996130298496</v>
      </c>
      <c r="AM5065">
        <v>93.580648272437401</v>
      </c>
      <c r="AN5065">
        <v>1.00000001367555</v>
      </c>
    </row>
    <row r="5066" spans="1:40" x14ac:dyDescent="0.25">
      <c r="A5066" t="str">
        <f>"20190305135732110"</f>
        <v>20190305135732110</v>
      </c>
      <c r="B5066" t="str">
        <f>"1551765452097674"</f>
        <v>1551765452097674</v>
      </c>
      <c r="C5066" t="s">
        <v>40</v>
      </c>
      <c r="D5066">
        <v>4.0346349999999997</v>
      </c>
      <c r="E5066">
        <v>0.5269026</v>
      </c>
      <c r="F5066" t="s">
        <v>96</v>
      </c>
      <c r="G5066">
        <v>-191.98519999999999</v>
      </c>
      <c r="H5066">
        <v>4.700475</v>
      </c>
      <c r="I5066">
        <v>391.87</v>
      </c>
      <c r="J5066">
        <v>-187.78370000000001</v>
      </c>
      <c r="K5066">
        <v>1.108255</v>
      </c>
      <c r="L5066">
        <v>40.830019999999998</v>
      </c>
      <c r="M5066">
        <v>-1.8895749999999999E-2</v>
      </c>
      <c r="N5066">
        <v>-1.4695099999999999E-2</v>
      </c>
      <c r="O5066">
        <v>0.99971350000000003</v>
      </c>
      <c r="P5066">
        <v>-8.6907460000000006E-2</v>
      </c>
      <c r="Q5066">
        <v>-7.0578960000000001E-3</v>
      </c>
      <c r="R5066">
        <v>0.99619139999999995</v>
      </c>
      <c r="S5066">
        <v>-3.6026000000000002E-2</v>
      </c>
      <c r="T5066">
        <v>3.0732389999999998E-2</v>
      </c>
      <c r="U5066">
        <v>3.0075989999999999</v>
      </c>
      <c r="V5066">
        <v>-6.8052760000000004E-2</v>
      </c>
      <c r="W5066">
        <v>7.7221260000000002E-3</v>
      </c>
      <c r="X5066">
        <v>0.99765179999999998</v>
      </c>
      <c r="Y5066">
        <v>6.924599E-3</v>
      </c>
      <c r="Z5066">
        <v>2.4906060000000001E-2</v>
      </c>
      <c r="AA5066">
        <v>0.99966580000000005</v>
      </c>
      <c r="AB5066">
        <v>49</v>
      </c>
      <c r="AC5066">
        <v>-4.2014999999999798</v>
      </c>
      <c r="AD5066">
        <v>3.59221999999999</v>
      </c>
      <c r="AE5066">
        <v>351.03997999999899</v>
      </c>
      <c r="AF5066">
        <v>2.4328753398610998</v>
      </c>
      <c r="AG5066">
        <v>3.59221999999999</v>
      </c>
      <c r="AH5066">
        <v>351.019938524586</v>
      </c>
      <c r="AI5066">
        <v>89.413688810299305</v>
      </c>
      <c r="AJ5066">
        <v>89.602896468817804</v>
      </c>
      <c r="AK5066">
        <v>351.04674926389998</v>
      </c>
      <c r="AL5066">
        <v>89.557550357012403</v>
      </c>
      <c r="AM5066">
        <v>93.902268500665201</v>
      </c>
      <c r="AN5066">
        <v>0.99999996170840799</v>
      </c>
    </row>
    <row r="5067" spans="1:40" x14ac:dyDescent="0.25">
      <c r="A5067" t="str">
        <f>"20190305135732132"</f>
        <v>20190305135732132</v>
      </c>
      <c r="B5067" t="str">
        <f>"1551765452127931"</f>
        <v>1551765452127931</v>
      </c>
      <c r="C5067" t="s">
        <v>40</v>
      </c>
      <c r="D5067">
        <v>4.2940079999999998</v>
      </c>
      <c r="E5067">
        <v>0.52709430000000002</v>
      </c>
      <c r="F5067" t="s">
        <v>96</v>
      </c>
      <c r="G5067">
        <v>-193.53299999999999</v>
      </c>
      <c r="H5067">
        <v>5.5679089999999896</v>
      </c>
      <c r="I5067">
        <v>391.87</v>
      </c>
      <c r="J5067">
        <v>-187.79239999999999</v>
      </c>
      <c r="K5067">
        <v>1.1082160000000001</v>
      </c>
      <c r="L5067">
        <v>41.319429999999997</v>
      </c>
      <c r="M5067">
        <v>-1.8157739999999999E-2</v>
      </c>
      <c r="N5067">
        <v>-1.472412E-2</v>
      </c>
      <c r="O5067">
        <v>0.99972669999999997</v>
      </c>
      <c r="P5067">
        <v>-8.9968950000000006E-2</v>
      </c>
      <c r="Q5067">
        <v>-4.4016109999999997E-3</v>
      </c>
      <c r="R5067">
        <v>0.99593480000000001</v>
      </c>
      <c r="S5067">
        <v>-4.925537E-2</v>
      </c>
      <c r="T5067">
        <v>3.820693E-2</v>
      </c>
      <c r="U5067">
        <v>3.0074459999999998</v>
      </c>
      <c r="V5067">
        <v>-7.1848629999999997E-2</v>
      </c>
      <c r="W5067">
        <v>1.042234E-2</v>
      </c>
      <c r="X5067">
        <v>0.9973611</v>
      </c>
      <c r="Y5067">
        <v>1.790495E-3</v>
      </c>
      <c r="Z5067">
        <v>2.7418459999999999E-2</v>
      </c>
      <c r="AA5067">
        <v>0.99962249999999997</v>
      </c>
      <c r="AB5067">
        <v>49</v>
      </c>
      <c r="AC5067">
        <v>-5.7405999999999997</v>
      </c>
      <c r="AD5067">
        <v>4.4596929999999997</v>
      </c>
      <c r="AE5067">
        <v>350.55056999999999</v>
      </c>
      <c r="AF5067">
        <v>0.62614159524123103</v>
      </c>
      <c r="AG5067">
        <v>4.4596929999999997</v>
      </c>
      <c r="AH5067">
        <v>350.54029225090801</v>
      </c>
      <c r="AI5067">
        <v>89.271104063696896</v>
      </c>
      <c r="AJ5067">
        <v>89.897657320930605</v>
      </c>
      <c r="AK5067">
        <v>350.569219136968</v>
      </c>
      <c r="AL5067">
        <v>89.402833098149202</v>
      </c>
      <c r="AM5067">
        <v>94.120397490810504</v>
      </c>
      <c r="AN5067">
        <v>1.00000000729858</v>
      </c>
    </row>
    <row r="5068" spans="1:40" x14ac:dyDescent="0.25">
      <c r="A5068" t="str">
        <f>"20190305135732173"</f>
        <v>20190305135732173</v>
      </c>
      <c r="B5068" t="str">
        <f>"1551765452167945"</f>
        <v>1551765452167945</v>
      </c>
      <c r="C5068" t="s">
        <v>40</v>
      </c>
      <c r="D5068">
        <v>3.9814250000000002</v>
      </c>
      <c r="E5068">
        <v>0.60636269999999903</v>
      </c>
      <c r="F5068" t="s">
        <v>96</v>
      </c>
      <c r="G5068">
        <v>-194.3777</v>
      </c>
      <c r="H5068">
        <v>6.4855499999999999</v>
      </c>
      <c r="I5068">
        <v>390.11860000000001</v>
      </c>
      <c r="J5068">
        <v>-187.80770000000001</v>
      </c>
      <c r="K5068">
        <v>1.1081129999999999</v>
      </c>
      <c r="L5068">
        <v>42.238399999999999</v>
      </c>
      <c r="M5068">
        <v>-1.6652730000000001E-2</v>
      </c>
      <c r="N5068">
        <v>-1.476747E-2</v>
      </c>
      <c r="O5068">
        <v>0.99975230000000004</v>
      </c>
      <c r="P5068">
        <v>-8.8313600000000006E-2</v>
      </c>
      <c r="Q5068">
        <v>-4.5946889999999999E-3</v>
      </c>
      <c r="R5068">
        <v>0.99608209999999997</v>
      </c>
      <c r="S5068">
        <v>-5.6777950000000001E-2</v>
      </c>
      <c r="T5068">
        <v>4.6363000000000001E-2</v>
      </c>
      <c r="U5068">
        <v>3.0073240000000001</v>
      </c>
      <c r="V5068">
        <v>-7.1689879999999997E-2</v>
      </c>
      <c r="W5068">
        <v>1.029265E-2</v>
      </c>
      <c r="X5068">
        <v>0.99737390000000004</v>
      </c>
      <c r="Y5068">
        <v>-2.213741E-3</v>
      </c>
      <c r="Z5068">
        <v>3.0171989999999999E-2</v>
      </c>
      <c r="AA5068">
        <v>0.99954229999999999</v>
      </c>
      <c r="AB5068">
        <v>49</v>
      </c>
      <c r="AC5068">
        <v>-6.5699999999999896</v>
      </c>
      <c r="AD5068">
        <v>5.3774369999999996</v>
      </c>
      <c r="AE5068">
        <v>347.8802</v>
      </c>
      <c r="AF5068">
        <v>-0.77511694894496497</v>
      </c>
      <c r="AG5068">
        <v>5.3774369999999996</v>
      </c>
      <c r="AH5068">
        <v>347.85828249829598</v>
      </c>
      <c r="AI5068">
        <v>89.114354447500503</v>
      </c>
      <c r="AJ5068">
        <v>90.127669394510207</v>
      </c>
      <c r="AK5068">
        <v>347.90070758427299</v>
      </c>
      <c r="AL5068">
        <v>89.410264203849806</v>
      </c>
      <c r="AM5068">
        <v>94.111272117068793</v>
      </c>
      <c r="AN5068">
        <v>1.0000000369698201</v>
      </c>
    </row>
    <row r="5069" spans="1:40" x14ac:dyDescent="0.25">
      <c r="A5069" t="str">
        <f>"20190305135732197"</f>
        <v>20190305135732197</v>
      </c>
      <c r="B5069" t="str">
        <f>"1551765452187465"</f>
        <v>1551765452187465</v>
      </c>
      <c r="C5069" t="s">
        <v>40</v>
      </c>
      <c r="D5069">
        <v>3.9343949999999999</v>
      </c>
      <c r="E5069">
        <v>0.61146709999999904</v>
      </c>
      <c r="F5069" t="s">
        <v>70</v>
      </c>
      <c r="G5069">
        <v>-164.13460000000001</v>
      </c>
      <c r="H5069">
        <v>8.4509080000000001</v>
      </c>
      <c r="I5069">
        <v>168.66990000000001</v>
      </c>
      <c r="J5069">
        <v>-187.81559999999999</v>
      </c>
      <c r="K5069">
        <v>1.1080479999999999</v>
      </c>
      <c r="L5069">
        <v>42.755130000000001</v>
      </c>
      <c r="M5069">
        <v>-1.575762E-2</v>
      </c>
      <c r="N5069">
        <v>-1.47863E-2</v>
      </c>
      <c r="O5069">
        <v>0.9997665</v>
      </c>
      <c r="P5069">
        <v>-8.4455009999999997E-2</v>
      </c>
      <c r="Q5069">
        <v>-7.8198030000000002E-3</v>
      </c>
      <c r="R5069">
        <v>0.99639659999999997</v>
      </c>
      <c r="S5069">
        <v>0.57360840000000002</v>
      </c>
      <c r="T5069">
        <v>0.17791899999999999</v>
      </c>
      <c r="U5069">
        <v>3.0634769999999998</v>
      </c>
      <c r="V5069">
        <v>-6.8725729999999999E-2</v>
      </c>
      <c r="W5069">
        <v>7.0908119999999897E-3</v>
      </c>
      <c r="X5069">
        <v>0.99761040000000001</v>
      </c>
      <c r="Y5069">
        <v>0.1990981</v>
      </c>
      <c r="Z5069">
        <v>7.1672620000000006E-2</v>
      </c>
      <c r="AA5069">
        <v>0.97735510000000003</v>
      </c>
      <c r="AB5069">
        <v>49</v>
      </c>
      <c r="AC5069">
        <v>23.680999999999901</v>
      </c>
      <c r="AD5069">
        <v>7.3428599999999999</v>
      </c>
      <c r="AE5069">
        <v>125.914769999999</v>
      </c>
      <c r="AF5069">
        <v>25.578378700712101</v>
      </c>
      <c r="AG5069">
        <v>7.3428599999999999</v>
      </c>
      <c r="AH5069">
        <v>125.11498470026299</v>
      </c>
      <c r="AI5069">
        <v>86.709139898228898</v>
      </c>
      <c r="AJ5069">
        <v>78.445725388029601</v>
      </c>
      <c r="AK5069">
        <v>127.913761755659</v>
      </c>
      <c r="AL5069">
        <v>89.593722997658503</v>
      </c>
      <c r="AM5069">
        <v>93.940899850040097</v>
      </c>
      <c r="AN5069">
        <v>1.0000000078835001</v>
      </c>
    </row>
    <row r="5070" spans="1:40" x14ac:dyDescent="0.25">
      <c r="A5070" t="str">
        <f>"20190305135732219"</f>
        <v>20190305135732219</v>
      </c>
      <c r="B5070" t="str">
        <f>"1551765452207962"</f>
        <v>1551765452207962</v>
      </c>
      <c r="C5070" t="s">
        <v>40</v>
      </c>
      <c r="D5070">
        <v>3.8824709999999998</v>
      </c>
      <c r="E5070">
        <v>0.61404530000000002</v>
      </c>
      <c r="F5070" t="s">
        <v>70</v>
      </c>
      <c r="G5070">
        <v>-162.45939999999999</v>
      </c>
      <c r="H5070">
        <v>8.2010690000000004</v>
      </c>
      <c r="I5070">
        <v>166.9967</v>
      </c>
      <c r="J5070">
        <v>-187.82259999999999</v>
      </c>
      <c r="K5070">
        <v>1.107985</v>
      </c>
      <c r="L5070">
        <v>43.238399999999999</v>
      </c>
      <c r="M5070">
        <v>-1.4901269999999999E-2</v>
      </c>
      <c r="N5070">
        <v>-1.480099E-2</v>
      </c>
      <c r="O5070">
        <v>0.99977939999999998</v>
      </c>
      <c r="P5070">
        <v>-7.9982129999999999E-2</v>
      </c>
      <c r="Q5070">
        <v>-1.1986800000000001E-2</v>
      </c>
      <c r="R5070">
        <v>0.99672419999999995</v>
      </c>
      <c r="S5070">
        <v>0.62557980000000002</v>
      </c>
      <c r="T5070">
        <v>0.17499729999999999</v>
      </c>
      <c r="U5070">
        <v>3.0652469999999998</v>
      </c>
      <c r="V5070">
        <v>-6.5112299999999998E-2</v>
      </c>
      <c r="W5070">
        <v>2.939999E-3</v>
      </c>
      <c r="X5070">
        <v>0.99787360000000003</v>
      </c>
      <c r="Y5070">
        <v>0.21411169999999999</v>
      </c>
      <c r="Z5070">
        <v>7.0547819999999997E-2</v>
      </c>
      <c r="AA5070">
        <v>0.97425830000000002</v>
      </c>
      <c r="AB5070">
        <v>49</v>
      </c>
      <c r="AC5070">
        <v>25.363199999999999</v>
      </c>
      <c r="AD5070">
        <v>7.0930839999999904</v>
      </c>
      <c r="AE5070">
        <v>123.75830000000001</v>
      </c>
      <c r="AF5070">
        <v>27.119248113592299</v>
      </c>
      <c r="AG5070">
        <v>7.0930839999999904</v>
      </c>
      <c r="AH5070">
        <v>122.978881373288</v>
      </c>
      <c r="AI5070">
        <v>86.7762773543771</v>
      </c>
      <c r="AJ5070">
        <v>77.564190569030302</v>
      </c>
      <c r="AK5070">
        <v>126.133146804093</v>
      </c>
      <c r="AL5070">
        <v>89.831550220902599</v>
      </c>
      <c r="AM5070">
        <v>93.733317318833002</v>
      </c>
      <c r="AN5070">
        <v>0.99999998839118498</v>
      </c>
    </row>
    <row r="5071" spans="1:40" x14ac:dyDescent="0.25">
      <c r="A5071" t="str">
        <f>"20190305135732242"</f>
        <v>20190305135732242</v>
      </c>
      <c r="B5071" t="str">
        <f>"1551765452237242"</f>
        <v>1551765452237242</v>
      </c>
      <c r="C5071" t="s">
        <v>40</v>
      </c>
      <c r="D5071">
        <v>3.8725149999999999</v>
      </c>
      <c r="E5071">
        <v>0.61701399999999995</v>
      </c>
      <c r="F5071" t="s">
        <v>70</v>
      </c>
      <c r="G5071">
        <v>-161.4254</v>
      </c>
      <c r="H5071">
        <v>8.0518330000000002</v>
      </c>
      <c r="I5071">
        <v>165.9639</v>
      </c>
      <c r="J5071">
        <v>-187.8295</v>
      </c>
      <c r="K5071">
        <v>1.107942</v>
      </c>
      <c r="L5071">
        <v>43.739170000000001</v>
      </c>
      <c r="M5071">
        <v>-1.4002229999999999E-2</v>
      </c>
      <c r="N5071">
        <v>-1.4813659999999999E-2</v>
      </c>
      <c r="O5071">
        <v>0.99979220000000002</v>
      </c>
      <c r="P5071">
        <v>-7.4435080000000001E-2</v>
      </c>
      <c r="Q5071">
        <v>-1.625708E-2</v>
      </c>
      <c r="R5071">
        <v>0.99709329999999996</v>
      </c>
      <c r="S5071">
        <v>0.65922550000000002</v>
      </c>
      <c r="T5071">
        <v>0.17341099999999901</v>
      </c>
      <c r="U5071">
        <v>3.0648499999999999</v>
      </c>
      <c r="V5071">
        <v>-6.0467779999999999E-2</v>
      </c>
      <c r="W5071">
        <v>-1.3199360000000001E-3</v>
      </c>
      <c r="X5071">
        <v>0.99816930000000004</v>
      </c>
      <c r="Y5071">
        <v>0.22350400000000001</v>
      </c>
      <c r="Z5071">
        <v>6.9944839999999994E-2</v>
      </c>
      <c r="AA5071">
        <v>0.97219009999999995</v>
      </c>
      <c r="AB5071">
        <v>49</v>
      </c>
      <c r="AC5071">
        <v>26.4041</v>
      </c>
      <c r="AD5071">
        <v>6.9438909999999998</v>
      </c>
      <c r="AE5071">
        <v>122.22472999999999</v>
      </c>
      <c r="AF5071">
        <v>28.0266903533342</v>
      </c>
      <c r="AG5071">
        <v>6.9438909999999998</v>
      </c>
      <c r="AH5071">
        <v>121.468410499407</v>
      </c>
      <c r="AI5071">
        <v>86.811763952253898</v>
      </c>
      <c r="AJ5071">
        <v>77.007390144214199</v>
      </c>
      <c r="AK5071">
        <v>124.853064614506</v>
      </c>
      <c r="AL5071">
        <v>90.075626782243603</v>
      </c>
      <c r="AM5071">
        <v>93.466666283868506</v>
      </c>
      <c r="AN5071">
        <v>1.0000000230558299</v>
      </c>
    </row>
    <row r="5072" spans="1:40" x14ac:dyDescent="0.25">
      <c r="A5072" t="str">
        <f>"20190305135732263"</f>
        <v>20190305135732263</v>
      </c>
      <c r="B5072" t="str">
        <f>"1551765452257738"</f>
        <v>1551765452257738</v>
      </c>
      <c r="C5072" t="s">
        <v>40</v>
      </c>
      <c r="D5072">
        <v>3.870228</v>
      </c>
      <c r="E5072">
        <v>0.61862740000000005</v>
      </c>
      <c r="F5072" t="s">
        <v>98</v>
      </c>
      <c r="G5072">
        <v>-173.4554</v>
      </c>
      <c r="H5072">
        <v>4.9158879999999998</v>
      </c>
      <c r="I5072">
        <v>106.8017</v>
      </c>
      <c r="J5072">
        <v>-187.83539999999999</v>
      </c>
      <c r="K5072">
        <v>1.1079030000000001</v>
      </c>
      <c r="L5072">
        <v>44.202669999999998</v>
      </c>
      <c r="M5072">
        <v>-1.316432E-2</v>
      </c>
      <c r="N5072">
        <v>-1.4823360000000001E-2</v>
      </c>
      <c r="O5072">
        <v>0.99980349999999996</v>
      </c>
      <c r="P5072">
        <v>-6.9171289999999996E-2</v>
      </c>
      <c r="Q5072">
        <v>-1.8598710000000001E-2</v>
      </c>
      <c r="R5072">
        <v>0.99743139999999997</v>
      </c>
      <c r="S5072">
        <v>0.69836430000000005</v>
      </c>
      <c r="T5072">
        <v>0.18501090000000001</v>
      </c>
      <c r="U5072">
        <v>3.063904</v>
      </c>
      <c r="V5072">
        <v>-5.6043259999999998E-2</v>
      </c>
      <c r="W5072">
        <v>-3.6556560000000002E-3</v>
      </c>
      <c r="X5072">
        <v>0.99842169999999997</v>
      </c>
      <c r="Y5072">
        <v>0.23452480000000001</v>
      </c>
      <c r="Z5072">
        <v>7.3488059999999994E-2</v>
      </c>
      <c r="AA5072">
        <v>0.96932850000000004</v>
      </c>
      <c r="AB5072">
        <v>49</v>
      </c>
      <c r="AC5072">
        <v>14.3799999999999</v>
      </c>
      <c r="AD5072">
        <v>3.807985</v>
      </c>
      <c r="AE5072">
        <v>62.599029999999999</v>
      </c>
      <c r="AF5072">
        <v>15.1496671674469</v>
      </c>
      <c r="AG5072">
        <v>3.807985</v>
      </c>
      <c r="AH5072">
        <v>62.185699625141403</v>
      </c>
      <c r="AI5072">
        <v>86.595166854721001</v>
      </c>
      <c r="AJ5072">
        <v>76.308325215598302</v>
      </c>
      <c r="AK5072">
        <v>64.117660616346299</v>
      </c>
      <c r="AL5072">
        <v>90.209454116005503</v>
      </c>
      <c r="AM5072">
        <v>93.212746873212097</v>
      </c>
      <c r="AN5072">
        <v>1.0000000509215501</v>
      </c>
    </row>
    <row r="5073" spans="1:40" x14ac:dyDescent="0.25">
      <c r="A5073" t="str">
        <f>"20190305135732288"</f>
        <v>20190305135732288</v>
      </c>
      <c r="B5073" t="str">
        <f>"1551765452277257"</f>
        <v>1551765452277257</v>
      </c>
      <c r="C5073" t="s">
        <v>40</v>
      </c>
      <c r="D5073">
        <v>3.877926</v>
      </c>
      <c r="E5073">
        <v>0.61945660000000002</v>
      </c>
      <c r="F5073" t="s">
        <v>98</v>
      </c>
      <c r="G5073">
        <v>-173.55009999999999</v>
      </c>
      <c r="H5073">
        <v>4.9167069999999997</v>
      </c>
      <c r="I5073">
        <v>104.4269</v>
      </c>
      <c r="J5073">
        <v>-187.84180000000001</v>
      </c>
      <c r="K5073">
        <v>1.10789</v>
      </c>
      <c r="L5073">
        <v>44.744199999999999</v>
      </c>
      <c r="M5073">
        <v>-1.218287E-2</v>
      </c>
      <c r="N5073">
        <v>-1.4832649999999999E-2</v>
      </c>
      <c r="O5073">
        <v>0.99981580000000003</v>
      </c>
      <c r="P5073">
        <v>-6.3597180000000003E-2</v>
      </c>
      <c r="Q5073">
        <v>-1.8846069999999999E-2</v>
      </c>
      <c r="R5073">
        <v>0.99779770000000001</v>
      </c>
      <c r="S5073">
        <v>0.726242099999999</v>
      </c>
      <c r="T5073">
        <v>0.1936349</v>
      </c>
      <c r="U5073">
        <v>3.0617070000000002</v>
      </c>
      <c r="V5073">
        <v>-5.1445570000000003E-2</v>
      </c>
      <c r="W5073">
        <v>-3.8983440000000002E-3</v>
      </c>
      <c r="X5073">
        <v>0.99866820000000001</v>
      </c>
      <c r="Y5073">
        <v>0.24204819999999999</v>
      </c>
      <c r="Z5073">
        <v>7.6142559999999998E-2</v>
      </c>
      <c r="AA5073">
        <v>0.96727189999999996</v>
      </c>
      <c r="AB5073">
        <v>49</v>
      </c>
      <c r="AC5073">
        <v>14.291700000000001</v>
      </c>
      <c r="AD5073">
        <v>3.8088169999999999</v>
      </c>
      <c r="AE5073">
        <v>59.682699999999997</v>
      </c>
      <c r="AF5073">
        <v>14.9602014144641</v>
      </c>
      <c r="AG5073">
        <v>3.8088169999999999</v>
      </c>
      <c r="AH5073">
        <v>59.275815877364501</v>
      </c>
      <c r="AI5073">
        <v>86.434953198719398</v>
      </c>
      <c r="AJ5073">
        <v>75.835330638669305</v>
      </c>
      <c r="AK5073">
        <v>61.253057566361903</v>
      </c>
      <c r="AL5073">
        <v>90.223359222078599</v>
      </c>
      <c r="AM5073">
        <v>92.948938203887295</v>
      </c>
      <c r="AN5073">
        <v>1.0000000087248999</v>
      </c>
    </row>
    <row r="5074" spans="1:40" x14ac:dyDescent="0.25">
      <c r="A5074" t="str">
        <f>"20190305135732310"</f>
        <v>20190305135732310</v>
      </c>
      <c r="B5074" t="str">
        <f>"1551765452307514"</f>
        <v>1551765452307514</v>
      </c>
      <c r="C5074" t="s">
        <v>40</v>
      </c>
      <c r="D5074">
        <v>3.9016489999999999</v>
      </c>
      <c r="E5074">
        <v>0.62046210000000002</v>
      </c>
      <c r="F5074" t="s">
        <v>98</v>
      </c>
      <c r="G5074">
        <v>-173.66970000000001</v>
      </c>
      <c r="H5074">
        <v>4.9173669999999996</v>
      </c>
      <c r="I5074">
        <v>102.55549999999999</v>
      </c>
      <c r="J5074">
        <v>-187.84710000000001</v>
      </c>
      <c r="K5074">
        <v>1.107883</v>
      </c>
      <c r="L5074">
        <v>45.224640000000001</v>
      </c>
      <c r="M5074">
        <v>-1.1311359999999999E-2</v>
      </c>
      <c r="N5074">
        <v>-1.483929E-2</v>
      </c>
      <c r="O5074">
        <v>0.99982590000000005</v>
      </c>
      <c r="P5074">
        <v>-5.8562669999999997E-2</v>
      </c>
      <c r="Q5074">
        <v>-1.8016359999999999E-2</v>
      </c>
      <c r="R5074">
        <v>0.99812109999999998</v>
      </c>
      <c r="S5074">
        <v>0.74971009999999905</v>
      </c>
      <c r="T5074">
        <v>0.20152320000000001</v>
      </c>
      <c r="U5074">
        <v>3.0582280000000002</v>
      </c>
      <c r="V5074">
        <v>-4.7276119999999998E-2</v>
      </c>
      <c r="W5074">
        <v>-3.0673179999999999E-3</v>
      </c>
      <c r="X5074">
        <v>0.99887720000000002</v>
      </c>
      <c r="Y5074">
        <v>0.2484199</v>
      </c>
      <c r="Z5074">
        <v>7.8596200000000005E-2</v>
      </c>
      <c r="AA5074">
        <v>0.96545859999999994</v>
      </c>
      <c r="AB5074">
        <v>49</v>
      </c>
      <c r="AC5074">
        <v>14.1774</v>
      </c>
      <c r="AD5074">
        <v>3.8094839999999999</v>
      </c>
      <c r="AE5074">
        <v>57.330860000000001</v>
      </c>
      <c r="AF5074">
        <v>14.7636256256088</v>
      </c>
      <c r="AG5074">
        <v>3.8094839999999999</v>
      </c>
      <c r="AH5074">
        <v>56.929933672830202</v>
      </c>
      <c r="AI5074">
        <v>86.2939747318771</v>
      </c>
      <c r="AJ5074">
        <v>75.461760385763995</v>
      </c>
      <c r="AK5074">
        <v>58.936356843227401</v>
      </c>
      <c r="AL5074">
        <v>90.175744642562094</v>
      </c>
      <c r="AM5074">
        <v>92.709744797484902</v>
      </c>
      <c r="AN5074">
        <v>1.0000000503208999</v>
      </c>
    </row>
    <row r="5075" spans="1:40" x14ac:dyDescent="0.25">
      <c r="A5075" t="str">
        <f>"20190305135732332"</f>
        <v>20190305135732332</v>
      </c>
      <c r="B5075" t="str">
        <f>"1551765452327033"</f>
        <v>1551765452327033</v>
      </c>
      <c r="C5075" t="s">
        <v>40</v>
      </c>
      <c r="D5075">
        <v>3.8781789999999998</v>
      </c>
      <c r="E5075">
        <v>0.6206334</v>
      </c>
      <c r="F5075" t="s">
        <v>98</v>
      </c>
      <c r="G5075">
        <v>-174.15389999999999</v>
      </c>
      <c r="H5075">
        <v>4.9185809999999996</v>
      </c>
      <c r="I5075">
        <v>99.38</v>
      </c>
      <c r="J5075">
        <v>-187.85210000000001</v>
      </c>
      <c r="K5075">
        <v>1.107885</v>
      </c>
      <c r="L5075">
        <v>45.726199999999999</v>
      </c>
      <c r="M5075">
        <v>-1.040078E-2</v>
      </c>
      <c r="N5075">
        <v>-1.484485E-2</v>
      </c>
      <c r="O5075">
        <v>0.99983569999999999</v>
      </c>
      <c r="P5075">
        <v>-5.4154679999999997E-2</v>
      </c>
      <c r="Q5075">
        <v>-1.645632E-2</v>
      </c>
      <c r="R5075">
        <v>0.99839690000000003</v>
      </c>
      <c r="S5075">
        <v>0.77241519999999997</v>
      </c>
      <c r="T5075">
        <v>0.21495819999999999</v>
      </c>
      <c r="U5075">
        <v>3.05484</v>
      </c>
      <c r="V5075">
        <v>-4.3770879999999998E-2</v>
      </c>
      <c r="W5075">
        <v>-1.506585E-3</v>
      </c>
      <c r="X5075">
        <v>0.9990405</v>
      </c>
      <c r="Y5075">
        <v>0.25446370000000001</v>
      </c>
      <c r="Z5075">
        <v>8.2787609999999998E-2</v>
      </c>
      <c r="AA5075">
        <v>0.96353230000000001</v>
      </c>
      <c r="AB5075">
        <v>49</v>
      </c>
      <c r="AC5075">
        <v>13.6982</v>
      </c>
      <c r="AD5075">
        <v>3.8106960000000001</v>
      </c>
      <c r="AE5075">
        <v>53.653799999999997</v>
      </c>
      <c r="AF5075">
        <v>14.1883699595443</v>
      </c>
      <c r="AG5075">
        <v>3.8106960000000001</v>
      </c>
      <c r="AH5075">
        <v>53.256204328389103</v>
      </c>
      <c r="AI5075">
        <v>86.044733212374297</v>
      </c>
      <c r="AJ5075">
        <v>75.081926974189997</v>
      </c>
      <c r="AK5075">
        <v>55.245402936175999</v>
      </c>
      <c r="AL5075">
        <v>90.086320991163902</v>
      </c>
      <c r="AM5075">
        <v>92.5086909346402</v>
      </c>
      <c r="AN5075">
        <v>1.0000000401872899</v>
      </c>
    </row>
    <row r="5076" spans="1:40" x14ac:dyDescent="0.25">
      <c r="A5076" t="str">
        <f>"20190305135732354"</f>
        <v>20190305135732354</v>
      </c>
      <c r="B5076" t="str">
        <f>"1551765452347530"</f>
        <v>1551765452347530</v>
      </c>
      <c r="C5076" t="s">
        <v>40</v>
      </c>
      <c r="D5076">
        <v>3.8545600000000002</v>
      </c>
      <c r="E5076">
        <v>0.62103160000000002</v>
      </c>
      <c r="F5076" t="s">
        <v>98</v>
      </c>
      <c r="G5076">
        <v>-174.51949999999999</v>
      </c>
      <c r="H5076">
        <v>4.9193600000000002</v>
      </c>
      <c r="I5076">
        <v>97.395349999999993</v>
      </c>
      <c r="J5076">
        <v>-187.8562</v>
      </c>
      <c r="K5076">
        <v>1.1078840000000001</v>
      </c>
      <c r="L5076">
        <v>46.174129999999998</v>
      </c>
      <c r="M5076">
        <v>-9.5862550000000001E-3</v>
      </c>
      <c r="N5076">
        <v>-1.484883E-2</v>
      </c>
      <c r="O5076">
        <v>0.99984379999999995</v>
      </c>
      <c r="P5076">
        <v>-5.0784580000000003E-2</v>
      </c>
      <c r="Q5076">
        <v>-1.6503540000000001E-2</v>
      </c>
      <c r="R5076">
        <v>0.99857320000000005</v>
      </c>
      <c r="S5076">
        <v>0.78733830000000005</v>
      </c>
      <c r="T5076">
        <v>0.2250818</v>
      </c>
      <c r="U5076">
        <v>3.0512389999999998</v>
      </c>
      <c r="V5076">
        <v>-4.1213060000000003E-2</v>
      </c>
      <c r="W5076">
        <v>-1.553872E-3</v>
      </c>
      <c r="X5076">
        <v>0.99914910000000001</v>
      </c>
      <c r="Y5076">
        <v>0.25830789999999998</v>
      </c>
      <c r="Z5076">
        <v>8.5973839999999996E-2</v>
      </c>
      <c r="AA5076">
        <v>0.96222940000000001</v>
      </c>
      <c r="AB5076">
        <v>49</v>
      </c>
      <c r="AC5076">
        <v>13.3367</v>
      </c>
      <c r="AD5076">
        <v>3.8114759999999999</v>
      </c>
      <c r="AE5076">
        <v>51.221220000000002</v>
      </c>
      <c r="AF5076">
        <v>13.7558286945604</v>
      </c>
      <c r="AG5076">
        <v>3.8114759999999999</v>
      </c>
      <c r="AH5076">
        <v>50.827432257543599</v>
      </c>
      <c r="AI5076">
        <v>85.859893994762899</v>
      </c>
      <c r="AJ5076">
        <v>74.856365629528199</v>
      </c>
      <c r="AK5076">
        <v>52.793731088717799</v>
      </c>
      <c r="AL5076">
        <v>90.089030349791898</v>
      </c>
      <c r="AM5076">
        <v>92.362006395772099</v>
      </c>
      <c r="AN5076">
        <v>0.99999992743178001</v>
      </c>
    </row>
    <row r="5077" spans="1:40" x14ac:dyDescent="0.25">
      <c r="A5077" t="str">
        <f>"20190305135732377"</f>
        <v>20190305135732377</v>
      </c>
      <c r="B5077" t="str">
        <f>"1551765452368026"</f>
        <v>1551765452368026</v>
      </c>
      <c r="C5077" t="s">
        <v>40</v>
      </c>
      <c r="D5077">
        <v>3.936893</v>
      </c>
      <c r="E5077">
        <v>0.62117230000000001</v>
      </c>
      <c r="F5077" t="s">
        <v>98</v>
      </c>
      <c r="G5077">
        <v>-174.6618</v>
      </c>
      <c r="H5077">
        <v>4.9197319999999998</v>
      </c>
      <c r="I5077">
        <v>96.416039999999995</v>
      </c>
      <c r="J5077">
        <v>-187.8605</v>
      </c>
      <c r="K5077">
        <v>1.1078730000000001</v>
      </c>
      <c r="L5077">
        <v>46.693629999999999</v>
      </c>
      <c r="M5077">
        <v>-8.6399419999999994E-3</v>
      </c>
      <c r="N5077">
        <v>-1.48524E-2</v>
      </c>
      <c r="O5077">
        <v>0.99985239999999997</v>
      </c>
      <c r="P5077">
        <v>-4.7824779999999997E-2</v>
      </c>
      <c r="Q5077">
        <v>-1.6984840000000001E-2</v>
      </c>
      <c r="R5077">
        <v>0.99871129999999997</v>
      </c>
      <c r="S5077">
        <v>0.80067440000000001</v>
      </c>
      <c r="T5077">
        <v>0.23131550000000001</v>
      </c>
      <c r="U5077">
        <v>3.0488279999999999</v>
      </c>
      <c r="V5077">
        <v>-3.9199070000000003E-2</v>
      </c>
      <c r="W5077">
        <v>-2.034868E-3</v>
      </c>
      <c r="X5077">
        <v>0.99922940000000005</v>
      </c>
      <c r="Y5077">
        <v>0.26148009999999999</v>
      </c>
      <c r="Z5077">
        <v>8.7918720000000006E-2</v>
      </c>
      <c r="AA5077">
        <v>0.96119639999999995</v>
      </c>
      <c r="AB5077">
        <v>49</v>
      </c>
      <c r="AC5077">
        <v>13.198700000000001</v>
      </c>
      <c r="AD5077">
        <v>3.8118589999999899</v>
      </c>
      <c r="AE5077">
        <v>49.722410000000004</v>
      </c>
      <c r="AF5077">
        <v>13.5534406048878</v>
      </c>
      <c r="AG5077">
        <v>3.8118589999999899</v>
      </c>
      <c r="AH5077">
        <v>49.335636563773001</v>
      </c>
      <c r="AI5077">
        <v>85.739134477476796</v>
      </c>
      <c r="AJ5077">
        <v>74.638713801870097</v>
      </c>
      <c r="AK5077">
        <v>51.3052731833561</v>
      </c>
      <c r="AL5077">
        <v>90.1165894228035</v>
      </c>
      <c r="AM5077">
        <v>92.246521382427204</v>
      </c>
      <c r="AN5077">
        <v>1.00000005080049</v>
      </c>
    </row>
    <row r="5078" spans="1:40" x14ac:dyDescent="0.25">
      <c r="A5078" t="str">
        <f>"20190305135732397"</f>
        <v>20190305135732397</v>
      </c>
      <c r="B5078" t="str">
        <f>"1551765452387173"</f>
        <v>1551765452387173</v>
      </c>
      <c r="C5078" t="s">
        <v>40</v>
      </c>
      <c r="D5078">
        <v>3.8584130000000001</v>
      </c>
      <c r="E5078">
        <v>0.61608430000000003</v>
      </c>
      <c r="F5078" t="s">
        <v>98</v>
      </c>
      <c r="G5078">
        <v>-174.51329999999999</v>
      </c>
      <c r="H5078">
        <v>4.9195390000000003</v>
      </c>
      <c r="I5078">
        <v>96.848089999999999</v>
      </c>
      <c r="J5078">
        <v>-187.86369999999999</v>
      </c>
      <c r="K5078">
        <v>1.1078570000000001</v>
      </c>
      <c r="L5078">
        <v>47.138890000000004</v>
      </c>
      <c r="M5078">
        <v>-7.8272800000000007E-3</v>
      </c>
      <c r="N5078">
        <v>-1.48547E-2</v>
      </c>
      <c r="O5078">
        <v>0.99985900000000005</v>
      </c>
      <c r="P5078">
        <v>-4.5813909999999999E-2</v>
      </c>
      <c r="Q5078">
        <v>-1.8285909999999999E-2</v>
      </c>
      <c r="R5078">
        <v>0.99878259999999996</v>
      </c>
      <c r="S5078">
        <v>0.81077580000000005</v>
      </c>
      <c r="T5078">
        <v>0.23154079999999999</v>
      </c>
      <c r="U5078">
        <v>3.0466310000000001</v>
      </c>
      <c r="V5078">
        <v>-3.8003439999999999E-2</v>
      </c>
      <c r="W5078">
        <v>-3.3357539999999998E-3</v>
      </c>
      <c r="X5078">
        <v>0.99927200000000005</v>
      </c>
      <c r="Y5078">
        <v>0.26384350000000001</v>
      </c>
      <c r="Z5078">
        <v>8.7987540000000003E-2</v>
      </c>
      <c r="AA5078">
        <v>0.96054399999999995</v>
      </c>
      <c r="AB5078">
        <v>49</v>
      </c>
      <c r="AC5078">
        <v>13.3504</v>
      </c>
      <c r="AD5078">
        <v>3.8116819999999998</v>
      </c>
      <c r="AE5078">
        <v>49.709200000000003</v>
      </c>
      <c r="AF5078">
        <v>13.6641847437861</v>
      </c>
      <c r="AG5078">
        <v>3.8116819999999998</v>
      </c>
      <c r="AH5078">
        <v>49.3326186489017</v>
      </c>
      <c r="AI5078">
        <v>85.741532424751497</v>
      </c>
      <c r="AJ5078">
        <v>74.518293857248096</v>
      </c>
      <c r="AK5078">
        <v>51.331726321441799</v>
      </c>
      <c r="AL5078">
        <v>90.191124987914506</v>
      </c>
      <c r="AM5078">
        <v>92.177973403127396</v>
      </c>
      <c r="AN5078">
        <v>0.99999995934528996</v>
      </c>
    </row>
    <row r="5079" spans="1:40" x14ac:dyDescent="0.25">
      <c r="A5079" t="str">
        <f>"20190305135732420"</f>
        <v>20190305135732420</v>
      </c>
      <c r="B5079" t="str">
        <f>"1551765452417429"</f>
        <v>1551765452417429</v>
      </c>
      <c r="C5079" t="s">
        <v>40</v>
      </c>
      <c r="D5079">
        <v>3.9318840000000002</v>
      </c>
      <c r="E5079">
        <v>0.61381790000000003</v>
      </c>
      <c r="F5079" t="s">
        <v>70</v>
      </c>
      <c r="G5079">
        <v>-158.62389999999999</v>
      </c>
      <c r="H5079">
        <v>7.3712020000000003</v>
      </c>
      <c r="I5079">
        <v>161.3801</v>
      </c>
      <c r="J5079">
        <v>-187.86680000000001</v>
      </c>
      <c r="K5079">
        <v>1.107853</v>
      </c>
      <c r="L5079">
        <v>47.609160000000003</v>
      </c>
      <c r="M5079">
        <v>-6.9673690000000002E-3</v>
      </c>
      <c r="N5079">
        <v>-1.485646E-2</v>
      </c>
      <c r="O5079">
        <v>0.99986540000000002</v>
      </c>
      <c r="P5079">
        <v>-4.4412390000000003E-2</v>
      </c>
      <c r="Q5079">
        <v>-1.968785E-2</v>
      </c>
      <c r="R5079">
        <v>0.99881929999999997</v>
      </c>
      <c r="S5079">
        <v>0.7787018</v>
      </c>
      <c r="T5079">
        <v>0.16680339999999999</v>
      </c>
      <c r="U5079">
        <v>3.0424190000000002</v>
      </c>
      <c r="V5079">
        <v>-3.7464789999999998E-2</v>
      </c>
      <c r="W5079">
        <v>-4.736812E-3</v>
      </c>
      <c r="X5079">
        <v>0.99928669999999997</v>
      </c>
      <c r="Y5079">
        <v>0.25419969999999997</v>
      </c>
      <c r="Z5079">
        <v>6.7832429999999999E-2</v>
      </c>
      <c r="AA5079">
        <v>0.96477009999999996</v>
      </c>
      <c r="AB5079">
        <v>49</v>
      </c>
      <c r="AC5079">
        <v>29.242899999999999</v>
      </c>
      <c r="AD5079">
        <v>6.2633489999999998</v>
      </c>
      <c r="AE5079">
        <v>113.77094</v>
      </c>
      <c r="AF5079">
        <v>29.949816348054998</v>
      </c>
      <c r="AG5079">
        <v>6.2633489999999998</v>
      </c>
      <c r="AH5079">
        <v>113.242468734893</v>
      </c>
      <c r="AI5079">
        <v>86.939267493762898</v>
      </c>
      <c r="AJ5079">
        <v>75.185876275604898</v>
      </c>
      <c r="AK5079">
        <v>117.303357859659</v>
      </c>
      <c r="AL5079">
        <v>90.271400356751798</v>
      </c>
      <c r="AM5079">
        <v>92.147100969450193</v>
      </c>
      <c r="AN5079">
        <v>0.99999997833727805</v>
      </c>
    </row>
    <row r="5080" spans="1:40" x14ac:dyDescent="0.25">
      <c r="A5080" t="str">
        <f>"20190305135732442"</f>
        <v>20190305135732442</v>
      </c>
      <c r="B5080" t="str">
        <f>"1551765452437925"</f>
        <v>1551765452437925</v>
      </c>
      <c r="C5080" t="s">
        <v>40</v>
      </c>
      <c r="D5080">
        <v>3.9601139999999999</v>
      </c>
      <c r="E5080">
        <v>0.61513379999999995</v>
      </c>
      <c r="F5080" t="s">
        <v>97</v>
      </c>
      <c r="G5080">
        <v>-160.304</v>
      </c>
      <c r="H5080">
        <v>6.052988</v>
      </c>
      <c r="I5080">
        <v>157.01820000000001</v>
      </c>
      <c r="J5080">
        <v>-187.86959999999999</v>
      </c>
      <c r="K5080">
        <v>1.1078490000000001</v>
      </c>
      <c r="L5080">
        <v>48.10492</v>
      </c>
      <c r="M5080">
        <v>-6.0594790000000004E-3</v>
      </c>
      <c r="N5080">
        <v>-1.485767E-2</v>
      </c>
      <c r="O5080">
        <v>0.99987130000000002</v>
      </c>
      <c r="P5080">
        <v>-4.3334499999999998E-2</v>
      </c>
      <c r="Q5080">
        <v>-2.1040619999999999E-2</v>
      </c>
      <c r="R5080">
        <v>0.99883900000000003</v>
      </c>
      <c r="S5080">
        <v>0.76593020000000001</v>
      </c>
      <c r="T5080">
        <v>0.13741789999999901</v>
      </c>
      <c r="U5080">
        <v>3.040314</v>
      </c>
      <c r="V5080">
        <v>-3.7297740000000003E-2</v>
      </c>
      <c r="W5080">
        <v>-6.0885549999999998E-3</v>
      </c>
      <c r="X5080">
        <v>0.9992856</v>
      </c>
      <c r="Y5080">
        <v>0.24979699999999999</v>
      </c>
      <c r="Z5080">
        <v>5.8602250000000002E-2</v>
      </c>
      <c r="AA5080">
        <v>0.96652329999999997</v>
      </c>
      <c r="AB5080">
        <v>49</v>
      </c>
      <c r="AC5080">
        <v>27.5655999999999</v>
      </c>
      <c r="AD5080">
        <v>4.9451390000000002</v>
      </c>
      <c r="AE5080">
        <v>108.91328</v>
      </c>
      <c r="AF5080">
        <v>28.170545411884699</v>
      </c>
      <c r="AG5080">
        <v>4.9451390000000002</v>
      </c>
      <c r="AH5080">
        <v>108.53394955747299</v>
      </c>
      <c r="AI5080">
        <v>87.474793281439403</v>
      </c>
      <c r="AJ5080">
        <v>75.449660595259303</v>
      </c>
      <c r="AK5080">
        <v>112.239263339869</v>
      </c>
      <c r="AL5080">
        <v>90.348850677246006</v>
      </c>
      <c r="AM5080">
        <v>92.137538612657195</v>
      </c>
      <c r="AN5080">
        <v>0.99999995113922602</v>
      </c>
    </row>
    <row r="5081" spans="1:40" x14ac:dyDescent="0.25">
      <c r="A5081" t="str">
        <f>"20190305135732465"</f>
        <v>20190305135732465</v>
      </c>
      <c r="B5081" t="str">
        <f>"1551765452457445"</f>
        <v>1551765452457445</v>
      </c>
      <c r="C5081" t="s">
        <v>40</v>
      </c>
      <c r="D5081">
        <v>4.0046400000000002</v>
      </c>
      <c r="E5081">
        <v>0.61203160000000001</v>
      </c>
      <c r="F5081" t="s">
        <v>97</v>
      </c>
      <c r="G5081">
        <v>-159.01339999999999</v>
      </c>
      <c r="H5081">
        <v>7.1169269999999996</v>
      </c>
      <c r="I5081">
        <v>160.8271</v>
      </c>
      <c r="J5081">
        <v>-187.87200000000001</v>
      </c>
      <c r="K5081">
        <v>1.107845</v>
      </c>
      <c r="L5081">
        <v>48.588349999999998</v>
      </c>
      <c r="M5081">
        <v>-5.1730689999999998E-3</v>
      </c>
      <c r="N5081">
        <v>-1.485846E-2</v>
      </c>
      <c r="O5081">
        <v>0.99987619999999999</v>
      </c>
      <c r="P5081">
        <v>-4.3710659999999998E-2</v>
      </c>
      <c r="Q5081">
        <v>-2.1566020000000002E-2</v>
      </c>
      <c r="R5081">
        <v>0.99881140000000002</v>
      </c>
      <c r="S5081">
        <v>0.77839659999999999</v>
      </c>
      <c r="T5081">
        <v>0.16209479999999901</v>
      </c>
      <c r="U5081">
        <v>3.04068</v>
      </c>
      <c r="V5081">
        <v>-3.8561730000000002E-2</v>
      </c>
      <c r="W5081">
        <v>-6.6100660000000004E-3</v>
      </c>
      <c r="X5081">
        <v>0.99923439999999997</v>
      </c>
      <c r="Y5081">
        <v>0.2525268</v>
      </c>
      <c r="Z5081">
        <v>6.6382209999999997E-2</v>
      </c>
      <c r="AA5081">
        <v>0.96531009999999995</v>
      </c>
      <c r="AB5081">
        <v>49</v>
      </c>
      <c r="AC5081">
        <v>28.858599999999999</v>
      </c>
      <c r="AD5081">
        <v>6.0090820000000003</v>
      </c>
      <c r="AE5081">
        <v>112.23875</v>
      </c>
      <c r="AF5081">
        <v>29.3599590418264</v>
      </c>
      <c r="AG5081">
        <v>6.0090820000000003</v>
      </c>
      <c r="AH5081">
        <v>111.78739051098</v>
      </c>
      <c r="AI5081">
        <v>87.023799174562598</v>
      </c>
      <c r="AJ5081">
        <v>75.284135083498398</v>
      </c>
      <c r="AK5081">
        <v>115.73476979142799</v>
      </c>
      <c r="AL5081">
        <v>90.378731625810701</v>
      </c>
      <c r="AM5081">
        <v>92.210020528488599</v>
      </c>
      <c r="AN5081">
        <v>1.0000000430682301</v>
      </c>
    </row>
    <row r="5082" spans="1:40" x14ac:dyDescent="0.25">
      <c r="A5082" t="str">
        <f>"20190305135732489"</f>
        <v>20190305135732489</v>
      </c>
      <c r="B5082" t="str">
        <f>"1551765452477942"</f>
        <v>1551765452477942</v>
      </c>
      <c r="C5082" t="s">
        <v>40</v>
      </c>
      <c r="D5082">
        <v>3.9779460000000002</v>
      </c>
      <c r="E5082">
        <v>0.60829999999999995</v>
      </c>
      <c r="F5082" t="s">
        <v>97</v>
      </c>
      <c r="G5082">
        <v>-159.94049999999999</v>
      </c>
      <c r="H5082">
        <v>7.09145</v>
      </c>
      <c r="I5082">
        <v>161.4768</v>
      </c>
      <c r="J5082">
        <v>-187.874</v>
      </c>
      <c r="K5082">
        <v>1.107836</v>
      </c>
      <c r="L5082">
        <v>49.110869999999998</v>
      </c>
      <c r="M5082">
        <v>-4.2141280000000001E-3</v>
      </c>
      <c r="N5082">
        <v>-1.4858710000000001E-2</v>
      </c>
      <c r="O5082">
        <v>0.99988069999999896</v>
      </c>
      <c r="P5082">
        <v>-4.4636479999999999E-2</v>
      </c>
      <c r="Q5082">
        <v>-1.979096E-2</v>
      </c>
      <c r="R5082">
        <v>0.99880729999999995</v>
      </c>
      <c r="S5082">
        <v>0.75216669999999997</v>
      </c>
      <c r="T5082">
        <v>0.16113279999999999</v>
      </c>
      <c r="U5082">
        <v>3.0399780000000001</v>
      </c>
      <c r="V5082">
        <v>-4.0440329999999997E-2</v>
      </c>
      <c r="W5082">
        <v>-4.8298780000000001E-3</v>
      </c>
      <c r="X5082">
        <v>0.99917029999999996</v>
      </c>
      <c r="Y5082">
        <v>0.2438099</v>
      </c>
      <c r="Z5082">
        <v>6.6198649999999998E-2</v>
      </c>
      <c r="AA5082">
        <v>0.96756109999999995</v>
      </c>
      <c r="AB5082">
        <v>49</v>
      </c>
      <c r="AC5082">
        <v>27.933499999999999</v>
      </c>
      <c r="AD5082">
        <v>5.9836140000000002</v>
      </c>
      <c r="AE5082">
        <v>112.36593000000001</v>
      </c>
      <c r="AF5082">
        <v>28.331166237363401</v>
      </c>
      <c r="AG5082">
        <v>5.9836140000000002</v>
      </c>
      <c r="AH5082">
        <v>111.948230140452</v>
      </c>
      <c r="AI5082">
        <v>87.033799771225901</v>
      </c>
      <c r="AJ5082">
        <v>75.798119699534794</v>
      </c>
      <c r="AK5082">
        <v>115.632455861016</v>
      </c>
      <c r="AL5082">
        <v>90.2767326958555</v>
      </c>
      <c r="AM5082">
        <v>92.317719263824202</v>
      </c>
      <c r="AN5082">
        <v>1.0000000182070401</v>
      </c>
    </row>
    <row r="5083" spans="1:40" x14ac:dyDescent="0.25">
      <c r="A5083" t="str">
        <f>"20190305135732512"</f>
        <v>20190305135732512</v>
      </c>
      <c r="B5083" t="str">
        <f>"1551765452507221"</f>
        <v>1551765452507221</v>
      </c>
      <c r="C5083" t="s">
        <v>40</v>
      </c>
      <c r="D5083">
        <v>3.9656829999999998</v>
      </c>
      <c r="E5083">
        <v>0.60527319999999996</v>
      </c>
      <c r="F5083" t="s">
        <v>70</v>
      </c>
      <c r="G5083">
        <v>-160.7987</v>
      </c>
      <c r="H5083">
        <v>7.4574449999999999</v>
      </c>
      <c r="I5083">
        <v>163.51679999999999</v>
      </c>
      <c r="J5083">
        <v>-187.87540000000001</v>
      </c>
      <c r="K5083">
        <v>1.10785</v>
      </c>
      <c r="L5083">
        <v>49.590940000000003</v>
      </c>
      <c r="M5083">
        <v>-3.3322320000000001E-3</v>
      </c>
      <c r="N5083">
        <v>-1.485826E-2</v>
      </c>
      <c r="O5083">
        <v>0.99988410000000005</v>
      </c>
      <c r="P5083">
        <v>-4.5153119999999998E-2</v>
      </c>
      <c r="Q5083">
        <v>-1.6392629999999998E-2</v>
      </c>
      <c r="R5083">
        <v>0.9988456</v>
      </c>
      <c r="S5083">
        <v>0.71922299999999995</v>
      </c>
      <c r="T5083">
        <v>0.16867089999999901</v>
      </c>
      <c r="U5083">
        <v>3.0390630000000001</v>
      </c>
      <c r="V5083">
        <v>-4.1828129999999998E-2</v>
      </c>
      <c r="W5083">
        <v>-1.4281770000000001E-3</v>
      </c>
      <c r="X5083">
        <v>0.99912380000000001</v>
      </c>
      <c r="Y5083">
        <v>0.23306199999999999</v>
      </c>
      <c r="Z5083">
        <v>6.8745239999999999E-2</v>
      </c>
      <c r="AA5083">
        <v>0.97002900000000003</v>
      </c>
      <c r="AB5083">
        <v>49</v>
      </c>
      <c r="AC5083">
        <v>27.076699999999999</v>
      </c>
      <c r="AD5083">
        <v>6.3495949999999999</v>
      </c>
      <c r="AE5083">
        <v>113.92586</v>
      </c>
      <c r="AF5083">
        <v>27.375727616565399</v>
      </c>
      <c r="AG5083">
        <v>6.3495949999999999</v>
      </c>
      <c r="AH5083">
        <v>113.501270139467</v>
      </c>
      <c r="AI5083">
        <v>86.887124413677498</v>
      </c>
      <c r="AJ5083">
        <v>76.439645604282305</v>
      </c>
      <c r="AK5083">
        <v>116.928551442634</v>
      </c>
      <c r="AL5083">
        <v>90.081828542320196</v>
      </c>
      <c r="AM5083">
        <v>92.397277149483898</v>
      </c>
      <c r="AN5083">
        <v>0.99999999993763999</v>
      </c>
    </row>
    <row r="5084" spans="1:40" x14ac:dyDescent="0.25">
      <c r="A5084" t="str">
        <f>"20190305135732534"</f>
        <v>20190305135732534</v>
      </c>
      <c r="B5084" t="str">
        <f>"1551765452527718"</f>
        <v>1551765452527718</v>
      </c>
      <c r="C5084" t="s">
        <v>40</v>
      </c>
      <c r="D5084">
        <v>3.9684520000000001</v>
      </c>
      <c r="E5084">
        <v>0.6040333</v>
      </c>
      <c r="F5084" t="s">
        <v>70</v>
      </c>
      <c r="G5084">
        <v>-161.3578</v>
      </c>
      <c r="H5084">
        <v>8.4110779999999998</v>
      </c>
      <c r="I5084">
        <v>165.89609999999999</v>
      </c>
      <c r="J5084">
        <v>-187.87639999999999</v>
      </c>
      <c r="K5084">
        <v>1.107861</v>
      </c>
      <c r="L5084">
        <v>50.095979999999997</v>
      </c>
      <c r="M5084">
        <v>-2.403634E-3</v>
      </c>
      <c r="N5084">
        <v>-1.485729E-2</v>
      </c>
      <c r="O5084">
        <v>0.99988679999999996</v>
      </c>
      <c r="P5084">
        <v>-4.5671709999999997E-2</v>
      </c>
      <c r="Q5084">
        <v>-1.2845530000000001E-2</v>
      </c>
      <c r="R5084">
        <v>0.99887389999999998</v>
      </c>
      <c r="S5084">
        <v>0.69264219999999999</v>
      </c>
      <c r="T5084">
        <v>0.19076180000000001</v>
      </c>
      <c r="U5084">
        <v>3.037903</v>
      </c>
      <c r="V5084">
        <v>-4.326443E-2</v>
      </c>
      <c r="W5084">
        <v>2.121749E-3</v>
      </c>
      <c r="X5084">
        <v>0.99906139999999999</v>
      </c>
      <c r="Y5084">
        <v>0.2240733</v>
      </c>
      <c r="Z5084">
        <v>7.5918079999999999E-2</v>
      </c>
      <c r="AA5084">
        <v>0.9716108</v>
      </c>
      <c r="AB5084">
        <v>48</v>
      </c>
      <c r="AC5084">
        <v>26.5185999999999</v>
      </c>
      <c r="AD5084">
        <v>7.3032170000000001</v>
      </c>
      <c r="AE5084">
        <v>115.80012000000001</v>
      </c>
      <c r="AF5084">
        <v>26.696002834893701</v>
      </c>
      <c r="AG5084">
        <v>7.3032170000000001</v>
      </c>
      <c r="AH5084">
        <v>115.300282353555</v>
      </c>
      <c r="AI5084">
        <v>86.468846992245005</v>
      </c>
      <c r="AJ5084">
        <v>76.963755932435603</v>
      </c>
      <c r="AK5084">
        <v>118.57558204250699</v>
      </c>
      <c r="AL5084">
        <v>89.878432645517904</v>
      </c>
      <c r="AM5084">
        <v>92.479648816015697</v>
      </c>
      <c r="AN5084">
        <v>0.99999999684600105</v>
      </c>
    </row>
    <row r="5085" spans="1:40" x14ac:dyDescent="0.25">
      <c r="A5085" t="str">
        <f>"20190305135732555"</f>
        <v>20190305135732555</v>
      </c>
      <c r="B5085" t="str">
        <f>"1551765452547238"</f>
        <v>1551765452547238</v>
      </c>
      <c r="C5085" t="s">
        <v>40</v>
      </c>
      <c r="D5085">
        <v>3.3556699999999999</v>
      </c>
      <c r="E5085">
        <v>0.60335609999999995</v>
      </c>
      <c r="F5085" t="s">
        <v>98</v>
      </c>
      <c r="G5085">
        <v>-175.27019999999999</v>
      </c>
      <c r="H5085">
        <v>4.9166589999999903</v>
      </c>
      <c r="I5085">
        <v>106.2929</v>
      </c>
      <c r="J5085">
        <v>-187.87690000000001</v>
      </c>
      <c r="K5085">
        <v>1.1078749999999999</v>
      </c>
      <c r="L5085">
        <v>50.533360000000002</v>
      </c>
      <c r="M5085">
        <v>-1.5993429999999901E-3</v>
      </c>
      <c r="N5085">
        <v>-1.48562E-2</v>
      </c>
      <c r="O5085">
        <v>0.99988840000000001</v>
      </c>
      <c r="P5085">
        <v>-4.7088129999999999E-2</v>
      </c>
      <c r="Q5085">
        <v>-1.331098E-2</v>
      </c>
      <c r="R5085">
        <v>0.99880210000000003</v>
      </c>
      <c r="S5085">
        <v>0.68130489999999999</v>
      </c>
      <c r="T5085">
        <v>0.20584820000000001</v>
      </c>
      <c r="U5085">
        <v>3.0371700000000001</v>
      </c>
      <c r="V5085">
        <v>-4.5485780000000003E-2</v>
      </c>
      <c r="W5085">
        <v>1.660171E-3</v>
      </c>
      <c r="X5085">
        <v>0.99896359999999995</v>
      </c>
      <c r="Y5085">
        <v>0.21981029999999999</v>
      </c>
      <c r="Z5085">
        <v>8.0795740000000005E-2</v>
      </c>
      <c r="AA5085">
        <v>0.97219100000000003</v>
      </c>
      <c r="AB5085">
        <v>48</v>
      </c>
      <c r="AC5085">
        <v>12.6067</v>
      </c>
      <c r="AD5085">
        <v>3.80878399999999</v>
      </c>
      <c r="AE5085">
        <v>55.759540000000001</v>
      </c>
      <c r="AF5085">
        <v>12.6397646646138</v>
      </c>
      <c r="AG5085">
        <v>3.80878399999999</v>
      </c>
      <c r="AH5085">
        <v>55.492971749823298</v>
      </c>
      <c r="AI5085">
        <v>86.171393139369897</v>
      </c>
      <c r="AJ5085">
        <v>77.168516528283604</v>
      </c>
      <c r="AK5085">
        <v>57.041567299313897</v>
      </c>
      <c r="AL5085">
        <v>89.904879164091795</v>
      </c>
      <c r="AM5085">
        <v>92.607046338454396</v>
      </c>
      <c r="AN5085">
        <v>0.99999999323745803</v>
      </c>
    </row>
    <row r="5086" spans="1:40" x14ac:dyDescent="0.25">
      <c r="A5086" t="str">
        <f>"20190305135732577"</f>
        <v>20190305135732577</v>
      </c>
      <c r="B5086" t="str">
        <f>"1551765452567734"</f>
        <v>1551765452567734</v>
      </c>
      <c r="C5086" t="s">
        <v>40</v>
      </c>
      <c r="D5086">
        <v>3.922056</v>
      </c>
      <c r="E5086">
        <v>0.60282119999999995</v>
      </c>
      <c r="F5086" t="s">
        <v>98</v>
      </c>
      <c r="G5086">
        <v>-175.66499999999999</v>
      </c>
      <c r="H5086">
        <v>4.9169600000000004</v>
      </c>
      <c r="I5086">
        <v>105.7812</v>
      </c>
      <c r="J5086">
        <v>-187.87700000000001</v>
      </c>
      <c r="K5086">
        <v>1.1078749999999999</v>
      </c>
      <c r="L5086">
        <v>51.013640000000002</v>
      </c>
      <c r="M5086">
        <v>-7.1535459999999996E-4</v>
      </c>
      <c r="N5086">
        <v>-1.485479E-2</v>
      </c>
      <c r="O5086">
        <v>0.99988940000000004</v>
      </c>
      <c r="P5086">
        <v>-4.938418E-2</v>
      </c>
      <c r="Q5086">
        <v>-1.50706E-2</v>
      </c>
      <c r="R5086">
        <v>0.99866619999999995</v>
      </c>
      <c r="S5086">
        <v>0.67152400000000001</v>
      </c>
      <c r="T5086">
        <v>0.20946119999999999</v>
      </c>
      <c r="U5086">
        <v>3.0380549999999999</v>
      </c>
      <c r="V5086">
        <v>-4.8670430000000001E-2</v>
      </c>
      <c r="W5086" s="1">
        <v>-9.4311949999999997E-5</v>
      </c>
      <c r="X5086">
        <v>0.99881489999999995</v>
      </c>
      <c r="Y5086">
        <v>0.2158832</v>
      </c>
      <c r="Z5086">
        <v>8.1978280000000001E-2</v>
      </c>
      <c r="AA5086">
        <v>0.97297169999999999</v>
      </c>
      <c r="AB5086">
        <v>48</v>
      </c>
      <c r="AC5086">
        <v>12.212</v>
      </c>
      <c r="AD5086">
        <v>3.8090850000000001</v>
      </c>
      <c r="AE5086">
        <v>54.767560000000003</v>
      </c>
      <c r="AF5086">
        <v>12.1949837995635</v>
      </c>
      <c r="AG5086">
        <v>3.8090850000000001</v>
      </c>
      <c r="AH5086">
        <v>54.507632844847599</v>
      </c>
      <c r="AI5086">
        <v>86.098711714945196</v>
      </c>
      <c r="AJ5086">
        <v>77.388903606563701</v>
      </c>
      <c r="AK5086">
        <v>55.984897934689002</v>
      </c>
      <c r="AL5086">
        <v>90.005403676635495</v>
      </c>
      <c r="AM5086">
        <v>92.789712328388703</v>
      </c>
      <c r="AN5086">
        <v>1.00000001205656</v>
      </c>
    </row>
    <row r="5087" spans="1:40" x14ac:dyDescent="0.25">
      <c r="A5087" t="str">
        <f>"20190305135732598"</f>
        <v>20190305135732598</v>
      </c>
      <c r="B5087" t="str">
        <f>"1551765452587254"</f>
        <v>1551765452587254</v>
      </c>
      <c r="C5087" t="s">
        <v>40</v>
      </c>
      <c r="D5087">
        <v>3.8959769999999998</v>
      </c>
      <c r="E5087">
        <v>0.60258100000000003</v>
      </c>
      <c r="F5087" t="s">
        <v>98</v>
      </c>
      <c r="G5087">
        <v>-175.87299999999999</v>
      </c>
      <c r="H5087">
        <v>4.9527769999999904</v>
      </c>
      <c r="I5087">
        <v>106.3103</v>
      </c>
      <c r="J5087">
        <v>-187.8767</v>
      </c>
      <c r="K5087">
        <v>1.1078840000000001</v>
      </c>
      <c r="L5087">
        <v>51.49738</v>
      </c>
      <c r="M5087">
        <v>1.748094E-4</v>
      </c>
      <c r="N5087">
        <v>-1.485325E-2</v>
      </c>
      <c r="O5087">
        <v>0.99988969999999999</v>
      </c>
      <c r="P5087">
        <v>-5.1140749999999999E-2</v>
      </c>
      <c r="Q5087">
        <v>-1.579378E-2</v>
      </c>
      <c r="R5087">
        <v>0.99856659999999997</v>
      </c>
      <c r="S5087">
        <v>0.65989690000000001</v>
      </c>
      <c r="T5087">
        <v>0.21136740000000001</v>
      </c>
      <c r="U5087">
        <v>3.039825</v>
      </c>
      <c r="V5087">
        <v>-5.1317840000000003E-2</v>
      </c>
      <c r="W5087">
        <v>-8.135916E-4</v>
      </c>
      <c r="X5087">
        <v>0.99868199999999996</v>
      </c>
      <c r="Y5087">
        <v>0.2113293</v>
      </c>
      <c r="Z5087">
        <v>8.2606109999999996E-2</v>
      </c>
      <c r="AA5087">
        <v>0.97391799999999995</v>
      </c>
      <c r="AB5087">
        <v>48</v>
      </c>
      <c r="AC5087">
        <v>12.0037</v>
      </c>
      <c r="AD5087">
        <v>3.8448929999999901</v>
      </c>
      <c r="AE5087">
        <v>54.812919999999998</v>
      </c>
      <c r="AF5087">
        <v>11.938064761844901</v>
      </c>
      <c r="AG5087">
        <v>3.8448929999999901</v>
      </c>
      <c r="AH5087">
        <v>54.5588503767828</v>
      </c>
      <c r="AI5087">
        <v>86.061765374108901</v>
      </c>
      <c r="AJ5087">
        <v>77.657589201260805</v>
      </c>
      <c r="AK5087">
        <v>55.9818608736404</v>
      </c>
      <c r="AL5087">
        <v>90.046615371940206</v>
      </c>
      <c r="AM5087">
        <v>92.941588824999997</v>
      </c>
      <c r="AN5087">
        <v>0.99999995987877699</v>
      </c>
    </row>
    <row r="5088" spans="1:40" x14ac:dyDescent="0.25">
      <c r="A5088" t="str">
        <f>"20190305135732621"</f>
        <v>20190305135732621</v>
      </c>
      <c r="B5088" t="str">
        <f>"1551765452617510"</f>
        <v>1551765452617510</v>
      </c>
      <c r="C5088" t="s">
        <v>40</v>
      </c>
      <c r="D5088">
        <v>3.897456</v>
      </c>
      <c r="E5088">
        <v>0.60245519999999997</v>
      </c>
      <c r="F5088" t="s">
        <v>70</v>
      </c>
      <c r="G5088">
        <v>-163.00450000000001</v>
      </c>
      <c r="H5088">
        <v>9.4370619999999992</v>
      </c>
      <c r="I5088">
        <v>167.54050000000001</v>
      </c>
      <c r="J5088">
        <v>-187.876</v>
      </c>
      <c r="K5088">
        <v>1.10789</v>
      </c>
      <c r="L5088">
        <v>51.970089999999999</v>
      </c>
      <c r="M5088">
        <v>1.0420609999999999E-3</v>
      </c>
      <c r="N5088">
        <v>-1.485154E-2</v>
      </c>
      <c r="O5088">
        <v>0.99988920000000003</v>
      </c>
      <c r="P5088">
        <v>-5.1305040000000003E-2</v>
      </c>
      <c r="Q5088">
        <v>-1.446977E-2</v>
      </c>
      <c r="R5088">
        <v>0.99857819999999997</v>
      </c>
      <c r="S5088">
        <v>0.65182499999999999</v>
      </c>
      <c r="T5088">
        <v>0.21828330000000001</v>
      </c>
      <c r="U5088">
        <v>3.0411380000000001</v>
      </c>
      <c r="V5088">
        <v>-5.234453E-2</v>
      </c>
      <c r="W5088">
        <v>5.1099449999999905E-4</v>
      </c>
      <c r="X5088">
        <v>0.99862899999999999</v>
      </c>
      <c r="Y5088">
        <v>0.20788619999999999</v>
      </c>
      <c r="Z5088">
        <v>8.4823800000000005E-2</v>
      </c>
      <c r="AA5088">
        <v>0.97446820000000001</v>
      </c>
      <c r="AB5088">
        <v>48</v>
      </c>
      <c r="AC5088">
        <v>24.871499999999902</v>
      </c>
      <c r="AD5088">
        <v>8.3291719999999998</v>
      </c>
      <c r="AE5088">
        <v>115.57041</v>
      </c>
      <c r="AF5088">
        <v>24.628779855287899</v>
      </c>
      <c r="AG5088">
        <v>8.3291719999999998</v>
      </c>
      <c r="AH5088">
        <v>115.025260475895</v>
      </c>
      <c r="AI5088">
        <v>85.949830553850205</v>
      </c>
      <c r="AJ5088">
        <v>77.914525403079097</v>
      </c>
      <c r="AK5088">
        <v>117.926936918218</v>
      </c>
      <c r="AL5088">
        <v>89.970722171847399</v>
      </c>
      <c r="AM5088">
        <v>93.000492170439202</v>
      </c>
      <c r="AN5088">
        <v>1.0000000452886399</v>
      </c>
    </row>
    <row r="5089" spans="1:40" x14ac:dyDescent="0.25">
      <c r="A5089" t="str">
        <f>"20190305135732643"</f>
        <v>20190305135732643</v>
      </c>
      <c r="B5089" t="str">
        <f>"1551765452638006"</f>
        <v>1551765452638006</v>
      </c>
      <c r="C5089" t="s">
        <v>40</v>
      </c>
      <c r="D5089">
        <v>3.8512430000000002</v>
      </c>
      <c r="E5089">
        <v>0.60262169999999904</v>
      </c>
      <c r="F5089" t="s">
        <v>70</v>
      </c>
      <c r="G5089">
        <v>-163.14930000000001</v>
      </c>
      <c r="H5089">
        <v>9.9296819999999997</v>
      </c>
      <c r="I5089">
        <v>167.68469999999999</v>
      </c>
      <c r="J5089">
        <v>-187.8749</v>
      </c>
      <c r="K5089">
        <v>1.107896</v>
      </c>
      <c r="L5089">
        <v>52.452150000000003</v>
      </c>
      <c r="M5089">
        <v>1.920043E-3</v>
      </c>
      <c r="N5089">
        <v>-1.4849569999999999E-2</v>
      </c>
      <c r="O5089">
        <v>0.99988790000000005</v>
      </c>
      <c r="P5089">
        <v>-5.0259110000000003E-2</v>
      </c>
      <c r="Q5089">
        <v>-1.5018709999999999E-2</v>
      </c>
      <c r="R5089">
        <v>0.99862329999999999</v>
      </c>
      <c r="S5089">
        <v>0.64982600000000001</v>
      </c>
      <c r="T5089">
        <v>0.23184009999999999</v>
      </c>
      <c r="U5089">
        <v>3.0410159999999999</v>
      </c>
      <c r="V5089">
        <v>-5.2176920000000002E-2</v>
      </c>
      <c r="W5089" s="1">
        <v>-4.1184250000000001E-5</v>
      </c>
      <c r="X5089">
        <v>0.99863789999999997</v>
      </c>
      <c r="Y5089">
        <v>0.2063497</v>
      </c>
      <c r="Z5089">
        <v>8.9160009999999998E-2</v>
      </c>
      <c r="AA5089">
        <v>0.97440769999999999</v>
      </c>
      <c r="AB5089">
        <v>48</v>
      </c>
      <c r="AC5089">
        <v>24.725599999999901</v>
      </c>
      <c r="AD5089">
        <v>8.8217859999999995</v>
      </c>
      <c r="AE5089">
        <v>115.23255</v>
      </c>
      <c r="AF5089">
        <v>24.367748139959101</v>
      </c>
      <c r="AG5089">
        <v>8.8217859999999995</v>
      </c>
      <c r="AH5089">
        <v>114.637512738391</v>
      </c>
      <c r="AI5089">
        <v>85.695348802548097</v>
      </c>
      <c r="AJ5089">
        <v>77.999620986419501</v>
      </c>
      <c r="AK5089">
        <v>117.530295602824</v>
      </c>
      <c r="AL5089">
        <v>90.002359683604197</v>
      </c>
      <c r="AM5089">
        <v>92.990875298397796</v>
      </c>
      <c r="AN5089">
        <v>1.0000000439966099</v>
      </c>
    </row>
    <row r="5090" spans="1:40" x14ac:dyDescent="0.25">
      <c r="A5090" t="str">
        <f>"20190305135732664"</f>
        <v>20190305135732664</v>
      </c>
      <c r="B5090" t="str">
        <f>"1551765452657526"</f>
        <v>1551765452657526</v>
      </c>
      <c r="C5090" t="s">
        <v>40</v>
      </c>
      <c r="D5090">
        <v>3.8237410000000001</v>
      </c>
      <c r="E5090">
        <v>0.6029156</v>
      </c>
      <c r="F5090" t="s">
        <v>70</v>
      </c>
      <c r="G5090">
        <v>-163.0882</v>
      </c>
      <c r="H5090">
        <v>10.015029999999999</v>
      </c>
      <c r="I5090">
        <v>167.62370000000001</v>
      </c>
      <c r="J5090">
        <v>-187.8734</v>
      </c>
      <c r="K5090">
        <v>1.1078950000000001</v>
      </c>
      <c r="L5090">
        <v>52.910919999999997</v>
      </c>
      <c r="M5090">
        <v>2.743381E-3</v>
      </c>
      <c r="N5090">
        <v>-1.484748E-2</v>
      </c>
      <c r="O5090">
        <v>0.99988600000000005</v>
      </c>
      <c r="P5090">
        <v>-4.8231839999999998E-2</v>
      </c>
      <c r="Q5090">
        <v>-1.6692579999999999E-2</v>
      </c>
      <c r="R5090">
        <v>0.99869669999999999</v>
      </c>
      <c r="S5090">
        <v>0.65438839999999998</v>
      </c>
      <c r="T5090">
        <v>0.23515620000000001</v>
      </c>
      <c r="U5090">
        <v>3.040619</v>
      </c>
      <c r="V5090">
        <v>-5.0976819999999999E-2</v>
      </c>
      <c r="W5090">
        <v>-1.7209090000000001E-3</v>
      </c>
      <c r="X5090">
        <v>0.99869839999999999</v>
      </c>
      <c r="Y5090">
        <v>0.20694989999999999</v>
      </c>
      <c r="Z5090">
        <v>9.0205629999999995E-2</v>
      </c>
      <c r="AA5090">
        <v>0.9741841</v>
      </c>
      <c r="AB5090">
        <v>48</v>
      </c>
      <c r="AC5090">
        <v>24.7852</v>
      </c>
      <c r="AD5090">
        <v>8.9071350000000002</v>
      </c>
      <c r="AE5090">
        <v>114.71278</v>
      </c>
      <c r="AF5090">
        <v>24.3302243203049</v>
      </c>
      <c r="AG5090">
        <v>8.9071350000000002</v>
      </c>
      <c r="AH5090">
        <v>114.122980365419</v>
      </c>
      <c r="AI5090">
        <v>85.634899175153294</v>
      </c>
      <c r="AJ5090">
        <v>77.965113772481004</v>
      </c>
      <c r="AK5090">
        <v>117.027140086692</v>
      </c>
      <c r="AL5090">
        <v>90.098600866765196</v>
      </c>
      <c r="AM5090">
        <v>92.922027314126197</v>
      </c>
      <c r="AN5090">
        <v>1.0000000459338201</v>
      </c>
    </row>
    <row r="5091" spans="1:40" x14ac:dyDescent="0.25">
      <c r="A5091" t="str">
        <f>"20190305135732687"</f>
        <v>20190305135732687</v>
      </c>
      <c r="B5091" t="str">
        <f>"1551765452678022"</f>
        <v>1551765452678022</v>
      </c>
      <c r="C5091" t="s">
        <v>40</v>
      </c>
      <c r="D5091">
        <v>3.8608419999999999</v>
      </c>
      <c r="E5091">
        <v>0.60310240000000004</v>
      </c>
      <c r="F5091" t="s">
        <v>70</v>
      </c>
      <c r="G5091">
        <v>-162.9119</v>
      </c>
      <c r="H5091">
        <v>10.00939</v>
      </c>
      <c r="I5091">
        <v>167.44749999999999</v>
      </c>
      <c r="J5091">
        <v>-187.8715</v>
      </c>
      <c r="K5091">
        <v>1.107896</v>
      </c>
      <c r="L5091">
        <v>53.40625</v>
      </c>
      <c r="M5091">
        <v>3.609578E-3</v>
      </c>
      <c r="N5091">
        <v>-1.484505E-2</v>
      </c>
      <c r="O5091">
        <v>0.99988330000000003</v>
      </c>
      <c r="P5091">
        <v>-4.693725E-2</v>
      </c>
      <c r="Q5091">
        <v>-1.7641819999999999E-2</v>
      </c>
      <c r="R5091">
        <v>0.99874200000000002</v>
      </c>
      <c r="S5091">
        <v>0.66249080000000005</v>
      </c>
      <c r="T5091">
        <v>0.23625080000000001</v>
      </c>
      <c r="U5091">
        <v>3.0398559999999999</v>
      </c>
      <c r="V5091">
        <v>-5.0550009999999999E-2</v>
      </c>
      <c r="W5091">
        <v>-2.6756190000000002E-3</v>
      </c>
      <c r="X5091">
        <v>0.99871799999999999</v>
      </c>
      <c r="Y5091">
        <v>0.2086276</v>
      </c>
      <c r="Z5091">
        <v>9.0533810000000006E-2</v>
      </c>
      <c r="AA5091">
        <v>0.97379579999999999</v>
      </c>
      <c r="AB5091">
        <v>48</v>
      </c>
      <c r="AC5091">
        <v>24.959599999999899</v>
      </c>
      <c r="AD5091">
        <v>8.9014939999999996</v>
      </c>
      <c r="AE5091">
        <v>114.04125000000001</v>
      </c>
      <c r="AF5091">
        <v>24.405853530942998</v>
      </c>
      <c r="AG5091">
        <v>8.9014939999999996</v>
      </c>
      <c r="AH5091">
        <v>113.47088121791199</v>
      </c>
      <c r="AI5091">
        <v>85.614373216771995</v>
      </c>
      <c r="AJ5091">
        <v>77.861479884847796</v>
      </c>
      <c r="AK5091">
        <v>116.406714438538</v>
      </c>
      <c r="AL5091">
        <v>90.153301851075497</v>
      </c>
      <c r="AM5091">
        <v>92.897547363306799</v>
      </c>
      <c r="AN5091">
        <v>1.00000005298601</v>
      </c>
    </row>
    <row r="5092" spans="1:40" x14ac:dyDescent="0.25">
      <c r="A5092" t="str">
        <f>"20190305135732715"</f>
        <v>20190305135732715</v>
      </c>
      <c r="B5092" t="str">
        <f>"1551765452707301"</f>
        <v>1551765452707301</v>
      </c>
      <c r="C5092" t="s">
        <v>40</v>
      </c>
      <c r="D5092">
        <v>3.8512379999999999</v>
      </c>
      <c r="E5092">
        <v>0.60325039999999996</v>
      </c>
      <c r="F5092" t="s">
        <v>70</v>
      </c>
      <c r="G5092">
        <v>-162.84010000000001</v>
      </c>
      <c r="H5092">
        <v>10.06784</v>
      </c>
      <c r="I5092">
        <v>167.3758</v>
      </c>
      <c r="J5092">
        <v>-187.86869999999999</v>
      </c>
      <c r="K5092">
        <v>1.1079289999999999</v>
      </c>
      <c r="L5092">
        <v>53.965820000000001</v>
      </c>
      <c r="M5092">
        <v>4.5445909999999997E-3</v>
      </c>
      <c r="N5092">
        <v>-1.4842040000000001E-2</v>
      </c>
      <c r="O5092">
        <v>0.99987950000000003</v>
      </c>
      <c r="P5092">
        <v>-4.5122500000000003E-2</v>
      </c>
      <c r="Q5092">
        <v>-1.8381700000000001E-2</v>
      </c>
      <c r="R5092">
        <v>0.99881229999999999</v>
      </c>
      <c r="S5092">
        <v>0.66754150000000001</v>
      </c>
      <c r="T5092">
        <v>0.23894679999999999</v>
      </c>
      <c r="U5092">
        <v>3.0393680000000001</v>
      </c>
      <c r="V5092">
        <v>-4.9671239999999998E-2</v>
      </c>
      <c r="W5092">
        <v>-3.4240329999999999E-3</v>
      </c>
      <c r="X5092">
        <v>0.99875970000000003</v>
      </c>
      <c r="Y5092">
        <v>0.20927499999999999</v>
      </c>
      <c r="Z5092">
        <v>9.1380219999999998E-2</v>
      </c>
      <c r="AA5092">
        <v>0.97357769999999999</v>
      </c>
      <c r="AB5092">
        <v>48</v>
      </c>
      <c r="AC5092">
        <v>25.028599999999901</v>
      </c>
      <c r="AD5092">
        <v>8.9599109999999893</v>
      </c>
      <c r="AE5092">
        <v>113.40998</v>
      </c>
      <c r="AF5092">
        <v>24.367849045548301</v>
      </c>
      <c r="AG5092">
        <v>8.9599109999999893</v>
      </c>
      <c r="AH5092">
        <v>112.850894791615</v>
      </c>
      <c r="AI5092">
        <v>85.562319732661294</v>
      </c>
      <c r="AJ5092">
        <v>77.815220443429794</v>
      </c>
      <c r="AK5092">
        <v>115.79894873228599</v>
      </c>
      <c r="AL5092">
        <v>90.196183033512099</v>
      </c>
      <c r="AM5092">
        <v>92.847140841396495</v>
      </c>
      <c r="AN5092">
        <v>0.99999994721460495</v>
      </c>
    </row>
    <row r="5093" spans="1:40" x14ac:dyDescent="0.25">
      <c r="A5093" t="str">
        <f>"20190305135732738"</f>
        <v>20190305135732738</v>
      </c>
      <c r="B5093" t="str">
        <f>"1551765452727797"</f>
        <v>1551765452727797</v>
      </c>
      <c r="C5093" t="s">
        <v>40</v>
      </c>
      <c r="D5093">
        <v>3.8127309999999999</v>
      </c>
      <c r="E5093">
        <v>0.60331380000000001</v>
      </c>
      <c r="F5093" t="s">
        <v>70</v>
      </c>
      <c r="G5093">
        <v>-162.73840000000001</v>
      </c>
      <c r="H5093">
        <v>10.12504</v>
      </c>
      <c r="I5093">
        <v>167.27420000000001</v>
      </c>
      <c r="J5093">
        <v>-187.8657</v>
      </c>
      <c r="K5093">
        <v>1.1079810000000001</v>
      </c>
      <c r="L5093">
        <v>54.477809999999998</v>
      </c>
      <c r="M5093">
        <v>5.3536950000000003E-3</v>
      </c>
      <c r="N5093">
        <v>-1.4839099999999999E-2</v>
      </c>
      <c r="O5093">
        <v>0.99987550000000003</v>
      </c>
      <c r="P5093">
        <v>-4.319278E-2</v>
      </c>
      <c r="Q5093">
        <v>-1.8094989999999998E-2</v>
      </c>
      <c r="R5093">
        <v>0.99890290000000004</v>
      </c>
      <c r="S5093">
        <v>0.67388919999999997</v>
      </c>
      <c r="T5093">
        <v>0.24180170000000001</v>
      </c>
      <c r="U5093">
        <v>3.0384519999999999</v>
      </c>
      <c r="V5093">
        <v>-4.8548750000000002E-2</v>
      </c>
      <c r="W5093">
        <v>-3.1467019999999999E-3</v>
      </c>
      <c r="X5093">
        <v>0.99881580000000003</v>
      </c>
      <c r="Y5093">
        <v>0.21046870000000001</v>
      </c>
      <c r="Z5093">
        <v>9.2279399999999998E-2</v>
      </c>
      <c r="AA5093">
        <v>0.97323550000000003</v>
      </c>
      <c r="AB5093">
        <v>48</v>
      </c>
      <c r="AC5093">
        <v>25.127299999999899</v>
      </c>
      <c r="AD5093">
        <v>9.0170589999999997</v>
      </c>
      <c r="AE5093">
        <v>112.79638999999899</v>
      </c>
      <c r="AF5093">
        <v>24.374592844596499</v>
      </c>
      <c r="AG5093">
        <v>9.0170589999999997</v>
      </c>
      <c r="AH5093">
        <v>112.245910647941</v>
      </c>
      <c r="AI5093">
        <v>85.511289307555401</v>
      </c>
      <c r="AJ5093">
        <v>77.748237007441602</v>
      </c>
      <c r="AK5093">
        <v>115.21533138664699</v>
      </c>
      <c r="AL5093">
        <v>90.180293051871601</v>
      </c>
      <c r="AM5093">
        <v>92.7827462955578</v>
      </c>
      <c r="AN5093">
        <v>0.99999994259483804</v>
      </c>
    </row>
    <row r="5094" spans="1:40" x14ac:dyDescent="0.25">
      <c r="A5094" t="str">
        <f>"20190305135732777"</f>
        <v>20190305135732777</v>
      </c>
      <c r="B5094" t="str">
        <f>"1551765452767814"</f>
        <v>1551765452767814</v>
      </c>
      <c r="C5094" t="s">
        <v>40</v>
      </c>
      <c r="D5094">
        <v>3.8580220000000001</v>
      </c>
      <c r="E5094">
        <v>0.60314860000000003</v>
      </c>
      <c r="F5094" t="s">
        <v>70</v>
      </c>
      <c r="G5094">
        <v>-162.619</v>
      </c>
      <c r="H5094">
        <v>10.154159999999999</v>
      </c>
      <c r="I5094">
        <v>167.15479999999999</v>
      </c>
      <c r="J5094">
        <v>-187.86</v>
      </c>
      <c r="K5094">
        <v>1.1080719999999999</v>
      </c>
      <c r="L5094">
        <v>55.3307199999999</v>
      </c>
      <c r="M5094">
        <v>6.5998849999999998E-3</v>
      </c>
      <c r="N5094">
        <v>-1.483398E-2</v>
      </c>
      <c r="O5094">
        <v>0.99986819999999998</v>
      </c>
      <c r="P5094">
        <v>-3.9701939999999998E-2</v>
      </c>
      <c r="Q5094">
        <v>-1.703501E-2</v>
      </c>
      <c r="R5094">
        <v>0.99906640000000002</v>
      </c>
      <c r="S5094">
        <v>0.68051149999999905</v>
      </c>
      <c r="T5094">
        <v>0.243835</v>
      </c>
      <c r="U5094">
        <v>3.03714</v>
      </c>
      <c r="V5094">
        <v>-4.6301219999999997E-2</v>
      </c>
      <c r="W5094">
        <v>-2.1039230000000002E-3</v>
      </c>
      <c r="X5094">
        <v>0.99892530000000002</v>
      </c>
      <c r="Y5094">
        <v>0.21134919999999999</v>
      </c>
      <c r="Z5094">
        <v>9.2925110000000005E-2</v>
      </c>
      <c r="AA5094">
        <v>0.9729833</v>
      </c>
      <c r="AB5094">
        <v>48</v>
      </c>
      <c r="AC5094">
        <v>25.241</v>
      </c>
      <c r="AD5094">
        <v>9.0460879999999992</v>
      </c>
      <c r="AE5094">
        <v>111.82408</v>
      </c>
      <c r="AF5094">
        <v>24.350714423037601</v>
      </c>
      <c r="AG5094">
        <v>9.0460879999999992</v>
      </c>
      <c r="AH5094">
        <v>111.295230398364</v>
      </c>
      <c r="AI5094">
        <v>85.460136241485898</v>
      </c>
      <c r="AJ5094">
        <v>77.658513839562104</v>
      </c>
      <c r="AK5094">
        <v>114.286557872923</v>
      </c>
      <c r="AL5094">
        <v>90.120545998190707</v>
      </c>
      <c r="AM5094">
        <v>92.653819176113004</v>
      </c>
      <c r="AN5094">
        <v>0.99999999222278402</v>
      </c>
    </row>
    <row r="5095" spans="1:40" x14ac:dyDescent="0.25">
      <c r="A5095" t="str">
        <f>"20190305135732800"</f>
        <v>20190305135732800</v>
      </c>
      <c r="B5095" t="str">
        <f>"1551765452797093"</f>
        <v>1551765452797093</v>
      </c>
      <c r="C5095" t="s">
        <v>40</v>
      </c>
      <c r="D5095">
        <v>3.8175150000000002</v>
      </c>
      <c r="E5095">
        <v>0.60295159999999903</v>
      </c>
      <c r="F5095" t="s">
        <v>70</v>
      </c>
      <c r="G5095">
        <v>-162.47229999999999</v>
      </c>
      <c r="H5095">
        <v>10.15305</v>
      </c>
      <c r="I5095">
        <v>167.00829999999999</v>
      </c>
      <c r="J5095">
        <v>-187.8563</v>
      </c>
      <c r="K5095">
        <v>1.1081259999999999</v>
      </c>
      <c r="L5095">
        <v>55.81671</v>
      </c>
      <c r="M5095">
        <v>7.2400290000000003E-3</v>
      </c>
      <c r="N5095">
        <v>-1.4830960000000001E-2</v>
      </c>
      <c r="O5095">
        <v>0.99986379999999997</v>
      </c>
      <c r="P5095">
        <v>-3.8928879999999999E-2</v>
      </c>
      <c r="Q5095">
        <v>-1.6219170000000002E-2</v>
      </c>
      <c r="R5095">
        <v>0.99911030000000001</v>
      </c>
      <c r="S5095">
        <v>0.68981930000000002</v>
      </c>
      <c r="T5095">
        <v>0.2457645</v>
      </c>
      <c r="U5095">
        <v>3.034424</v>
      </c>
      <c r="V5095">
        <v>-4.6165530000000003E-2</v>
      </c>
      <c r="W5095">
        <v>-1.2964610000000001E-3</v>
      </c>
      <c r="X5095">
        <v>0.99893299999999996</v>
      </c>
      <c r="Y5095">
        <v>0.2137375</v>
      </c>
      <c r="Z5095">
        <v>9.3555600000000003E-2</v>
      </c>
      <c r="AA5095">
        <v>0.97240099999999996</v>
      </c>
      <c r="AB5095">
        <v>48</v>
      </c>
      <c r="AC5095">
        <v>25.384</v>
      </c>
      <c r="AD5095">
        <v>9.044924</v>
      </c>
      <c r="AE5095">
        <v>111.19159000000001</v>
      </c>
      <c r="AF5095">
        <v>24.424602097011601</v>
      </c>
      <c r="AG5095">
        <v>9.044924</v>
      </c>
      <c r="AH5095">
        <v>110.676399498663</v>
      </c>
      <c r="AI5095">
        <v>85.437245480105403</v>
      </c>
      <c r="AJ5095">
        <v>77.5551605798004</v>
      </c>
      <c r="AK5095">
        <v>113.699768002185</v>
      </c>
      <c r="AL5095">
        <v>90.074281761609598</v>
      </c>
      <c r="AM5095">
        <v>92.646032616382897</v>
      </c>
      <c r="AN5095">
        <v>1.0000000377301499</v>
      </c>
    </row>
    <row r="5096" spans="1:40" x14ac:dyDescent="0.25">
      <c r="A5096" t="str">
        <f>"20190305135732822"</f>
        <v>20190305135732822</v>
      </c>
      <c r="B5096" t="str">
        <f>"1551765452817590"</f>
        <v>1551765452817590</v>
      </c>
      <c r="C5096" t="s">
        <v>40</v>
      </c>
      <c r="D5096">
        <v>3.8936519999999999</v>
      </c>
      <c r="E5096">
        <v>0.58373039999999998</v>
      </c>
      <c r="F5096" t="s">
        <v>70</v>
      </c>
      <c r="G5096">
        <v>-162.52180000000001</v>
      </c>
      <c r="H5096">
        <v>10.161580000000001</v>
      </c>
      <c r="I5096">
        <v>167.05770000000001</v>
      </c>
      <c r="J5096">
        <v>-187.8526</v>
      </c>
      <c r="K5096">
        <v>1.1081780000000001</v>
      </c>
      <c r="L5096">
        <v>56.28049</v>
      </c>
      <c r="M5096">
        <v>7.7984029999999998E-3</v>
      </c>
      <c r="N5096">
        <v>-1.4828010000000001E-2</v>
      </c>
      <c r="O5096">
        <v>0.99985959999999996</v>
      </c>
      <c r="P5096">
        <v>-3.8188659999999999E-2</v>
      </c>
      <c r="Q5096">
        <v>-1.7198049999999999E-2</v>
      </c>
      <c r="R5096">
        <v>0.99912259999999997</v>
      </c>
      <c r="S5096">
        <v>0.69088749999999999</v>
      </c>
      <c r="T5096">
        <v>0.24689320000000001</v>
      </c>
      <c r="U5096">
        <v>3.0335999999999999</v>
      </c>
      <c r="V5096">
        <v>-4.5984919999999999E-2</v>
      </c>
      <c r="W5096">
        <v>-2.284318E-3</v>
      </c>
      <c r="X5096">
        <v>0.99893949999999998</v>
      </c>
      <c r="Y5096">
        <v>0.21356729999999999</v>
      </c>
      <c r="Z5096">
        <v>9.3929540000000006E-2</v>
      </c>
      <c r="AA5096">
        <v>0.97240230000000005</v>
      </c>
      <c r="AB5096">
        <v>48</v>
      </c>
      <c r="AC5096">
        <v>25.330799999999901</v>
      </c>
      <c r="AD5096">
        <v>9.0534020000000002</v>
      </c>
      <c r="AE5096">
        <v>110.77721</v>
      </c>
      <c r="AF5096">
        <v>24.311735560484902</v>
      </c>
      <c r="AG5096">
        <v>9.0534020000000002</v>
      </c>
      <c r="AH5096">
        <v>110.27147712585599</v>
      </c>
      <c r="AI5096">
        <v>85.416083174019604</v>
      </c>
      <c r="AJ5096">
        <v>77.566807508433399</v>
      </c>
      <c r="AK5096">
        <v>113.282051717184</v>
      </c>
      <c r="AL5096">
        <v>90.130881897195096</v>
      </c>
      <c r="AM5096">
        <v>92.635678238466994</v>
      </c>
      <c r="AN5096">
        <v>0.99999997781818994</v>
      </c>
    </row>
    <row r="5097" spans="1:40" x14ac:dyDescent="0.25">
      <c r="A5097" t="str">
        <f>"20190305135732843"</f>
        <v>20190305135732843</v>
      </c>
      <c r="B5097" t="str">
        <f>"1551765452838086"</f>
        <v>1551765452838086</v>
      </c>
      <c r="C5097" t="s">
        <v>40</v>
      </c>
      <c r="D5097">
        <v>3.891648</v>
      </c>
      <c r="E5097">
        <v>0.58260789999999996</v>
      </c>
      <c r="F5097" t="s">
        <v>97</v>
      </c>
      <c r="G5097">
        <v>-167.93369999999999</v>
      </c>
      <c r="H5097">
        <v>6.8907449999999999</v>
      </c>
      <c r="I5097">
        <v>167.179</v>
      </c>
      <c r="J5097">
        <v>-187.8486</v>
      </c>
      <c r="K5097">
        <v>1.108244</v>
      </c>
      <c r="L5097">
        <v>56.746279999999999</v>
      </c>
      <c r="M5097">
        <v>8.2931180000000004E-3</v>
      </c>
      <c r="N5097">
        <v>-1.482499E-2</v>
      </c>
      <c r="O5097">
        <v>0.99985570000000001</v>
      </c>
      <c r="P5097">
        <v>-3.82336E-2</v>
      </c>
      <c r="Q5097">
        <v>-1.7175059999999999E-2</v>
      </c>
      <c r="R5097">
        <v>0.99912120000000004</v>
      </c>
      <c r="S5097">
        <v>0.5435333</v>
      </c>
      <c r="T5097">
        <v>0.15779079999999901</v>
      </c>
      <c r="U5097">
        <v>3.0261230000000001</v>
      </c>
      <c r="V5097">
        <v>-4.6524120000000002E-2</v>
      </c>
      <c r="W5097">
        <v>-2.2703599999999999E-3</v>
      </c>
      <c r="X5097">
        <v>0.99891459999999999</v>
      </c>
      <c r="Y5097">
        <v>0.16827420000000001</v>
      </c>
      <c r="Z5097">
        <v>6.6077330000000004E-2</v>
      </c>
      <c r="AA5097">
        <v>0.98352309999999998</v>
      </c>
      <c r="AB5097">
        <v>48</v>
      </c>
      <c r="AC5097">
        <v>19.914899999999999</v>
      </c>
      <c r="AD5097">
        <v>5.7825009999999999</v>
      </c>
      <c r="AE5097">
        <v>110.43272</v>
      </c>
      <c r="AF5097">
        <v>18.947967498657398</v>
      </c>
      <c r="AG5097">
        <v>5.7825009999999999</v>
      </c>
      <c r="AH5097">
        <v>110.301197697026</v>
      </c>
      <c r="AI5097">
        <v>87.042281169401207</v>
      </c>
      <c r="AJ5097">
        <v>80.252646230881297</v>
      </c>
      <c r="AK5097">
        <v>112.066127815427</v>
      </c>
      <c r="AL5097">
        <v>90.130082156012506</v>
      </c>
      <c r="AM5097">
        <v>92.666605127064699</v>
      </c>
      <c r="AN5097">
        <v>1.00000001318473</v>
      </c>
    </row>
    <row r="5098" spans="1:40" x14ac:dyDescent="0.25">
      <c r="A5098" t="str">
        <f>"20190305135732866"</f>
        <v>20190305135732866</v>
      </c>
      <c r="B5098" t="str">
        <f>"1551765452857606"</f>
        <v>1551765452857606</v>
      </c>
      <c r="C5098" t="s">
        <v>40</v>
      </c>
      <c r="D5098">
        <v>3.8640919999999999</v>
      </c>
      <c r="E5098">
        <v>0.58217149999999995</v>
      </c>
      <c r="F5098" t="s">
        <v>97</v>
      </c>
      <c r="G5098">
        <v>-168.16470000000001</v>
      </c>
      <c r="H5098">
        <v>7.047523</v>
      </c>
      <c r="I5098">
        <v>168.21340000000001</v>
      </c>
      <c r="J5098">
        <v>-187.8441</v>
      </c>
      <c r="K5098">
        <v>1.1083289999999999</v>
      </c>
      <c r="L5098">
        <v>57.243989999999997</v>
      </c>
      <c r="M5098">
        <v>8.7391320000000001E-3</v>
      </c>
      <c r="N5098">
        <v>-1.482173E-2</v>
      </c>
      <c r="O5098">
        <v>0.99985190000000002</v>
      </c>
      <c r="P5098">
        <v>-3.807601E-2</v>
      </c>
      <c r="Q5098">
        <v>-1.6893910000000002E-2</v>
      </c>
      <c r="R5098">
        <v>0.99913200000000002</v>
      </c>
      <c r="S5098">
        <v>0.53433229999999998</v>
      </c>
      <c r="T5098">
        <v>0.1612256</v>
      </c>
      <c r="U5098">
        <v>3.0258479999999999</v>
      </c>
      <c r="V5098">
        <v>-4.6810900000000003E-2</v>
      </c>
      <c r="W5098">
        <v>-2.0008719999999999E-3</v>
      </c>
      <c r="X5098">
        <v>0.99890179999999995</v>
      </c>
      <c r="Y5098">
        <v>0.16493759999999999</v>
      </c>
      <c r="Z5098">
        <v>6.7219150000000005E-2</v>
      </c>
      <c r="AA5098">
        <v>0.98401079999999996</v>
      </c>
      <c r="AB5098">
        <v>48</v>
      </c>
      <c r="AC5098">
        <v>19.679399999999902</v>
      </c>
      <c r="AD5098">
        <v>5.9391939999999996</v>
      </c>
      <c r="AE5098">
        <v>110.96941</v>
      </c>
      <c r="AF5098">
        <v>18.6569521371439</v>
      </c>
      <c r="AG5098">
        <v>5.9391939999999996</v>
      </c>
      <c r="AH5098">
        <v>110.829380700078</v>
      </c>
      <c r="AI5098">
        <v>86.975013227611001</v>
      </c>
      <c r="AJ5098">
        <v>80.444452541323599</v>
      </c>
      <c r="AK5098">
        <v>112.545579721197</v>
      </c>
      <c r="AL5098">
        <v>90.114641593434101</v>
      </c>
      <c r="AM5098">
        <v>92.683052771083595</v>
      </c>
      <c r="AN5098">
        <v>1.0000000349453999</v>
      </c>
    </row>
    <row r="5099" spans="1:40" x14ac:dyDescent="0.25">
      <c r="A5099" t="str">
        <f>"20190305135732887"</f>
        <v>20190305135732887</v>
      </c>
      <c r="B5099" t="str">
        <f>"1551765452878102"</f>
        <v>1551765452878102</v>
      </c>
      <c r="C5099" t="s">
        <v>40</v>
      </c>
      <c r="D5099">
        <v>3.8737910000000002</v>
      </c>
      <c r="E5099">
        <v>0.58232600000000001</v>
      </c>
      <c r="F5099" t="s">
        <v>97</v>
      </c>
      <c r="G5099">
        <v>-168.24700000000001</v>
      </c>
      <c r="H5099">
        <v>7.1615060000000001</v>
      </c>
      <c r="I5099">
        <v>168.893</v>
      </c>
      <c r="J5099">
        <v>-187.8399</v>
      </c>
      <c r="K5099">
        <v>1.1084160000000001</v>
      </c>
      <c r="L5099">
        <v>57.704099999999997</v>
      </c>
      <c r="M5099">
        <v>9.0620059999999992E-3</v>
      </c>
      <c r="N5099">
        <v>-1.4818639999999999E-2</v>
      </c>
      <c r="O5099">
        <v>0.99984910000000005</v>
      </c>
      <c r="P5099">
        <v>-3.7974040000000001E-2</v>
      </c>
      <c r="Q5099">
        <v>-1.64733E-2</v>
      </c>
      <c r="R5099">
        <v>0.99914289999999994</v>
      </c>
      <c r="S5099">
        <v>0.53106690000000001</v>
      </c>
      <c r="T5099">
        <v>0.1640366</v>
      </c>
      <c r="U5099">
        <v>3.025604</v>
      </c>
      <c r="V5099">
        <v>-4.7030500000000003E-2</v>
      </c>
      <c r="W5099">
        <v>-1.5928170000000001E-3</v>
      </c>
      <c r="X5099">
        <v>0.99889220000000001</v>
      </c>
      <c r="Y5099">
        <v>0.1635924</v>
      </c>
      <c r="Z5099">
        <v>6.8141450000000006E-2</v>
      </c>
      <c r="AA5099">
        <v>0.98417189999999999</v>
      </c>
      <c r="AB5099">
        <v>48</v>
      </c>
      <c r="AC5099">
        <v>19.592899999999901</v>
      </c>
      <c r="AD5099">
        <v>6.0530900000000001</v>
      </c>
      <c r="AE5099">
        <v>111.1889</v>
      </c>
      <c r="AF5099">
        <v>18.531123800942801</v>
      </c>
      <c r="AG5099">
        <v>6.0530900000000001</v>
      </c>
      <c r="AH5099">
        <v>111.042719782734</v>
      </c>
      <c r="AI5099">
        <v>86.922296062456198</v>
      </c>
      <c r="AJ5099">
        <v>80.525627466964806</v>
      </c>
      <c r="AK5099">
        <v>112.74097775263699</v>
      </c>
      <c r="AL5099">
        <v>90.091261728756095</v>
      </c>
      <c r="AM5099">
        <v>92.695646895031999</v>
      </c>
      <c r="AN5099">
        <v>1.0000000161085401</v>
      </c>
    </row>
    <row r="5100" spans="1:40" x14ac:dyDescent="0.25">
      <c r="A5100" t="str">
        <f>"20190305135732936"</f>
        <v>20190305135732936</v>
      </c>
      <c r="B5100" t="str">
        <f>"1551765452927878"</f>
        <v>1551765452927878</v>
      </c>
      <c r="C5100" t="s">
        <v>40</v>
      </c>
      <c r="D5100">
        <v>3.8707020000000001</v>
      </c>
      <c r="E5100">
        <v>0.58349949999999995</v>
      </c>
      <c r="F5100" t="s">
        <v>97</v>
      </c>
      <c r="G5100">
        <v>-168.09989999999999</v>
      </c>
      <c r="H5100">
        <v>7.3627529999999997</v>
      </c>
      <c r="I5100">
        <v>169.84479999999999</v>
      </c>
      <c r="J5100">
        <v>-187.83019999999999</v>
      </c>
      <c r="K5100">
        <v>1.1086400000000001</v>
      </c>
      <c r="L5100">
        <v>58.716799999999999</v>
      </c>
      <c r="M5100">
        <v>9.4566619999999994E-3</v>
      </c>
      <c r="N5100">
        <v>-1.4811960000000001E-2</v>
      </c>
      <c r="O5100">
        <v>0.9998456</v>
      </c>
      <c r="P5100">
        <v>-3.7139810000000002E-2</v>
      </c>
      <c r="Q5100">
        <v>-1.447099E-2</v>
      </c>
      <c r="R5100">
        <v>0.99920529999999996</v>
      </c>
      <c r="S5100">
        <v>0.53259279999999998</v>
      </c>
      <c r="T5100">
        <v>0.1687447</v>
      </c>
      <c r="U5100">
        <v>3.025604</v>
      </c>
      <c r="V5100">
        <v>-4.6588070000000002E-2</v>
      </c>
      <c r="W5100">
        <v>3.7891079999999999E-4</v>
      </c>
      <c r="X5100">
        <v>0.99891410000000003</v>
      </c>
      <c r="Y5100">
        <v>0.16366820000000001</v>
      </c>
      <c r="Z5100">
        <v>6.9656759999999998E-2</v>
      </c>
      <c r="AA5100">
        <v>0.98405319999999996</v>
      </c>
      <c r="AB5100">
        <v>48</v>
      </c>
      <c r="AC5100">
        <v>19.7303</v>
      </c>
      <c r="AD5100">
        <v>6.2541129999999896</v>
      </c>
      <c r="AE5100">
        <v>111.128</v>
      </c>
      <c r="AF5100">
        <v>18.6212263169616</v>
      </c>
      <c r="AG5100">
        <v>6.2541129999999896</v>
      </c>
      <c r="AH5100">
        <v>110.96890564250801</v>
      </c>
      <c r="AI5100">
        <v>86.818658256212004</v>
      </c>
      <c r="AJ5100">
        <v>80.474185835533802</v>
      </c>
      <c r="AK5100">
        <v>112.694108179887</v>
      </c>
      <c r="AL5100">
        <v>89.978290009513898</v>
      </c>
      <c r="AM5100">
        <v>92.670266557712793</v>
      </c>
      <c r="AN5100">
        <v>0.99999998550926406</v>
      </c>
    </row>
    <row r="5101" spans="1:40" x14ac:dyDescent="0.25">
      <c r="A5101" t="str">
        <f>"20190305135732957"</f>
        <v>20190305135732957</v>
      </c>
      <c r="B5101" t="str">
        <f>"1551765452947398"</f>
        <v>1551765452947398</v>
      </c>
      <c r="C5101" t="s">
        <v>40</v>
      </c>
      <c r="D5101">
        <v>3.9033609999999999</v>
      </c>
      <c r="E5101">
        <v>0.58399469999999898</v>
      </c>
      <c r="F5101" t="s">
        <v>70</v>
      </c>
      <c r="G5101">
        <v>-167.73490000000001</v>
      </c>
      <c r="H5101">
        <v>7.6699570000000001</v>
      </c>
      <c r="I5101">
        <v>170.33179999999999</v>
      </c>
      <c r="J5101">
        <v>-187.82579999999999</v>
      </c>
      <c r="K5101">
        <v>1.108738</v>
      </c>
      <c r="L5101">
        <v>59.17221</v>
      </c>
      <c r="M5101">
        <v>9.5068689999999994E-3</v>
      </c>
      <c r="N5101">
        <v>-1.480924E-2</v>
      </c>
      <c r="O5101">
        <v>0.99984510000000004</v>
      </c>
      <c r="P5101">
        <v>-3.6991830000000003E-2</v>
      </c>
      <c r="Q5101">
        <v>-1.3842699999999999E-2</v>
      </c>
      <c r="R5101">
        <v>0.99921970000000004</v>
      </c>
      <c r="S5101">
        <v>0.54466250000000005</v>
      </c>
      <c r="T5101">
        <v>0.17783860000000001</v>
      </c>
      <c r="U5101">
        <v>3.0252080000000001</v>
      </c>
      <c r="V5101">
        <v>-4.6489929999999999E-2</v>
      </c>
      <c r="W5101">
        <v>9.9355389999999997E-4</v>
      </c>
      <c r="X5101">
        <v>0.99891819999999998</v>
      </c>
      <c r="Y5101">
        <v>0.1674129</v>
      </c>
      <c r="Z5101">
        <v>7.2568090000000002E-2</v>
      </c>
      <c r="AA5101">
        <v>0.98321250000000004</v>
      </c>
      <c r="AB5101">
        <v>48</v>
      </c>
      <c r="AC5101">
        <v>20.090899999999898</v>
      </c>
      <c r="AD5101">
        <v>6.5612190000000004</v>
      </c>
      <c r="AE5101">
        <v>111.159589999999</v>
      </c>
      <c r="AF5101">
        <v>18.969098948889599</v>
      </c>
      <c r="AG5101">
        <v>6.5612190000000004</v>
      </c>
      <c r="AH5101">
        <v>110.97119704403499</v>
      </c>
      <c r="AI5101">
        <v>86.664569392417704</v>
      </c>
      <c r="AJ5101">
        <v>80.299776834101607</v>
      </c>
      <c r="AK5101">
        <v>112.77181776971</v>
      </c>
      <c r="AL5101">
        <v>89.943073541774496</v>
      </c>
      <c r="AM5101">
        <v>92.664638708171097</v>
      </c>
      <c r="AN5101">
        <v>0.99999993551599597</v>
      </c>
    </row>
    <row r="5102" spans="1:40" x14ac:dyDescent="0.25">
      <c r="A5102" t="str">
        <f>"20190305135732979"</f>
        <v>20190305135732979</v>
      </c>
      <c r="B5102" t="str">
        <f>"1551765452967894"</f>
        <v>1551765452967894</v>
      </c>
      <c r="C5102" t="s">
        <v>40</v>
      </c>
      <c r="D5102">
        <v>4.1218579999999996</v>
      </c>
      <c r="E5102">
        <v>0.56404449999999995</v>
      </c>
      <c r="F5102" t="s">
        <v>70</v>
      </c>
      <c r="G5102">
        <v>-167.66630000000001</v>
      </c>
      <c r="H5102">
        <v>7.67767</v>
      </c>
      <c r="I5102">
        <v>170.26429999999999</v>
      </c>
      <c r="J5102">
        <v>-187.82140000000001</v>
      </c>
      <c r="K5102">
        <v>1.10883</v>
      </c>
      <c r="L5102">
        <v>59.641330000000004</v>
      </c>
      <c r="M5102">
        <v>9.4684420000000005E-3</v>
      </c>
      <c r="N5102">
        <v>-1.480623E-2</v>
      </c>
      <c r="O5102">
        <v>0.9998456</v>
      </c>
      <c r="P5102">
        <v>-3.7278369999999998E-2</v>
      </c>
      <c r="Q5102">
        <v>-1.511063E-2</v>
      </c>
      <c r="R5102">
        <v>0.99919069999999999</v>
      </c>
      <c r="S5102">
        <v>0.5489655</v>
      </c>
      <c r="T5102">
        <v>0.17887929999999999</v>
      </c>
      <c r="U5102">
        <v>3.0251459999999999</v>
      </c>
      <c r="V5102">
        <v>-4.6738580000000002E-2</v>
      </c>
      <c r="W5102">
        <v>-2.892619E-4</v>
      </c>
      <c r="X5102">
        <v>0.99890710000000005</v>
      </c>
      <c r="Y5102">
        <v>0.16880499999999901</v>
      </c>
      <c r="Z5102">
        <v>7.288878E-2</v>
      </c>
      <c r="AA5102">
        <v>0.98295069999999996</v>
      </c>
      <c r="AB5102">
        <v>48</v>
      </c>
      <c r="AC5102">
        <v>20.155100000000001</v>
      </c>
      <c r="AD5102">
        <v>6.5688399999999998</v>
      </c>
      <c r="AE5102">
        <v>110.622969999999</v>
      </c>
      <c r="AF5102">
        <v>19.0416699400404</v>
      </c>
      <c r="AG5102">
        <v>6.5688399999999998</v>
      </c>
      <c r="AH5102">
        <v>110.43199178993</v>
      </c>
      <c r="AI5102">
        <v>86.645269188877606</v>
      </c>
      <c r="AJ5102">
        <v>80.216750848965503</v>
      </c>
      <c r="AK5102">
        <v>112.253996203887</v>
      </c>
      <c r="AL5102">
        <v>90.016573486499098</v>
      </c>
      <c r="AM5102">
        <v>92.678899467487199</v>
      </c>
      <c r="AN5102">
        <v>0.99999998648163602</v>
      </c>
    </row>
    <row r="5103" spans="1:40" x14ac:dyDescent="0.25">
      <c r="A5103" t="str">
        <f>"20190305135733001"</f>
        <v>20190305135733001</v>
      </c>
      <c r="B5103" t="str">
        <f>"1551765452997174"</f>
        <v>1551765452997174</v>
      </c>
      <c r="C5103" t="s">
        <v>40</v>
      </c>
      <c r="D5103">
        <v>4.1635609999999996</v>
      </c>
      <c r="E5103">
        <v>0.53495170000000003</v>
      </c>
      <c r="F5103" t="s">
        <v>70</v>
      </c>
      <c r="G5103">
        <v>-168.45570000000001</v>
      </c>
      <c r="H5103">
        <v>4.869402</v>
      </c>
      <c r="I5103">
        <v>208.21369999999999</v>
      </c>
      <c r="J5103">
        <v>-187.81700000000001</v>
      </c>
      <c r="K5103">
        <v>1.108938</v>
      </c>
      <c r="L5103">
        <v>60.111789999999999</v>
      </c>
      <c r="M5103">
        <v>9.2890560000000004E-3</v>
      </c>
      <c r="N5103">
        <v>-1.480304E-2</v>
      </c>
      <c r="O5103">
        <v>0.99984729999999999</v>
      </c>
      <c r="P5103">
        <v>-3.8009069999999999E-2</v>
      </c>
      <c r="Q5103">
        <v>-1.6744470000000001E-2</v>
      </c>
      <c r="R5103">
        <v>0.9991371</v>
      </c>
      <c r="S5103">
        <v>0.39341739999999997</v>
      </c>
      <c r="T5103">
        <v>7.639754E-2</v>
      </c>
      <c r="U5103">
        <v>3.0182799999999999</v>
      </c>
      <c r="V5103">
        <v>-4.7290060000000002E-2</v>
      </c>
      <c r="W5103">
        <v>-1.940982E-3</v>
      </c>
      <c r="X5103">
        <v>0.99887930000000003</v>
      </c>
      <c r="Y5103">
        <v>0.11994</v>
      </c>
      <c r="Z5103">
        <v>3.9891070000000001E-2</v>
      </c>
      <c r="AA5103">
        <v>0.99197939999999996</v>
      </c>
      <c r="AB5103">
        <v>48</v>
      </c>
      <c r="AC5103">
        <v>19.3613</v>
      </c>
      <c r="AD5103">
        <v>3.7604639999999998</v>
      </c>
      <c r="AE5103">
        <v>148.10190999999901</v>
      </c>
      <c r="AF5103">
        <v>17.973194106637798</v>
      </c>
      <c r="AG5103">
        <v>3.7604639999999998</v>
      </c>
      <c r="AH5103">
        <v>148.18145857763901</v>
      </c>
      <c r="AI5103">
        <v>88.556864814827406</v>
      </c>
      <c r="AJ5103">
        <v>83.084274428386905</v>
      </c>
      <c r="AK5103">
        <v>149.31484005981</v>
      </c>
      <c r="AL5103">
        <v>90.111210148032697</v>
      </c>
      <c r="AM5103">
        <v>92.710536920740196</v>
      </c>
      <c r="AN5103">
        <v>0.99999998657720801</v>
      </c>
    </row>
    <row r="5104" spans="1:40" x14ac:dyDescent="0.25">
      <c r="A5104" t="str">
        <f>"20190305135733022"</f>
        <v>20190305135733022</v>
      </c>
      <c r="B5104" t="str">
        <f>"1551765453017671"</f>
        <v>1551765453017671</v>
      </c>
      <c r="C5104" t="s">
        <v>40</v>
      </c>
      <c r="D5104">
        <v>4.1501380000000001</v>
      </c>
      <c r="E5104">
        <v>0.52637040000000002</v>
      </c>
      <c r="F5104" t="s">
        <v>47</v>
      </c>
      <c r="G5104">
        <v>0</v>
      </c>
      <c r="H5104">
        <v>0</v>
      </c>
      <c r="I5104">
        <v>0</v>
      </c>
      <c r="J5104">
        <v>-187.81309999999999</v>
      </c>
      <c r="K5104">
        <v>1.109078</v>
      </c>
      <c r="L5104">
        <v>60.553559999999997</v>
      </c>
      <c r="M5104">
        <v>8.9716299999999995E-3</v>
      </c>
      <c r="N5104">
        <v>-1.480033E-2</v>
      </c>
      <c r="O5104">
        <v>0.99985020000000002</v>
      </c>
      <c r="P5104">
        <v>-3.9710959999999997E-2</v>
      </c>
      <c r="Q5104">
        <v>-1.866058E-2</v>
      </c>
      <c r="R5104">
        <v>0.99903699999999995</v>
      </c>
      <c r="S5104">
        <v>0.16133120000000001</v>
      </c>
      <c r="T5104">
        <v>2.6513809999999999E-2</v>
      </c>
      <c r="U5104">
        <v>3.0091860000000001</v>
      </c>
      <c r="V5104">
        <v>-4.8673880000000003E-2</v>
      </c>
      <c r="W5104">
        <v>-3.8777680000000002E-3</v>
      </c>
      <c r="X5104">
        <v>0.99880720000000001</v>
      </c>
      <c r="Y5104">
        <v>4.4557230000000003E-2</v>
      </c>
      <c r="Z5104">
        <v>2.3594629999999998E-2</v>
      </c>
      <c r="AA5104">
        <v>0.99872819999999995</v>
      </c>
      <c r="AB5104">
        <v>48</v>
      </c>
      <c r="AC5104">
        <v>0.16133120000000001</v>
      </c>
      <c r="AD5104">
        <v>2.6513809999999999E-2</v>
      </c>
      <c r="AE5104">
        <v>3.0091860000000001</v>
      </c>
      <c r="AF5104">
        <v>0.13431404708348599</v>
      </c>
      <c r="AG5104">
        <v>2.6513809999999999E-2</v>
      </c>
      <c r="AH5104">
        <v>3.0102794013914602</v>
      </c>
      <c r="AI5104">
        <v>89.495867275984395</v>
      </c>
      <c r="AJ5104">
        <v>87.445244691517999</v>
      </c>
      <c r="AK5104">
        <v>3.0133910001535398</v>
      </c>
      <c r="AL5104">
        <v>90.222180296440598</v>
      </c>
      <c r="AM5104">
        <v>92.789931238511002</v>
      </c>
      <c r="AN5104">
        <v>1.00000000322537</v>
      </c>
    </row>
    <row r="5105" spans="1:40" x14ac:dyDescent="0.25">
      <c r="A5105" t="str">
        <f>"20190305135733044"</f>
        <v>20190305135733044</v>
      </c>
      <c r="B5105" t="str">
        <f>"1551765453037190"</f>
        <v>1551765453037190</v>
      </c>
      <c r="C5105" t="s">
        <v>40</v>
      </c>
      <c r="D5105">
        <v>4.0719459999999996</v>
      </c>
      <c r="E5105">
        <v>0.52282759999999995</v>
      </c>
      <c r="F5105" t="s">
        <v>96</v>
      </c>
      <c r="G5105">
        <v>-178.12629999999999</v>
      </c>
      <c r="H5105">
        <v>2.471949</v>
      </c>
      <c r="I5105">
        <v>391.87</v>
      </c>
      <c r="J5105">
        <v>-187.8091</v>
      </c>
      <c r="K5105">
        <v>1.1092630000000001</v>
      </c>
      <c r="L5105">
        <v>61.042720000000003</v>
      </c>
      <c r="M5105">
        <v>8.4464099999999997E-3</v>
      </c>
      <c r="N5105">
        <v>-1.4797859999999999E-2</v>
      </c>
      <c r="O5105">
        <v>0.99985480000000004</v>
      </c>
      <c r="P5105">
        <v>-4.2346479999999999E-2</v>
      </c>
      <c r="Q5105">
        <v>-2.026567E-2</v>
      </c>
      <c r="R5105">
        <v>0.99889740000000005</v>
      </c>
      <c r="S5105">
        <v>8.7905880000000006E-2</v>
      </c>
      <c r="T5105">
        <v>1.236773E-2</v>
      </c>
      <c r="U5105">
        <v>3.0066220000000001</v>
      </c>
      <c r="V5105">
        <v>-5.0780390000000002E-2</v>
      </c>
      <c r="W5105">
        <v>-5.5104480000000003E-3</v>
      </c>
      <c r="X5105">
        <v>0.99869470000000005</v>
      </c>
      <c r="Y5105">
        <v>2.0773300000000001E-2</v>
      </c>
      <c r="Z5105">
        <v>1.8907380000000001E-2</v>
      </c>
      <c r="AA5105">
        <v>0.99960539999999998</v>
      </c>
      <c r="AB5105">
        <v>48</v>
      </c>
      <c r="AC5105">
        <v>9.6828000000000092</v>
      </c>
      <c r="AD5105">
        <v>1.3626860000000001</v>
      </c>
      <c r="AE5105">
        <v>330.82727999999997</v>
      </c>
      <c r="AF5105">
        <v>6.8877288397224197</v>
      </c>
      <c r="AG5105">
        <v>1.3626860000000001</v>
      </c>
      <c r="AH5105">
        <v>330.89166092186701</v>
      </c>
      <c r="AI5105">
        <v>89.764095577665401</v>
      </c>
      <c r="AJ5105">
        <v>88.807522652907707</v>
      </c>
      <c r="AK5105">
        <v>330.96614477818702</v>
      </c>
      <c r="AL5105">
        <v>90.315726993036606</v>
      </c>
      <c r="AM5105">
        <v>92.910797973937704</v>
      </c>
      <c r="AN5105">
        <v>1.00000005842689</v>
      </c>
    </row>
    <row r="5106" spans="1:40" x14ac:dyDescent="0.25">
      <c r="A5106" t="str">
        <f>"20190305135733067"</f>
        <v>20190305135733067</v>
      </c>
      <c r="B5106" t="str">
        <f>"1551765453057687"</f>
        <v>1551765453057687</v>
      </c>
      <c r="C5106" t="s">
        <v>40</v>
      </c>
      <c r="D5106">
        <v>4.1812259999999997</v>
      </c>
      <c r="E5106">
        <v>0.52135589999999998</v>
      </c>
      <c r="F5106" t="s">
        <v>96</v>
      </c>
      <c r="G5106">
        <v>-182.1105</v>
      </c>
      <c r="H5106">
        <v>1.7158150000000001</v>
      </c>
      <c r="I5106">
        <v>391.87</v>
      </c>
      <c r="J5106">
        <v>-187.8057</v>
      </c>
      <c r="K5106">
        <v>1.1094569999999999</v>
      </c>
      <c r="L5106">
        <v>61.508609999999997</v>
      </c>
      <c r="M5106">
        <v>7.7746819999999998E-3</v>
      </c>
      <c r="N5106">
        <v>-1.4796220000000001E-2</v>
      </c>
      <c r="O5106">
        <v>0.99986030000000004</v>
      </c>
      <c r="P5106">
        <v>-4.4843300000000003E-2</v>
      </c>
      <c r="Q5106">
        <v>-2.031643E-2</v>
      </c>
      <c r="R5106">
        <v>0.99878739999999999</v>
      </c>
      <c r="S5106">
        <v>5.1773069999999997E-2</v>
      </c>
      <c r="T5106">
        <v>5.5105689999999999E-3</v>
      </c>
      <c r="U5106">
        <v>3.0056150000000001</v>
      </c>
      <c r="V5106">
        <v>-5.2602749999999997E-2</v>
      </c>
      <c r="W5106">
        <v>-5.5902540000000002E-3</v>
      </c>
      <c r="X5106">
        <v>0.99859989999999998</v>
      </c>
      <c r="Y5106">
        <v>9.4447060000000006E-3</v>
      </c>
      <c r="Z5106">
        <v>1.6628170000000001E-2</v>
      </c>
      <c r="AA5106">
        <v>0.99981710000000001</v>
      </c>
      <c r="AB5106">
        <v>48</v>
      </c>
      <c r="AC5106">
        <v>5.6951999999999998</v>
      </c>
      <c r="AD5106">
        <v>0.60635799999999995</v>
      </c>
      <c r="AE5106">
        <v>330.36138999999997</v>
      </c>
      <c r="AF5106">
        <v>3.12628134521947</v>
      </c>
      <c r="AG5106">
        <v>0.60635799999999995</v>
      </c>
      <c r="AH5106">
        <v>330.39457370602901</v>
      </c>
      <c r="AI5106">
        <v>89.894852510147402</v>
      </c>
      <c r="AJ5106">
        <v>89.457868272341898</v>
      </c>
      <c r="AK5106">
        <v>330.40992061295998</v>
      </c>
      <c r="AL5106">
        <v>90.320299619204704</v>
      </c>
      <c r="AM5106">
        <v>93.015354310419696</v>
      </c>
      <c r="AN5106">
        <v>1.00000003026367</v>
      </c>
    </row>
    <row r="5107" spans="1:40" x14ac:dyDescent="0.25">
      <c r="A5107" t="str">
        <f>"20190305135733090"</f>
        <v>20190305135733090</v>
      </c>
      <c r="B5107" t="str">
        <f>"1551765453087942"</f>
        <v>1551765453087942</v>
      </c>
      <c r="C5107" t="s">
        <v>40</v>
      </c>
      <c r="D5107">
        <v>4.0842499999999999</v>
      </c>
      <c r="E5107">
        <v>0.51989010000000002</v>
      </c>
      <c r="F5107" t="s">
        <v>96</v>
      </c>
      <c r="G5107">
        <v>-184.2362</v>
      </c>
      <c r="H5107">
        <v>1.642204</v>
      </c>
      <c r="I5107">
        <v>391.87</v>
      </c>
      <c r="J5107">
        <v>-187.80260000000001</v>
      </c>
      <c r="K5107">
        <v>1.109664</v>
      </c>
      <c r="L5107">
        <v>61.991459999999996</v>
      </c>
      <c r="M5107">
        <v>6.9080000000000001E-3</v>
      </c>
      <c r="N5107">
        <v>-1.4794949999999999E-2</v>
      </c>
      <c r="O5107">
        <v>0.9998667</v>
      </c>
      <c r="P5107">
        <v>-4.7665329999999999E-2</v>
      </c>
      <c r="Q5107">
        <v>-1.9622779999999999E-2</v>
      </c>
      <c r="R5107">
        <v>0.99867059999999996</v>
      </c>
      <c r="S5107">
        <v>3.2470699999999998E-2</v>
      </c>
      <c r="T5107">
        <v>4.8462150000000001E-3</v>
      </c>
      <c r="U5107">
        <v>3.005188</v>
      </c>
      <c r="V5107">
        <v>-5.4557040000000001E-2</v>
      </c>
      <c r="W5107">
        <v>-4.9283369999999996E-3</v>
      </c>
      <c r="X5107">
        <v>0.99849849999999996</v>
      </c>
      <c r="Y5107">
        <v>3.893807E-3</v>
      </c>
      <c r="Z5107">
        <v>1.6406710000000001E-2</v>
      </c>
      <c r="AA5107">
        <v>0.99985780000000002</v>
      </c>
      <c r="AB5107">
        <v>47</v>
      </c>
      <c r="AC5107">
        <v>3.56640000000001</v>
      </c>
      <c r="AD5107">
        <v>0.53254000000000001</v>
      </c>
      <c r="AE5107">
        <v>329.87853999999999</v>
      </c>
      <c r="AF5107">
        <v>1.2872611643821701</v>
      </c>
      <c r="AG5107">
        <v>0.53254000000000001</v>
      </c>
      <c r="AH5107">
        <v>329.894446944322</v>
      </c>
      <c r="AI5107">
        <v>89.907509702223606</v>
      </c>
      <c r="AJ5107">
        <v>89.776430739560496</v>
      </c>
      <c r="AK5107">
        <v>329.897388235883</v>
      </c>
      <c r="AL5107">
        <v>90.282374051276804</v>
      </c>
      <c r="AM5107">
        <v>93.127478898685197</v>
      </c>
      <c r="AN5107">
        <v>1.00000000681069</v>
      </c>
    </row>
    <row r="5108" spans="1:40" x14ac:dyDescent="0.25">
      <c r="A5108" t="str">
        <f>"20190305135733115"</f>
        <v>20190305135733115</v>
      </c>
      <c r="B5108" t="str">
        <f>"1551765453107462"</f>
        <v>1551765453107462</v>
      </c>
      <c r="C5108" t="s">
        <v>40</v>
      </c>
      <c r="D5108">
        <v>4.1457990000000002</v>
      </c>
      <c r="E5108">
        <v>0.51938589999999996</v>
      </c>
      <c r="F5108" t="s">
        <v>96</v>
      </c>
      <c r="G5108">
        <v>-186.45070000000001</v>
      </c>
      <c r="H5108">
        <v>1.66431</v>
      </c>
      <c r="I5108">
        <v>391.87</v>
      </c>
      <c r="J5108">
        <v>-187.79990000000001</v>
      </c>
      <c r="K5108">
        <v>1.1098779999999999</v>
      </c>
      <c r="L5108">
        <v>62.513640000000002</v>
      </c>
      <c r="M5108">
        <v>5.7690290000000002E-3</v>
      </c>
      <c r="N5108">
        <v>-1.4793580000000001E-2</v>
      </c>
      <c r="O5108">
        <v>0.99987389999999998</v>
      </c>
      <c r="P5108">
        <v>-5.0249580000000002E-2</v>
      </c>
      <c r="Q5108">
        <v>-1.8967600000000001E-2</v>
      </c>
      <c r="R5108">
        <v>0.99855660000000002</v>
      </c>
      <c r="S5108">
        <v>1.231384E-2</v>
      </c>
      <c r="T5108">
        <v>5.0519700000000002E-3</v>
      </c>
      <c r="U5108">
        <v>3.0047000000000001</v>
      </c>
      <c r="V5108">
        <v>-5.6002179999999999E-2</v>
      </c>
      <c r="W5108">
        <v>-4.3053079999999999E-3</v>
      </c>
      <c r="X5108">
        <v>0.99842140000000001</v>
      </c>
      <c r="Y5108">
        <v>-1.671914E-3</v>
      </c>
      <c r="Z5108">
        <v>1.6474510000000001E-2</v>
      </c>
      <c r="AA5108">
        <v>0.9998629</v>
      </c>
      <c r="AB5108">
        <v>47</v>
      </c>
      <c r="AC5108">
        <v>1.34919999999999</v>
      </c>
      <c r="AD5108">
        <v>0.55443199999999904</v>
      </c>
      <c r="AE5108">
        <v>329.35636</v>
      </c>
      <c r="AF5108">
        <v>-0.55109528615732695</v>
      </c>
      <c r="AG5108">
        <v>0.55443199999999904</v>
      </c>
      <c r="AH5108">
        <v>329.357729103179</v>
      </c>
      <c r="AI5108">
        <v>89.9035500419605</v>
      </c>
      <c r="AJ5108">
        <v>90.095869632768995</v>
      </c>
      <c r="AK5108">
        <v>329.35865681785202</v>
      </c>
      <c r="AL5108">
        <v>90.246676731103094</v>
      </c>
      <c r="AM5108">
        <v>93.210397803500001</v>
      </c>
      <c r="AN5108">
        <v>1.00000003590984</v>
      </c>
    </row>
    <row r="5109" spans="1:40" x14ac:dyDescent="0.25">
      <c r="A5109" t="str">
        <f>"20190305135733137"</f>
        <v>20190305135733137</v>
      </c>
      <c r="B5109" t="str">
        <f>"1551765453127958"</f>
        <v>1551765453127958</v>
      </c>
      <c r="C5109" t="s">
        <v>40</v>
      </c>
      <c r="D5109">
        <v>4.1267559999999897</v>
      </c>
      <c r="E5109">
        <v>0.51849369999999995</v>
      </c>
      <c r="F5109" t="s">
        <v>96</v>
      </c>
      <c r="G5109">
        <v>-187.72970000000001</v>
      </c>
      <c r="H5109">
        <v>1.7430190000000001</v>
      </c>
      <c r="I5109">
        <v>391.87</v>
      </c>
      <c r="J5109">
        <v>-187.79810000000001</v>
      </c>
      <c r="K5109">
        <v>1.11005</v>
      </c>
      <c r="L5109">
        <v>62.989530000000002</v>
      </c>
      <c r="M5109">
        <v>4.600575E-3</v>
      </c>
      <c r="N5109">
        <v>-1.479194E-2</v>
      </c>
      <c r="O5109">
        <v>0.99987999999999999</v>
      </c>
      <c r="P5109">
        <v>-5.2849849999999997E-2</v>
      </c>
      <c r="Q5109">
        <v>-1.7499549999999999E-2</v>
      </c>
      <c r="R5109">
        <v>0.99844909999999998</v>
      </c>
      <c r="S5109">
        <v>6.408691E-4</v>
      </c>
      <c r="T5109">
        <v>5.77569E-3</v>
      </c>
      <c r="U5109">
        <v>3.004486</v>
      </c>
      <c r="V5109">
        <v>-5.7436849999999998E-2</v>
      </c>
      <c r="W5109">
        <v>-2.8651179999999998E-3</v>
      </c>
      <c r="X5109">
        <v>0.99834500000000004</v>
      </c>
      <c r="Y5109">
        <v>-4.3873890000000002E-3</v>
      </c>
      <c r="Z5109">
        <v>1.6714010000000001E-2</v>
      </c>
      <c r="AA5109">
        <v>0.99985069999999998</v>
      </c>
      <c r="AB5109">
        <v>47</v>
      </c>
      <c r="AC5109">
        <v>6.8399999999996894E-2</v>
      </c>
      <c r="AD5109">
        <v>0.632968999999999</v>
      </c>
      <c r="AE5109">
        <v>328.88047</v>
      </c>
      <c r="AF5109">
        <v>-1.44480020956066</v>
      </c>
      <c r="AG5109">
        <v>0.632968999999999</v>
      </c>
      <c r="AH5109">
        <v>328.87608530155802</v>
      </c>
      <c r="AI5109">
        <v>89.889727288958497</v>
      </c>
      <c r="AJ5109">
        <v>90.251707027064498</v>
      </c>
      <c r="AK5109">
        <v>328.87986800757199</v>
      </c>
      <c r="AL5109">
        <v>90.164159398754506</v>
      </c>
      <c r="AM5109">
        <v>93.292714850147803</v>
      </c>
      <c r="AN5109">
        <v>0.99999996983203698</v>
      </c>
    </row>
    <row r="5110" spans="1:40" x14ac:dyDescent="0.25">
      <c r="A5110" t="str">
        <f>"20190305135733180"</f>
        <v>20190305135733180</v>
      </c>
      <c r="B5110" t="str">
        <f>"1551765453177734"</f>
        <v>1551765453177734</v>
      </c>
      <c r="C5110" t="s">
        <v>40</v>
      </c>
      <c r="D5110">
        <v>4.3029330000000003</v>
      </c>
      <c r="E5110">
        <v>0.51736249999999995</v>
      </c>
      <c r="F5110" t="s">
        <v>96</v>
      </c>
      <c r="G5110">
        <v>-189.3751</v>
      </c>
      <c r="H5110">
        <v>2.3305169999999999</v>
      </c>
      <c r="I5110">
        <v>391.87</v>
      </c>
      <c r="J5110">
        <v>-187.7963</v>
      </c>
      <c r="K5110">
        <v>1.1103320000000001</v>
      </c>
      <c r="L5110">
        <v>63.881129999999999</v>
      </c>
      <c r="M5110">
        <v>2.1647260000000001E-3</v>
      </c>
      <c r="N5110">
        <v>-1.478763E-2</v>
      </c>
      <c r="O5110">
        <v>0.99988829999999995</v>
      </c>
      <c r="P5110">
        <v>-5.932221E-2</v>
      </c>
      <c r="Q5110">
        <v>-1.040919E-2</v>
      </c>
      <c r="R5110">
        <v>0.99818459999999998</v>
      </c>
      <c r="S5110">
        <v>-1.44043E-2</v>
      </c>
      <c r="T5110">
        <v>1.1148099999999999E-2</v>
      </c>
      <c r="U5110">
        <v>3.004089</v>
      </c>
      <c r="V5110">
        <v>-6.1495830000000001E-2</v>
      </c>
      <c r="W5110">
        <v>4.1726150000000002E-3</v>
      </c>
      <c r="X5110">
        <v>0.99809859999999995</v>
      </c>
      <c r="Y5110">
        <v>-6.958377E-3</v>
      </c>
      <c r="Z5110">
        <v>1.8498069999999998E-2</v>
      </c>
      <c r="AA5110">
        <v>0.99980469999999999</v>
      </c>
      <c r="AB5110">
        <v>47</v>
      </c>
      <c r="AC5110">
        <v>-1.5788</v>
      </c>
      <c r="AD5110">
        <v>1.2201850000000001</v>
      </c>
      <c r="AE5110">
        <v>327.98887000000002</v>
      </c>
      <c r="AF5110">
        <v>-2.2888483103390702</v>
      </c>
      <c r="AG5110">
        <v>1.2201850000000001</v>
      </c>
      <c r="AH5110">
        <v>327.98014419423998</v>
      </c>
      <c r="AI5110">
        <v>89.786848603098605</v>
      </c>
      <c r="AJ5110">
        <v>90.399838897572394</v>
      </c>
      <c r="AK5110">
        <v>327.99040026149601</v>
      </c>
      <c r="AL5110">
        <v>89.760926072816702</v>
      </c>
      <c r="AM5110">
        <v>93.525706895573293</v>
      </c>
      <c r="AN5110">
        <v>0.99999998157264303</v>
      </c>
    </row>
    <row r="5111" spans="1:40" x14ac:dyDescent="0.25">
      <c r="A5111" t="str">
        <f>"20190305135733202"</f>
        <v>20190305135733202</v>
      </c>
      <c r="B5111" t="str">
        <f>"1551765453197254"</f>
        <v>1551765453197254</v>
      </c>
      <c r="C5111" t="s">
        <v>40</v>
      </c>
      <c r="D5111">
        <v>4.149578</v>
      </c>
      <c r="E5111">
        <v>0.51705140000000005</v>
      </c>
      <c r="F5111" t="s">
        <v>96</v>
      </c>
      <c r="G5111">
        <v>-192.51400000000001</v>
      </c>
      <c r="H5111">
        <v>5.2768629999999996</v>
      </c>
      <c r="I5111">
        <v>391.87</v>
      </c>
      <c r="J5111">
        <v>-187.7962</v>
      </c>
      <c r="K5111">
        <v>1.11046</v>
      </c>
      <c r="L5111">
        <v>64.34872</v>
      </c>
      <c r="M5111">
        <v>8.0898880000000002E-4</v>
      </c>
      <c r="N5111">
        <v>-1.478495E-2</v>
      </c>
      <c r="O5111">
        <v>0.99989039999999996</v>
      </c>
      <c r="P5111">
        <v>-6.3976969999999994E-2</v>
      </c>
      <c r="Q5111">
        <v>-5.0788650000000001E-3</v>
      </c>
      <c r="R5111">
        <v>0.99793849999999995</v>
      </c>
      <c r="S5111">
        <v>-4.3197630000000001E-2</v>
      </c>
      <c r="T5111">
        <v>3.8151259999999999E-2</v>
      </c>
      <c r="U5111">
        <v>3.0032649999999999</v>
      </c>
      <c r="V5111">
        <v>-6.4814650000000001E-2</v>
      </c>
      <c r="W5111">
        <v>9.4720540000000006E-3</v>
      </c>
      <c r="X5111">
        <v>0.99785239999999997</v>
      </c>
      <c r="Y5111">
        <v>-1.518539E-2</v>
      </c>
      <c r="Z5111">
        <v>2.7483299999999999E-2</v>
      </c>
      <c r="AA5111">
        <v>0.99950689999999998</v>
      </c>
      <c r="AB5111">
        <v>47</v>
      </c>
      <c r="AC5111">
        <v>-4.7178000000000102</v>
      </c>
      <c r="AD5111">
        <v>4.1664029999999999</v>
      </c>
      <c r="AE5111">
        <v>327.52127999999999</v>
      </c>
      <c r="AF5111">
        <v>-4.98198242117157</v>
      </c>
      <c r="AG5111">
        <v>4.1664029999999999</v>
      </c>
      <c r="AH5111">
        <v>327.46437506487399</v>
      </c>
      <c r="AI5111">
        <v>89.271136562189298</v>
      </c>
      <c r="AJ5111">
        <v>90.871620145467602</v>
      </c>
      <c r="AK5111">
        <v>327.52877125442302</v>
      </c>
      <c r="AL5111">
        <v>89.457283186091004</v>
      </c>
      <c r="AM5111">
        <v>93.716377750893002</v>
      </c>
      <c r="AN5111">
        <v>1.00000003542368</v>
      </c>
    </row>
    <row r="5112" spans="1:40" x14ac:dyDescent="0.25">
      <c r="A5112" t="str">
        <f>"20190305135733223"</f>
        <v>20190305135733223</v>
      </c>
      <c r="B5112" t="str">
        <f>"1551765453217750"</f>
        <v>1551765453217750</v>
      </c>
      <c r="C5112" t="s">
        <v>40</v>
      </c>
      <c r="D5112">
        <v>4.2846890000000002</v>
      </c>
      <c r="E5112">
        <v>0.51696719999999996</v>
      </c>
      <c r="F5112" t="s">
        <v>96</v>
      </c>
      <c r="G5112">
        <v>-194.26920000000001</v>
      </c>
      <c r="H5112">
        <v>7.1405469999999998</v>
      </c>
      <c r="I5112">
        <v>390.11860000000001</v>
      </c>
      <c r="J5112">
        <v>-187.79679999999999</v>
      </c>
      <c r="K5112">
        <v>1.110552</v>
      </c>
      <c r="L5112">
        <v>64.817869999999999</v>
      </c>
      <c r="M5112">
        <v>-5.7700129999999896E-4</v>
      </c>
      <c r="N5112">
        <v>-1.4782119999999999E-2</v>
      </c>
      <c r="O5112">
        <v>0.99989059999999996</v>
      </c>
      <c r="P5112">
        <v>-6.7697690000000005E-2</v>
      </c>
      <c r="Q5112">
        <v>-3.5935630000000001E-3</v>
      </c>
      <c r="R5112">
        <v>0.99769940000000001</v>
      </c>
      <c r="S5112">
        <v>-5.9661869999999999E-2</v>
      </c>
      <c r="T5112">
        <v>5.5579900000000002E-2</v>
      </c>
      <c r="U5112">
        <v>3.0026549999999999</v>
      </c>
      <c r="V5112">
        <v>-6.7158770000000007E-2</v>
      </c>
      <c r="W5112">
        <v>1.093062E-2</v>
      </c>
      <c r="X5112">
        <v>0.99768250000000003</v>
      </c>
      <c r="Y5112">
        <v>-1.927835E-2</v>
      </c>
      <c r="Z5112">
        <v>3.328101E-2</v>
      </c>
      <c r="AA5112">
        <v>0.99926009999999998</v>
      </c>
      <c r="AB5112">
        <v>47</v>
      </c>
      <c r="AC5112">
        <v>-6.4724000000000199</v>
      </c>
      <c r="AD5112">
        <v>6.0299950000000004</v>
      </c>
      <c r="AE5112">
        <v>325.30072999999999</v>
      </c>
      <c r="AF5112">
        <v>-6.2825215997577999</v>
      </c>
      <c r="AG5112">
        <v>6.0299950000000004</v>
      </c>
      <c r="AH5112">
        <v>325.19271608222198</v>
      </c>
      <c r="AI5112">
        <v>88.937893680200503</v>
      </c>
      <c r="AJ5112">
        <v>91.106781242972005</v>
      </c>
      <c r="AK5112">
        <v>325.30928900091999</v>
      </c>
      <c r="AL5112">
        <v>89.373709181602493</v>
      </c>
      <c r="AM5112">
        <v>93.851042629922603</v>
      </c>
      <c r="AN5112">
        <v>1.00000007482387</v>
      </c>
    </row>
    <row r="5113" spans="1:40" x14ac:dyDescent="0.25">
      <c r="A5113" t="str">
        <f>"20190305135733246"</f>
        <v>20190305135733246</v>
      </c>
      <c r="B5113" t="str">
        <f>"1551765453237270"</f>
        <v>1551765453237270</v>
      </c>
      <c r="C5113" t="s">
        <v>40</v>
      </c>
      <c r="D5113">
        <v>4.1186559999999997</v>
      </c>
      <c r="E5113">
        <v>0.51688400000000001</v>
      </c>
      <c r="F5113" t="s">
        <v>96</v>
      </c>
      <c r="G5113">
        <v>-195.5926</v>
      </c>
      <c r="H5113">
        <v>7.8297739999999996</v>
      </c>
      <c r="I5113">
        <v>391.87</v>
      </c>
      <c r="J5113">
        <v>-187.798</v>
      </c>
      <c r="K5113">
        <v>1.1106130000000001</v>
      </c>
      <c r="L5113">
        <v>65.272859999999994</v>
      </c>
      <c r="M5113">
        <v>-1.933241E-3</v>
      </c>
      <c r="N5113">
        <v>-1.477929E-2</v>
      </c>
      <c r="O5113">
        <v>0.99988889999999997</v>
      </c>
      <c r="P5113">
        <v>-7.0702719999999997E-2</v>
      </c>
      <c r="Q5113">
        <v>-6.7210359999999997E-3</v>
      </c>
      <c r="R5113">
        <v>0.99747479999999999</v>
      </c>
      <c r="S5113">
        <v>-7.1563719999999997E-2</v>
      </c>
      <c r="T5113">
        <v>6.1681390000000003E-2</v>
      </c>
      <c r="U5113">
        <v>3.0022890000000002</v>
      </c>
      <c r="V5113">
        <v>-6.8801490000000007E-2</v>
      </c>
      <c r="W5113">
        <v>7.7807769999999896E-3</v>
      </c>
      <c r="X5113">
        <v>0.99760000000000004</v>
      </c>
      <c r="Y5113">
        <v>-2.1882749999999999E-2</v>
      </c>
      <c r="Z5113">
        <v>3.5308619999999999E-2</v>
      </c>
      <c r="AA5113">
        <v>0.99913689999999999</v>
      </c>
      <c r="AB5113">
        <v>47</v>
      </c>
      <c r="AC5113">
        <v>-7.7946</v>
      </c>
      <c r="AD5113">
        <v>6.7191609999999997</v>
      </c>
      <c r="AE5113">
        <v>326.597139999999</v>
      </c>
      <c r="AF5113">
        <v>-7.16009663023915</v>
      </c>
      <c r="AG5113">
        <v>6.7191609999999997</v>
      </c>
      <c r="AH5113">
        <v>326.47349612829498</v>
      </c>
      <c r="AI5113">
        <v>88.821243639067504</v>
      </c>
      <c r="AJ5113">
        <v>91.256388547494296</v>
      </c>
      <c r="AK5113">
        <v>326.62112268273501</v>
      </c>
      <c r="AL5113">
        <v>89.554189806084295</v>
      </c>
      <c r="AM5113">
        <v>93.945271400029</v>
      </c>
      <c r="AN5113">
        <v>0.99999997275847097</v>
      </c>
    </row>
    <row r="5114" spans="1:40" x14ac:dyDescent="0.25">
      <c r="A5114" t="str">
        <f>"20190305135733267"</f>
        <v>20190305135733267</v>
      </c>
      <c r="B5114" t="str">
        <f>"1551765453257766"</f>
        <v>1551765453257766</v>
      </c>
      <c r="C5114" t="s">
        <v>40</v>
      </c>
      <c r="D5114">
        <v>4.1629809999999896</v>
      </c>
      <c r="E5114">
        <v>0.51669140000000002</v>
      </c>
      <c r="F5114" t="s">
        <v>96</v>
      </c>
      <c r="G5114">
        <v>-196.58150000000001</v>
      </c>
      <c r="H5114">
        <v>7.0785030000000004</v>
      </c>
      <c r="I5114">
        <v>390.11860000000001</v>
      </c>
      <c r="J5114">
        <v>-187.7998</v>
      </c>
      <c r="K5114">
        <v>1.110665</v>
      </c>
      <c r="L5114">
        <v>65.745000000000005</v>
      </c>
      <c r="M5114">
        <v>-3.346594E-3</v>
      </c>
      <c r="N5114">
        <v>-1.477637E-2</v>
      </c>
      <c r="O5114">
        <v>0.99988520000000003</v>
      </c>
      <c r="P5114">
        <v>-7.2187039999999994E-2</v>
      </c>
      <c r="Q5114">
        <v>-1.1276359999999999E-2</v>
      </c>
      <c r="R5114">
        <v>0.99732739999999998</v>
      </c>
      <c r="S5114">
        <v>-8.1176760000000001E-2</v>
      </c>
      <c r="T5114">
        <v>5.5155280000000001E-2</v>
      </c>
      <c r="U5114">
        <v>3.0022280000000001</v>
      </c>
      <c r="V5114">
        <v>-6.8860779999999996E-2</v>
      </c>
      <c r="W5114">
        <v>3.2108409999999999E-3</v>
      </c>
      <c r="X5114">
        <v>0.99762110000000004</v>
      </c>
      <c r="Y5114">
        <v>-2.366886E-2</v>
      </c>
      <c r="Z5114">
        <v>3.313348E-2</v>
      </c>
      <c r="AA5114">
        <v>0.99917069999999997</v>
      </c>
      <c r="AB5114">
        <v>47</v>
      </c>
      <c r="AC5114">
        <v>-8.7817000000000007</v>
      </c>
      <c r="AD5114">
        <v>5.9678380000000004</v>
      </c>
      <c r="AE5114">
        <v>324.37360000000001</v>
      </c>
      <c r="AF5114">
        <v>-7.6933833059884504</v>
      </c>
      <c r="AG5114">
        <v>5.9678380000000004</v>
      </c>
      <c r="AH5114">
        <v>324.29148682537499</v>
      </c>
      <c r="AI5114">
        <v>88.946018616397893</v>
      </c>
      <c r="AJ5114">
        <v>91.359011086721793</v>
      </c>
      <c r="AK5114">
        <v>324.43762368828197</v>
      </c>
      <c r="AL5114">
        <v>89.816032043672195</v>
      </c>
      <c r="AM5114">
        <v>93.948577254140503</v>
      </c>
      <c r="AN5114">
        <v>0.99999998784367194</v>
      </c>
    </row>
    <row r="5115" spans="1:40" x14ac:dyDescent="0.25">
      <c r="A5115" t="str">
        <f>"20190305135733290"</f>
        <v>20190305135733290</v>
      </c>
      <c r="B5115" t="str">
        <f>"1551765453288022"</f>
        <v>1551765453288022</v>
      </c>
      <c r="C5115" t="s">
        <v>40</v>
      </c>
      <c r="D5115">
        <v>4.139005</v>
      </c>
      <c r="E5115">
        <v>0.51666420000000002</v>
      </c>
      <c r="F5115" t="s">
        <v>96</v>
      </c>
      <c r="G5115">
        <v>-197.2594</v>
      </c>
      <c r="H5115">
        <v>5.7405749999999998</v>
      </c>
      <c r="I5115">
        <v>391.87</v>
      </c>
      <c r="J5115">
        <v>-187.80240000000001</v>
      </c>
      <c r="K5115">
        <v>1.1106940000000001</v>
      </c>
      <c r="L5115">
        <v>66.229640000000003</v>
      </c>
      <c r="M5115">
        <v>-4.8011290000000003E-3</v>
      </c>
      <c r="N5115">
        <v>-1.4773400000000001E-2</v>
      </c>
      <c r="O5115">
        <v>0.99987939999999997</v>
      </c>
      <c r="P5115">
        <v>-7.1926660000000003E-2</v>
      </c>
      <c r="Q5115">
        <v>-1.6327080000000001E-2</v>
      </c>
      <c r="R5115">
        <v>0.9972763</v>
      </c>
      <c r="S5115">
        <v>-8.7081909999999998E-2</v>
      </c>
      <c r="T5115">
        <v>4.2621369999999999E-2</v>
      </c>
      <c r="U5115">
        <v>3.0021969999999998</v>
      </c>
      <c r="V5115">
        <v>-6.7130770000000006E-2</v>
      </c>
      <c r="W5115">
        <v>-1.844666E-3</v>
      </c>
      <c r="X5115">
        <v>0.99774249999999998</v>
      </c>
      <c r="Y5115">
        <v>-2.4181629999999999E-2</v>
      </c>
      <c r="Z5115">
        <v>2.8959329999999998E-2</v>
      </c>
      <c r="AA5115">
        <v>0.99928799999999995</v>
      </c>
      <c r="AB5115">
        <v>47</v>
      </c>
      <c r="AC5115">
        <v>-9.4569999999999901</v>
      </c>
      <c r="AD5115">
        <v>4.6298809999999904</v>
      </c>
      <c r="AE5115">
        <v>325.64035999999999</v>
      </c>
      <c r="AF5115">
        <v>-7.8916851343564201</v>
      </c>
      <c r="AG5115">
        <v>4.6298809999999904</v>
      </c>
      <c r="AH5115">
        <v>325.61624898719998</v>
      </c>
      <c r="AI5115">
        <v>89.185615252859506</v>
      </c>
      <c r="AJ5115">
        <v>91.388357468043694</v>
      </c>
      <c r="AK5115">
        <v>325.74477140366798</v>
      </c>
      <c r="AL5115">
        <v>90.105691634271395</v>
      </c>
      <c r="AM5115">
        <v>93.849211078812701</v>
      </c>
      <c r="AN5115">
        <v>1.00000001968984</v>
      </c>
    </row>
    <row r="5116" spans="1:40" x14ac:dyDescent="0.25">
      <c r="A5116" t="str">
        <f>"20190305135733315"</f>
        <v>20190305135733315</v>
      </c>
      <c r="B5116" t="str">
        <f>"1551765453307542"</f>
        <v>1551765453307542</v>
      </c>
      <c r="C5116" t="s">
        <v>40</v>
      </c>
      <c r="D5116">
        <v>4.1159530000000002</v>
      </c>
      <c r="E5116">
        <v>0.51673749999999996</v>
      </c>
      <c r="F5116" t="s">
        <v>96</v>
      </c>
      <c r="G5116">
        <v>-197.1978</v>
      </c>
      <c r="H5116">
        <v>4.0588230000000003</v>
      </c>
      <c r="I5116">
        <v>391.87</v>
      </c>
      <c r="J5116">
        <v>-187.80600000000001</v>
      </c>
      <c r="K5116">
        <v>1.1107209999999901</v>
      </c>
      <c r="L5116">
        <v>66.737340000000003</v>
      </c>
      <c r="M5116">
        <v>-6.3283760000000001E-3</v>
      </c>
      <c r="N5116">
        <v>-1.477032E-2</v>
      </c>
      <c r="O5116">
        <v>0.99987090000000001</v>
      </c>
      <c r="P5116">
        <v>-7.11836E-2</v>
      </c>
      <c r="Q5116">
        <v>-2.0054829999999999E-2</v>
      </c>
      <c r="R5116">
        <v>0.99726159999999997</v>
      </c>
      <c r="S5116">
        <v>-8.6624149999999997E-2</v>
      </c>
      <c r="T5116">
        <v>2.7181509999999999E-2</v>
      </c>
      <c r="U5116">
        <v>3.00238</v>
      </c>
      <c r="V5116">
        <v>-6.4848909999999996E-2</v>
      </c>
      <c r="W5116">
        <v>-5.5728369999999998E-3</v>
      </c>
      <c r="X5116">
        <v>0.99787950000000003</v>
      </c>
      <c r="Y5116">
        <v>-2.2503680000000002E-2</v>
      </c>
      <c r="Z5116">
        <v>2.3817029999999999E-2</v>
      </c>
      <c r="AA5116">
        <v>0.99946299999999999</v>
      </c>
      <c r="AB5116">
        <v>47</v>
      </c>
      <c r="AC5116">
        <v>-9.3918000000000106</v>
      </c>
      <c r="AD5116">
        <v>2.948102</v>
      </c>
      <c r="AE5116">
        <v>325.13265999999999</v>
      </c>
      <c r="AF5116">
        <v>-7.3332233058835197</v>
      </c>
      <c r="AG5116">
        <v>2.948102</v>
      </c>
      <c r="AH5116">
        <v>325.15887789319999</v>
      </c>
      <c r="AI5116">
        <v>89.480665458209302</v>
      </c>
      <c r="AJ5116">
        <v>91.291957749608599</v>
      </c>
      <c r="AK5116">
        <v>325.25492055036</v>
      </c>
      <c r="AL5116">
        <v>90.319301703273098</v>
      </c>
      <c r="AM5116">
        <v>93.718235962150999</v>
      </c>
      <c r="AN5116">
        <v>0.99999996708033201</v>
      </c>
    </row>
    <row r="5117" spans="1:40" x14ac:dyDescent="0.25">
      <c r="A5117" t="str">
        <f>"20190305135733346"</f>
        <v>20190305135733346</v>
      </c>
      <c r="B5117" t="str">
        <f>"1551765453337798"</f>
        <v>1551765453337798</v>
      </c>
      <c r="C5117" t="s">
        <v>40</v>
      </c>
      <c r="D5117">
        <v>4.1057449999999998</v>
      </c>
      <c r="E5117">
        <v>0.51701339999999996</v>
      </c>
      <c r="F5117" t="s">
        <v>96</v>
      </c>
      <c r="G5117">
        <v>-196.89850000000001</v>
      </c>
      <c r="H5117">
        <v>3.0651139999999999</v>
      </c>
      <c r="I5117">
        <v>391.87</v>
      </c>
      <c r="J5117">
        <v>-187.81180000000001</v>
      </c>
      <c r="K5117">
        <v>1.1107560000000001</v>
      </c>
      <c r="L5117">
        <v>67.407989999999998</v>
      </c>
      <c r="M5117">
        <v>-8.3527589999999995E-3</v>
      </c>
      <c r="N5117">
        <v>-1.4766390000000001E-2</v>
      </c>
      <c r="O5117">
        <v>0.99985610000000003</v>
      </c>
      <c r="P5117">
        <v>-6.8146559999999995E-2</v>
      </c>
      <c r="Q5117">
        <v>-2.446591E-2</v>
      </c>
      <c r="R5117">
        <v>0.99737529999999996</v>
      </c>
      <c r="S5117">
        <v>-8.3969119999999994E-2</v>
      </c>
      <c r="T5117">
        <v>1.804876E-2</v>
      </c>
      <c r="U5117">
        <v>3.0025940000000002</v>
      </c>
      <c r="V5117">
        <v>-5.9772319999999997E-2</v>
      </c>
      <c r="W5117">
        <v>-9.9713110000000001E-3</v>
      </c>
      <c r="X5117">
        <v>0.9981622</v>
      </c>
      <c r="Y5117">
        <v>-1.9595919999999999E-2</v>
      </c>
      <c r="Z5117">
        <v>2.077263E-2</v>
      </c>
      <c r="AA5117">
        <v>0.99959219999999904</v>
      </c>
      <c r="AB5117">
        <v>47</v>
      </c>
      <c r="AC5117">
        <v>-9.0867000000000004</v>
      </c>
      <c r="AD5117">
        <v>1.954358</v>
      </c>
      <c r="AE5117">
        <v>324.46201000000002</v>
      </c>
      <c r="AF5117">
        <v>-6.3757033622750097</v>
      </c>
      <c r="AG5117">
        <v>1.954358</v>
      </c>
      <c r="AH5117">
        <v>324.51483146655198</v>
      </c>
      <c r="AI5117">
        <v>89.655012664900298</v>
      </c>
      <c r="AJ5117">
        <v>91.125538396168196</v>
      </c>
      <c r="AK5117">
        <v>324.58334053108803</v>
      </c>
      <c r="AL5117">
        <v>90.571323522908799</v>
      </c>
      <c r="AM5117">
        <v>93.426914892679207</v>
      </c>
      <c r="AN5117">
        <v>0.99999996739504005</v>
      </c>
    </row>
    <row r="5118" spans="1:40" x14ac:dyDescent="0.25">
      <c r="A5118" t="str">
        <f>"20190305135733370"</f>
        <v>20190305135733370</v>
      </c>
      <c r="B5118" t="str">
        <f>"1551765453368054"</f>
        <v>1551765453368054</v>
      </c>
      <c r="C5118" t="s">
        <v>40</v>
      </c>
      <c r="D5118">
        <v>4.0951019999999998</v>
      </c>
      <c r="E5118">
        <v>0.51727349999999905</v>
      </c>
      <c r="F5118" t="s">
        <v>96</v>
      </c>
      <c r="G5118">
        <v>-195.71680000000001</v>
      </c>
      <c r="H5118">
        <v>2.229571</v>
      </c>
      <c r="I5118">
        <v>391.87</v>
      </c>
      <c r="J5118">
        <v>-187.8169</v>
      </c>
      <c r="K5118">
        <v>1.1107739999999999</v>
      </c>
      <c r="L5118">
        <v>67.890319999999903</v>
      </c>
      <c r="M5118">
        <v>-9.8137959999999996E-3</v>
      </c>
      <c r="N5118">
        <v>-1.476363E-2</v>
      </c>
      <c r="O5118">
        <v>0.99984280000000003</v>
      </c>
      <c r="P5118">
        <v>-6.7055110000000001E-2</v>
      </c>
      <c r="Q5118">
        <v>-2.691315E-2</v>
      </c>
      <c r="R5118">
        <v>0.9973862</v>
      </c>
      <c r="S5118">
        <v>-7.3165889999999997E-2</v>
      </c>
      <c r="T5118">
        <v>1.035547E-2</v>
      </c>
      <c r="U5118">
        <v>3.0031430000000001</v>
      </c>
      <c r="V5118">
        <v>-5.7211789999999998E-2</v>
      </c>
      <c r="W5118">
        <v>-1.241303E-2</v>
      </c>
      <c r="X5118">
        <v>0.99828490000000003</v>
      </c>
      <c r="Y5118">
        <v>-1.45375E-2</v>
      </c>
      <c r="Z5118">
        <v>1.820865E-2</v>
      </c>
      <c r="AA5118">
        <v>0.99972850000000002</v>
      </c>
      <c r="AB5118">
        <v>47</v>
      </c>
      <c r="AC5118">
        <v>-7.8998999999999997</v>
      </c>
      <c r="AD5118">
        <v>1.118797</v>
      </c>
      <c r="AE5118">
        <v>323.97967999999997</v>
      </c>
      <c r="AF5118">
        <v>-4.7196460268775704</v>
      </c>
      <c r="AG5118">
        <v>1.118797</v>
      </c>
      <c r="AH5118">
        <v>324.03774941446602</v>
      </c>
      <c r="AI5118">
        <v>89.802198066810803</v>
      </c>
      <c r="AJ5118">
        <v>90.834460425774395</v>
      </c>
      <c r="AK5118">
        <v>324.07404988819798</v>
      </c>
      <c r="AL5118">
        <v>90.711232490703395</v>
      </c>
      <c r="AM5118">
        <v>93.280037956537797</v>
      </c>
      <c r="AN5118">
        <v>1.0000000068983901</v>
      </c>
    </row>
    <row r="5119" spans="1:40" x14ac:dyDescent="0.25">
      <c r="A5119" t="str">
        <f>"20190305135733392"</f>
        <v>20190305135733392</v>
      </c>
      <c r="B5119" t="str">
        <f>"1551765453387576"</f>
        <v>1551765453387576</v>
      </c>
      <c r="C5119" t="s">
        <v>40</v>
      </c>
      <c r="D5119">
        <v>4.0858280000000002</v>
      </c>
      <c r="E5119">
        <v>0.51742449999999995</v>
      </c>
      <c r="F5119" t="s">
        <v>96</v>
      </c>
      <c r="G5119">
        <v>-195.15790000000001</v>
      </c>
      <c r="H5119">
        <v>1.78572</v>
      </c>
      <c r="I5119">
        <v>391.87</v>
      </c>
      <c r="J5119">
        <v>-187.82239999999999</v>
      </c>
      <c r="K5119">
        <v>1.110787</v>
      </c>
      <c r="L5119">
        <v>68.348749999999995</v>
      </c>
      <c r="M5119">
        <v>-1.1206539999999999E-2</v>
      </c>
      <c r="N5119">
        <v>-1.476103E-2</v>
      </c>
      <c r="O5119">
        <v>0.99982819999999994</v>
      </c>
      <c r="P5119">
        <v>-6.7101140000000004E-2</v>
      </c>
      <c r="Q5119">
        <v>-2.7972759999999999E-2</v>
      </c>
      <c r="R5119">
        <v>0.99735399999999996</v>
      </c>
      <c r="S5119">
        <v>-6.8054199999999995E-2</v>
      </c>
      <c r="T5119">
        <v>6.2570569999999999E-3</v>
      </c>
      <c r="U5119">
        <v>3.0034480000000001</v>
      </c>
      <c r="V5119">
        <v>-5.5862889999999998E-2</v>
      </c>
      <c r="W5119">
        <v>-1.347141E-2</v>
      </c>
      <c r="X5119">
        <v>0.9983476</v>
      </c>
      <c r="Y5119">
        <v>-1.1442290000000001E-2</v>
      </c>
      <c r="Z5119">
        <v>1.684165E-2</v>
      </c>
      <c r="AA5119">
        <v>0.99979269999999998</v>
      </c>
      <c r="AB5119">
        <v>47</v>
      </c>
      <c r="AC5119">
        <v>-7.3355000000000201</v>
      </c>
      <c r="AD5119">
        <v>0.67493299999999901</v>
      </c>
      <c r="AE5119">
        <v>323.52125000000001</v>
      </c>
      <c r="AF5119">
        <v>-3.7090740806264102</v>
      </c>
      <c r="AG5119">
        <v>0.67493299999999901</v>
      </c>
      <c r="AH5119">
        <v>323.58173691991999</v>
      </c>
      <c r="AI5119">
        <v>89.880499386585697</v>
      </c>
      <c r="AJ5119">
        <v>90.656727372951195</v>
      </c>
      <c r="AK5119">
        <v>323.603697805205</v>
      </c>
      <c r="AL5119">
        <v>90.771878257183801</v>
      </c>
      <c r="AM5119">
        <v>93.202665701205703</v>
      </c>
      <c r="AN5119">
        <v>1.0000000358961401</v>
      </c>
    </row>
    <row r="5120" spans="1:40" x14ac:dyDescent="0.25">
      <c r="A5120" t="str">
        <f>"20190305135733412"</f>
        <v>20190305135733412</v>
      </c>
      <c r="B5120" t="str">
        <f>"1551765453407094"</f>
        <v>1551765453407094</v>
      </c>
      <c r="C5120" t="s">
        <v>40</v>
      </c>
      <c r="D5120">
        <v>4.0823330000000002</v>
      </c>
      <c r="E5120">
        <v>0.51759460000000002</v>
      </c>
      <c r="F5120" t="s">
        <v>96</v>
      </c>
      <c r="G5120">
        <v>-195.05410000000001</v>
      </c>
      <c r="H5120">
        <v>1.58834599999999</v>
      </c>
      <c r="I5120">
        <v>391.87</v>
      </c>
      <c r="J5120">
        <v>-187.82820000000001</v>
      </c>
      <c r="K5120">
        <v>1.1107929999999999</v>
      </c>
      <c r="L5120">
        <v>68.785709999999995</v>
      </c>
      <c r="M5120">
        <v>-1.2536500000000001E-2</v>
      </c>
      <c r="N5120">
        <v>-1.475869E-2</v>
      </c>
      <c r="O5120">
        <v>0.99981249999999999</v>
      </c>
      <c r="P5120">
        <v>-6.760352E-2</v>
      </c>
      <c r="Q5120">
        <v>-3.1085439999999999E-2</v>
      </c>
      <c r="R5120">
        <v>0.99722789999999994</v>
      </c>
      <c r="S5120">
        <v>-6.7138669999999998E-2</v>
      </c>
      <c r="T5120">
        <v>4.4336319999999999E-3</v>
      </c>
      <c r="U5120">
        <v>3.003571</v>
      </c>
      <c r="V5120">
        <v>-5.5025310000000001E-2</v>
      </c>
      <c r="W5120">
        <v>-1.6585180000000001E-2</v>
      </c>
      <c r="X5120">
        <v>0.99834719999999999</v>
      </c>
      <c r="Y5120">
        <v>-9.8069779999999992E-3</v>
      </c>
      <c r="Z5120">
        <v>1.6232170000000001E-2</v>
      </c>
      <c r="AA5120">
        <v>0.99982020000000005</v>
      </c>
      <c r="AB5120">
        <v>47</v>
      </c>
      <c r="AC5120">
        <v>-7.2258999999999904</v>
      </c>
      <c r="AD5120">
        <v>0.47755299999999901</v>
      </c>
      <c r="AE5120">
        <v>323.08429000000001</v>
      </c>
      <c r="AF5120">
        <v>-3.1745377382520998</v>
      </c>
      <c r="AG5120">
        <v>0.47755299999999901</v>
      </c>
      <c r="AH5120">
        <v>323.14878658834601</v>
      </c>
      <c r="AI5120">
        <v>89.915331783943898</v>
      </c>
      <c r="AJ5120">
        <v>90.562842167727297</v>
      </c>
      <c r="AK5120">
        <v>323.16473201795998</v>
      </c>
      <c r="AL5120">
        <v>90.950304393557502</v>
      </c>
      <c r="AM5120">
        <v>93.154745537637893</v>
      </c>
      <c r="AN5120">
        <v>0.99999999234203396</v>
      </c>
    </row>
    <row r="5121" spans="1:40" x14ac:dyDescent="0.25">
      <c r="A5121" t="str">
        <f>"20190305135733436"</f>
        <v>20190305135733436</v>
      </c>
      <c r="B5121" t="str">
        <f>"1551765453427591"</f>
        <v>1551765453427591</v>
      </c>
      <c r="C5121" t="s">
        <v>40</v>
      </c>
      <c r="D5121">
        <v>4.0949039999999997</v>
      </c>
      <c r="E5121">
        <v>0.51771069999999997</v>
      </c>
      <c r="F5121" t="s">
        <v>96</v>
      </c>
      <c r="G5121">
        <v>-195.0975</v>
      </c>
      <c r="H5121">
        <v>0.77810000000000001</v>
      </c>
      <c r="I5121">
        <v>391.87</v>
      </c>
      <c r="J5121">
        <v>-187.83539999999999</v>
      </c>
      <c r="K5121">
        <v>1.110795</v>
      </c>
      <c r="L5121">
        <v>69.268649999999994</v>
      </c>
      <c r="M5121">
        <v>-1.400884E-2</v>
      </c>
      <c r="N5121">
        <v>-1.475594E-2</v>
      </c>
      <c r="O5121">
        <v>0.99979300000000004</v>
      </c>
      <c r="P5121">
        <v>-6.8344890000000005E-2</v>
      </c>
      <c r="Q5121">
        <v>-3.234542E-2</v>
      </c>
      <c r="R5121">
        <v>0.99713719999999995</v>
      </c>
      <c r="S5121">
        <v>-6.7581180000000005E-2</v>
      </c>
      <c r="T5121">
        <v>-3.0930039999999999E-3</v>
      </c>
      <c r="U5121">
        <v>3.0036619999999998</v>
      </c>
      <c r="V5121">
        <v>-5.4292420000000001E-2</v>
      </c>
      <c r="W5121">
        <v>-1.7846270000000001E-2</v>
      </c>
      <c r="X5121">
        <v>0.99836559999999996</v>
      </c>
      <c r="Y5121">
        <v>-8.4817709999999904E-3</v>
      </c>
      <c r="Z5121">
        <v>1.372427E-2</v>
      </c>
      <c r="AA5121">
        <v>0.99986980000000003</v>
      </c>
      <c r="AB5121">
        <v>47</v>
      </c>
      <c r="AC5121">
        <v>-7.2621000000000002</v>
      </c>
      <c r="AD5121">
        <v>-0.33269500000000002</v>
      </c>
      <c r="AE5121">
        <v>322.60135000000002</v>
      </c>
      <c r="AF5121">
        <v>-2.74162159014345</v>
      </c>
      <c r="AG5121">
        <v>-0.33269500000000002</v>
      </c>
      <c r="AH5121">
        <v>322.67108835114999</v>
      </c>
      <c r="AI5121">
        <v>90.059073543507296</v>
      </c>
      <c r="AJ5121">
        <v>90.4868101663495</v>
      </c>
      <c r="AK5121">
        <v>322.682906942128</v>
      </c>
      <c r="AL5121">
        <v>91.022570221517398</v>
      </c>
      <c r="AM5121">
        <v>93.112752961318407</v>
      </c>
      <c r="AN5121">
        <v>1.00000001374286</v>
      </c>
    </row>
    <row r="5122" spans="1:40" x14ac:dyDescent="0.25">
      <c r="A5122" t="str">
        <f>"20190305135733457"</f>
        <v>20190305135733457</v>
      </c>
      <c r="B5122" t="str">
        <f>"1551765453447110"</f>
        <v>1551765453447110</v>
      </c>
      <c r="C5122" t="s">
        <v>40</v>
      </c>
      <c r="D5122">
        <v>4.0724239999999998</v>
      </c>
      <c r="E5122">
        <v>0.51786840000000001</v>
      </c>
      <c r="F5122" t="s">
        <v>96</v>
      </c>
      <c r="G5122">
        <v>-195.22149999999999</v>
      </c>
      <c r="H5122">
        <v>0.47211360000000002</v>
      </c>
      <c r="I5122">
        <v>391.87</v>
      </c>
      <c r="J5122">
        <v>-187.84280000000001</v>
      </c>
      <c r="K5122">
        <v>1.110798</v>
      </c>
      <c r="L5122">
        <v>69.723969999999994</v>
      </c>
      <c r="M5122">
        <v>-1.539863E-2</v>
      </c>
      <c r="N5122">
        <v>-1.4753230000000001E-2</v>
      </c>
      <c r="O5122">
        <v>0.99977260000000001</v>
      </c>
      <c r="P5122">
        <v>-7.0286269999999998E-2</v>
      </c>
      <c r="Q5122">
        <v>-3.3394229999999997E-2</v>
      </c>
      <c r="R5122">
        <v>0.99696770000000001</v>
      </c>
      <c r="S5122">
        <v>-6.8771360000000004E-2</v>
      </c>
      <c r="T5122">
        <v>-5.9467549999999997E-3</v>
      </c>
      <c r="U5122">
        <v>3.0037229999999999</v>
      </c>
      <c r="V5122">
        <v>-5.4844049999999998E-2</v>
      </c>
      <c r="W5122">
        <v>-1.8902140000000001E-2</v>
      </c>
      <c r="X5122">
        <v>0.99831599999999998</v>
      </c>
      <c r="Y5122">
        <v>-7.4876019999999899E-3</v>
      </c>
      <c r="Z5122">
        <v>1.2771660000000001E-2</v>
      </c>
      <c r="AA5122">
        <v>0.99989039999999996</v>
      </c>
      <c r="AB5122">
        <v>47</v>
      </c>
      <c r="AC5122">
        <v>-7.3786999999999798</v>
      </c>
      <c r="AD5122">
        <v>-0.63868440000000004</v>
      </c>
      <c r="AE5122">
        <v>322.14603</v>
      </c>
      <c r="AF5122">
        <v>-2.41666805318778</v>
      </c>
      <c r="AG5122">
        <v>-0.63868440000000004</v>
      </c>
      <c r="AH5122">
        <v>322.220194499434</v>
      </c>
      <c r="AI5122">
        <v>90.113564711618807</v>
      </c>
      <c r="AJ5122">
        <v>90.429713239985801</v>
      </c>
      <c r="AK5122">
        <v>322.22988990082098</v>
      </c>
      <c r="AL5122">
        <v>91.083077349764494</v>
      </c>
      <c r="AM5122">
        <v>93.144472386169198</v>
      </c>
      <c r="AN5122">
        <v>0.999999998286491</v>
      </c>
    </row>
    <row r="5123" spans="1:40" x14ac:dyDescent="0.25">
      <c r="A5123" t="str">
        <f>"20190305135733481"</f>
        <v>20190305135733481</v>
      </c>
      <c r="B5123" t="str">
        <f>"1551765453477367"</f>
        <v>1551765453477367</v>
      </c>
      <c r="C5123" t="s">
        <v>40</v>
      </c>
      <c r="D5123">
        <v>4.0481309999999997</v>
      </c>
      <c r="E5123">
        <v>0.51811439999999997</v>
      </c>
      <c r="F5123" t="s">
        <v>96</v>
      </c>
      <c r="G5123">
        <v>-195.69800000000001</v>
      </c>
      <c r="H5123">
        <v>0.18939400000000001</v>
      </c>
      <c r="I5123">
        <v>391.87</v>
      </c>
      <c r="J5123">
        <v>-187.85140000000001</v>
      </c>
      <c r="K5123">
        <v>1.1107959999999999</v>
      </c>
      <c r="L5123">
        <v>70.209379999999996</v>
      </c>
      <c r="M5123">
        <v>-1.688189E-2</v>
      </c>
      <c r="N5123">
        <v>-1.475038E-2</v>
      </c>
      <c r="O5123">
        <v>0.99974870000000005</v>
      </c>
      <c r="P5123">
        <v>-7.2740239999999998E-2</v>
      </c>
      <c r="Q5123">
        <v>-3.3997960000000001E-2</v>
      </c>
      <c r="R5123">
        <v>0.99677130000000003</v>
      </c>
      <c r="S5123">
        <v>-7.3242189999999999E-2</v>
      </c>
      <c r="T5123">
        <v>-8.5911749999999995E-3</v>
      </c>
      <c r="U5123">
        <v>3.0036930000000002</v>
      </c>
      <c r="V5123">
        <v>-5.581734E-2</v>
      </c>
      <c r="W5123">
        <v>-1.9514819999999999E-2</v>
      </c>
      <c r="X5123">
        <v>0.99825019999999998</v>
      </c>
      <c r="Y5123">
        <v>-7.4919209999999899E-3</v>
      </c>
      <c r="Z5123">
        <v>1.188848E-2</v>
      </c>
      <c r="AA5123">
        <v>0.99990120000000005</v>
      </c>
      <c r="AB5123">
        <v>47</v>
      </c>
      <c r="AC5123">
        <v>-7.8465999999999596</v>
      </c>
      <c r="AD5123">
        <v>-0.92140199999999906</v>
      </c>
      <c r="AE5123">
        <v>321.66061999999999</v>
      </c>
      <c r="AF5123">
        <v>-2.4146317981815599</v>
      </c>
      <c r="AG5123">
        <v>-0.92140199999999906</v>
      </c>
      <c r="AH5123">
        <v>321.74461176718802</v>
      </c>
      <c r="AI5123">
        <v>90.164076764513794</v>
      </c>
      <c r="AJ5123">
        <v>90.429985798628607</v>
      </c>
      <c r="AK5123">
        <v>321.75499161564602</v>
      </c>
      <c r="AL5123">
        <v>91.118187879763894</v>
      </c>
      <c r="AM5123">
        <v>93.200371294698002</v>
      </c>
      <c r="AN5123">
        <v>0.99999993272217103</v>
      </c>
    </row>
    <row r="5124" spans="1:40" x14ac:dyDescent="0.25">
      <c r="A5124" t="str">
        <f>"20190305135733503"</f>
        <v>20190305135733503</v>
      </c>
      <c r="B5124" t="str">
        <f>"1551765453497863"</f>
        <v>1551765453497863</v>
      </c>
      <c r="C5124" t="s">
        <v>40</v>
      </c>
      <c r="D5124">
        <v>4.0848699999999996</v>
      </c>
      <c r="E5124">
        <v>0.51831649999999996</v>
      </c>
      <c r="F5124" t="s">
        <v>96</v>
      </c>
      <c r="G5124">
        <v>-196.28970000000001</v>
      </c>
      <c r="H5124">
        <v>0.1159401</v>
      </c>
      <c r="I5124">
        <v>391.87</v>
      </c>
      <c r="J5124">
        <v>-187.86019999999999</v>
      </c>
      <c r="K5124">
        <v>1.110781</v>
      </c>
      <c r="L5124">
        <v>70.670959999999994</v>
      </c>
      <c r="M5124">
        <v>-1.8293509999999999E-2</v>
      </c>
      <c r="N5124">
        <v>-1.4747669999999999E-2</v>
      </c>
      <c r="O5124">
        <v>0.9997239</v>
      </c>
      <c r="P5124">
        <v>-7.5169189999999997E-2</v>
      </c>
      <c r="Q5124">
        <v>-3.558095E-2</v>
      </c>
      <c r="R5124">
        <v>0.99653579999999997</v>
      </c>
      <c r="S5124">
        <v>-7.8796389999999994E-2</v>
      </c>
      <c r="T5124">
        <v>-9.289861E-3</v>
      </c>
      <c r="U5124">
        <v>3.0036320000000001</v>
      </c>
      <c r="V5124">
        <v>-5.6834589999999997E-2</v>
      </c>
      <c r="W5124">
        <v>-2.1107009999999999E-2</v>
      </c>
      <c r="X5124">
        <v>0.99816050000000001</v>
      </c>
      <c r="Y5124">
        <v>-7.9282620000000002E-3</v>
      </c>
      <c r="Z5124">
        <v>1.1652900000000001E-2</v>
      </c>
      <c r="AA5124">
        <v>0.99990069999999998</v>
      </c>
      <c r="AB5124">
        <v>47</v>
      </c>
      <c r="AC5124">
        <v>-8.4295000000000098</v>
      </c>
      <c r="AD5124">
        <v>-0.99484089999999903</v>
      </c>
      <c r="AE5124">
        <v>321.199039999999</v>
      </c>
      <c r="AF5124">
        <v>-2.5515677683075899</v>
      </c>
      <c r="AG5124">
        <v>-0.99484089999999903</v>
      </c>
      <c r="AH5124">
        <v>321.29642058498803</v>
      </c>
      <c r="AI5124">
        <v>90.177400685887207</v>
      </c>
      <c r="AJ5124">
        <v>90.455003484861393</v>
      </c>
      <c r="AK5124">
        <v>321.30809215956299</v>
      </c>
      <c r="AL5124">
        <v>91.209432367577094</v>
      </c>
      <c r="AM5124">
        <v>93.258864490045198</v>
      </c>
      <c r="AN5124">
        <v>1.00000003012592</v>
      </c>
    </row>
    <row r="5125" spans="1:40" x14ac:dyDescent="0.25">
      <c r="A5125" t="str">
        <f>"20190305135733529"</f>
        <v>20190305135733529</v>
      </c>
      <c r="B5125" t="str">
        <f>"1551765453517382"</f>
        <v>1551765453517382</v>
      </c>
      <c r="C5125" t="s">
        <v>40</v>
      </c>
      <c r="D5125">
        <v>4.0785039999999997</v>
      </c>
      <c r="E5125">
        <v>0.51852229999999999</v>
      </c>
      <c r="F5125" t="s">
        <v>42</v>
      </c>
      <c r="G5125">
        <v>-195.0521</v>
      </c>
      <c r="H5125" s="1">
        <v>-4.1612089999999997E-6</v>
      </c>
      <c r="I5125">
        <v>326.5813</v>
      </c>
      <c r="J5125">
        <v>-187.87100000000001</v>
      </c>
      <c r="K5125">
        <v>1.110779</v>
      </c>
      <c r="L5125">
        <v>71.196259999999995</v>
      </c>
      <c r="M5125">
        <v>-1.99013E-2</v>
      </c>
      <c r="N5125">
        <v>-1.474469E-2</v>
      </c>
      <c r="O5125">
        <v>0.99969319999999895</v>
      </c>
      <c r="P5125">
        <v>-7.8118820000000005E-2</v>
      </c>
      <c r="Q5125">
        <v>-3.734941E-2</v>
      </c>
      <c r="R5125">
        <v>0.99624420000000002</v>
      </c>
      <c r="S5125">
        <v>-8.4411620000000007E-2</v>
      </c>
      <c r="T5125">
        <v>-1.3037200000000001E-2</v>
      </c>
      <c r="U5125">
        <v>3.0036010000000002</v>
      </c>
      <c r="V5125">
        <v>-5.8176369999999998E-2</v>
      </c>
      <c r="W5125">
        <v>-2.288662E-2</v>
      </c>
      <c r="X5125">
        <v>0.99804400000000004</v>
      </c>
      <c r="Y5125">
        <v>-8.1885389999999999E-3</v>
      </c>
      <c r="Z5125">
        <v>1.040263E-2</v>
      </c>
      <c r="AA5125">
        <v>0.99991240000000003</v>
      </c>
      <c r="AB5125">
        <v>47</v>
      </c>
      <c r="AC5125">
        <v>-7.1811000000000096</v>
      </c>
      <c r="AD5125">
        <v>-1.110783161209</v>
      </c>
      <c r="AE5125">
        <v>255.38504</v>
      </c>
      <c r="AF5125">
        <v>-2.0965908730797298</v>
      </c>
      <c r="AG5125">
        <v>-1.110783161209</v>
      </c>
      <c r="AH5125">
        <v>255.472549506257</v>
      </c>
      <c r="AI5125">
        <v>90.249109515386195</v>
      </c>
      <c r="AJ5125">
        <v>90.470199682516906</v>
      </c>
      <c r="AK5125">
        <v>255.48356715011499</v>
      </c>
      <c r="AL5125">
        <v>91.3114211624858</v>
      </c>
      <c r="AM5125">
        <v>93.336018181239197</v>
      </c>
      <c r="AN5125">
        <v>1.00000005666869</v>
      </c>
    </row>
    <row r="5126" spans="1:40" x14ac:dyDescent="0.25">
      <c r="A5126" t="str">
        <f>"20190305135733551"</f>
        <v>20190305135733551</v>
      </c>
      <c r="B5126" t="str">
        <f>"1551765453547639"</f>
        <v>1551765453547639</v>
      </c>
      <c r="C5126" t="s">
        <v>40</v>
      </c>
      <c r="D5126">
        <v>4.6132980000000003</v>
      </c>
      <c r="E5126">
        <v>0.51892529999999903</v>
      </c>
      <c r="F5126" t="s">
        <v>42</v>
      </c>
      <c r="G5126">
        <v>-193.7612</v>
      </c>
      <c r="H5126" s="1">
        <v>-2.8293019999999998E-6</v>
      </c>
      <c r="I5126">
        <v>263.85149999999999</v>
      </c>
      <c r="J5126">
        <v>-187.8811</v>
      </c>
      <c r="K5126">
        <v>1.1107689999999999</v>
      </c>
      <c r="L5126">
        <v>71.654420000000002</v>
      </c>
      <c r="M5126">
        <v>-2.1301219999999999E-2</v>
      </c>
      <c r="N5126">
        <v>-1.4742130000000001E-2</v>
      </c>
      <c r="O5126">
        <v>0.99966440000000001</v>
      </c>
      <c r="P5126">
        <v>-8.0116729999999997E-2</v>
      </c>
      <c r="Q5126">
        <v>-4.0361500000000002E-2</v>
      </c>
      <c r="R5126">
        <v>0.99596799999999996</v>
      </c>
      <c r="S5126">
        <v>-9.1827389999999995E-2</v>
      </c>
      <c r="T5126">
        <v>-1.731682E-2</v>
      </c>
      <c r="U5126">
        <v>3.0034480000000001</v>
      </c>
      <c r="V5126">
        <v>-5.8769759999999997E-2</v>
      </c>
      <c r="W5126">
        <v>-2.5905810000000001E-2</v>
      </c>
      <c r="X5126">
        <v>0.99793540000000003</v>
      </c>
      <c r="Y5126">
        <v>-9.2565540000000002E-3</v>
      </c>
      <c r="Z5126">
        <v>8.9755939999999999E-3</v>
      </c>
      <c r="AA5126">
        <v>0.9999169</v>
      </c>
      <c r="AB5126">
        <v>47</v>
      </c>
      <c r="AC5126">
        <v>-5.8800999999999899</v>
      </c>
      <c r="AD5126">
        <v>-1.1107718293019999</v>
      </c>
      <c r="AE5126">
        <v>192.19708</v>
      </c>
      <c r="AF5126">
        <v>-1.78422872912344</v>
      </c>
      <c r="AG5126">
        <v>-1.1107718293019999</v>
      </c>
      <c r="AH5126">
        <v>192.272312514763</v>
      </c>
      <c r="AI5126">
        <v>90.330984160114795</v>
      </c>
      <c r="AJ5126">
        <v>90.531672190750299</v>
      </c>
      <c r="AK5126">
        <v>192.283799229132</v>
      </c>
      <c r="AL5126">
        <v>91.484459605733406</v>
      </c>
      <c r="AM5126">
        <v>93.370332915071401</v>
      </c>
      <c r="AN5126">
        <v>1.00000002912768</v>
      </c>
    </row>
    <row r="5127" spans="1:40" x14ac:dyDescent="0.25">
      <c r="A5127" t="str">
        <f>"20190305135733570"</f>
        <v>20190305135733570</v>
      </c>
      <c r="B5127" t="str">
        <f>"1551765453567158"</f>
        <v>1551765453567158</v>
      </c>
      <c r="C5127" t="s">
        <v>40</v>
      </c>
      <c r="D5127">
        <v>4.1125259999999999</v>
      </c>
      <c r="E5127">
        <v>0.54486199999999996</v>
      </c>
      <c r="F5127" t="s">
        <v>54</v>
      </c>
      <c r="G5127">
        <v>-192.05330000000001</v>
      </c>
      <c r="H5127" s="1">
        <v>5.9361020000000003E-6</v>
      </c>
      <c r="I5127">
        <v>203.77019999999999</v>
      </c>
      <c r="J5127">
        <v>-187.89089999999999</v>
      </c>
      <c r="K5127">
        <v>1.110765</v>
      </c>
      <c r="L5127">
        <v>72.070709999999906</v>
      </c>
      <c r="M5127">
        <v>-2.256559E-2</v>
      </c>
      <c r="N5127">
        <v>-1.473967E-2</v>
      </c>
      <c r="O5127">
        <v>0.99963670000000004</v>
      </c>
      <c r="P5127">
        <v>-8.1186110000000006E-2</v>
      </c>
      <c r="Q5127">
        <v>-4.1225039999999998E-2</v>
      </c>
      <c r="R5127">
        <v>0.99584600000000001</v>
      </c>
      <c r="S5127">
        <v>-9.4848630000000003E-2</v>
      </c>
      <c r="T5127">
        <v>-2.525198E-2</v>
      </c>
      <c r="U5127">
        <v>3.0035099999999999</v>
      </c>
      <c r="V5127">
        <v>-5.8576669999999997E-2</v>
      </c>
      <c r="W5127">
        <v>-2.6770680000000002E-2</v>
      </c>
      <c r="X5127">
        <v>0.99792389999999997</v>
      </c>
      <c r="Y5127">
        <v>-8.9965269999999903E-3</v>
      </c>
      <c r="Z5127">
        <v>6.3330950000000004E-3</v>
      </c>
      <c r="AA5127">
        <v>0.99993949999999998</v>
      </c>
      <c r="AB5127">
        <v>47</v>
      </c>
      <c r="AC5127">
        <v>-4.1624000000000096</v>
      </c>
      <c r="AD5127">
        <v>-1.1107590638980001</v>
      </c>
      <c r="AE5127">
        <v>131.69949</v>
      </c>
      <c r="AF5127">
        <v>-1.18905579335844</v>
      </c>
      <c r="AG5127">
        <v>-1.1107590638980001</v>
      </c>
      <c r="AH5127">
        <v>131.75052211640499</v>
      </c>
      <c r="AI5127">
        <v>90.483016735674596</v>
      </c>
      <c r="AJ5127">
        <v>90.517083559534598</v>
      </c>
      <c r="AK5127">
        <v>131.76056966074199</v>
      </c>
      <c r="AL5127">
        <v>91.534030243556799</v>
      </c>
      <c r="AM5127">
        <v>93.359323598681399</v>
      </c>
      <c r="AN5127">
        <v>1.00000000288358</v>
      </c>
    </row>
    <row r="5128" spans="1:40" x14ac:dyDescent="0.25">
      <c r="A5128" t="str">
        <f>"20190305135733595"</f>
        <v>20190305135733595</v>
      </c>
      <c r="B5128" t="str">
        <f>"1551765453587654"</f>
        <v>1551765453587654</v>
      </c>
      <c r="C5128" t="s">
        <v>40</v>
      </c>
      <c r="D5128">
        <v>4.1556879999999996</v>
      </c>
      <c r="E5128">
        <v>0.54622899999999996</v>
      </c>
      <c r="F5128" t="s">
        <v>96</v>
      </c>
      <c r="G5128">
        <v>-176.75799999999899</v>
      </c>
      <c r="H5128">
        <v>4.1776999999999997</v>
      </c>
      <c r="I5128">
        <v>391.00349999999997</v>
      </c>
      <c r="J5128">
        <v>-187.90360000000001</v>
      </c>
      <c r="K5128">
        <v>1.110771</v>
      </c>
      <c r="L5128">
        <v>72.58081</v>
      </c>
      <c r="M5128">
        <v>-2.410259E-2</v>
      </c>
      <c r="N5128">
        <v>-1.4736519999999999E-2</v>
      </c>
      <c r="O5128">
        <v>0.99960090000000001</v>
      </c>
      <c r="P5128">
        <v>-8.1848589999999999E-2</v>
      </c>
      <c r="Q5128">
        <v>-4.0198360000000002E-2</v>
      </c>
      <c r="R5128">
        <v>0.99583379999999999</v>
      </c>
      <c r="S5128">
        <v>0.1054993</v>
      </c>
      <c r="T5128">
        <v>2.9063220000000001E-2</v>
      </c>
      <c r="U5128">
        <v>3.0223080000000002</v>
      </c>
      <c r="V5128">
        <v>-5.7710730000000002E-2</v>
      </c>
      <c r="W5128">
        <v>-2.5740880000000001E-2</v>
      </c>
      <c r="X5128">
        <v>0.99800149999999999</v>
      </c>
      <c r="Y5128">
        <v>5.8953440000000003E-2</v>
      </c>
      <c r="Z5128">
        <v>2.4341310000000001E-2</v>
      </c>
      <c r="AA5128">
        <v>0.99796390000000001</v>
      </c>
      <c r="AB5128">
        <v>47</v>
      </c>
      <c r="AC5128">
        <v>11.1456</v>
      </c>
      <c r="AD5128">
        <v>3.066929</v>
      </c>
      <c r="AE5128">
        <v>318.42268999999999</v>
      </c>
      <c r="AF5128">
        <v>18.816262779495201</v>
      </c>
      <c r="AG5128">
        <v>3.066929</v>
      </c>
      <c r="AH5128">
        <v>318.03203088439102</v>
      </c>
      <c r="AI5128">
        <v>89.448452031766195</v>
      </c>
      <c r="AJ5128">
        <v>86.614060739759196</v>
      </c>
      <c r="AK5128">
        <v>318.602935433634</v>
      </c>
      <c r="AL5128">
        <v>91.475006618679899</v>
      </c>
      <c r="AM5128">
        <v>93.309517104275997</v>
      </c>
      <c r="AN5128">
        <v>1.00000005763127</v>
      </c>
    </row>
    <row r="5129" spans="1:40" x14ac:dyDescent="0.25">
      <c r="A5129" t="str">
        <f>"20190305135733614"</f>
        <v>20190305135733614</v>
      </c>
      <c r="B5129" t="str">
        <f>"1551765453608150"</f>
        <v>1551765453608150</v>
      </c>
      <c r="C5129" t="s">
        <v>40</v>
      </c>
      <c r="D5129">
        <v>4.1668849999999997</v>
      </c>
      <c r="E5129">
        <v>0.54752609999999902</v>
      </c>
      <c r="F5129" t="s">
        <v>73</v>
      </c>
      <c r="G5129">
        <v>-185.20859999999999</v>
      </c>
      <c r="H5129" s="1">
        <v>-8.8807430000000005E-6</v>
      </c>
      <c r="I5129">
        <v>141.1831</v>
      </c>
      <c r="J5129">
        <v>-187.9144</v>
      </c>
      <c r="K5129">
        <v>1.1107739999999999</v>
      </c>
      <c r="L5129">
        <v>72.991640000000004</v>
      </c>
      <c r="M5129">
        <v>-2.5326230000000002E-2</v>
      </c>
      <c r="N5129">
        <v>-1.4733899999999999E-2</v>
      </c>
      <c r="O5129">
        <v>0.99957070000000003</v>
      </c>
      <c r="P5129">
        <v>-8.2094189999999997E-2</v>
      </c>
      <c r="Q5129">
        <v>-3.6168180000000001E-2</v>
      </c>
      <c r="R5129">
        <v>0.99596810000000002</v>
      </c>
      <c r="S5129">
        <v>0.1186523</v>
      </c>
      <c r="T5129">
        <v>-4.8903820000000001E-2</v>
      </c>
      <c r="U5129">
        <v>3.0203250000000001</v>
      </c>
      <c r="V5129">
        <v>-5.6749620000000001E-2</v>
      </c>
      <c r="W5129">
        <v>-2.1704870000000001E-2</v>
      </c>
      <c r="X5129">
        <v>0.9981525</v>
      </c>
      <c r="Y5129">
        <v>6.4536469999999999E-2</v>
      </c>
      <c r="Z5129">
        <v>-1.4174979999999999E-3</v>
      </c>
      <c r="AA5129">
        <v>0.99791430000000003</v>
      </c>
      <c r="AB5129">
        <v>47</v>
      </c>
      <c r="AC5129">
        <v>2.7058</v>
      </c>
      <c r="AD5129">
        <v>-1.110782880743</v>
      </c>
      <c r="AE5129">
        <v>68.191459999999907</v>
      </c>
      <c r="AF5129">
        <v>4.4309780539380101</v>
      </c>
      <c r="AG5129">
        <v>-1.110782880743</v>
      </c>
      <c r="AH5129">
        <v>68.083010414500606</v>
      </c>
      <c r="AI5129">
        <v>90.932731989504504</v>
      </c>
      <c r="AJ5129">
        <v>86.276327924597396</v>
      </c>
      <c r="AK5129">
        <v>68.236088048946897</v>
      </c>
      <c r="AL5129">
        <v>91.243695088847204</v>
      </c>
      <c r="AM5129">
        <v>93.254028858214198</v>
      </c>
      <c r="AN5129">
        <v>1.0000000170040499</v>
      </c>
    </row>
    <row r="5130" spans="1:40" x14ac:dyDescent="0.25">
      <c r="A5130" t="str">
        <f>"20190305135733636"</f>
        <v>20190305135733636</v>
      </c>
      <c r="B5130" t="str">
        <f>"1551765453627671"</f>
        <v>1551765453627671</v>
      </c>
      <c r="C5130" t="s">
        <v>40</v>
      </c>
      <c r="D5130">
        <v>4.1880550000000003</v>
      </c>
      <c r="E5130">
        <v>0.54755750000000003</v>
      </c>
      <c r="F5130" t="s">
        <v>73</v>
      </c>
      <c r="G5130">
        <v>-185.4392</v>
      </c>
      <c r="H5130" s="1">
        <v>-5.49771899999999E-6</v>
      </c>
      <c r="I5130">
        <v>130.81639999999999</v>
      </c>
      <c r="J5130">
        <v>-187.92679999999999</v>
      </c>
      <c r="K5130">
        <v>1.1107750000000001</v>
      </c>
      <c r="L5130">
        <v>73.441929999999999</v>
      </c>
      <c r="M5130">
        <v>-2.6643699999999999E-2</v>
      </c>
      <c r="N5130">
        <v>-1.473086E-2</v>
      </c>
      <c r="O5130">
        <v>0.99953650000000005</v>
      </c>
      <c r="P5130">
        <v>-8.2367869999999996E-2</v>
      </c>
      <c r="Q5130">
        <v>-3.4495869999999998E-2</v>
      </c>
      <c r="R5130">
        <v>0.99600480000000002</v>
      </c>
      <c r="S5130">
        <v>0.129303</v>
      </c>
      <c r="T5130">
        <v>-5.8025720000000003E-2</v>
      </c>
      <c r="U5130">
        <v>3.0206909999999998</v>
      </c>
      <c r="V5130">
        <v>-5.5714920000000001E-2</v>
      </c>
      <c r="W5130">
        <v>-2.0027050000000001E-2</v>
      </c>
      <c r="X5130">
        <v>0.99824579999999996</v>
      </c>
      <c r="Y5130">
        <v>6.935587E-2</v>
      </c>
      <c r="Z5130">
        <v>-4.4251259999999997E-3</v>
      </c>
      <c r="AA5130">
        <v>0.99758219999999997</v>
      </c>
      <c r="AB5130">
        <v>46</v>
      </c>
      <c r="AC5130">
        <v>2.48759999999998</v>
      </c>
      <c r="AD5130">
        <v>-1.1107804977189999</v>
      </c>
      <c r="AE5130">
        <v>57.374469999999903</v>
      </c>
      <c r="AF5130">
        <v>4.0140489604133602</v>
      </c>
      <c r="AG5130">
        <v>-1.1107804977189999</v>
      </c>
      <c r="AH5130">
        <v>57.266387086554097</v>
      </c>
      <c r="AI5130">
        <v>91.108492158116306</v>
      </c>
      <c r="AJ5130">
        <v>85.990448811329898</v>
      </c>
      <c r="AK5130">
        <v>57.417641124638301</v>
      </c>
      <c r="AL5130">
        <v>91.147542210056699</v>
      </c>
      <c r="AM5130">
        <v>93.194525114570595</v>
      </c>
      <c r="AN5130">
        <v>0.99999995612997306</v>
      </c>
    </row>
    <row r="5131" spans="1:40" x14ac:dyDescent="0.25">
      <c r="A5131" t="str">
        <f>"20190305135733659"</f>
        <v>20190305135733659</v>
      </c>
      <c r="B5131" t="str">
        <f>"1551765453647191"</f>
        <v>1551765453647191</v>
      </c>
      <c r="C5131" t="s">
        <v>40</v>
      </c>
      <c r="D5131">
        <v>4.1967220000000003</v>
      </c>
      <c r="E5131">
        <v>0.54775220000000002</v>
      </c>
      <c r="F5131" t="s">
        <v>73</v>
      </c>
      <c r="G5131">
        <v>-185.8006</v>
      </c>
      <c r="H5131" s="1">
        <v>-2.438553E-6</v>
      </c>
      <c r="I5131">
        <v>123.0087</v>
      </c>
      <c r="J5131">
        <v>-187.94069999999999</v>
      </c>
      <c r="K5131">
        <v>1.110752</v>
      </c>
      <c r="L5131">
        <v>73.923739999999995</v>
      </c>
      <c r="M5131">
        <v>-2.801449E-2</v>
      </c>
      <c r="N5131">
        <v>-1.472746E-2</v>
      </c>
      <c r="O5131">
        <v>0.99949900000000003</v>
      </c>
      <c r="P5131">
        <v>-8.1699789999999994E-2</v>
      </c>
      <c r="Q5131">
        <v>-3.3465979999999999E-2</v>
      </c>
      <c r="R5131">
        <v>0.99609490000000001</v>
      </c>
      <c r="S5131">
        <v>0.12956239999999999</v>
      </c>
      <c r="T5131">
        <v>-6.7686679999999999E-2</v>
      </c>
      <c r="U5131">
        <v>3.020416</v>
      </c>
      <c r="V5131">
        <v>-5.3681449999999999E-2</v>
      </c>
      <c r="W5131">
        <v>-1.8986099999999999E-2</v>
      </c>
      <c r="X5131">
        <v>0.99837759999999998</v>
      </c>
      <c r="Y5131">
        <v>7.0810499999999998E-2</v>
      </c>
      <c r="Z5131">
        <v>-7.6174709999999998E-3</v>
      </c>
      <c r="AA5131">
        <v>0.99746069999999998</v>
      </c>
      <c r="AB5131">
        <v>46</v>
      </c>
      <c r="AC5131">
        <v>2.1400999999999799</v>
      </c>
      <c r="AD5131">
        <v>-1.1107544385529999</v>
      </c>
      <c r="AE5131">
        <v>49.084960000000002</v>
      </c>
      <c r="AF5131">
        <v>3.51270378641546</v>
      </c>
      <c r="AG5131">
        <v>-1.1107544385529999</v>
      </c>
      <c r="AH5131">
        <v>48.980695972716902</v>
      </c>
      <c r="AI5131">
        <v>91.295769398382305</v>
      </c>
      <c r="AJ5131">
        <v>85.897993826334201</v>
      </c>
      <c r="AK5131">
        <v>49.119053749900203</v>
      </c>
      <c r="AL5131">
        <v>91.087888763771602</v>
      </c>
      <c r="AM5131">
        <v>93.077754961193605</v>
      </c>
      <c r="AN5131">
        <v>1.00000000112453</v>
      </c>
    </row>
    <row r="5132" spans="1:40" x14ac:dyDescent="0.25">
      <c r="A5132" t="str">
        <f>"20190305135733683"</f>
        <v>20190305135733683</v>
      </c>
      <c r="B5132" t="str">
        <f>"1551765453677447"</f>
        <v>1551765453677447</v>
      </c>
      <c r="C5132" t="s">
        <v>40</v>
      </c>
      <c r="D5132">
        <v>4.182766</v>
      </c>
      <c r="E5132">
        <v>0.54641839999999997</v>
      </c>
      <c r="F5132" t="s">
        <v>73</v>
      </c>
      <c r="G5132">
        <v>-184.73169999999999</v>
      </c>
      <c r="H5132" s="1">
        <v>-1.05808199999999E-5</v>
      </c>
      <c r="I5132">
        <v>147.35759999999999</v>
      </c>
      <c r="J5132">
        <v>-187.95519999999999</v>
      </c>
      <c r="K5132">
        <v>1.1107129999999901</v>
      </c>
      <c r="L5132">
        <v>74.403689999999997</v>
      </c>
      <c r="M5132">
        <v>-2.9326970000000001E-2</v>
      </c>
      <c r="N5132">
        <v>-1.472395E-2</v>
      </c>
      <c r="O5132">
        <v>0.99946140000000006</v>
      </c>
      <c r="P5132">
        <v>-8.1108050000000001E-2</v>
      </c>
      <c r="Q5132">
        <v>-3.3543669999999998E-2</v>
      </c>
      <c r="R5132">
        <v>0.99614069999999999</v>
      </c>
      <c r="S5132">
        <v>0.132019</v>
      </c>
      <c r="T5132">
        <v>-4.569662E-2</v>
      </c>
      <c r="U5132">
        <v>3.0210569999999999</v>
      </c>
      <c r="V5132">
        <v>-5.1779890000000002E-2</v>
      </c>
      <c r="W5132">
        <v>-1.9052779999999998E-2</v>
      </c>
      <c r="X5132">
        <v>0.99847669999999999</v>
      </c>
      <c r="Y5132">
        <v>7.2925340000000005E-2</v>
      </c>
      <c r="Z5132">
        <v>-3.5386899999999998E-4</v>
      </c>
      <c r="AA5132">
        <v>0.99733729999999998</v>
      </c>
      <c r="AB5132">
        <v>46</v>
      </c>
      <c r="AC5132">
        <v>3.2235</v>
      </c>
      <c r="AD5132">
        <v>-1.11072358081999</v>
      </c>
      <c r="AE5132">
        <v>72.953909999999993</v>
      </c>
      <c r="AF5132">
        <v>5.3606221391283801</v>
      </c>
      <c r="AG5132">
        <v>-1.11072358081999</v>
      </c>
      <c r="AH5132">
        <v>72.8111331395164</v>
      </c>
      <c r="AI5132">
        <v>90.871612551247196</v>
      </c>
      <c r="AJ5132">
        <v>85.789272025438805</v>
      </c>
      <c r="AK5132">
        <v>73.0166493729471</v>
      </c>
      <c r="AL5132">
        <v>91.0917100010724</v>
      </c>
      <c r="AM5132">
        <v>92.968636012734606</v>
      </c>
      <c r="AN5132">
        <v>0.99999994293851302</v>
      </c>
    </row>
    <row r="5133" spans="1:40" x14ac:dyDescent="0.25">
      <c r="A5133" t="str">
        <f>"20190305135733704"</f>
        <v>20190305135733704</v>
      </c>
      <c r="B5133" t="str">
        <f>"1551765453697943"</f>
        <v>1551765453697943</v>
      </c>
      <c r="C5133" t="s">
        <v>40</v>
      </c>
      <c r="D5133">
        <v>4.1973149999999997</v>
      </c>
      <c r="E5133">
        <v>0.54593130000000001</v>
      </c>
      <c r="F5133" t="s">
        <v>73</v>
      </c>
      <c r="G5133">
        <v>-185.90989999999999</v>
      </c>
      <c r="H5133" s="1">
        <v>-2.971605E-6</v>
      </c>
      <c r="I5133">
        <v>124.00879999999999</v>
      </c>
      <c r="J5133">
        <v>-187.96899999999999</v>
      </c>
      <c r="K5133">
        <v>1.1106579999999999</v>
      </c>
      <c r="L5133">
        <v>74.847290000000001</v>
      </c>
      <c r="M5133">
        <v>-3.0475349999999998E-2</v>
      </c>
      <c r="N5133">
        <v>-1.4720509999999999E-2</v>
      </c>
      <c r="O5133">
        <v>0.99942710000000001</v>
      </c>
      <c r="P5133">
        <v>-8.0297590000000002E-2</v>
      </c>
      <c r="Q5133">
        <v>-3.421888E-2</v>
      </c>
      <c r="R5133">
        <v>0.99618340000000005</v>
      </c>
      <c r="S5133">
        <v>0.1244965</v>
      </c>
      <c r="T5133">
        <v>-6.7609429999999998E-2</v>
      </c>
      <c r="U5133">
        <v>3.0194700000000001</v>
      </c>
      <c r="V5133">
        <v>-4.982139E-2</v>
      </c>
      <c r="W5133">
        <v>-1.9716069999999999E-2</v>
      </c>
      <c r="X5133">
        <v>0.99856350000000005</v>
      </c>
      <c r="Y5133">
        <v>7.1609119999999998E-2</v>
      </c>
      <c r="Z5133">
        <v>-7.6032319999999997E-3</v>
      </c>
      <c r="AA5133">
        <v>0.99740379999999995</v>
      </c>
      <c r="AB5133">
        <v>46</v>
      </c>
      <c r="AC5133">
        <v>2.0591000000000199</v>
      </c>
      <c r="AD5133">
        <v>-1.110660971605</v>
      </c>
      <c r="AE5133">
        <v>49.1615099999999</v>
      </c>
      <c r="AF5133">
        <v>3.5547088252315202</v>
      </c>
      <c r="AG5133">
        <v>-1.110660971605</v>
      </c>
      <c r="AH5133">
        <v>49.050919992694297</v>
      </c>
      <c r="AI5133">
        <v>91.293736181619707</v>
      </c>
      <c r="AJ5133">
        <v>85.855034248157295</v>
      </c>
      <c r="AK5133">
        <v>49.192095653221799</v>
      </c>
      <c r="AL5133">
        <v>91.129720822947306</v>
      </c>
      <c r="AM5133">
        <v>92.856293341726499</v>
      </c>
      <c r="AN5133">
        <v>0.99999997892501302</v>
      </c>
    </row>
    <row r="5134" spans="1:40" x14ac:dyDescent="0.25">
      <c r="A5134" t="str">
        <f>"20190305135733728"</f>
        <v>20190305135733728</v>
      </c>
      <c r="B5134" t="str">
        <f>"1551765453717462"</f>
        <v>1551765453717462</v>
      </c>
      <c r="C5134" t="s">
        <v>40</v>
      </c>
      <c r="D5134">
        <v>4.2285919999999999</v>
      </c>
      <c r="E5134">
        <v>0.54552219999999996</v>
      </c>
      <c r="F5134" t="s">
        <v>42</v>
      </c>
      <c r="G5134">
        <v>-186.26</v>
      </c>
      <c r="H5134" s="1">
        <v>-3.6626299999999999E-6</v>
      </c>
      <c r="I5134">
        <v>116.624</v>
      </c>
      <c r="J5134">
        <v>-187.9846</v>
      </c>
      <c r="K5134">
        <v>1.110582</v>
      </c>
      <c r="L5134">
        <v>75.328490000000002</v>
      </c>
      <c r="M5134">
        <v>-3.1632359999999998E-2</v>
      </c>
      <c r="N5134">
        <v>-1.471654E-2</v>
      </c>
      <c r="O5134">
        <v>0.99939120000000004</v>
      </c>
      <c r="P5134">
        <v>-7.9656439999999995E-2</v>
      </c>
      <c r="Q5134">
        <v>-3.5226830000000001E-2</v>
      </c>
      <c r="R5134">
        <v>0.99619970000000002</v>
      </c>
      <c r="S5134">
        <v>0.1234894</v>
      </c>
      <c r="T5134">
        <v>-8.0253480000000002E-2</v>
      </c>
      <c r="U5134">
        <v>3.0186769999999998</v>
      </c>
      <c r="V5134">
        <v>-4.8024299999999999E-2</v>
      </c>
      <c r="W5134">
        <v>-2.0711500000000001E-2</v>
      </c>
      <c r="X5134">
        <v>0.99863139999999995</v>
      </c>
      <c r="Y5134">
        <v>7.2438310000000006E-2</v>
      </c>
      <c r="Z5134">
        <v>-1.178657E-2</v>
      </c>
      <c r="AA5134">
        <v>0.99730319999999995</v>
      </c>
      <c r="AB5134">
        <v>46</v>
      </c>
      <c r="AC5134">
        <v>1.7245999999999999</v>
      </c>
      <c r="AD5134">
        <v>-1.1105856626299999</v>
      </c>
      <c r="AE5134">
        <v>41.295509999999901</v>
      </c>
      <c r="AF5134">
        <v>3.02796650633069</v>
      </c>
      <c r="AG5134">
        <v>-1.1105856626299999</v>
      </c>
      <c r="AH5134">
        <v>41.190541124534903</v>
      </c>
      <c r="AI5134">
        <v>91.540289219423997</v>
      </c>
      <c r="AJ5134">
        <v>85.795680292860098</v>
      </c>
      <c r="AK5134">
        <v>41.316614815465002</v>
      </c>
      <c r="AL5134">
        <v>91.186766411026298</v>
      </c>
      <c r="AM5134">
        <v>92.753239563054194</v>
      </c>
      <c r="AN5134">
        <v>0.99999998634434895</v>
      </c>
    </row>
    <row r="5135" spans="1:40" x14ac:dyDescent="0.25">
      <c r="A5135" t="str">
        <f>"20190305135733750"</f>
        <v>20190305135733750</v>
      </c>
      <c r="B5135" t="str">
        <f>"1551765453737959"</f>
        <v>1551765453737959</v>
      </c>
      <c r="C5135" t="s">
        <v>40</v>
      </c>
      <c r="D5135">
        <v>4.1456030000000004</v>
      </c>
      <c r="E5135">
        <v>0.5451935</v>
      </c>
      <c r="F5135" t="s">
        <v>42</v>
      </c>
      <c r="G5135">
        <v>-186.50640000000001</v>
      </c>
      <c r="H5135" s="1">
        <v>-1.624882E-6</v>
      </c>
      <c r="I5135">
        <v>111.6913</v>
      </c>
      <c r="J5135">
        <v>-187.99959999999999</v>
      </c>
      <c r="K5135">
        <v>1.11049</v>
      </c>
      <c r="L5135">
        <v>75.780940000000001</v>
      </c>
      <c r="M5135">
        <v>-3.2613389999999999E-2</v>
      </c>
      <c r="N5135">
        <v>-1.471273E-2</v>
      </c>
      <c r="O5135">
        <v>0.99935969999999996</v>
      </c>
      <c r="P5135">
        <v>-7.9691940000000003E-2</v>
      </c>
      <c r="Q5135">
        <v>-3.5825389999999999E-2</v>
      </c>
      <c r="R5135">
        <v>0.99617549999999999</v>
      </c>
      <c r="S5135">
        <v>0.1226807</v>
      </c>
      <c r="T5135">
        <v>-9.2175129999999994E-2</v>
      </c>
      <c r="U5135">
        <v>3.018005</v>
      </c>
      <c r="V5135">
        <v>-4.708275E-2</v>
      </c>
      <c r="W5135">
        <v>-2.129984E-2</v>
      </c>
      <c r="X5135">
        <v>0.99866390000000005</v>
      </c>
      <c r="Y5135">
        <v>7.3155049999999999E-2</v>
      </c>
      <c r="Z5135">
        <v>-1.5730750000000002E-2</v>
      </c>
      <c r="AA5135">
        <v>0.99719650000000004</v>
      </c>
      <c r="AB5135">
        <v>46</v>
      </c>
      <c r="AC5135">
        <v>1.4931999999999701</v>
      </c>
      <c r="AD5135">
        <v>-1.110491624882</v>
      </c>
      <c r="AE5135">
        <v>35.910359999999997</v>
      </c>
      <c r="AF5135">
        <v>2.6611504679917002</v>
      </c>
      <c r="AG5135">
        <v>-1.110491624882</v>
      </c>
      <c r="AH5135">
        <v>35.808365276010299</v>
      </c>
      <c r="AI5135">
        <v>91.771409744162</v>
      </c>
      <c r="AJ5135">
        <v>85.749794302922396</v>
      </c>
      <c r="AK5135">
        <v>35.924280608001098</v>
      </c>
      <c r="AL5135">
        <v>91.220483200850893</v>
      </c>
      <c r="AM5135">
        <v>92.699253294084002</v>
      </c>
      <c r="AN5135">
        <v>1.0000000268473901</v>
      </c>
    </row>
    <row r="5136" spans="1:40" x14ac:dyDescent="0.25">
      <c r="A5136" t="str">
        <f>"20190305135733772"</f>
        <v>20190305135733772</v>
      </c>
      <c r="B5136" t="str">
        <f>"1551765453767239"</f>
        <v>1551765453767239</v>
      </c>
      <c r="C5136" t="s">
        <v>40</v>
      </c>
      <c r="D5136">
        <v>4.2115589999999896</v>
      </c>
      <c r="E5136">
        <v>0.54466059999999905</v>
      </c>
      <c r="F5136" t="s">
        <v>42</v>
      </c>
      <c r="G5136">
        <v>-186.67150000000001</v>
      </c>
      <c r="H5136" s="1">
        <v>-4.658272E-6</v>
      </c>
      <c r="I5136">
        <v>109.11499999999999</v>
      </c>
      <c r="J5136">
        <v>-188.01519999999999</v>
      </c>
      <c r="K5136">
        <v>1.1103860000000001</v>
      </c>
      <c r="L5136">
        <v>76.237639999999999</v>
      </c>
      <c r="M5136">
        <v>-3.3469859999999997E-2</v>
      </c>
      <c r="N5136">
        <v>-1.470875E-2</v>
      </c>
      <c r="O5136">
        <v>0.99933150000000004</v>
      </c>
      <c r="P5136">
        <v>-8.0004130000000007E-2</v>
      </c>
      <c r="Q5136">
        <v>-3.7055009999999999E-2</v>
      </c>
      <c r="R5136">
        <v>0.99610560000000004</v>
      </c>
      <c r="S5136">
        <v>0.120224</v>
      </c>
      <c r="T5136">
        <v>-0.1005259</v>
      </c>
      <c r="U5136">
        <v>3.0175169999999998</v>
      </c>
      <c r="V5136">
        <v>-4.6543870000000001E-2</v>
      </c>
      <c r="W5136">
        <v>-2.2519279999999999E-2</v>
      </c>
      <c r="X5136">
        <v>0.99866239999999995</v>
      </c>
      <c r="Y5136">
        <v>7.3202409999999996E-2</v>
      </c>
      <c r="Z5136">
        <v>-1.8495810000000001E-2</v>
      </c>
      <c r="AA5136">
        <v>0.99714559999999997</v>
      </c>
      <c r="AB5136">
        <v>46</v>
      </c>
      <c r="AC5136">
        <v>1.3436999999999799</v>
      </c>
      <c r="AD5136">
        <v>-1.110390658272</v>
      </c>
      <c r="AE5136">
        <v>32.877360000000003</v>
      </c>
      <c r="AF5136">
        <v>2.4406873129553102</v>
      </c>
      <c r="AG5136">
        <v>-1.110390658272</v>
      </c>
      <c r="AH5136">
        <v>32.776632631407502</v>
      </c>
      <c r="AI5136">
        <v>91.934943163085407</v>
      </c>
      <c r="AJ5136">
        <v>85.741372494429996</v>
      </c>
      <c r="AK5136">
        <v>32.886130338302898</v>
      </c>
      <c r="AL5136">
        <v>91.290368753727194</v>
      </c>
      <c r="AM5136">
        <v>92.668408225646601</v>
      </c>
      <c r="AN5136">
        <v>1.00000001949002</v>
      </c>
    </row>
    <row r="5137" spans="1:40" x14ac:dyDescent="0.25">
      <c r="A5137" t="str">
        <f>"20190305135733816"</f>
        <v>20190305135733816</v>
      </c>
      <c r="B5137" t="str">
        <f>"1551765453808231"</f>
        <v>1551765453808231</v>
      </c>
      <c r="C5137" t="s">
        <v>40</v>
      </c>
      <c r="D5137">
        <v>4.1786960000000004</v>
      </c>
      <c r="E5137">
        <v>0.54457159999999905</v>
      </c>
      <c r="F5137" t="s">
        <v>42</v>
      </c>
      <c r="G5137">
        <v>-186.88329999999999</v>
      </c>
      <c r="H5137" s="1">
        <v>-3.186182E-6</v>
      </c>
      <c r="I5137">
        <v>105.7711</v>
      </c>
      <c r="J5137">
        <v>-188.04650000000001</v>
      </c>
      <c r="K5137">
        <v>1.110136</v>
      </c>
      <c r="L5137">
        <v>77.132230000000007</v>
      </c>
      <c r="M5137">
        <v>-3.4810630000000002E-2</v>
      </c>
      <c r="N5137">
        <v>-1.4701179999999999E-2</v>
      </c>
      <c r="O5137">
        <v>0.9992858</v>
      </c>
      <c r="P5137">
        <v>-7.8371990000000002E-2</v>
      </c>
      <c r="Q5137">
        <v>-3.8321569999999999E-2</v>
      </c>
      <c r="R5137">
        <v>0.99618739999999995</v>
      </c>
      <c r="S5137">
        <v>0.1156158</v>
      </c>
      <c r="T5137">
        <v>-0.11342389999999999</v>
      </c>
      <c r="U5137">
        <v>3.016785</v>
      </c>
      <c r="V5137">
        <v>-4.3579510000000002E-2</v>
      </c>
      <c r="W5137">
        <v>-2.3757650000000002E-2</v>
      </c>
      <c r="X5137">
        <v>0.99876739999999997</v>
      </c>
      <c r="Y5137">
        <v>7.3023699999999997E-2</v>
      </c>
      <c r="Z5137">
        <v>-2.276837E-2</v>
      </c>
      <c r="AA5137">
        <v>0.99707029999999996</v>
      </c>
      <c r="AB5137">
        <v>46</v>
      </c>
      <c r="AC5137">
        <v>1.16320000000001</v>
      </c>
      <c r="AD5137">
        <v>-1.110139186182</v>
      </c>
      <c r="AE5137">
        <v>28.638870000000001</v>
      </c>
      <c r="AF5137">
        <v>2.1563049857832</v>
      </c>
      <c r="AG5137">
        <v>-1.110139186182</v>
      </c>
      <c r="AH5137">
        <v>28.538202030389002</v>
      </c>
      <c r="AI5137">
        <v>92.221363304016506</v>
      </c>
      <c r="AJ5137">
        <v>85.679024807706995</v>
      </c>
      <c r="AK5137">
        <v>28.641072524116701</v>
      </c>
      <c r="AL5137">
        <v>91.361341214537504</v>
      </c>
      <c r="AM5137">
        <v>92.498418754727993</v>
      </c>
      <c r="AN5137">
        <v>0.99999995946405995</v>
      </c>
    </row>
    <row r="5138" spans="1:40" x14ac:dyDescent="0.25">
      <c r="A5138" t="str">
        <f>"20190305135733838"</f>
        <v>20190305135733838</v>
      </c>
      <c r="B5138" t="str">
        <f>"1551765453827751"</f>
        <v>1551765453827751</v>
      </c>
      <c r="C5138" t="s">
        <v>40</v>
      </c>
      <c r="D5138">
        <v>4.1862909999999998</v>
      </c>
      <c r="E5138">
        <v>0.54458490000000004</v>
      </c>
      <c r="F5138" t="s">
        <v>42</v>
      </c>
      <c r="G5138">
        <v>-186.9879</v>
      </c>
      <c r="H5138" s="1">
        <v>-2.2743509999999999E-6</v>
      </c>
      <c r="I5138">
        <v>103.6889</v>
      </c>
      <c r="J5138">
        <v>-188.06319999999999</v>
      </c>
      <c r="K5138">
        <v>1.1100019999999999</v>
      </c>
      <c r="L5138">
        <v>77.601650000000006</v>
      </c>
      <c r="M5138">
        <v>-3.532482E-2</v>
      </c>
      <c r="N5138">
        <v>-1.4697399999999999E-2</v>
      </c>
      <c r="O5138">
        <v>0.99926780000000004</v>
      </c>
      <c r="P5138">
        <v>-7.8825149999999997E-2</v>
      </c>
      <c r="Q5138">
        <v>-4.0128949999999997E-2</v>
      </c>
      <c r="R5138">
        <v>0.99608050000000004</v>
      </c>
      <c r="S5138">
        <v>0.120224</v>
      </c>
      <c r="T5138">
        <v>-0.12608030000000001</v>
      </c>
      <c r="U5138">
        <v>3.0160830000000001</v>
      </c>
      <c r="V5138">
        <v>-4.3525189999999998E-2</v>
      </c>
      <c r="W5138">
        <v>-2.555578E-2</v>
      </c>
      <c r="X5138">
        <v>0.99872539999999999</v>
      </c>
      <c r="Y5138">
        <v>7.5059420000000002E-2</v>
      </c>
      <c r="Z5138">
        <v>-2.6952230000000001E-2</v>
      </c>
      <c r="AA5138">
        <v>0.99681470000000005</v>
      </c>
      <c r="AB5138">
        <v>46</v>
      </c>
      <c r="AC5138">
        <v>1.0752999999999899</v>
      </c>
      <c r="AD5138">
        <v>-1.1100042743509999</v>
      </c>
      <c r="AE5138">
        <v>26.087250000000001</v>
      </c>
      <c r="AF5138">
        <v>1.9926541712471</v>
      </c>
      <c r="AG5138">
        <v>-1.1100042743509999</v>
      </c>
      <c r="AH5138">
        <v>25.986008884141899</v>
      </c>
      <c r="AI5138">
        <v>92.438777635468497</v>
      </c>
      <c r="AJ5138">
        <v>85.615037213625996</v>
      </c>
      <c r="AK5138">
        <v>26.085924132795601</v>
      </c>
      <c r="AL5138">
        <v>91.4643977907334</v>
      </c>
      <c r="AM5138">
        <v>92.495413325167604</v>
      </c>
      <c r="AN5138">
        <v>0.99999998233055198</v>
      </c>
    </row>
    <row r="5139" spans="1:40" x14ac:dyDescent="0.25">
      <c r="A5139" t="str">
        <f>"20190305135733860"</f>
        <v>20190305135733860</v>
      </c>
      <c r="B5139" t="str">
        <f>"1551765453858007"</f>
        <v>1551765453858007</v>
      </c>
      <c r="C5139" t="s">
        <v>40</v>
      </c>
      <c r="D5139">
        <v>4.2373329999999996</v>
      </c>
      <c r="E5139">
        <v>0.54464639999999997</v>
      </c>
      <c r="F5139" t="s">
        <v>42</v>
      </c>
      <c r="G5139">
        <v>-187.06360000000001</v>
      </c>
      <c r="H5139" s="1">
        <v>-1.9239669999999999E-6</v>
      </c>
      <c r="I5139">
        <v>102.9034</v>
      </c>
      <c r="J5139">
        <v>-188.07980000000001</v>
      </c>
      <c r="K5139">
        <v>1.109877</v>
      </c>
      <c r="L5139">
        <v>78.060640000000006</v>
      </c>
      <c r="M5139">
        <v>-3.5709680000000001E-2</v>
      </c>
      <c r="N5139">
        <v>-1.469374E-2</v>
      </c>
      <c r="O5139">
        <v>0.99925419999999998</v>
      </c>
      <c r="P5139">
        <v>-7.8373509999999993E-2</v>
      </c>
      <c r="Q5139">
        <v>-4.0643249999999999E-2</v>
      </c>
      <c r="R5139">
        <v>0.99609519999999996</v>
      </c>
      <c r="S5139">
        <v>0.1191559</v>
      </c>
      <c r="T5139">
        <v>-0.13230929999999999</v>
      </c>
      <c r="U5139">
        <v>3.0158999999999998</v>
      </c>
      <c r="V5139">
        <v>-4.2695980000000001E-2</v>
      </c>
      <c r="W5139">
        <v>-2.605828E-2</v>
      </c>
      <c r="X5139">
        <v>0.99874819999999997</v>
      </c>
      <c r="Y5139">
        <v>7.5089980000000001E-2</v>
      </c>
      <c r="Z5139">
        <v>-2.9012909999999999E-2</v>
      </c>
      <c r="AA5139">
        <v>0.99675460000000005</v>
      </c>
      <c r="AB5139">
        <v>46</v>
      </c>
      <c r="AC5139">
        <v>1.01619999999999</v>
      </c>
      <c r="AD5139">
        <v>-1.1098789239669999</v>
      </c>
      <c r="AE5139">
        <v>24.842759999999998</v>
      </c>
      <c r="AF5139">
        <v>1.89899053299228</v>
      </c>
      <c r="AG5139">
        <v>-1.1098789239669999</v>
      </c>
      <c r="AH5139">
        <v>24.741319762228599</v>
      </c>
      <c r="AI5139">
        <v>92.561005550545104</v>
      </c>
      <c r="AJ5139">
        <v>85.610936054688295</v>
      </c>
      <c r="AK5139">
        <v>24.838898925820001</v>
      </c>
      <c r="AL5139">
        <v>91.493198525719706</v>
      </c>
      <c r="AM5139">
        <v>92.447875118401996</v>
      </c>
      <c r="AN5139">
        <v>0.99999997383397898</v>
      </c>
    </row>
    <row r="5140" spans="1:40" x14ac:dyDescent="0.25">
      <c r="A5140" t="str">
        <f>"20190305135733882"</f>
        <v>20190305135733882</v>
      </c>
      <c r="B5140" t="str">
        <f>"1551765453877527"</f>
        <v>1551765453877527</v>
      </c>
      <c r="C5140" t="s">
        <v>40</v>
      </c>
      <c r="D5140">
        <v>4.1678899999999999</v>
      </c>
      <c r="E5140">
        <v>0.54470839999999998</v>
      </c>
      <c r="F5140" t="s">
        <v>42</v>
      </c>
      <c r="G5140">
        <v>-187.09059999999999</v>
      </c>
      <c r="H5140" s="1">
        <v>-1.815207E-6</v>
      </c>
      <c r="I5140">
        <v>102.6611</v>
      </c>
      <c r="J5140">
        <v>-188.0959</v>
      </c>
      <c r="K5140">
        <v>1.1097589999999999</v>
      </c>
      <c r="L5140">
        <v>78.503659999999996</v>
      </c>
      <c r="M5140">
        <v>-3.59733E-2</v>
      </c>
      <c r="N5140">
        <v>-1.4690399999999999E-2</v>
      </c>
      <c r="O5140">
        <v>0.99924469999999999</v>
      </c>
      <c r="P5140">
        <v>-7.6711000000000001E-2</v>
      </c>
      <c r="Q5140">
        <v>-4.0060150000000003E-2</v>
      </c>
      <c r="R5140">
        <v>0.99624820000000003</v>
      </c>
      <c r="S5140">
        <v>0.1212616</v>
      </c>
      <c r="T5140">
        <v>-0.13605919999999999</v>
      </c>
      <c r="U5140">
        <v>3.0157470000000002</v>
      </c>
      <c r="V5140">
        <v>-4.0774419999999999E-2</v>
      </c>
      <c r="W5140">
        <v>-2.5460839999999998E-2</v>
      </c>
      <c r="X5140">
        <v>0.99884390000000001</v>
      </c>
      <c r="Y5140">
        <v>7.6047290000000003E-2</v>
      </c>
      <c r="Z5140">
        <v>-3.0252290000000001E-2</v>
      </c>
      <c r="AA5140">
        <v>0.99664520000000001</v>
      </c>
      <c r="AB5140">
        <v>46</v>
      </c>
      <c r="AC5140">
        <v>1.0053000000000001</v>
      </c>
      <c r="AD5140">
        <v>-1.109760815207</v>
      </c>
      <c r="AE5140">
        <v>24.157440000000001</v>
      </c>
      <c r="AF5140">
        <v>1.8698266758297799</v>
      </c>
      <c r="AG5140">
        <v>-1.109760815207</v>
      </c>
      <c r="AH5140">
        <v>24.054955984068801</v>
      </c>
      <c r="AI5140">
        <v>92.633500307869099</v>
      </c>
      <c r="AJ5140">
        <v>85.555253424838696</v>
      </c>
      <c r="AK5140">
        <v>24.153027310465699</v>
      </c>
      <c r="AL5140">
        <v>91.458956373621604</v>
      </c>
      <c r="AM5140">
        <v>92.337608297310098</v>
      </c>
      <c r="AN5140">
        <v>0.99999997213352498</v>
      </c>
    </row>
    <row r="5141" spans="1:40" x14ac:dyDescent="0.25">
      <c r="A5141" t="str">
        <f>"20190305135733905"</f>
        <v>20190305135733905</v>
      </c>
      <c r="B5141" t="str">
        <f>"1551765453897675"</f>
        <v>1551765453897675</v>
      </c>
      <c r="C5141" t="s">
        <v>40</v>
      </c>
      <c r="D5141">
        <v>4.1646809999999999</v>
      </c>
      <c r="E5141">
        <v>0.54473709999999997</v>
      </c>
      <c r="F5141" t="s">
        <v>42</v>
      </c>
      <c r="G5141">
        <v>-187.0643</v>
      </c>
      <c r="H5141" s="1">
        <v>-1.9780290000000001E-6</v>
      </c>
      <c r="I5141">
        <v>103.02970000000001</v>
      </c>
      <c r="J5141">
        <v>-188.11340000000001</v>
      </c>
      <c r="K5141">
        <v>1.109642</v>
      </c>
      <c r="L5141">
        <v>78.986719999999906</v>
      </c>
      <c r="M5141">
        <v>-3.6166190000000001E-2</v>
      </c>
      <c r="N5141">
        <v>-1.468685E-2</v>
      </c>
      <c r="O5141">
        <v>0.99923779999999995</v>
      </c>
      <c r="P5141">
        <v>-7.3795289999999999E-2</v>
      </c>
      <c r="Q5141">
        <v>-3.9183320000000001E-2</v>
      </c>
      <c r="R5141">
        <v>0.99650340000000004</v>
      </c>
      <c r="S5141">
        <v>0.1268311</v>
      </c>
      <c r="T5141">
        <v>-0.13644890000000001</v>
      </c>
      <c r="U5141">
        <v>3.0155639999999999</v>
      </c>
      <c r="V5141">
        <v>-3.7668260000000002E-2</v>
      </c>
      <c r="W5141">
        <v>-2.4568130000000001E-2</v>
      </c>
      <c r="X5141">
        <v>0.99898830000000005</v>
      </c>
      <c r="Y5141">
        <v>7.8078510000000004E-2</v>
      </c>
      <c r="Z5141">
        <v>-3.0380839999999999E-2</v>
      </c>
      <c r="AA5141">
        <v>0.99648419999999904</v>
      </c>
      <c r="AB5141">
        <v>46</v>
      </c>
      <c r="AC5141">
        <v>1.0491000000000099</v>
      </c>
      <c r="AD5141">
        <v>-1.1096439780289999</v>
      </c>
      <c r="AE5141">
        <v>24.04298</v>
      </c>
      <c r="AF5141">
        <v>1.9139812153432201</v>
      </c>
      <c r="AG5141">
        <v>-1.1096439780289999</v>
      </c>
      <c r="AH5141">
        <v>23.9384081675814</v>
      </c>
      <c r="AI5141">
        <v>92.645565322669697</v>
      </c>
      <c r="AJ5141">
        <v>85.428674457483694</v>
      </c>
      <c r="AK5141">
        <v>24.040424693594499</v>
      </c>
      <c r="AL5141">
        <v>91.407791725458395</v>
      </c>
      <c r="AM5141">
        <v>92.159395012260205</v>
      </c>
      <c r="AN5141">
        <v>1.0000000571800001</v>
      </c>
    </row>
    <row r="5142" spans="1:40" x14ac:dyDescent="0.25">
      <c r="A5142" t="str">
        <f>"20190305135733954"</f>
        <v>20190305135733954</v>
      </c>
      <c r="B5142" t="str">
        <f>"1551765453947451"</f>
        <v>1551765453947451</v>
      </c>
      <c r="C5142" t="s">
        <v>40</v>
      </c>
      <c r="D5142">
        <v>4.1656769999999996</v>
      </c>
      <c r="E5142">
        <v>0.54490169999999905</v>
      </c>
      <c r="F5142" t="s">
        <v>42</v>
      </c>
      <c r="G5142">
        <v>-186.99700000000001</v>
      </c>
      <c r="H5142" s="1">
        <v>-2.2977040000000002E-6</v>
      </c>
      <c r="I5142">
        <v>103.7471</v>
      </c>
      <c r="J5142">
        <v>-188.14930000000001</v>
      </c>
      <c r="K5142">
        <v>1.109432</v>
      </c>
      <c r="L5142">
        <v>79.970150000000004</v>
      </c>
      <c r="M5142">
        <v>-3.6357979999999998E-2</v>
      </c>
      <c r="N5142">
        <v>-1.4679019999999999E-2</v>
      </c>
      <c r="O5142">
        <v>0.99923099999999998</v>
      </c>
      <c r="P5142">
        <v>-6.8179729999999994E-2</v>
      </c>
      <c r="Q5142">
        <v>-3.869674E-2</v>
      </c>
      <c r="R5142">
        <v>0.99692230000000004</v>
      </c>
      <c r="S5142">
        <v>0.13595579999999999</v>
      </c>
      <c r="T5142">
        <v>-0.13513120000000001</v>
      </c>
      <c r="U5142">
        <v>3.0152890000000001</v>
      </c>
      <c r="V5142">
        <v>-3.1862250000000002E-2</v>
      </c>
      <c r="W5142">
        <v>-2.406136E-2</v>
      </c>
      <c r="X5142">
        <v>0.99920260000000005</v>
      </c>
      <c r="Y5142">
        <v>8.1282510000000002E-2</v>
      </c>
      <c r="Z5142">
        <v>-2.994815E-2</v>
      </c>
      <c r="AA5142">
        <v>0.99624109999999999</v>
      </c>
      <c r="AB5142">
        <v>46</v>
      </c>
      <c r="AC5142">
        <v>1.1522999999999901</v>
      </c>
      <c r="AD5142">
        <v>-1.1094342977039999</v>
      </c>
      <c r="AE5142">
        <v>23.776949999999999</v>
      </c>
      <c r="AF5142">
        <v>2.0117433778064902</v>
      </c>
      <c r="AG5142">
        <v>-1.1094342977039999</v>
      </c>
      <c r="AH5142">
        <v>23.667918022007498</v>
      </c>
      <c r="AI5142">
        <v>92.674148089423795</v>
      </c>
      <c r="AJ5142">
        <v>85.141608353195807</v>
      </c>
      <c r="AK5142">
        <v>23.7791568264212</v>
      </c>
      <c r="AL5142">
        <v>91.378747444958705</v>
      </c>
      <c r="AM5142">
        <v>91.826410445773504</v>
      </c>
      <c r="AN5142">
        <v>0.99999999393343597</v>
      </c>
    </row>
    <row r="5143" spans="1:40" x14ac:dyDescent="0.25">
      <c r="A5143" t="str">
        <f>"20190305135733972"</f>
        <v>20190305135733972</v>
      </c>
      <c r="B5143" t="str">
        <f>"1551765453967946"</f>
        <v>1551765453967946</v>
      </c>
      <c r="C5143" t="s">
        <v>40</v>
      </c>
      <c r="D5143">
        <v>4.1462440000000003</v>
      </c>
      <c r="E5143">
        <v>0.54498019999999903</v>
      </c>
      <c r="F5143" t="s">
        <v>42</v>
      </c>
      <c r="G5143">
        <v>-186.90010000000001</v>
      </c>
      <c r="H5143" s="1">
        <v>-2.5784070000000001E-6</v>
      </c>
      <c r="I5143">
        <v>104.3614</v>
      </c>
      <c r="J5143">
        <v>-188.16380000000001</v>
      </c>
      <c r="K5143">
        <v>1.1093580000000001</v>
      </c>
      <c r="L5143">
        <v>80.367429999999999</v>
      </c>
      <c r="M5143">
        <v>-3.6391699999999999E-2</v>
      </c>
      <c r="N5143">
        <v>-1.4675819999999999E-2</v>
      </c>
      <c r="O5143">
        <v>0.99922979999999995</v>
      </c>
      <c r="P5143">
        <v>-6.5405759999999993E-2</v>
      </c>
      <c r="Q5143">
        <v>-3.9632479999999998E-2</v>
      </c>
      <c r="R5143">
        <v>0.99707140000000005</v>
      </c>
      <c r="S5143">
        <v>0.15438840000000001</v>
      </c>
      <c r="T5143">
        <v>-0.1371145</v>
      </c>
      <c r="U5143">
        <v>3.0144959999999998</v>
      </c>
      <c r="V5143">
        <v>-2.9054170000000001E-2</v>
      </c>
      <c r="W5143">
        <v>-2.4992250000000001E-2</v>
      </c>
      <c r="X5143">
        <v>0.99926539999999997</v>
      </c>
      <c r="Y5143">
        <v>8.7399840000000006E-2</v>
      </c>
      <c r="Z5143">
        <v>-3.059715E-2</v>
      </c>
      <c r="AA5143">
        <v>0.99570329999999996</v>
      </c>
      <c r="AB5143">
        <v>46</v>
      </c>
      <c r="AC5143">
        <v>1.2637</v>
      </c>
      <c r="AD5143">
        <v>-1.109360578407</v>
      </c>
      <c r="AE5143">
        <v>23.993970000000001</v>
      </c>
      <c r="AF5143">
        <v>2.1315941388951698</v>
      </c>
      <c r="AG5143">
        <v>-1.109360578407</v>
      </c>
      <c r="AH5143">
        <v>23.881170970625298</v>
      </c>
      <c r="AI5143">
        <v>92.649152387590505</v>
      </c>
      <c r="AJ5143">
        <v>84.899389681088394</v>
      </c>
      <c r="AK5143">
        <v>24.001764547510501</v>
      </c>
      <c r="AL5143">
        <v>91.432099487024701</v>
      </c>
      <c r="AM5143">
        <v>91.665435885618095</v>
      </c>
      <c r="AN5143">
        <v>1.0000000484958</v>
      </c>
    </row>
    <row r="5144" spans="1:40" x14ac:dyDescent="0.25">
      <c r="A5144" t="str">
        <f>"20190305135733994"</f>
        <v>20190305135733994</v>
      </c>
      <c r="B5144" t="str">
        <f>"1551765453988097"</f>
        <v>1551765453988097</v>
      </c>
      <c r="C5144" t="s">
        <v>40</v>
      </c>
      <c r="D5144">
        <v>4.275004</v>
      </c>
      <c r="E5144">
        <v>0.54508319999999999</v>
      </c>
      <c r="F5144" t="s">
        <v>42</v>
      </c>
      <c r="G5144">
        <v>-186.8835</v>
      </c>
      <c r="H5144" s="1">
        <v>-2.4156300000000002E-6</v>
      </c>
      <c r="I5144">
        <v>103.9751</v>
      </c>
      <c r="J5144">
        <v>-188.1799</v>
      </c>
      <c r="K5144">
        <v>1.1092919999999999</v>
      </c>
      <c r="L5144">
        <v>80.805449999999993</v>
      </c>
      <c r="M5144">
        <v>-3.6413870000000001E-2</v>
      </c>
      <c r="N5144">
        <v>-1.467238E-2</v>
      </c>
      <c r="O5144">
        <v>0.99922909999999998</v>
      </c>
      <c r="P5144">
        <v>-6.2949519999999995E-2</v>
      </c>
      <c r="Q5144">
        <v>-4.1672889999999997E-2</v>
      </c>
      <c r="R5144">
        <v>0.99714630000000004</v>
      </c>
      <c r="S5144">
        <v>0.16345209999999999</v>
      </c>
      <c r="T5144">
        <v>-0.1416287</v>
      </c>
      <c r="U5144">
        <v>3.013916</v>
      </c>
      <c r="V5144">
        <v>-2.657733E-2</v>
      </c>
      <c r="W5144">
        <v>-2.7030240000000001E-2</v>
      </c>
      <c r="X5144">
        <v>0.99928119999999998</v>
      </c>
      <c r="Y5144">
        <v>9.0412519999999996E-2</v>
      </c>
      <c r="Z5144">
        <v>-3.2086950000000003E-2</v>
      </c>
      <c r="AA5144">
        <v>0.99538740000000003</v>
      </c>
      <c r="AB5144">
        <v>46</v>
      </c>
      <c r="AC5144">
        <v>1.2964</v>
      </c>
      <c r="AD5144">
        <v>-1.10929441563</v>
      </c>
      <c r="AE5144">
        <v>23.169650000000001</v>
      </c>
      <c r="AF5144">
        <v>2.1344501286494602</v>
      </c>
      <c r="AG5144">
        <v>-1.10929441563</v>
      </c>
      <c r="AH5144">
        <v>23.0543878345688</v>
      </c>
      <c r="AI5144">
        <v>92.743029668396701</v>
      </c>
      <c r="AJ5144">
        <v>84.710449594694893</v>
      </c>
      <c r="AK5144">
        <v>23.179542917817699</v>
      </c>
      <c r="AL5144">
        <v>91.548907397889707</v>
      </c>
      <c r="AM5144">
        <v>91.5235050332751</v>
      </c>
      <c r="AN5144">
        <v>0.99999995250891205</v>
      </c>
    </row>
    <row r="5145" spans="1:40" x14ac:dyDescent="0.25">
      <c r="A5145" t="str">
        <f>"20190305135734016"</f>
        <v>20190305135734016</v>
      </c>
      <c r="B5145" t="str">
        <f>"1551765454007617"</f>
        <v>1551765454007617</v>
      </c>
      <c r="C5145" t="s">
        <v>40</v>
      </c>
      <c r="D5145">
        <v>4.1822939999999997</v>
      </c>
      <c r="E5145">
        <v>0.57077119999999903</v>
      </c>
      <c r="F5145" t="s">
        <v>42</v>
      </c>
      <c r="G5145">
        <v>-186.89340000000001</v>
      </c>
      <c r="H5145" s="1">
        <v>-2.15377E-6</v>
      </c>
      <c r="I5145">
        <v>103.3687</v>
      </c>
      <c r="J5145">
        <v>-188.19630000000001</v>
      </c>
      <c r="K5145">
        <v>1.1092360000000001</v>
      </c>
      <c r="L5145">
        <v>81.254639999999995</v>
      </c>
      <c r="M5145">
        <v>-3.6428780000000001E-2</v>
      </c>
      <c r="N5145">
        <v>-1.466891E-2</v>
      </c>
      <c r="O5145">
        <v>0.99922860000000002</v>
      </c>
      <c r="P5145">
        <v>-6.054416E-2</v>
      </c>
      <c r="Q5145">
        <v>-4.2809569999999998E-2</v>
      </c>
      <c r="R5145">
        <v>0.99724710000000005</v>
      </c>
      <c r="S5145">
        <v>0.1717987</v>
      </c>
      <c r="T5145">
        <v>-0.1481422</v>
      </c>
      <c r="U5145">
        <v>3.013245</v>
      </c>
      <c r="V5145">
        <v>-2.4157809999999998E-2</v>
      </c>
      <c r="W5145">
        <v>-2.816548E-2</v>
      </c>
      <c r="X5145">
        <v>0.99931130000000001</v>
      </c>
      <c r="Y5145">
        <v>9.3180869999999999E-2</v>
      </c>
      <c r="Z5145">
        <v>-3.423731E-2</v>
      </c>
      <c r="AA5145">
        <v>0.99506039999999996</v>
      </c>
      <c r="AB5145">
        <v>46</v>
      </c>
      <c r="AC5145">
        <v>1.30289999999999</v>
      </c>
      <c r="AD5145">
        <v>-1.10923815377</v>
      </c>
      <c r="AE5145">
        <v>22.114059999999899</v>
      </c>
      <c r="AF5145">
        <v>2.10243845662733</v>
      </c>
      <c r="AG5145">
        <v>-1.10923815377</v>
      </c>
      <c r="AH5145">
        <v>21.996757858099699</v>
      </c>
      <c r="AI5145">
        <v>92.873754303948999</v>
      </c>
      <c r="AJ5145">
        <v>84.540285078399606</v>
      </c>
      <c r="AK5145">
        <v>22.124827977038699</v>
      </c>
      <c r="AL5145">
        <v>91.6139765985465</v>
      </c>
      <c r="AM5145">
        <v>91.384824745946204</v>
      </c>
      <c r="AN5145">
        <v>0.99999998417765801</v>
      </c>
    </row>
    <row r="5146" spans="1:40" x14ac:dyDescent="0.25">
      <c r="A5146" t="str">
        <f>"20190305135734038"</f>
        <v>20190305135734038</v>
      </c>
      <c r="B5146" t="str">
        <f>"1551765454028113"</f>
        <v>1551765454028113</v>
      </c>
      <c r="C5146" t="s">
        <v>40</v>
      </c>
      <c r="D5146">
        <v>4.1695890000000002</v>
      </c>
      <c r="E5146">
        <v>0.57535890000000001</v>
      </c>
      <c r="F5146" t="s">
        <v>42</v>
      </c>
      <c r="G5146">
        <v>-185.869</v>
      </c>
      <c r="H5146" s="1">
        <v>-4.965726E-6</v>
      </c>
      <c r="I5146">
        <v>99.499889999999994</v>
      </c>
      <c r="J5146">
        <v>-188.2133</v>
      </c>
      <c r="K5146">
        <v>1.1091959999999901</v>
      </c>
      <c r="L5146">
        <v>81.718900000000005</v>
      </c>
      <c r="M5146">
        <v>-3.6440720000000003E-2</v>
      </c>
      <c r="N5146">
        <v>-1.46655E-2</v>
      </c>
      <c r="O5146">
        <v>0.99922820000000001</v>
      </c>
      <c r="P5146">
        <v>-5.7971880000000003E-2</v>
      </c>
      <c r="Q5146">
        <v>-4.3413750000000001E-2</v>
      </c>
      <c r="R5146">
        <v>0.99737379999999998</v>
      </c>
      <c r="S5146">
        <v>0.38571169999999999</v>
      </c>
      <c r="T5146">
        <v>-0.18383569999999999</v>
      </c>
      <c r="U5146">
        <v>3.0238040000000002</v>
      </c>
      <c r="V5146">
        <v>-2.1573729999999999E-2</v>
      </c>
      <c r="W5146">
        <v>-2.8768910000000002E-2</v>
      </c>
      <c r="X5146">
        <v>0.99935320000000005</v>
      </c>
      <c r="Y5146">
        <v>0.16238139999999901</v>
      </c>
      <c r="Z5146">
        <v>-4.529979E-2</v>
      </c>
      <c r="AA5146">
        <v>0.98568769999999994</v>
      </c>
      <c r="AB5146">
        <v>46</v>
      </c>
      <c r="AC5146">
        <v>2.3442999999999699</v>
      </c>
      <c r="AD5146">
        <v>-1.10920096572599</v>
      </c>
      <c r="AE5146">
        <v>17.780989999999999</v>
      </c>
      <c r="AF5146">
        <v>2.9793684914923002</v>
      </c>
      <c r="AG5146">
        <v>-1.10920096572599</v>
      </c>
      <c r="AH5146">
        <v>17.616358982725998</v>
      </c>
      <c r="AI5146">
        <v>93.552513463503004</v>
      </c>
      <c r="AJ5146">
        <v>80.400681730016501</v>
      </c>
      <c r="AK5146">
        <v>17.900923640939201</v>
      </c>
      <c r="AL5146">
        <v>91.648564670439697</v>
      </c>
      <c r="AM5146">
        <v>91.236691606424301</v>
      </c>
      <c r="AN5146">
        <v>0.99999994717946905</v>
      </c>
    </row>
    <row r="5147" spans="1:40" x14ac:dyDescent="0.25">
      <c r="A5147" t="str">
        <f>"20190305135734061"</f>
        <v>20190305135734061</v>
      </c>
      <c r="B5147" t="str">
        <f>"1551765454057394"</f>
        <v>1551765454057394</v>
      </c>
      <c r="C5147" t="s">
        <v>40</v>
      </c>
      <c r="D5147">
        <v>4.1473950000000004</v>
      </c>
      <c r="E5147">
        <v>0.57741769999999903</v>
      </c>
      <c r="F5147" t="s">
        <v>42</v>
      </c>
      <c r="G5147">
        <v>-185.80029999999999</v>
      </c>
      <c r="H5147" s="1">
        <v>-4.6178089999999997E-6</v>
      </c>
      <c r="I5147">
        <v>98.660480000000007</v>
      </c>
      <c r="J5147">
        <v>-188.22970000000001</v>
      </c>
      <c r="K5147">
        <v>1.109159</v>
      </c>
      <c r="L5147">
        <v>82.168909999999997</v>
      </c>
      <c r="M5147">
        <v>-3.6451119999999997E-2</v>
      </c>
      <c r="N5147">
        <v>-1.466224E-2</v>
      </c>
      <c r="O5147">
        <v>0.99922789999999995</v>
      </c>
      <c r="P5147">
        <v>-5.5033899999999997E-2</v>
      </c>
      <c r="Q5147">
        <v>-4.2077549999999998E-2</v>
      </c>
      <c r="R5147">
        <v>0.99759750000000003</v>
      </c>
      <c r="S5147">
        <v>0.43075560000000002</v>
      </c>
      <c r="T5147">
        <v>-0.19800880000000001</v>
      </c>
      <c r="U5147">
        <v>3.0243229999999999</v>
      </c>
      <c r="V5147">
        <v>-1.8621769999999999E-2</v>
      </c>
      <c r="W5147">
        <v>-2.743166E-2</v>
      </c>
      <c r="X5147">
        <v>0.99945019999999996</v>
      </c>
      <c r="Y5147">
        <v>0.17672660000000001</v>
      </c>
      <c r="Z5147">
        <v>-4.9753190000000003E-2</v>
      </c>
      <c r="AA5147">
        <v>0.98300169999999998</v>
      </c>
      <c r="AB5147">
        <v>46</v>
      </c>
      <c r="AC5147">
        <v>2.42940000000001</v>
      </c>
      <c r="AD5147">
        <v>-1.1091636178090001</v>
      </c>
      <c r="AE5147">
        <v>16.491569999999999</v>
      </c>
      <c r="AF5147">
        <v>3.0156347089375402</v>
      </c>
      <c r="AG5147">
        <v>-1.1091636178090001</v>
      </c>
      <c r="AH5147">
        <v>16.319790718238</v>
      </c>
      <c r="AI5147">
        <v>93.823556935114496</v>
      </c>
      <c r="AJ5147">
        <v>79.530753747869397</v>
      </c>
      <c r="AK5147">
        <v>16.633095494101799</v>
      </c>
      <c r="AL5147">
        <v>91.571915553146795</v>
      </c>
      <c r="AM5147">
        <v>91.067412252577697</v>
      </c>
      <c r="AN5147">
        <v>0.99999998428416403</v>
      </c>
    </row>
    <row r="5148" spans="1:40" x14ac:dyDescent="0.25">
      <c r="A5148" t="str">
        <f>"20190305135734082"</f>
        <v>20190305135734082</v>
      </c>
      <c r="B5148" t="str">
        <f>"1551765454077890"</f>
        <v>1551765454077890</v>
      </c>
      <c r="C5148" t="s">
        <v>40</v>
      </c>
      <c r="D5148">
        <v>4.1908300000000001</v>
      </c>
      <c r="E5148">
        <v>0.57787529999999998</v>
      </c>
      <c r="F5148" t="s">
        <v>42</v>
      </c>
      <c r="G5148">
        <v>-185.6831</v>
      </c>
      <c r="H5148" s="1">
        <v>-4.7978799999999997E-6</v>
      </c>
      <c r="I5148">
        <v>99.031760000000006</v>
      </c>
      <c r="J5148">
        <v>-188.2458</v>
      </c>
      <c r="K5148">
        <v>1.109137</v>
      </c>
      <c r="L5148">
        <v>82.609650000000002</v>
      </c>
      <c r="M5148">
        <v>-3.6460649999999997E-2</v>
      </c>
      <c r="N5148">
        <v>-1.465901E-2</v>
      </c>
      <c r="O5148">
        <v>0.99922759999999999</v>
      </c>
      <c r="P5148">
        <v>-5.1615500000000002E-2</v>
      </c>
      <c r="Q5148">
        <v>-4.1023419999999998E-2</v>
      </c>
      <c r="R5148">
        <v>0.99782409999999999</v>
      </c>
      <c r="S5148">
        <v>0.45669559999999998</v>
      </c>
      <c r="T5148">
        <v>-0.19890650000000001</v>
      </c>
      <c r="U5148">
        <v>3.0240170000000002</v>
      </c>
      <c r="V5148">
        <v>-1.519028E-2</v>
      </c>
      <c r="W5148">
        <v>-2.6377330000000001E-2</v>
      </c>
      <c r="X5148">
        <v>0.9995366</v>
      </c>
      <c r="Y5148">
        <v>0.18499109999999999</v>
      </c>
      <c r="Z5148">
        <v>-4.9962159999999999E-2</v>
      </c>
      <c r="AA5148">
        <v>0.98146929999999999</v>
      </c>
      <c r="AB5148">
        <v>46</v>
      </c>
      <c r="AC5148">
        <v>2.5627</v>
      </c>
      <c r="AD5148">
        <v>-1.10914179787999</v>
      </c>
      <c r="AE5148">
        <v>16.422109999999901</v>
      </c>
      <c r="AF5148">
        <v>3.1458120365637998</v>
      </c>
      <c r="AG5148">
        <v>-1.10914179787999</v>
      </c>
      <c r="AH5148">
        <v>16.245397545054399</v>
      </c>
      <c r="AI5148">
        <v>93.834746282398996</v>
      </c>
      <c r="AJ5148">
        <v>79.040696904614506</v>
      </c>
      <c r="AK5148">
        <v>16.584307953425601</v>
      </c>
      <c r="AL5148">
        <v>91.511485049372396</v>
      </c>
      <c r="AM5148">
        <v>90.870675409800498</v>
      </c>
      <c r="AN5148">
        <v>0.999999961441982</v>
      </c>
    </row>
    <row r="5149" spans="1:40" x14ac:dyDescent="0.25">
      <c r="A5149" t="str">
        <f>"20190305135734105"</f>
        <v>20190305135734105</v>
      </c>
      <c r="B5149" t="str">
        <f>"1551765454097943"</f>
        <v>1551765454097943</v>
      </c>
      <c r="C5149" t="s">
        <v>40</v>
      </c>
      <c r="D5149">
        <v>4.182696</v>
      </c>
      <c r="E5149">
        <v>0.5779919</v>
      </c>
      <c r="F5149" t="s">
        <v>42</v>
      </c>
      <c r="G5149">
        <v>-185.62370000000001</v>
      </c>
      <c r="H5149" s="1">
        <v>-4.9848330000000004E-6</v>
      </c>
      <c r="I5149">
        <v>99.443020000000004</v>
      </c>
      <c r="J5149">
        <v>-188.2629</v>
      </c>
      <c r="K5149">
        <v>1.1091200000000001</v>
      </c>
      <c r="L5149">
        <v>83.077479999999994</v>
      </c>
      <c r="M5149">
        <v>-3.6469599999999998E-2</v>
      </c>
      <c r="N5149">
        <v>-1.465559E-2</v>
      </c>
      <c r="O5149">
        <v>0.99922730000000004</v>
      </c>
      <c r="P5149">
        <v>-4.7251059999999998E-2</v>
      </c>
      <c r="Q5149">
        <v>-4.0313880000000003E-2</v>
      </c>
      <c r="R5149">
        <v>0.99806919999999999</v>
      </c>
      <c r="S5149">
        <v>0.4708405</v>
      </c>
      <c r="T5149">
        <v>-0.19916449999999999</v>
      </c>
      <c r="U5149">
        <v>3.0227050000000002</v>
      </c>
      <c r="V5149">
        <v>-1.081263E-2</v>
      </c>
      <c r="W5149">
        <v>-2.5668429999999999E-2</v>
      </c>
      <c r="X5149">
        <v>0.99961199999999995</v>
      </c>
      <c r="Y5149">
        <v>0.18954470000000001</v>
      </c>
      <c r="Z5149">
        <v>-5.0024399999999997E-2</v>
      </c>
      <c r="AA5149">
        <v>0.98059700000000005</v>
      </c>
      <c r="AB5149">
        <v>46</v>
      </c>
      <c r="AC5149">
        <v>2.6391999999999798</v>
      </c>
      <c r="AD5149">
        <v>-1.109124984833</v>
      </c>
      <c r="AE5149">
        <v>16.3655399999999</v>
      </c>
      <c r="AF5149">
        <v>3.2199382923686599</v>
      </c>
      <c r="AG5149">
        <v>-1.109124984833</v>
      </c>
      <c r="AH5149">
        <v>16.1859315409685</v>
      </c>
      <c r="AI5149">
        <v>93.844898997856006</v>
      </c>
      <c r="AJ5149">
        <v>78.748786653151797</v>
      </c>
      <c r="AK5149">
        <v>16.540330730900202</v>
      </c>
      <c r="AL5149">
        <v>91.470854302588407</v>
      </c>
      <c r="AM5149">
        <v>90.619734361086799</v>
      </c>
      <c r="AN5149">
        <v>0.99999996590508999</v>
      </c>
    </row>
    <row r="5150" spans="1:40" x14ac:dyDescent="0.25">
      <c r="A5150" t="str">
        <f>"20190305135734131"</f>
        <v>20190305135734131</v>
      </c>
      <c r="B5150" t="str">
        <f>"1551765454127223"</f>
        <v>1551765454127223</v>
      </c>
      <c r="C5150" t="s">
        <v>40</v>
      </c>
      <c r="D5150">
        <v>4.137321</v>
      </c>
      <c r="E5150">
        <v>0.57780769999999904</v>
      </c>
      <c r="F5150" t="s">
        <v>42</v>
      </c>
      <c r="G5150">
        <v>-185.5445</v>
      </c>
      <c r="H5150" s="1">
        <v>-1.3087620000000001E-6</v>
      </c>
      <c r="I5150">
        <v>100.0103</v>
      </c>
      <c r="J5150">
        <v>-188.28120000000001</v>
      </c>
      <c r="K5150">
        <v>1.109105</v>
      </c>
      <c r="L5150">
        <v>83.577640000000002</v>
      </c>
      <c r="M5150">
        <v>-3.6477679999999998E-2</v>
      </c>
      <c r="N5150">
        <v>-1.465205E-2</v>
      </c>
      <c r="O5150">
        <v>0.99922699999999998</v>
      </c>
      <c r="P5150">
        <v>-4.2078560000000001E-2</v>
      </c>
      <c r="Q5150">
        <v>-4.0302709999999999E-2</v>
      </c>
      <c r="R5150">
        <v>0.99830110000000005</v>
      </c>
      <c r="S5150">
        <v>0.48497010000000002</v>
      </c>
      <c r="T5150">
        <v>-0.19786570000000001</v>
      </c>
      <c r="U5150">
        <v>3.0207820000000001</v>
      </c>
      <c r="V5150">
        <v>-5.6279579999999997E-3</v>
      </c>
      <c r="W5150">
        <v>-2.5659089999999999E-2</v>
      </c>
      <c r="X5150">
        <v>0.99965490000000001</v>
      </c>
      <c r="Y5150">
        <v>0.1941215</v>
      </c>
      <c r="Z5150">
        <v>-4.9594149999999997E-2</v>
      </c>
      <c r="AA5150">
        <v>0.97972300000000001</v>
      </c>
      <c r="AB5150">
        <v>46</v>
      </c>
      <c r="AC5150">
        <v>2.7367000000000101</v>
      </c>
      <c r="AD5150">
        <v>-1.1091063087619999</v>
      </c>
      <c r="AE5150">
        <v>16.432659999999998</v>
      </c>
      <c r="AF5150">
        <v>3.3196535638823601</v>
      </c>
      <c r="AG5150">
        <v>-1.1091063087619999</v>
      </c>
      <c r="AH5150">
        <v>16.249854446355599</v>
      </c>
      <c r="AI5150">
        <v>93.825796464305995</v>
      </c>
      <c r="AJ5150">
        <v>78.454017432271002</v>
      </c>
      <c r="AK5150">
        <v>16.622514434226801</v>
      </c>
      <c r="AL5150">
        <v>91.470318946836699</v>
      </c>
      <c r="AM5150">
        <v>90.322566151464997</v>
      </c>
      <c r="AN5150">
        <v>0.99999999095244396</v>
      </c>
    </row>
    <row r="5151" spans="1:40" x14ac:dyDescent="0.25">
      <c r="A5151" t="str">
        <f>"20190305135734153"</f>
        <v>20190305135734153</v>
      </c>
      <c r="B5151" t="str">
        <f>"1551765454147719"</f>
        <v>1551765454147719</v>
      </c>
      <c r="C5151" t="s">
        <v>40</v>
      </c>
      <c r="D5151">
        <v>4.1699080000000004</v>
      </c>
      <c r="E5151">
        <v>0.57769119999999996</v>
      </c>
      <c r="F5151" t="s">
        <v>42</v>
      </c>
      <c r="G5151">
        <v>-185.41370000000001</v>
      </c>
      <c r="H5151" s="1">
        <v>-1.6537050000000001E-6</v>
      </c>
      <c r="I5151">
        <v>100.9217</v>
      </c>
      <c r="J5151">
        <v>-188.29849999999999</v>
      </c>
      <c r="K5151">
        <v>1.109091</v>
      </c>
      <c r="L5151">
        <v>84.050929999999994</v>
      </c>
      <c r="M5151">
        <v>-3.6483439999999999E-2</v>
      </c>
      <c r="N5151">
        <v>-1.464875E-2</v>
      </c>
      <c r="O5151">
        <v>0.99922690000000003</v>
      </c>
      <c r="P5151">
        <v>-3.6899149999999999E-2</v>
      </c>
      <c r="Q5151">
        <v>-4.1790470000000003E-2</v>
      </c>
      <c r="R5151">
        <v>0.99844480000000002</v>
      </c>
      <c r="S5151">
        <v>0.49902340000000001</v>
      </c>
      <c r="T5151">
        <v>-0.1930171</v>
      </c>
      <c r="U5151">
        <v>3.0183719999999998</v>
      </c>
      <c r="V5151">
        <v>-4.421669E-4</v>
      </c>
      <c r="W5151">
        <v>-2.715006E-2</v>
      </c>
      <c r="X5151">
        <v>0.9996313</v>
      </c>
      <c r="Y5151">
        <v>0.19870309999999999</v>
      </c>
      <c r="Z5151">
        <v>-4.8023400000000001E-2</v>
      </c>
      <c r="AA5151">
        <v>0.97888240000000004</v>
      </c>
      <c r="AB5151">
        <v>46</v>
      </c>
      <c r="AC5151">
        <v>2.8847999999999798</v>
      </c>
      <c r="AD5151">
        <v>-1.1090926537049901</v>
      </c>
      <c r="AE5151">
        <v>16.870769999999901</v>
      </c>
      <c r="AF5151">
        <v>3.4838201339492101</v>
      </c>
      <c r="AG5151">
        <v>-1.1090926537049901</v>
      </c>
      <c r="AH5151">
        <v>16.6842196374397</v>
      </c>
      <c r="AI5151">
        <v>93.723105869089295</v>
      </c>
      <c r="AJ5151">
        <v>78.2055773631146</v>
      </c>
      <c r="AK5151">
        <v>17.0801134115246</v>
      </c>
      <c r="AL5151">
        <v>91.555774980588197</v>
      </c>
      <c r="AM5151">
        <v>90.025343639758006</v>
      </c>
      <c r="AN5151">
        <v>1.00000002860463</v>
      </c>
    </row>
    <row r="5152" spans="1:40" x14ac:dyDescent="0.25">
      <c r="A5152" t="str">
        <f>"20190305135734175"</f>
        <v>20190305135734175</v>
      </c>
      <c r="B5152" t="str">
        <f>"1551765454167238"</f>
        <v>1551765454167238</v>
      </c>
      <c r="C5152" t="s">
        <v>40</v>
      </c>
      <c r="D5152">
        <v>4.1881209999999998</v>
      </c>
      <c r="E5152">
        <v>0.5773549</v>
      </c>
      <c r="F5152" t="s">
        <v>42</v>
      </c>
      <c r="G5152">
        <v>-185.42400000000001</v>
      </c>
      <c r="H5152" s="1">
        <v>-1.6498620000000001E-6</v>
      </c>
      <c r="I5152">
        <v>100.91840000000001</v>
      </c>
      <c r="J5152">
        <v>-188.31489999999999</v>
      </c>
      <c r="K5152">
        <v>1.1090679999999999</v>
      </c>
      <c r="L5152">
        <v>84.501769999999993</v>
      </c>
      <c r="M5152">
        <v>-3.6487690000000003E-2</v>
      </c>
      <c r="N5152">
        <v>-1.464566E-2</v>
      </c>
      <c r="O5152">
        <v>0.99922670000000002</v>
      </c>
      <c r="P5152">
        <v>-3.1385980000000001E-2</v>
      </c>
      <c r="Q5152">
        <v>-4.3676090000000001E-2</v>
      </c>
      <c r="R5152">
        <v>0.99855260000000001</v>
      </c>
      <c r="S5152">
        <v>0.51385499999999995</v>
      </c>
      <c r="T5152">
        <v>-0.1982691</v>
      </c>
      <c r="U5152">
        <v>3.0153500000000002</v>
      </c>
      <c r="V5152">
        <v>5.075202E-3</v>
      </c>
      <c r="W5152">
        <v>-2.9039659999999998E-2</v>
      </c>
      <c r="X5152">
        <v>0.99956540000000005</v>
      </c>
      <c r="Y5152">
        <v>0.20352590000000001</v>
      </c>
      <c r="Z5152">
        <v>-4.9730539999999997E-2</v>
      </c>
      <c r="AA5152">
        <v>0.9778057</v>
      </c>
      <c r="AB5152">
        <v>46</v>
      </c>
      <c r="AC5152">
        <v>2.8908999999999798</v>
      </c>
      <c r="AD5152">
        <v>-1.1090696498620001</v>
      </c>
      <c r="AE5152">
        <v>16.416630000000001</v>
      </c>
      <c r="AF5152">
        <v>3.4726710362869202</v>
      </c>
      <c r="AG5152">
        <v>-1.1090696498620001</v>
      </c>
      <c r="AH5152">
        <v>16.228363060611098</v>
      </c>
      <c r="AI5152">
        <v>93.8233060039706</v>
      </c>
      <c r="AJ5152">
        <v>77.921566039937204</v>
      </c>
      <c r="AK5152">
        <v>16.632776293857798</v>
      </c>
      <c r="AL5152">
        <v>91.664083859622494</v>
      </c>
      <c r="AM5152">
        <v>89.709088413852498</v>
      </c>
      <c r="AN5152">
        <v>1.0000000242027001</v>
      </c>
    </row>
    <row r="5153" spans="1:40" x14ac:dyDescent="0.25">
      <c r="A5153" t="str">
        <f>"20190305135734194"</f>
        <v>20190305135734194</v>
      </c>
      <c r="B5153" t="str">
        <f>"1551765454187370"</f>
        <v>1551765454187370</v>
      </c>
      <c r="C5153" t="s">
        <v>40</v>
      </c>
      <c r="D5153">
        <v>4.1913739999999997</v>
      </c>
      <c r="E5153">
        <v>0.57712010000000002</v>
      </c>
      <c r="F5153" t="s">
        <v>42</v>
      </c>
      <c r="G5153">
        <v>-185.48429999999999</v>
      </c>
      <c r="H5153" s="1">
        <v>-1.5445439999999999E-6</v>
      </c>
      <c r="I5153">
        <v>100.6561</v>
      </c>
      <c r="J5153">
        <v>-188.3287</v>
      </c>
      <c r="K5153">
        <v>1.109048</v>
      </c>
      <c r="L5153">
        <v>84.881320000000002</v>
      </c>
      <c r="M5153">
        <v>-3.6490639999999998E-2</v>
      </c>
      <c r="N5153">
        <v>-1.4643089999999999E-2</v>
      </c>
      <c r="O5153">
        <v>0.99922670000000002</v>
      </c>
      <c r="P5153">
        <v>-2.6641209999999999E-2</v>
      </c>
      <c r="Q5153">
        <v>-4.5300460000000001E-2</v>
      </c>
      <c r="R5153">
        <v>0.99861809999999995</v>
      </c>
      <c r="S5153">
        <v>0.52775569999999905</v>
      </c>
      <c r="T5153">
        <v>-0.20678160000000001</v>
      </c>
      <c r="U5153">
        <v>3.0119020000000001</v>
      </c>
      <c r="V5153">
        <v>9.8217159999999994E-3</v>
      </c>
      <c r="W5153">
        <v>-3.066791E-2</v>
      </c>
      <c r="X5153">
        <v>0.99948139999999996</v>
      </c>
      <c r="Y5153">
        <v>0.2080622</v>
      </c>
      <c r="Z5153">
        <v>-5.2503569999999999E-2</v>
      </c>
      <c r="AA5153">
        <v>0.97670539999999995</v>
      </c>
      <c r="AB5153">
        <v>46</v>
      </c>
      <c r="AC5153">
        <v>2.8443999999999998</v>
      </c>
      <c r="AD5153">
        <v>-1.1090495445440001</v>
      </c>
      <c r="AE5153">
        <v>15.7747799999999</v>
      </c>
      <c r="AF5153">
        <v>3.40191318123459</v>
      </c>
      <c r="AG5153">
        <v>-1.1090495445440001</v>
      </c>
      <c r="AH5153">
        <v>15.585854253670499</v>
      </c>
      <c r="AI5153">
        <v>93.976842777031393</v>
      </c>
      <c r="AJ5153">
        <v>77.6872008034793</v>
      </c>
      <c r="AK5153">
        <v>15.991305669068099</v>
      </c>
      <c r="AL5153">
        <v>91.757417315161305</v>
      </c>
      <c r="AM5153">
        <v>89.436983258079394</v>
      </c>
      <c r="AN5153">
        <v>1.0000000278774499</v>
      </c>
    </row>
    <row r="5154" spans="1:40" x14ac:dyDescent="0.25">
      <c r="A5154" t="str">
        <f>"20190305135734217"</f>
        <v>20190305135734217</v>
      </c>
      <c r="B5154" t="str">
        <f>"1551765454207844"</f>
        <v>1551765454207844</v>
      </c>
      <c r="C5154" t="s">
        <v>40</v>
      </c>
      <c r="D5154">
        <v>4.2157349999999996</v>
      </c>
      <c r="E5154">
        <v>0.57677489999999998</v>
      </c>
      <c r="F5154" t="s">
        <v>42</v>
      </c>
      <c r="G5154">
        <v>-185.5008</v>
      </c>
      <c r="H5154" s="1">
        <v>-1.532756E-6</v>
      </c>
      <c r="I5154">
        <v>100.6343</v>
      </c>
      <c r="J5154">
        <v>-188.34610000000001</v>
      </c>
      <c r="K5154">
        <v>1.1090310000000001</v>
      </c>
      <c r="L5154">
        <v>85.355739999999997</v>
      </c>
      <c r="M5154">
        <v>-3.6493449999999997E-2</v>
      </c>
      <c r="N5154">
        <v>-1.4639910000000001E-2</v>
      </c>
      <c r="O5154">
        <v>0.99922659999999996</v>
      </c>
      <c r="P5154">
        <v>-2.1859340000000001E-2</v>
      </c>
      <c r="Q5154">
        <v>-4.712152E-2</v>
      </c>
      <c r="R5154">
        <v>0.99865000000000004</v>
      </c>
      <c r="S5154">
        <v>0.54016109999999995</v>
      </c>
      <c r="T5154">
        <v>-0.21183689999999999</v>
      </c>
      <c r="U5154">
        <v>3.0089419999999998</v>
      </c>
      <c r="V5154">
        <v>1.4603909999999999E-2</v>
      </c>
      <c r="W5154">
        <v>-3.2494139999999998E-2</v>
      </c>
      <c r="X5154">
        <v>0.99936519999999995</v>
      </c>
      <c r="Y5154">
        <v>0.21210970000000001</v>
      </c>
      <c r="Z5154">
        <v>-5.415292E-2</v>
      </c>
      <c r="AA5154">
        <v>0.97574430000000001</v>
      </c>
      <c r="AB5154">
        <v>45</v>
      </c>
      <c r="AC5154">
        <v>2.8452999999999999</v>
      </c>
      <c r="AD5154">
        <v>-1.10903253275599</v>
      </c>
      <c r="AE5154">
        <v>15.278560000000001</v>
      </c>
      <c r="AF5154">
        <v>3.3838000165190301</v>
      </c>
      <c r="AG5154">
        <v>-1.10903253275599</v>
      </c>
      <c r="AH5154">
        <v>15.087703010555501</v>
      </c>
      <c r="AI5154">
        <v>94.102458171419201</v>
      </c>
      <c r="AJ5154">
        <v>77.3591408681677</v>
      </c>
      <c r="AK5154">
        <v>15.5022204166123</v>
      </c>
      <c r="AL5154">
        <v>91.862104918857696</v>
      </c>
      <c r="AM5154">
        <v>89.162785682111902</v>
      </c>
      <c r="AN5154">
        <v>0.99999997314633304</v>
      </c>
    </row>
    <row r="5155" spans="1:40" x14ac:dyDescent="0.25">
      <c r="A5155" t="str">
        <f>"20190305135734242"</f>
        <v>20190305135734242</v>
      </c>
      <c r="B5155" t="str">
        <f>"1551765454238100"</f>
        <v>1551765454238100</v>
      </c>
      <c r="C5155" t="s">
        <v>40</v>
      </c>
      <c r="D5155">
        <v>4.2394030000000003</v>
      </c>
      <c r="E5155">
        <v>0.57622910000000005</v>
      </c>
      <c r="F5155" t="s">
        <v>42</v>
      </c>
      <c r="G5155">
        <v>-185.50559999999999</v>
      </c>
      <c r="H5155" s="1">
        <v>-1.5975740000000001E-6</v>
      </c>
      <c r="I5155">
        <v>100.82850000000001</v>
      </c>
      <c r="J5155">
        <v>-188.36429999999999</v>
      </c>
      <c r="K5155">
        <v>1.1090150000000001</v>
      </c>
      <c r="L5155">
        <v>85.856229999999996</v>
      </c>
      <c r="M5155">
        <v>-3.649608E-2</v>
      </c>
      <c r="N5155">
        <v>-1.463661E-2</v>
      </c>
      <c r="O5155">
        <v>0.99922659999999996</v>
      </c>
      <c r="P5155">
        <v>-1.7954649999999999E-2</v>
      </c>
      <c r="Q5155">
        <v>-4.8194349999999997E-2</v>
      </c>
      <c r="R5155">
        <v>0.99867660000000003</v>
      </c>
      <c r="S5155">
        <v>0.55183409999999999</v>
      </c>
      <c r="T5155">
        <v>-0.21545539999999999</v>
      </c>
      <c r="U5155">
        <v>3.005951</v>
      </c>
      <c r="V5155">
        <v>1.850916E-2</v>
      </c>
      <c r="W5155">
        <v>-3.3572020000000001E-2</v>
      </c>
      <c r="X5155">
        <v>0.99926490000000001</v>
      </c>
      <c r="Y5155">
        <v>0.2159314</v>
      </c>
      <c r="Z5155">
        <v>-5.5340359999999998E-2</v>
      </c>
      <c r="AA5155">
        <v>0.97483900000000001</v>
      </c>
      <c r="AB5155">
        <v>45</v>
      </c>
      <c r="AC5155">
        <v>2.85869999999999</v>
      </c>
      <c r="AD5155">
        <v>-1.1090165975739901</v>
      </c>
      <c r="AE5155">
        <v>14.9722699999999</v>
      </c>
      <c r="AF5155">
        <v>3.38536210720157</v>
      </c>
      <c r="AG5155">
        <v>-1.1090165975739901</v>
      </c>
      <c r="AH5155">
        <v>14.7797130385476</v>
      </c>
      <c r="AI5155">
        <v>94.183289889159397</v>
      </c>
      <c r="AJ5155">
        <v>77.098688911837797</v>
      </c>
      <c r="AK5155">
        <v>15.2029770739939</v>
      </c>
      <c r="AL5155">
        <v>91.923896559401101</v>
      </c>
      <c r="AM5155">
        <v>88.938844452350395</v>
      </c>
      <c r="AN5155">
        <v>1.00000000495139</v>
      </c>
    </row>
    <row r="5156" spans="1:40" x14ac:dyDescent="0.25">
      <c r="A5156" t="str">
        <f>"20190305135734261"</f>
        <v>20190305135734261</v>
      </c>
      <c r="B5156" t="str">
        <f>"1551765454257619"</f>
        <v>1551765454257619</v>
      </c>
      <c r="C5156" t="s">
        <v>40</v>
      </c>
      <c r="D5156">
        <v>4.1824009999999996</v>
      </c>
      <c r="E5156">
        <v>0.57575679999999996</v>
      </c>
      <c r="F5156" t="s">
        <v>42</v>
      </c>
      <c r="G5156">
        <v>-185.50790000000001</v>
      </c>
      <c r="H5156" s="1">
        <v>-1.7233239999999999E-6</v>
      </c>
      <c r="I5156">
        <v>101.1999</v>
      </c>
      <c r="J5156">
        <v>-188.3784</v>
      </c>
      <c r="K5156">
        <v>1.109011</v>
      </c>
      <c r="L5156">
        <v>86.240169999999907</v>
      </c>
      <c r="M5156">
        <v>-3.6497719999999997E-2</v>
      </c>
      <c r="N5156">
        <v>-1.463414E-2</v>
      </c>
      <c r="O5156">
        <v>0.99922659999999996</v>
      </c>
      <c r="P5156">
        <v>-1.376848E-2</v>
      </c>
      <c r="Q5156">
        <v>-4.964296E-2</v>
      </c>
      <c r="R5156">
        <v>0.99867209999999995</v>
      </c>
      <c r="S5156">
        <v>0.5591583</v>
      </c>
      <c r="T5156">
        <v>-0.2170918</v>
      </c>
      <c r="U5156">
        <v>3.0035400000000001</v>
      </c>
      <c r="V5156">
        <v>2.269374E-2</v>
      </c>
      <c r="W5156">
        <v>-3.5025399999999998E-2</v>
      </c>
      <c r="X5156">
        <v>0.99912869999999998</v>
      </c>
      <c r="Y5156">
        <v>0.21836179999999999</v>
      </c>
      <c r="Z5156">
        <v>-5.5892259999999999E-2</v>
      </c>
      <c r="AA5156">
        <v>0.97426599999999997</v>
      </c>
      <c r="AB5156">
        <v>45</v>
      </c>
      <c r="AC5156">
        <v>2.8704999999999901</v>
      </c>
      <c r="AD5156">
        <v>-1.1090127233239999</v>
      </c>
      <c r="AE5156">
        <v>14.95973</v>
      </c>
      <c r="AF5156">
        <v>3.39663745814922</v>
      </c>
      <c r="AG5156">
        <v>-1.1090127233239999</v>
      </c>
      <c r="AH5156">
        <v>14.7667107987977</v>
      </c>
      <c r="AI5156">
        <v>94.186067641932098</v>
      </c>
      <c r="AJ5156">
        <v>77.046152160043604</v>
      </c>
      <c r="AK5156">
        <v>15.192853683818701</v>
      </c>
      <c r="AL5156">
        <v>92.007218197138997</v>
      </c>
      <c r="AM5156">
        <v>88.698834304313706</v>
      </c>
      <c r="AN5156">
        <v>0.99999997182201805</v>
      </c>
    </row>
    <row r="5157" spans="1:40" x14ac:dyDescent="0.25">
      <c r="A5157" t="str">
        <f>"20190305135734282"</f>
        <v>20190305135734282</v>
      </c>
      <c r="B5157" t="str">
        <f>"1551765454278116"</f>
        <v>1551765454278116</v>
      </c>
      <c r="C5157" t="s">
        <v>40</v>
      </c>
      <c r="D5157">
        <v>4.1916650000000004</v>
      </c>
      <c r="E5157">
        <v>0.57520680000000002</v>
      </c>
      <c r="F5157" t="s">
        <v>42</v>
      </c>
      <c r="G5157">
        <v>-185.50790000000001</v>
      </c>
      <c r="H5157" s="1">
        <v>-1.792294E-6</v>
      </c>
      <c r="I5157">
        <v>101.4025</v>
      </c>
      <c r="J5157">
        <v>-188.3947</v>
      </c>
      <c r="K5157">
        <v>1.109002</v>
      </c>
      <c r="L5157">
        <v>86.689149999999998</v>
      </c>
      <c r="M5157">
        <v>-3.6499370000000003E-2</v>
      </c>
      <c r="N5157">
        <v>-1.463123E-2</v>
      </c>
      <c r="O5157">
        <v>0.99922659999999996</v>
      </c>
      <c r="P5157">
        <v>-1.0136060000000001E-2</v>
      </c>
      <c r="Q5157">
        <v>-4.9889650000000001E-2</v>
      </c>
      <c r="R5157">
        <v>0.99870329999999996</v>
      </c>
      <c r="S5157">
        <v>0.56813049999999998</v>
      </c>
      <c r="T5157">
        <v>-0.21949460000000001</v>
      </c>
      <c r="U5157">
        <v>3.0009160000000001</v>
      </c>
      <c r="V5157">
        <v>2.6326260000000001E-2</v>
      </c>
      <c r="W5157">
        <v>-3.5276660000000001E-2</v>
      </c>
      <c r="X5157">
        <v>0.9990308</v>
      </c>
      <c r="Y5157">
        <v>0.22131770000000001</v>
      </c>
      <c r="Z5157">
        <v>-5.6689370000000003E-2</v>
      </c>
      <c r="AA5157">
        <v>0.97355259999999999</v>
      </c>
      <c r="AB5157">
        <v>45</v>
      </c>
      <c r="AC5157">
        <v>2.8867999999999898</v>
      </c>
      <c r="AD5157">
        <v>-1.1090037922939999</v>
      </c>
      <c r="AE5157">
        <v>14.71335</v>
      </c>
      <c r="AF5157">
        <v>3.4033430486135501</v>
      </c>
      <c r="AG5157">
        <v>-1.1090037922939999</v>
      </c>
      <c r="AH5157">
        <v>14.518739558089999</v>
      </c>
      <c r="AI5157">
        <v>94.253167084539399</v>
      </c>
      <c r="AJ5157">
        <v>76.807468512472894</v>
      </c>
      <c r="AK5157">
        <v>14.953475571702899</v>
      </c>
      <c r="AL5157">
        <v>92.021623125640602</v>
      </c>
      <c r="AM5157">
        <v>88.490502410426799</v>
      </c>
      <c r="AN5157">
        <v>1.00000002702749</v>
      </c>
    </row>
    <row r="5158" spans="1:40" x14ac:dyDescent="0.25">
      <c r="A5158" t="str">
        <f>"20190305135734306"</f>
        <v>20190305135734306</v>
      </c>
      <c r="B5158" t="str">
        <f>"1551765454297194"</f>
        <v>1551765454297194</v>
      </c>
      <c r="C5158" t="s">
        <v>40</v>
      </c>
      <c r="D5158">
        <v>4.2002350000000002</v>
      </c>
      <c r="E5158">
        <v>0.57491320000000001</v>
      </c>
      <c r="F5158" t="s">
        <v>42</v>
      </c>
      <c r="G5158">
        <v>-185.48099999999999</v>
      </c>
      <c r="H5158" s="1">
        <v>-1.9663199999999998E-6</v>
      </c>
      <c r="I5158">
        <v>101.8929</v>
      </c>
      <c r="J5158">
        <v>-188.41200000000001</v>
      </c>
      <c r="K5158">
        <v>1.1089979999999999</v>
      </c>
      <c r="L5158">
        <v>87.160399999999996</v>
      </c>
      <c r="M5158">
        <v>-3.65008E-2</v>
      </c>
      <c r="N5158">
        <v>-1.4628149999999999E-2</v>
      </c>
      <c r="O5158">
        <v>0.99922659999999996</v>
      </c>
      <c r="P5158">
        <v>-6.4920639999999996E-3</v>
      </c>
      <c r="Q5158">
        <v>-5.0876449999999997E-2</v>
      </c>
      <c r="R5158">
        <v>0.99868389999999996</v>
      </c>
      <c r="S5158">
        <v>0.57470699999999997</v>
      </c>
      <c r="T5158">
        <v>-0.2187394</v>
      </c>
      <c r="U5158">
        <v>2.9987789999999999</v>
      </c>
      <c r="V5158">
        <v>2.996832E-2</v>
      </c>
      <c r="W5158">
        <v>-3.6268889999999998E-2</v>
      </c>
      <c r="X5158">
        <v>0.99889260000000002</v>
      </c>
      <c r="Y5158">
        <v>0.22350690000000001</v>
      </c>
      <c r="Z5158">
        <v>-5.6464569999999999E-2</v>
      </c>
      <c r="AA5158">
        <v>0.97306550000000003</v>
      </c>
      <c r="AB5158">
        <v>45</v>
      </c>
      <c r="AC5158">
        <v>2.9310000000000098</v>
      </c>
      <c r="AD5158">
        <v>-1.1089999663200001</v>
      </c>
      <c r="AE5158">
        <v>14.7325</v>
      </c>
      <c r="AF5158">
        <v>3.4480576670818701</v>
      </c>
      <c r="AG5158">
        <v>-1.1089999663200001</v>
      </c>
      <c r="AH5158">
        <v>14.5364514130166</v>
      </c>
      <c r="AI5158">
        <v>94.245351803983397</v>
      </c>
      <c r="AJ5158">
        <v>76.656011093085894</v>
      </c>
      <c r="AK5158">
        <v>14.980901250719601</v>
      </c>
      <c r="AL5158">
        <v>92.078510227222296</v>
      </c>
      <c r="AM5158">
        <v>88.2815536298409</v>
      </c>
      <c r="AN5158">
        <v>0.99999997946010699</v>
      </c>
    </row>
    <row r="5159" spans="1:40" x14ac:dyDescent="0.25">
      <c r="A5159" t="str">
        <f>"20190305135734329"</f>
        <v>20190305135734329</v>
      </c>
      <c r="B5159" t="str">
        <f>"1551765454317690"</f>
        <v>1551765454317690</v>
      </c>
      <c r="C5159" t="s">
        <v>40</v>
      </c>
      <c r="D5159">
        <v>4.2063110000000004</v>
      </c>
      <c r="E5159">
        <v>0.56702949999999996</v>
      </c>
      <c r="F5159" t="s">
        <v>42</v>
      </c>
      <c r="G5159">
        <v>-185.4838</v>
      </c>
      <c r="H5159" s="1">
        <v>-2.0724190000000002E-6</v>
      </c>
      <c r="I5159">
        <v>102.2069</v>
      </c>
      <c r="J5159">
        <v>-188.42850000000001</v>
      </c>
      <c r="K5159">
        <v>1.1089929999999999</v>
      </c>
      <c r="L5159">
        <v>87.614500000000007</v>
      </c>
      <c r="M5159">
        <v>-3.6497309999999998E-2</v>
      </c>
      <c r="N5159">
        <v>-1.462521E-2</v>
      </c>
      <c r="O5159">
        <v>0.99922670000000002</v>
      </c>
      <c r="P5159">
        <v>-2.5296199999999998E-3</v>
      </c>
      <c r="Q5159">
        <v>-5.1880309999999999E-2</v>
      </c>
      <c r="R5159">
        <v>0.99865009999999999</v>
      </c>
      <c r="S5159">
        <v>0.58312989999999998</v>
      </c>
      <c r="T5159">
        <v>-0.22085579999999999</v>
      </c>
      <c r="U5159">
        <v>2.9964900000000001</v>
      </c>
      <c r="V5159">
        <v>3.392303E-2</v>
      </c>
      <c r="W5159">
        <v>-3.7278569999999997E-2</v>
      </c>
      <c r="X5159">
        <v>0.99872890000000003</v>
      </c>
      <c r="Y5159">
        <v>0.2262662</v>
      </c>
      <c r="Z5159">
        <v>-5.716342E-2</v>
      </c>
      <c r="AA5159">
        <v>0.97238670000000005</v>
      </c>
      <c r="AB5159">
        <v>45</v>
      </c>
      <c r="AC5159">
        <v>2.9447000000000099</v>
      </c>
      <c r="AD5159">
        <v>-1.1089950724189901</v>
      </c>
      <c r="AE5159">
        <v>14.5923999999999</v>
      </c>
      <c r="AF5159">
        <v>3.45619707989322</v>
      </c>
      <c r="AG5159">
        <v>-1.1089950724189901</v>
      </c>
      <c r="AH5159">
        <v>14.3953007361409</v>
      </c>
      <c r="AI5159">
        <v>94.284018480094502</v>
      </c>
      <c r="AJ5159">
        <v>76.499280681804706</v>
      </c>
      <c r="AK5159">
        <v>14.845869850219399</v>
      </c>
      <c r="AL5159">
        <v>92.136399873958993</v>
      </c>
      <c r="AM5159">
        <v>88.054627736643397</v>
      </c>
      <c r="AN5159">
        <v>0.99999993972041601</v>
      </c>
    </row>
    <row r="5160" spans="1:40" x14ac:dyDescent="0.25">
      <c r="A5160" t="str">
        <f>"20190305135734352"</f>
        <v>20190305135734352</v>
      </c>
      <c r="B5160" t="str">
        <f>"1551765454347946"</f>
        <v>1551765454347946</v>
      </c>
      <c r="C5160" t="s">
        <v>40</v>
      </c>
      <c r="D5160">
        <v>4.1731470000000002</v>
      </c>
      <c r="E5160">
        <v>0.56733250000000002</v>
      </c>
      <c r="F5160" t="s">
        <v>42</v>
      </c>
      <c r="G5160">
        <v>-185.3398</v>
      </c>
      <c r="H5160" s="1">
        <v>-3.1569420000000001E-6</v>
      </c>
      <c r="I5160">
        <v>105.06480000000001</v>
      </c>
      <c r="J5160">
        <v>-188.44579999999999</v>
      </c>
      <c r="K5160">
        <v>1.1089819999999999</v>
      </c>
      <c r="L5160">
        <v>88.088840000000005</v>
      </c>
      <c r="M5160">
        <v>-3.6474060000000003E-2</v>
      </c>
      <c r="N5160">
        <v>-1.462215E-2</v>
      </c>
      <c r="O5160">
        <v>0.99922759999999999</v>
      </c>
      <c r="P5160">
        <v>8.1443490000000004E-4</v>
      </c>
      <c r="Q5160">
        <v>-5.283504E-2</v>
      </c>
      <c r="R5160">
        <v>0.99860289999999996</v>
      </c>
      <c r="S5160">
        <v>0.53021240000000003</v>
      </c>
      <c r="T5160">
        <v>-0.1903704</v>
      </c>
      <c r="U5160">
        <v>2.995514</v>
      </c>
      <c r="V5160">
        <v>3.7238859999999999E-2</v>
      </c>
      <c r="W5160">
        <v>-3.8239799999999997E-2</v>
      </c>
      <c r="X5160">
        <v>0.99857450000000003</v>
      </c>
      <c r="Y5160">
        <v>0.2097812</v>
      </c>
      <c r="Z5160">
        <v>-4.7527020000000003E-2</v>
      </c>
      <c r="AA5160">
        <v>0.97659260000000003</v>
      </c>
      <c r="AB5160">
        <v>45</v>
      </c>
      <c r="AC5160">
        <v>3.1059999999999901</v>
      </c>
      <c r="AD5160">
        <v>-1.1089851569419999</v>
      </c>
      <c r="AE5160">
        <v>16.975960000000001</v>
      </c>
      <c r="AF5160">
        <v>3.7078701078295899</v>
      </c>
      <c r="AG5160">
        <v>-1.1089851569419999</v>
      </c>
      <c r="AH5160">
        <v>16.7820621205734</v>
      </c>
      <c r="AI5160">
        <v>93.691916161935396</v>
      </c>
      <c r="AJ5160">
        <v>77.541085522989903</v>
      </c>
      <c r="AK5160">
        <v>17.2225363356748</v>
      </c>
      <c r="AL5160">
        <v>92.191513421192596</v>
      </c>
      <c r="AM5160">
        <v>87.864314319480201</v>
      </c>
      <c r="AN5160">
        <v>1.0000000235241899</v>
      </c>
    </row>
    <row r="5161" spans="1:40" x14ac:dyDescent="0.25">
      <c r="A5161" t="str">
        <f>"20190305135734377"</f>
        <v>20190305135734377</v>
      </c>
      <c r="B5161" t="str">
        <f>"1551765454367467"</f>
        <v>1551765454367467</v>
      </c>
      <c r="C5161" t="s">
        <v>40</v>
      </c>
      <c r="D5161">
        <v>4.1905570000000001</v>
      </c>
      <c r="E5161">
        <v>0.56315119999999996</v>
      </c>
      <c r="F5161" t="s">
        <v>42</v>
      </c>
      <c r="G5161">
        <v>-185.26519999999999</v>
      </c>
      <c r="H5161" s="1">
        <v>-3.4186709999999998E-6</v>
      </c>
      <c r="I5161">
        <v>105.64400000000001</v>
      </c>
      <c r="J5161">
        <v>-188.46369999999999</v>
      </c>
      <c r="K5161">
        <v>1.108949</v>
      </c>
      <c r="L5161">
        <v>88.580410000000001</v>
      </c>
      <c r="M5161">
        <v>-3.641548E-2</v>
      </c>
      <c r="N5161">
        <v>-1.4619129999999999E-2</v>
      </c>
      <c r="O5161">
        <v>0.99922979999999995</v>
      </c>
      <c r="P5161">
        <v>3.4678119999999998E-3</v>
      </c>
      <c r="Q5161">
        <v>-5.3667300000000001E-2</v>
      </c>
      <c r="R5161">
        <v>0.99855289999999997</v>
      </c>
      <c r="S5161">
        <v>0.542404199999999</v>
      </c>
      <c r="T5161">
        <v>-0.18911900000000001</v>
      </c>
      <c r="U5161">
        <v>2.993744</v>
      </c>
      <c r="V5161">
        <v>3.9827979999999999E-2</v>
      </c>
      <c r="W5161">
        <v>-3.9079379999999997E-2</v>
      </c>
      <c r="X5161">
        <v>0.9984421</v>
      </c>
      <c r="Y5161">
        <v>0.21367659999999999</v>
      </c>
      <c r="Z5161">
        <v>-4.7109310000000001E-2</v>
      </c>
      <c r="AA5161">
        <v>0.97576790000000002</v>
      </c>
      <c r="AB5161">
        <v>45</v>
      </c>
      <c r="AC5161">
        <v>3.1984999999999899</v>
      </c>
      <c r="AD5161">
        <v>-1.108952418671</v>
      </c>
      <c r="AE5161">
        <v>17.063589999999898</v>
      </c>
      <c r="AF5161">
        <v>3.8023089283782099</v>
      </c>
      <c r="AG5161">
        <v>-1.108952418671</v>
      </c>
      <c r="AH5161">
        <v>16.866961010821999</v>
      </c>
      <c r="AI5161">
        <v>93.669783277309094</v>
      </c>
      <c r="AJ5161">
        <v>77.2962012660102</v>
      </c>
      <c r="AK5161">
        <v>17.325752578006298</v>
      </c>
      <c r="AL5161">
        <v>92.239653748465201</v>
      </c>
      <c r="AM5161">
        <v>87.715675312166795</v>
      </c>
      <c r="AN5161">
        <v>1.0000000464922301</v>
      </c>
    </row>
    <row r="5162" spans="1:40" x14ac:dyDescent="0.25">
      <c r="A5162" t="str">
        <f>"20190305135734395"</f>
        <v>20190305135734395</v>
      </c>
      <c r="B5162" t="str">
        <f>"1551765454387963"</f>
        <v>1551765454387963</v>
      </c>
      <c r="C5162" t="s">
        <v>40</v>
      </c>
      <c r="D5162">
        <v>4.1835889999999996</v>
      </c>
      <c r="E5162">
        <v>0.56361649999999996</v>
      </c>
      <c r="F5162" t="s">
        <v>42</v>
      </c>
      <c r="G5162">
        <v>-185.45910000000001</v>
      </c>
      <c r="H5162" s="1">
        <v>-3.5251590000000001E-6</v>
      </c>
      <c r="I5162">
        <v>105.97239999999999</v>
      </c>
      <c r="J5162">
        <v>-188.4776</v>
      </c>
      <c r="K5162">
        <v>1.10893</v>
      </c>
      <c r="L5162">
        <v>88.962280000000007</v>
      </c>
      <c r="M5162">
        <v>-3.6344960000000003E-2</v>
      </c>
      <c r="N5162">
        <v>-1.461695E-2</v>
      </c>
      <c r="O5162">
        <v>0.99923240000000002</v>
      </c>
      <c r="P5162">
        <v>6.1181990000000004E-3</v>
      </c>
      <c r="Q5162">
        <v>-5.3439590000000002E-2</v>
      </c>
      <c r="R5162">
        <v>0.99855229999999995</v>
      </c>
      <c r="S5162">
        <v>0.51695249999999904</v>
      </c>
      <c r="T5162">
        <v>-0.19079650000000001</v>
      </c>
      <c r="U5162">
        <v>2.9923099999999998</v>
      </c>
      <c r="V5162">
        <v>4.240406E-2</v>
      </c>
      <c r="W5162">
        <v>-3.8857910000000002E-2</v>
      </c>
      <c r="X5162">
        <v>0.99834460000000003</v>
      </c>
      <c r="Y5162">
        <v>0.20563339999999999</v>
      </c>
      <c r="Z5162">
        <v>-4.7789560000000002E-2</v>
      </c>
      <c r="AA5162">
        <v>0.97746160000000004</v>
      </c>
      <c r="AB5162">
        <v>45</v>
      </c>
      <c r="AC5162">
        <v>3.01849999999998</v>
      </c>
      <c r="AD5162">
        <v>-1.108933525159</v>
      </c>
      <c r="AE5162">
        <v>17.010119999999901</v>
      </c>
      <c r="AF5162">
        <v>3.6198883334933201</v>
      </c>
      <c r="AG5162">
        <v>-1.108933525159</v>
      </c>
      <c r="AH5162">
        <v>16.819856824993501</v>
      </c>
      <c r="AI5162">
        <v>93.687854417877602</v>
      </c>
      <c r="AJ5162">
        <v>77.854336756783695</v>
      </c>
      <c r="AK5162">
        <v>17.240675993807901</v>
      </c>
      <c r="AL5162">
        <v>92.226954930893498</v>
      </c>
      <c r="AM5162">
        <v>87.567859625317894</v>
      </c>
      <c r="AN5162">
        <v>0.99999999091160596</v>
      </c>
    </row>
    <row r="5163" spans="1:40" x14ac:dyDescent="0.25">
      <c r="A5163" t="str">
        <f>"20190305135734418"</f>
        <v>20190305135734418</v>
      </c>
      <c r="B5163" t="str">
        <f>"1551765454408459"</f>
        <v>1551765454408459</v>
      </c>
      <c r="C5163" t="s">
        <v>40</v>
      </c>
      <c r="D5163">
        <v>4.1788980000000002</v>
      </c>
      <c r="E5163">
        <v>0.56381510000000001</v>
      </c>
      <c r="F5163" t="s">
        <v>42</v>
      </c>
      <c r="G5163">
        <v>-185.45269999999999</v>
      </c>
      <c r="H5163" s="1">
        <v>-3.5669640000000002E-6</v>
      </c>
      <c r="I5163">
        <v>106.0672</v>
      </c>
      <c r="J5163">
        <v>-188.4941</v>
      </c>
      <c r="K5163">
        <v>1.1089</v>
      </c>
      <c r="L5163">
        <v>89.418400000000005</v>
      </c>
      <c r="M5163">
        <v>-3.6216239999999997E-2</v>
      </c>
      <c r="N5163">
        <v>-1.4614179999999999E-2</v>
      </c>
      <c r="O5163">
        <v>0.99923709999999999</v>
      </c>
      <c r="P5163">
        <v>8.2673980000000005E-3</v>
      </c>
      <c r="Q5163">
        <v>-5.3669620000000001E-2</v>
      </c>
      <c r="R5163">
        <v>0.99852450000000004</v>
      </c>
      <c r="S5163">
        <v>0.52888489999999999</v>
      </c>
      <c r="T5163">
        <v>-0.19389210000000001</v>
      </c>
      <c r="U5163">
        <v>2.990723</v>
      </c>
      <c r="V5163">
        <v>4.4418810000000003E-2</v>
      </c>
      <c r="W5163">
        <v>-3.9096409999999998E-2</v>
      </c>
      <c r="X5163">
        <v>0.99824769999999896</v>
      </c>
      <c r="Y5163">
        <v>0.20936489999999999</v>
      </c>
      <c r="Z5163">
        <v>-4.8787570000000002E-2</v>
      </c>
      <c r="AA5163">
        <v>0.97661969999999998</v>
      </c>
      <c r="AB5163">
        <v>45</v>
      </c>
      <c r="AC5163">
        <v>3.0413999999999999</v>
      </c>
      <c r="AD5163">
        <v>-1.1089035669639999</v>
      </c>
      <c r="AE5163">
        <v>16.648799999999898</v>
      </c>
      <c r="AF5163">
        <v>3.6268554488473002</v>
      </c>
      <c r="AG5163">
        <v>-1.1089035669639999</v>
      </c>
      <c r="AH5163">
        <v>16.457064974574799</v>
      </c>
      <c r="AI5163">
        <v>93.764782974011496</v>
      </c>
      <c r="AJ5163">
        <v>77.571658256095404</v>
      </c>
      <c r="AK5163">
        <v>16.888420149470299</v>
      </c>
      <c r="AL5163">
        <v>92.240630311828895</v>
      </c>
      <c r="AM5163">
        <v>87.452202834365295</v>
      </c>
      <c r="AN5163">
        <v>1.00000001525599</v>
      </c>
    </row>
    <row r="5164" spans="1:40" x14ac:dyDescent="0.25">
      <c r="A5164" t="str">
        <f>"20190305135734440"</f>
        <v>20190305135734440</v>
      </c>
      <c r="B5164" t="str">
        <f>"1551765454437738"</f>
        <v>1551765454437738</v>
      </c>
      <c r="C5164" t="s">
        <v>40</v>
      </c>
      <c r="D5164">
        <v>4.2292670000000001</v>
      </c>
      <c r="E5164">
        <v>0.5634498</v>
      </c>
      <c r="F5164" t="s">
        <v>42</v>
      </c>
      <c r="G5164">
        <v>-185.38200000000001</v>
      </c>
      <c r="H5164" s="1">
        <v>-3.8725590000000003E-6</v>
      </c>
      <c r="I5164">
        <v>106.7503</v>
      </c>
      <c r="J5164">
        <v>-188.50989999999999</v>
      </c>
      <c r="K5164">
        <v>1.108854</v>
      </c>
      <c r="L5164">
        <v>89.858639999999994</v>
      </c>
      <c r="M5164">
        <v>-3.6031960000000002E-2</v>
      </c>
      <c r="N5164">
        <v>-1.461135E-2</v>
      </c>
      <c r="O5164">
        <v>0.99924380000000002</v>
      </c>
      <c r="P5164">
        <v>1.0669659999999999E-2</v>
      </c>
      <c r="Q5164">
        <v>-5.4325989999999998E-2</v>
      </c>
      <c r="R5164">
        <v>0.99846630000000003</v>
      </c>
      <c r="S5164">
        <v>0.53681950000000001</v>
      </c>
      <c r="T5164">
        <v>-0.19128129999999999</v>
      </c>
      <c r="U5164">
        <v>2.9896850000000001</v>
      </c>
      <c r="V5164">
        <v>4.662873E-2</v>
      </c>
      <c r="W5164">
        <v>-3.9763409999999999E-2</v>
      </c>
      <c r="X5164">
        <v>0.99812049999999997</v>
      </c>
      <c r="Y5164">
        <v>0.21176149999999999</v>
      </c>
      <c r="Z5164">
        <v>-4.7929840000000001E-2</v>
      </c>
      <c r="AA5164">
        <v>0.97614540000000005</v>
      </c>
      <c r="AB5164">
        <v>45</v>
      </c>
      <c r="AC5164">
        <v>3.1278999999999799</v>
      </c>
      <c r="AD5164">
        <v>-1.1088578725589999</v>
      </c>
      <c r="AE5164">
        <v>16.891659999999899</v>
      </c>
      <c r="AF5164">
        <v>3.7190777257706</v>
      </c>
      <c r="AG5164">
        <v>-1.1088578725589999</v>
      </c>
      <c r="AH5164">
        <v>16.6983995960309</v>
      </c>
      <c r="AI5164">
        <v>93.708546641656199</v>
      </c>
      <c r="AJ5164">
        <v>77.443983497075493</v>
      </c>
      <c r="AK5164">
        <v>17.143443469168702</v>
      </c>
      <c r="AL5164">
        <v>92.278876488414198</v>
      </c>
      <c r="AM5164">
        <v>87.325284450127199</v>
      </c>
      <c r="AN5164">
        <v>0.99999994987824403</v>
      </c>
    </row>
    <row r="5165" spans="1:40" x14ac:dyDescent="0.25">
      <c r="A5165" t="str">
        <f>"20190305135734462"</f>
        <v>20190305135734462</v>
      </c>
      <c r="B5165" t="str">
        <f>"1551765454457258"</f>
        <v>1551765454457258</v>
      </c>
      <c r="C5165" t="s">
        <v>40</v>
      </c>
      <c r="D5165">
        <v>4.2162430000000004</v>
      </c>
      <c r="E5165">
        <v>0.56304940000000003</v>
      </c>
      <c r="F5165" t="s">
        <v>42</v>
      </c>
      <c r="G5165">
        <v>-185.346</v>
      </c>
      <c r="H5165" s="1">
        <v>-4.1314160000000004E-6</v>
      </c>
      <c r="I5165">
        <v>107.3389</v>
      </c>
      <c r="J5165">
        <v>-188.5256</v>
      </c>
      <c r="K5165">
        <v>1.1088</v>
      </c>
      <c r="L5165">
        <v>90.300020000000004</v>
      </c>
      <c r="M5165">
        <v>-3.5776849999999999E-2</v>
      </c>
      <c r="N5165">
        <v>-1.4608589999999999E-2</v>
      </c>
      <c r="O5165">
        <v>0.99925299999999995</v>
      </c>
      <c r="P5165">
        <v>1.1965959999999999E-2</v>
      </c>
      <c r="Q5165">
        <v>-5.4056229999999997E-2</v>
      </c>
      <c r="R5165">
        <v>0.99846619999999997</v>
      </c>
      <c r="S5165">
        <v>0.54090879999999997</v>
      </c>
      <c r="T5165">
        <v>-0.1895773</v>
      </c>
      <c r="U5165">
        <v>2.9885250000000001</v>
      </c>
      <c r="V5165">
        <v>4.766401E-2</v>
      </c>
      <c r="W5165">
        <v>-3.9504119999999997E-2</v>
      </c>
      <c r="X5165">
        <v>0.99808189999999997</v>
      </c>
      <c r="Y5165">
        <v>0.21287619999999999</v>
      </c>
      <c r="Z5165">
        <v>-4.738639E-2</v>
      </c>
      <c r="AA5165">
        <v>0.97592939999999995</v>
      </c>
      <c r="AB5165">
        <v>45</v>
      </c>
      <c r="AC5165">
        <v>3.1796000000000202</v>
      </c>
      <c r="AD5165">
        <v>-1.108804131416</v>
      </c>
      <c r="AE5165">
        <v>17.038879999999999</v>
      </c>
      <c r="AF5165">
        <v>3.7717914286961398</v>
      </c>
      <c r="AG5165">
        <v>-1.108804131416</v>
      </c>
      <c r="AH5165">
        <v>16.8452662692724</v>
      </c>
      <c r="AI5165">
        <v>93.675198908899006</v>
      </c>
      <c r="AJ5165">
        <v>77.379177563192698</v>
      </c>
      <c r="AK5165">
        <v>17.297943602235499</v>
      </c>
      <c r="AL5165">
        <v>92.264008568470501</v>
      </c>
      <c r="AM5165">
        <v>87.265882309060601</v>
      </c>
      <c r="AN5165">
        <v>0.99999995622693105</v>
      </c>
    </row>
    <row r="5166" spans="1:40" x14ac:dyDescent="0.25">
      <c r="A5166" t="str">
        <f>"20190305135734484"</f>
        <v>20190305135734484</v>
      </c>
      <c r="B5166" t="str">
        <f>"1551765454477755"</f>
        <v>1551765454477755</v>
      </c>
      <c r="C5166" t="s">
        <v>40</v>
      </c>
      <c r="D5166">
        <v>4.2183960000000003</v>
      </c>
      <c r="E5166">
        <v>0.56281139999999996</v>
      </c>
      <c r="F5166" t="s">
        <v>42</v>
      </c>
      <c r="G5166">
        <v>-185.3442</v>
      </c>
      <c r="H5166" s="1">
        <v>-4.3522179999999997E-6</v>
      </c>
      <c r="I5166">
        <v>107.8528</v>
      </c>
      <c r="J5166">
        <v>-188.54140000000001</v>
      </c>
      <c r="K5166">
        <v>1.108735</v>
      </c>
      <c r="L5166">
        <v>90.749300000000005</v>
      </c>
      <c r="M5166">
        <v>-3.5439819999999997E-2</v>
      </c>
      <c r="N5166">
        <v>-1.46059E-2</v>
      </c>
      <c r="O5166">
        <v>0.99926510000000002</v>
      </c>
      <c r="P5166">
        <v>1.3550919999999999E-2</v>
      </c>
      <c r="Q5166">
        <v>-5.3579429999999997E-2</v>
      </c>
      <c r="R5166">
        <v>0.99847160000000001</v>
      </c>
      <c r="S5166">
        <v>0.54154969999999902</v>
      </c>
      <c r="T5166">
        <v>-0.18874589999999999</v>
      </c>
      <c r="U5166">
        <v>2.9879150000000001</v>
      </c>
      <c r="V5166">
        <v>4.890539E-2</v>
      </c>
      <c r="W5166">
        <v>-3.9039459999999998E-2</v>
      </c>
      <c r="X5166">
        <v>0.99804020000000004</v>
      </c>
      <c r="Y5166">
        <v>0.212787</v>
      </c>
      <c r="Z5166">
        <v>-4.7131230000000003E-2</v>
      </c>
      <c r="AA5166">
        <v>0.97596130000000003</v>
      </c>
      <c r="AB5166">
        <v>45</v>
      </c>
      <c r="AC5166">
        <v>3.1972</v>
      </c>
      <c r="AD5166">
        <v>-1.108739352218</v>
      </c>
      <c r="AE5166">
        <v>17.103499999999901</v>
      </c>
      <c r="AF5166">
        <v>3.7860278335912501</v>
      </c>
      <c r="AG5166">
        <v>-1.108739352218</v>
      </c>
      <c r="AH5166">
        <v>16.910768204644</v>
      </c>
      <c r="AI5166">
        <v>93.660808723730199</v>
      </c>
      <c r="AJ5166">
        <v>77.380564937343607</v>
      </c>
      <c r="AK5166">
        <v>17.3648320170131</v>
      </c>
      <c r="AL5166">
        <v>92.237364794099193</v>
      </c>
      <c r="AM5166">
        <v>87.194669166902301</v>
      </c>
      <c r="AN5166">
        <v>1.00000002871209</v>
      </c>
    </row>
    <row r="5167" spans="1:40" x14ac:dyDescent="0.25">
      <c r="A5167" t="str">
        <f>"20190305135734508"</f>
        <v>20190305135734508</v>
      </c>
      <c r="B5167" t="str">
        <f>"1551765454497275"</f>
        <v>1551765454497275</v>
      </c>
      <c r="C5167" t="s">
        <v>40</v>
      </c>
      <c r="D5167">
        <v>4.2080010000000003</v>
      </c>
      <c r="E5167">
        <v>0.56272939999999905</v>
      </c>
      <c r="F5167" t="s">
        <v>42</v>
      </c>
      <c r="G5167">
        <v>-185.30869999999999</v>
      </c>
      <c r="H5167" s="1">
        <v>-4.6319620000000001E-6</v>
      </c>
      <c r="I5167">
        <v>108.4902</v>
      </c>
      <c r="J5167">
        <v>-188.5574</v>
      </c>
      <c r="K5167">
        <v>1.1086579999999999</v>
      </c>
      <c r="L5167">
        <v>91.211609999999993</v>
      </c>
      <c r="M5167">
        <v>-3.5011790000000001E-2</v>
      </c>
      <c r="N5167">
        <v>-1.4603410000000001E-2</v>
      </c>
      <c r="O5167">
        <v>0.99928019999999995</v>
      </c>
      <c r="P5167">
        <v>1.521114E-2</v>
      </c>
      <c r="Q5167">
        <v>-5.2811619999999997E-2</v>
      </c>
      <c r="R5167">
        <v>0.99848870000000001</v>
      </c>
      <c r="S5167">
        <v>0.54431149999999995</v>
      </c>
      <c r="T5167">
        <v>-0.18668760000000001</v>
      </c>
      <c r="U5167">
        <v>2.9871829999999999</v>
      </c>
      <c r="V5167">
        <v>5.013128E-2</v>
      </c>
      <c r="W5167">
        <v>-3.8284789999999999E-2</v>
      </c>
      <c r="X5167">
        <v>0.99800860000000002</v>
      </c>
      <c r="Y5167">
        <v>0.21329020000000001</v>
      </c>
      <c r="Z5167">
        <v>-4.6470299999999999E-2</v>
      </c>
      <c r="AA5167">
        <v>0.9758831</v>
      </c>
      <c r="AB5167">
        <v>45</v>
      </c>
      <c r="AC5167">
        <v>3.2487000000000101</v>
      </c>
      <c r="AD5167">
        <v>-1.1086626319620001</v>
      </c>
      <c r="AE5167">
        <v>17.278590000000001</v>
      </c>
      <c r="AF5167">
        <v>3.8364711723629301</v>
      </c>
      <c r="AG5167">
        <v>-1.1086626319620001</v>
      </c>
      <c r="AH5167">
        <v>17.086296635799702</v>
      </c>
      <c r="AI5167">
        <v>93.622548550231102</v>
      </c>
      <c r="AJ5167">
        <v>77.3449791962516</v>
      </c>
      <c r="AK5167">
        <v>17.546771116488099</v>
      </c>
      <c r="AL5167">
        <v>92.194093059302006</v>
      </c>
      <c r="AM5167">
        <v>87.124374853849204</v>
      </c>
      <c r="AN5167">
        <v>1.00000001802687</v>
      </c>
    </row>
    <row r="5168" spans="1:40" x14ac:dyDescent="0.25">
      <c r="A5168" t="str">
        <f>"20190305135734530"</f>
        <v>20190305135734530</v>
      </c>
      <c r="B5168" t="str">
        <f>"1551765454527530"</f>
        <v>1551765454527530</v>
      </c>
      <c r="C5168" t="s">
        <v>40</v>
      </c>
      <c r="D5168">
        <v>4.2082280000000001</v>
      </c>
      <c r="E5168">
        <v>0.56263459999999998</v>
      </c>
      <c r="F5168" t="s">
        <v>42</v>
      </c>
      <c r="G5168">
        <v>-185.26910000000001</v>
      </c>
      <c r="H5168" s="1">
        <v>-4.9059129999999996E-6</v>
      </c>
      <c r="I5168">
        <v>109.11239999999999</v>
      </c>
      <c r="J5168">
        <v>-188.57300000000001</v>
      </c>
      <c r="K5168">
        <v>1.1085780000000001</v>
      </c>
      <c r="L5168">
        <v>91.668369999999996</v>
      </c>
      <c r="M5168">
        <v>-3.4512590000000003E-2</v>
      </c>
      <c r="N5168">
        <v>-1.4601070000000001E-2</v>
      </c>
      <c r="O5168">
        <v>0.99929760000000001</v>
      </c>
      <c r="P5168">
        <v>1.713771E-2</v>
      </c>
      <c r="Q5168">
        <v>-5.335691E-2</v>
      </c>
      <c r="R5168">
        <v>0.99842850000000005</v>
      </c>
      <c r="S5168">
        <v>0.54858399999999996</v>
      </c>
      <c r="T5168">
        <v>-0.18495790000000001</v>
      </c>
      <c r="U5168">
        <v>2.986389</v>
      </c>
      <c r="V5168">
        <v>5.1548690000000001E-2</v>
      </c>
      <c r="W5168">
        <v>-3.8844660000000003E-2</v>
      </c>
      <c r="X5168">
        <v>0.99791470000000004</v>
      </c>
      <c r="Y5168">
        <v>0.2142038</v>
      </c>
      <c r="Z5168">
        <v>-4.5912050000000003E-2</v>
      </c>
      <c r="AA5168">
        <v>0.97570939999999995</v>
      </c>
      <c r="AB5168">
        <v>45</v>
      </c>
      <c r="AC5168">
        <v>3.3038999999999699</v>
      </c>
      <c r="AD5168">
        <v>-1.1085829059129999</v>
      </c>
      <c r="AE5168">
        <v>17.444029999999898</v>
      </c>
      <c r="AF5168">
        <v>3.88887203812661</v>
      </c>
      <c r="AG5168">
        <v>-1.1085829059129999</v>
      </c>
      <c r="AH5168">
        <v>17.252333180874299</v>
      </c>
      <c r="AI5168">
        <v>93.586847860072297</v>
      </c>
      <c r="AJ5168">
        <v>77.297184506884193</v>
      </c>
      <c r="AK5168">
        <v>17.719912019310399</v>
      </c>
      <c r="AL5168">
        <v>92.226195253126903</v>
      </c>
      <c r="AM5168">
        <v>87.042934100616307</v>
      </c>
      <c r="AN5168">
        <v>0.99999996176366002</v>
      </c>
    </row>
    <row r="5169" spans="1:40" x14ac:dyDescent="0.25">
      <c r="A5169" t="str">
        <f>"20190305135734552"</f>
        <v>20190305135734552</v>
      </c>
      <c r="B5169" t="str">
        <f>"1551765454548027"</f>
        <v>1551765454548027</v>
      </c>
      <c r="C5169" t="s">
        <v>40</v>
      </c>
      <c r="D5169">
        <v>4.2297219999999998</v>
      </c>
      <c r="E5169">
        <v>0.562590699999999</v>
      </c>
      <c r="F5169" t="s">
        <v>42</v>
      </c>
      <c r="G5169">
        <v>-185.2867</v>
      </c>
      <c r="H5169" s="1">
        <v>-5.0223920000000002E-6</v>
      </c>
      <c r="I5169">
        <v>109.3912</v>
      </c>
      <c r="J5169">
        <v>-188.58840000000001</v>
      </c>
      <c r="K5169">
        <v>1.1085039999999999</v>
      </c>
      <c r="L5169">
        <v>92.127560000000003</v>
      </c>
      <c r="M5169">
        <v>-3.3944990000000001E-2</v>
      </c>
      <c r="N5169">
        <v>-1.459856E-2</v>
      </c>
      <c r="O5169">
        <v>0.99931700000000001</v>
      </c>
      <c r="P5169">
        <v>1.8786110000000002E-2</v>
      </c>
      <c r="Q5169">
        <v>-5.4449440000000002E-2</v>
      </c>
      <c r="R5169">
        <v>0.9983398</v>
      </c>
      <c r="S5169">
        <v>0.55355829999999995</v>
      </c>
      <c r="T5169">
        <v>-0.18673129999999999</v>
      </c>
      <c r="U5169">
        <v>2.9852599999999998</v>
      </c>
      <c r="V5169">
        <v>5.2618819999999997E-2</v>
      </c>
      <c r="W5169">
        <v>-3.9951269999999997E-2</v>
      </c>
      <c r="X5169">
        <v>0.99781520000000001</v>
      </c>
      <c r="Y5169">
        <v>0.21528030000000001</v>
      </c>
      <c r="Z5169">
        <v>-4.6501639999999997E-2</v>
      </c>
      <c r="AA5169">
        <v>0.97544450000000005</v>
      </c>
      <c r="AB5169">
        <v>45</v>
      </c>
      <c r="AC5169">
        <v>3.3017000000000101</v>
      </c>
      <c r="AD5169">
        <v>-1.108509022392</v>
      </c>
      <c r="AE5169">
        <v>17.263639999999899</v>
      </c>
      <c r="AF5169">
        <v>3.8704785255110199</v>
      </c>
      <c r="AG5169">
        <v>-1.108509022392</v>
      </c>
      <c r="AH5169">
        <v>17.0736898668222</v>
      </c>
      <c r="AI5169">
        <v>93.623041146480105</v>
      </c>
      <c r="AJ5169">
        <v>77.227346167886097</v>
      </c>
      <c r="AK5169">
        <v>17.541957756692799</v>
      </c>
      <c r="AL5169">
        <v>92.289648498948793</v>
      </c>
      <c r="AM5169">
        <v>86.981358540431799</v>
      </c>
      <c r="AN5169">
        <v>1.0000000087719201</v>
      </c>
    </row>
    <row r="5170" spans="1:40" x14ac:dyDescent="0.25">
      <c r="A5170" t="str">
        <f>"20190305135734576"</f>
        <v>20190305135734576</v>
      </c>
      <c r="B5170" t="str">
        <f>"1551765454567548"</f>
        <v>1551765454567548</v>
      </c>
      <c r="C5170" t="s">
        <v>40</v>
      </c>
      <c r="D5170">
        <v>4.2349439999999996</v>
      </c>
      <c r="E5170">
        <v>0.56254569999999904</v>
      </c>
      <c r="F5170" t="s">
        <v>42</v>
      </c>
      <c r="G5170">
        <v>-185.30709999999999</v>
      </c>
      <c r="H5170" s="1">
        <v>-1.257976E-6</v>
      </c>
      <c r="I5170">
        <v>109.6754</v>
      </c>
      <c r="J5170">
        <v>-188.60319999999999</v>
      </c>
      <c r="K5170">
        <v>1.1084480000000001</v>
      </c>
      <c r="L5170">
        <v>92.578429999999997</v>
      </c>
      <c r="M5170">
        <v>-3.3344640000000002E-2</v>
      </c>
      <c r="N5170">
        <v>-1.459592E-2</v>
      </c>
      <c r="O5170">
        <v>0.99933729999999998</v>
      </c>
      <c r="P5170">
        <v>2.0707300000000001E-2</v>
      </c>
      <c r="Q5170">
        <v>-5.4784520000000003E-2</v>
      </c>
      <c r="R5170">
        <v>0.99828340000000004</v>
      </c>
      <c r="S5170">
        <v>0.55801389999999995</v>
      </c>
      <c r="T5170">
        <v>-0.18851229999999999</v>
      </c>
      <c r="U5170">
        <v>2.9841920000000002</v>
      </c>
      <c r="V5170">
        <v>5.3931939999999998E-2</v>
      </c>
      <c r="W5170">
        <v>-4.0299450000000001E-2</v>
      </c>
      <c r="X5170">
        <v>0.99773109999999998</v>
      </c>
      <c r="Y5170">
        <v>0.21615719999999999</v>
      </c>
      <c r="Z5170">
        <v>-4.7095070000000003E-2</v>
      </c>
      <c r="AA5170">
        <v>0.97522209999999998</v>
      </c>
      <c r="AB5170">
        <v>45</v>
      </c>
      <c r="AC5170">
        <v>3.2960999999999898</v>
      </c>
      <c r="AD5170">
        <v>-1.1084492579759999</v>
      </c>
      <c r="AE5170">
        <v>17.096969999999899</v>
      </c>
      <c r="AF5170">
        <v>3.8488216322279798</v>
      </c>
      <c r="AG5170">
        <v>-1.1084492579759999</v>
      </c>
      <c r="AH5170">
        <v>16.909014423519501</v>
      </c>
      <c r="AI5170">
        <v>93.657303195530005</v>
      </c>
      <c r="AJ5170">
        <v>77.176841882010706</v>
      </c>
      <c r="AK5170">
        <v>17.376905837605399</v>
      </c>
      <c r="AL5170">
        <v>92.309613787512504</v>
      </c>
      <c r="AM5170">
        <v>86.905911640360301</v>
      </c>
      <c r="AN5170">
        <v>1.0000000238648299</v>
      </c>
    </row>
    <row r="5171" spans="1:40" x14ac:dyDescent="0.25">
      <c r="A5171" t="str">
        <f>"20190305135734597"</f>
        <v>20190305135734597</v>
      </c>
      <c r="B5171" t="str">
        <f>"1551765454588043"</f>
        <v>1551765454588043</v>
      </c>
      <c r="C5171" t="s">
        <v>40</v>
      </c>
      <c r="D5171">
        <v>4.2013939999999996</v>
      </c>
      <c r="E5171">
        <v>0.56248959999999903</v>
      </c>
      <c r="F5171" t="s">
        <v>42</v>
      </c>
      <c r="G5171">
        <v>-185.30160000000001</v>
      </c>
      <c r="H5171" s="1">
        <v>-1.390183E-6</v>
      </c>
      <c r="I5171">
        <v>110.0596</v>
      </c>
      <c r="J5171">
        <v>-188.6172</v>
      </c>
      <c r="K5171">
        <v>1.108403</v>
      </c>
      <c r="L5171">
        <v>93.01276</v>
      </c>
      <c r="M5171">
        <v>-3.2737130000000003E-2</v>
      </c>
      <c r="N5171">
        <v>-1.459333E-2</v>
      </c>
      <c r="O5171">
        <v>0.99935750000000001</v>
      </c>
      <c r="P5171">
        <v>2.3868810000000001E-2</v>
      </c>
      <c r="Q5171">
        <v>-5.4784220000000002E-2</v>
      </c>
      <c r="R5171">
        <v>0.99821289999999996</v>
      </c>
      <c r="S5171">
        <v>0.56341549999999996</v>
      </c>
      <c r="T5171">
        <v>-0.18915270000000001</v>
      </c>
      <c r="U5171">
        <v>2.9830930000000002</v>
      </c>
      <c r="V5171">
        <v>5.6478819999999999E-2</v>
      </c>
      <c r="W5171">
        <v>-4.0313540000000002E-2</v>
      </c>
      <c r="X5171">
        <v>0.99758959999999997</v>
      </c>
      <c r="Y5171">
        <v>0.2173311</v>
      </c>
      <c r="Z5171">
        <v>-4.731287E-2</v>
      </c>
      <c r="AA5171">
        <v>0.9749506</v>
      </c>
      <c r="AB5171">
        <v>45</v>
      </c>
      <c r="AC5171">
        <v>3.3155999999999799</v>
      </c>
      <c r="AD5171">
        <v>-1.1084043901830001</v>
      </c>
      <c r="AE5171">
        <v>17.04684</v>
      </c>
      <c r="AF5171">
        <v>3.8562375544251801</v>
      </c>
      <c r="AG5171">
        <v>-1.1084043901830001</v>
      </c>
      <c r="AH5171">
        <v>16.8604626769269</v>
      </c>
      <c r="AI5171">
        <v>93.666789324036202</v>
      </c>
      <c r="AJ5171">
        <v>77.117191303726997</v>
      </c>
      <c r="AK5171">
        <v>17.331310684664899</v>
      </c>
      <c r="AL5171">
        <v>92.310421740542907</v>
      </c>
      <c r="AM5171">
        <v>86.759642227632</v>
      </c>
      <c r="AN5171">
        <v>1.0000000243220399</v>
      </c>
    </row>
    <row r="5172" spans="1:40" x14ac:dyDescent="0.25">
      <c r="A5172" t="str">
        <f>"20190305135734619"</f>
        <v>20190305135734619</v>
      </c>
      <c r="B5172" t="str">
        <f>"1551765454617323"</f>
        <v>1551765454617323</v>
      </c>
      <c r="C5172" t="s">
        <v>40</v>
      </c>
      <c r="D5172">
        <v>4.1916729999999998</v>
      </c>
      <c r="E5172">
        <v>0.56254669999999996</v>
      </c>
      <c r="F5172" t="s">
        <v>42</v>
      </c>
      <c r="G5172">
        <v>-185.2775</v>
      </c>
      <c r="H5172" s="1">
        <v>-1.5144709999999999E-6</v>
      </c>
      <c r="I5172">
        <v>110.40600000000001</v>
      </c>
      <c r="J5172">
        <v>-188.63130000000001</v>
      </c>
      <c r="K5172">
        <v>1.1083590000000001</v>
      </c>
      <c r="L5172">
        <v>93.458529999999996</v>
      </c>
      <c r="M5172">
        <v>-3.2094230000000001E-2</v>
      </c>
      <c r="N5172">
        <v>-1.459066E-2</v>
      </c>
      <c r="O5172">
        <v>0.99937830000000005</v>
      </c>
      <c r="P5172">
        <v>2.7210829999999998E-2</v>
      </c>
      <c r="Q5172">
        <v>-5.4850660000000002E-2</v>
      </c>
      <c r="R5172">
        <v>0.99812369999999995</v>
      </c>
      <c r="S5172">
        <v>0.57243350000000004</v>
      </c>
      <c r="T5172">
        <v>-0.18998409999999999</v>
      </c>
      <c r="U5172">
        <v>2.9812620000000001</v>
      </c>
      <c r="V5172">
        <v>5.9171050000000003E-2</v>
      </c>
      <c r="W5172">
        <v>-4.0394470000000002E-2</v>
      </c>
      <c r="X5172">
        <v>0.99743020000000004</v>
      </c>
      <c r="Y5172">
        <v>0.2196534</v>
      </c>
      <c r="Z5172">
        <v>-4.7592660000000002E-2</v>
      </c>
      <c r="AA5172">
        <v>0.97441639999999996</v>
      </c>
      <c r="AB5172">
        <v>45</v>
      </c>
      <c r="AC5172">
        <v>3.3538000000000001</v>
      </c>
      <c r="AD5172">
        <v>-1.108360514471</v>
      </c>
      <c r="AE5172">
        <v>16.9474699999999</v>
      </c>
      <c r="AF5172">
        <v>3.8800756817626301</v>
      </c>
      <c r="AG5172">
        <v>-1.108360514471</v>
      </c>
      <c r="AH5172">
        <v>16.762096721709302</v>
      </c>
      <c r="AI5172">
        <v>93.685881442654406</v>
      </c>
      <c r="AJ5172">
        <v>76.966771176761199</v>
      </c>
      <c r="AK5172">
        <v>17.240978418703001</v>
      </c>
      <c r="AL5172">
        <v>92.315062605128006</v>
      </c>
      <c r="AM5172">
        <v>86.604992777909203</v>
      </c>
      <c r="AN5172">
        <v>0.99999996511836098</v>
      </c>
    </row>
    <row r="5173" spans="1:40" x14ac:dyDescent="0.25">
      <c r="A5173" t="str">
        <f>"20190305135734640"</f>
        <v>20190305135734640</v>
      </c>
      <c r="B5173" t="str">
        <f>"1551765454637819"</f>
        <v>1551765454637819</v>
      </c>
      <c r="C5173" t="s">
        <v>40</v>
      </c>
      <c r="D5173">
        <v>4.1312220000000002</v>
      </c>
      <c r="E5173">
        <v>0.56264609999999904</v>
      </c>
      <c r="F5173" t="s">
        <v>42</v>
      </c>
      <c r="G5173">
        <v>-185.21350000000001</v>
      </c>
      <c r="H5173" s="1">
        <v>-1.7097549999999999E-6</v>
      </c>
      <c r="I5173">
        <v>110.9298</v>
      </c>
      <c r="J5173">
        <v>-188.6446</v>
      </c>
      <c r="K5173">
        <v>1.108331</v>
      </c>
      <c r="L5173">
        <v>93.888090000000005</v>
      </c>
      <c r="M5173">
        <v>-3.1464579999999999E-2</v>
      </c>
      <c r="N5173">
        <v>-1.458806E-2</v>
      </c>
      <c r="O5173">
        <v>0.99939840000000002</v>
      </c>
      <c r="P5173">
        <v>3.0659519999999999E-2</v>
      </c>
      <c r="Q5173">
        <v>-5.458578E-2</v>
      </c>
      <c r="R5173">
        <v>0.99803830000000004</v>
      </c>
      <c r="S5173">
        <v>0.58283999999999903</v>
      </c>
      <c r="T5173">
        <v>-0.1890085</v>
      </c>
      <c r="U5173">
        <v>2.9793699999999999</v>
      </c>
      <c r="V5173">
        <v>6.1984730000000002E-2</v>
      </c>
      <c r="W5173">
        <v>-4.0143579999999998E-2</v>
      </c>
      <c r="X5173">
        <v>0.99726950000000003</v>
      </c>
      <c r="Y5173">
        <v>0.22243450000000001</v>
      </c>
      <c r="Z5173">
        <v>-4.727717E-2</v>
      </c>
      <c r="AA5173">
        <v>0.97380069999999996</v>
      </c>
      <c r="AB5173">
        <v>45</v>
      </c>
      <c r="AC5173">
        <v>3.4310999999999798</v>
      </c>
      <c r="AD5173">
        <v>-1.108332709755</v>
      </c>
      <c r="AE5173">
        <v>17.041709999999899</v>
      </c>
      <c r="AF5173">
        <v>3.9496130626667001</v>
      </c>
      <c r="AG5173">
        <v>-1.108332709755</v>
      </c>
      <c r="AH5173">
        <v>16.856778465789802</v>
      </c>
      <c r="AI5173">
        <v>93.662862982289397</v>
      </c>
      <c r="AJ5173">
        <v>76.813237657801196</v>
      </c>
      <c r="AK5173">
        <v>17.3487413083778</v>
      </c>
      <c r="AL5173">
        <v>92.300675836942503</v>
      </c>
      <c r="AM5173">
        <v>86.443387984242307</v>
      </c>
      <c r="AN5173">
        <v>1.0000000346993101</v>
      </c>
    </row>
    <row r="5174" spans="1:40" x14ac:dyDescent="0.25">
      <c r="A5174" t="str">
        <f>"20190305135734664"</f>
        <v>20190305135734664</v>
      </c>
      <c r="B5174" t="str">
        <f>"1551765454657339"</f>
        <v>1551765454657339</v>
      </c>
      <c r="C5174" t="s">
        <v>40</v>
      </c>
      <c r="D5174">
        <v>4.0420389999999999</v>
      </c>
      <c r="E5174">
        <v>0.5627645</v>
      </c>
      <c r="F5174" t="s">
        <v>42</v>
      </c>
      <c r="G5174">
        <v>-185.1147</v>
      </c>
      <c r="H5174" s="1">
        <v>-1.9601609999999999E-6</v>
      </c>
      <c r="I5174">
        <v>111.58839999999999</v>
      </c>
      <c r="J5174">
        <v>-188.65870000000001</v>
      </c>
      <c r="K5174">
        <v>1.1083130000000001</v>
      </c>
      <c r="L5174">
        <v>94.354770000000002</v>
      </c>
      <c r="M5174">
        <v>-3.0775759999999999E-2</v>
      </c>
      <c r="N5174">
        <v>-1.4585239999999999E-2</v>
      </c>
      <c r="O5174">
        <v>0.99941990000000003</v>
      </c>
      <c r="P5174">
        <v>3.3995079999999997E-2</v>
      </c>
      <c r="Q5174">
        <v>-5.4167449999999999E-2</v>
      </c>
      <c r="R5174">
        <v>0.99795299999999998</v>
      </c>
      <c r="S5174">
        <v>0.59378050000000004</v>
      </c>
      <c r="T5174">
        <v>-0.18643770000000001</v>
      </c>
      <c r="U5174">
        <v>2.9774479999999999</v>
      </c>
      <c r="V5174">
        <v>6.4627130000000005E-2</v>
      </c>
      <c r="W5174">
        <v>-3.9739080000000003E-2</v>
      </c>
      <c r="X5174">
        <v>0.9971179</v>
      </c>
      <c r="Y5174">
        <v>0.22533130000000001</v>
      </c>
      <c r="Z5174">
        <v>-4.643945E-2</v>
      </c>
      <c r="AA5174">
        <v>0.97317480000000001</v>
      </c>
      <c r="AB5174">
        <v>45</v>
      </c>
      <c r="AC5174">
        <v>3.5440000000000098</v>
      </c>
      <c r="AD5174">
        <v>-1.1083149601609901</v>
      </c>
      <c r="AE5174">
        <v>17.233629999999899</v>
      </c>
      <c r="AF5174">
        <v>4.0566580867172997</v>
      </c>
      <c r="AG5174">
        <v>-1.1083149601609901</v>
      </c>
      <c r="AH5174">
        <v>17.048732677525901</v>
      </c>
      <c r="AI5174">
        <v>93.618734867867005</v>
      </c>
      <c r="AJ5174">
        <v>76.615657029887799</v>
      </c>
      <c r="AK5174">
        <v>17.559730145796301</v>
      </c>
      <c r="AL5174">
        <v>92.277481302831404</v>
      </c>
      <c r="AM5174">
        <v>86.291622313918793</v>
      </c>
      <c r="AN5174">
        <v>0.99999998345584595</v>
      </c>
    </row>
    <row r="5175" spans="1:40" x14ac:dyDescent="0.25">
      <c r="A5175" t="str">
        <f>"20190305135734684"</f>
        <v>20190305135734684</v>
      </c>
      <c r="B5175" t="str">
        <f>"1551765454677835"</f>
        <v>1551765454677835</v>
      </c>
      <c r="C5175" t="s">
        <v>40</v>
      </c>
      <c r="D5175">
        <v>4.0466800000000003</v>
      </c>
      <c r="E5175">
        <v>0.56284919999999905</v>
      </c>
      <c r="F5175" t="s">
        <v>42</v>
      </c>
      <c r="G5175">
        <v>-184.99809999999999</v>
      </c>
      <c r="H5175" s="1">
        <v>-2.258827E-6</v>
      </c>
      <c r="I5175">
        <v>112.37479999999999</v>
      </c>
      <c r="J5175">
        <v>-188.67089999999999</v>
      </c>
      <c r="K5175">
        <v>1.1082989999999999</v>
      </c>
      <c r="L5175">
        <v>94.764340000000004</v>
      </c>
      <c r="M5175">
        <v>-3.017015E-2</v>
      </c>
      <c r="N5175">
        <v>-1.458277E-2</v>
      </c>
      <c r="O5175">
        <v>0.99943839999999995</v>
      </c>
      <c r="P5175">
        <v>3.8258149999999998E-2</v>
      </c>
      <c r="Q5175">
        <v>-5.3725309999999998E-2</v>
      </c>
      <c r="R5175">
        <v>0.9978226</v>
      </c>
      <c r="S5175">
        <v>0.60447689999999998</v>
      </c>
      <c r="T5175">
        <v>-0.1830137</v>
      </c>
      <c r="U5175">
        <v>2.975616</v>
      </c>
      <c r="V5175">
        <v>6.8279240000000005E-2</v>
      </c>
      <c r="W5175">
        <v>-3.9312399999999997E-2</v>
      </c>
      <c r="X5175">
        <v>0.99689139999999998</v>
      </c>
      <c r="Y5175">
        <v>0.22822729999999999</v>
      </c>
      <c r="Z5175">
        <v>-4.5320369999999999E-2</v>
      </c>
      <c r="AA5175">
        <v>0.97255250000000004</v>
      </c>
      <c r="AB5175">
        <v>45</v>
      </c>
      <c r="AC5175">
        <v>3.6727999999999899</v>
      </c>
      <c r="AD5175">
        <v>-1.10830125882699</v>
      </c>
      <c r="AE5175">
        <v>17.6104599999999</v>
      </c>
      <c r="AF5175">
        <v>4.1866036445789696</v>
      </c>
      <c r="AG5175">
        <v>-1.10830125882699</v>
      </c>
      <c r="AH5175">
        <v>17.425480315411399</v>
      </c>
      <c r="AI5175">
        <v>93.538806743309706</v>
      </c>
      <c r="AJ5175">
        <v>76.490313334052203</v>
      </c>
      <c r="AK5175">
        <v>17.95559372396</v>
      </c>
      <c r="AL5175">
        <v>92.253015202169905</v>
      </c>
      <c r="AM5175">
        <v>86.081807934514202</v>
      </c>
      <c r="AN5175">
        <v>0.99999999140134799</v>
      </c>
    </row>
    <row r="5176" spans="1:40" x14ac:dyDescent="0.25">
      <c r="A5176" t="str">
        <f>"20190305135734707"</f>
        <v>20190305135734707</v>
      </c>
      <c r="B5176" t="str">
        <f>"1551765454697354"</f>
        <v>1551765454697354</v>
      </c>
      <c r="C5176" t="s">
        <v>40</v>
      </c>
      <c r="D5176">
        <v>4.0020810000000004</v>
      </c>
      <c r="E5176">
        <v>0.5628803</v>
      </c>
      <c r="F5176" t="s">
        <v>42</v>
      </c>
      <c r="G5176">
        <v>-184.87039999999999</v>
      </c>
      <c r="H5176" s="1">
        <v>-2.5212340000000002E-6</v>
      </c>
      <c r="I5176">
        <v>113.0461</v>
      </c>
      <c r="J5176">
        <v>-188.6841</v>
      </c>
      <c r="K5176">
        <v>1.108285</v>
      </c>
      <c r="L5176">
        <v>95.219480000000004</v>
      </c>
      <c r="M5176">
        <v>-2.9497800000000001E-2</v>
      </c>
      <c r="N5176">
        <v>-1.4580020000000001E-2</v>
      </c>
      <c r="O5176">
        <v>0.99945850000000003</v>
      </c>
      <c r="P5176">
        <v>4.2455840000000002E-2</v>
      </c>
      <c r="Q5176">
        <v>-5.3255839999999999E-2</v>
      </c>
      <c r="R5176">
        <v>0.99767799999999995</v>
      </c>
      <c r="S5176">
        <v>0.61807250000000002</v>
      </c>
      <c r="T5176">
        <v>-0.18024190000000001</v>
      </c>
      <c r="U5176">
        <v>2.9731450000000001</v>
      </c>
      <c r="V5176">
        <v>7.1799569999999993E-2</v>
      </c>
      <c r="W5176">
        <v>-3.8858650000000002E-2</v>
      </c>
      <c r="X5176">
        <v>0.99666180000000004</v>
      </c>
      <c r="Y5176">
        <v>0.23200309999999999</v>
      </c>
      <c r="Z5176">
        <v>-4.4414290000000002E-2</v>
      </c>
      <c r="AA5176">
        <v>0.97170049999999997</v>
      </c>
      <c r="AB5176">
        <v>45</v>
      </c>
      <c r="AC5176">
        <v>3.8137000000000101</v>
      </c>
      <c r="AD5176">
        <v>-1.108287521234</v>
      </c>
      <c r="AE5176">
        <v>17.826619999999899</v>
      </c>
      <c r="AF5176">
        <v>4.3219680825041502</v>
      </c>
      <c r="AG5176">
        <v>-1.108287521234</v>
      </c>
      <c r="AH5176">
        <v>17.641151616060899</v>
      </c>
      <c r="AI5176">
        <v>93.491825988196794</v>
      </c>
      <c r="AJ5176">
        <v>76.234048798029306</v>
      </c>
      <c r="AK5176">
        <v>18.1966463854402</v>
      </c>
      <c r="AL5176">
        <v>92.226997434578905</v>
      </c>
      <c r="AM5176">
        <v>85.879527206754901</v>
      </c>
      <c r="AN5176">
        <v>0.99999995825562205</v>
      </c>
    </row>
    <row r="5177" spans="1:40" x14ac:dyDescent="0.25">
      <c r="A5177" t="str">
        <f>"20190305135734729"</f>
        <v>20190305135734729</v>
      </c>
      <c r="B5177" t="str">
        <f>"1551765454717851"</f>
        <v>1551765454717851</v>
      </c>
      <c r="C5177" t="s">
        <v>40</v>
      </c>
      <c r="D5177">
        <v>3.9943219999999999</v>
      </c>
      <c r="E5177">
        <v>0.56294379999999999</v>
      </c>
      <c r="F5177" t="s">
        <v>42</v>
      </c>
      <c r="G5177">
        <v>-184.76859999999999</v>
      </c>
      <c r="H5177" s="1">
        <v>-2.7566259999999999E-6</v>
      </c>
      <c r="I5177">
        <v>113.65819999999999</v>
      </c>
      <c r="J5177">
        <v>-188.69649999999999</v>
      </c>
      <c r="K5177">
        <v>1.1082700000000001</v>
      </c>
      <c r="L5177">
        <v>95.658140000000003</v>
      </c>
      <c r="M5177">
        <v>-2.8849779999999998E-2</v>
      </c>
      <c r="N5177">
        <v>-1.4577410000000001E-2</v>
      </c>
      <c r="O5177">
        <v>0.99947739999999996</v>
      </c>
      <c r="P5177">
        <v>4.7012859999999997E-2</v>
      </c>
      <c r="Q5177">
        <v>-5.3180579999999998E-2</v>
      </c>
      <c r="R5177">
        <v>0.99747770000000002</v>
      </c>
      <c r="S5177">
        <v>0.63081359999999997</v>
      </c>
      <c r="T5177">
        <v>-0.17855299999999999</v>
      </c>
      <c r="U5177">
        <v>2.970612</v>
      </c>
      <c r="V5177">
        <v>7.5701749999999998E-2</v>
      </c>
      <c r="W5177">
        <v>-3.8800130000000002E-2</v>
      </c>
      <c r="X5177">
        <v>0.99637529999999996</v>
      </c>
      <c r="Y5177">
        <v>0.2355314</v>
      </c>
      <c r="Z5177">
        <v>-4.38652E-2</v>
      </c>
      <c r="AA5177">
        <v>0.97087630000000003</v>
      </c>
      <c r="AB5177">
        <v>45</v>
      </c>
      <c r="AC5177">
        <v>3.92789999999999</v>
      </c>
      <c r="AD5177">
        <v>-1.108272756626</v>
      </c>
      <c r="AE5177">
        <v>18.000059999999898</v>
      </c>
      <c r="AF5177">
        <v>4.4295887066572099</v>
      </c>
      <c r="AG5177">
        <v>-1.108272756626</v>
      </c>
      <c r="AH5177">
        <v>17.814770140134101</v>
      </c>
      <c r="AI5177">
        <v>93.454901849208895</v>
      </c>
      <c r="AJ5177">
        <v>76.036742193068605</v>
      </c>
      <c r="AK5177">
        <v>18.3906378290433</v>
      </c>
      <c r="AL5177">
        <v>92.2236419248906</v>
      </c>
      <c r="AM5177">
        <v>85.655177659215397</v>
      </c>
      <c r="AN5177">
        <v>0.99999997174558397</v>
      </c>
    </row>
    <row r="5178" spans="1:40" x14ac:dyDescent="0.25">
      <c r="A5178" t="str">
        <f>"20190305135734753"</f>
        <v>20190305135734753</v>
      </c>
      <c r="B5178" t="str">
        <f>"1551765454748107"</f>
        <v>1551765454748107</v>
      </c>
      <c r="C5178" t="s">
        <v>40</v>
      </c>
      <c r="D5178">
        <v>3.9659900000000001</v>
      </c>
      <c r="E5178">
        <v>0.56305519999999998</v>
      </c>
      <c r="F5178" t="s">
        <v>42</v>
      </c>
      <c r="G5178">
        <v>-184.67189999999999</v>
      </c>
      <c r="H5178" s="1">
        <v>-2.9603179999999999E-6</v>
      </c>
      <c r="I5178">
        <v>114.1812</v>
      </c>
      <c r="J5178">
        <v>-188.70930000000001</v>
      </c>
      <c r="K5178">
        <v>1.108249</v>
      </c>
      <c r="L5178">
        <v>96.123540000000006</v>
      </c>
      <c r="M5178">
        <v>-2.8158860000000001E-2</v>
      </c>
      <c r="N5178">
        <v>-1.45746E-2</v>
      </c>
      <c r="O5178">
        <v>0.99949719999999997</v>
      </c>
      <c r="P5178">
        <v>5.1629130000000002E-2</v>
      </c>
      <c r="Q5178">
        <v>-5.306545E-2</v>
      </c>
      <c r="R5178">
        <v>0.99725549999999996</v>
      </c>
      <c r="S5178">
        <v>0.64480590000000004</v>
      </c>
      <c r="T5178">
        <v>-0.17756440000000001</v>
      </c>
      <c r="U5178">
        <v>2.9677120000000001</v>
      </c>
      <c r="V5178">
        <v>7.9620499999999997E-2</v>
      </c>
      <c r="W5178">
        <v>-3.8702149999999998E-2</v>
      </c>
      <c r="X5178">
        <v>0.99607369999999995</v>
      </c>
      <c r="Y5178">
        <v>0.23942730000000001</v>
      </c>
      <c r="Z5178">
        <v>-4.3545889999999997E-2</v>
      </c>
      <c r="AA5178">
        <v>0.9699373</v>
      </c>
      <c r="AB5178">
        <v>45</v>
      </c>
      <c r="AC5178">
        <v>4.0374000000000096</v>
      </c>
      <c r="AD5178">
        <v>-1.1082519603180001</v>
      </c>
      <c r="AE5178">
        <v>18.057659999999998</v>
      </c>
      <c r="AF5178">
        <v>4.5280921331003903</v>
      </c>
      <c r="AG5178">
        <v>-1.1082519603180001</v>
      </c>
      <c r="AH5178">
        <v>17.872682377338801</v>
      </c>
      <c r="AI5178">
        <v>93.439854533296497</v>
      </c>
      <c r="AJ5178">
        <v>75.783104434496195</v>
      </c>
      <c r="AK5178">
        <v>18.470642006563601</v>
      </c>
      <c r="AL5178">
        <v>92.218023694970995</v>
      </c>
      <c r="AM5178">
        <v>85.429816522218303</v>
      </c>
      <c r="AN5178">
        <v>1.00000004813328</v>
      </c>
    </row>
    <row r="5179" spans="1:40" x14ac:dyDescent="0.25">
      <c r="A5179" t="str">
        <f>"20190305135734776"</f>
        <v>20190305135734776</v>
      </c>
      <c r="B5179" t="str">
        <f>"1551765454767627"</f>
        <v>1551765454767627</v>
      </c>
      <c r="C5179" t="s">
        <v>40</v>
      </c>
      <c r="D5179">
        <v>3.9850750000000001</v>
      </c>
      <c r="E5179">
        <v>0.56314709999999901</v>
      </c>
      <c r="F5179" t="s">
        <v>42</v>
      </c>
      <c r="G5179">
        <v>-184.51439999999999</v>
      </c>
      <c r="H5179" s="1">
        <v>-3.2771430000000001E-6</v>
      </c>
      <c r="I5179">
        <v>114.989</v>
      </c>
      <c r="J5179">
        <v>-188.7217</v>
      </c>
      <c r="K5179">
        <v>1.108236</v>
      </c>
      <c r="L5179">
        <v>96.584810000000004</v>
      </c>
      <c r="M5179">
        <v>-2.7467410000000001E-2</v>
      </c>
      <c r="N5179">
        <v>-1.4571870000000001E-2</v>
      </c>
      <c r="O5179">
        <v>0.99951650000000003</v>
      </c>
      <c r="P5179">
        <v>5.6411679999999999E-2</v>
      </c>
      <c r="Q5179">
        <v>-5.3759410000000001E-2</v>
      </c>
      <c r="R5179">
        <v>0.99695919999999905</v>
      </c>
      <c r="S5179">
        <v>0.65927119999999995</v>
      </c>
      <c r="T5179">
        <v>-0.1741713</v>
      </c>
      <c r="U5179">
        <v>2.964874</v>
      </c>
      <c r="V5179">
        <v>8.3701899999999996E-2</v>
      </c>
      <c r="W5179">
        <v>-3.9414449999999997E-2</v>
      </c>
      <c r="X5179">
        <v>0.99571100000000001</v>
      </c>
      <c r="Y5179">
        <v>0.2434703</v>
      </c>
      <c r="Z5179">
        <v>-4.243682E-2</v>
      </c>
      <c r="AA5179">
        <v>0.96897949999999999</v>
      </c>
      <c r="AB5179">
        <v>45</v>
      </c>
      <c r="AC5179">
        <v>4.2073</v>
      </c>
      <c r="AD5179">
        <v>-1.1082392771430001</v>
      </c>
      <c r="AE5179">
        <v>18.4041899999999</v>
      </c>
      <c r="AF5179">
        <v>4.6951022095161603</v>
      </c>
      <c r="AG5179">
        <v>-1.1082392771430001</v>
      </c>
      <c r="AH5179">
        <v>18.218887132318699</v>
      </c>
      <c r="AI5179">
        <v>93.3710894275725</v>
      </c>
      <c r="AJ5179">
        <v>75.549008665521995</v>
      </c>
      <c r="AK5179">
        <v>18.846751109763499</v>
      </c>
      <c r="AL5179">
        <v>92.258866862518602</v>
      </c>
      <c r="AM5179">
        <v>85.194873969051699</v>
      </c>
      <c r="AN5179">
        <v>0.99999995122670504</v>
      </c>
    </row>
    <row r="5180" spans="1:40" x14ac:dyDescent="0.25">
      <c r="A5180" t="str">
        <f>"20190305135734798"</f>
        <v>20190305135734798</v>
      </c>
      <c r="B5180" t="str">
        <f>"1551765454788123"</f>
        <v>1551765454788123</v>
      </c>
      <c r="C5180" t="s">
        <v>40</v>
      </c>
      <c r="D5180">
        <v>3.9420989999999998</v>
      </c>
      <c r="E5180">
        <v>0.56319960000000002</v>
      </c>
      <c r="F5180" t="s">
        <v>42</v>
      </c>
      <c r="G5180">
        <v>-184.44390000000001</v>
      </c>
      <c r="H5180" s="1">
        <v>-3.4534630000000001E-6</v>
      </c>
      <c r="I5180">
        <v>115.38549999999999</v>
      </c>
      <c r="J5180">
        <v>-188.73339999999999</v>
      </c>
      <c r="K5180">
        <v>1.108225</v>
      </c>
      <c r="L5180">
        <v>97.031890000000004</v>
      </c>
      <c r="M5180">
        <v>-2.6789009999999999E-2</v>
      </c>
      <c r="N5180">
        <v>-1.456927E-2</v>
      </c>
      <c r="O5180">
        <v>0.9995349</v>
      </c>
      <c r="P5180">
        <v>6.1167590000000001E-2</v>
      </c>
      <c r="Q5180">
        <v>-5.4496849999999999E-2</v>
      </c>
      <c r="R5180">
        <v>0.99663869999999999</v>
      </c>
      <c r="S5180">
        <v>0.67387390000000003</v>
      </c>
      <c r="T5180">
        <v>-0.17457719999999999</v>
      </c>
      <c r="U5180">
        <v>2.9616090000000002</v>
      </c>
      <c r="V5180">
        <v>8.776958E-2</v>
      </c>
      <c r="W5180">
        <v>-4.0170419999999998E-2</v>
      </c>
      <c r="X5180">
        <v>0.99533050000000001</v>
      </c>
      <c r="Y5180">
        <v>0.24757979999999999</v>
      </c>
      <c r="Z5180">
        <v>-4.2574359999999999E-2</v>
      </c>
      <c r="AA5180">
        <v>0.9679316</v>
      </c>
      <c r="AB5180">
        <v>45</v>
      </c>
      <c r="AC5180">
        <v>4.2894999999999701</v>
      </c>
      <c r="AD5180">
        <v>-1.108228453463</v>
      </c>
      <c r="AE5180">
        <v>18.3536099999999</v>
      </c>
      <c r="AF5180">
        <v>4.7632202818574498</v>
      </c>
      <c r="AG5180">
        <v>-1.108228453463</v>
      </c>
      <c r="AH5180">
        <v>18.169284016547099</v>
      </c>
      <c r="AI5180">
        <v>93.376584296480104</v>
      </c>
      <c r="AJ5180">
        <v>75.310038098881506</v>
      </c>
      <c r="AK5180">
        <v>18.8159325953437</v>
      </c>
      <c r="AL5180">
        <v>92.302215016077696</v>
      </c>
      <c r="AM5180">
        <v>84.9606162488639</v>
      </c>
      <c r="AN5180">
        <v>0.99999998302330095</v>
      </c>
    </row>
    <row r="5181" spans="1:40" x14ac:dyDescent="0.25">
      <c r="A5181" t="str">
        <f>"20190305135734821"</f>
        <v>20190305135734821</v>
      </c>
      <c r="B5181" t="str">
        <f>"1551765454817404"</f>
        <v>1551765454817404</v>
      </c>
      <c r="C5181" t="s">
        <v>40</v>
      </c>
      <c r="D5181">
        <v>3.948642</v>
      </c>
      <c r="E5181">
        <v>0.56318710000000005</v>
      </c>
      <c r="F5181" t="s">
        <v>42</v>
      </c>
      <c r="G5181">
        <v>-184.3973</v>
      </c>
      <c r="H5181" s="1">
        <v>-3.5817789999999998E-6</v>
      </c>
      <c r="I5181">
        <v>115.66540000000001</v>
      </c>
      <c r="J5181">
        <v>-188.74459999999999</v>
      </c>
      <c r="K5181">
        <v>1.1082190000000001</v>
      </c>
      <c r="L5181">
        <v>97.470579999999998</v>
      </c>
      <c r="M5181">
        <v>-2.6109569999999999E-2</v>
      </c>
      <c r="N5181">
        <v>-1.456673E-2</v>
      </c>
      <c r="O5181">
        <v>0.99955300000000002</v>
      </c>
      <c r="P5181">
        <v>6.5751370000000003E-2</v>
      </c>
      <c r="Q5181">
        <v>-5.5625569999999999E-2</v>
      </c>
      <c r="R5181">
        <v>0.99628439999999996</v>
      </c>
      <c r="S5181">
        <v>0.68840029999999997</v>
      </c>
      <c r="T5181">
        <v>-0.1759424</v>
      </c>
      <c r="U5181">
        <v>2.9582519999999999</v>
      </c>
      <c r="V5181">
        <v>9.1662820000000006E-2</v>
      </c>
      <c r="W5181">
        <v>-4.1318140000000003E-2</v>
      </c>
      <c r="X5181">
        <v>0.9949325</v>
      </c>
      <c r="Y5181">
        <v>0.25166300000000003</v>
      </c>
      <c r="Z5181">
        <v>-4.3026000000000002E-2</v>
      </c>
      <c r="AA5181">
        <v>0.966858</v>
      </c>
      <c r="AB5181">
        <v>44</v>
      </c>
      <c r="AC5181">
        <v>4.34729999999999</v>
      </c>
      <c r="AD5181">
        <v>-1.1082225817789999</v>
      </c>
      <c r="AE5181">
        <v>18.19482</v>
      </c>
      <c r="AF5181">
        <v>4.8040669909476099</v>
      </c>
      <c r="AG5181">
        <v>-1.1082225817789999</v>
      </c>
      <c r="AH5181">
        <v>18.0118846421428</v>
      </c>
      <c r="AI5181">
        <v>93.402177546590806</v>
      </c>
      <c r="AJ5181">
        <v>75.065916697229</v>
      </c>
      <c r="AK5181">
        <v>18.674453279979499</v>
      </c>
      <c r="AL5181">
        <v>92.368029214399698</v>
      </c>
      <c r="AM5181">
        <v>84.736216981277494</v>
      </c>
      <c r="AN5181">
        <v>0.99999997040983002</v>
      </c>
    </row>
    <row r="5182" spans="1:40" x14ac:dyDescent="0.25">
      <c r="A5182" t="str">
        <f>"20190305135734841"</f>
        <v>20190305135734841</v>
      </c>
      <c r="B5182" t="str">
        <f>"1551765454837899"</f>
        <v>1551765454837899</v>
      </c>
      <c r="C5182" t="s">
        <v>40</v>
      </c>
      <c r="D5182">
        <v>3.9235699999999998</v>
      </c>
      <c r="E5182">
        <v>0.56319680000000005</v>
      </c>
      <c r="F5182" t="s">
        <v>42</v>
      </c>
      <c r="G5182">
        <v>-184.36959999999999</v>
      </c>
      <c r="H5182" s="1">
        <v>-3.6819389999999999E-6</v>
      </c>
      <c r="I5182">
        <v>115.8874</v>
      </c>
      <c r="J5182">
        <v>-188.75470000000001</v>
      </c>
      <c r="K5182">
        <v>1.108212</v>
      </c>
      <c r="L5182">
        <v>97.875370000000004</v>
      </c>
      <c r="M5182">
        <v>-2.5459860000000001E-2</v>
      </c>
      <c r="N5182">
        <v>-1.456442E-2</v>
      </c>
      <c r="O5182">
        <v>0.99956979999999995</v>
      </c>
      <c r="P5182">
        <v>6.9787059999999998E-2</v>
      </c>
      <c r="Q5182">
        <v>-5.611961E-2</v>
      </c>
      <c r="R5182">
        <v>0.99598209999999998</v>
      </c>
      <c r="S5182">
        <v>0.70196530000000001</v>
      </c>
      <c r="T5182">
        <v>-0.17781150000000001</v>
      </c>
      <c r="U5182">
        <v>2.9549259999999999</v>
      </c>
      <c r="V5182">
        <v>9.5040459999999993E-2</v>
      </c>
      <c r="W5182">
        <v>-4.1830220000000001E-2</v>
      </c>
      <c r="X5182">
        <v>0.99459419999999998</v>
      </c>
      <c r="Y5182">
        <v>0.25546859999999999</v>
      </c>
      <c r="Z5182">
        <v>-4.364444E-2</v>
      </c>
      <c r="AA5182">
        <v>0.96583180000000002</v>
      </c>
      <c r="AB5182">
        <v>44</v>
      </c>
      <c r="AC5182">
        <v>4.38510000000002</v>
      </c>
      <c r="AD5182">
        <v>-1.1082156819390001</v>
      </c>
      <c r="AE5182">
        <v>18.012029999999999</v>
      </c>
      <c r="AF5182">
        <v>4.8250673433783202</v>
      </c>
      <c r="AG5182">
        <v>-1.1082156819390001</v>
      </c>
      <c r="AH5182">
        <v>17.8308124435335</v>
      </c>
      <c r="AI5182">
        <v>93.433286054142499</v>
      </c>
      <c r="AJ5182">
        <v>74.858239891106095</v>
      </c>
      <c r="AK5182">
        <v>18.505331374020301</v>
      </c>
      <c r="AL5182">
        <v>92.397394461360705</v>
      </c>
      <c r="AM5182">
        <v>84.541559601809894</v>
      </c>
      <c r="AN5182">
        <v>1.00000003950794</v>
      </c>
    </row>
    <row r="5183" spans="1:40" x14ac:dyDescent="0.25">
      <c r="A5183" t="str">
        <f>"20190305135734863"</f>
        <v>20190305135734863</v>
      </c>
      <c r="B5183" t="str">
        <f>"1551765454857419"</f>
        <v>1551765454857419</v>
      </c>
      <c r="C5183" t="s">
        <v>40</v>
      </c>
      <c r="D5183">
        <v>3.8975460000000002</v>
      </c>
      <c r="E5183">
        <v>0.56208530000000001</v>
      </c>
      <c r="F5183" t="s">
        <v>42</v>
      </c>
      <c r="G5183">
        <v>-184.31309999999999</v>
      </c>
      <c r="H5183" s="1">
        <v>-3.8452829999999996E-6</v>
      </c>
      <c r="I5183">
        <v>116.2448</v>
      </c>
      <c r="J5183">
        <v>-188.76499999999999</v>
      </c>
      <c r="K5183">
        <v>1.1081989999999999</v>
      </c>
      <c r="L5183">
        <v>98.30453</v>
      </c>
      <c r="M5183">
        <v>-2.4732489999999999E-2</v>
      </c>
      <c r="N5183">
        <v>-1.4562E-2</v>
      </c>
      <c r="O5183">
        <v>0.99958800000000003</v>
      </c>
      <c r="P5183">
        <v>7.3584120000000003E-2</v>
      </c>
      <c r="Q5183">
        <v>-5.5929659999999999E-2</v>
      </c>
      <c r="R5183">
        <v>0.99571949999999998</v>
      </c>
      <c r="S5183">
        <v>0.71377559999999995</v>
      </c>
      <c r="T5183">
        <v>-0.1780958</v>
      </c>
      <c r="U5183">
        <v>2.9520569999999999</v>
      </c>
      <c r="V5183">
        <v>9.8104029999999995E-2</v>
      </c>
      <c r="W5183">
        <v>-4.1659990000000001E-2</v>
      </c>
      <c r="X5183">
        <v>0.99430379999999996</v>
      </c>
      <c r="Y5183">
        <v>0.25862580000000002</v>
      </c>
      <c r="Z5183">
        <v>-4.3745159999999998E-2</v>
      </c>
      <c r="AA5183">
        <v>0.96498660000000003</v>
      </c>
      <c r="AB5183">
        <v>44</v>
      </c>
      <c r="AC5183">
        <v>4.4518999999999904</v>
      </c>
      <c r="AD5183">
        <v>-1.1082028452829999</v>
      </c>
      <c r="AE5183">
        <v>17.940269999999899</v>
      </c>
      <c r="AF5183">
        <v>4.8767634040658496</v>
      </c>
      <c r="AG5183">
        <v>-1.1082028452829999</v>
      </c>
      <c r="AH5183">
        <v>17.760822975215198</v>
      </c>
      <c r="AI5183">
        <v>93.443275057457697</v>
      </c>
      <c r="AJ5183">
        <v>74.646133577990994</v>
      </c>
      <c r="AK5183">
        <v>18.4514977062151</v>
      </c>
      <c r="AL5183">
        <v>92.387632583413406</v>
      </c>
      <c r="AM5183">
        <v>84.365089700897997</v>
      </c>
      <c r="AN5183">
        <v>1.00000000108174</v>
      </c>
    </row>
    <row r="5184" spans="1:40" x14ac:dyDescent="0.25">
      <c r="A5184" t="str">
        <f>"20190305135734886"</f>
        <v>20190305135734886</v>
      </c>
      <c r="B5184" t="str">
        <f>"1551765454877915"</f>
        <v>1551765454877915</v>
      </c>
      <c r="C5184" t="s">
        <v>40</v>
      </c>
      <c r="D5184">
        <v>3.9381140000000001</v>
      </c>
      <c r="E5184">
        <v>0.50070700000000001</v>
      </c>
      <c r="F5184" t="s">
        <v>42</v>
      </c>
      <c r="G5184">
        <v>-184.18279999999999</v>
      </c>
      <c r="H5184" s="1">
        <v>-4.2719440000000001E-6</v>
      </c>
      <c r="I5184">
        <v>117.1854</v>
      </c>
      <c r="J5184">
        <v>-188.7758</v>
      </c>
      <c r="K5184">
        <v>1.108168</v>
      </c>
      <c r="L5184">
        <v>98.772459999999995</v>
      </c>
      <c r="M5184">
        <v>-2.3875500000000001E-2</v>
      </c>
      <c r="N5184">
        <v>-1.4559819999999999E-2</v>
      </c>
      <c r="O5184">
        <v>0.99960890000000002</v>
      </c>
      <c r="P5184">
        <v>7.7104119999999998E-2</v>
      </c>
      <c r="Q5184">
        <v>-5.5286149999999999E-2</v>
      </c>
      <c r="R5184">
        <v>0.99548899999999996</v>
      </c>
      <c r="S5184">
        <v>0.71600339999999996</v>
      </c>
      <c r="T5184">
        <v>-0.1731635</v>
      </c>
      <c r="U5184">
        <v>2.950256</v>
      </c>
      <c r="V5184">
        <v>0.1007622</v>
      </c>
      <c r="W5184">
        <v>-4.1039319999999997E-2</v>
      </c>
      <c r="X5184">
        <v>0.99406369999999999</v>
      </c>
      <c r="Y5184">
        <v>0.25863950000000002</v>
      </c>
      <c r="Z5184">
        <v>-4.2167759999999999E-2</v>
      </c>
      <c r="AA5184">
        <v>0.9650531</v>
      </c>
      <c r="AB5184">
        <v>44</v>
      </c>
      <c r="AC5184">
        <v>4.5930000000000097</v>
      </c>
      <c r="AD5184">
        <v>-1.1081722719439999</v>
      </c>
      <c r="AE5184">
        <v>18.412939999999999</v>
      </c>
      <c r="AF5184">
        <v>5.01425664317689</v>
      </c>
      <c r="AG5184">
        <v>-1.1081722719439999</v>
      </c>
      <c r="AH5184">
        <v>18.235834315396598</v>
      </c>
      <c r="AI5184">
        <v>93.353367793863796</v>
      </c>
      <c r="AJ5184">
        <v>74.625494939082998</v>
      </c>
      <c r="AK5184">
        <v>18.945090885148701</v>
      </c>
      <c r="AL5184">
        <v>92.352040506939602</v>
      </c>
      <c r="AM5184">
        <v>84.212043849656595</v>
      </c>
      <c r="AN5184">
        <v>0.99999994319629404</v>
      </c>
    </row>
    <row r="5185" spans="1:40" x14ac:dyDescent="0.25">
      <c r="A5185" t="str">
        <f>"20190305135734913"</f>
        <v>20190305135734913</v>
      </c>
      <c r="B5185" t="str">
        <f>"1551765454908171"</f>
        <v>1551765454908171</v>
      </c>
      <c r="C5185" t="s">
        <v>40</v>
      </c>
      <c r="D5185">
        <v>3.8421979999999998</v>
      </c>
      <c r="E5185">
        <v>0.50319309999999995</v>
      </c>
      <c r="F5185" t="s">
        <v>73</v>
      </c>
      <c r="G5185">
        <v>-186.58529999999999</v>
      </c>
      <c r="H5185" s="1">
        <v>-3.8369749999999998E-6</v>
      </c>
      <c r="I5185">
        <v>126.749</v>
      </c>
      <c r="J5185">
        <v>-188.7869</v>
      </c>
      <c r="K5185">
        <v>1.108123</v>
      </c>
      <c r="L5185">
        <v>99.271299999999997</v>
      </c>
      <c r="M5185">
        <v>-2.286769E-2</v>
      </c>
      <c r="N5185">
        <v>-1.4603929999999999E-2</v>
      </c>
      <c r="O5185">
        <v>0.99963179999999996</v>
      </c>
      <c r="P5185">
        <v>8.0614290000000005E-2</v>
      </c>
      <c r="Q5185">
        <v>-5.362397E-2</v>
      </c>
      <c r="R5185">
        <v>0.99530180000000001</v>
      </c>
      <c r="S5185">
        <v>0.23402400000000001</v>
      </c>
      <c r="T5185">
        <v>-0.1183925</v>
      </c>
      <c r="U5185">
        <v>2.9888919999999999</v>
      </c>
      <c r="V5185">
        <v>0.1032624</v>
      </c>
      <c r="W5185">
        <v>-3.9359869999999998E-2</v>
      </c>
      <c r="X5185">
        <v>0.99387510000000001</v>
      </c>
      <c r="Y5185">
        <v>0.1007752</v>
      </c>
      <c r="Z5185">
        <v>-2.4793530000000001E-2</v>
      </c>
      <c r="AA5185">
        <v>0.99460020000000005</v>
      </c>
      <c r="AB5185">
        <v>44</v>
      </c>
      <c r="AC5185">
        <v>2.2016000000000102</v>
      </c>
      <c r="AD5185">
        <v>-1.1081268369749999</v>
      </c>
      <c r="AE5185">
        <v>27.477699999999999</v>
      </c>
      <c r="AF5185">
        <v>2.8248777412863499</v>
      </c>
      <c r="AG5185">
        <v>-1.1081268369749999</v>
      </c>
      <c r="AH5185">
        <v>27.375922919025701</v>
      </c>
      <c r="AI5185">
        <v>92.305732269938503</v>
      </c>
      <c r="AJ5185">
        <v>84.108591293749299</v>
      </c>
      <c r="AK5185">
        <v>27.543584280345101</v>
      </c>
      <c r="AL5185">
        <v>92.255737078350194</v>
      </c>
      <c r="AM5185">
        <v>84.068321974087297</v>
      </c>
      <c r="AN5185">
        <v>1.0000000185100899</v>
      </c>
    </row>
    <row r="5186" spans="1:40" x14ac:dyDescent="0.25">
      <c r="A5186" t="str">
        <f>"20190305135734932"</f>
        <v>20190305135734932</v>
      </c>
      <c r="B5186" t="str">
        <f>"1551765454927692"</f>
        <v>1551765454927692</v>
      </c>
      <c r="C5186" t="s">
        <v>40</v>
      </c>
      <c r="D5186">
        <v>3.8619029999999999</v>
      </c>
      <c r="E5186">
        <v>0.50423279999999904</v>
      </c>
      <c r="F5186" t="s">
        <v>73</v>
      </c>
      <c r="G5186">
        <v>-186.02420000000001</v>
      </c>
      <c r="H5186" s="1">
        <v>-5.3760620000000003E-6</v>
      </c>
      <c r="I5186">
        <v>130.54220000000001</v>
      </c>
      <c r="J5186">
        <v>-188.79519999999999</v>
      </c>
      <c r="K5186">
        <v>1.108101</v>
      </c>
      <c r="L5186">
        <v>99.667940000000002</v>
      </c>
      <c r="M5186">
        <v>-2.1983780000000001E-2</v>
      </c>
      <c r="N5186">
        <v>-1.473404E-2</v>
      </c>
      <c r="O5186">
        <v>0.99964980000000003</v>
      </c>
      <c r="P5186">
        <v>8.3486210000000005E-2</v>
      </c>
      <c r="Q5186">
        <v>-5.194373E-2</v>
      </c>
      <c r="R5186">
        <v>0.99515419999999999</v>
      </c>
      <c r="S5186">
        <v>0.26390079999999999</v>
      </c>
      <c r="T5186">
        <v>-0.10585070000000001</v>
      </c>
      <c r="U5186">
        <v>2.9870610000000002</v>
      </c>
      <c r="V5186">
        <v>0.1052497</v>
      </c>
      <c r="W5186">
        <v>-3.757576E-2</v>
      </c>
      <c r="X5186">
        <v>0.9937357</v>
      </c>
      <c r="Y5186">
        <v>0.1098258</v>
      </c>
      <c r="Z5186">
        <v>-2.0482770000000001E-2</v>
      </c>
      <c r="AA5186">
        <v>0.99373979999999995</v>
      </c>
      <c r="AB5186">
        <v>44</v>
      </c>
      <c r="AC5186">
        <v>2.7709999999999799</v>
      </c>
      <c r="AD5186">
        <v>-1.108106376062</v>
      </c>
      <c r="AE5186">
        <v>30.87426</v>
      </c>
      <c r="AF5186">
        <v>3.4447348601121002</v>
      </c>
      <c r="AG5186">
        <v>-1.108106376062</v>
      </c>
      <c r="AH5186">
        <v>30.766557706017</v>
      </c>
      <c r="AI5186">
        <v>92.0499091466761</v>
      </c>
      <c r="AJ5186">
        <v>83.611563871492294</v>
      </c>
      <c r="AK5186">
        <v>30.978624421927101</v>
      </c>
      <c r="AL5186">
        <v>92.153439331990498</v>
      </c>
      <c r="AM5186">
        <v>83.954161625100596</v>
      </c>
      <c r="AN5186">
        <v>1.00000003927207</v>
      </c>
    </row>
    <row r="5187" spans="1:40" x14ac:dyDescent="0.25">
      <c r="A5187" t="str">
        <f>"20190305135734954"</f>
        <v>20190305135734954</v>
      </c>
      <c r="B5187" t="str">
        <f>"1551765454947210"</f>
        <v>1551765454947210</v>
      </c>
      <c r="C5187" t="s">
        <v>40</v>
      </c>
      <c r="D5187">
        <v>3.943365</v>
      </c>
      <c r="E5187">
        <v>0.50460649999999996</v>
      </c>
      <c r="F5187" t="s">
        <v>73</v>
      </c>
      <c r="G5187">
        <v>-185.66139999999999</v>
      </c>
      <c r="H5187" s="1">
        <v>-6.1867380000000002E-6</v>
      </c>
      <c r="I5187">
        <v>133.01070000000001</v>
      </c>
      <c r="J5187">
        <v>-188.804</v>
      </c>
      <c r="K5187">
        <v>1.1080950000000001</v>
      </c>
      <c r="L5187">
        <v>100.10850000000001</v>
      </c>
      <c r="M5187">
        <v>-2.091585E-2</v>
      </c>
      <c r="N5187">
        <v>-1.5006769999999999E-2</v>
      </c>
      <c r="O5187">
        <v>0.99966860000000002</v>
      </c>
      <c r="P5187">
        <v>8.6430999999999994E-2</v>
      </c>
      <c r="Q5187">
        <v>-5.1336710000000001E-2</v>
      </c>
      <c r="R5187">
        <v>0.99493430000000005</v>
      </c>
      <c r="S5187">
        <v>0.28063959999999999</v>
      </c>
      <c r="T5187">
        <v>-9.9232909999999994E-2</v>
      </c>
      <c r="U5187">
        <v>2.9859010000000001</v>
      </c>
      <c r="V5187">
        <v>0.1071231</v>
      </c>
      <c r="W5187">
        <v>-3.672715E-2</v>
      </c>
      <c r="X5187">
        <v>0.99356719999999998</v>
      </c>
      <c r="Y5187">
        <v>0.11432539999999999</v>
      </c>
      <c r="Z5187">
        <v>-1.8006040000000001E-2</v>
      </c>
      <c r="AA5187">
        <v>0.99328019999999995</v>
      </c>
      <c r="AB5187">
        <v>44</v>
      </c>
      <c r="AC5187">
        <v>3.1426000000000101</v>
      </c>
      <c r="AD5187">
        <v>-1.108101186738</v>
      </c>
      <c r="AE5187">
        <v>32.902200000000001</v>
      </c>
      <c r="AF5187">
        <v>3.8258670955954002</v>
      </c>
      <c r="AG5187">
        <v>-1.108101186738</v>
      </c>
      <c r="AH5187">
        <v>32.792404582714802</v>
      </c>
      <c r="AI5187">
        <v>91.922338987268006</v>
      </c>
      <c r="AJ5187">
        <v>83.345425743328704</v>
      </c>
      <c r="AK5187">
        <v>33.0334216452014</v>
      </c>
      <c r="AL5187">
        <v>92.104784030043007</v>
      </c>
      <c r="AM5187">
        <v>83.846331083812501</v>
      </c>
      <c r="AN5187">
        <v>1.0000000115082801</v>
      </c>
    </row>
    <row r="5188" spans="1:40" x14ac:dyDescent="0.25">
      <c r="A5188" t="str">
        <f>"20190305135734978"</f>
        <v>20190305135734978</v>
      </c>
      <c r="B5188" t="str">
        <f>"1551765454967708"</f>
        <v>1551765454967708</v>
      </c>
      <c r="C5188" t="s">
        <v>40</v>
      </c>
      <c r="D5188">
        <v>3.89499</v>
      </c>
      <c r="E5188">
        <v>0.50481799999999999</v>
      </c>
      <c r="F5188" t="s">
        <v>73</v>
      </c>
      <c r="G5188">
        <v>-185.51679999999999</v>
      </c>
      <c r="H5188" s="1">
        <v>-6.40481099999999E-6</v>
      </c>
      <c r="I5188">
        <v>133.6662</v>
      </c>
      <c r="J5188">
        <v>-188.81280000000001</v>
      </c>
      <c r="K5188">
        <v>1.1080859999999999</v>
      </c>
      <c r="L5188">
        <v>100.584</v>
      </c>
      <c r="M5188">
        <v>-1.9644100000000001E-2</v>
      </c>
      <c r="N5188">
        <v>-1.5386789999999999E-2</v>
      </c>
      <c r="O5188">
        <v>0.99968860000000004</v>
      </c>
      <c r="P5188">
        <v>8.9329179999999994E-2</v>
      </c>
      <c r="Q5188">
        <v>-5.0903240000000002E-2</v>
      </c>
      <c r="R5188">
        <v>0.99470060000000005</v>
      </c>
      <c r="S5188">
        <v>0.29237370000000001</v>
      </c>
      <c r="T5188">
        <v>-9.8559499999999994E-2</v>
      </c>
      <c r="U5188">
        <v>2.984772</v>
      </c>
      <c r="V5188">
        <v>0.1087466</v>
      </c>
      <c r="W5188">
        <v>-3.5949139999999997E-2</v>
      </c>
      <c r="X5188">
        <v>0.99341930000000001</v>
      </c>
      <c r="Y5188">
        <v>0.1169644</v>
      </c>
      <c r="Z5188">
        <v>-1.7404469999999998E-2</v>
      </c>
      <c r="AA5188">
        <v>0.99298359999999997</v>
      </c>
      <c r="AB5188">
        <v>44</v>
      </c>
      <c r="AC5188">
        <v>3.2960000000000198</v>
      </c>
      <c r="AD5188">
        <v>-1.1080924048109999</v>
      </c>
      <c r="AE5188">
        <v>33.0822</v>
      </c>
      <c r="AF5188">
        <v>3.9409328796674301</v>
      </c>
      <c r="AG5188">
        <v>-1.1080924048109999</v>
      </c>
      <c r="AH5188">
        <v>32.974429022723797</v>
      </c>
      <c r="AI5188">
        <v>91.911087118197202</v>
      </c>
      <c r="AJ5188">
        <v>83.184632424035399</v>
      </c>
      <c r="AK5188">
        <v>33.227575748379401</v>
      </c>
      <c r="AL5188">
        <v>92.060177832256002</v>
      </c>
      <c r="AM5188">
        <v>83.752878545172607</v>
      </c>
      <c r="AN5188">
        <v>1.0000000346453899</v>
      </c>
    </row>
    <row r="5189" spans="1:40" x14ac:dyDescent="0.25">
      <c r="A5189" t="str">
        <f>"20190305135734999"</f>
        <v>20190305135734999</v>
      </c>
      <c r="B5189" t="str">
        <f>"1551765454987227"</f>
        <v>1551765454987227</v>
      </c>
      <c r="C5189" t="s">
        <v>40</v>
      </c>
      <c r="D5189">
        <v>3.908677</v>
      </c>
      <c r="E5189">
        <v>0.50478279999999998</v>
      </c>
      <c r="F5189" t="s">
        <v>73</v>
      </c>
      <c r="G5189">
        <v>-185.43950000000001</v>
      </c>
      <c r="H5189" s="1">
        <v>-6.451493E-6</v>
      </c>
      <c r="I5189">
        <v>133.79810000000001</v>
      </c>
      <c r="J5189">
        <v>-188.8201</v>
      </c>
      <c r="K5189">
        <v>1.1080680000000001</v>
      </c>
      <c r="L5189">
        <v>101.00960000000001</v>
      </c>
      <c r="M5189">
        <v>-1.8396800000000001E-2</v>
      </c>
      <c r="N5189">
        <v>-1.5787820000000001E-2</v>
      </c>
      <c r="O5189">
        <v>0.99970610000000004</v>
      </c>
      <c r="P5189">
        <v>9.2224470000000003E-2</v>
      </c>
      <c r="Q5189">
        <v>-5.1408460000000003E-2</v>
      </c>
      <c r="R5189">
        <v>0.99441029999999997</v>
      </c>
      <c r="S5189">
        <v>0.30302430000000002</v>
      </c>
      <c r="T5189">
        <v>-9.9541539999999998E-2</v>
      </c>
      <c r="U5189">
        <v>2.983673</v>
      </c>
      <c r="V5189">
        <v>0.11038870000000001</v>
      </c>
      <c r="W5189">
        <v>-3.609002E-2</v>
      </c>
      <c r="X5189">
        <v>0.99323300000000003</v>
      </c>
      <c r="Y5189">
        <v>0.1192677</v>
      </c>
      <c r="Z5189">
        <v>-1.7333009999999999E-2</v>
      </c>
      <c r="AA5189">
        <v>0.9927108</v>
      </c>
      <c r="AB5189">
        <v>44</v>
      </c>
      <c r="AC5189">
        <v>3.3805999999999798</v>
      </c>
      <c r="AD5189">
        <v>-1.1080744514929901</v>
      </c>
      <c r="AE5189">
        <v>32.788499999999999</v>
      </c>
      <c r="AF5189">
        <v>3.9788101072513902</v>
      </c>
      <c r="AG5189">
        <v>-1.1080744514929901</v>
      </c>
      <c r="AH5189">
        <v>32.6838149099502</v>
      </c>
      <c r="AI5189">
        <v>91.927527101128703</v>
      </c>
      <c r="AJ5189">
        <v>83.059170483983493</v>
      </c>
      <c r="AK5189">
        <v>32.943747751697899</v>
      </c>
      <c r="AL5189">
        <v>92.068255029339397</v>
      </c>
      <c r="AM5189">
        <v>83.658128537606203</v>
      </c>
      <c r="AN5189">
        <v>0.99999997346014402</v>
      </c>
    </row>
    <row r="5190" spans="1:40" x14ac:dyDescent="0.25">
      <c r="A5190" t="str">
        <f>"20190305135735023"</f>
        <v>20190305135735023</v>
      </c>
      <c r="B5190" t="str">
        <f>"1551765455017484"</f>
        <v>1551765455017484</v>
      </c>
      <c r="C5190" t="s">
        <v>40</v>
      </c>
      <c r="D5190">
        <v>3.9976759999999998</v>
      </c>
      <c r="E5190">
        <v>0.50489629999999996</v>
      </c>
      <c r="F5190" t="s">
        <v>73</v>
      </c>
      <c r="G5190">
        <v>-185.5026</v>
      </c>
      <c r="H5190" s="1">
        <v>-6.1120500000000002E-6</v>
      </c>
      <c r="I5190">
        <v>132.7484</v>
      </c>
      <c r="J5190">
        <v>-188.8271</v>
      </c>
      <c r="K5190">
        <v>1.1080479999999999</v>
      </c>
      <c r="L5190">
        <v>101.4603</v>
      </c>
      <c r="M5190">
        <v>-1.6960820000000001E-2</v>
      </c>
      <c r="N5190">
        <v>-1.6254609999999999E-2</v>
      </c>
      <c r="O5190">
        <v>0.99972399999999995</v>
      </c>
      <c r="P5190">
        <v>9.5506469999999996E-2</v>
      </c>
      <c r="Q5190">
        <v>-5.2048669999999998E-2</v>
      </c>
      <c r="R5190">
        <v>0.99406709999999998</v>
      </c>
      <c r="S5190">
        <v>0.31175229999999998</v>
      </c>
      <c r="T5190">
        <v>-0.1041285</v>
      </c>
      <c r="U5190">
        <v>2.9825740000000001</v>
      </c>
      <c r="V5190">
        <v>0.1122283</v>
      </c>
      <c r="W5190">
        <v>-3.6306529999999997E-2</v>
      </c>
      <c r="X5190">
        <v>0.99301890000000004</v>
      </c>
      <c r="Y5190">
        <v>0.1207469</v>
      </c>
      <c r="Z5190">
        <v>-1.8397839999999999E-2</v>
      </c>
      <c r="AA5190">
        <v>0.99251279999999997</v>
      </c>
      <c r="AB5190">
        <v>44</v>
      </c>
      <c r="AC5190">
        <v>3.3245</v>
      </c>
      <c r="AD5190">
        <v>-1.10805411204999</v>
      </c>
      <c r="AE5190">
        <v>31.2881</v>
      </c>
      <c r="AF5190">
        <v>3.8499889095152602</v>
      </c>
      <c r="AG5190">
        <v>-1.10805411204999</v>
      </c>
      <c r="AH5190">
        <v>31.188524811797901</v>
      </c>
      <c r="AI5190">
        <v>92.019412042903596</v>
      </c>
      <c r="AJ5190">
        <v>82.962866731658593</v>
      </c>
      <c r="AK5190">
        <v>31.444781418460401</v>
      </c>
      <c r="AL5190">
        <v>92.080668332207296</v>
      </c>
      <c r="AM5190">
        <v>83.551947129578394</v>
      </c>
      <c r="AN5190">
        <v>0.999999945599369</v>
      </c>
    </row>
    <row r="5191" spans="1:40" x14ac:dyDescent="0.25">
      <c r="A5191" t="str">
        <f>"20190305135735042"</f>
        <v>20190305135735042</v>
      </c>
      <c r="B5191" t="str">
        <f>"1551765455037979"</f>
        <v>1551765455037979</v>
      </c>
      <c r="C5191" t="s">
        <v>40</v>
      </c>
      <c r="D5191">
        <v>3.9715039999999999</v>
      </c>
      <c r="E5191">
        <v>0.50494620000000001</v>
      </c>
      <c r="F5191" t="s">
        <v>73</v>
      </c>
      <c r="G5191">
        <v>-185.72909999999999</v>
      </c>
      <c r="H5191" s="1">
        <v>-5.2350090000000003E-6</v>
      </c>
      <c r="I5191">
        <v>130.04769999999999</v>
      </c>
      <c r="J5191">
        <v>-188.83240000000001</v>
      </c>
      <c r="K5191">
        <v>1.1080110000000001</v>
      </c>
      <c r="L5191">
        <v>101.8368</v>
      </c>
      <c r="M5191">
        <v>-1.5671379999999999E-2</v>
      </c>
      <c r="N5191">
        <v>-1.6657229999999999E-2</v>
      </c>
      <c r="O5191">
        <v>0.99973849999999997</v>
      </c>
      <c r="P5191">
        <v>9.8077899999999996E-2</v>
      </c>
      <c r="Q5191">
        <v>-5.2562730000000002E-2</v>
      </c>
      <c r="R5191">
        <v>0.9937897</v>
      </c>
      <c r="S5191">
        <v>0.323028599999999</v>
      </c>
      <c r="T5191">
        <v>-0.1155365</v>
      </c>
      <c r="U5191">
        <v>2.980804</v>
      </c>
      <c r="V5191">
        <v>0.1135063</v>
      </c>
      <c r="W5191">
        <v>-3.6454920000000002E-2</v>
      </c>
      <c r="X5191">
        <v>0.99286819999999998</v>
      </c>
      <c r="Y5191">
        <v>0.12322569999999999</v>
      </c>
      <c r="Z5191">
        <v>-2.179969E-2</v>
      </c>
      <c r="AA5191">
        <v>0.9921392</v>
      </c>
      <c r="AB5191">
        <v>44</v>
      </c>
      <c r="AC5191">
        <v>3.1033000000000102</v>
      </c>
      <c r="AD5191">
        <v>-1.1080162350089999</v>
      </c>
      <c r="AE5191">
        <v>28.210899999999899</v>
      </c>
      <c r="AF5191">
        <v>3.5396887487970599</v>
      </c>
      <c r="AG5191">
        <v>-1.1080162350089999</v>
      </c>
      <c r="AH5191">
        <v>28.1159413074997</v>
      </c>
      <c r="AI5191">
        <v>92.239134576885803</v>
      </c>
      <c r="AJ5191">
        <v>82.824433590331097</v>
      </c>
      <c r="AK5191">
        <v>28.359535469082999</v>
      </c>
      <c r="AL5191">
        <v>92.089176072236597</v>
      </c>
      <c r="AM5191">
        <v>83.478167595376505</v>
      </c>
      <c r="AN5191">
        <v>0.99999995195156699</v>
      </c>
    </row>
    <row r="5192" spans="1:40" x14ac:dyDescent="0.25">
      <c r="A5192" t="str">
        <f>"20190305135735064"</f>
        <v>20190305135735064</v>
      </c>
      <c r="B5192" t="str">
        <f>"1551765455057500"</f>
        <v>1551765455057500</v>
      </c>
      <c r="C5192" t="s">
        <v>40</v>
      </c>
      <c r="D5192">
        <v>4.0061499999999999</v>
      </c>
      <c r="E5192">
        <v>0.50501370000000001</v>
      </c>
      <c r="F5192" t="s">
        <v>73</v>
      </c>
      <c r="G5192">
        <v>-185.8227</v>
      </c>
      <c r="H5192" s="1">
        <v>-4.7844619999999999E-6</v>
      </c>
      <c r="I5192">
        <v>128.8887</v>
      </c>
      <c r="J5192">
        <v>-188.83770000000001</v>
      </c>
      <c r="K5192">
        <v>1.10796299999999</v>
      </c>
      <c r="L5192">
        <v>102.2666</v>
      </c>
      <c r="M5192">
        <v>-1.4110879999999999E-2</v>
      </c>
      <c r="N5192">
        <v>-1.7122760000000001E-2</v>
      </c>
      <c r="O5192">
        <v>0.99975380000000003</v>
      </c>
      <c r="P5192">
        <v>0.1007439</v>
      </c>
      <c r="Q5192">
        <v>-5.4205379999999997E-2</v>
      </c>
      <c r="R5192">
        <v>0.9934347</v>
      </c>
      <c r="S5192">
        <v>0.33149719999999999</v>
      </c>
      <c r="T5192">
        <v>-0.1220402</v>
      </c>
      <c r="U5192">
        <v>2.979584</v>
      </c>
      <c r="V5192">
        <v>0.1146037</v>
      </c>
      <c r="W5192">
        <v>-3.7673890000000002E-2</v>
      </c>
      <c r="X5192">
        <v>0.99269660000000004</v>
      </c>
      <c r="Y5192">
        <v>0.12449730000000001</v>
      </c>
      <c r="Z5192">
        <v>-2.3506180000000002E-2</v>
      </c>
      <c r="AA5192">
        <v>0.99194150000000003</v>
      </c>
      <c r="AB5192">
        <v>44</v>
      </c>
      <c r="AC5192">
        <v>3.0150000000000099</v>
      </c>
      <c r="AD5192">
        <v>-1.10796778446199</v>
      </c>
      <c r="AE5192">
        <v>26.6221</v>
      </c>
      <c r="AF5192">
        <v>3.3846278454508401</v>
      </c>
      <c r="AG5192">
        <v>-1.10796778446199</v>
      </c>
      <c r="AH5192">
        <v>26.5315251411612</v>
      </c>
      <c r="AI5192">
        <v>92.3721048661764</v>
      </c>
      <c r="AJ5192">
        <v>82.730042524951699</v>
      </c>
      <c r="AK5192">
        <v>26.769481216110201</v>
      </c>
      <c r="AL5192">
        <v>92.159065976050499</v>
      </c>
      <c r="AM5192">
        <v>83.414536180941695</v>
      </c>
      <c r="AN5192">
        <v>0.99999993484648897</v>
      </c>
    </row>
    <row r="5193" spans="1:40" x14ac:dyDescent="0.25">
      <c r="A5193" t="str">
        <f>"20190305135735088"</f>
        <v>20190305135735088</v>
      </c>
      <c r="B5193" t="str">
        <f>"1551765455077995"</f>
        <v>1551765455077995</v>
      </c>
      <c r="C5193" t="s">
        <v>40</v>
      </c>
      <c r="D5193">
        <v>4.16587</v>
      </c>
      <c r="E5193">
        <v>0.50532699999999997</v>
      </c>
      <c r="F5193" t="s">
        <v>73</v>
      </c>
      <c r="G5193">
        <v>-185.94720000000001</v>
      </c>
      <c r="H5193" s="1">
        <v>-4.2205340000000002E-6</v>
      </c>
      <c r="I5193">
        <v>127.5699</v>
      </c>
      <c r="J5193">
        <v>-188.84270000000001</v>
      </c>
      <c r="K5193">
        <v>1.107909</v>
      </c>
      <c r="L5193">
        <v>102.73260000000001</v>
      </c>
      <c r="M5193">
        <v>-1.232656E-2</v>
      </c>
      <c r="N5193">
        <v>-1.7629490000000001E-2</v>
      </c>
      <c r="O5193">
        <v>0.99976860000000001</v>
      </c>
      <c r="P5193">
        <v>0.1032585</v>
      </c>
      <c r="Q5193">
        <v>-5.5312699999999902E-2</v>
      </c>
      <c r="R5193">
        <v>0.99311539999999998</v>
      </c>
      <c r="S5193">
        <v>0.34021000000000001</v>
      </c>
      <c r="T5193">
        <v>-0.13040850000000001</v>
      </c>
      <c r="U5193">
        <v>2.9782099999999998</v>
      </c>
      <c r="V5193">
        <v>0.1153309</v>
      </c>
      <c r="W5193">
        <v>-3.831495E-2</v>
      </c>
      <c r="X5193">
        <v>0.99258789999999997</v>
      </c>
      <c r="Y5193">
        <v>0.12562980000000001</v>
      </c>
      <c r="Z5193">
        <v>-2.5794580000000001E-2</v>
      </c>
      <c r="AA5193">
        <v>0.99174180000000001</v>
      </c>
      <c r="AB5193">
        <v>43</v>
      </c>
      <c r="AC5193">
        <v>2.89549999999999</v>
      </c>
      <c r="AD5193">
        <v>-1.1079132205339901</v>
      </c>
      <c r="AE5193">
        <v>24.837299999999999</v>
      </c>
      <c r="AF5193">
        <v>3.1952135125185501</v>
      </c>
      <c r="AG5193">
        <v>-1.1079132205339901</v>
      </c>
      <c r="AH5193">
        <v>24.751126616322999</v>
      </c>
      <c r="AI5193">
        <v>92.541905332529296</v>
      </c>
      <c r="AJ5193">
        <v>82.644160235796903</v>
      </c>
      <c r="AK5193">
        <v>24.981095449801</v>
      </c>
      <c r="AL5193">
        <v>92.195822418154506</v>
      </c>
      <c r="AM5193">
        <v>83.372400394836603</v>
      </c>
      <c r="AN5193">
        <v>0.99999999555736097</v>
      </c>
    </row>
    <row r="5194" spans="1:40" x14ac:dyDescent="0.25">
      <c r="A5194" t="str">
        <f>"20190305135735110"</f>
        <v>20190305135735110</v>
      </c>
      <c r="B5194" t="str">
        <f>"1551765455097515"</f>
        <v>1551765455097515</v>
      </c>
      <c r="C5194" t="s">
        <v>40</v>
      </c>
      <c r="D5194">
        <v>4.0174629999999896</v>
      </c>
      <c r="E5194">
        <v>0.50533189999999995</v>
      </c>
      <c r="F5194" t="s">
        <v>73</v>
      </c>
      <c r="G5194">
        <v>-185.93940000000001</v>
      </c>
      <c r="H5194" s="1">
        <v>-4.1534720000000002E-6</v>
      </c>
      <c r="I5194">
        <v>127.40989999999999</v>
      </c>
      <c r="J5194">
        <v>-188.84620000000001</v>
      </c>
      <c r="K5194">
        <v>1.1078749999999999</v>
      </c>
      <c r="L5194">
        <v>103.14619999999999</v>
      </c>
      <c r="M5194">
        <v>-1.0669059999999999E-2</v>
      </c>
      <c r="N5194">
        <v>-1.807247E-2</v>
      </c>
      <c r="O5194">
        <v>0.9997798</v>
      </c>
      <c r="P5194">
        <v>0.1059475</v>
      </c>
      <c r="Q5194">
        <v>-5.6165229999999997E-2</v>
      </c>
      <c r="R5194">
        <v>0.99278429999999995</v>
      </c>
      <c r="S5194">
        <v>0.35023500000000002</v>
      </c>
      <c r="T5194">
        <v>-0.13365339999999901</v>
      </c>
      <c r="U5194">
        <v>2.9769589999999999</v>
      </c>
      <c r="V5194">
        <v>0.1163621</v>
      </c>
      <c r="W5194">
        <v>-3.8759299999999997E-2</v>
      </c>
      <c r="X5194">
        <v>0.99245030000000001</v>
      </c>
      <c r="Y5194">
        <v>0.12732099999999999</v>
      </c>
      <c r="Z5194">
        <v>-2.643829E-2</v>
      </c>
      <c r="AA5194">
        <v>0.99150910000000003</v>
      </c>
      <c r="AB5194">
        <v>43</v>
      </c>
      <c r="AC5194">
        <v>2.9068000000000001</v>
      </c>
      <c r="AD5194">
        <v>-1.1078791534719901</v>
      </c>
      <c r="AE5194">
        <v>24.2637</v>
      </c>
      <c r="AF5194">
        <v>3.1590547412255301</v>
      </c>
      <c r="AG5194">
        <v>-1.1078791534719901</v>
      </c>
      <c r="AH5194">
        <v>24.181599452224699</v>
      </c>
      <c r="AI5194">
        <v>92.601098683660297</v>
      </c>
      <c r="AJ5194">
        <v>82.557099456984801</v>
      </c>
      <c r="AK5194">
        <v>24.412225935882802</v>
      </c>
      <c r="AL5194">
        <v>92.221300692499497</v>
      </c>
      <c r="AM5194">
        <v>83.312757071648306</v>
      </c>
      <c r="AN5194">
        <v>1.0000000098114901</v>
      </c>
    </row>
    <row r="5195" spans="1:40" x14ac:dyDescent="0.25">
      <c r="A5195" t="str">
        <f>"20190305135735131"</f>
        <v>20190305135735131</v>
      </c>
      <c r="B5195" t="str">
        <f>"1551765455118015"</f>
        <v>1551765455118015</v>
      </c>
      <c r="C5195" t="s">
        <v>40</v>
      </c>
      <c r="D5195">
        <v>4.0644460000000002</v>
      </c>
      <c r="E5195">
        <v>0.50519170000000002</v>
      </c>
      <c r="F5195" t="s">
        <v>73</v>
      </c>
      <c r="G5195">
        <v>-186.0094</v>
      </c>
      <c r="H5195" s="1">
        <v>-3.8447569999999999E-6</v>
      </c>
      <c r="I5195">
        <v>126.68819999999999</v>
      </c>
      <c r="J5195">
        <v>-188.84889999999999</v>
      </c>
      <c r="K5195">
        <v>1.1078440000000001</v>
      </c>
      <c r="L5195">
        <v>103.5457</v>
      </c>
      <c r="M5195">
        <v>-9.0163310000000007E-3</v>
      </c>
      <c r="N5195">
        <v>-1.8488149999999998E-2</v>
      </c>
      <c r="O5195">
        <v>0.99978840000000002</v>
      </c>
      <c r="P5195">
        <v>0.10891629999999999</v>
      </c>
      <c r="Q5195">
        <v>-5.692299E-2</v>
      </c>
      <c r="R5195">
        <v>0.99241979999999996</v>
      </c>
      <c r="S5195">
        <v>0.3585663</v>
      </c>
      <c r="T5195">
        <v>-0.1400315</v>
      </c>
      <c r="U5195">
        <v>2.975616</v>
      </c>
      <c r="V5195">
        <v>0.117680199999999</v>
      </c>
      <c r="W5195">
        <v>-3.9133250000000001E-2</v>
      </c>
      <c r="X5195">
        <v>0.99228019999999995</v>
      </c>
      <c r="Y5195">
        <v>0.12845960000000001</v>
      </c>
      <c r="Z5195">
        <v>-2.8155880000000001E-2</v>
      </c>
      <c r="AA5195">
        <v>0.9913149</v>
      </c>
      <c r="AB5195">
        <v>43</v>
      </c>
      <c r="AC5195">
        <v>2.8394999999999802</v>
      </c>
      <c r="AD5195">
        <v>-1.1078478447569999</v>
      </c>
      <c r="AE5195">
        <v>23.142499999999998</v>
      </c>
      <c r="AF5195">
        <v>3.04121475660614</v>
      </c>
      <c r="AG5195">
        <v>-1.1078478447569999</v>
      </c>
      <c r="AH5195">
        <v>23.063883306207401</v>
      </c>
      <c r="AI5195">
        <v>92.726460479627704</v>
      </c>
      <c r="AJ5195">
        <v>82.488286742627196</v>
      </c>
      <c r="AK5195">
        <v>23.2898910947494</v>
      </c>
      <c r="AL5195">
        <v>92.242742698679805</v>
      </c>
      <c r="AM5195">
        <v>83.236555997702098</v>
      </c>
      <c r="AN5195">
        <v>1.0000000180198201</v>
      </c>
    </row>
    <row r="5196" spans="1:40" x14ac:dyDescent="0.25">
      <c r="A5196" t="str">
        <f>"20190305135735154"</f>
        <v>20190305135735154</v>
      </c>
      <c r="B5196" t="str">
        <f>"1551765455137532"</f>
        <v>1551765455137532</v>
      </c>
      <c r="C5196" t="s">
        <v>40</v>
      </c>
      <c r="D5196">
        <v>4.01593</v>
      </c>
      <c r="E5196">
        <v>0.5050287</v>
      </c>
      <c r="F5196" t="s">
        <v>73</v>
      </c>
      <c r="G5196">
        <v>-186.06219999999999</v>
      </c>
      <c r="H5196" s="1">
        <v>-3.6827619999999999E-6</v>
      </c>
      <c r="I5196">
        <v>126.15389999999999</v>
      </c>
      <c r="J5196">
        <v>-188.851</v>
      </c>
      <c r="K5196">
        <v>1.107829</v>
      </c>
      <c r="L5196">
        <v>103.98950000000001</v>
      </c>
      <c r="M5196">
        <v>-7.1376390000000003E-3</v>
      </c>
      <c r="N5196">
        <v>-1.892137E-2</v>
      </c>
      <c r="O5196">
        <v>0.99979549999999995</v>
      </c>
      <c r="P5196">
        <v>0.1113678</v>
      </c>
      <c r="Q5196">
        <v>-5.775918E-2</v>
      </c>
      <c r="R5196">
        <v>0.99209930000000002</v>
      </c>
      <c r="S5196">
        <v>0.36662289999999997</v>
      </c>
      <c r="T5196">
        <v>-0.14574889999999999</v>
      </c>
      <c r="U5196">
        <v>2.974335</v>
      </c>
      <c r="V5196">
        <v>0.1182588</v>
      </c>
      <c r="W5196">
        <v>-3.9560860000000003E-2</v>
      </c>
      <c r="X5196">
        <v>0.99219440000000003</v>
      </c>
      <c r="Y5196">
        <v>0.12928239999999999</v>
      </c>
      <c r="Z5196">
        <v>-2.96371E-2</v>
      </c>
      <c r="AA5196">
        <v>0.99116479999999996</v>
      </c>
      <c r="AB5196">
        <v>43</v>
      </c>
      <c r="AC5196">
        <v>2.7888000000000002</v>
      </c>
      <c r="AD5196">
        <v>-1.107832682762</v>
      </c>
      <c r="AE5196">
        <v>22.164399999999901</v>
      </c>
      <c r="AF5196">
        <v>2.9397290184949401</v>
      </c>
      <c r="AG5196">
        <v>-1.107832682762</v>
      </c>
      <c r="AH5196">
        <v>22.0896008317123</v>
      </c>
      <c r="AI5196">
        <v>92.846029167465204</v>
      </c>
      <c r="AJ5196">
        <v>82.419503963410406</v>
      </c>
      <c r="AK5196">
        <v>22.311874974093101</v>
      </c>
      <c r="AL5196">
        <v>92.267262051364099</v>
      </c>
      <c r="AM5196">
        <v>83.203030159753396</v>
      </c>
      <c r="AN5196">
        <v>0.99999996640636901</v>
      </c>
    </row>
    <row r="5197" spans="1:40" x14ac:dyDescent="0.25">
      <c r="A5197" t="str">
        <f>"20190305135735178"</f>
        <v>20190305135735178</v>
      </c>
      <c r="B5197" t="str">
        <f>"1551765455167787"</f>
        <v>1551765455167787</v>
      </c>
      <c r="C5197" t="s">
        <v>40</v>
      </c>
      <c r="D5197">
        <v>3.988559</v>
      </c>
      <c r="E5197">
        <v>0.50481739999999997</v>
      </c>
      <c r="F5197" t="s">
        <v>73</v>
      </c>
      <c r="G5197">
        <v>-186.1139</v>
      </c>
      <c r="H5197" s="1">
        <v>-3.5894030000000002E-6</v>
      </c>
      <c r="I5197">
        <v>125.82210000000001</v>
      </c>
      <c r="J5197">
        <v>-188.85239999999999</v>
      </c>
      <c r="K5197">
        <v>1.107818</v>
      </c>
      <c r="L5197">
        <v>104.45180000000001</v>
      </c>
      <c r="M5197">
        <v>-5.1525709999999999E-3</v>
      </c>
      <c r="N5197">
        <v>-1.9343119999999998E-2</v>
      </c>
      <c r="O5197">
        <v>0.99979960000000001</v>
      </c>
      <c r="P5197">
        <v>0.11441030000000001</v>
      </c>
      <c r="Q5197">
        <v>-5.8773529999999997E-2</v>
      </c>
      <c r="R5197">
        <v>0.99169350000000001</v>
      </c>
      <c r="S5197">
        <v>0.37275700000000001</v>
      </c>
      <c r="T5197">
        <v>-0.1508697</v>
      </c>
      <c r="U5197">
        <v>2.9732669999999999</v>
      </c>
      <c r="V5197">
        <v>0.1193237</v>
      </c>
      <c r="W5197">
        <v>-4.0177999999999998E-2</v>
      </c>
      <c r="X5197">
        <v>0.99204210000000004</v>
      </c>
      <c r="Y5197">
        <v>0.12936110000000001</v>
      </c>
      <c r="Z5197">
        <v>-3.0932680000000001E-2</v>
      </c>
      <c r="AA5197">
        <v>0.99111499999999997</v>
      </c>
      <c r="AB5197">
        <v>43</v>
      </c>
      <c r="AC5197">
        <v>2.7384999999999802</v>
      </c>
      <c r="AD5197">
        <v>-1.1078215894029999</v>
      </c>
      <c r="AE5197">
        <v>21.3703</v>
      </c>
      <c r="AF5197">
        <v>2.8410846920094102</v>
      </c>
      <c r="AG5197">
        <v>-1.1078215894029999</v>
      </c>
      <c r="AH5197">
        <v>21.299589312528902</v>
      </c>
      <c r="AI5197">
        <v>92.9512593318196</v>
      </c>
      <c r="AJ5197">
        <v>82.402345076427494</v>
      </c>
      <c r="AK5197">
        <v>21.516773359021801</v>
      </c>
      <c r="AL5197">
        <v>92.302649692963399</v>
      </c>
      <c r="AM5197">
        <v>83.1413621462289</v>
      </c>
      <c r="AN5197">
        <v>0.99999997261904905</v>
      </c>
    </row>
    <row r="5198" spans="1:40" x14ac:dyDescent="0.25">
      <c r="A5198" t="str">
        <f>"20190305135735202"</f>
        <v>20190305135735202</v>
      </c>
      <c r="B5198" t="str">
        <f>"1551765455198043"</f>
        <v>1551765455198043</v>
      </c>
      <c r="C5198" t="s">
        <v>40</v>
      </c>
      <c r="D5198">
        <v>4.0493040000000002</v>
      </c>
      <c r="E5198">
        <v>0.50473590000000002</v>
      </c>
      <c r="F5198" t="s">
        <v>73</v>
      </c>
      <c r="G5198">
        <v>-186.16399999999999</v>
      </c>
      <c r="H5198" s="1">
        <v>-3.4881550000000001E-6</v>
      </c>
      <c r="I5198">
        <v>125.4592</v>
      </c>
      <c r="J5198">
        <v>-188.8527</v>
      </c>
      <c r="K5198">
        <v>1.107836</v>
      </c>
      <c r="L5198">
        <v>104.90130000000001</v>
      </c>
      <c r="M5198">
        <v>-3.2118200000000002E-3</v>
      </c>
      <c r="N5198">
        <v>-1.9763909999999999E-2</v>
      </c>
      <c r="O5198">
        <v>0.99979949999999995</v>
      </c>
      <c r="P5198">
        <v>0.1171942</v>
      </c>
      <c r="Q5198">
        <v>-5.912046E-2</v>
      </c>
      <c r="R5198">
        <v>0.99134770000000005</v>
      </c>
      <c r="S5198">
        <v>0.38032529999999998</v>
      </c>
      <c r="T5198">
        <v>-0.156726</v>
      </c>
      <c r="U5198">
        <v>2.9719540000000002</v>
      </c>
      <c r="V5198">
        <v>0.1201802</v>
      </c>
      <c r="W5198">
        <v>-4.0121789999999997E-2</v>
      </c>
      <c r="X5198">
        <v>0.99194099999999996</v>
      </c>
      <c r="Y5198">
        <v>0.12996289999999999</v>
      </c>
      <c r="Z5198">
        <v>-3.2474830000000003E-2</v>
      </c>
      <c r="AA5198">
        <v>0.9909869</v>
      </c>
      <c r="AB5198">
        <v>43</v>
      </c>
      <c r="AC5198">
        <v>2.6886999999999799</v>
      </c>
      <c r="AD5198">
        <v>-1.107839488155</v>
      </c>
      <c r="AE5198">
        <v>20.557899999999901</v>
      </c>
      <c r="AF5198">
        <v>2.7468845089331499</v>
      </c>
      <c r="AG5198">
        <v>-1.107839488155</v>
      </c>
      <c r="AH5198">
        <v>20.490652540514301</v>
      </c>
      <c r="AI5198">
        <v>93.067332345590003</v>
      </c>
      <c r="AJ5198">
        <v>82.364706573029494</v>
      </c>
      <c r="AK5198">
        <v>20.703611384804699</v>
      </c>
      <c r="AL5198">
        <v>92.299426451269298</v>
      </c>
      <c r="AM5198">
        <v>83.091907912097597</v>
      </c>
      <c r="AN5198">
        <v>0.99999999299292197</v>
      </c>
    </row>
    <row r="5199" spans="1:40" x14ac:dyDescent="0.25">
      <c r="A5199" t="str">
        <f>"20190305135735224"</f>
        <v>20190305135735224</v>
      </c>
      <c r="B5199" t="str">
        <f>"1551765455217564"</f>
        <v>1551765455217564</v>
      </c>
      <c r="C5199" t="s">
        <v>40</v>
      </c>
      <c r="D5199">
        <v>4.0601969999999996</v>
      </c>
      <c r="E5199">
        <v>0.50473029999999997</v>
      </c>
      <c r="F5199" t="s">
        <v>73</v>
      </c>
      <c r="G5199">
        <v>-186.16569999999999</v>
      </c>
      <c r="H5199" s="1">
        <v>-3.4885129999999999E-6</v>
      </c>
      <c r="I5199">
        <v>125.4614</v>
      </c>
      <c r="J5199">
        <v>-188.85230000000001</v>
      </c>
      <c r="K5199">
        <v>1.1078680000000001</v>
      </c>
      <c r="L5199">
        <v>105.3116</v>
      </c>
      <c r="M5199">
        <v>-1.4350539999999901E-3</v>
      </c>
      <c r="N5199">
        <v>-2.0164979999999999E-2</v>
      </c>
      <c r="O5199">
        <v>0.99979560000000001</v>
      </c>
      <c r="P5199">
        <v>0.1207391</v>
      </c>
      <c r="Q5199">
        <v>-5.8969559999999997E-2</v>
      </c>
      <c r="R5199">
        <v>0.99093120000000001</v>
      </c>
      <c r="S5199">
        <v>0.3882446</v>
      </c>
      <c r="T5199">
        <v>-0.16007179999999999</v>
      </c>
      <c r="U5199">
        <v>2.9707340000000002</v>
      </c>
      <c r="V5199">
        <v>0.1219647</v>
      </c>
      <c r="W5199">
        <v>-3.9589899999999997E-2</v>
      </c>
      <c r="X5199">
        <v>0.99174450000000003</v>
      </c>
      <c r="Y5199">
        <v>0.13084280000000001</v>
      </c>
      <c r="Z5199">
        <v>-3.3198650000000003E-2</v>
      </c>
      <c r="AA5199">
        <v>0.99084709999999998</v>
      </c>
      <c r="AB5199">
        <v>42</v>
      </c>
      <c r="AC5199">
        <v>2.6866000000000199</v>
      </c>
      <c r="AD5199">
        <v>-1.1078714885130001</v>
      </c>
      <c r="AE5199">
        <v>20.149799999999999</v>
      </c>
      <c r="AF5199">
        <v>2.7074774370829302</v>
      </c>
      <c r="AG5199">
        <v>-1.1078714885130001</v>
      </c>
      <c r="AH5199">
        <v>20.086262981513901</v>
      </c>
      <c r="AI5199">
        <v>93.128750679741003</v>
      </c>
      <c r="AJ5199">
        <v>82.323229093548903</v>
      </c>
      <c r="AK5199">
        <v>20.2981716878617</v>
      </c>
      <c r="AL5199">
        <v>92.268927260907105</v>
      </c>
      <c r="AM5199">
        <v>82.988970934661097</v>
      </c>
      <c r="AN5199">
        <v>0.99999995075417303</v>
      </c>
    </row>
    <row r="5200" spans="1:40" x14ac:dyDescent="0.25">
      <c r="A5200" t="str">
        <f>"20190305135735242"</f>
        <v>20190305135735242</v>
      </c>
      <c r="B5200" t="str">
        <f>"1551765455238059"</f>
        <v>1551765455238059</v>
      </c>
      <c r="C5200" t="s">
        <v>40</v>
      </c>
      <c r="D5200">
        <v>4.086449</v>
      </c>
      <c r="E5200">
        <v>0.50473659999999998</v>
      </c>
      <c r="F5200" t="s">
        <v>73</v>
      </c>
      <c r="G5200">
        <v>-186.11429999999999</v>
      </c>
      <c r="H5200" s="1">
        <v>-3.5557659999999998E-6</v>
      </c>
      <c r="I5200">
        <v>125.69280000000001</v>
      </c>
      <c r="J5200">
        <v>-188.85130000000001</v>
      </c>
      <c r="K5200">
        <v>1.1079000000000001</v>
      </c>
      <c r="L5200">
        <v>105.6683</v>
      </c>
      <c r="M5200">
        <v>1.1162139999999999E-4</v>
      </c>
      <c r="N5200">
        <v>-2.0504439999999999E-2</v>
      </c>
      <c r="O5200">
        <v>0.99978979999999995</v>
      </c>
      <c r="P5200">
        <v>0.1242988</v>
      </c>
      <c r="Q5200">
        <v>-5.9777490000000003E-2</v>
      </c>
      <c r="R5200">
        <v>0.99044259999999995</v>
      </c>
      <c r="S5200">
        <v>0.39888000000000001</v>
      </c>
      <c r="T5200">
        <v>-0.1614004</v>
      </c>
      <c r="U5200">
        <v>2.9692379999999998</v>
      </c>
      <c r="V5200">
        <v>0.1239884</v>
      </c>
      <c r="W5200">
        <v>-4.0079530000000002E-2</v>
      </c>
      <c r="X5200">
        <v>0.99147390000000002</v>
      </c>
      <c r="Y5200">
        <v>0.1328561</v>
      </c>
      <c r="Z5200">
        <v>-3.3310319999999997E-2</v>
      </c>
      <c r="AA5200">
        <v>0.99057539999999999</v>
      </c>
      <c r="AB5200">
        <v>42</v>
      </c>
      <c r="AC5200">
        <v>2.7370000000000201</v>
      </c>
      <c r="AD5200">
        <v>-1.107903555766</v>
      </c>
      <c r="AE5200">
        <v>20.0245</v>
      </c>
      <c r="AF5200">
        <v>2.7265710535326901</v>
      </c>
      <c r="AG5200">
        <v>-1.107903555766</v>
      </c>
      <c r="AH5200">
        <v>19.964811549097099</v>
      </c>
      <c r="AI5200">
        <v>93.147093121631997</v>
      </c>
      <c r="AJ5200">
        <v>82.223291916129995</v>
      </c>
      <c r="AK5200">
        <v>20.180568381237499</v>
      </c>
      <c r="AL5200">
        <v>92.297003181918797</v>
      </c>
      <c r="AM5200">
        <v>82.871901856104799</v>
      </c>
      <c r="AN5200">
        <v>0.99999999322039501</v>
      </c>
    </row>
    <row r="5201" spans="1:40" x14ac:dyDescent="0.25">
      <c r="A5201" t="str">
        <f>"20190305135735266"</f>
        <v>20190305135735266</v>
      </c>
      <c r="B5201" t="str">
        <f>"1551765455257579"</f>
        <v>1551765455257579</v>
      </c>
      <c r="C5201" t="s">
        <v>40</v>
      </c>
      <c r="D5201">
        <v>4.0735460000000003</v>
      </c>
      <c r="E5201">
        <v>0.50471250000000001</v>
      </c>
      <c r="F5201" t="s">
        <v>73</v>
      </c>
      <c r="G5201">
        <v>-186.1063</v>
      </c>
      <c r="H5201" s="1">
        <v>-3.5208720000000001E-6</v>
      </c>
      <c r="I5201">
        <v>125.55419999999999</v>
      </c>
      <c r="J5201">
        <v>-188.8493</v>
      </c>
      <c r="K5201">
        <v>1.107934</v>
      </c>
      <c r="L5201">
        <v>106.108</v>
      </c>
      <c r="M5201">
        <v>2.0163049999999999E-3</v>
      </c>
      <c r="N5201">
        <v>-2.088783E-2</v>
      </c>
      <c r="O5201">
        <v>0.9997798</v>
      </c>
      <c r="P5201">
        <v>0.12807060000000001</v>
      </c>
      <c r="Q5201">
        <v>-6.0134220000000002E-2</v>
      </c>
      <c r="R5201">
        <v>0.9899403</v>
      </c>
      <c r="S5201">
        <v>0.40963749999999999</v>
      </c>
      <c r="T5201">
        <v>-0.1653329</v>
      </c>
      <c r="U5201">
        <v>2.9675750000000001</v>
      </c>
      <c r="V5201">
        <v>0.12587329999999999</v>
      </c>
      <c r="W5201">
        <v>-4.0073520000000001E-2</v>
      </c>
      <c r="X5201">
        <v>0.99123660000000002</v>
      </c>
      <c r="Y5201">
        <v>0.13455639999999999</v>
      </c>
      <c r="Z5201">
        <v>-3.424841E-2</v>
      </c>
      <c r="AA5201">
        <v>0.99031389999999997</v>
      </c>
      <c r="AB5201">
        <v>42</v>
      </c>
      <c r="AC5201">
        <v>2.7429999999999901</v>
      </c>
      <c r="AD5201">
        <v>-1.1079375208719999</v>
      </c>
      <c r="AE5201">
        <v>19.446200000000001</v>
      </c>
      <c r="AF5201">
        <v>2.6951982076593399</v>
      </c>
      <c r="AG5201">
        <v>-1.1079375208719999</v>
      </c>
      <c r="AH5201">
        <v>19.389978602413802</v>
      </c>
      <c r="AI5201">
        <v>93.239232088324101</v>
      </c>
      <c r="AJ5201">
        <v>82.086617237342097</v>
      </c>
      <c r="AK5201">
        <v>19.607725241108199</v>
      </c>
      <c r="AL5201">
        <v>92.296658574193103</v>
      </c>
      <c r="AM5201">
        <v>82.762965016594507</v>
      </c>
      <c r="AN5201">
        <v>0.99999998591882</v>
      </c>
    </row>
    <row r="5202" spans="1:40" x14ac:dyDescent="0.25">
      <c r="A5202" t="str">
        <f>"20190305135735288"</f>
        <v>20190305135735288</v>
      </c>
      <c r="B5202" t="str">
        <f>"1551765455278079"</f>
        <v>1551765455278079</v>
      </c>
      <c r="C5202" t="s">
        <v>40</v>
      </c>
      <c r="D5202">
        <v>4.1096329999999996</v>
      </c>
      <c r="E5202">
        <v>0.50466199999999894</v>
      </c>
      <c r="F5202" t="s">
        <v>73</v>
      </c>
      <c r="G5202">
        <v>-186.06</v>
      </c>
      <c r="H5202" s="1">
        <v>-3.5821110000000001E-6</v>
      </c>
      <c r="I5202">
        <v>125.76519999999999</v>
      </c>
      <c r="J5202">
        <v>-188.8466</v>
      </c>
      <c r="K5202">
        <v>1.10795</v>
      </c>
      <c r="L5202">
        <v>106.524</v>
      </c>
      <c r="M5202">
        <v>3.8164589999999999E-3</v>
      </c>
      <c r="N5202">
        <v>-2.119967E-2</v>
      </c>
      <c r="O5202">
        <v>0.99976799999999999</v>
      </c>
      <c r="P5202">
        <v>0.13162650000000001</v>
      </c>
      <c r="Q5202">
        <v>-6.0105600000000002E-2</v>
      </c>
      <c r="R5202">
        <v>0.98947549999999995</v>
      </c>
      <c r="S5202">
        <v>0.42085270000000002</v>
      </c>
      <c r="T5202">
        <v>-0.16716719999999999</v>
      </c>
      <c r="U5202">
        <v>2.965897</v>
      </c>
      <c r="V5202">
        <v>0.12764909999999999</v>
      </c>
      <c r="W5202">
        <v>-3.9750840000000003E-2</v>
      </c>
      <c r="X5202">
        <v>0.99102250000000003</v>
      </c>
      <c r="Y5202">
        <v>0.13651460000000001</v>
      </c>
      <c r="Z5202">
        <v>-3.4558350000000002E-2</v>
      </c>
      <c r="AA5202">
        <v>0.99003509999999995</v>
      </c>
      <c r="AB5202">
        <v>42</v>
      </c>
      <c r="AC5202">
        <v>2.7865999999999902</v>
      </c>
      <c r="AD5202">
        <v>-1.107953582111</v>
      </c>
      <c r="AE5202">
        <v>19.2411999999999</v>
      </c>
      <c r="AF5202">
        <v>2.7043472714646599</v>
      </c>
      <c r="AG5202">
        <v>-1.107953582111</v>
      </c>
      <c r="AH5202">
        <v>19.189377501658399</v>
      </c>
      <c r="AI5202">
        <v>93.272203238510599</v>
      </c>
      <c r="AJ5202">
        <v>81.978169782059695</v>
      </c>
      <c r="AK5202">
        <v>19.410648217046901</v>
      </c>
      <c r="AL5202">
        <v>92.2781555763531</v>
      </c>
      <c r="AM5202">
        <v>82.6604032828659</v>
      </c>
      <c r="AN5202">
        <v>1.0000000087588801</v>
      </c>
    </row>
    <row r="5203" spans="1:40" x14ac:dyDescent="0.25">
      <c r="A5203" t="str">
        <f>"20190305135735311"</f>
        <v>20190305135735311</v>
      </c>
      <c r="B5203" t="str">
        <f>"1551765455297595"</f>
        <v>1551765455297595</v>
      </c>
      <c r="C5203" t="s">
        <v>40</v>
      </c>
      <c r="D5203">
        <v>4.1206300000000002</v>
      </c>
      <c r="E5203">
        <v>0.50456099999999904</v>
      </c>
      <c r="F5203" t="s">
        <v>73</v>
      </c>
      <c r="G5203">
        <v>-186.0111</v>
      </c>
      <c r="H5203" s="1">
        <v>-3.654081E-6</v>
      </c>
      <c r="I5203">
        <v>126.01600000000001</v>
      </c>
      <c r="J5203">
        <v>-188.8433</v>
      </c>
      <c r="K5203">
        <v>1.107974</v>
      </c>
      <c r="L5203">
        <v>106.9281</v>
      </c>
      <c r="M5203">
        <v>5.5708490000000001E-3</v>
      </c>
      <c r="N5203">
        <v>-2.1448600000000002E-2</v>
      </c>
      <c r="O5203">
        <v>0.99975440000000004</v>
      </c>
      <c r="P5203">
        <v>0.1354899</v>
      </c>
      <c r="Q5203">
        <v>-5.954603E-2</v>
      </c>
      <c r="R5203">
        <v>0.98898770000000003</v>
      </c>
      <c r="S5203">
        <v>0.43122860000000002</v>
      </c>
      <c r="T5203">
        <v>-0.168494899999999</v>
      </c>
      <c r="U5203">
        <v>2.9642940000000002</v>
      </c>
      <c r="V5203">
        <v>0.12978199999999901</v>
      </c>
      <c r="W5203">
        <v>-3.8959609999999999E-2</v>
      </c>
      <c r="X5203">
        <v>0.99077680000000001</v>
      </c>
      <c r="Y5203">
        <v>0.138241</v>
      </c>
      <c r="Z5203">
        <v>-3.4762790000000002E-2</v>
      </c>
      <c r="AA5203">
        <v>0.98978840000000001</v>
      </c>
      <c r="AB5203">
        <v>42</v>
      </c>
      <c r="AC5203">
        <v>2.8321999999999998</v>
      </c>
      <c r="AD5203">
        <v>-1.107977654081</v>
      </c>
      <c r="AE5203">
        <v>19.087900000000001</v>
      </c>
      <c r="AF5203">
        <v>2.7168389687733501</v>
      </c>
      <c r="AG5203">
        <v>-1.107977654081</v>
      </c>
      <c r="AH5203">
        <v>19.040612611645201</v>
      </c>
      <c r="AI5203">
        <v>93.296980690840698</v>
      </c>
      <c r="AJ5203">
        <v>81.879477686195997</v>
      </c>
      <c r="AK5203">
        <v>19.2653512060105</v>
      </c>
      <c r="AL5203">
        <v>92.232786434307599</v>
      </c>
      <c r="AM5203">
        <v>82.537306454763296</v>
      </c>
      <c r="AN5203">
        <v>0.99999994307679396</v>
      </c>
    </row>
    <row r="5204" spans="1:40" x14ac:dyDescent="0.25">
      <c r="A5204" t="str">
        <f>"20190305135735331"</f>
        <v>20190305135735331</v>
      </c>
      <c r="B5204" t="str">
        <f>"1551765455318091"</f>
        <v>1551765455318091</v>
      </c>
      <c r="C5204" t="s">
        <v>40</v>
      </c>
      <c r="D5204">
        <v>4.1191559999999896</v>
      </c>
      <c r="E5204">
        <v>0.50451459999999904</v>
      </c>
      <c r="F5204" t="s">
        <v>73</v>
      </c>
      <c r="G5204">
        <v>-185.94380000000001</v>
      </c>
      <c r="H5204" s="1">
        <v>-3.752788E-6</v>
      </c>
      <c r="I5204">
        <v>126.36</v>
      </c>
      <c r="J5204">
        <v>-188.83940000000001</v>
      </c>
      <c r="K5204">
        <v>1.108004</v>
      </c>
      <c r="L5204">
        <v>107.31229999999999</v>
      </c>
      <c r="M5204">
        <v>7.253275E-3</v>
      </c>
      <c r="N5204">
        <v>-2.1622990000000002E-2</v>
      </c>
      <c r="O5204">
        <v>0.99973990000000001</v>
      </c>
      <c r="P5204">
        <v>0.1390825</v>
      </c>
      <c r="Q5204">
        <v>-5.9205399999999998E-2</v>
      </c>
      <c r="R5204">
        <v>0.98850939999999998</v>
      </c>
      <c r="S5204">
        <v>0.44206240000000002</v>
      </c>
      <c r="T5204">
        <v>-0.1689262</v>
      </c>
      <c r="U5204">
        <v>2.9626619999999999</v>
      </c>
      <c r="V5204">
        <v>0.13171569999999999</v>
      </c>
      <c r="W5204">
        <v>-3.8457999999999999E-2</v>
      </c>
      <c r="X5204">
        <v>0.99054129999999996</v>
      </c>
      <c r="Y5204">
        <v>0.14019129999999999</v>
      </c>
      <c r="Z5204">
        <v>-3.4742009999999997E-2</v>
      </c>
      <c r="AA5204">
        <v>0.98951469999999997</v>
      </c>
      <c r="AB5204">
        <v>41</v>
      </c>
      <c r="AC5204">
        <v>2.8956</v>
      </c>
      <c r="AD5204">
        <v>-1.1080077527879999</v>
      </c>
      <c r="AE5204">
        <v>19.047699999999999</v>
      </c>
      <c r="AF5204">
        <v>2.74824391408232</v>
      </c>
      <c r="AG5204">
        <v>-1.1080077527879999</v>
      </c>
      <c r="AH5204">
        <v>19.005349121953198</v>
      </c>
      <c r="AI5204">
        <v>93.302284888650107</v>
      </c>
      <c r="AJ5204">
        <v>81.771852440862702</v>
      </c>
      <c r="AK5204">
        <v>19.234963505004501</v>
      </c>
      <c r="AL5204">
        <v>92.2040244932343</v>
      </c>
      <c r="AM5204">
        <v>82.425616871372696</v>
      </c>
      <c r="AN5204">
        <v>1.0000000551980801</v>
      </c>
    </row>
    <row r="5205" spans="1:40" x14ac:dyDescent="0.25">
      <c r="A5205" t="str">
        <f>"20190305135735355"</f>
        <v>20190305135735355</v>
      </c>
      <c r="B5205" t="str">
        <f>"1551765455347371"</f>
        <v>1551765455347371</v>
      </c>
      <c r="C5205" t="s">
        <v>40</v>
      </c>
      <c r="D5205">
        <v>4.0248720000000002</v>
      </c>
      <c r="E5205">
        <v>0.50995190000000001</v>
      </c>
      <c r="F5205" t="s">
        <v>73</v>
      </c>
      <c r="G5205">
        <v>-185.88640000000001</v>
      </c>
      <c r="H5205" s="1">
        <v>-3.8315249999999997E-6</v>
      </c>
      <c r="I5205">
        <v>126.6324</v>
      </c>
      <c r="J5205">
        <v>-188.83420000000001</v>
      </c>
      <c r="K5205">
        <v>1.1079950000000001</v>
      </c>
      <c r="L5205">
        <v>107.7449</v>
      </c>
      <c r="M5205">
        <v>9.1736319999999993E-3</v>
      </c>
      <c r="N5205">
        <v>-2.1681180000000001E-2</v>
      </c>
      <c r="O5205">
        <v>0.99972280000000002</v>
      </c>
      <c r="P5205">
        <v>0.14288480000000001</v>
      </c>
      <c r="Q5205">
        <v>-5.8788720000000003E-2</v>
      </c>
      <c r="R5205">
        <v>0.98799179999999998</v>
      </c>
      <c r="S5205">
        <v>0.45257570000000003</v>
      </c>
      <c r="T5205">
        <v>-0.16981459999999901</v>
      </c>
      <c r="U5205">
        <v>2.9610289999999999</v>
      </c>
      <c r="V5205">
        <v>0.1336251</v>
      </c>
      <c r="W5205">
        <v>-3.7994409999999999E-2</v>
      </c>
      <c r="X5205">
        <v>0.9903033</v>
      </c>
      <c r="Y5205">
        <v>0.14180029999999999</v>
      </c>
      <c r="Z5205">
        <v>-3.4990939999999998E-2</v>
      </c>
      <c r="AA5205">
        <v>0.98927659999999995</v>
      </c>
      <c r="AB5205">
        <v>41</v>
      </c>
      <c r="AC5205">
        <v>2.9478</v>
      </c>
      <c r="AD5205">
        <v>-1.107998831525</v>
      </c>
      <c r="AE5205">
        <v>18.887499999999999</v>
      </c>
      <c r="AF5205">
        <v>2.76507883229241</v>
      </c>
      <c r="AG5205">
        <v>-1.107998831525</v>
      </c>
      <c r="AH5205">
        <v>18.8504248016418</v>
      </c>
      <c r="AI5205">
        <v>93.328351540892996</v>
      </c>
      <c r="AJ5205">
        <v>81.655067409926403</v>
      </c>
      <c r="AK5205">
        <v>19.0843348734454</v>
      </c>
      <c r="AL5205">
        <v>92.177443579612401</v>
      </c>
      <c r="AM5205">
        <v>82.315293685544304</v>
      </c>
      <c r="AN5205">
        <v>0.99999993426607103</v>
      </c>
    </row>
    <row r="5206" spans="1:40" x14ac:dyDescent="0.25">
      <c r="A5206" t="str">
        <f>"20190305135735379"</f>
        <v>20190305135735379</v>
      </c>
      <c r="B5206" t="str">
        <f>"1551765455367867"</f>
        <v>1551765455367867</v>
      </c>
      <c r="C5206" t="s">
        <v>40</v>
      </c>
      <c r="D5206">
        <v>4.0223300000000002</v>
      </c>
      <c r="E5206">
        <v>0.51028309999999999</v>
      </c>
      <c r="F5206" t="s">
        <v>73</v>
      </c>
      <c r="G5206">
        <v>-183.54580000000001</v>
      </c>
      <c r="H5206" s="1">
        <v>-8.3215149999999992E-6</v>
      </c>
      <c r="I5206">
        <v>138.78100000000001</v>
      </c>
      <c r="J5206">
        <v>-188.82820000000001</v>
      </c>
      <c r="K5206">
        <v>1.1079650000000001</v>
      </c>
      <c r="L5206">
        <v>108.1739</v>
      </c>
      <c r="M5206">
        <v>1.109071E-2</v>
      </c>
      <c r="N5206">
        <v>-2.1647960000000001E-2</v>
      </c>
      <c r="O5206">
        <v>0.99970409999999998</v>
      </c>
      <c r="P5206">
        <v>0.1465272</v>
      </c>
      <c r="Q5206">
        <v>-5.8552029999999998E-2</v>
      </c>
      <c r="R5206">
        <v>0.98747220000000002</v>
      </c>
      <c r="S5206">
        <v>0.50390630000000003</v>
      </c>
      <c r="T5206">
        <v>-0.10557709999999999</v>
      </c>
      <c r="U5206">
        <v>2.957306</v>
      </c>
      <c r="V5206">
        <v>0.135378</v>
      </c>
      <c r="W5206">
        <v>-3.7799510000000001E-2</v>
      </c>
      <c r="X5206">
        <v>0.99007270000000003</v>
      </c>
      <c r="Y5206">
        <v>0.15691529999999901</v>
      </c>
      <c r="Z5206">
        <v>-1.3577759999999999E-2</v>
      </c>
      <c r="AA5206">
        <v>0.98751869999999997</v>
      </c>
      <c r="AB5206">
        <v>41</v>
      </c>
      <c r="AC5206">
        <v>5.2823999999999902</v>
      </c>
      <c r="AD5206">
        <v>-1.1079733215149901</v>
      </c>
      <c r="AE5206">
        <v>30.607099999999999</v>
      </c>
      <c r="AF5206">
        <v>4.9362593847784799</v>
      </c>
      <c r="AG5206">
        <v>-1.1079733215149901</v>
      </c>
      <c r="AH5206">
        <v>30.624845015718599</v>
      </c>
      <c r="AI5206">
        <v>92.0456149570159</v>
      </c>
      <c r="AJ5206">
        <v>80.843545998968395</v>
      </c>
      <c r="AK5206">
        <v>31.039900029345901</v>
      </c>
      <c r="AL5206">
        <v>92.166268507908995</v>
      </c>
      <c r="AM5206">
        <v>82.213922630966906</v>
      </c>
      <c r="AN5206">
        <v>0.99999997856276401</v>
      </c>
    </row>
    <row r="5207" spans="1:40" x14ac:dyDescent="0.25">
      <c r="A5207" t="str">
        <f>"20190305135735403"</f>
        <v>20190305135735403</v>
      </c>
      <c r="B5207" t="str">
        <f>"1551765455398123"</f>
        <v>1551765455398123</v>
      </c>
      <c r="C5207" t="s">
        <v>40</v>
      </c>
      <c r="D5207">
        <v>4.1538789999999999</v>
      </c>
      <c r="E5207">
        <v>0.50740989999999997</v>
      </c>
      <c r="F5207" t="s">
        <v>73</v>
      </c>
      <c r="G5207">
        <v>-185.05410000000001</v>
      </c>
      <c r="H5207" s="1">
        <v>-5.1325450000000002E-6</v>
      </c>
      <c r="I5207">
        <v>129.60769999999999</v>
      </c>
      <c r="J5207">
        <v>-188.82140000000001</v>
      </c>
      <c r="K5207">
        <v>1.107939</v>
      </c>
      <c r="L5207">
        <v>108.6091</v>
      </c>
      <c r="M5207">
        <v>1.304725E-2</v>
      </c>
      <c r="N5207">
        <v>-2.157357E-2</v>
      </c>
      <c r="O5207">
        <v>0.99968210000000002</v>
      </c>
      <c r="P5207">
        <v>0.14986940000000001</v>
      </c>
      <c r="Q5207">
        <v>-5.9526469999999998E-2</v>
      </c>
      <c r="R5207">
        <v>0.98691229999999996</v>
      </c>
      <c r="S5207">
        <v>0.5197754</v>
      </c>
      <c r="T5207">
        <v>-0.15259029999999901</v>
      </c>
      <c r="U5207">
        <v>2.9518740000000001</v>
      </c>
      <c r="V5207">
        <v>0.13678799999999999</v>
      </c>
      <c r="W5207">
        <v>-3.885305E-2</v>
      </c>
      <c r="X5207">
        <v>0.98983810000000005</v>
      </c>
      <c r="Y5207">
        <v>0.16034880000000001</v>
      </c>
      <c r="Z5207">
        <v>-2.9360290000000001E-2</v>
      </c>
      <c r="AA5207">
        <v>0.98662360000000005</v>
      </c>
      <c r="AB5207">
        <v>41</v>
      </c>
      <c r="AC5207">
        <v>3.7673000000000001</v>
      </c>
      <c r="AD5207">
        <v>-1.1079441325449999</v>
      </c>
      <c r="AE5207">
        <v>20.9986</v>
      </c>
      <c r="AF5207">
        <v>3.4835459488669298</v>
      </c>
      <c r="AG5207">
        <v>-1.1079441325449999</v>
      </c>
      <c r="AH5207">
        <v>20.989365766023901</v>
      </c>
      <c r="AI5207">
        <v>92.980908445946795</v>
      </c>
      <c r="AJ5207">
        <v>80.576676391330395</v>
      </c>
      <c r="AK5207">
        <v>21.305307034601601</v>
      </c>
      <c r="AL5207">
        <v>92.226676264270793</v>
      </c>
      <c r="AM5207">
        <v>82.131997490202707</v>
      </c>
      <c r="AN5207">
        <v>0.99999999032495601</v>
      </c>
    </row>
    <row r="5208" spans="1:40" x14ac:dyDescent="0.25">
      <c r="A5208" t="str">
        <f>"20190305135735422"</f>
        <v>20190305135735422</v>
      </c>
      <c r="B5208" t="str">
        <f>"1551765455417644"</f>
        <v>1551765455417644</v>
      </c>
      <c r="C5208" t="s">
        <v>40</v>
      </c>
      <c r="D5208">
        <v>4.1358750000000004</v>
      </c>
      <c r="E5208">
        <v>0.50663420000000003</v>
      </c>
      <c r="F5208" t="s">
        <v>73</v>
      </c>
      <c r="G5208">
        <v>-185.6069</v>
      </c>
      <c r="H5208" s="1">
        <v>-4.1220310000000003E-6</v>
      </c>
      <c r="I5208">
        <v>127.2897</v>
      </c>
      <c r="J5208">
        <v>-188.81530000000001</v>
      </c>
      <c r="K5208">
        <v>1.107926</v>
      </c>
      <c r="L5208">
        <v>108.9569</v>
      </c>
      <c r="M5208">
        <v>1.4618509999999999E-2</v>
      </c>
      <c r="N5208">
        <v>-2.1509049999999998E-2</v>
      </c>
      <c r="O5208">
        <v>0.99966169999999999</v>
      </c>
      <c r="P5208">
        <v>0.153157399999999</v>
      </c>
      <c r="Q5208">
        <v>-6.1417409999999999E-2</v>
      </c>
      <c r="R5208">
        <v>0.98629140000000004</v>
      </c>
      <c r="S5208">
        <v>0.50798029999999905</v>
      </c>
      <c r="T5208">
        <v>-0.17508799999999999</v>
      </c>
      <c r="U5208">
        <v>2.9521030000000001</v>
      </c>
      <c r="V5208">
        <v>0.1385226</v>
      </c>
      <c r="W5208">
        <v>-4.0817730000000003E-2</v>
      </c>
      <c r="X5208">
        <v>0.98951769999999994</v>
      </c>
      <c r="Y5208">
        <v>0.1549055</v>
      </c>
      <c r="Z5208">
        <v>-3.6952569999999997E-2</v>
      </c>
      <c r="AA5208">
        <v>0.9872379</v>
      </c>
      <c r="AB5208">
        <v>41</v>
      </c>
      <c r="AC5208">
        <v>3.2084000000000099</v>
      </c>
      <c r="AD5208">
        <v>-1.1079301220310001</v>
      </c>
      <c r="AE5208">
        <v>18.332799999999899</v>
      </c>
      <c r="AF5208">
        <v>2.9296148766847199</v>
      </c>
      <c r="AG5208">
        <v>-1.1079301220310001</v>
      </c>
      <c r="AH5208">
        <v>18.3128565055789</v>
      </c>
      <c r="AI5208">
        <v>93.418815637001302</v>
      </c>
      <c r="AJ5208">
        <v>80.911071960522094</v>
      </c>
      <c r="AK5208">
        <v>18.578774606386698</v>
      </c>
      <c r="AL5208">
        <v>92.3393336987574</v>
      </c>
      <c r="AM5208">
        <v>82.0309505746702</v>
      </c>
      <c r="AN5208">
        <v>0.99999993820319899</v>
      </c>
    </row>
    <row r="5209" spans="1:40" x14ac:dyDescent="0.25">
      <c r="A5209" t="str">
        <f>"20190305135735444"</f>
        <v>20190305135735444</v>
      </c>
      <c r="B5209" t="str">
        <f>"1551765455438139"</f>
        <v>1551765455438139</v>
      </c>
      <c r="C5209" t="s">
        <v>40</v>
      </c>
      <c r="D5209">
        <v>4.1721690000000002</v>
      </c>
      <c r="E5209">
        <v>0.50596850000000004</v>
      </c>
      <c r="F5209" t="s">
        <v>73</v>
      </c>
      <c r="G5209">
        <v>-185.75659999999999</v>
      </c>
      <c r="H5209" s="1">
        <v>-3.8372700000000001E-6</v>
      </c>
      <c r="I5209">
        <v>126.5849</v>
      </c>
      <c r="J5209">
        <v>-188.8075</v>
      </c>
      <c r="K5209">
        <v>1.107928</v>
      </c>
      <c r="L5209">
        <v>109.3642</v>
      </c>
      <c r="M5209">
        <v>1.6462029999999999E-2</v>
      </c>
      <c r="N5209">
        <v>-2.143461E-2</v>
      </c>
      <c r="O5209">
        <v>0.99963469999999999</v>
      </c>
      <c r="P5209">
        <v>0.15559890000000001</v>
      </c>
      <c r="Q5209">
        <v>-6.2553910000000004E-2</v>
      </c>
      <c r="R5209">
        <v>0.98583770000000004</v>
      </c>
      <c r="S5209">
        <v>0.51197809999999999</v>
      </c>
      <c r="T5209">
        <v>-0.1854507</v>
      </c>
      <c r="U5209">
        <v>2.9506679999999998</v>
      </c>
      <c r="V5209">
        <v>0.13914399999999999</v>
      </c>
      <c r="W5209">
        <v>-4.2028259999999998E-2</v>
      </c>
      <c r="X5209">
        <v>0.98937989999999998</v>
      </c>
      <c r="Y5209">
        <v>0.1544344</v>
      </c>
      <c r="Z5209">
        <v>-4.0500389999999997E-2</v>
      </c>
      <c r="AA5209">
        <v>0.98717259999999996</v>
      </c>
      <c r="AB5209">
        <v>41</v>
      </c>
      <c r="AC5209">
        <v>3.0509000000000102</v>
      </c>
      <c r="AD5209">
        <v>-1.10793183727</v>
      </c>
      <c r="AE5209">
        <v>17.220700000000001</v>
      </c>
      <c r="AF5209">
        <v>2.7558733843160201</v>
      </c>
      <c r="AG5209">
        <v>-1.10793183727</v>
      </c>
      <c r="AH5209">
        <v>17.1995737085951</v>
      </c>
      <c r="AI5209">
        <v>93.639391811976495</v>
      </c>
      <c r="AJ5209">
        <v>80.896920927904901</v>
      </c>
      <c r="AK5209">
        <v>17.454159585147998</v>
      </c>
      <c r="AL5209">
        <v>92.408751382980896</v>
      </c>
      <c r="AM5209">
        <v>81.994564047129401</v>
      </c>
      <c r="AN5209">
        <v>1.00000000694931</v>
      </c>
    </row>
    <row r="5210" spans="1:40" x14ac:dyDescent="0.25">
      <c r="A5210" t="str">
        <f>"20190305135735467"</f>
        <v>20190305135735467</v>
      </c>
      <c r="B5210" t="str">
        <f>"1551765455457659"</f>
        <v>1551765455457659</v>
      </c>
      <c r="C5210" t="s">
        <v>40</v>
      </c>
      <c r="D5210">
        <v>4.154064</v>
      </c>
      <c r="E5210">
        <v>0.5055383</v>
      </c>
      <c r="F5210" t="s">
        <v>73</v>
      </c>
      <c r="G5210">
        <v>-185.83260000000001</v>
      </c>
      <c r="H5210" s="1">
        <v>-3.7873639999999998E-6</v>
      </c>
      <c r="I5210">
        <v>126.4335</v>
      </c>
      <c r="J5210">
        <v>-188.79900000000001</v>
      </c>
      <c r="K5210">
        <v>1.1079460000000001</v>
      </c>
      <c r="L5210">
        <v>109.7709</v>
      </c>
      <c r="M5210">
        <v>1.8298789999999999E-2</v>
      </c>
      <c r="N5210">
        <v>-2.1374790000000001E-2</v>
      </c>
      <c r="O5210">
        <v>0.99960400000000005</v>
      </c>
      <c r="P5210">
        <v>0.1589332</v>
      </c>
      <c r="Q5210">
        <v>-6.3325229999999996E-2</v>
      </c>
      <c r="R5210">
        <v>0.98525640000000003</v>
      </c>
      <c r="S5210">
        <v>0.51409910000000003</v>
      </c>
      <c r="T5210">
        <v>-0.1914651</v>
      </c>
      <c r="U5210">
        <v>2.9498139999999999</v>
      </c>
      <c r="V5210">
        <v>0.1406694</v>
      </c>
      <c r="W5210">
        <v>-4.2867889999999999E-2</v>
      </c>
      <c r="X5210">
        <v>0.98912809999999995</v>
      </c>
      <c r="Y5210">
        <v>0.15333949999999999</v>
      </c>
      <c r="Z5210">
        <v>-4.2581199999999902E-2</v>
      </c>
      <c r="AA5210">
        <v>0.98725569999999896</v>
      </c>
      <c r="AB5210">
        <v>40</v>
      </c>
      <c r="AC5210">
        <v>2.9663999999999899</v>
      </c>
      <c r="AD5210">
        <v>-1.1079497873639901</v>
      </c>
      <c r="AE5210">
        <v>16.662599999999902</v>
      </c>
      <c r="AF5210">
        <v>2.6495731692298201</v>
      </c>
      <c r="AG5210">
        <v>-1.1079497873639901</v>
      </c>
      <c r="AH5210">
        <v>16.642779716594699</v>
      </c>
      <c r="AI5210">
        <v>93.761466407172193</v>
      </c>
      <c r="AJ5210">
        <v>80.954277982589801</v>
      </c>
      <c r="AK5210">
        <v>16.888750913123101</v>
      </c>
      <c r="AL5210">
        <v>92.456902136691198</v>
      </c>
      <c r="AM5210">
        <v>81.905926045066394</v>
      </c>
      <c r="AN5210">
        <v>0.99999996714951001</v>
      </c>
    </row>
    <row r="5211" spans="1:40" x14ac:dyDescent="0.25">
      <c r="A5211" t="str">
        <f>"20190305135735489"</f>
        <v>20190305135735489</v>
      </c>
      <c r="B5211" t="str">
        <f>"1551765455478155"</f>
        <v>1551765455478155</v>
      </c>
      <c r="C5211" t="s">
        <v>40</v>
      </c>
      <c r="D5211">
        <v>4.1838009999999999</v>
      </c>
      <c r="E5211">
        <v>0.5063704</v>
      </c>
      <c r="F5211" t="s">
        <v>73</v>
      </c>
      <c r="G5211">
        <v>-185.86920000000001</v>
      </c>
      <c r="H5211" s="1">
        <v>-3.7620429999999999E-6</v>
      </c>
      <c r="I5211">
        <v>126.3557</v>
      </c>
      <c r="J5211">
        <v>-188.78989999999999</v>
      </c>
      <c r="K5211">
        <v>1.107979</v>
      </c>
      <c r="L5211">
        <v>110.1718</v>
      </c>
      <c r="M5211">
        <v>2.0099789999999999E-2</v>
      </c>
      <c r="N5211">
        <v>-2.1350879999999999E-2</v>
      </c>
      <c r="O5211">
        <v>0.99956999999999996</v>
      </c>
      <c r="P5211">
        <v>0.16244729999999999</v>
      </c>
      <c r="Q5211">
        <v>-6.2781039999999996E-2</v>
      </c>
      <c r="R5211">
        <v>0.98471799999999998</v>
      </c>
      <c r="S5211">
        <v>0.52081299999999997</v>
      </c>
      <c r="T5211">
        <v>-0.19695599999999999</v>
      </c>
      <c r="U5211">
        <v>2.9482119999999998</v>
      </c>
      <c r="V5211">
        <v>0.1424164</v>
      </c>
      <c r="W5211">
        <v>-4.2357980000000003E-2</v>
      </c>
      <c r="X5211">
        <v>0.98890009999999995</v>
      </c>
      <c r="Y5211">
        <v>0.15381349999999999</v>
      </c>
      <c r="Z5211">
        <v>-4.4451860000000003E-2</v>
      </c>
      <c r="AA5211">
        <v>0.98709950000000002</v>
      </c>
      <c r="AB5211">
        <v>40</v>
      </c>
      <c r="AC5211">
        <v>2.9206999999999801</v>
      </c>
      <c r="AD5211">
        <v>-1.1079827620430001</v>
      </c>
      <c r="AE5211">
        <v>16.183899999999898</v>
      </c>
      <c r="AF5211">
        <v>2.5830176699361602</v>
      </c>
      <c r="AG5211">
        <v>-1.1079827620430001</v>
      </c>
      <c r="AH5211">
        <v>16.165967108974701</v>
      </c>
      <c r="AI5211">
        <v>93.871845050920101</v>
      </c>
      <c r="AJ5211">
        <v>80.921946734487506</v>
      </c>
      <c r="AK5211">
        <v>16.408476426915399</v>
      </c>
      <c r="AL5211">
        <v>92.427659757437098</v>
      </c>
      <c r="AM5211">
        <v>81.804897408670996</v>
      </c>
      <c r="AN5211">
        <v>1.0000000186193201</v>
      </c>
    </row>
    <row r="5212" spans="1:40" x14ac:dyDescent="0.25">
      <c r="A5212" t="str">
        <f>"20190305135735510"</f>
        <v>20190305135735510</v>
      </c>
      <c r="B5212" t="str">
        <f>"1551765455507436"</f>
        <v>1551765455507436</v>
      </c>
      <c r="C5212" t="s">
        <v>40</v>
      </c>
      <c r="D5212">
        <v>4.3346470000000004</v>
      </c>
      <c r="E5212">
        <v>0.54818840000000002</v>
      </c>
      <c r="F5212" t="s">
        <v>73</v>
      </c>
      <c r="G5212">
        <v>-185.7903</v>
      </c>
      <c r="H5212" s="1">
        <v>-3.8335239999999996E-6</v>
      </c>
      <c r="I5212">
        <v>126.5886</v>
      </c>
      <c r="J5212">
        <v>-188.7809</v>
      </c>
      <c r="K5212">
        <v>1.1080209999999999</v>
      </c>
      <c r="L5212">
        <v>110.5386</v>
      </c>
      <c r="M5212">
        <v>2.1741010000000002E-2</v>
      </c>
      <c r="N5212">
        <v>-2.1371040000000001E-2</v>
      </c>
      <c r="O5212">
        <v>0.99953519999999896</v>
      </c>
      <c r="P5212">
        <v>0.16596429999999901</v>
      </c>
      <c r="Q5212">
        <v>-6.1148330000000001E-2</v>
      </c>
      <c r="R5212">
        <v>0.9842341</v>
      </c>
      <c r="S5212">
        <v>0.53813169999999899</v>
      </c>
      <c r="T5212">
        <v>-0.19876920000000001</v>
      </c>
      <c r="U5212">
        <v>2.9451290000000001</v>
      </c>
      <c r="V5212">
        <v>0.1443295</v>
      </c>
      <c r="W5212">
        <v>-4.0716620000000002E-2</v>
      </c>
      <c r="X5212">
        <v>0.9886916</v>
      </c>
      <c r="Y5212">
        <v>0.1579797</v>
      </c>
      <c r="Z5212">
        <v>-4.5047980000000001E-2</v>
      </c>
      <c r="AA5212">
        <v>0.98641429999999997</v>
      </c>
      <c r="AB5212">
        <v>40</v>
      </c>
      <c r="AC5212">
        <v>2.9906000000000001</v>
      </c>
      <c r="AD5212">
        <v>-1.1080248335239999</v>
      </c>
      <c r="AE5212">
        <v>16.049999999999901</v>
      </c>
      <c r="AF5212">
        <v>2.6287617381199699</v>
      </c>
      <c r="AG5212">
        <v>-1.1080248335239999</v>
      </c>
      <c r="AH5212">
        <v>16.0373695833512</v>
      </c>
      <c r="AI5212">
        <v>93.900408301075203</v>
      </c>
      <c r="AJ5212">
        <v>80.691156602702804</v>
      </c>
      <c r="AK5212">
        <v>16.289116933109302</v>
      </c>
      <c r="AL5212">
        <v>92.333535642306202</v>
      </c>
      <c r="AM5212">
        <v>81.694609781842502</v>
      </c>
      <c r="AN5212">
        <v>0.99999996381251599</v>
      </c>
    </row>
    <row r="5213" spans="1:40" x14ac:dyDescent="0.25">
      <c r="A5213" t="str">
        <f>"20190305135735531"</f>
        <v>20190305135735531</v>
      </c>
      <c r="B5213" t="str">
        <f>"1551765455527931"</f>
        <v>1551765455527931</v>
      </c>
      <c r="C5213" t="s">
        <v>40</v>
      </c>
      <c r="D5213">
        <v>4.2211319999999999</v>
      </c>
      <c r="E5213">
        <v>0.57296250000000004</v>
      </c>
      <c r="F5213" t="s">
        <v>73</v>
      </c>
      <c r="G5213">
        <v>-184.22720000000001</v>
      </c>
      <c r="H5213" s="1">
        <v>-3.767058E-6</v>
      </c>
      <c r="I5213">
        <v>125.49469999999999</v>
      </c>
      <c r="J5213">
        <v>-188.7706</v>
      </c>
      <c r="K5213">
        <v>1.108069</v>
      </c>
      <c r="L5213">
        <v>110.93089999999999</v>
      </c>
      <c r="M5213">
        <v>2.3496260000000001E-2</v>
      </c>
      <c r="N5213">
        <v>-2.1449780000000002E-2</v>
      </c>
      <c r="O5213">
        <v>0.99949379999999999</v>
      </c>
      <c r="P5213">
        <v>0.16993359999999999</v>
      </c>
      <c r="Q5213">
        <v>-5.9940930000000003E-2</v>
      </c>
      <c r="R5213">
        <v>0.98363080000000003</v>
      </c>
      <c r="S5213">
        <v>0.87889099999999998</v>
      </c>
      <c r="T5213">
        <v>-0.2138516</v>
      </c>
      <c r="U5213">
        <v>2.8865660000000002</v>
      </c>
      <c r="V5213">
        <v>0.14658379999999999</v>
      </c>
      <c r="W5213">
        <v>-3.9446120000000001E-2</v>
      </c>
      <c r="X5213">
        <v>0.98841140000000005</v>
      </c>
      <c r="Y5213">
        <v>0.268094</v>
      </c>
      <c r="Z5213">
        <v>-4.9566970000000002E-2</v>
      </c>
      <c r="AA5213">
        <v>0.96211679999999999</v>
      </c>
      <c r="AB5213">
        <v>40</v>
      </c>
      <c r="AC5213">
        <v>4.5433999999999903</v>
      </c>
      <c r="AD5213">
        <v>-1.108072767058</v>
      </c>
      <c r="AE5213">
        <v>14.563800000000001</v>
      </c>
      <c r="AF5213">
        <v>4.1778319177272296</v>
      </c>
      <c r="AG5213">
        <v>-1.108072767058</v>
      </c>
      <c r="AH5213">
        <v>14.589589434499</v>
      </c>
      <c r="AI5213">
        <v>94.176035192700695</v>
      </c>
      <c r="AJ5213">
        <v>74.020561190526294</v>
      </c>
      <c r="AK5213">
        <v>15.2163801430275</v>
      </c>
      <c r="AL5213">
        <v>92.260682832178304</v>
      </c>
      <c r="AM5213">
        <v>81.564382025672998</v>
      </c>
      <c r="AN5213">
        <v>0.999999951227726</v>
      </c>
    </row>
    <row r="5214" spans="1:40" x14ac:dyDescent="0.25">
      <c r="A5214" t="str">
        <f>"20190305135735556"</f>
        <v>20190305135735556</v>
      </c>
      <c r="B5214" t="str">
        <f>"1551765455547452"</f>
        <v>1551765455547452</v>
      </c>
      <c r="C5214" t="s">
        <v>40</v>
      </c>
      <c r="D5214">
        <v>4.1826809999999996</v>
      </c>
      <c r="E5214">
        <v>0.58369799999999905</v>
      </c>
      <c r="F5214" t="s">
        <v>73</v>
      </c>
      <c r="G5214">
        <v>-182.7945</v>
      </c>
      <c r="H5214" s="1">
        <v>-4.2607100000000004E-6</v>
      </c>
      <c r="I5214">
        <v>126.62730000000001</v>
      </c>
      <c r="J5214">
        <v>-188.7586</v>
      </c>
      <c r="K5214">
        <v>1.1081379999999901</v>
      </c>
      <c r="L5214">
        <v>111.35680000000001</v>
      </c>
      <c r="M5214">
        <v>2.5405750000000001E-2</v>
      </c>
      <c r="N5214">
        <v>-2.160111E-2</v>
      </c>
      <c r="O5214">
        <v>0.99944379999999999</v>
      </c>
      <c r="P5214">
        <v>0.1734705</v>
      </c>
      <c r="Q5214">
        <v>-5.9692849999999999E-2</v>
      </c>
      <c r="R5214">
        <v>0.98302840000000002</v>
      </c>
      <c r="S5214">
        <v>1.085159</v>
      </c>
      <c r="T5214">
        <v>-0.2012062</v>
      </c>
      <c r="U5214">
        <v>2.8501889999999999</v>
      </c>
      <c r="V5214">
        <v>0.1482503</v>
      </c>
      <c r="W5214">
        <v>-3.9060020000000001E-2</v>
      </c>
      <c r="X5214">
        <v>0.98817820000000001</v>
      </c>
      <c r="Y5214">
        <v>0.33129579999999997</v>
      </c>
      <c r="Z5214">
        <v>-4.4628300000000003E-2</v>
      </c>
      <c r="AA5214">
        <v>0.9424709</v>
      </c>
      <c r="AB5214">
        <v>40</v>
      </c>
      <c r="AC5214">
        <v>5.9641000000000002</v>
      </c>
      <c r="AD5214">
        <v>-1.10814226070999</v>
      </c>
      <c r="AE5214">
        <v>15.270499999999901</v>
      </c>
      <c r="AF5214">
        <v>5.5487721918264699</v>
      </c>
      <c r="AG5214">
        <v>-1.10814226070999</v>
      </c>
      <c r="AH5214">
        <v>15.347004851805499</v>
      </c>
      <c r="AI5214">
        <v>93.884637990914797</v>
      </c>
      <c r="AJ5214">
        <v>70.122336477453601</v>
      </c>
      <c r="AK5214">
        <v>16.356876536432601</v>
      </c>
      <c r="AL5214">
        <v>92.238543768225995</v>
      </c>
      <c r="AM5214">
        <v>81.467897849593498</v>
      </c>
      <c r="AN5214">
        <v>0.999999995783865</v>
      </c>
    </row>
    <row r="5215" spans="1:40" x14ac:dyDescent="0.25">
      <c r="A5215" t="str">
        <f>"20190305135735579"</f>
        <v>20190305135735579</v>
      </c>
      <c r="B5215" t="str">
        <f>"1551765455567947"</f>
        <v>1551765455567947</v>
      </c>
      <c r="C5215" t="s">
        <v>40</v>
      </c>
      <c r="D5215">
        <v>4.249371</v>
      </c>
      <c r="E5215">
        <v>0.58912719999999996</v>
      </c>
      <c r="F5215" t="s">
        <v>73</v>
      </c>
      <c r="G5215">
        <v>-182.69120000000001</v>
      </c>
      <c r="H5215" s="1">
        <v>-4.0871960000000003E-6</v>
      </c>
      <c r="I5215">
        <v>125.90389999999999</v>
      </c>
      <c r="J5215">
        <v>-188.7465</v>
      </c>
      <c r="K5215">
        <v>1.108198</v>
      </c>
      <c r="L5215">
        <v>111.7586</v>
      </c>
      <c r="M5215">
        <v>2.7223859999999999E-2</v>
      </c>
      <c r="N5215">
        <v>-2.1774080000000001E-2</v>
      </c>
      <c r="O5215">
        <v>0.99939219999999895</v>
      </c>
      <c r="P5215">
        <v>0.1769879</v>
      </c>
      <c r="Q5215">
        <v>-5.9383709999999999E-2</v>
      </c>
      <c r="R5215">
        <v>0.98241990000000001</v>
      </c>
      <c r="S5215">
        <v>1.1805110000000001</v>
      </c>
      <c r="T5215">
        <v>-0.21560869999999999</v>
      </c>
      <c r="U5215">
        <v>2.8303829999999999</v>
      </c>
      <c r="V5215">
        <v>0.14998900000000001</v>
      </c>
      <c r="W5215">
        <v>-3.8594509999999999E-2</v>
      </c>
      <c r="X5215">
        <v>0.98793410000000004</v>
      </c>
      <c r="Y5215">
        <v>0.35886639999999997</v>
      </c>
      <c r="Z5215">
        <v>-4.8846090000000002E-2</v>
      </c>
      <c r="AA5215">
        <v>0.93210999999999999</v>
      </c>
      <c r="AB5215">
        <v>39</v>
      </c>
      <c r="AC5215">
        <v>6.0552999999999804</v>
      </c>
      <c r="AD5215">
        <v>-1.1082020871960001</v>
      </c>
      <c r="AE5215">
        <v>14.145299999999899</v>
      </c>
      <c r="AF5215">
        <v>5.6386247094767903</v>
      </c>
      <c r="AG5215">
        <v>-1.1082020871960001</v>
      </c>
      <c r="AH5215">
        <v>14.231122164079199</v>
      </c>
      <c r="AI5215">
        <v>94.140767902008093</v>
      </c>
      <c r="AJ5215">
        <v>68.385644924846105</v>
      </c>
      <c r="AK5215">
        <v>15.3475417748034</v>
      </c>
      <c r="AL5215">
        <v>92.211851848231206</v>
      </c>
      <c r="AM5215">
        <v>81.367230134906094</v>
      </c>
      <c r="AN5215">
        <v>1.0000000111329701</v>
      </c>
    </row>
    <row r="5216" spans="1:40" x14ac:dyDescent="0.25">
      <c r="A5216" t="str">
        <f>"20190305135735600"</f>
        <v>20190305135735600</v>
      </c>
      <c r="B5216" t="str">
        <f>"1551765455597906"</f>
        <v>1551765455597906</v>
      </c>
      <c r="C5216" t="s">
        <v>40</v>
      </c>
      <c r="D5216">
        <v>4.1952850000000002</v>
      </c>
      <c r="E5216">
        <v>0.59215930000000006</v>
      </c>
      <c r="F5216" t="s">
        <v>73</v>
      </c>
      <c r="G5216">
        <v>-181.90369999999999</v>
      </c>
      <c r="H5216" s="1">
        <v>-4.589267E-6</v>
      </c>
      <c r="I5216">
        <v>127.4148</v>
      </c>
      <c r="J5216">
        <v>-188.7347</v>
      </c>
      <c r="K5216">
        <v>1.1082369999999999</v>
      </c>
      <c r="L5216">
        <v>112.1263</v>
      </c>
      <c r="M5216">
        <v>2.8915710000000001E-2</v>
      </c>
      <c r="N5216">
        <v>-2.194368E-2</v>
      </c>
      <c r="O5216">
        <v>0.99934100000000003</v>
      </c>
      <c r="P5216">
        <v>0.1807607</v>
      </c>
      <c r="Q5216">
        <v>-5.8680839999999998E-2</v>
      </c>
      <c r="R5216">
        <v>0.98177499999999995</v>
      </c>
      <c r="S5216">
        <v>1.232361</v>
      </c>
      <c r="T5216">
        <v>-0.1995828</v>
      </c>
      <c r="U5216">
        <v>2.8196110000000001</v>
      </c>
      <c r="V5216">
        <v>0.15211079999999999</v>
      </c>
      <c r="W5216">
        <v>-3.7745019999999997E-2</v>
      </c>
      <c r="X5216">
        <v>0.98764249999999998</v>
      </c>
      <c r="Y5216">
        <v>0.37310300000000002</v>
      </c>
      <c r="Z5216">
        <v>-4.3280649999999997E-2</v>
      </c>
      <c r="AA5216">
        <v>0.92677989999999999</v>
      </c>
      <c r="AB5216">
        <v>39</v>
      </c>
      <c r="AC5216">
        <v>6.8310000000000102</v>
      </c>
      <c r="AD5216">
        <v>-1.1082415892669999</v>
      </c>
      <c r="AE5216">
        <v>15.288500000000001</v>
      </c>
      <c r="AF5216">
        <v>6.3581084637329104</v>
      </c>
      <c r="AG5216">
        <v>-1.1082415892669999</v>
      </c>
      <c r="AH5216">
        <v>15.412167159372601</v>
      </c>
      <c r="AI5216">
        <v>93.803007160903505</v>
      </c>
      <c r="AJ5216">
        <v>67.581979680348098</v>
      </c>
      <c r="AK5216">
        <v>16.7089389012353</v>
      </c>
      <c r="AL5216">
        <v>92.163144087664506</v>
      </c>
      <c r="AM5216">
        <v>81.244441866799804</v>
      </c>
      <c r="AN5216">
        <v>1.00000004490884</v>
      </c>
    </row>
    <row r="5217" spans="1:40" x14ac:dyDescent="0.25">
      <c r="A5217" t="str">
        <f>"20190305135735621"</f>
        <v>20190305135735621</v>
      </c>
      <c r="B5217" t="str">
        <f>"1551765455617427"</f>
        <v>1551765455617427</v>
      </c>
      <c r="C5217" t="s">
        <v>40</v>
      </c>
      <c r="D5217">
        <v>4.1918600000000001</v>
      </c>
      <c r="E5217">
        <v>0.59373580000000004</v>
      </c>
      <c r="F5217" t="s">
        <v>73</v>
      </c>
      <c r="G5217">
        <v>-181.5026</v>
      </c>
      <c r="H5217" s="1">
        <v>-4.8412670000000003E-6</v>
      </c>
      <c r="I5217">
        <v>128.17009999999999</v>
      </c>
      <c r="J5217">
        <v>-188.72229999999999</v>
      </c>
      <c r="K5217">
        <v>1.108255</v>
      </c>
      <c r="L5217">
        <v>112.4928</v>
      </c>
      <c r="M5217">
        <v>3.0647400000000002E-2</v>
      </c>
      <c r="N5217">
        <v>-2.211345E-2</v>
      </c>
      <c r="O5217">
        <v>0.9992856</v>
      </c>
      <c r="P5217">
        <v>0.1849816</v>
      </c>
      <c r="Q5217">
        <v>-5.7919110000000003E-2</v>
      </c>
      <c r="R5217">
        <v>0.98103370000000001</v>
      </c>
      <c r="S5217">
        <v>1.267029</v>
      </c>
      <c r="T5217">
        <v>-0.1941589</v>
      </c>
      <c r="U5217">
        <v>2.810791</v>
      </c>
      <c r="V5217">
        <v>0.1546448</v>
      </c>
      <c r="W5217">
        <v>-3.684432E-2</v>
      </c>
      <c r="X5217">
        <v>0.98728289999999996</v>
      </c>
      <c r="Y5217">
        <v>0.38211909999999999</v>
      </c>
      <c r="Z5217">
        <v>-4.1265709999999997E-2</v>
      </c>
      <c r="AA5217">
        <v>0.92319119999999999</v>
      </c>
      <c r="AB5217">
        <v>39</v>
      </c>
      <c r="AC5217">
        <v>7.21969999999998</v>
      </c>
      <c r="AD5217">
        <v>-1.1082598412669999</v>
      </c>
      <c r="AE5217">
        <v>15.677299999999899</v>
      </c>
      <c r="AF5217">
        <v>6.7080637982039901</v>
      </c>
      <c r="AG5217">
        <v>-1.1082598412669999</v>
      </c>
      <c r="AH5217">
        <v>15.8260011565052</v>
      </c>
      <c r="AI5217">
        <v>93.689044150274199</v>
      </c>
      <c r="AJ5217">
        <v>67.029686299198104</v>
      </c>
      <c r="AK5217">
        <v>17.224653041563499</v>
      </c>
      <c r="AL5217">
        <v>92.111501902480896</v>
      </c>
      <c r="AM5217">
        <v>81.097710223550294</v>
      </c>
      <c r="AN5217">
        <v>1.0000000213578499</v>
      </c>
    </row>
    <row r="5218" spans="1:40" x14ac:dyDescent="0.25">
      <c r="A5218" t="str">
        <f>"20190305135735645"</f>
        <v>20190305135735645</v>
      </c>
      <c r="B5218" t="str">
        <f>"1551765455637922"</f>
        <v>1551765455637922</v>
      </c>
      <c r="C5218" t="s">
        <v>40</v>
      </c>
      <c r="D5218">
        <v>4.2200300000000004</v>
      </c>
      <c r="E5218">
        <v>0.59469259999999902</v>
      </c>
      <c r="F5218" t="s">
        <v>73</v>
      </c>
      <c r="G5218">
        <v>-181.5205</v>
      </c>
      <c r="H5218" s="1">
        <v>-4.8260939999999997E-6</v>
      </c>
      <c r="I5218">
        <v>128.12119999999999</v>
      </c>
      <c r="J5218">
        <v>-188.70740000000001</v>
      </c>
      <c r="K5218">
        <v>1.1082529999999999</v>
      </c>
      <c r="L5218">
        <v>112.90819999999999</v>
      </c>
      <c r="M5218">
        <v>3.2690219999999999E-2</v>
      </c>
      <c r="N5218">
        <v>-2.2305910000000002E-2</v>
      </c>
      <c r="O5218">
        <v>0.99921660000000001</v>
      </c>
      <c r="P5218">
        <v>0.18884239999999999</v>
      </c>
      <c r="Q5218">
        <v>-5.7468489999999997E-2</v>
      </c>
      <c r="R5218">
        <v>0.98032439999999998</v>
      </c>
      <c r="S5218">
        <v>1.29155</v>
      </c>
      <c r="T5218">
        <v>-0.1987516</v>
      </c>
      <c r="U5218">
        <v>2.8027500000000001</v>
      </c>
      <c r="V5218">
        <v>0.15650939999999999</v>
      </c>
      <c r="W5218">
        <v>-3.6234170000000003E-2</v>
      </c>
      <c r="X5218">
        <v>0.98701159999999999</v>
      </c>
      <c r="Y5218">
        <v>0.38786130000000002</v>
      </c>
      <c r="Z5218">
        <v>-4.2547479999999999E-2</v>
      </c>
      <c r="AA5218">
        <v>0.92073519999999998</v>
      </c>
      <c r="AB5218">
        <v>39</v>
      </c>
      <c r="AC5218">
        <v>7.1868999999999996</v>
      </c>
      <c r="AD5218">
        <v>-1.1082578260939999</v>
      </c>
      <c r="AE5218">
        <v>15.2129999999999</v>
      </c>
      <c r="AF5218">
        <v>6.6567351153036496</v>
      </c>
      <c r="AG5218">
        <v>-1.1082578260939999</v>
      </c>
      <c r="AH5218">
        <v>15.3731650068653</v>
      </c>
      <c r="AI5218">
        <v>93.784873784301993</v>
      </c>
      <c r="AJ5218">
        <v>66.586902980900405</v>
      </c>
      <c r="AK5218">
        <v>16.789120290614498</v>
      </c>
      <c r="AL5218">
        <v>92.076519560481003</v>
      </c>
      <c r="AM5218">
        <v>80.9896869809577</v>
      </c>
      <c r="AN5218">
        <v>1.00000000294925</v>
      </c>
    </row>
    <row r="5219" spans="1:40" x14ac:dyDescent="0.25">
      <c r="A5219" t="str">
        <f>"20190305135735667"</f>
        <v>20190305135735667</v>
      </c>
      <c r="B5219" t="str">
        <f>"1551765455657442"</f>
        <v>1551765455657442</v>
      </c>
      <c r="C5219" t="s">
        <v>40</v>
      </c>
      <c r="D5219">
        <v>4.2063769999999998</v>
      </c>
      <c r="E5219">
        <v>0.59547469999999902</v>
      </c>
      <c r="F5219" t="s">
        <v>73</v>
      </c>
      <c r="G5219">
        <v>-181.53290000000001</v>
      </c>
      <c r="H5219" s="1">
        <v>-4.8491319999999999E-6</v>
      </c>
      <c r="I5219">
        <v>128.2166</v>
      </c>
      <c r="J5219">
        <v>-188.69309999999999</v>
      </c>
      <c r="K5219">
        <v>1.1082510000000001</v>
      </c>
      <c r="L5219">
        <v>113.2812</v>
      </c>
      <c r="M5219">
        <v>3.4627360000000003E-2</v>
      </c>
      <c r="N5219">
        <v>-2.2492600000000001E-2</v>
      </c>
      <c r="O5219">
        <v>0.99914720000000001</v>
      </c>
      <c r="P5219">
        <v>0.1928009</v>
      </c>
      <c r="Q5219">
        <v>-5.7715849999999999E-2</v>
      </c>
      <c r="R5219">
        <v>0.97953900000000005</v>
      </c>
      <c r="S5219">
        <v>1.310349</v>
      </c>
      <c r="T5219">
        <v>-0.20241319999999999</v>
      </c>
      <c r="U5219">
        <v>2.7959290000000001</v>
      </c>
      <c r="V5219">
        <v>0.15857579999999999</v>
      </c>
      <c r="W5219">
        <v>-3.6335300000000001E-2</v>
      </c>
      <c r="X5219">
        <v>0.98667800000000006</v>
      </c>
      <c r="Y5219">
        <v>0.3919822</v>
      </c>
      <c r="Z5219">
        <v>-4.3551850000000003E-2</v>
      </c>
      <c r="AA5219">
        <v>0.91894140000000002</v>
      </c>
      <c r="AB5219">
        <v>39</v>
      </c>
      <c r="AC5219">
        <v>7.1601999999999704</v>
      </c>
      <c r="AD5219">
        <v>-1.108255849132</v>
      </c>
      <c r="AE5219">
        <v>14.9354</v>
      </c>
      <c r="AF5219">
        <v>6.6090101070723604</v>
      </c>
      <c r="AG5219">
        <v>-1.108255849132</v>
      </c>
      <c r="AH5219">
        <v>15.106805071215</v>
      </c>
      <c r="AI5219">
        <v>93.8451184560017</v>
      </c>
      <c r="AJ5219">
        <v>66.371313424290804</v>
      </c>
      <c r="AK5219">
        <v>16.526427474872101</v>
      </c>
      <c r="AL5219">
        <v>92.082317692272497</v>
      </c>
      <c r="AM5219">
        <v>80.869679169251199</v>
      </c>
      <c r="AN5219">
        <v>1.0000000070278601</v>
      </c>
    </row>
    <row r="5220" spans="1:40" x14ac:dyDescent="0.25">
      <c r="A5220" t="str">
        <f>"20190305135735689"</f>
        <v>20190305135735689</v>
      </c>
      <c r="B5220" t="str">
        <f>"1551765455677939"</f>
        <v>1551765455677939</v>
      </c>
      <c r="C5220" t="s">
        <v>40</v>
      </c>
      <c r="D5220">
        <v>4.138382</v>
      </c>
      <c r="E5220">
        <v>0.59614429999999996</v>
      </c>
      <c r="F5220" t="s">
        <v>73</v>
      </c>
      <c r="G5220">
        <v>-181.67660000000001</v>
      </c>
      <c r="H5220" s="1">
        <v>-4.7771249999999996E-6</v>
      </c>
      <c r="I5220">
        <v>128.0164</v>
      </c>
      <c r="J5220">
        <v>-188.67779999999999</v>
      </c>
      <c r="K5220">
        <v>1.1082179999999999</v>
      </c>
      <c r="L5220">
        <v>113.6598</v>
      </c>
      <c r="M5220">
        <v>3.6728169999999997E-2</v>
      </c>
      <c r="N5220">
        <v>-2.2690189999999999E-2</v>
      </c>
      <c r="O5220">
        <v>0.9990677</v>
      </c>
      <c r="P5220">
        <v>0.19774159999999999</v>
      </c>
      <c r="Q5220">
        <v>-5.7238999999999998E-2</v>
      </c>
      <c r="R5220">
        <v>0.97858160000000005</v>
      </c>
      <c r="S5220">
        <v>1.3280179999999999</v>
      </c>
      <c r="T5220">
        <v>-0.2097601</v>
      </c>
      <c r="U5220">
        <v>2.7889249999999999</v>
      </c>
      <c r="V5220">
        <v>0.16147210000000001</v>
      </c>
      <c r="W5220">
        <v>-3.5717980000000003E-2</v>
      </c>
      <c r="X5220">
        <v>0.98623070000000002</v>
      </c>
      <c r="Y5220">
        <v>0.39562910000000001</v>
      </c>
      <c r="Z5220">
        <v>-4.5753639999999998E-2</v>
      </c>
      <c r="AA5220">
        <v>0.91727000000000003</v>
      </c>
      <c r="AB5220">
        <v>38</v>
      </c>
      <c r="AC5220">
        <v>7.0011999999999803</v>
      </c>
      <c r="AD5220">
        <v>-1.1082227771249999</v>
      </c>
      <c r="AE5220">
        <v>14.3566</v>
      </c>
      <c r="AF5220">
        <v>6.4380544106259796</v>
      </c>
      <c r="AG5220">
        <v>-1.1082227771249999</v>
      </c>
      <c r="AH5220">
        <v>14.5341504184693</v>
      </c>
      <c r="AI5220">
        <v>93.987984725298702</v>
      </c>
      <c r="AJ5220">
        <v>66.108549744467993</v>
      </c>
      <c r="AK5220">
        <v>15.9348119130604</v>
      </c>
      <c r="AL5220">
        <v>92.046924892828699</v>
      </c>
      <c r="AM5220">
        <v>80.701661760425296</v>
      </c>
      <c r="AN5220">
        <v>1.00000000339809</v>
      </c>
    </row>
    <row r="5221" spans="1:40" x14ac:dyDescent="0.25">
      <c r="A5221" t="str">
        <f>"20190305135735710"</f>
        <v>20190305135735710</v>
      </c>
      <c r="B5221" t="str">
        <f>"1551765455707998"</f>
        <v>1551765455707998</v>
      </c>
      <c r="C5221" t="s">
        <v>40</v>
      </c>
      <c r="D5221">
        <v>4.1699640000000002</v>
      </c>
      <c r="E5221">
        <v>0.59701409999999999</v>
      </c>
      <c r="F5221" t="s">
        <v>73</v>
      </c>
      <c r="G5221">
        <v>-181.6311</v>
      </c>
      <c r="H5221" s="1">
        <v>-4.8320959999999998E-6</v>
      </c>
      <c r="I5221">
        <v>128.20359999999999</v>
      </c>
      <c r="J5221">
        <v>-188.66239999999999</v>
      </c>
      <c r="K5221">
        <v>1.1081479999999999</v>
      </c>
      <c r="L5221">
        <v>114.0181</v>
      </c>
      <c r="M5221">
        <v>3.8879709999999998E-2</v>
      </c>
      <c r="N5221">
        <v>-2.2869400000000002E-2</v>
      </c>
      <c r="O5221">
        <v>0.99898220000000004</v>
      </c>
      <c r="P5221">
        <v>0.20309260000000001</v>
      </c>
      <c r="Q5221">
        <v>-5.7619469999999999E-2</v>
      </c>
      <c r="R5221">
        <v>0.97746270000000002</v>
      </c>
      <c r="S5221">
        <v>1.3474269999999999</v>
      </c>
      <c r="T5221">
        <v>-0.21190790000000001</v>
      </c>
      <c r="U5221">
        <v>2.7809910000000002</v>
      </c>
      <c r="V5221">
        <v>0.1647305</v>
      </c>
      <c r="W5221">
        <v>-3.59919E-2</v>
      </c>
      <c r="X5221">
        <v>0.98568169999999999</v>
      </c>
      <c r="Y5221">
        <v>0.39983990000000003</v>
      </c>
      <c r="Z5221">
        <v>-4.628989E-2</v>
      </c>
      <c r="AA5221">
        <v>0.91541539999999999</v>
      </c>
      <c r="AB5221">
        <v>38</v>
      </c>
      <c r="AC5221">
        <v>7.0312999999999803</v>
      </c>
      <c r="AD5221">
        <v>-1.1081528320959999</v>
      </c>
      <c r="AE5221">
        <v>14.1854999999999</v>
      </c>
      <c r="AF5221">
        <v>6.4427458962769899</v>
      </c>
      <c r="AG5221">
        <v>-1.1081528320959999</v>
      </c>
      <c r="AH5221">
        <v>14.3777793967986</v>
      </c>
      <c r="AI5221">
        <v>94.023286464266505</v>
      </c>
      <c r="AJ5221">
        <v>65.8626398302452</v>
      </c>
      <c r="AK5221">
        <v>15.794224190072899</v>
      </c>
      <c r="AL5221">
        <v>92.062629490513203</v>
      </c>
      <c r="AM5221">
        <v>80.512216754932894</v>
      </c>
      <c r="AN5221">
        <v>0.99999998410537405</v>
      </c>
    </row>
    <row r="5222" spans="1:40" x14ac:dyDescent="0.25">
      <c r="A5222" t="str">
        <f>"20190305135735734"</f>
        <v>20190305135735734</v>
      </c>
      <c r="B5222" t="str">
        <f>"1551765455727519"</f>
        <v>1551765455727519</v>
      </c>
      <c r="C5222" t="s">
        <v>40</v>
      </c>
      <c r="D5222">
        <v>4.1875619999999998</v>
      </c>
      <c r="E5222">
        <v>0.59756049999999905</v>
      </c>
      <c r="F5222" t="s">
        <v>73</v>
      </c>
      <c r="G5222">
        <v>-181.73410000000001</v>
      </c>
      <c r="H5222" s="1">
        <v>-4.7745760000000002E-6</v>
      </c>
      <c r="I5222">
        <v>128.03739999999999</v>
      </c>
      <c r="J5222">
        <v>-188.64439999999999</v>
      </c>
      <c r="K5222">
        <v>1.1080239999999999</v>
      </c>
      <c r="L5222">
        <v>114.4084</v>
      </c>
      <c r="M5222">
        <v>4.1441150000000003E-2</v>
      </c>
      <c r="N5222">
        <v>-2.302616E-2</v>
      </c>
      <c r="O5222">
        <v>0.99887559999999997</v>
      </c>
      <c r="P5222">
        <v>0.20845469999999999</v>
      </c>
      <c r="Q5222">
        <v>-5.9258270000000002E-2</v>
      </c>
      <c r="R5222">
        <v>0.97623519999999997</v>
      </c>
      <c r="S5222">
        <v>1.3697360000000001</v>
      </c>
      <c r="T5222">
        <v>-0.21908530000000001</v>
      </c>
      <c r="U5222">
        <v>2.7716669999999999</v>
      </c>
      <c r="V5222">
        <v>0.16759180000000001</v>
      </c>
      <c r="W5222">
        <v>-3.7564119999999999E-2</v>
      </c>
      <c r="X5222">
        <v>0.98514060000000003</v>
      </c>
      <c r="Y5222">
        <v>0.40456839999999999</v>
      </c>
      <c r="Z5222">
        <v>-4.8483739999999997E-2</v>
      </c>
      <c r="AA5222">
        <v>0.91322159999999997</v>
      </c>
      <c r="AB5222">
        <v>38</v>
      </c>
      <c r="AC5222">
        <v>6.9102999999999701</v>
      </c>
      <c r="AD5222">
        <v>-1.10802877457599</v>
      </c>
      <c r="AE5222">
        <v>13.6289999999999</v>
      </c>
      <c r="AF5222">
        <v>6.3062517281705297</v>
      </c>
      <c r="AG5222">
        <v>-1.10802877457599</v>
      </c>
      <c r="AH5222">
        <v>13.831010505518501</v>
      </c>
      <c r="AI5222">
        <v>94.169063859185002</v>
      </c>
      <c r="AJ5222">
        <v>65.489377344383101</v>
      </c>
      <c r="AK5222">
        <v>15.241174174849601</v>
      </c>
      <c r="AL5222">
        <v>92.152771940372702</v>
      </c>
      <c r="AM5222">
        <v>80.345290467426807</v>
      </c>
      <c r="AN5222">
        <v>1.0000000381534799</v>
      </c>
    </row>
    <row r="5223" spans="1:40" x14ac:dyDescent="0.25">
      <c r="A5223" t="str">
        <f>"20190305135735756"</f>
        <v>20190305135735756</v>
      </c>
      <c r="B5223" t="str">
        <f>"1551765455748014"</f>
        <v>1551765455748014</v>
      </c>
      <c r="C5223" t="s">
        <v>40</v>
      </c>
      <c r="D5223">
        <v>4.1441150000000002</v>
      </c>
      <c r="E5223">
        <v>0.59795299999999996</v>
      </c>
      <c r="F5223" t="s">
        <v>73</v>
      </c>
      <c r="G5223">
        <v>-181.81440000000001</v>
      </c>
      <c r="H5223" s="1">
        <v>-4.7509429999999998E-6</v>
      </c>
      <c r="I5223">
        <v>127.9894</v>
      </c>
      <c r="J5223">
        <v>-188.62540000000001</v>
      </c>
      <c r="K5223">
        <v>1.107872</v>
      </c>
      <c r="L5223">
        <v>114.79519999999999</v>
      </c>
      <c r="M5223">
        <v>4.418031E-2</v>
      </c>
      <c r="N5223">
        <v>-2.314248E-2</v>
      </c>
      <c r="O5223">
        <v>0.99875550000000002</v>
      </c>
      <c r="P5223">
        <v>0.2141817</v>
      </c>
      <c r="Q5223">
        <v>-6.0748839999999998E-2</v>
      </c>
      <c r="R5223">
        <v>0.97490299999999996</v>
      </c>
      <c r="S5223">
        <v>1.3893740000000001</v>
      </c>
      <c r="T5223">
        <v>-0.2253966</v>
      </c>
      <c r="U5223">
        <v>2.76268</v>
      </c>
      <c r="V5223">
        <v>0.17064979999999999</v>
      </c>
      <c r="W5223">
        <v>-3.9036559999999998E-2</v>
      </c>
      <c r="X5223">
        <v>0.98455820000000005</v>
      </c>
      <c r="Y5223">
        <v>0.4083734</v>
      </c>
      <c r="Z5223">
        <v>-5.04555E-2</v>
      </c>
      <c r="AA5223">
        <v>0.91141950000000005</v>
      </c>
      <c r="AB5223">
        <v>38</v>
      </c>
      <c r="AC5223">
        <v>6.8109999999999999</v>
      </c>
      <c r="AD5223">
        <v>-1.1078767509430001</v>
      </c>
      <c r="AE5223">
        <v>13.1942</v>
      </c>
      <c r="AF5223">
        <v>6.1868240130523304</v>
      </c>
      <c r="AG5223">
        <v>-1.1078767509430001</v>
      </c>
      <c r="AH5223">
        <v>13.4076623239014</v>
      </c>
      <c r="AI5223">
        <v>94.290726988548201</v>
      </c>
      <c r="AJ5223">
        <v>65.229537437914701</v>
      </c>
      <c r="AK5223">
        <v>14.8077544298764</v>
      </c>
      <c r="AL5223">
        <v>92.237198510686198</v>
      </c>
      <c r="AM5223">
        <v>80.166828953960703</v>
      </c>
      <c r="AN5223">
        <v>1.0000000282219501</v>
      </c>
    </row>
    <row r="5224" spans="1:40" x14ac:dyDescent="0.25">
      <c r="A5224" t="str">
        <f>"20190305135735780"</f>
        <v>20190305135735780</v>
      </c>
      <c r="B5224" t="str">
        <f>"1551765455777295"</f>
        <v>1551765455777295</v>
      </c>
      <c r="C5224" t="s">
        <v>40</v>
      </c>
      <c r="D5224">
        <v>4.1749619999999998</v>
      </c>
      <c r="E5224">
        <v>0.59871669999999999</v>
      </c>
      <c r="F5224" t="s">
        <v>73</v>
      </c>
      <c r="G5224">
        <v>-181.8939</v>
      </c>
      <c r="H5224" s="1">
        <v>-4.7297970000000001E-6</v>
      </c>
      <c r="I5224">
        <v>127.95059999999999</v>
      </c>
      <c r="J5224">
        <v>-188.60489999999999</v>
      </c>
      <c r="K5224">
        <v>1.107707</v>
      </c>
      <c r="L5224">
        <v>115.18510000000001</v>
      </c>
      <c r="M5224">
        <v>4.7180739999999999E-2</v>
      </c>
      <c r="N5224">
        <v>-2.3230190000000001E-2</v>
      </c>
      <c r="O5224">
        <v>0.99861619999999995</v>
      </c>
      <c r="P5224">
        <v>0.22141649999999999</v>
      </c>
      <c r="Q5224">
        <v>-6.0844719999999998E-2</v>
      </c>
      <c r="R5224">
        <v>0.97327940000000002</v>
      </c>
      <c r="S5224">
        <v>1.4088290000000001</v>
      </c>
      <c r="T5224">
        <v>-0.23186519999999999</v>
      </c>
      <c r="U5224">
        <v>2.7532649999999999</v>
      </c>
      <c r="V5224">
        <v>0.17498179999999999</v>
      </c>
      <c r="W5224">
        <v>-3.9161309999999998E-2</v>
      </c>
      <c r="X5224">
        <v>0.98379249999999996</v>
      </c>
      <c r="Y5224">
        <v>0.41193380000000002</v>
      </c>
      <c r="Z5224">
        <v>-5.2519820000000002E-2</v>
      </c>
      <c r="AA5224">
        <v>0.90969900000000004</v>
      </c>
      <c r="AB5224">
        <v>37</v>
      </c>
      <c r="AC5224">
        <v>6.7109999999999799</v>
      </c>
      <c r="AD5224">
        <v>-1.1077117297970001</v>
      </c>
      <c r="AE5224">
        <v>12.7654999999999</v>
      </c>
      <c r="AF5224">
        <v>6.0652931586150398</v>
      </c>
      <c r="AG5224">
        <v>-1.1077117297970001</v>
      </c>
      <c r="AH5224">
        <v>12.9913519605253</v>
      </c>
      <c r="AI5224">
        <v>94.417891217994296</v>
      </c>
      <c r="AJ5224">
        <v>64.973465702668406</v>
      </c>
      <c r="AK5224">
        <v>14.3801958310211</v>
      </c>
      <c r="AL5224">
        <v>92.244351780064605</v>
      </c>
      <c r="AM5224">
        <v>79.914583300003102</v>
      </c>
      <c r="AN5224">
        <v>0.99999996079420195</v>
      </c>
    </row>
    <row r="5225" spans="1:40" x14ac:dyDescent="0.25">
      <c r="A5225" t="str">
        <f>"20190305135735801"</f>
        <v>20190305135735801</v>
      </c>
      <c r="B5225" t="str">
        <f>"1551765455797470"</f>
        <v>1551765455797470</v>
      </c>
      <c r="C5225" t="s">
        <v>40</v>
      </c>
      <c r="D5225">
        <v>4.1777240000000004</v>
      </c>
      <c r="E5225">
        <v>0.59927900000000001</v>
      </c>
      <c r="F5225" t="s">
        <v>73</v>
      </c>
      <c r="G5225">
        <v>-181.90110000000001</v>
      </c>
      <c r="H5225" s="1">
        <v>-4.7383360000000002E-6</v>
      </c>
      <c r="I5225">
        <v>127.98739999999999</v>
      </c>
      <c r="J5225">
        <v>-188.58539999999999</v>
      </c>
      <c r="K5225">
        <v>1.1075360000000001</v>
      </c>
      <c r="L5225">
        <v>115.533</v>
      </c>
      <c r="M5225">
        <v>5.0102010000000002E-2</v>
      </c>
      <c r="N5225">
        <v>-2.3285520000000001E-2</v>
      </c>
      <c r="O5225">
        <v>0.99847260000000004</v>
      </c>
      <c r="P5225">
        <v>0.22982379999999999</v>
      </c>
      <c r="Q5225">
        <v>-6.089816E-2</v>
      </c>
      <c r="R5225">
        <v>0.97132510000000005</v>
      </c>
      <c r="S5225">
        <v>1.435303</v>
      </c>
      <c r="T5225">
        <v>-0.23716499999999999</v>
      </c>
      <c r="U5225">
        <v>2.7410130000000001</v>
      </c>
      <c r="V5225">
        <v>0.18058489999999999</v>
      </c>
      <c r="W5225">
        <v>-3.9293290000000002E-2</v>
      </c>
      <c r="X5225">
        <v>0.98277420000000004</v>
      </c>
      <c r="Y5225">
        <v>0.41777330000000001</v>
      </c>
      <c r="Z5225">
        <v>-5.4222529999999998E-2</v>
      </c>
      <c r="AA5225">
        <v>0.90693179999999995</v>
      </c>
      <c r="AB5225">
        <v>37</v>
      </c>
      <c r="AC5225">
        <v>6.6842999999999702</v>
      </c>
      <c r="AD5225">
        <v>-1.1075407383360001</v>
      </c>
      <c r="AE5225">
        <v>12.4544</v>
      </c>
      <c r="AF5225">
        <v>6.0148122870541796</v>
      </c>
      <c r="AG5225">
        <v>-1.1075407383360001</v>
      </c>
      <c r="AH5225">
        <v>12.695790479932899</v>
      </c>
      <c r="AI5225">
        <v>94.507692377292898</v>
      </c>
      <c r="AJ5225">
        <v>64.650076326893895</v>
      </c>
      <c r="AK5225">
        <v>14.092115144502801</v>
      </c>
      <c r="AL5225">
        <v>92.251919417244196</v>
      </c>
      <c r="AM5225">
        <v>79.588039026860201</v>
      </c>
      <c r="AN5225">
        <v>0.99999999846633703</v>
      </c>
    </row>
    <row r="5226" spans="1:40" x14ac:dyDescent="0.25">
      <c r="A5226" t="str">
        <f>"20190305135735821"</f>
        <v>20190305135735821</v>
      </c>
      <c r="B5226" t="str">
        <f>"1551765455817951"</f>
        <v>1551765455817951</v>
      </c>
      <c r="C5226" t="s">
        <v>40</v>
      </c>
      <c r="D5226">
        <v>4.1293319999999998</v>
      </c>
      <c r="E5226">
        <v>0.59985299999999997</v>
      </c>
      <c r="F5226" t="s">
        <v>73</v>
      </c>
      <c r="G5226">
        <v>-181.8535</v>
      </c>
      <c r="H5226" s="1">
        <v>-4.7685329999999996E-6</v>
      </c>
      <c r="I5226">
        <v>128.07810000000001</v>
      </c>
      <c r="J5226">
        <v>-188.5652</v>
      </c>
      <c r="K5226">
        <v>1.107345</v>
      </c>
      <c r="L5226">
        <v>115.87179999999999</v>
      </c>
      <c r="M5226">
        <v>5.3189599999999997E-2</v>
      </c>
      <c r="N5226">
        <v>-2.3319949999999999E-2</v>
      </c>
      <c r="O5226">
        <v>0.99831210000000004</v>
      </c>
      <c r="P5226">
        <v>0.23855190000000001</v>
      </c>
      <c r="Q5226">
        <v>-6.2077269999999997E-2</v>
      </c>
      <c r="R5226">
        <v>0.96914359999999999</v>
      </c>
      <c r="S5226">
        <v>1.46347</v>
      </c>
      <c r="T5226">
        <v>-0.2407697</v>
      </c>
      <c r="U5226">
        <v>2.7272029999999998</v>
      </c>
      <c r="V5226">
        <v>0.18635399999999999</v>
      </c>
      <c r="W5226">
        <v>-4.0587980000000003E-2</v>
      </c>
      <c r="X5226">
        <v>0.98164390000000001</v>
      </c>
      <c r="Y5226">
        <v>0.42409970000000002</v>
      </c>
      <c r="Z5226">
        <v>-5.5410849999999998E-2</v>
      </c>
      <c r="AA5226">
        <v>0.90391869999999996</v>
      </c>
      <c r="AB5226">
        <v>37</v>
      </c>
      <c r="AC5226">
        <v>6.7117000000000004</v>
      </c>
      <c r="AD5226">
        <v>-1.107349768533</v>
      </c>
      <c r="AE5226">
        <v>12.206300000000001</v>
      </c>
      <c r="AF5226">
        <v>6.0147593726489896</v>
      </c>
      <c r="AG5226">
        <v>-1.107349768533</v>
      </c>
      <c r="AH5226">
        <v>12.467315346649601</v>
      </c>
      <c r="AI5226">
        <v>94.573756547629799</v>
      </c>
      <c r="AJ5226">
        <v>64.2453759305034</v>
      </c>
      <c r="AK5226">
        <v>13.8865944627739</v>
      </c>
      <c r="AL5226">
        <v>92.326158996220897</v>
      </c>
      <c r="AM5226">
        <v>79.250953083286106</v>
      </c>
      <c r="AN5226">
        <v>0.99999997192184398</v>
      </c>
    </row>
    <row r="5227" spans="1:40" x14ac:dyDescent="0.25">
      <c r="A5227" t="str">
        <f>"20190305135735845"</f>
        <v>20190305135735845</v>
      </c>
      <c r="B5227" t="str">
        <f>"1551765455837471"</f>
        <v>1551765455837471</v>
      </c>
      <c r="C5227" t="s">
        <v>40</v>
      </c>
      <c r="D5227">
        <v>4.1544210000000001</v>
      </c>
      <c r="E5227">
        <v>0.60038919999999996</v>
      </c>
      <c r="F5227" t="s">
        <v>73</v>
      </c>
      <c r="G5227">
        <v>-181.8458</v>
      </c>
      <c r="H5227" s="1">
        <v>-4.7715269999999997E-6</v>
      </c>
      <c r="I5227">
        <v>128.0855</v>
      </c>
      <c r="J5227">
        <v>-188.54079999999999</v>
      </c>
      <c r="K5227">
        <v>1.1071029999999999</v>
      </c>
      <c r="L5227">
        <v>116.2561</v>
      </c>
      <c r="M5227">
        <v>5.6975110000000002E-2</v>
      </c>
      <c r="N5227">
        <v>-2.3339220000000001E-2</v>
      </c>
      <c r="O5227">
        <v>0.99810279999999996</v>
      </c>
      <c r="P5227">
        <v>0.248201</v>
      </c>
      <c r="Q5227">
        <v>-6.4614130000000006E-2</v>
      </c>
      <c r="R5227">
        <v>0.96655119999999894</v>
      </c>
      <c r="S5227">
        <v>1.492264</v>
      </c>
      <c r="T5227">
        <v>-0.245923</v>
      </c>
      <c r="U5227">
        <v>2.7124480000000002</v>
      </c>
      <c r="V5227">
        <v>0.1923724</v>
      </c>
      <c r="W5227">
        <v>-4.3287760000000002E-2</v>
      </c>
      <c r="X5227">
        <v>0.98036679999999998</v>
      </c>
      <c r="Y5227">
        <v>0.43004130000000002</v>
      </c>
      <c r="Z5227">
        <v>-5.7136640000000002E-2</v>
      </c>
      <c r="AA5227">
        <v>0.90099940000000001</v>
      </c>
      <c r="AB5227">
        <v>37</v>
      </c>
      <c r="AC5227">
        <v>6.6949999999999896</v>
      </c>
      <c r="AD5227">
        <v>-1.1071077715269999</v>
      </c>
      <c r="AE5227">
        <v>11.8293999999999</v>
      </c>
      <c r="AF5227">
        <v>5.97034629193071</v>
      </c>
      <c r="AG5227">
        <v>-1.1071077715269999</v>
      </c>
      <c r="AH5227">
        <v>12.1113789063763</v>
      </c>
      <c r="AI5227">
        <v>94.687189315125806</v>
      </c>
      <c r="AJ5227">
        <v>63.758847342576097</v>
      </c>
      <c r="AK5227">
        <v>13.5482921978072</v>
      </c>
      <c r="AL5227">
        <v>92.480981146288798</v>
      </c>
      <c r="AM5227">
        <v>78.898194600961105</v>
      </c>
      <c r="AN5227">
        <v>1.0000000164948999</v>
      </c>
    </row>
    <row r="5228" spans="1:40" x14ac:dyDescent="0.25">
      <c r="A5228" t="str">
        <f>"20190305135735868"</f>
        <v>20190305135735868</v>
      </c>
      <c r="B5228" t="str">
        <f>"1551765455857966"</f>
        <v>1551765455857966</v>
      </c>
      <c r="C5228" t="s">
        <v>40</v>
      </c>
      <c r="D5228">
        <v>4.1447599999999998</v>
      </c>
      <c r="E5228">
        <v>0.60093989999999997</v>
      </c>
      <c r="F5228" t="s">
        <v>73</v>
      </c>
      <c r="G5228">
        <v>-181.93129999999999</v>
      </c>
      <c r="H5228" s="1">
        <v>-4.7246139999999996E-6</v>
      </c>
      <c r="I5228">
        <v>127.9507</v>
      </c>
      <c r="J5228">
        <v>-188.5146</v>
      </c>
      <c r="K5228">
        <v>1.1068639999999901</v>
      </c>
      <c r="L5228">
        <v>116.6409</v>
      </c>
      <c r="M5228">
        <v>6.1065410000000001E-2</v>
      </c>
      <c r="N5228">
        <v>-2.3346080000000002E-2</v>
      </c>
      <c r="O5228">
        <v>0.99786070000000004</v>
      </c>
      <c r="P5228">
        <v>0.2583821</v>
      </c>
      <c r="Q5228">
        <v>-6.5989259999999994E-2</v>
      </c>
      <c r="R5228">
        <v>0.96378640000000004</v>
      </c>
      <c r="S5228">
        <v>1.5234529999999999</v>
      </c>
      <c r="T5228">
        <v>-0.25518380000000002</v>
      </c>
      <c r="U5228">
        <v>2.695557</v>
      </c>
      <c r="V5228">
        <v>0.19865140000000001</v>
      </c>
      <c r="W5228">
        <v>-4.4853259999999999E-2</v>
      </c>
      <c r="X5228">
        <v>0.97904329999999995</v>
      </c>
      <c r="Y5228">
        <v>0.43654219999999999</v>
      </c>
      <c r="Z5228">
        <v>-6.0227169999999997E-2</v>
      </c>
      <c r="AA5228">
        <v>0.89766569999999901</v>
      </c>
      <c r="AB5228">
        <v>37</v>
      </c>
      <c r="AC5228">
        <v>6.5833000000000004</v>
      </c>
      <c r="AD5228">
        <v>-1.1068687246140001</v>
      </c>
      <c r="AE5228">
        <v>11.3097999999999</v>
      </c>
      <c r="AF5228">
        <v>5.8384125736230299</v>
      </c>
      <c r="AG5228">
        <v>-1.1068687246140001</v>
      </c>
      <c r="AH5228">
        <v>11.6077596074851</v>
      </c>
      <c r="AI5228">
        <v>94.869118668939194</v>
      </c>
      <c r="AJ5228">
        <v>63.298748445184899</v>
      </c>
      <c r="AK5228">
        <v>13.040410379222401</v>
      </c>
      <c r="AL5228">
        <v>92.570765000822007</v>
      </c>
      <c r="AM5228">
        <v>78.530192373416</v>
      </c>
      <c r="AN5228">
        <v>0.99999998846473803</v>
      </c>
    </row>
    <row r="5229" spans="1:40" x14ac:dyDescent="0.25">
      <c r="A5229" t="str">
        <f>"20190305135735889"</f>
        <v>20190305135735889</v>
      </c>
      <c r="B5229" t="str">
        <f>"1551765455877486"</f>
        <v>1551765455877486</v>
      </c>
      <c r="C5229" t="s">
        <v>40</v>
      </c>
      <c r="D5229">
        <v>4.1386260000000004</v>
      </c>
      <c r="E5229">
        <v>0.6014602</v>
      </c>
      <c r="F5229" t="s">
        <v>73</v>
      </c>
      <c r="G5229">
        <v>-181.8836</v>
      </c>
      <c r="H5229" s="1">
        <v>-4.7572550000000004E-6</v>
      </c>
      <c r="I5229">
        <v>128.05080000000001</v>
      </c>
      <c r="J5229">
        <v>-188.49080000000001</v>
      </c>
      <c r="K5229">
        <v>1.1066549999999999</v>
      </c>
      <c r="L5229">
        <v>116.9662</v>
      </c>
      <c r="M5229">
        <v>6.4784800000000003E-2</v>
      </c>
      <c r="N5229">
        <v>-2.3346039999999998E-2</v>
      </c>
      <c r="O5229">
        <v>0.99762609999999996</v>
      </c>
      <c r="P5229">
        <v>0.26940649999999999</v>
      </c>
      <c r="Q5229">
        <v>-6.6528039999999997E-2</v>
      </c>
      <c r="R5229">
        <v>0.96072579999999996</v>
      </c>
      <c r="S5229">
        <v>1.556168</v>
      </c>
      <c r="T5229">
        <v>-0.25976280000000002</v>
      </c>
      <c r="U5229">
        <v>2.6777190000000002</v>
      </c>
      <c r="V5229">
        <v>0.20617669999999999</v>
      </c>
      <c r="W5229">
        <v>-4.5596739999999997E-2</v>
      </c>
      <c r="X5229">
        <v>0.97745190000000004</v>
      </c>
      <c r="Y5229">
        <v>0.44391069999999999</v>
      </c>
      <c r="Z5229">
        <v>-6.1797520000000002E-2</v>
      </c>
      <c r="AA5229">
        <v>0.89393750000000005</v>
      </c>
      <c r="AB5229">
        <v>37</v>
      </c>
      <c r="AC5229">
        <v>6.6071999999999997</v>
      </c>
      <c r="AD5229">
        <v>-1.1066597572550001</v>
      </c>
      <c r="AE5229">
        <v>11.0846</v>
      </c>
      <c r="AF5229">
        <v>5.8321107797403302</v>
      </c>
      <c r="AG5229">
        <v>-1.1066597572550001</v>
      </c>
      <c r="AH5229">
        <v>11.4055819544235</v>
      </c>
      <c r="AI5229">
        <v>94.937469977010807</v>
      </c>
      <c r="AJ5229">
        <v>62.917600328018999</v>
      </c>
      <c r="AK5229">
        <v>12.857896860861899</v>
      </c>
      <c r="AL5229">
        <v>92.613406723037798</v>
      </c>
      <c r="AM5229">
        <v>78.089040486220497</v>
      </c>
      <c r="AN5229">
        <v>1.0000000555675601</v>
      </c>
    </row>
    <row r="5230" spans="1:40" x14ac:dyDescent="0.25">
      <c r="A5230" t="str">
        <f>"20190305135735912"</f>
        <v>20190305135735912</v>
      </c>
      <c r="B5230" t="str">
        <f>"1551765455907742"</f>
        <v>1551765455907742</v>
      </c>
      <c r="C5230" t="s">
        <v>40</v>
      </c>
      <c r="D5230">
        <v>4.1541779999999999</v>
      </c>
      <c r="E5230">
        <v>0.60205949999999997</v>
      </c>
      <c r="F5230" t="s">
        <v>73</v>
      </c>
      <c r="G5230">
        <v>-181.7997</v>
      </c>
      <c r="H5230" s="1">
        <v>-4.7946790000000001E-6</v>
      </c>
      <c r="I5230">
        <v>128.1499</v>
      </c>
      <c r="J5230">
        <v>-188.46209999999999</v>
      </c>
      <c r="K5230">
        <v>1.106417</v>
      </c>
      <c r="L5230">
        <v>117.3357</v>
      </c>
      <c r="M5230">
        <v>6.9312609999999997E-2</v>
      </c>
      <c r="N5230">
        <v>-2.333155E-2</v>
      </c>
      <c r="O5230">
        <v>0.99732209999999999</v>
      </c>
      <c r="P5230">
        <v>0.28036949999999999</v>
      </c>
      <c r="Q5230">
        <v>-6.5726859999999998E-2</v>
      </c>
      <c r="R5230">
        <v>0.95763929999999997</v>
      </c>
      <c r="S5230">
        <v>1.5905</v>
      </c>
      <c r="T5230">
        <v>-0.26305620000000002</v>
      </c>
      <c r="U5230">
        <v>2.658417</v>
      </c>
      <c r="V5230">
        <v>0.2128748</v>
      </c>
      <c r="W5230">
        <v>-4.5026669999999998E-2</v>
      </c>
      <c r="X5230">
        <v>0.97604139999999995</v>
      </c>
      <c r="Y5230">
        <v>0.45114470000000001</v>
      </c>
      <c r="Z5230">
        <v>-6.2985459999999993E-2</v>
      </c>
      <c r="AA5230">
        <v>0.89022539999999994</v>
      </c>
      <c r="AB5230">
        <v>36</v>
      </c>
      <c r="AC5230">
        <v>6.6623999999999901</v>
      </c>
      <c r="AD5230">
        <v>-1.106421794679</v>
      </c>
      <c r="AE5230">
        <v>10.8142</v>
      </c>
      <c r="AF5230">
        <v>5.8521984383277701</v>
      </c>
      <c r="AG5230">
        <v>-1.106421794679</v>
      </c>
      <c r="AH5230">
        <v>11.1653713478853</v>
      </c>
      <c r="AI5230">
        <v>95.015926393803397</v>
      </c>
      <c r="AJ5230">
        <v>62.3392461873445</v>
      </c>
      <c r="AK5230">
        <v>12.654560959807601</v>
      </c>
      <c r="AL5230">
        <v>92.580710814828507</v>
      </c>
      <c r="AM5230">
        <v>77.696449515865595</v>
      </c>
      <c r="AN5230">
        <v>0.99999994800014302</v>
      </c>
    </row>
    <row r="5231" spans="1:40" x14ac:dyDescent="0.25">
      <c r="A5231" t="str">
        <f>"20190305135735935"</f>
        <v>20190305135735935</v>
      </c>
      <c r="B5231" t="str">
        <f>"1551765455927263"</f>
        <v>1551765455927263</v>
      </c>
      <c r="C5231" t="s">
        <v>40</v>
      </c>
      <c r="D5231">
        <v>4.1536080000000002</v>
      </c>
      <c r="E5231">
        <v>0.60251399999999999</v>
      </c>
      <c r="F5231" t="s">
        <v>73</v>
      </c>
      <c r="G5231">
        <v>-181.52529999999999</v>
      </c>
      <c r="H5231" s="1">
        <v>-4.9495090000000003E-6</v>
      </c>
      <c r="I5231">
        <v>128.59899999999999</v>
      </c>
      <c r="J5231">
        <v>-188.43029999999999</v>
      </c>
      <c r="K5231">
        <v>1.106169</v>
      </c>
      <c r="L5231">
        <v>117.7167</v>
      </c>
      <c r="M5231">
        <v>7.4313820000000003E-2</v>
      </c>
      <c r="N5231">
        <v>-2.3307370000000001E-2</v>
      </c>
      <c r="O5231">
        <v>0.99696249999999997</v>
      </c>
      <c r="P5231">
        <v>0.29194550000000002</v>
      </c>
      <c r="Q5231">
        <v>-6.4341949999999995E-2</v>
      </c>
      <c r="R5231">
        <v>0.95426829999999996</v>
      </c>
      <c r="S5231">
        <v>1.6253359999999999</v>
      </c>
      <c r="T5231">
        <v>-0.25924190000000003</v>
      </c>
      <c r="U5231">
        <v>2.6390690000000001</v>
      </c>
      <c r="V5231">
        <v>0.21976399999999999</v>
      </c>
      <c r="W5231">
        <v>-4.389788E-2</v>
      </c>
      <c r="X5231">
        <v>0.97456489999999996</v>
      </c>
      <c r="Y5231">
        <v>0.45813290000000001</v>
      </c>
      <c r="Z5231">
        <v>-6.186854E-2</v>
      </c>
      <c r="AA5231">
        <v>0.88672799999999996</v>
      </c>
      <c r="AB5231">
        <v>36</v>
      </c>
      <c r="AC5231">
        <v>6.9050000000000002</v>
      </c>
      <c r="AD5231">
        <v>-1.1061739495089999</v>
      </c>
      <c r="AE5231">
        <v>10.882299999999899</v>
      </c>
      <c r="AF5231">
        <v>6.0325322410429996</v>
      </c>
      <c r="AG5231">
        <v>-1.1061739495089999</v>
      </c>
      <c r="AH5231">
        <v>11.2823565841766</v>
      </c>
      <c r="AI5231">
        <v>94.941576730890006</v>
      </c>
      <c r="AJ5231">
        <v>61.867152161742403</v>
      </c>
      <c r="AK5231">
        <v>12.841597881039201</v>
      </c>
      <c r="AL5231">
        <v>92.515971771765706</v>
      </c>
      <c r="AM5231">
        <v>77.292373492325098</v>
      </c>
      <c r="AN5231">
        <v>0.99999999193825195</v>
      </c>
    </row>
    <row r="5232" spans="1:40" x14ac:dyDescent="0.25">
      <c r="A5232" t="str">
        <f>"20190305135735957"</f>
        <v>20190305135735957</v>
      </c>
      <c r="B5232" t="str">
        <f>"1551765455947759"</f>
        <v>1551765455947759</v>
      </c>
      <c r="C5232" t="s">
        <v>40</v>
      </c>
      <c r="D5232">
        <v>4.1597619999999997</v>
      </c>
      <c r="E5232">
        <v>0.60288649999999999</v>
      </c>
      <c r="F5232" t="s">
        <v>73</v>
      </c>
      <c r="G5232">
        <v>-181.24299999999999</v>
      </c>
      <c r="H5232" s="1">
        <v>-5.1176860000000002E-6</v>
      </c>
      <c r="I5232">
        <v>129.04839999999999</v>
      </c>
      <c r="J5232">
        <v>-188.39869999999999</v>
      </c>
      <c r="K5232">
        <v>1.10595</v>
      </c>
      <c r="L5232">
        <v>118.07089999999999</v>
      </c>
      <c r="M5232">
        <v>7.9206990000000005E-2</v>
      </c>
      <c r="N5232">
        <v>-2.3283160000000001E-2</v>
      </c>
      <c r="O5232">
        <v>0.99658630000000004</v>
      </c>
      <c r="P5232">
        <v>0.30245889999999997</v>
      </c>
      <c r="Q5232">
        <v>-6.4853569999999999E-2</v>
      </c>
      <c r="R5232">
        <v>0.95095350000000001</v>
      </c>
      <c r="S5232">
        <v>1.6607670000000001</v>
      </c>
      <c r="T5232">
        <v>-0.25560509999999997</v>
      </c>
      <c r="U5232">
        <v>2.618439</v>
      </c>
      <c r="V5232">
        <v>0.22569719999999999</v>
      </c>
      <c r="W5232">
        <v>-4.4643040000000002E-2</v>
      </c>
      <c r="X5232">
        <v>0.97317410000000004</v>
      </c>
      <c r="Y5232">
        <v>0.46551110000000001</v>
      </c>
      <c r="Z5232">
        <v>-6.0816780000000001E-2</v>
      </c>
      <c r="AA5232">
        <v>0.88295009999999996</v>
      </c>
      <c r="AB5232">
        <v>36</v>
      </c>
      <c r="AC5232">
        <v>7.1556999999999897</v>
      </c>
      <c r="AD5232">
        <v>-1.1059551176860001</v>
      </c>
      <c r="AE5232">
        <v>10.9774999999999</v>
      </c>
      <c r="AF5232">
        <v>6.2191745074547802</v>
      </c>
      <c r="AG5232">
        <v>-1.1059551176860001</v>
      </c>
      <c r="AH5232">
        <v>11.4285185368744</v>
      </c>
      <c r="AI5232">
        <v>94.858507366821598</v>
      </c>
      <c r="AJ5232">
        <v>61.445839004266702</v>
      </c>
      <c r="AK5232">
        <v>13.058036001795699</v>
      </c>
      <c r="AL5232">
        <v>92.558708103345396</v>
      </c>
      <c r="AM5232">
        <v>76.942873258857205</v>
      </c>
      <c r="AN5232">
        <v>1.00000002800954</v>
      </c>
    </row>
    <row r="5233" spans="1:40" x14ac:dyDescent="0.25">
      <c r="A5233" t="str">
        <f>"20190305135735979"</f>
        <v>20190305135735979</v>
      </c>
      <c r="B5233" t="str">
        <f>"1551765455967278"</f>
        <v>1551765455967278</v>
      </c>
      <c r="C5233" t="s">
        <v>40</v>
      </c>
      <c r="D5233">
        <v>4.4355669999999998</v>
      </c>
      <c r="E5233">
        <v>0.60320909999999905</v>
      </c>
      <c r="F5233" t="s">
        <v>73</v>
      </c>
      <c r="G5233">
        <v>-181.11940000000001</v>
      </c>
      <c r="H5233" s="1">
        <v>-5.2091529999999998E-6</v>
      </c>
      <c r="I5233">
        <v>129.24809999999999</v>
      </c>
      <c r="J5233">
        <v>-188.36580000000001</v>
      </c>
      <c r="K5233">
        <v>1.1057440000000001</v>
      </c>
      <c r="L5233">
        <v>118.4187</v>
      </c>
      <c r="M5233">
        <v>8.4251149999999997E-2</v>
      </c>
      <c r="N5233">
        <v>-2.3253300000000001E-2</v>
      </c>
      <c r="O5233">
        <v>0.99617319999999998</v>
      </c>
      <c r="P5233">
        <v>0.31226859999999901</v>
      </c>
      <c r="Q5233">
        <v>-6.6527840000000005E-2</v>
      </c>
      <c r="R5233">
        <v>0.94766150000000005</v>
      </c>
      <c r="S5233">
        <v>1.69252</v>
      </c>
      <c r="T5233">
        <v>-0.25714809999999999</v>
      </c>
      <c r="U5233">
        <v>2.598846</v>
      </c>
      <c r="V5233">
        <v>0.2307852</v>
      </c>
      <c r="W5233">
        <v>-4.6541350000000002E-2</v>
      </c>
      <c r="X5233">
        <v>0.97189099999999995</v>
      </c>
      <c r="Y5233">
        <v>0.47161429999999999</v>
      </c>
      <c r="Z5233">
        <v>-6.1469509999999998E-2</v>
      </c>
      <c r="AA5233">
        <v>0.87965990000000005</v>
      </c>
      <c r="AB5233">
        <v>36</v>
      </c>
      <c r="AC5233">
        <v>7.2463999999999897</v>
      </c>
      <c r="AD5233">
        <v>-1.1057492091529999</v>
      </c>
      <c r="AE5233">
        <v>10.8293999999999</v>
      </c>
      <c r="AF5233">
        <v>6.2628847594236996</v>
      </c>
      <c r="AG5233">
        <v>-1.1057492091529999</v>
      </c>
      <c r="AH5233">
        <v>11.3200394213527</v>
      </c>
      <c r="AI5233">
        <v>94.885287196693398</v>
      </c>
      <c r="AJ5233">
        <v>61.046155266321797</v>
      </c>
      <c r="AK5233">
        <v>12.984209614926201</v>
      </c>
      <c r="AL5233">
        <v>92.667586532598406</v>
      </c>
      <c r="AM5233">
        <v>76.641953091831297</v>
      </c>
      <c r="AN5233">
        <v>1.0000000108399301</v>
      </c>
    </row>
    <row r="5234" spans="1:40" x14ac:dyDescent="0.25">
      <c r="A5234" t="str">
        <f>"20190305135736001"</f>
        <v>20190305135736001</v>
      </c>
      <c r="B5234" t="str">
        <f>"1551765455987774"</f>
        <v>1551765455987774</v>
      </c>
      <c r="C5234" t="s">
        <v>40</v>
      </c>
      <c r="D5234">
        <v>4.2099320000000002</v>
      </c>
      <c r="E5234">
        <v>0.60350599999999999</v>
      </c>
      <c r="F5234" t="s">
        <v>73</v>
      </c>
      <c r="G5234">
        <v>-181.0753</v>
      </c>
      <c r="H5234" s="1">
        <v>-5.2519499999999998E-6</v>
      </c>
      <c r="I5234">
        <v>129.34350000000001</v>
      </c>
      <c r="J5234">
        <v>-188.33179999999999</v>
      </c>
      <c r="K5234">
        <v>1.1055469999999901</v>
      </c>
      <c r="L5234">
        <v>118.7572</v>
      </c>
      <c r="M5234">
        <v>8.9403330000000003E-2</v>
      </c>
      <c r="N5234">
        <v>-2.3215340000000001E-2</v>
      </c>
      <c r="O5234">
        <v>0.99572490000000002</v>
      </c>
      <c r="P5234">
        <v>0.31945279999999998</v>
      </c>
      <c r="Q5234">
        <v>-6.7208660000000003E-2</v>
      </c>
      <c r="R5234">
        <v>0.94521580000000005</v>
      </c>
      <c r="S5234">
        <v>1.7217249999999999</v>
      </c>
      <c r="T5234">
        <v>-0.26113570000000003</v>
      </c>
      <c r="U5234">
        <v>2.5800169999999998</v>
      </c>
      <c r="V5234">
        <v>0.23310510000000001</v>
      </c>
      <c r="W5234">
        <v>-4.740656E-2</v>
      </c>
      <c r="X5234">
        <v>0.97129540000000003</v>
      </c>
      <c r="Y5234">
        <v>0.47684120000000002</v>
      </c>
      <c r="Z5234">
        <v>-6.2935690000000002E-2</v>
      </c>
      <c r="AA5234">
        <v>0.87673349999999906</v>
      </c>
      <c r="AB5234">
        <v>35</v>
      </c>
      <c r="AC5234">
        <v>7.2564999999999804</v>
      </c>
      <c r="AD5234">
        <v>-1.1055522519499901</v>
      </c>
      <c r="AE5234">
        <v>10.5863</v>
      </c>
      <c r="AF5234">
        <v>6.2344612953245404</v>
      </c>
      <c r="AG5234">
        <v>-1.1055522519499901</v>
      </c>
      <c r="AH5234">
        <v>11.110377161939001</v>
      </c>
      <c r="AI5234">
        <v>94.959570060721106</v>
      </c>
      <c r="AJ5234">
        <v>60.701535779117201</v>
      </c>
      <c r="AK5234">
        <v>12.7879331443837</v>
      </c>
      <c r="AL5234">
        <v>92.717214059647802</v>
      </c>
      <c r="AM5234">
        <v>76.504589999193598</v>
      </c>
      <c r="AN5234">
        <v>1.0000000618191001</v>
      </c>
    </row>
    <row r="5235" spans="1:40" x14ac:dyDescent="0.25">
      <c r="A5235" t="str">
        <f>"20190305135736024"</f>
        <v>20190305135736024</v>
      </c>
      <c r="B5235" t="str">
        <f>"1551765456018031"</f>
        <v>1551765456018031</v>
      </c>
      <c r="C5235" t="s">
        <v>40</v>
      </c>
      <c r="D5235">
        <v>4.2690970000000004</v>
      </c>
      <c r="E5235">
        <v>0.60409679999999999</v>
      </c>
      <c r="F5235" t="s">
        <v>73</v>
      </c>
      <c r="G5235">
        <v>-180.99520000000001</v>
      </c>
      <c r="H5235" s="1">
        <v>-5.3464610000000004E-6</v>
      </c>
      <c r="I5235">
        <v>129.5564</v>
      </c>
      <c r="J5235">
        <v>-188.29329999999999</v>
      </c>
      <c r="K5235">
        <v>1.1053249999999999</v>
      </c>
      <c r="L5235">
        <v>119.1191</v>
      </c>
      <c r="M5235">
        <v>9.5186019999999996E-2</v>
      </c>
      <c r="N5235">
        <v>-2.3173039999999999E-2</v>
      </c>
      <c r="O5235">
        <v>0.99518969999999995</v>
      </c>
      <c r="P5235">
        <v>0.330818099999999</v>
      </c>
      <c r="Q5235">
        <v>-6.6979559999999994E-2</v>
      </c>
      <c r="R5235">
        <v>0.9413146</v>
      </c>
      <c r="S5235">
        <v>1.743271</v>
      </c>
      <c r="T5235">
        <v>-0.26269209999999998</v>
      </c>
      <c r="U5235">
        <v>2.5660099999999999</v>
      </c>
      <c r="V5235">
        <v>0.2391288</v>
      </c>
      <c r="W5235">
        <v>-4.7445889999999998E-2</v>
      </c>
      <c r="X5235">
        <v>0.96982800000000002</v>
      </c>
      <c r="Y5235">
        <v>0.47897319999999999</v>
      </c>
      <c r="Z5235">
        <v>-6.3610669999999994E-2</v>
      </c>
      <c r="AA5235">
        <v>0.87552180000000002</v>
      </c>
      <c r="AB5235">
        <v>35</v>
      </c>
      <c r="AC5235">
        <v>7.2980999999999696</v>
      </c>
      <c r="AD5235">
        <v>-1.10533034646099</v>
      </c>
      <c r="AE5235">
        <v>10.437299999999899</v>
      </c>
      <c r="AF5235">
        <v>6.2243090759677999</v>
      </c>
      <c r="AG5235">
        <v>-1.10533034646099</v>
      </c>
      <c r="AH5235">
        <v>11.0018768724859</v>
      </c>
      <c r="AI5235">
        <v>94.997418725046202</v>
      </c>
      <c r="AJ5235">
        <v>60.500999550003897</v>
      </c>
      <c r="AK5235">
        <v>12.688777457474901</v>
      </c>
      <c r="AL5235">
        <v>92.719470148011993</v>
      </c>
      <c r="AM5235">
        <v>76.148963661142702</v>
      </c>
      <c r="AN5235">
        <v>1.00000002252566</v>
      </c>
    </row>
    <row r="5236" spans="1:40" x14ac:dyDescent="0.25">
      <c r="A5236" t="str">
        <f>"20190305135736046"</f>
        <v>20190305135736046</v>
      </c>
      <c r="B5236" t="str">
        <f>"1551765456037550"</f>
        <v>1551765456037550</v>
      </c>
      <c r="C5236" t="s">
        <v>40</v>
      </c>
      <c r="D5236">
        <v>4.261469</v>
      </c>
      <c r="E5236">
        <v>0.60444030000000004</v>
      </c>
      <c r="F5236" t="s">
        <v>73</v>
      </c>
      <c r="G5236">
        <v>-180.92240000000001</v>
      </c>
      <c r="H5236" s="1">
        <v>-5.3889680000000004E-6</v>
      </c>
      <c r="I5236">
        <v>129.6568</v>
      </c>
      <c r="J5236">
        <v>-188.25399999999999</v>
      </c>
      <c r="K5236">
        <v>1.105105</v>
      </c>
      <c r="L5236">
        <v>119.46680000000001</v>
      </c>
      <c r="M5236">
        <v>0.1010173</v>
      </c>
      <c r="N5236">
        <v>-2.3151390000000001E-2</v>
      </c>
      <c r="O5236">
        <v>0.99461529999999998</v>
      </c>
      <c r="P5236">
        <v>0.34200770000000003</v>
      </c>
      <c r="Q5236">
        <v>-6.6926429999999995E-2</v>
      </c>
      <c r="R5236">
        <v>0.9373108</v>
      </c>
      <c r="S5236">
        <v>1.778732</v>
      </c>
      <c r="T5236">
        <v>-0.26673540000000001</v>
      </c>
      <c r="U5236">
        <v>2.5429379999999999</v>
      </c>
      <c r="V5236">
        <v>0.24495980000000001</v>
      </c>
      <c r="W5236">
        <v>-4.7646069999999999E-2</v>
      </c>
      <c r="X5236">
        <v>0.96836180000000005</v>
      </c>
      <c r="Y5236">
        <v>0.48568430000000001</v>
      </c>
      <c r="Z5236">
        <v>-6.5088670000000001E-2</v>
      </c>
      <c r="AA5236">
        <v>0.87170759999999903</v>
      </c>
      <c r="AB5236">
        <v>35</v>
      </c>
      <c r="AC5236">
        <v>7.3315999999999999</v>
      </c>
      <c r="AD5236">
        <v>-1.1051103889680001</v>
      </c>
      <c r="AE5236">
        <v>10.1899999999999</v>
      </c>
      <c r="AF5236">
        <v>6.21625968588127</v>
      </c>
      <c r="AG5236">
        <v>-1.1051103889680001</v>
      </c>
      <c r="AH5236">
        <v>10.795005284711699</v>
      </c>
      <c r="AI5236">
        <v>95.069712193226096</v>
      </c>
      <c r="AJ5236">
        <v>60.064687008140098</v>
      </c>
      <c r="AK5236">
        <v>12.5058103516354</v>
      </c>
      <c r="AL5236">
        <v>92.730952627248598</v>
      </c>
      <c r="AM5236">
        <v>75.804081959515401</v>
      </c>
      <c r="AN5236">
        <v>1.00000001365086</v>
      </c>
    </row>
    <row r="5237" spans="1:40" x14ac:dyDescent="0.25">
      <c r="A5237" t="str">
        <f>"20190305135736067"</f>
        <v>20190305135736067</v>
      </c>
      <c r="B5237" t="str">
        <f>"1551765456058050"</f>
        <v>1551765456058050</v>
      </c>
      <c r="C5237" t="s">
        <v>40</v>
      </c>
      <c r="D5237">
        <v>4.250864</v>
      </c>
      <c r="E5237">
        <v>0.6047534</v>
      </c>
      <c r="F5237" t="s">
        <v>73</v>
      </c>
      <c r="G5237">
        <v>-180.82239999999999</v>
      </c>
      <c r="H5237" s="1">
        <v>-5.4431429999999997E-6</v>
      </c>
      <c r="I5237">
        <v>129.8081</v>
      </c>
      <c r="J5237">
        <v>-188.2133</v>
      </c>
      <c r="K5237">
        <v>1.1048899999999999</v>
      </c>
      <c r="L5237">
        <v>119.8064</v>
      </c>
      <c r="M5237">
        <v>0.1070054</v>
      </c>
      <c r="N5237">
        <v>-2.315971E-2</v>
      </c>
      <c r="O5237">
        <v>0.99398869999999895</v>
      </c>
      <c r="P5237">
        <v>0.35314659999999998</v>
      </c>
      <c r="Q5237">
        <v>-6.7534780000000003E-2</v>
      </c>
      <c r="R5237">
        <v>0.93312729999999999</v>
      </c>
      <c r="S5237">
        <v>1.81131</v>
      </c>
      <c r="T5237">
        <v>-0.26935170000000003</v>
      </c>
      <c r="U5237">
        <v>2.520508</v>
      </c>
      <c r="V5237">
        <v>0.25061939999999999</v>
      </c>
      <c r="W5237">
        <v>-4.8488870000000003E-2</v>
      </c>
      <c r="X5237">
        <v>0.96687060000000002</v>
      </c>
      <c r="Y5237">
        <v>0.4914731</v>
      </c>
      <c r="Z5237">
        <v>-6.6090869999999996E-2</v>
      </c>
      <c r="AA5237">
        <v>0.86838139999999997</v>
      </c>
      <c r="AB5237">
        <v>35</v>
      </c>
      <c r="AC5237">
        <v>7.39090000000001</v>
      </c>
      <c r="AD5237">
        <v>-1.104895443143</v>
      </c>
      <c r="AE5237">
        <v>10.0017</v>
      </c>
      <c r="AF5237">
        <v>6.2287525977687803</v>
      </c>
      <c r="AG5237">
        <v>-1.104895443143</v>
      </c>
      <c r="AH5237">
        <v>10.651247175266001</v>
      </c>
      <c r="AI5237">
        <v>95.116977106705704</v>
      </c>
      <c r="AJ5237">
        <v>59.681291874869999</v>
      </c>
      <c r="AK5237">
        <v>12.3881886994468</v>
      </c>
      <c r="AL5237">
        <v>92.779297415382999</v>
      </c>
      <c r="AM5237">
        <v>75.468363246145998</v>
      </c>
      <c r="AN5237">
        <v>1.00000000565729</v>
      </c>
    </row>
    <row r="5238" spans="1:40" x14ac:dyDescent="0.25">
      <c r="A5238" t="str">
        <f>"20190305135736089"</f>
        <v>20190305135736089</v>
      </c>
      <c r="B5238" t="str">
        <f>"1551765456077567"</f>
        <v>1551765456077567</v>
      </c>
      <c r="C5238" t="s">
        <v>40</v>
      </c>
      <c r="D5238">
        <v>4.2813299999999996</v>
      </c>
      <c r="E5238">
        <v>0.6050181</v>
      </c>
      <c r="F5238" t="s">
        <v>73</v>
      </c>
      <c r="G5238">
        <v>-180.7407</v>
      </c>
      <c r="H5238" s="1">
        <v>-5.4871009999999998E-6</v>
      </c>
      <c r="I5238">
        <v>129.9307</v>
      </c>
      <c r="J5238">
        <v>-188.17259999999999</v>
      </c>
      <c r="K5238">
        <v>1.1046640000000001</v>
      </c>
      <c r="L5238">
        <v>120.1272</v>
      </c>
      <c r="M5238">
        <v>0.112973</v>
      </c>
      <c r="N5238">
        <v>-2.3184690000000001E-2</v>
      </c>
      <c r="O5238">
        <v>0.99332750000000003</v>
      </c>
      <c r="P5238">
        <v>0.36467860000000002</v>
      </c>
      <c r="Q5238">
        <v>-6.9146830000000006E-2</v>
      </c>
      <c r="R5238">
        <v>0.92856249999999996</v>
      </c>
      <c r="S5238">
        <v>1.843445</v>
      </c>
      <c r="T5238">
        <v>-0.2725728</v>
      </c>
      <c r="U5238">
        <v>2.4976039999999999</v>
      </c>
      <c r="V5238">
        <v>0.2567393</v>
      </c>
      <c r="W5238">
        <v>-5.0343359999999997E-2</v>
      </c>
      <c r="X5238">
        <v>0.96516860000000004</v>
      </c>
      <c r="Y5238">
        <v>0.49721700000000002</v>
      </c>
      <c r="Z5238">
        <v>-6.72822E-2</v>
      </c>
      <c r="AA5238">
        <v>0.86501349999999999</v>
      </c>
      <c r="AB5238">
        <v>35</v>
      </c>
      <c r="AC5238">
        <v>7.4318999999999802</v>
      </c>
      <c r="AD5238">
        <v>-1.1046694871010001</v>
      </c>
      <c r="AE5238">
        <v>9.8034999999999997</v>
      </c>
      <c r="AF5238">
        <v>6.2262636773328799</v>
      </c>
      <c r="AG5238">
        <v>-1.1046694871010001</v>
      </c>
      <c r="AH5238">
        <v>10.4959042149066</v>
      </c>
      <c r="AI5238">
        <v>95.172272426349494</v>
      </c>
      <c r="AJ5238">
        <v>59.323205250529597</v>
      </c>
      <c r="AK5238">
        <v>12.253597812230501</v>
      </c>
      <c r="AL5238">
        <v>92.8856819432946</v>
      </c>
      <c r="AM5238">
        <v>75.104003166658799</v>
      </c>
      <c r="AN5238">
        <v>0.99999997424326903</v>
      </c>
    </row>
    <row r="5239" spans="1:40" x14ac:dyDescent="0.25">
      <c r="A5239" t="str">
        <f>"20190305135736112"</f>
        <v>20190305135736112</v>
      </c>
      <c r="B5239" t="str">
        <f>"1551765456107823"</f>
        <v>1551765456107823</v>
      </c>
      <c r="C5239" t="s">
        <v>40</v>
      </c>
      <c r="D5239">
        <v>4.3283519999999998</v>
      </c>
      <c r="E5239">
        <v>0.60541069999999997</v>
      </c>
      <c r="F5239" t="s">
        <v>73</v>
      </c>
      <c r="G5239">
        <v>-180.73509999999999</v>
      </c>
      <c r="H5239" s="1">
        <v>-5.4877860000000002E-6</v>
      </c>
      <c r="I5239">
        <v>129.93180000000001</v>
      </c>
      <c r="J5239">
        <v>-188.1266</v>
      </c>
      <c r="K5239">
        <v>1.104398</v>
      </c>
      <c r="L5239">
        <v>120.4684</v>
      </c>
      <c r="M5239">
        <v>0.1196863</v>
      </c>
      <c r="N5239">
        <v>-2.3232030000000001E-2</v>
      </c>
      <c r="O5239">
        <v>0.99253990000000003</v>
      </c>
      <c r="P5239">
        <v>0.37775989999999998</v>
      </c>
      <c r="Q5239">
        <v>-7.115196E-2</v>
      </c>
      <c r="R5239">
        <v>0.92316569999999998</v>
      </c>
      <c r="S5239">
        <v>1.8761140000000001</v>
      </c>
      <c r="T5239">
        <v>-0.27865669999999998</v>
      </c>
      <c r="U5239">
        <v>2.473236</v>
      </c>
      <c r="V5239">
        <v>0.26378659999999998</v>
      </c>
      <c r="W5239">
        <v>-5.2624900000000002E-2</v>
      </c>
      <c r="X5239">
        <v>0.96314449999999996</v>
      </c>
      <c r="Y5239">
        <v>0.50259860000000001</v>
      </c>
      <c r="Z5239">
        <v>-6.9416839999999994E-2</v>
      </c>
      <c r="AA5239">
        <v>0.86172839999999995</v>
      </c>
      <c r="AB5239">
        <v>35</v>
      </c>
      <c r="AC5239">
        <v>7.3914999999999997</v>
      </c>
      <c r="AD5239">
        <v>-1.1044034877860001</v>
      </c>
      <c r="AE5239">
        <v>9.4634</v>
      </c>
      <c r="AF5239">
        <v>6.1533429879949999</v>
      </c>
      <c r="AG5239">
        <v>-1.1044034877860001</v>
      </c>
      <c r="AH5239">
        <v>10.194006811012899</v>
      </c>
      <c r="AI5239">
        <v>95.299074312422803</v>
      </c>
      <c r="AJ5239">
        <v>58.883828356585603</v>
      </c>
      <c r="AK5239">
        <v>11.958307231992199</v>
      </c>
      <c r="AL5239">
        <v>93.016577985024298</v>
      </c>
      <c r="AM5239">
        <v>74.683393003587597</v>
      </c>
      <c r="AN5239">
        <v>1.0000000391599</v>
      </c>
    </row>
    <row r="5240" spans="1:40" x14ac:dyDescent="0.25">
      <c r="A5240" t="str">
        <f>"20190305135736135"</f>
        <v>20190305135736135</v>
      </c>
      <c r="B5240" t="str">
        <f>"1551765456127342"</f>
        <v>1551765456127342</v>
      </c>
      <c r="C5240" t="s">
        <v>40</v>
      </c>
      <c r="D5240">
        <v>4.3114879999999998</v>
      </c>
      <c r="E5240">
        <v>0.60557850000000002</v>
      </c>
      <c r="F5240" t="s">
        <v>73</v>
      </c>
      <c r="G5240">
        <v>-180.74440000000001</v>
      </c>
      <c r="H5240" s="1">
        <v>-5.4768660000000004E-6</v>
      </c>
      <c r="I5240">
        <v>129.89930000000001</v>
      </c>
      <c r="J5240">
        <v>-188.0753</v>
      </c>
      <c r="K5240">
        <v>1.104112</v>
      </c>
      <c r="L5240">
        <v>120.8272</v>
      </c>
      <c r="M5240">
        <v>0.12717300000000001</v>
      </c>
      <c r="N5240">
        <v>-2.3315019999999999E-2</v>
      </c>
      <c r="O5240">
        <v>0.99160649999999995</v>
      </c>
      <c r="P5240">
        <v>0.39097009999999899</v>
      </c>
      <c r="Q5240">
        <v>-7.2393890000000002E-2</v>
      </c>
      <c r="R5240">
        <v>0.91755189999999998</v>
      </c>
      <c r="S5240">
        <v>1.913559</v>
      </c>
      <c r="T5240">
        <v>-0.2862729</v>
      </c>
      <c r="U5240">
        <v>2.4445950000000001</v>
      </c>
      <c r="V5240">
        <v>0.27027970000000001</v>
      </c>
      <c r="W5240">
        <v>-5.4126939999999998E-2</v>
      </c>
      <c r="X5240">
        <v>0.96125910000000003</v>
      </c>
      <c r="Y5240">
        <v>0.50901660000000004</v>
      </c>
      <c r="Z5240">
        <v>-7.2049799999999997E-2</v>
      </c>
      <c r="AA5240">
        <v>0.8577359</v>
      </c>
      <c r="AB5240">
        <v>34</v>
      </c>
      <c r="AC5240">
        <v>7.3308999999999802</v>
      </c>
      <c r="AD5240">
        <v>-1.104117476866</v>
      </c>
      <c r="AE5240">
        <v>9.0721000000000007</v>
      </c>
      <c r="AF5240">
        <v>6.0629755333615503</v>
      </c>
      <c r="AG5240">
        <v>-1.104117476866</v>
      </c>
      <c r="AH5240">
        <v>9.8427462949787401</v>
      </c>
      <c r="AI5240">
        <v>95.455761845445906</v>
      </c>
      <c r="AJ5240">
        <v>58.367589777735603</v>
      </c>
      <c r="AK5240">
        <v>11.6128550472387</v>
      </c>
      <c r="AL5240">
        <v>93.102761676000597</v>
      </c>
      <c r="AM5240">
        <v>74.295472998143495</v>
      </c>
      <c r="AN5240">
        <v>0.99999994959933003</v>
      </c>
    </row>
    <row r="5241" spans="1:40" x14ac:dyDescent="0.25">
      <c r="A5241" t="str">
        <f>"20190305135736156"</f>
        <v>20190305135736156</v>
      </c>
      <c r="B5241" t="str">
        <f>"1551765456147838"</f>
        <v>1551765456147838</v>
      </c>
      <c r="C5241" t="s">
        <v>40</v>
      </c>
      <c r="D5241">
        <v>4.3387479999999998</v>
      </c>
      <c r="E5241">
        <v>0.60578809999999905</v>
      </c>
      <c r="F5241" t="s">
        <v>73</v>
      </c>
      <c r="G5241">
        <v>-180.6643</v>
      </c>
      <c r="H5241" s="1">
        <v>-5.5166779999999999E-6</v>
      </c>
      <c r="I5241">
        <v>130.0093</v>
      </c>
      <c r="J5241">
        <v>-188.02500000000001</v>
      </c>
      <c r="K5241">
        <v>1.1038680000000001</v>
      </c>
      <c r="L5241">
        <v>121.1585</v>
      </c>
      <c r="M5241">
        <v>0.1344291</v>
      </c>
      <c r="N5241">
        <v>-2.3424190000000001E-2</v>
      </c>
      <c r="O5241">
        <v>0.99064629999999998</v>
      </c>
      <c r="P5241">
        <v>0.40372619999999998</v>
      </c>
      <c r="Q5241">
        <v>-7.2601639999999995E-2</v>
      </c>
      <c r="R5241">
        <v>0.91199459999999999</v>
      </c>
      <c r="S5241">
        <v>1.9498439999999999</v>
      </c>
      <c r="T5241">
        <v>-0.29049609999999998</v>
      </c>
      <c r="U5241">
        <v>2.4158170000000001</v>
      </c>
      <c r="V5241">
        <v>0.27659400000000001</v>
      </c>
      <c r="W5241">
        <v>-5.4551120000000002E-2</v>
      </c>
      <c r="X5241">
        <v>0.95943730000000005</v>
      </c>
      <c r="Y5241">
        <v>0.51541729999999997</v>
      </c>
      <c r="Z5241">
        <v>-7.3554560000000005E-2</v>
      </c>
      <c r="AA5241">
        <v>0.8537768</v>
      </c>
      <c r="AB5241">
        <v>34</v>
      </c>
      <c r="AC5241">
        <v>7.3606999999999996</v>
      </c>
      <c r="AD5241">
        <v>-1.103873516678</v>
      </c>
      <c r="AE5241">
        <v>8.8507999999999907</v>
      </c>
      <c r="AF5241">
        <v>6.04810553290437</v>
      </c>
      <c r="AG5241">
        <v>-1.103873516678</v>
      </c>
      <c r="AH5241">
        <v>9.67125215759682</v>
      </c>
      <c r="AI5241">
        <v>95.5275390221273</v>
      </c>
      <c r="AJ5241">
        <v>57.979397907388801</v>
      </c>
      <c r="AK5241">
        <v>11.4599841000671</v>
      </c>
      <c r="AL5241">
        <v>93.127101207109604</v>
      </c>
      <c r="AM5241">
        <v>73.918377647620005</v>
      </c>
      <c r="AN5241">
        <v>0.99999999908027204</v>
      </c>
    </row>
    <row r="5242" spans="1:40" x14ac:dyDescent="0.25">
      <c r="A5242" t="str">
        <f>"20190305135736179"</f>
        <v>20190305135736179</v>
      </c>
      <c r="B5242" t="str">
        <f>"1551765456167358"</f>
        <v>1551765456167358</v>
      </c>
      <c r="C5242" t="s">
        <v>40</v>
      </c>
      <c r="D5242">
        <v>4.3353400000000004</v>
      </c>
      <c r="E5242">
        <v>0.6059099</v>
      </c>
      <c r="F5242" t="s">
        <v>73</v>
      </c>
      <c r="G5242">
        <v>-180.47409999999999</v>
      </c>
      <c r="H5242" s="1">
        <v>-5.605164E-6</v>
      </c>
      <c r="I5242">
        <v>130.2413</v>
      </c>
      <c r="J5242">
        <v>-187.97200000000001</v>
      </c>
      <c r="K5242">
        <v>1.103626</v>
      </c>
      <c r="L5242">
        <v>121.48869999999999</v>
      </c>
      <c r="M5242">
        <v>0.1420555</v>
      </c>
      <c r="N5242">
        <v>-2.355258E-2</v>
      </c>
      <c r="O5242">
        <v>0.98957850000000003</v>
      </c>
      <c r="P5242">
        <v>0.41667290000000001</v>
      </c>
      <c r="Q5242">
        <v>-7.1889679999999997E-2</v>
      </c>
      <c r="R5242">
        <v>0.9062095</v>
      </c>
      <c r="S5242">
        <v>1.984985</v>
      </c>
      <c r="T5242">
        <v>-0.29018690000000003</v>
      </c>
      <c r="U5242">
        <v>2.38768</v>
      </c>
      <c r="V5242">
        <v>0.28281990000000001</v>
      </c>
      <c r="W5242">
        <v>-5.404523E-2</v>
      </c>
      <c r="X5242">
        <v>0.95764919999999998</v>
      </c>
      <c r="Y5242">
        <v>0.52118260000000005</v>
      </c>
      <c r="Z5242">
        <v>-7.3549899999999904E-2</v>
      </c>
      <c r="AA5242">
        <v>0.85026999999999997</v>
      </c>
      <c r="AB5242">
        <v>34</v>
      </c>
      <c r="AC5242">
        <v>7.4979000000000102</v>
      </c>
      <c r="AD5242">
        <v>-1.1036316051640001</v>
      </c>
      <c r="AE5242">
        <v>8.7525999999999993</v>
      </c>
      <c r="AF5242">
        <v>6.1219813662945102</v>
      </c>
      <c r="AG5242">
        <v>-1.1036316051640001</v>
      </c>
      <c r="AH5242">
        <v>9.64079621496969</v>
      </c>
      <c r="AI5242">
        <v>95.519785029797703</v>
      </c>
      <c r="AJ5242">
        <v>57.584131764798499</v>
      </c>
      <c r="AK5242">
        <v>11.473517779118399</v>
      </c>
      <c r="AL5242">
        <v>93.098073060543996</v>
      </c>
      <c r="AM5242">
        <v>73.546693612655304</v>
      </c>
      <c r="AN5242">
        <v>0.99999998649120103</v>
      </c>
    </row>
    <row r="5243" spans="1:40" x14ac:dyDescent="0.25">
      <c r="A5243" t="str">
        <f>"20190305135736201"</f>
        <v>20190305135736201</v>
      </c>
      <c r="B5243" t="str">
        <f>"1551765456197614"</f>
        <v>1551765456197614</v>
      </c>
      <c r="C5243" t="s">
        <v>40</v>
      </c>
      <c r="D5243">
        <v>4.3531570000000004</v>
      </c>
      <c r="E5243">
        <v>0.60606179999999998</v>
      </c>
      <c r="F5243" t="s">
        <v>73</v>
      </c>
      <c r="G5243">
        <v>-180.2363</v>
      </c>
      <c r="H5243" s="1">
        <v>-5.7250089999999999E-6</v>
      </c>
      <c r="I5243">
        <v>130.52430000000001</v>
      </c>
      <c r="J5243">
        <v>-187.91669999999999</v>
      </c>
      <c r="K5243">
        <v>1.1033599999999999</v>
      </c>
      <c r="L5243">
        <v>121.8146</v>
      </c>
      <c r="M5243">
        <v>0.15000829999999901</v>
      </c>
      <c r="N5243">
        <v>-2.3711429999999999E-2</v>
      </c>
      <c r="O5243">
        <v>0.98840030000000001</v>
      </c>
      <c r="P5243">
        <v>0.42969639999999998</v>
      </c>
      <c r="Q5243">
        <v>-7.0680610000000005E-2</v>
      </c>
      <c r="R5243">
        <v>0.90020290000000003</v>
      </c>
      <c r="S5243">
        <v>2.019638</v>
      </c>
      <c r="T5243">
        <v>-0.28813800000000001</v>
      </c>
      <c r="U5243">
        <v>2.3590089999999999</v>
      </c>
      <c r="V5243">
        <v>0.28888209999999998</v>
      </c>
      <c r="W5243">
        <v>-5.3029769999999997E-2</v>
      </c>
      <c r="X5243">
        <v>0.95589480000000004</v>
      </c>
      <c r="Y5243">
        <v>0.52665379999999995</v>
      </c>
      <c r="Z5243">
        <v>-7.2954480000000002E-2</v>
      </c>
      <c r="AA5243">
        <v>0.84694360000000002</v>
      </c>
      <c r="AB5243">
        <v>34</v>
      </c>
      <c r="AC5243">
        <v>7.6803999999999899</v>
      </c>
      <c r="AD5243">
        <v>-1.1033657250090001</v>
      </c>
      <c r="AE5243">
        <v>8.7097000000000104</v>
      </c>
      <c r="AF5243">
        <v>6.2303024733382903</v>
      </c>
      <c r="AG5243">
        <v>-1.1033657250090001</v>
      </c>
      <c r="AH5243">
        <v>9.6761819883986497</v>
      </c>
      <c r="AI5243">
        <v>95.476444341243507</v>
      </c>
      <c r="AJ5243">
        <v>57.223314833540698</v>
      </c>
      <c r="AK5243">
        <v>11.5612535092445</v>
      </c>
      <c r="AL5243">
        <v>93.039808045284602</v>
      </c>
      <c r="AM5243">
        <v>73.184595835053003</v>
      </c>
      <c r="AN5243">
        <v>0.99999994643684997</v>
      </c>
    </row>
    <row r="5244" spans="1:40" x14ac:dyDescent="0.25">
      <c r="A5244" t="str">
        <f>"20190305135736223"</f>
        <v>20190305135736223</v>
      </c>
      <c r="B5244" t="str">
        <f>"1551765456218111"</f>
        <v>1551765456218111</v>
      </c>
      <c r="C5244" t="s">
        <v>40</v>
      </c>
      <c r="D5244">
        <v>4.3309519999999999</v>
      </c>
      <c r="E5244">
        <v>0.60612100000000002</v>
      </c>
      <c r="F5244" t="s">
        <v>73</v>
      </c>
      <c r="G5244">
        <v>-179.91249999999999</v>
      </c>
      <c r="H5244" s="1">
        <v>-5.8491399999999999E-6</v>
      </c>
      <c r="I5244">
        <v>130.88990000000001</v>
      </c>
      <c r="J5244">
        <v>-187.85589999999999</v>
      </c>
      <c r="K5244">
        <v>1.1030719999999901</v>
      </c>
      <c r="L5244">
        <v>122.1528</v>
      </c>
      <c r="M5244">
        <v>0.1587626</v>
      </c>
      <c r="N5244">
        <v>-2.3915700000000002E-2</v>
      </c>
      <c r="O5244">
        <v>0.98702710000000005</v>
      </c>
      <c r="P5244">
        <v>0.44319120000000001</v>
      </c>
      <c r="Q5244">
        <v>-6.9533139999999993E-2</v>
      </c>
      <c r="R5244">
        <v>0.89372629999999997</v>
      </c>
      <c r="S5244">
        <v>2.0546570000000002</v>
      </c>
      <c r="T5244">
        <v>-0.2832307</v>
      </c>
      <c r="U5244">
        <v>2.32959</v>
      </c>
      <c r="V5244">
        <v>0.2947419</v>
      </c>
      <c r="W5244">
        <v>-5.2069310000000001E-2</v>
      </c>
      <c r="X5244">
        <v>0.95415720000000004</v>
      </c>
      <c r="Y5244">
        <v>0.53166279999999999</v>
      </c>
      <c r="Z5244">
        <v>-7.1379330000000005E-2</v>
      </c>
      <c r="AA5244">
        <v>0.84394290000000005</v>
      </c>
      <c r="AB5244">
        <v>33</v>
      </c>
      <c r="AC5244">
        <v>7.9433999999999898</v>
      </c>
      <c r="AD5244">
        <v>-1.10307784913999</v>
      </c>
      <c r="AE5244">
        <v>8.7371000000000105</v>
      </c>
      <c r="AF5244">
        <v>6.39922945330781</v>
      </c>
      <c r="AG5244">
        <v>-1.10307784913999</v>
      </c>
      <c r="AH5244">
        <v>9.8021583899620701</v>
      </c>
      <c r="AI5244">
        <v>95.383151083205505</v>
      </c>
      <c r="AJ5244">
        <v>56.861938346260303</v>
      </c>
      <c r="AK5244">
        <v>11.757943163634</v>
      </c>
      <c r="AL5244">
        <v>92.984701491527503</v>
      </c>
      <c r="AM5244">
        <v>72.833931073964393</v>
      </c>
      <c r="AN5244">
        <v>0.99999998148566205</v>
      </c>
    </row>
    <row r="5245" spans="1:40" x14ac:dyDescent="0.25">
      <c r="A5245" t="str">
        <f>"20190305135736238"</f>
        <v>20190305135736238</v>
      </c>
      <c r="B5245" t="str">
        <f>"1551765456227871"</f>
        <v>1551765456227871</v>
      </c>
      <c r="C5245" t="s">
        <v>40</v>
      </c>
      <c r="D5245">
        <v>4.3701800000000004</v>
      </c>
      <c r="E5245">
        <v>0.60615319999999995</v>
      </c>
      <c r="F5245" t="s">
        <v>73</v>
      </c>
      <c r="G5245">
        <v>-179.56530000000001</v>
      </c>
      <c r="H5245" s="1">
        <v>-5.7657569999999998E-6</v>
      </c>
      <c r="I5245">
        <v>131.2696</v>
      </c>
      <c r="J5245">
        <v>-187.81540000000001</v>
      </c>
      <c r="K5245">
        <v>1.10286</v>
      </c>
      <c r="L5245">
        <v>122.3673</v>
      </c>
      <c r="M5245">
        <v>0.1646273</v>
      </c>
      <c r="N5245">
        <v>-2.4059400000000002E-2</v>
      </c>
      <c r="O5245">
        <v>0.98606229999999995</v>
      </c>
      <c r="P5245">
        <v>0.45131929999999998</v>
      </c>
      <c r="Q5245">
        <v>-6.8705039999999995E-2</v>
      </c>
      <c r="R5245">
        <v>0.88971369999999905</v>
      </c>
      <c r="S5245">
        <v>2.090271</v>
      </c>
      <c r="T5245">
        <v>-0.2781111</v>
      </c>
      <c r="U5245">
        <v>2.2985380000000002</v>
      </c>
      <c r="V5245">
        <v>0.29773749999999999</v>
      </c>
      <c r="W5245">
        <v>-5.1350880000000002E-2</v>
      </c>
      <c r="X5245">
        <v>0.95326569999999999</v>
      </c>
      <c r="Y5245">
        <v>0.53951930000000003</v>
      </c>
      <c r="Z5245">
        <v>-6.9763629999999993E-2</v>
      </c>
      <c r="AA5245">
        <v>0.83907809999999905</v>
      </c>
      <c r="AB5245">
        <v>33</v>
      </c>
      <c r="AC5245">
        <v>8.2500999999999998</v>
      </c>
      <c r="AD5245">
        <v>-1.102865765757</v>
      </c>
      <c r="AE5245">
        <v>8.9022999999999897</v>
      </c>
      <c r="AF5245">
        <v>6.6168503318011602</v>
      </c>
      <c r="AG5245">
        <v>-1.102865765757</v>
      </c>
      <c r="AH5245">
        <v>10.0563194321455</v>
      </c>
      <c r="AI5245">
        <v>95.234582293070901</v>
      </c>
      <c r="AJ5245">
        <v>56.655910038368702</v>
      </c>
      <c r="AK5245">
        <v>12.088365552550201</v>
      </c>
      <c r="AL5245">
        <v>92.9434832450996</v>
      </c>
      <c r="AM5245">
        <v>72.654629142358402</v>
      </c>
      <c r="AN5245">
        <v>1.00000001328975</v>
      </c>
    </row>
    <row r="5246" spans="1:40" x14ac:dyDescent="0.25">
      <c r="A5246" t="str">
        <f>"20190305135736253"</f>
        <v>20190305135736253</v>
      </c>
      <c r="B5246" t="str">
        <f>"1551765456247392"</f>
        <v>1551765456247392</v>
      </c>
      <c r="C5246" t="s">
        <v>40</v>
      </c>
      <c r="D5246">
        <v>4.4121709999999998</v>
      </c>
      <c r="E5246">
        <v>0.60620600000000002</v>
      </c>
      <c r="F5246" t="s">
        <v>73</v>
      </c>
      <c r="G5246">
        <v>-179.3372</v>
      </c>
      <c r="H5246" s="1">
        <v>-5.7115689999999999E-6</v>
      </c>
      <c r="I5246">
        <v>131.52070000000001</v>
      </c>
      <c r="J5246">
        <v>-187.77440000000001</v>
      </c>
      <c r="K5246">
        <v>1.102633</v>
      </c>
      <c r="L5246">
        <v>122.5772</v>
      </c>
      <c r="M5246">
        <v>0.17057240000000001</v>
      </c>
      <c r="N5246">
        <v>-2.4203860000000001E-2</v>
      </c>
      <c r="O5246">
        <v>0.98504780000000003</v>
      </c>
      <c r="P5246">
        <v>0.45901740000000002</v>
      </c>
      <c r="Q5246">
        <v>-6.8014959999999999E-2</v>
      </c>
      <c r="R5246">
        <v>0.88582000000000005</v>
      </c>
      <c r="S5246">
        <v>2.11145</v>
      </c>
      <c r="T5246">
        <v>-0.27466239999999997</v>
      </c>
      <c r="U5246">
        <v>2.2795869999999998</v>
      </c>
      <c r="V5246">
        <v>0.30022339999999997</v>
      </c>
      <c r="W5246">
        <v>-5.0768239999999999E-2</v>
      </c>
      <c r="X5246">
        <v>0.9525169</v>
      </c>
      <c r="Y5246">
        <v>0.5421705</v>
      </c>
      <c r="Z5246">
        <v>-6.8644799999999895E-2</v>
      </c>
      <c r="AA5246">
        <v>0.83745990000000003</v>
      </c>
      <c r="AB5246">
        <v>33</v>
      </c>
      <c r="AC5246">
        <v>8.4372000000000096</v>
      </c>
      <c r="AD5246">
        <v>-1.102638711569</v>
      </c>
      <c r="AE5246">
        <v>8.9435000000000002</v>
      </c>
      <c r="AF5246">
        <v>6.7333662830843899</v>
      </c>
      <c r="AG5246">
        <v>-1.102638711569</v>
      </c>
      <c r="AH5246">
        <v>10.170138326116501</v>
      </c>
      <c r="AI5246">
        <v>95.165583302495406</v>
      </c>
      <c r="AJ5246">
        <v>56.492562993273097</v>
      </c>
      <c r="AK5246">
        <v>12.246866832082899</v>
      </c>
      <c r="AL5246">
        <v>92.910056944153595</v>
      </c>
      <c r="AM5246">
        <v>72.505691674962904</v>
      </c>
      <c r="AN5246">
        <v>0.99999997444293298</v>
      </c>
    </row>
    <row r="5247" spans="1:40" x14ac:dyDescent="0.25">
      <c r="A5247" t="str">
        <f>"20190305135736267"</f>
        <v>20190305135736267</v>
      </c>
      <c r="B5247" t="str">
        <f>"1551765456258127"</f>
        <v>1551765456258127</v>
      </c>
      <c r="C5247" t="s">
        <v>40</v>
      </c>
      <c r="D5247">
        <v>4.6117540000000004</v>
      </c>
      <c r="E5247">
        <v>0.60617769999999904</v>
      </c>
      <c r="F5247" t="s">
        <v>73</v>
      </c>
      <c r="G5247">
        <v>-179.1514</v>
      </c>
      <c r="H5247" s="1">
        <v>-5.6667600000000003E-6</v>
      </c>
      <c r="I5247">
        <v>131.72329999999999</v>
      </c>
      <c r="J5247">
        <v>-187.7296</v>
      </c>
      <c r="K5247">
        <v>1.1023719999999999</v>
      </c>
      <c r="L5247">
        <v>122.7974</v>
      </c>
      <c r="M5247">
        <v>0.17708660000000001</v>
      </c>
      <c r="N5247">
        <v>-2.4357750000000001E-2</v>
      </c>
      <c r="O5247">
        <v>0.98389380000000004</v>
      </c>
      <c r="P5247">
        <v>0.47001009999999999</v>
      </c>
      <c r="Q5247">
        <v>-6.7594920000000003E-2</v>
      </c>
      <c r="R5247">
        <v>0.88006899999999999</v>
      </c>
      <c r="S5247">
        <v>2.1317900000000001</v>
      </c>
      <c r="T5247">
        <v>-0.27259660000000002</v>
      </c>
      <c r="U5247">
        <v>2.2611080000000001</v>
      </c>
      <c r="V5247">
        <v>0.30573479999999997</v>
      </c>
      <c r="W5247">
        <v>-5.055813E-2</v>
      </c>
      <c r="X5247">
        <v>0.95077339999999999</v>
      </c>
      <c r="Y5247">
        <v>0.54405019999999904</v>
      </c>
      <c r="Z5247">
        <v>-6.7974590000000001E-2</v>
      </c>
      <c r="AA5247">
        <v>0.83629469999999995</v>
      </c>
      <c r="AB5247">
        <v>33</v>
      </c>
      <c r="AC5247">
        <v>8.5782000000000096</v>
      </c>
      <c r="AD5247">
        <v>-1.10237766675999</v>
      </c>
      <c r="AE5247">
        <v>8.9258999999999897</v>
      </c>
      <c r="AF5247">
        <v>6.8074375010731201</v>
      </c>
      <c r="AG5247">
        <v>-1.10237766675999</v>
      </c>
      <c r="AH5247">
        <v>10.2232154094366</v>
      </c>
      <c r="AI5247">
        <v>95.128738709375696</v>
      </c>
      <c r="AJ5247">
        <v>56.341137001491703</v>
      </c>
      <c r="AK5247">
        <v>12.331689874422301</v>
      </c>
      <c r="AL5247">
        <v>92.898003045462502</v>
      </c>
      <c r="AM5247">
        <v>72.174061972517094</v>
      </c>
      <c r="AN5247">
        <v>0.99999997529384799</v>
      </c>
    </row>
    <row r="5248" spans="1:40" x14ac:dyDescent="0.25">
      <c r="A5248" t="str">
        <f>"20190305135736284"</f>
        <v>20190305135736284</v>
      </c>
      <c r="B5248" t="str">
        <f>"1551765456277647"</f>
        <v>1551765456277647</v>
      </c>
      <c r="C5248" t="s">
        <v>40</v>
      </c>
      <c r="D5248">
        <v>4.3854670000000002</v>
      </c>
      <c r="E5248">
        <v>0.60620160000000001</v>
      </c>
      <c r="F5248" t="s">
        <v>73</v>
      </c>
      <c r="G5248">
        <v>-178.89760000000001</v>
      </c>
      <c r="H5248" s="1">
        <v>-5.5832589999999999E-6</v>
      </c>
      <c r="I5248">
        <v>131.93639999999999</v>
      </c>
      <c r="J5248">
        <v>-187.68270000000001</v>
      </c>
      <c r="K5248">
        <v>1.102101</v>
      </c>
      <c r="L5248">
        <v>123.017</v>
      </c>
      <c r="M5248">
        <v>0.18391660000000001</v>
      </c>
      <c r="N5248">
        <v>-2.451474E-2</v>
      </c>
      <c r="O5248">
        <v>0.98263610000000001</v>
      </c>
      <c r="P5248">
        <v>0.47856870000000001</v>
      </c>
      <c r="Q5248">
        <v>-6.7662979999999998E-2</v>
      </c>
      <c r="R5248">
        <v>0.87543919999999997</v>
      </c>
      <c r="S5248">
        <v>2.1596679999999999</v>
      </c>
      <c r="T5248">
        <v>-0.2695612</v>
      </c>
      <c r="U5248">
        <v>2.2347260000000002</v>
      </c>
      <c r="V5248">
        <v>0.30836180000000002</v>
      </c>
      <c r="W5248">
        <v>-5.0765369999999997E-2</v>
      </c>
      <c r="X5248">
        <v>0.94991360000000002</v>
      </c>
      <c r="Y5248">
        <v>0.54859040000000003</v>
      </c>
      <c r="Z5248">
        <v>-6.702814E-2</v>
      </c>
      <c r="AA5248">
        <v>0.83340009999999998</v>
      </c>
      <c r="AB5248">
        <v>33</v>
      </c>
      <c r="AC5248">
        <v>8.7850999999999999</v>
      </c>
      <c r="AD5248">
        <v>-1.102106583259</v>
      </c>
      <c r="AE5248">
        <v>8.91939999999998</v>
      </c>
      <c r="AF5248">
        <v>6.9404463163140102</v>
      </c>
      <c r="AG5248">
        <v>-1.102106583259</v>
      </c>
      <c r="AH5248">
        <v>10.303521520579601</v>
      </c>
      <c r="AI5248">
        <v>95.069700114533006</v>
      </c>
      <c r="AJ5248">
        <v>56.035814189597303</v>
      </c>
      <c r="AK5248">
        <v>12.471847886963101</v>
      </c>
      <c r="AL5248">
        <v>92.909892262268599</v>
      </c>
      <c r="AM5248">
        <v>72.015486753838303</v>
      </c>
      <c r="AN5248">
        <v>0.99999998497771803</v>
      </c>
    </row>
    <row r="5249" spans="1:40" x14ac:dyDescent="0.25">
      <c r="A5249" t="str">
        <f>"20190305135736301"</f>
        <v>20190305135736301</v>
      </c>
      <c r="B5249" t="str">
        <f>"1551765456298143"</f>
        <v>1551765456298143</v>
      </c>
      <c r="C5249" t="s">
        <v>40</v>
      </c>
      <c r="D5249">
        <v>4.3918749999999998</v>
      </c>
      <c r="E5249">
        <v>0.60622619999999905</v>
      </c>
      <c r="F5249" t="s">
        <v>73</v>
      </c>
      <c r="G5249">
        <v>-178.7801</v>
      </c>
      <c r="H5249" s="1">
        <v>-5.5495570000000001E-6</v>
      </c>
      <c r="I5249">
        <v>132.04920000000001</v>
      </c>
      <c r="J5249">
        <v>-187.6294</v>
      </c>
      <c r="K5249">
        <v>1.1017980000000001</v>
      </c>
      <c r="L5249">
        <v>123.2574</v>
      </c>
      <c r="M5249">
        <v>0.1917133</v>
      </c>
      <c r="N5249">
        <v>-2.4684480000000002E-2</v>
      </c>
      <c r="O5249">
        <v>0.98114049999999997</v>
      </c>
      <c r="P5249">
        <v>0.4899906</v>
      </c>
      <c r="Q5249">
        <v>-6.723614E-2</v>
      </c>
      <c r="R5249">
        <v>0.86913090000000004</v>
      </c>
      <c r="S5249">
        <v>2.18161</v>
      </c>
      <c r="T5249">
        <v>-0.27007330000000002</v>
      </c>
      <c r="U5249">
        <v>2.2133479999999999</v>
      </c>
      <c r="V5249">
        <v>0.3132104</v>
      </c>
      <c r="W5249">
        <v>-5.0559710000000001E-2</v>
      </c>
      <c r="X5249">
        <v>0.94833699999999999</v>
      </c>
      <c r="Y5249">
        <v>0.55015700000000001</v>
      </c>
      <c r="Z5249">
        <v>-6.7229209999999998E-2</v>
      </c>
      <c r="AA5249">
        <v>0.83235059999999905</v>
      </c>
      <c r="AB5249">
        <v>33</v>
      </c>
      <c r="AC5249">
        <v>8.8492999999999995</v>
      </c>
      <c r="AD5249">
        <v>-1.101803549557</v>
      </c>
      <c r="AE5249">
        <v>8.7918000000000092</v>
      </c>
      <c r="AF5249">
        <v>6.9448535123619601</v>
      </c>
      <c r="AG5249">
        <v>-1.101803549557</v>
      </c>
      <c r="AH5249">
        <v>10.2457330273587</v>
      </c>
      <c r="AI5249">
        <v>95.086812116411394</v>
      </c>
      <c r="AJ5249">
        <v>55.869447568361203</v>
      </c>
      <c r="AK5249">
        <v>12.426584673106801</v>
      </c>
      <c r="AL5249">
        <v>92.898093465487307</v>
      </c>
      <c r="AM5249">
        <v>71.722989545137494</v>
      </c>
      <c r="AN5249">
        <v>1.00000005225622</v>
      </c>
    </row>
    <row r="5250" spans="1:40" x14ac:dyDescent="0.25">
      <c r="A5250" t="str">
        <f>"20190305135736323"</f>
        <v>20190305135736323</v>
      </c>
      <c r="B5250" t="str">
        <f>"1551765456317662"</f>
        <v>1551765456317662</v>
      </c>
      <c r="C5250" t="s">
        <v>40</v>
      </c>
      <c r="D5250">
        <v>4.4016780000000004</v>
      </c>
      <c r="E5250">
        <v>0.60620859999999999</v>
      </c>
      <c r="F5250" t="s">
        <v>73</v>
      </c>
      <c r="G5250">
        <v>-178.5438</v>
      </c>
      <c r="H5250" s="1">
        <v>-5.4615430000000003E-6</v>
      </c>
      <c r="I5250">
        <v>132.23589999999999</v>
      </c>
      <c r="J5250">
        <v>-187.55420000000001</v>
      </c>
      <c r="K5250">
        <v>1.101364</v>
      </c>
      <c r="L5250">
        <v>123.5797</v>
      </c>
      <c r="M5250">
        <v>0.2027591</v>
      </c>
      <c r="N5250">
        <v>-2.4880099999999999E-2</v>
      </c>
      <c r="O5250">
        <v>0.97891249999999996</v>
      </c>
      <c r="P5250">
        <v>0.50429089999999999</v>
      </c>
      <c r="Q5250">
        <v>-6.6700209999999996E-2</v>
      </c>
      <c r="R5250">
        <v>0.860954</v>
      </c>
      <c r="S5250">
        <v>2.210709</v>
      </c>
      <c r="T5250">
        <v>-0.26809159999999999</v>
      </c>
      <c r="U5250">
        <v>2.184647</v>
      </c>
      <c r="V5250">
        <v>0.31813819999999998</v>
      </c>
      <c r="W5250">
        <v>-5.032495E-2</v>
      </c>
      <c r="X5250">
        <v>0.94670770000000004</v>
      </c>
      <c r="Y5250">
        <v>0.55172699999999997</v>
      </c>
      <c r="Z5250">
        <v>-6.66403E-2</v>
      </c>
      <c r="AA5250">
        <v>0.83135820000000005</v>
      </c>
      <c r="AB5250">
        <v>32</v>
      </c>
      <c r="AC5250">
        <v>9.0104000000000006</v>
      </c>
      <c r="AD5250">
        <v>-1.1013694615430001</v>
      </c>
      <c r="AE5250">
        <v>8.6561999999999806</v>
      </c>
      <c r="AF5250">
        <v>7.0129677388220202</v>
      </c>
      <c r="AG5250">
        <v>-1.1013694615430001</v>
      </c>
      <c r="AH5250">
        <v>10.2243506211059</v>
      </c>
      <c r="AI5250">
        <v>95.076370730360196</v>
      </c>
      <c r="AJ5250">
        <v>55.553447390205697</v>
      </c>
      <c r="AK5250">
        <v>12.447171438519099</v>
      </c>
      <c r="AL5250">
        <v>92.884625737766498</v>
      </c>
      <c r="AM5250">
        <v>71.425236283786006</v>
      </c>
      <c r="AN5250">
        <v>0.99999999206551604</v>
      </c>
    </row>
    <row r="5251" spans="1:40" x14ac:dyDescent="0.25">
      <c r="A5251" t="str">
        <f>"20190305135736338"</f>
        <v>20190305135736338</v>
      </c>
      <c r="B5251" t="str">
        <f>"1551765456327424"</f>
        <v>1551765456327424</v>
      </c>
      <c r="C5251" t="s">
        <v>40</v>
      </c>
      <c r="D5251">
        <v>4.4149529999999997</v>
      </c>
      <c r="E5251">
        <v>0.60618919999999998</v>
      </c>
      <c r="F5251" t="s">
        <v>73</v>
      </c>
      <c r="G5251">
        <v>-178.2441</v>
      </c>
      <c r="H5251" s="1">
        <v>-5.3500280000000004E-6</v>
      </c>
      <c r="I5251">
        <v>132.48070000000001</v>
      </c>
      <c r="J5251">
        <v>-187.50319999999999</v>
      </c>
      <c r="K5251">
        <v>1.101062</v>
      </c>
      <c r="L5251">
        <v>123.7872</v>
      </c>
      <c r="M5251">
        <v>0.21027589999999999</v>
      </c>
      <c r="N5251">
        <v>-2.496087E-2</v>
      </c>
      <c r="O5251">
        <v>0.97732339999999995</v>
      </c>
      <c r="P5251">
        <v>0.51342770000000004</v>
      </c>
      <c r="Q5251">
        <v>-6.6739549999999995E-2</v>
      </c>
      <c r="R5251">
        <v>0.85553359999999901</v>
      </c>
      <c r="S5251">
        <v>2.2466889999999999</v>
      </c>
      <c r="T5251">
        <v>-0.26578160000000001</v>
      </c>
      <c r="U5251">
        <v>2.14798</v>
      </c>
      <c r="V5251">
        <v>0.32090030000000003</v>
      </c>
      <c r="W5251">
        <v>-5.0600279999999997E-2</v>
      </c>
      <c r="X5251">
        <v>0.9457603</v>
      </c>
      <c r="Y5251">
        <v>0.55906699999999998</v>
      </c>
      <c r="Z5251">
        <v>-6.6059350000000003E-2</v>
      </c>
      <c r="AA5251">
        <v>0.82648659999999996</v>
      </c>
      <c r="AB5251">
        <v>32</v>
      </c>
      <c r="AC5251">
        <v>9.2590999999999894</v>
      </c>
      <c r="AD5251">
        <v>-1.1010673500279999</v>
      </c>
      <c r="AE5251">
        <v>8.6935000000000109</v>
      </c>
      <c r="AF5251">
        <v>7.1694681305001504</v>
      </c>
      <c r="AG5251">
        <v>-1.1010673500279999</v>
      </c>
      <c r="AH5251">
        <v>10.3686530912787</v>
      </c>
      <c r="AI5251">
        <v>94.991829892181698</v>
      </c>
      <c r="AJ5251">
        <v>55.337844558981502</v>
      </c>
      <c r="AK5251">
        <v>12.6539554887331</v>
      </c>
      <c r="AL5251">
        <v>92.900421178956407</v>
      </c>
      <c r="AM5251">
        <v>71.257717458115806</v>
      </c>
      <c r="AN5251">
        <v>0.999999967966128</v>
      </c>
    </row>
    <row r="5252" spans="1:40" x14ac:dyDescent="0.25">
      <c r="A5252" t="str">
        <f>"20190305135736356"</f>
        <v>20190305135736356</v>
      </c>
      <c r="B5252" t="str">
        <f>"1551765456347919"</f>
        <v>1551765456347919</v>
      </c>
      <c r="C5252" t="s">
        <v>40</v>
      </c>
      <c r="D5252">
        <v>4.4147780000000001</v>
      </c>
      <c r="E5252">
        <v>0.60616919999999996</v>
      </c>
      <c r="F5252" t="s">
        <v>73</v>
      </c>
      <c r="G5252">
        <v>-178.09950000000001</v>
      </c>
      <c r="H5252" s="1">
        <v>-5.2923409999999998E-6</v>
      </c>
      <c r="I5252">
        <v>132.58860000000001</v>
      </c>
      <c r="J5252">
        <v>-187.43690000000001</v>
      </c>
      <c r="K5252">
        <v>1.1006499999999999</v>
      </c>
      <c r="L5252">
        <v>124.0463</v>
      </c>
      <c r="M5252">
        <v>0.22009210000000001</v>
      </c>
      <c r="N5252">
        <v>-2.498968E-2</v>
      </c>
      <c r="O5252">
        <v>0.97515890000000005</v>
      </c>
      <c r="P5252">
        <v>0.526366</v>
      </c>
      <c r="Q5252">
        <v>-6.7421560000000005E-2</v>
      </c>
      <c r="R5252">
        <v>0.84758080000000002</v>
      </c>
      <c r="S5252">
        <v>2.2693020000000002</v>
      </c>
      <c r="T5252">
        <v>-0.26570939999999998</v>
      </c>
      <c r="U5252">
        <v>2.1239620000000001</v>
      </c>
      <c r="V5252">
        <v>0.32569609999999999</v>
      </c>
      <c r="W5252">
        <v>-5.1700969999999999E-2</v>
      </c>
      <c r="X5252">
        <v>0.9440598</v>
      </c>
      <c r="Y5252">
        <v>0.55950459999999902</v>
      </c>
      <c r="Z5252">
        <v>-6.6219490000000006E-2</v>
      </c>
      <c r="AA5252">
        <v>0.82617770000000001</v>
      </c>
      <c r="AB5252">
        <v>32</v>
      </c>
      <c r="AC5252">
        <v>9.3374000000000006</v>
      </c>
      <c r="AD5252">
        <v>-1.100655292341</v>
      </c>
      <c r="AE5252">
        <v>8.5423000000000098</v>
      </c>
      <c r="AF5252">
        <v>7.1733538724331201</v>
      </c>
      <c r="AG5252">
        <v>-1.100655292341</v>
      </c>
      <c r="AH5252">
        <v>10.310443913221199</v>
      </c>
      <c r="AI5252">
        <v>95.008001444783105</v>
      </c>
      <c r="AJ5252">
        <v>55.172248669071102</v>
      </c>
      <c r="AK5252">
        <v>12.6084773680009</v>
      </c>
      <c r="AL5252">
        <v>92.963568872697294</v>
      </c>
      <c r="AM5252">
        <v>70.965811386403502</v>
      </c>
      <c r="AN5252">
        <v>0.99999992291509199</v>
      </c>
    </row>
    <row r="5253" spans="1:40" x14ac:dyDescent="0.25">
      <c r="A5253" t="str">
        <f>"20190305135736374"</f>
        <v>20190305135736374</v>
      </c>
      <c r="B5253" t="str">
        <f>"1551765456367439"</f>
        <v>1551765456367439</v>
      </c>
      <c r="C5253" t="s">
        <v>40</v>
      </c>
      <c r="D5253">
        <v>4.5040930000000001</v>
      </c>
      <c r="E5253">
        <v>0.60615039999999998</v>
      </c>
      <c r="F5253" t="s">
        <v>73</v>
      </c>
      <c r="G5253">
        <v>-177.958</v>
      </c>
      <c r="H5253" s="1">
        <v>-5.219342E-6</v>
      </c>
      <c r="I5253">
        <v>132.6506</v>
      </c>
      <c r="J5253">
        <v>-187.37459999999999</v>
      </c>
      <c r="K5253">
        <v>1.100263</v>
      </c>
      <c r="L5253">
        <v>124.279</v>
      </c>
      <c r="M5253">
        <v>0.2293346</v>
      </c>
      <c r="N5253">
        <v>-2.4920350000000001E-2</v>
      </c>
      <c r="O5253">
        <v>0.97302860000000002</v>
      </c>
      <c r="P5253">
        <v>0.53657440000000001</v>
      </c>
      <c r="Q5253">
        <v>-6.7302440000000005E-2</v>
      </c>
      <c r="R5253">
        <v>0.84116489999999999</v>
      </c>
      <c r="S5253">
        <v>2.3013460000000001</v>
      </c>
      <c r="T5253">
        <v>-0.26722570000000001</v>
      </c>
      <c r="U5253">
        <v>2.0890200000000001</v>
      </c>
      <c r="V5253">
        <v>0.3281038</v>
      </c>
      <c r="W5253">
        <v>-5.1993490000000003E-2</v>
      </c>
      <c r="X5253">
        <v>0.94320970000000004</v>
      </c>
      <c r="Y5253">
        <v>0.56419859999999999</v>
      </c>
      <c r="Z5253">
        <v>-6.7053479999999999E-2</v>
      </c>
      <c r="AA5253">
        <v>0.82291179999999997</v>
      </c>
      <c r="AB5253">
        <v>32</v>
      </c>
      <c r="AC5253">
        <v>9.4165999999999794</v>
      </c>
      <c r="AD5253">
        <v>-1.1002682193419999</v>
      </c>
      <c r="AE5253">
        <v>8.3716000000000008</v>
      </c>
      <c r="AF5253">
        <v>7.1901451672299803</v>
      </c>
      <c r="AG5253">
        <v>-1.1002682193419999</v>
      </c>
      <c r="AH5253">
        <v>10.2305468741882</v>
      </c>
      <c r="AI5253">
        <v>95.028496481244005</v>
      </c>
      <c r="AJ5253">
        <v>54.9000135037479</v>
      </c>
      <c r="AK5253">
        <v>12.5528031540886</v>
      </c>
      <c r="AL5253">
        <v>92.980351430414103</v>
      </c>
      <c r="AM5253">
        <v>70.819319655272096</v>
      </c>
      <c r="AN5253">
        <v>0.99999998237545495</v>
      </c>
    </row>
    <row r="5254" spans="1:40" x14ac:dyDescent="0.25">
      <c r="A5254" t="str">
        <f>"20190305135736390"</f>
        <v>20190305135736390</v>
      </c>
      <c r="B5254" t="str">
        <f>"1551765456387935"</f>
        <v>1551765456387935</v>
      </c>
      <c r="C5254" t="s">
        <v>40</v>
      </c>
      <c r="D5254">
        <v>4.397189</v>
      </c>
      <c r="E5254">
        <v>0.60602270000000003</v>
      </c>
      <c r="F5254" t="s">
        <v>73</v>
      </c>
      <c r="G5254">
        <v>-177.84129999999999</v>
      </c>
      <c r="H5254" s="1">
        <v>-5.168034E-6</v>
      </c>
      <c r="I5254">
        <v>132.7251</v>
      </c>
      <c r="J5254">
        <v>-187.31110000000001</v>
      </c>
      <c r="K5254">
        <v>1.0998520000000001</v>
      </c>
      <c r="L5254">
        <v>124.5069</v>
      </c>
      <c r="M5254">
        <v>0.2387764</v>
      </c>
      <c r="N5254">
        <v>-2.473995E-2</v>
      </c>
      <c r="O5254">
        <v>0.97075940000000005</v>
      </c>
      <c r="P5254">
        <v>0.54832219999999998</v>
      </c>
      <c r="Q5254">
        <v>-6.7633070000000003E-2</v>
      </c>
      <c r="R5254">
        <v>0.83352780000000004</v>
      </c>
      <c r="S5254">
        <v>2.3263240000000001</v>
      </c>
      <c r="T5254">
        <v>-0.26849070000000003</v>
      </c>
      <c r="U5254">
        <v>2.0610499999999998</v>
      </c>
      <c r="V5254">
        <v>0.3321152</v>
      </c>
      <c r="W5254">
        <v>-5.2894730000000001E-2</v>
      </c>
      <c r="X5254">
        <v>0.9417546</v>
      </c>
      <c r="Y5254">
        <v>0.56607850000000004</v>
      </c>
      <c r="Z5254">
        <v>-6.7857539999999994E-2</v>
      </c>
      <c r="AA5254">
        <v>0.82155370000000005</v>
      </c>
      <c r="AB5254">
        <v>31</v>
      </c>
      <c r="AC5254">
        <v>9.46980000000001</v>
      </c>
      <c r="AD5254">
        <v>-1.0998571680339999</v>
      </c>
      <c r="AE5254">
        <v>8.2181999999999906</v>
      </c>
      <c r="AF5254">
        <v>7.1775715260819899</v>
      </c>
      <c r="AG5254">
        <v>-1.0998571680339999</v>
      </c>
      <c r="AH5254">
        <v>10.1639883139533</v>
      </c>
      <c r="AI5254">
        <v>95.051405513123399</v>
      </c>
      <c r="AJ5254">
        <v>54.771153133726799</v>
      </c>
      <c r="AK5254">
        <v>12.4913520984831</v>
      </c>
      <c r="AL5254">
        <v>93.032059656686101</v>
      </c>
      <c r="AM5254">
        <v>70.574507351410602</v>
      </c>
      <c r="AN5254">
        <v>1.0000000425769799</v>
      </c>
    </row>
    <row r="5255" spans="1:40" x14ac:dyDescent="0.25">
      <c r="A5255" t="str">
        <f>"20190305135736413"</f>
        <v>20190305135736413</v>
      </c>
      <c r="B5255" t="str">
        <f>"1551765456407455"</f>
        <v>1551765456407455</v>
      </c>
      <c r="C5255" t="s">
        <v>40</v>
      </c>
      <c r="D5255">
        <v>4.3945309999999997</v>
      </c>
      <c r="E5255">
        <v>0.60586850000000003</v>
      </c>
      <c r="F5255" t="s">
        <v>73</v>
      </c>
      <c r="G5255">
        <v>-177.6874</v>
      </c>
      <c r="H5255" s="1">
        <v>-5.0909169999999997E-6</v>
      </c>
      <c r="I5255">
        <v>132.79859999999999</v>
      </c>
      <c r="J5255">
        <v>-187.21879999999999</v>
      </c>
      <c r="K5255">
        <v>1.0992959999999901</v>
      </c>
      <c r="L5255">
        <v>124.8199</v>
      </c>
      <c r="M5255">
        <v>0.2524535</v>
      </c>
      <c r="N5255">
        <v>-2.4301349999999999E-2</v>
      </c>
      <c r="O5255">
        <v>0.96730380000000005</v>
      </c>
      <c r="P5255">
        <v>0.56316049999999995</v>
      </c>
      <c r="Q5255">
        <v>-6.6979410000000003E-2</v>
      </c>
      <c r="R5255">
        <v>0.82362860000000004</v>
      </c>
      <c r="S5255">
        <v>2.3543699999999999</v>
      </c>
      <c r="T5255">
        <v>-0.26907419999999999</v>
      </c>
      <c r="U5255">
        <v>2.0285340000000001</v>
      </c>
      <c r="V5255">
        <v>0.33561980000000002</v>
      </c>
      <c r="W5255">
        <v>-5.3119930000000003E-2</v>
      </c>
      <c r="X5255">
        <v>0.94049859999999996</v>
      </c>
      <c r="Y5255">
        <v>0.56578359999999905</v>
      </c>
      <c r="Z5255">
        <v>-6.8702830000000006E-2</v>
      </c>
      <c r="AA5255">
        <v>0.82168660000000004</v>
      </c>
      <c r="AB5255">
        <v>31</v>
      </c>
      <c r="AC5255">
        <v>9.5313999999999908</v>
      </c>
      <c r="AD5255">
        <v>-1.09930109091699</v>
      </c>
      <c r="AE5255">
        <v>7.9786999999999804</v>
      </c>
      <c r="AF5255">
        <v>7.1517010751888597</v>
      </c>
      <c r="AG5255">
        <v>-1.09930109091699</v>
      </c>
      <c r="AH5255">
        <v>10.0484600001662</v>
      </c>
      <c r="AI5255">
        <v>95.093336218536393</v>
      </c>
      <c r="AJ5255">
        <v>54.559739164410999</v>
      </c>
      <c r="AK5255">
        <v>12.382521533689699</v>
      </c>
      <c r="AL5255">
        <v>93.044980970631002</v>
      </c>
      <c r="AM5255">
        <v>70.360903329032993</v>
      </c>
      <c r="AN5255">
        <v>0.99999999685860197</v>
      </c>
    </row>
    <row r="5256" spans="1:40" x14ac:dyDescent="0.25">
      <c r="A5256" t="str">
        <f>"20190305135736435"</f>
        <v>20190305135736435</v>
      </c>
      <c r="B5256" t="str">
        <f>"1551765456427951"</f>
        <v>1551765456427951</v>
      </c>
      <c r="C5256" t="s">
        <v>40</v>
      </c>
      <c r="D5256">
        <v>4.3820600000000001</v>
      </c>
      <c r="E5256">
        <v>0.59852059999999996</v>
      </c>
      <c r="F5256" t="s">
        <v>73</v>
      </c>
      <c r="G5256">
        <v>-177.39590000000001</v>
      </c>
      <c r="H5256" s="1">
        <v>-4.9634760000000002E-6</v>
      </c>
      <c r="I5256">
        <v>132.98679999999999</v>
      </c>
      <c r="J5256">
        <v>-187.12360000000001</v>
      </c>
      <c r="K5256">
        <v>1.098752</v>
      </c>
      <c r="L5256">
        <v>125.1254</v>
      </c>
      <c r="M5256">
        <v>0.26647680000000001</v>
      </c>
      <c r="N5256">
        <v>-2.36811E-2</v>
      </c>
      <c r="O5256">
        <v>0.96355040000000003</v>
      </c>
      <c r="P5256">
        <v>0.57861459999999998</v>
      </c>
      <c r="Q5256">
        <v>-6.5796060000000003E-2</v>
      </c>
      <c r="R5256">
        <v>0.81294290000000002</v>
      </c>
      <c r="S5256">
        <v>2.3896030000000001</v>
      </c>
      <c r="T5256">
        <v>-0.26742680000000002</v>
      </c>
      <c r="U5256">
        <v>1.986755</v>
      </c>
      <c r="V5256">
        <v>0.33965620000000002</v>
      </c>
      <c r="W5256">
        <v>-5.2971020000000001E-2</v>
      </c>
      <c r="X5256">
        <v>0.93905689999999997</v>
      </c>
      <c r="Y5256">
        <v>0.56828000000000001</v>
      </c>
      <c r="Z5256">
        <v>-6.8998379999999998E-2</v>
      </c>
      <c r="AA5256">
        <v>0.81993719999999903</v>
      </c>
      <c r="AB5256">
        <v>31</v>
      </c>
      <c r="AC5256">
        <v>9.7277000000000005</v>
      </c>
      <c r="AD5256">
        <v>-1.0987569634759999</v>
      </c>
      <c r="AE5256">
        <v>7.8613999999999802</v>
      </c>
      <c r="AF5256">
        <v>7.2245337055549399</v>
      </c>
      <c r="AG5256">
        <v>-1.0987569634759999</v>
      </c>
      <c r="AH5256">
        <v>10.092026708899599</v>
      </c>
      <c r="AI5256">
        <v>95.059093727167607</v>
      </c>
      <c r="AJ5256">
        <v>54.402431487973303</v>
      </c>
      <c r="AK5256">
        <v>12.459942103422</v>
      </c>
      <c r="AL5256">
        <v>93.036436828142399</v>
      </c>
      <c r="AM5256">
        <v>70.114979417566204</v>
      </c>
      <c r="AN5256">
        <v>1.0000000622979399</v>
      </c>
    </row>
    <row r="5257" spans="1:40" x14ac:dyDescent="0.25">
      <c r="A5257" t="str">
        <f>"20190305135736448"</f>
        <v>20190305135736448</v>
      </c>
      <c r="B5257" t="str">
        <f>"1551765456437711"</f>
        <v>1551765456437711</v>
      </c>
      <c r="C5257" t="s">
        <v>40</v>
      </c>
      <c r="D5257">
        <v>4.3513219999999997</v>
      </c>
      <c r="E5257">
        <v>0.59821619999999998</v>
      </c>
      <c r="F5257" t="s">
        <v>73</v>
      </c>
      <c r="G5257">
        <v>-179.9631</v>
      </c>
      <c r="H5257" s="1">
        <v>-5.9288580000000002E-6</v>
      </c>
      <c r="I5257">
        <v>131.0386</v>
      </c>
      <c r="J5257">
        <v>-187.06450000000001</v>
      </c>
      <c r="K5257">
        <v>1.098447</v>
      </c>
      <c r="L5257">
        <v>125.3087</v>
      </c>
      <c r="M5257">
        <v>0.27510590000000001</v>
      </c>
      <c r="N5257">
        <v>-2.326427E-2</v>
      </c>
      <c r="O5257">
        <v>0.9611324</v>
      </c>
      <c r="P5257">
        <v>0.58762700000000001</v>
      </c>
      <c r="Q5257">
        <v>-6.5771120000000002E-2</v>
      </c>
      <c r="R5257">
        <v>0.80645440000000002</v>
      </c>
      <c r="S5257">
        <v>2.38089</v>
      </c>
      <c r="T5257">
        <v>-0.3653381</v>
      </c>
      <c r="U5257">
        <v>1.9661249999999999</v>
      </c>
      <c r="V5257">
        <v>0.34164800000000001</v>
      </c>
      <c r="W5257">
        <v>-5.3583850000000002E-2</v>
      </c>
      <c r="X5257">
        <v>0.9382992</v>
      </c>
      <c r="Y5257">
        <v>0.56122700000000003</v>
      </c>
      <c r="Z5257">
        <v>-0.1026986</v>
      </c>
      <c r="AA5257">
        <v>0.82126559999999904</v>
      </c>
      <c r="AB5257">
        <v>31</v>
      </c>
      <c r="AC5257">
        <v>7.1014000000000097</v>
      </c>
      <c r="AD5257">
        <v>-1.0984529288580001</v>
      </c>
      <c r="AE5257">
        <v>5.7298999999999998</v>
      </c>
      <c r="AF5257">
        <v>5.1754762289504699</v>
      </c>
      <c r="AG5257">
        <v>-1.0984529288580001</v>
      </c>
      <c r="AH5257">
        <v>7.3562453333095696</v>
      </c>
      <c r="AI5257">
        <v>96.962814011652796</v>
      </c>
      <c r="AJ5257">
        <v>54.871750282607998</v>
      </c>
      <c r="AK5257">
        <v>9.0612636225411194</v>
      </c>
      <c r="AL5257">
        <v>93.071599570770999</v>
      </c>
      <c r="AM5257">
        <v>69.992719987799305</v>
      </c>
      <c r="AN5257">
        <v>0.99999998680273094</v>
      </c>
    </row>
    <row r="5258" spans="1:40" x14ac:dyDescent="0.25">
      <c r="A5258" t="str">
        <f>"20190305135736463"</f>
        <v>20190305135736463</v>
      </c>
      <c r="B5258" t="str">
        <f>"1551765456458208"</f>
        <v>1551765456458208</v>
      </c>
      <c r="C5258" t="s">
        <v>40</v>
      </c>
      <c r="D5258">
        <v>4.3863209999999997</v>
      </c>
      <c r="E5258">
        <v>0.59703839999999997</v>
      </c>
      <c r="F5258" t="s">
        <v>73</v>
      </c>
      <c r="G5258">
        <v>-179.4119</v>
      </c>
      <c r="H5258" s="1">
        <v>-5.751911E-6</v>
      </c>
      <c r="I5258">
        <v>131.50299999999999</v>
      </c>
      <c r="J5258">
        <v>-187.00229999999999</v>
      </c>
      <c r="K5258">
        <v>1.0981639999999999</v>
      </c>
      <c r="L5258">
        <v>125.4932</v>
      </c>
      <c r="M5258">
        <v>0.28408070000000002</v>
      </c>
      <c r="N5258">
        <v>-2.2834440000000001E-2</v>
      </c>
      <c r="O5258">
        <v>0.95852850000000001</v>
      </c>
      <c r="P5258">
        <v>0.5985161</v>
      </c>
      <c r="Q5258">
        <v>-6.5632960000000004E-2</v>
      </c>
      <c r="R5258">
        <v>0.79841770000000001</v>
      </c>
      <c r="S5258">
        <v>2.4003299999999999</v>
      </c>
      <c r="T5258">
        <v>-0.34454170000000001</v>
      </c>
      <c r="U5258">
        <v>1.9429019999999999</v>
      </c>
      <c r="V5258">
        <v>0.34556340000000002</v>
      </c>
      <c r="W5258">
        <v>-5.4152209999999999E-2</v>
      </c>
      <c r="X5258">
        <v>0.93683159999999999</v>
      </c>
      <c r="Y5258">
        <v>0.56212220000000002</v>
      </c>
      <c r="Z5258">
        <v>-9.6289059999999996E-2</v>
      </c>
      <c r="AA5258">
        <v>0.82142990000000005</v>
      </c>
      <c r="AB5258">
        <v>31</v>
      </c>
      <c r="AC5258">
        <v>7.5903999999999803</v>
      </c>
      <c r="AD5258">
        <v>-1.0981697519110001</v>
      </c>
      <c r="AE5258">
        <v>6.0097999999999798</v>
      </c>
      <c r="AF5258">
        <v>5.4990463551998499</v>
      </c>
      <c r="AG5258">
        <v>-1.0981697519110001</v>
      </c>
      <c r="AH5258">
        <v>7.8183225206620603</v>
      </c>
      <c r="AI5258">
        <v>96.553911836073596</v>
      </c>
      <c r="AJ5258">
        <v>54.879219852640801</v>
      </c>
      <c r="AK5258">
        <v>9.6214164579723196</v>
      </c>
      <c r="AL5258">
        <v>93.104211553864701</v>
      </c>
      <c r="AM5258">
        <v>69.752800629177102</v>
      </c>
      <c r="AN5258">
        <v>0.999999986013002</v>
      </c>
    </row>
    <row r="5259" spans="1:40" x14ac:dyDescent="0.25">
      <c r="A5259" t="str">
        <f>"20190305135736490"</f>
        <v>20190305135736490</v>
      </c>
      <c r="B5259" t="str">
        <f>"1551765456487487"</f>
        <v>1551765456487487</v>
      </c>
      <c r="C5259" t="s">
        <v>40</v>
      </c>
      <c r="D5259">
        <v>4.4668429999999999</v>
      </c>
      <c r="E5259">
        <v>0.59718839999999995</v>
      </c>
      <c r="F5259" t="s">
        <v>73</v>
      </c>
      <c r="G5259">
        <v>-179.11320000000001</v>
      </c>
      <c r="H5259" s="1">
        <v>-5.6499429999999899E-6</v>
      </c>
      <c r="I5259">
        <v>131.7432</v>
      </c>
      <c r="J5259">
        <v>-186.87459999999999</v>
      </c>
      <c r="K5259">
        <v>1.097631</v>
      </c>
      <c r="L5259">
        <v>125.85809999999999</v>
      </c>
      <c r="M5259">
        <v>0.30226999999999998</v>
      </c>
      <c r="N5259">
        <v>-2.1994909999999999E-2</v>
      </c>
      <c r="O5259">
        <v>0.9529685</v>
      </c>
      <c r="P5259">
        <v>0.61676309999999901</v>
      </c>
      <c r="Q5259">
        <v>-6.5981890000000001E-2</v>
      </c>
      <c r="R5259">
        <v>0.78437860000000004</v>
      </c>
      <c r="S5259">
        <v>2.419022</v>
      </c>
      <c r="T5259">
        <v>-0.33672980000000002</v>
      </c>
      <c r="U5259">
        <v>1.916412</v>
      </c>
      <c r="V5259">
        <v>0.34925509999999999</v>
      </c>
      <c r="W5259">
        <v>-5.5739780000000003E-2</v>
      </c>
      <c r="X5259">
        <v>0.93536839999999999</v>
      </c>
      <c r="Y5259">
        <v>0.55519739999999995</v>
      </c>
      <c r="Z5259">
        <v>-9.4551129999999997E-2</v>
      </c>
      <c r="AA5259">
        <v>0.82632680000000003</v>
      </c>
      <c r="AB5259">
        <v>31</v>
      </c>
      <c r="AC5259">
        <v>7.7613999999999796</v>
      </c>
      <c r="AD5259">
        <v>-1.0976366499429999</v>
      </c>
      <c r="AE5259">
        <v>5.8851000000000004</v>
      </c>
      <c r="AF5259">
        <v>5.5483809754629601</v>
      </c>
      <c r="AG5259">
        <v>-1.0976366499429999</v>
      </c>
      <c r="AH5259">
        <v>7.8565083050149997</v>
      </c>
      <c r="AI5259">
        <v>96.510492377975794</v>
      </c>
      <c r="AJ5259">
        <v>54.769702950026499</v>
      </c>
      <c r="AK5259">
        <v>9.6806022752175398</v>
      </c>
      <c r="AL5259">
        <v>93.195310054409802</v>
      </c>
      <c r="AM5259">
        <v>69.524984206917594</v>
      </c>
      <c r="AN5259">
        <v>1.0000000458345</v>
      </c>
    </row>
    <row r="5260" spans="1:40" x14ac:dyDescent="0.25">
      <c r="A5260" t="str">
        <f>"20190305135736512"</f>
        <v>20190305135736512</v>
      </c>
      <c r="B5260" t="str">
        <f>"1551765456507983"</f>
        <v>1551765456507983</v>
      </c>
      <c r="C5260" t="s">
        <v>40</v>
      </c>
      <c r="D5260">
        <v>4.4849309999999996</v>
      </c>
      <c r="E5260">
        <v>0.63501879999999999</v>
      </c>
      <c r="F5260" t="s">
        <v>73</v>
      </c>
      <c r="G5260">
        <v>-178.87819999999999</v>
      </c>
      <c r="H5260" s="1">
        <v>-5.5551099999999901E-6</v>
      </c>
      <c r="I5260">
        <v>131.8904</v>
      </c>
      <c r="J5260">
        <v>-186.76159999999999</v>
      </c>
      <c r="K5260">
        <v>1.0972189999999999</v>
      </c>
      <c r="L5260">
        <v>126.1617</v>
      </c>
      <c r="M5260">
        <v>0.31800590000000001</v>
      </c>
      <c r="N5260">
        <v>-2.1344620000000002E-2</v>
      </c>
      <c r="O5260">
        <v>0.94784840000000004</v>
      </c>
      <c r="P5260">
        <v>0.63164129999999996</v>
      </c>
      <c r="Q5260">
        <v>-6.5540399999999999E-2</v>
      </c>
      <c r="R5260">
        <v>0.77248539999999999</v>
      </c>
      <c r="S5260">
        <v>2.4639890000000002</v>
      </c>
      <c r="T5260">
        <v>-0.33822150000000001</v>
      </c>
      <c r="U5260">
        <v>1.858765</v>
      </c>
      <c r="V5260">
        <v>0.35158509999999998</v>
      </c>
      <c r="W5260">
        <v>-5.6263580000000001E-2</v>
      </c>
      <c r="X5260">
        <v>0.93446359999999995</v>
      </c>
      <c r="Y5260">
        <v>0.5609326</v>
      </c>
      <c r="Z5260">
        <v>-9.5929440000000005E-2</v>
      </c>
      <c r="AA5260">
        <v>0.82228469999999998</v>
      </c>
      <c r="AB5260">
        <v>31</v>
      </c>
      <c r="AC5260">
        <v>7.8833999999999902</v>
      </c>
      <c r="AD5260">
        <v>-1.0972245551099999</v>
      </c>
      <c r="AE5260">
        <v>5.7286999999999999</v>
      </c>
      <c r="AF5260">
        <v>5.5810435352187504</v>
      </c>
      <c r="AG5260">
        <v>-1.0972245551099999</v>
      </c>
      <c r="AH5260">
        <v>7.8393350023891797</v>
      </c>
      <c r="AI5260">
        <v>96.5047946165121</v>
      </c>
      <c r="AJ5260">
        <v>54.551864534473196</v>
      </c>
      <c r="AK5260">
        <v>9.6854076809408305</v>
      </c>
      <c r="AL5260">
        <v>93.225369075781501</v>
      </c>
      <c r="AM5260">
        <v>69.381557521016603</v>
      </c>
      <c r="AN5260">
        <v>0.999999946350691</v>
      </c>
    </row>
    <row r="5261" spans="1:40" x14ac:dyDescent="0.25">
      <c r="A5261" t="str">
        <f>"20190305135736535"</f>
        <v>20190305135736535</v>
      </c>
      <c r="B5261" t="str">
        <f>"1551765456527503"</f>
        <v>1551765456527503</v>
      </c>
      <c r="C5261" t="s">
        <v>40</v>
      </c>
      <c r="D5261">
        <v>4.4346370000000004</v>
      </c>
      <c r="E5261">
        <v>0.64001009999999903</v>
      </c>
      <c r="F5261" t="s">
        <v>73</v>
      </c>
      <c r="G5261">
        <v>-176.2012</v>
      </c>
      <c r="H5261" s="1">
        <v>-3.9411640000000003E-6</v>
      </c>
      <c r="I5261">
        <v>132.44040000000001</v>
      </c>
      <c r="J5261">
        <v>-186.64570000000001</v>
      </c>
      <c r="K5261">
        <v>1.09683</v>
      </c>
      <c r="L5261">
        <v>126.4576</v>
      </c>
      <c r="M5261">
        <v>0.33373390000000003</v>
      </c>
      <c r="N5261">
        <v>-2.076064E-2</v>
      </c>
      <c r="O5261">
        <v>0.94243869999999996</v>
      </c>
      <c r="P5261">
        <v>0.64625690000000002</v>
      </c>
      <c r="Q5261">
        <v>-6.4038070000000002E-2</v>
      </c>
      <c r="R5261">
        <v>0.7604284</v>
      </c>
      <c r="S5261">
        <v>2.7328950000000001</v>
      </c>
      <c r="T5261">
        <v>-0.28394789999999998</v>
      </c>
      <c r="U5261">
        <v>1.6248629999999999</v>
      </c>
      <c r="V5261">
        <v>0.3537981</v>
      </c>
      <c r="W5261">
        <v>-5.5657150000000002E-2</v>
      </c>
      <c r="X5261">
        <v>0.93366439999999995</v>
      </c>
      <c r="Y5261">
        <v>0.63648879999999997</v>
      </c>
      <c r="Z5261">
        <v>-7.7558940000000007E-2</v>
      </c>
      <c r="AA5261">
        <v>0.76737650000000002</v>
      </c>
      <c r="AB5261">
        <v>31</v>
      </c>
      <c r="AC5261">
        <v>10.4445</v>
      </c>
      <c r="AD5261">
        <v>-1.096833941164</v>
      </c>
      <c r="AE5261">
        <v>5.9828000000000099</v>
      </c>
      <c r="AF5261">
        <v>7.7836961781853002</v>
      </c>
      <c r="AG5261">
        <v>-1.096833941164</v>
      </c>
      <c r="AH5261">
        <v>9.05091714088584</v>
      </c>
      <c r="AI5261">
        <v>95.249654796907805</v>
      </c>
      <c r="AJ5261">
        <v>49.3048057977879</v>
      </c>
      <c r="AK5261">
        <v>11.9878301614582</v>
      </c>
      <c r="AL5261">
        <v>93.1905684487907</v>
      </c>
      <c r="AM5261">
        <v>69.246549398166707</v>
      </c>
      <c r="AN5261">
        <v>1.00000001286854</v>
      </c>
    </row>
    <row r="5262" spans="1:40" x14ac:dyDescent="0.25">
      <c r="A5262" t="str">
        <f>"20190305135736557"</f>
        <v>20190305135736557</v>
      </c>
      <c r="B5262" t="str">
        <f>"1551765456548002"</f>
        <v>1551765456548002</v>
      </c>
      <c r="C5262" t="s">
        <v>40</v>
      </c>
      <c r="D5262">
        <v>4.2653470000000002</v>
      </c>
      <c r="E5262">
        <v>0.64162559999999902</v>
      </c>
      <c r="F5262" t="s">
        <v>73</v>
      </c>
      <c r="G5262">
        <v>-175.53290000000001</v>
      </c>
      <c r="H5262" s="1">
        <v>-3.550832E-6</v>
      </c>
      <c r="I5262">
        <v>132.6131</v>
      </c>
      <c r="J5262">
        <v>-186.52789999999999</v>
      </c>
      <c r="K5262">
        <v>1.096457</v>
      </c>
      <c r="L5262">
        <v>126.7443</v>
      </c>
      <c r="M5262">
        <v>0.34931800000000002</v>
      </c>
      <c r="N5262">
        <v>-2.0244189999999999E-2</v>
      </c>
      <c r="O5262">
        <v>0.93678550000000005</v>
      </c>
      <c r="P5262">
        <v>0.66123469999999995</v>
      </c>
      <c r="Q5262">
        <v>-6.3058290000000003E-2</v>
      </c>
      <c r="R5262">
        <v>0.74752410000000002</v>
      </c>
      <c r="S5262">
        <v>2.7938540000000001</v>
      </c>
      <c r="T5262">
        <v>-0.2757539</v>
      </c>
      <c r="U5262">
        <v>1.5475460000000001</v>
      </c>
      <c r="V5262">
        <v>0.35680149999999999</v>
      </c>
      <c r="W5262">
        <v>-5.554415E-2</v>
      </c>
      <c r="X5262">
        <v>0.93252749999999995</v>
      </c>
      <c r="Y5262">
        <v>0.64730010000000004</v>
      </c>
      <c r="Z5262">
        <v>-7.5379109999999999E-2</v>
      </c>
      <c r="AA5262">
        <v>0.75849880000000003</v>
      </c>
      <c r="AB5262">
        <v>31</v>
      </c>
      <c r="AC5262">
        <v>10.9949999999999</v>
      </c>
      <c r="AD5262">
        <v>-1.096460550832</v>
      </c>
      <c r="AE5262">
        <v>5.8688000000000002</v>
      </c>
      <c r="AF5262">
        <v>8.1881962884855</v>
      </c>
      <c r="AG5262">
        <v>-1.096460550832</v>
      </c>
      <c r="AH5262">
        <v>9.26873549673879</v>
      </c>
      <c r="AI5262">
        <v>95.066387167568493</v>
      </c>
      <c r="AJ5262">
        <v>48.541942692374697</v>
      </c>
      <c r="AK5262">
        <v>12.4160477571087</v>
      </c>
      <c r="AL5262">
        <v>93.184084033914601</v>
      </c>
      <c r="AM5262">
        <v>69.062266155529599</v>
      </c>
      <c r="AN5262">
        <v>1.0000000006288601</v>
      </c>
    </row>
    <row r="5263" spans="1:40" x14ac:dyDescent="0.25">
      <c r="A5263" t="str">
        <f>"20190305135736579"</f>
        <v>20190305135736579</v>
      </c>
      <c r="B5263" t="str">
        <f>"1551765456567518"</f>
        <v>1551765456567518</v>
      </c>
      <c r="C5263" t="s">
        <v>40</v>
      </c>
      <c r="D5263">
        <v>4.2912730000000003</v>
      </c>
      <c r="E5263">
        <v>0.64173000000000002</v>
      </c>
      <c r="F5263" t="s">
        <v>73</v>
      </c>
      <c r="G5263">
        <v>-174.74199999999999</v>
      </c>
      <c r="H5263" s="1">
        <v>-3.178809E-6</v>
      </c>
      <c r="I5263">
        <v>132.9187</v>
      </c>
      <c r="J5263">
        <v>-186.40639999999999</v>
      </c>
      <c r="K5263">
        <v>1.0960909999999999</v>
      </c>
      <c r="L5263">
        <v>127.0264</v>
      </c>
      <c r="M5263">
        <v>0.36498510000000001</v>
      </c>
      <c r="N5263">
        <v>-1.9789080000000001E-2</v>
      </c>
      <c r="O5263">
        <v>0.93080300000000005</v>
      </c>
      <c r="P5263">
        <v>0.67578179999999999</v>
      </c>
      <c r="Q5263">
        <v>-6.218895E-2</v>
      </c>
      <c r="R5263">
        <v>0.73447359999999995</v>
      </c>
      <c r="S5263">
        <v>2.8336030000000001</v>
      </c>
      <c r="T5263">
        <v>-0.26361420000000002</v>
      </c>
      <c r="U5263">
        <v>1.4844820000000001</v>
      </c>
      <c r="V5263">
        <v>0.35940519999999998</v>
      </c>
      <c r="W5263">
        <v>-5.5473809999999998E-2</v>
      </c>
      <c r="X5263">
        <v>0.93153129999999995</v>
      </c>
      <c r="Y5263">
        <v>0.65244139999999995</v>
      </c>
      <c r="Z5263">
        <v>-7.1948280000000003E-2</v>
      </c>
      <c r="AA5263">
        <v>0.75441610000000003</v>
      </c>
      <c r="AB5263">
        <v>31</v>
      </c>
      <c r="AC5263">
        <v>11.664399999999899</v>
      </c>
      <c r="AD5263">
        <v>-1.096094178809</v>
      </c>
      <c r="AE5263">
        <v>5.8922999999999996</v>
      </c>
      <c r="AF5263">
        <v>8.6475267834886491</v>
      </c>
      <c r="AG5263">
        <v>-1.096094178809</v>
      </c>
      <c r="AH5263">
        <v>9.6757419665818496</v>
      </c>
      <c r="AI5263">
        <v>94.828032894383497</v>
      </c>
      <c r="AJ5263">
        <v>48.211799757068803</v>
      </c>
      <c r="AK5263">
        <v>13.0230996511524</v>
      </c>
      <c r="AL5263">
        <v>93.180047620619405</v>
      </c>
      <c r="AM5263">
        <v>68.902292088461195</v>
      </c>
      <c r="AN5263">
        <v>1.00000000213132</v>
      </c>
    </row>
    <row r="5264" spans="1:40" x14ac:dyDescent="0.25">
      <c r="A5264" t="str">
        <f>"20190305135736602"</f>
        <v>20190305135736602</v>
      </c>
      <c r="B5264" t="str">
        <f>"1551765456597775"</f>
        <v>1551765456597775</v>
      </c>
      <c r="C5264" t="s">
        <v>40</v>
      </c>
      <c r="D5264">
        <v>4.3063960000000003</v>
      </c>
      <c r="E5264">
        <v>0.64118949999999997</v>
      </c>
      <c r="F5264" t="s">
        <v>73</v>
      </c>
      <c r="G5264">
        <v>-173.41460000000001</v>
      </c>
      <c r="H5264" s="1">
        <v>-2.8172610000000001E-6</v>
      </c>
      <c r="I5264">
        <v>133.5172</v>
      </c>
      <c r="J5264">
        <v>-186.26949999999999</v>
      </c>
      <c r="K5264">
        <v>1.0957129999999999</v>
      </c>
      <c r="L5264">
        <v>127.3292</v>
      </c>
      <c r="M5264">
        <v>0.3821502</v>
      </c>
      <c r="N5264">
        <v>-1.9362000000000001E-2</v>
      </c>
      <c r="O5264">
        <v>0.92389739999999998</v>
      </c>
      <c r="P5264">
        <v>0.69059559999999998</v>
      </c>
      <c r="Q5264">
        <v>-6.2317129999999998E-2</v>
      </c>
      <c r="R5264">
        <v>0.72055139999999995</v>
      </c>
      <c r="S5264">
        <v>2.8626710000000002</v>
      </c>
      <c r="T5264">
        <v>-0.2415175</v>
      </c>
      <c r="U5264">
        <v>1.4302060000000001</v>
      </c>
      <c r="V5264">
        <v>0.36107129999999998</v>
      </c>
      <c r="W5264">
        <v>-5.6363610000000001E-2</v>
      </c>
      <c r="X5264">
        <v>0.93083329999999997</v>
      </c>
      <c r="Y5264">
        <v>0.65343600000000002</v>
      </c>
      <c r="Z5264">
        <v>-6.5184850000000003E-2</v>
      </c>
      <c r="AA5264">
        <v>0.75417000000000001</v>
      </c>
      <c r="AB5264">
        <v>31</v>
      </c>
      <c r="AC5264">
        <v>12.854899999999899</v>
      </c>
      <c r="AD5264">
        <v>-1.095715817261</v>
      </c>
      <c r="AE5264">
        <v>6.1879999999999997</v>
      </c>
      <c r="AF5264">
        <v>9.45785855095275</v>
      </c>
      <c r="AG5264">
        <v>-1.095715817261</v>
      </c>
      <c r="AH5264">
        <v>10.5692290545449</v>
      </c>
      <c r="AI5264">
        <v>94.417619449001506</v>
      </c>
      <c r="AJ5264">
        <v>48.176277875643201</v>
      </c>
      <c r="AK5264">
        <v>14.2253395154373</v>
      </c>
      <c r="AL5264">
        <v>93.231109352967906</v>
      </c>
      <c r="AM5264">
        <v>68.798670056364102</v>
      </c>
      <c r="AN5264">
        <v>0.99999998630240505</v>
      </c>
    </row>
    <row r="5265" spans="1:40" x14ac:dyDescent="0.25">
      <c r="A5265" t="str">
        <f>"20190305135736625"</f>
        <v>20190305135736625</v>
      </c>
      <c r="B5265" t="str">
        <f>"1551765456617295"</f>
        <v>1551765456617295</v>
      </c>
      <c r="C5265" t="s">
        <v>40</v>
      </c>
      <c r="D5265">
        <v>4.2791040000000002</v>
      </c>
      <c r="E5265">
        <v>0.640829599999999</v>
      </c>
      <c r="F5265" t="s">
        <v>73</v>
      </c>
      <c r="G5265">
        <v>-171.94929999999999</v>
      </c>
      <c r="H5265" s="1">
        <v>-2.3154369999999999E-6</v>
      </c>
      <c r="I5265">
        <v>134.154</v>
      </c>
      <c r="J5265">
        <v>-186.1352</v>
      </c>
      <c r="K5265">
        <v>1.0953729999999999</v>
      </c>
      <c r="L5265">
        <v>127.6122</v>
      </c>
      <c r="M5265">
        <v>0.39852389999999999</v>
      </c>
      <c r="N5265">
        <v>-1.9019230000000002E-2</v>
      </c>
      <c r="O5265">
        <v>0.91696069999999996</v>
      </c>
      <c r="P5265">
        <v>0.70459559999999999</v>
      </c>
      <c r="Q5265">
        <v>-6.0525469999999998E-2</v>
      </c>
      <c r="R5265">
        <v>0.70702310000000002</v>
      </c>
      <c r="S5265">
        <v>2.8880460000000001</v>
      </c>
      <c r="T5265">
        <v>-0.2209797</v>
      </c>
      <c r="U5265">
        <v>1.3763890000000001</v>
      </c>
      <c r="V5265">
        <v>0.36271569999999997</v>
      </c>
      <c r="W5265">
        <v>-5.5230029999999999E-2</v>
      </c>
      <c r="X5265">
        <v>0.93026180000000003</v>
      </c>
      <c r="Y5265">
        <v>0.65442449999999996</v>
      </c>
      <c r="Z5265">
        <v>-5.888065E-2</v>
      </c>
      <c r="AA5265">
        <v>0.75383129999999998</v>
      </c>
      <c r="AB5265">
        <v>31</v>
      </c>
      <c r="AC5265">
        <v>14.1859</v>
      </c>
      <c r="AD5265">
        <v>-1.0953753154369901</v>
      </c>
      <c r="AE5265">
        <v>6.5417999999999896</v>
      </c>
      <c r="AF5265">
        <v>10.3518341524868</v>
      </c>
      <c r="AG5265">
        <v>-1.0953753154369901</v>
      </c>
      <c r="AH5265">
        <v>11.5970825697175</v>
      </c>
      <c r="AI5265">
        <v>94.030625343303001</v>
      </c>
      <c r="AJ5265">
        <v>48.247134129890703</v>
      </c>
      <c r="AK5265">
        <v>15.583730026251899</v>
      </c>
      <c r="AL5265">
        <v>93.166058533735594</v>
      </c>
      <c r="AM5265">
        <v>68.698835560377503</v>
      </c>
      <c r="AN5265">
        <v>1.0000000258897599</v>
      </c>
    </row>
    <row r="5266" spans="1:40" x14ac:dyDescent="0.25">
      <c r="A5266" t="str">
        <f>"20190305135736647"</f>
        <v>20190305135736647</v>
      </c>
      <c r="B5266" t="str">
        <f>"1551765456637791"</f>
        <v>1551765456637791</v>
      </c>
      <c r="C5266" t="s">
        <v>40</v>
      </c>
      <c r="D5266">
        <v>4.2752879999999998</v>
      </c>
      <c r="E5266">
        <v>0.63991769999999903</v>
      </c>
      <c r="F5266" t="s">
        <v>73</v>
      </c>
      <c r="G5266">
        <v>-171.2328</v>
      </c>
      <c r="H5266" s="1">
        <v>-2.005397E-6</v>
      </c>
      <c r="I5266">
        <v>134.37629999999999</v>
      </c>
      <c r="J5266">
        <v>-185.99690000000001</v>
      </c>
      <c r="K5266">
        <v>1.0950519999999999</v>
      </c>
      <c r="L5266">
        <v>127.8905</v>
      </c>
      <c r="M5266">
        <v>0.41493819999999998</v>
      </c>
      <c r="N5266">
        <v>-1.8732390000000002E-2</v>
      </c>
      <c r="O5266">
        <v>0.90965669999999998</v>
      </c>
      <c r="P5266">
        <v>0.71807869999999996</v>
      </c>
      <c r="Q5266">
        <v>-5.9795010000000003E-2</v>
      </c>
      <c r="R5266">
        <v>0.69338849999999996</v>
      </c>
      <c r="S5266">
        <v>2.912766</v>
      </c>
      <c r="T5266">
        <v>-0.21409729999999999</v>
      </c>
      <c r="U5266">
        <v>1.3220670000000001</v>
      </c>
      <c r="V5266">
        <v>0.36385980000000001</v>
      </c>
      <c r="W5266">
        <v>-5.507807E-2</v>
      </c>
      <c r="X5266">
        <v>0.92982390000000004</v>
      </c>
      <c r="Y5266">
        <v>0.65504010000000001</v>
      </c>
      <c r="Z5266">
        <v>-5.701966E-2</v>
      </c>
      <c r="AA5266">
        <v>0.75343959999999999</v>
      </c>
      <c r="AB5266">
        <v>31</v>
      </c>
      <c r="AC5266">
        <v>14.764099999999999</v>
      </c>
      <c r="AD5266">
        <v>-1.0950540053969999</v>
      </c>
      <c r="AE5266">
        <v>6.4857999999999798</v>
      </c>
      <c r="AF5266">
        <v>10.691638986019701</v>
      </c>
      <c r="AG5266">
        <v>-1.0950540053969999</v>
      </c>
      <c r="AH5266">
        <v>11.972940621582</v>
      </c>
      <c r="AI5266">
        <v>93.902655646133695</v>
      </c>
      <c r="AJ5266">
        <v>48.235670693333802</v>
      </c>
      <c r="AK5266">
        <v>16.089176318570299</v>
      </c>
      <c r="AL5266">
        <v>93.157338624197493</v>
      </c>
      <c r="AM5266">
        <v>68.6285406222419</v>
      </c>
      <c r="AN5266">
        <v>1.0000000164310801</v>
      </c>
    </row>
    <row r="5267" spans="1:40" x14ac:dyDescent="0.25">
      <c r="A5267" t="str">
        <f>"20190305135736668"</f>
        <v>20190305135736668</v>
      </c>
      <c r="B5267" t="str">
        <f>"1551765456658286"</f>
        <v>1551765456658286</v>
      </c>
      <c r="C5267" t="s">
        <v>40</v>
      </c>
      <c r="D5267">
        <v>4.2859619999999996</v>
      </c>
      <c r="E5267">
        <v>0.63904450000000002</v>
      </c>
      <c r="F5267" t="s">
        <v>73</v>
      </c>
      <c r="G5267">
        <v>-171.07669999999999</v>
      </c>
      <c r="H5267" s="1">
        <v>-1.9077700000000002E-6</v>
      </c>
      <c r="I5267">
        <v>134.35679999999999</v>
      </c>
      <c r="J5267">
        <v>-185.85929999999999</v>
      </c>
      <c r="K5267">
        <v>1.0947610000000001</v>
      </c>
      <c r="L5267">
        <v>128.1549</v>
      </c>
      <c r="M5267">
        <v>0.4308303</v>
      </c>
      <c r="N5267">
        <v>-1.8504380000000001E-2</v>
      </c>
      <c r="O5267">
        <v>0.90224329999999997</v>
      </c>
      <c r="P5267">
        <v>0.73051940000000004</v>
      </c>
      <c r="Q5267">
        <v>-6.020317E-2</v>
      </c>
      <c r="R5267">
        <v>0.68023319999999998</v>
      </c>
      <c r="S5267">
        <v>2.9326319999999999</v>
      </c>
      <c r="T5267">
        <v>-0.21523800000000001</v>
      </c>
      <c r="U5267">
        <v>1.270966</v>
      </c>
      <c r="V5267">
        <v>0.36434810000000001</v>
      </c>
      <c r="W5267">
        <v>-5.5965109999999998E-2</v>
      </c>
      <c r="X5267">
        <v>0.92957970000000001</v>
      </c>
      <c r="Y5267">
        <v>0.65467439999999999</v>
      </c>
      <c r="Z5267">
        <v>-5.7764950000000002E-2</v>
      </c>
      <c r="AA5267">
        <v>0.7537007</v>
      </c>
      <c r="AB5267">
        <v>31</v>
      </c>
      <c r="AC5267">
        <v>14.7826</v>
      </c>
      <c r="AD5267">
        <v>-1.0947629077700001</v>
      </c>
      <c r="AE5267">
        <v>6.2018999999999904</v>
      </c>
      <c r="AF5267">
        <v>10.617843238711099</v>
      </c>
      <c r="AG5267">
        <v>-1.0947629077700001</v>
      </c>
      <c r="AH5267">
        <v>11.910914500968101</v>
      </c>
      <c r="AI5267">
        <v>93.924878499945194</v>
      </c>
      <c r="AJ5267">
        <v>48.284971606028201</v>
      </c>
      <c r="AK5267">
        <v>15.9939671475043</v>
      </c>
      <c r="AL5267">
        <v>93.208240762785394</v>
      </c>
      <c r="AM5267">
        <v>68.597339266346097</v>
      </c>
      <c r="AN5267">
        <v>1.0000000250815</v>
      </c>
    </row>
    <row r="5268" spans="1:40" x14ac:dyDescent="0.25">
      <c r="A5268" t="str">
        <f>"20190305135736694"</f>
        <v>20190305135736694</v>
      </c>
      <c r="B5268" t="str">
        <f>"1551765456687568"</f>
        <v>1551765456687568</v>
      </c>
      <c r="C5268" t="s">
        <v>40</v>
      </c>
      <c r="D5268">
        <v>4.3218209999999999</v>
      </c>
      <c r="E5268">
        <v>0.63733019999999996</v>
      </c>
      <c r="F5268" t="s">
        <v>73</v>
      </c>
      <c r="G5268">
        <v>-170.79730000000001</v>
      </c>
      <c r="H5268" s="1">
        <v>-1.766065E-6</v>
      </c>
      <c r="I5268">
        <v>134.3964</v>
      </c>
      <c r="J5268">
        <v>-185.68440000000001</v>
      </c>
      <c r="K5268">
        <v>1.094441</v>
      </c>
      <c r="L5268">
        <v>128.4742</v>
      </c>
      <c r="M5268">
        <v>0.45043810000000001</v>
      </c>
      <c r="N5268">
        <v>-1.828581E-2</v>
      </c>
      <c r="O5268">
        <v>0.89262030000000003</v>
      </c>
      <c r="P5268">
        <v>0.74456160000000005</v>
      </c>
      <c r="Q5268">
        <v>-6.0319749999999998E-2</v>
      </c>
      <c r="R5268">
        <v>0.66482289999999999</v>
      </c>
      <c r="S5268">
        <v>2.9505159999999999</v>
      </c>
      <c r="T5268">
        <v>-0.21445539999999999</v>
      </c>
      <c r="U5268">
        <v>1.222656</v>
      </c>
      <c r="V5268">
        <v>0.36340070000000002</v>
      </c>
      <c r="W5268">
        <v>-5.6528460000000003E-2</v>
      </c>
      <c r="X5268">
        <v>0.92991639999999998</v>
      </c>
      <c r="Y5268">
        <v>0.65032040000000002</v>
      </c>
      <c r="Z5268">
        <v>-5.7751009999999998E-2</v>
      </c>
      <c r="AA5268">
        <v>0.75746169999999902</v>
      </c>
      <c r="AB5268">
        <v>31</v>
      </c>
      <c r="AC5268">
        <v>14.8871</v>
      </c>
      <c r="AD5268">
        <v>-1.094442766065</v>
      </c>
      <c r="AE5268">
        <v>5.9222000000000001</v>
      </c>
      <c r="AF5268">
        <v>10.5733825363432</v>
      </c>
      <c r="AG5268">
        <v>-1.094442766065</v>
      </c>
      <c r="AH5268">
        <v>11.9382927978791</v>
      </c>
      <c r="AI5268">
        <v>93.925957870824405</v>
      </c>
      <c r="AJ5268">
        <v>48.469665309976797</v>
      </c>
      <c r="AK5268">
        <v>15.984900942950301</v>
      </c>
      <c r="AL5268">
        <v>93.240569525440407</v>
      </c>
      <c r="AM5268">
        <v>68.655010013480506</v>
      </c>
      <c r="AN5268">
        <v>1.0000000232697099</v>
      </c>
    </row>
    <row r="5269" spans="1:40" x14ac:dyDescent="0.25">
      <c r="A5269" t="str">
        <f>"20190305135736714"</f>
        <v>20190305135736714</v>
      </c>
      <c r="B5269" t="str">
        <f>"1551765456708063"</f>
        <v>1551765456708063</v>
      </c>
      <c r="C5269" t="s">
        <v>40</v>
      </c>
      <c r="D5269">
        <v>4.3037960000000002</v>
      </c>
      <c r="E5269">
        <v>0.63608369999999903</v>
      </c>
      <c r="F5269" t="s">
        <v>73</v>
      </c>
      <c r="G5269">
        <v>-170.3442</v>
      </c>
      <c r="H5269" s="1">
        <v>-1.567137E-6</v>
      </c>
      <c r="I5269">
        <v>134.53049999999999</v>
      </c>
      <c r="J5269">
        <v>-185.53829999999999</v>
      </c>
      <c r="K5269">
        <v>1.0942050000000001</v>
      </c>
      <c r="L5269">
        <v>128.7285</v>
      </c>
      <c r="M5269">
        <v>0.46634700000000001</v>
      </c>
      <c r="N5269">
        <v>-1.8148850000000001E-2</v>
      </c>
      <c r="O5269">
        <v>0.88441569999999903</v>
      </c>
      <c r="P5269">
        <v>0.75589849999999903</v>
      </c>
      <c r="Q5269">
        <v>-5.9759050000000001E-2</v>
      </c>
      <c r="R5269">
        <v>0.65195570000000003</v>
      </c>
      <c r="S5269">
        <v>2.9663539999999999</v>
      </c>
      <c r="T5269">
        <v>-0.21163390000000001</v>
      </c>
      <c r="U5269">
        <v>1.171127</v>
      </c>
      <c r="V5269">
        <v>0.36272450000000001</v>
      </c>
      <c r="W5269">
        <v>-5.6279509999999998E-2</v>
      </c>
      <c r="X5269">
        <v>0.93019549999999995</v>
      </c>
      <c r="Y5269">
        <v>0.64952900000000002</v>
      </c>
      <c r="Z5269">
        <v>-5.7099860000000002E-2</v>
      </c>
      <c r="AA5269">
        <v>0.75818969999999997</v>
      </c>
      <c r="AB5269">
        <v>31</v>
      </c>
      <c r="AC5269">
        <v>15.194099999999899</v>
      </c>
      <c r="AD5269">
        <v>-1.09420656713699</v>
      </c>
      <c r="AE5269">
        <v>5.8019999999999898</v>
      </c>
      <c r="AF5269">
        <v>10.6855580477592</v>
      </c>
      <c r="AG5269">
        <v>-1.09420656713699</v>
      </c>
      <c r="AH5269">
        <v>12.164058201498699</v>
      </c>
      <c r="AI5269">
        <v>93.866258628375604</v>
      </c>
      <c r="AJ5269">
        <v>48.702201798472203</v>
      </c>
      <c r="AK5269">
        <v>16.227838757303701</v>
      </c>
      <c r="AL5269">
        <v>93.226282888144596</v>
      </c>
      <c r="AM5269">
        <v>68.696982908391703</v>
      </c>
      <c r="AN5269">
        <v>1.00000005718316</v>
      </c>
    </row>
    <row r="5270" spans="1:40" x14ac:dyDescent="0.25">
      <c r="A5270" t="str">
        <f>"20190305135736736"</f>
        <v>20190305135736736</v>
      </c>
      <c r="B5270" t="str">
        <f>"1551765456727583"</f>
        <v>1551765456727583</v>
      </c>
      <c r="C5270" t="s">
        <v>40</v>
      </c>
      <c r="D5270">
        <v>4.325488</v>
      </c>
      <c r="E5270">
        <v>0.63485309999999995</v>
      </c>
      <c r="F5270" t="s">
        <v>42</v>
      </c>
      <c r="G5270">
        <v>-169.89429999999999</v>
      </c>
      <c r="H5270" s="1">
        <v>-1.3466569999999901E-6</v>
      </c>
      <c r="I5270">
        <v>134.64830000000001</v>
      </c>
      <c r="J5270">
        <v>-185.38630000000001</v>
      </c>
      <c r="K5270">
        <v>1.0939779999999999</v>
      </c>
      <c r="L5270">
        <v>128.98220000000001</v>
      </c>
      <c r="M5270">
        <v>0.48246339999999999</v>
      </c>
      <c r="N5270">
        <v>-1.8041850000000002E-2</v>
      </c>
      <c r="O5270">
        <v>0.87573029999999996</v>
      </c>
      <c r="P5270">
        <v>0.76722460000000003</v>
      </c>
      <c r="Q5270">
        <v>-5.8840999999999997E-2</v>
      </c>
      <c r="R5270">
        <v>0.63867379999999996</v>
      </c>
      <c r="S5270">
        <v>2.9797820000000002</v>
      </c>
      <c r="T5270">
        <v>-0.20841860000000001</v>
      </c>
      <c r="U5270">
        <v>1.1275630000000001</v>
      </c>
      <c r="V5270">
        <v>0.36197839999999998</v>
      </c>
      <c r="W5270">
        <v>-5.5626620000000002E-2</v>
      </c>
      <c r="X5270">
        <v>0.9305253</v>
      </c>
      <c r="Y5270">
        <v>0.64649559999999995</v>
      </c>
      <c r="Z5270">
        <v>-5.6178949999999998E-2</v>
      </c>
      <c r="AA5270">
        <v>0.76084659999999904</v>
      </c>
      <c r="AB5270">
        <v>31</v>
      </c>
      <c r="AC5270">
        <v>15.492000000000001</v>
      </c>
      <c r="AD5270">
        <v>-1.093979346657</v>
      </c>
      <c r="AE5270">
        <v>5.6661000000000001</v>
      </c>
      <c r="AF5270">
        <v>10.787445733972699</v>
      </c>
      <c r="AG5270">
        <v>-1.093979346657</v>
      </c>
      <c r="AH5270">
        <v>12.383855835141899</v>
      </c>
      <c r="AI5270">
        <v>93.810894678224003</v>
      </c>
      <c r="AJ5270">
        <v>48.941222286681402</v>
      </c>
      <c r="AK5270">
        <v>16.4598196107946</v>
      </c>
      <c r="AL5270">
        <v>93.188816508689598</v>
      </c>
      <c r="AM5270">
        <v>68.743747771991707</v>
      </c>
      <c r="AN5270">
        <v>1.0000000084296301</v>
      </c>
    </row>
    <row r="5271" spans="1:40" x14ac:dyDescent="0.25">
      <c r="A5271" t="str">
        <f>"20190305135736757"</f>
        <v>20190305135736757</v>
      </c>
      <c r="B5271" t="str">
        <f>"1551765456748083"</f>
        <v>1551765456748083</v>
      </c>
      <c r="C5271" t="s">
        <v>40</v>
      </c>
      <c r="D5271">
        <v>4.2791240000000004</v>
      </c>
      <c r="E5271">
        <v>0.63358400000000004</v>
      </c>
      <c r="F5271" t="s">
        <v>42</v>
      </c>
      <c r="G5271">
        <v>-169.52860000000001</v>
      </c>
      <c r="H5271" s="1">
        <v>-1.4680899999999999E-6</v>
      </c>
      <c r="I5271">
        <v>134.71979999999999</v>
      </c>
      <c r="J5271">
        <v>-185.227</v>
      </c>
      <c r="K5271">
        <v>1.0937570000000001</v>
      </c>
      <c r="L5271">
        <v>129.23689999999999</v>
      </c>
      <c r="M5271">
        <v>0.49890139999999999</v>
      </c>
      <c r="N5271">
        <v>-1.7958729999999999E-2</v>
      </c>
      <c r="O5271">
        <v>0.86647269999999899</v>
      </c>
      <c r="P5271">
        <v>0.77798089999999998</v>
      </c>
      <c r="Q5271">
        <v>-5.7573439999999997E-2</v>
      </c>
      <c r="R5271">
        <v>0.6256446</v>
      </c>
      <c r="S5271">
        <v>2.9929199999999998</v>
      </c>
      <c r="T5271">
        <v>-0.20647260000000001</v>
      </c>
      <c r="U5271">
        <v>1.082886</v>
      </c>
      <c r="V5271">
        <v>0.36021449999999999</v>
      </c>
      <c r="W5271">
        <v>-5.4543719999999997E-2</v>
      </c>
      <c r="X5271">
        <v>0.93127360000000003</v>
      </c>
      <c r="Y5271">
        <v>0.6432483</v>
      </c>
      <c r="Z5271">
        <v>-5.5631460000000001E-2</v>
      </c>
      <c r="AA5271">
        <v>0.76363389999999998</v>
      </c>
      <c r="AB5271">
        <v>31</v>
      </c>
      <c r="AC5271">
        <v>15.6983999999999</v>
      </c>
      <c r="AD5271">
        <v>-1.0937584680900001</v>
      </c>
      <c r="AE5271">
        <v>5.4828999999999999</v>
      </c>
      <c r="AF5271">
        <v>10.821739876364701</v>
      </c>
      <c r="AG5271">
        <v>-1.0937584680900001</v>
      </c>
      <c r="AH5271">
        <v>12.5305516442572</v>
      </c>
      <c r="AI5271">
        <v>93.779543407866001</v>
      </c>
      <c r="AJ5271">
        <v>49.185178501059397</v>
      </c>
      <c r="AK5271">
        <v>16.592802236139001</v>
      </c>
      <c r="AL5271">
        <v>93.126676549698104</v>
      </c>
      <c r="AM5271">
        <v>68.853643585551694</v>
      </c>
      <c r="AN5271">
        <v>1.0000000107293201</v>
      </c>
    </row>
    <row r="5272" spans="1:40" x14ac:dyDescent="0.25">
      <c r="A5272" t="str">
        <f>"20190305135736780"</f>
        <v>20190305135736780</v>
      </c>
      <c r="B5272" t="str">
        <f>"1551765456777359"</f>
        <v>1551765456777359</v>
      </c>
      <c r="C5272" t="s">
        <v>40</v>
      </c>
      <c r="D5272">
        <v>4.3381179999999997</v>
      </c>
      <c r="E5272">
        <v>0.63155490000000003</v>
      </c>
      <c r="F5272" t="s">
        <v>42</v>
      </c>
      <c r="G5272">
        <v>-169.1902</v>
      </c>
      <c r="H5272" s="1">
        <v>-1.5800129999999901E-6</v>
      </c>
      <c r="I5272">
        <v>134.78749999999999</v>
      </c>
      <c r="J5272">
        <v>-185.05430000000001</v>
      </c>
      <c r="K5272">
        <v>1.0935440000000001</v>
      </c>
      <c r="L5272">
        <v>129.50139999999999</v>
      </c>
      <c r="M5272">
        <v>0.51622570000000001</v>
      </c>
      <c r="N5272">
        <v>-1.7895640000000001E-2</v>
      </c>
      <c r="O5272">
        <v>0.85626569999999902</v>
      </c>
      <c r="P5272">
        <v>0.78903269999999903</v>
      </c>
      <c r="Q5272">
        <v>-5.5880800000000001E-2</v>
      </c>
      <c r="R5272">
        <v>0.61180449999999997</v>
      </c>
      <c r="S5272">
        <v>3.0046539999999999</v>
      </c>
      <c r="T5272">
        <v>-0.204927</v>
      </c>
      <c r="U5272">
        <v>1.0399480000000001</v>
      </c>
      <c r="V5272">
        <v>0.35807929999999999</v>
      </c>
      <c r="W5272">
        <v>-5.2993409999999998E-2</v>
      </c>
      <c r="X5272">
        <v>0.93218610000000002</v>
      </c>
      <c r="Y5272">
        <v>0.63854419999999901</v>
      </c>
      <c r="Z5272">
        <v>-5.5135179999999999E-2</v>
      </c>
      <c r="AA5272">
        <v>0.76760759999999995</v>
      </c>
      <c r="AB5272">
        <v>30</v>
      </c>
      <c r="AC5272">
        <v>15.864100000000001</v>
      </c>
      <c r="AD5272">
        <v>-1.0935455800130001</v>
      </c>
      <c r="AE5272">
        <v>5.2861000000000002</v>
      </c>
      <c r="AF5272">
        <v>10.810567223003501</v>
      </c>
      <c r="AG5272">
        <v>-1.0935455800130001</v>
      </c>
      <c r="AH5272">
        <v>12.6636381228579</v>
      </c>
      <c r="AI5272">
        <v>93.757607079886895</v>
      </c>
      <c r="AJ5272">
        <v>49.513610444910803</v>
      </c>
      <c r="AK5272">
        <v>16.6862798767533</v>
      </c>
      <c r="AL5272">
        <v>93.0377216566702</v>
      </c>
      <c r="AM5272">
        <v>68.986791702100305</v>
      </c>
      <c r="AN5272">
        <v>1.00000000581256</v>
      </c>
    </row>
    <row r="5273" spans="1:40" x14ac:dyDescent="0.25">
      <c r="A5273" t="str">
        <f>"20190305135736804"</f>
        <v>20190305135736804</v>
      </c>
      <c r="B5273" t="str">
        <f>"1551765456797856"</f>
        <v>1551765456797856</v>
      </c>
      <c r="C5273" t="s">
        <v>40</v>
      </c>
      <c r="D5273">
        <v>4.3174839999999897</v>
      </c>
      <c r="E5273">
        <v>0.61003059999999998</v>
      </c>
      <c r="F5273" t="s">
        <v>42</v>
      </c>
      <c r="G5273">
        <v>-168.62289999999999</v>
      </c>
      <c r="H5273" s="1">
        <v>-1.754166E-6</v>
      </c>
      <c r="I5273">
        <v>134.95179999999999</v>
      </c>
      <c r="J5273">
        <v>-184.8655</v>
      </c>
      <c r="K5273">
        <v>1.0933189999999999</v>
      </c>
      <c r="L5273">
        <v>129.7775</v>
      </c>
      <c r="M5273">
        <v>0.53459429999999997</v>
      </c>
      <c r="N5273">
        <v>-1.7852730000000001E-2</v>
      </c>
      <c r="O5273">
        <v>0.84492019999999901</v>
      </c>
      <c r="P5273">
        <v>0.80098859999999905</v>
      </c>
      <c r="Q5273">
        <v>-5.4840659999999999E-2</v>
      </c>
      <c r="R5273">
        <v>0.59616250000000004</v>
      </c>
      <c r="S5273">
        <v>3.012985</v>
      </c>
      <c r="T5273">
        <v>-0.2005208</v>
      </c>
      <c r="U5273">
        <v>0.99943539999999997</v>
      </c>
      <c r="V5273">
        <v>0.35636709999999999</v>
      </c>
      <c r="W5273">
        <v>-5.2091730000000003E-2</v>
      </c>
      <c r="X5273">
        <v>0.93289279999999997</v>
      </c>
      <c r="Y5273">
        <v>0.63192809999999999</v>
      </c>
      <c r="Z5273">
        <v>-5.3644659999999997E-2</v>
      </c>
      <c r="AA5273">
        <v>0.77316830000000003</v>
      </c>
      <c r="AB5273">
        <v>30</v>
      </c>
      <c r="AC5273">
        <v>16.242599999999999</v>
      </c>
      <c r="AD5273">
        <v>-1.0933207541659999</v>
      </c>
      <c r="AE5273">
        <v>5.1742999999999801</v>
      </c>
      <c r="AF5273">
        <v>10.914400691073</v>
      </c>
      <c r="AG5273">
        <v>-1.0933207541659999</v>
      </c>
      <c r="AH5273">
        <v>13.003663438380499</v>
      </c>
      <c r="AI5273">
        <v>93.684760795710204</v>
      </c>
      <c r="AJ5273">
        <v>49.992162600455302</v>
      </c>
      <c r="AK5273">
        <v>17.0121943186486</v>
      </c>
      <c r="AL5273">
        <v>92.985987701582104</v>
      </c>
      <c r="AM5273">
        <v>69.093033213992598</v>
      </c>
      <c r="AN5273">
        <v>1.00000001729432</v>
      </c>
    </row>
    <row r="5274" spans="1:40" x14ac:dyDescent="0.25">
      <c r="A5274" t="str">
        <f>"20190305135736826"</f>
        <v>20190305135736826</v>
      </c>
      <c r="B5274" t="str">
        <f>"1551765456817375"</f>
        <v>1551765456817375</v>
      </c>
      <c r="C5274" t="s">
        <v>40</v>
      </c>
      <c r="D5274">
        <v>4.3675879999999996</v>
      </c>
      <c r="E5274">
        <v>0.60861379999999998</v>
      </c>
      <c r="F5274" t="s">
        <v>73</v>
      </c>
      <c r="G5274">
        <v>-170.26929999999999</v>
      </c>
      <c r="H5274" s="1">
        <v>-1.79297E-6</v>
      </c>
      <c r="I5274">
        <v>135.137</v>
      </c>
      <c r="J5274">
        <v>-184.68530000000001</v>
      </c>
      <c r="K5274">
        <v>1.0931219999999999</v>
      </c>
      <c r="L5274">
        <v>130.02940000000001</v>
      </c>
      <c r="M5274">
        <v>0.55159309999999995</v>
      </c>
      <c r="N5274">
        <v>-1.7832379999999998E-2</v>
      </c>
      <c r="O5274">
        <v>0.83392269999999902</v>
      </c>
      <c r="P5274">
        <v>0.81175589999999997</v>
      </c>
      <c r="Q5274">
        <v>-5.5934039999999997E-2</v>
      </c>
      <c r="R5274">
        <v>0.58131219999999995</v>
      </c>
      <c r="S5274">
        <v>2.9296880000000001</v>
      </c>
      <c r="T5274">
        <v>-0.21944649999999999</v>
      </c>
      <c r="U5274">
        <v>1.0757289999999999</v>
      </c>
      <c r="V5274">
        <v>0.35453010000000001</v>
      </c>
      <c r="W5274">
        <v>-5.3273550000000003E-2</v>
      </c>
      <c r="X5274">
        <v>0.93352570000000001</v>
      </c>
      <c r="Y5274">
        <v>0.59059799999999996</v>
      </c>
      <c r="Z5274">
        <v>-5.956616E-2</v>
      </c>
      <c r="AA5274">
        <v>0.80476440000000005</v>
      </c>
      <c r="AB5274">
        <v>30</v>
      </c>
      <c r="AC5274">
        <v>14.416</v>
      </c>
      <c r="AD5274">
        <v>-1.09312379297</v>
      </c>
      <c r="AE5274">
        <v>5.1075999999999899</v>
      </c>
      <c r="AF5274">
        <v>9.1591869081455908</v>
      </c>
      <c r="AG5274">
        <v>-1.09312379297</v>
      </c>
      <c r="AH5274">
        <v>12.1509784974958</v>
      </c>
      <c r="AI5274">
        <v>94.109002026132799</v>
      </c>
      <c r="AJ5274">
        <v>52.991676549462198</v>
      </c>
      <c r="AK5274">
        <v>15.2555531820943</v>
      </c>
      <c r="AL5274">
        <v>93.053795378972396</v>
      </c>
      <c r="AM5274">
        <v>69.204454490623903</v>
      </c>
      <c r="AN5274">
        <v>0.99999994774804901</v>
      </c>
    </row>
    <row r="5275" spans="1:40" x14ac:dyDescent="0.25">
      <c r="A5275" t="str">
        <f>"20190305135736847"</f>
        <v>20190305135736847</v>
      </c>
      <c r="B5275" t="str">
        <f>"1551765456837871"</f>
        <v>1551765456837871</v>
      </c>
      <c r="C5275" t="s">
        <v>40</v>
      </c>
      <c r="D5275">
        <v>4.3796660000000003</v>
      </c>
      <c r="E5275">
        <v>0.60741389999999995</v>
      </c>
      <c r="F5275" t="s">
        <v>73</v>
      </c>
      <c r="G5275">
        <v>-170.27260000000001</v>
      </c>
      <c r="H5275" s="1">
        <v>-1.7693749999999999E-6</v>
      </c>
      <c r="I5275">
        <v>135.07939999999999</v>
      </c>
      <c r="J5275">
        <v>-184.51339999999999</v>
      </c>
      <c r="K5275">
        <v>1.0929500000000001</v>
      </c>
      <c r="L5275">
        <v>130.25980000000001</v>
      </c>
      <c r="M5275">
        <v>0.56736019999999998</v>
      </c>
      <c r="N5275">
        <v>-1.782777E-2</v>
      </c>
      <c r="O5275">
        <v>0.82327669999999997</v>
      </c>
      <c r="P5275">
        <v>0.8211079</v>
      </c>
      <c r="Q5275">
        <v>-5.7746899999999997E-2</v>
      </c>
      <c r="R5275">
        <v>0.56784440000000003</v>
      </c>
      <c r="S5275">
        <v>2.9420929999999998</v>
      </c>
      <c r="T5275">
        <v>-0.22314110000000001</v>
      </c>
      <c r="U5275">
        <v>1.030869</v>
      </c>
      <c r="V5275">
        <v>0.35197329999999999</v>
      </c>
      <c r="W5275">
        <v>-5.5105800000000003E-2</v>
      </c>
      <c r="X5275">
        <v>0.93438650000000001</v>
      </c>
      <c r="Y5275">
        <v>0.58715269999999897</v>
      </c>
      <c r="Z5275">
        <v>-6.0616250000000003E-2</v>
      </c>
      <c r="AA5275">
        <v>0.80720349999999996</v>
      </c>
      <c r="AB5275">
        <v>30</v>
      </c>
      <c r="AC5275">
        <v>14.240799999999901</v>
      </c>
      <c r="AD5275">
        <v>-1.0929517693749999</v>
      </c>
      <c r="AE5275">
        <v>4.8195999999999799</v>
      </c>
      <c r="AF5275">
        <v>8.9438313779754193</v>
      </c>
      <c r="AG5275">
        <v>-1.0929517693749999</v>
      </c>
      <c r="AH5275">
        <v>11.9860973024635</v>
      </c>
      <c r="AI5275">
        <v>94.179837402312401</v>
      </c>
      <c r="AJ5275">
        <v>53.270297038111003</v>
      </c>
      <c r="AK5275">
        <v>14.9951055958923</v>
      </c>
      <c r="AL5275">
        <v>93.158929929239804</v>
      </c>
      <c r="AM5275">
        <v>69.359150356450996</v>
      </c>
      <c r="AN5275">
        <v>0.99999999224438996</v>
      </c>
    </row>
    <row r="5276" spans="1:40" x14ac:dyDescent="0.25">
      <c r="A5276" t="str">
        <f>"20190305135736869"</f>
        <v>20190305135736869</v>
      </c>
      <c r="B5276" t="str">
        <f>"1551765456857391"</f>
        <v>1551765456857391</v>
      </c>
      <c r="C5276" t="s">
        <v>40</v>
      </c>
      <c r="D5276">
        <v>4.5319339999999997</v>
      </c>
      <c r="E5276">
        <v>0.62916470000000002</v>
      </c>
      <c r="F5276" t="s">
        <v>42</v>
      </c>
      <c r="G5276">
        <v>-169.6489</v>
      </c>
      <c r="H5276" s="1">
        <v>-1.280512E-6</v>
      </c>
      <c r="I5276">
        <v>135.25110000000001</v>
      </c>
      <c r="J5276">
        <v>-184.32390000000001</v>
      </c>
      <c r="K5276">
        <v>1.0927800000000001</v>
      </c>
      <c r="L5276">
        <v>130.5035</v>
      </c>
      <c r="M5276">
        <v>0.58423449999999999</v>
      </c>
      <c r="N5276">
        <v>-1.7834619999999999E-2</v>
      </c>
      <c r="O5276">
        <v>0.81138900000000003</v>
      </c>
      <c r="P5276">
        <v>0.8310999</v>
      </c>
      <c r="Q5276">
        <v>-5.8529390000000001E-2</v>
      </c>
      <c r="R5276">
        <v>0.55303469999999999</v>
      </c>
      <c r="S5276">
        <v>2.9526669999999999</v>
      </c>
      <c r="T5276">
        <v>-0.2171032</v>
      </c>
      <c r="U5276">
        <v>0.99147030000000003</v>
      </c>
      <c r="V5276">
        <v>0.34934120000000002</v>
      </c>
      <c r="W5276">
        <v>-5.5889139999999997E-2</v>
      </c>
      <c r="X5276">
        <v>0.93532729999999997</v>
      </c>
      <c r="Y5276">
        <v>0.58113119999999996</v>
      </c>
      <c r="Z5276">
        <v>-5.8386939999999998E-2</v>
      </c>
      <c r="AA5276">
        <v>0.81171269999999995</v>
      </c>
      <c r="AB5276">
        <v>30</v>
      </c>
      <c r="AC5276">
        <v>14.675000000000001</v>
      </c>
      <c r="AD5276">
        <v>-1.0927812805120001</v>
      </c>
      <c r="AE5276">
        <v>4.7476000000000003</v>
      </c>
      <c r="AF5276">
        <v>9.0892485512737498</v>
      </c>
      <c r="AG5276">
        <v>-1.0927812805120001</v>
      </c>
      <c r="AH5276">
        <v>12.365695019859499</v>
      </c>
      <c r="AI5276">
        <v>94.072912894823503</v>
      </c>
      <c r="AJ5276">
        <v>53.682721629253003</v>
      </c>
      <c r="AK5276">
        <v>15.385675918790399</v>
      </c>
      <c r="AL5276">
        <v>93.2038812144974</v>
      </c>
      <c r="AM5276">
        <v>69.519530443527202</v>
      </c>
      <c r="AN5276">
        <v>1.0000000140563301</v>
      </c>
    </row>
    <row r="5277" spans="1:40" x14ac:dyDescent="0.25">
      <c r="A5277" t="str">
        <f>"20190305135736892"</f>
        <v>20190305135736892</v>
      </c>
      <c r="B5277" t="str">
        <f>"1551765456887648"</f>
        <v>1551765456887648</v>
      </c>
      <c r="C5277" t="s">
        <v>40</v>
      </c>
      <c r="D5277">
        <v>4.4324250000000003</v>
      </c>
      <c r="E5277">
        <v>0.64153590000000005</v>
      </c>
      <c r="F5277" t="s">
        <v>42</v>
      </c>
      <c r="G5277">
        <v>-169.0489</v>
      </c>
      <c r="H5277" s="1">
        <v>-1.72249E-6</v>
      </c>
      <c r="I5277">
        <v>134.45599999999999</v>
      </c>
      <c r="J5277">
        <v>-184.12989999999999</v>
      </c>
      <c r="K5277">
        <v>1.09263</v>
      </c>
      <c r="L5277">
        <v>130.74189999999999</v>
      </c>
      <c r="M5277">
        <v>0.60097119999999904</v>
      </c>
      <c r="N5277">
        <v>-1.7852630000000001E-2</v>
      </c>
      <c r="O5277">
        <v>0.79907130000000004</v>
      </c>
      <c r="P5277">
        <v>0.84066180000000001</v>
      </c>
      <c r="Q5277">
        <v>-5.8743330000000003E-2</v>
      </c>
      <c r="R5277">
        <v>0.53836519999999899</v>
      </c>
      <c r="S5277">
        <v>3.0662690000000001</v>
      </c>
      <c r="T5277">
        <v>-0.21936240000000001</v>
      </c>
      <c r="U5277">
        <v>0.79341130000000004</v>
      </c>
      <c r="V5277">
        <v>0.34628120000000001</v>
      </c>
      <c r="W5277">
        <v>-5.6059119999999997E-2</v>
      </c>
      <c r="X5277">
        <v>0.93645440000000002</v>
      </c>
      <c r="Y5277">
        <v>0.62086669999999999</v>
      </c>
      <c r="Z5277">
        <v>-5.9221919999999997E-2</v>
      </c>
      <c r="AA5277">
        <v>0.78167589999999998</v>
      </c>
      <c r="AB5277">
        <v>30</v>
      </c>
      <c r="AC5277">
        <v>15.0809999999999</v>
      </c>
      <c r="AD5277">
        <v>-1.09263172249</v>
      </c>
      <c r="AE5277">
        <v>3.7141000000000299</v>
      </c>
      <c r="AF5277">
        <v>9.7719310661581495</v>
      </c>
      <c r="AG5277">
        <v>-1.09263172249</v>
      </c>
      <c r="AH5277">
        <v>11.973737241177099</v>
      </c>
      <c r="AI5277">
        <v>94.043913093511406</v>
      </c>
      <c r="AJ5277">
        <v>50.781644280097801</v>
      </c>
      <c r="AK5277">
        <v>15.4937040233602</v>
      </c>
      <c r="AL5277">
        <v>93.213635467526004</v>
      </c>
      <c r="AM5277">
        <v>69.706663187447703</v>
      </c>
      <c r="AN5277">
        <v>1.0000000688439801</v>
      </c>
    </row>
    <row r="5278" spans="1:40" x14ac:dyDescent="0.25">
      <c r="A5278" t="str">
        <f>"20190305135736914"</f>
        <v>20190305135736914</v>
      </c>
      <c r="B5278" t="str">
        <f>"1551765456908143"</f>
        <v>1551765456908143</v>
      </c>
      <c r="C5278" t="s">
        <v>40</v>
      </c>
      <c r="D5278">
        <v>4.4652620000000001</v>
      </c>
      <c r="E5278">
        <v>0.64344109999999999</v>
      </c>
      <c r="F5278" t="s">
        <v>73</v>
      </c>
      <c r="G5278">
        <v>-171.7893</v>
      </c>
      <c r="H5278" s="1">
        <v>-1.846861E-6</v>
      </c>
      <c r="I5278">
        <v>133.30170000000001</v>
      </c>
      <c r="J5278">
        <v>-183.92259999999999</v>
      </c>
      <c r="K5278">
        <v>1.092476</v>
      </c>
      <c r="L5278">
        <v>130.9853</v>
      </c>
      <c r="M5278">
        <v>0.61827739999999998</v>
      </c>
      <c r="N5278">
        <v>-1.7879369999999999E-2</v>
      </c>
      <c r="O5278">
        <v>0.78575649999999997</v>
      </c>
      <c r="P5278">
        <v>0.85014840000000003</v>
      </c>
      <c r="Q5278">
        <v>-5.8438009999999999E-2</v>
      </c>
      <c r="R5278">
        <v>0.52329020000000004</v>
      </c>
      <c r="S5278">
        <v>3.1330260000000001</v>
      </c>
      <c r="T5278">
        <v>-0.27739760000000002</v>
      </c>
      <c r="U5278">
        <v>0.64990230000000004</v>
      </c>
      <c r="V5278">
        <v>0.34254499999999999</v>
      </c>
      <c r="W5278">
        <v>-5.5661210000000003E-2</v>
      </c>
      <c r="X5278">
        <v>0.93785110000000005</v>
      </c>
      <c r="Y5278">
        <v>0.6400825</v>
      </c>
      <c r="Z5278">
        <v>-7.7325450000000004E-2</v>
      </c>
      <c r="AA5278">
        <v>0.76440509999999995</v>
      </c>
      <c r="AB5278">
        <v>30</v>
      </c>
      <c r="AC5278">
        <v>12.133299999999901</v>
      </c>
      <c r="AD5278">
        <v>-1.0924778468609999</v>
      </c>
      <c r="AE5278">
        <v>2.31640000000001</v>
      </c>
      <c r="AF5278">
        <v>8.0400476752755701</v>
      </c>
      <c r="AG5278">
        <v>-1.0924778468609999</v>
      </c>
      <c r="AH5278">
        <v>9.2510006631879005</v>
      </c>
      <c r="AI5278">
        <v>95.093546875892898</v>
      </c>
      <c r="AJ5278">
        <v>49.006084153247201</v>
      </c>
      <c r="AK5278">
        <v>12.3051569570196</v>
      </c>
      <c r="AL5278">
        <v>93.190801578769495</v>
      </c>
      <c r="AM5278">
        <v>69.9355545574102</v>
      </c>
      <c r="AN5278">
        <v>0.99999996654743595</v>
      </c>
    </row>
    <row r="5279" spans="1:40" x14ac:dyDescent="0.25">
      <c r="A5279" t="str">
        <f>"20190305135736937"</f>
        <v>20190305135736937</v>
      </c>
      <c r="B5279" t="str">
        <f>"1551765456927663"</f>
        <v>1551765456927663</v>
      </c>
      <c r="C5279" t="s">
        <v>40</v>
      </c>
      <c r="D5279">
        <v>4.4573140000000002</v>
      </c>
      <c r="E5279">
        <v>0.64364169999999998</v>
      </c>
      <c r="F5279" t="s">
        <v>73</v>
      </c>
      <c r="G5279">
        <v>-170.3254</v>
      </c>
      <c r="H5279" s="1">
        <v>-1.1003240000000001E-6</v>
      </c>
      <c r="I5279">
        <v>133.50040000000001</v>
      </c>
      <c r="J5279">
        <v>-183.7201</v>
      </c>
      <c r="K5279">
        <v>1.0923499999999999</v>
      </c>
      <c r="L5279">
        <v>131.2132</v>
      </c>
      <c r="M5279">
        <v>0.63465640000000001</v>
      </c>
      <c r="N5279">
        <v>-1.790976E-2</v>
      </c>
      <c r="O5279">
        <v>0.77258680000000002</v>
      </c>
      <c r="P5279">
        <v>0.85854900000000001</v>
      </c>
      <c r="Q5279">
        <v>-5.9277780000000002E-2</v>
      </c>
      <c r="R5279">
        <v>0.50929340000000001</v>
      </c>
      <c r="S5279">
        <v>3.152466</v>
      </c>
      <c r="T5279">
        <v>-0.25328679999999998</v>
      </c>
      <c r="U5279">
        <v>0.58312989999999998</v>
      </c>
      <c r="V5279">
        <v>0.33810709999999999</v>
      </c>
      <c r="W5279">
        <v>-5.6356870000000003E-2</v>
      </c>
      <c r="X5279">
        <v>0.93941870000000005</v>
      </c>
      <c r="Y5279">
        <v>0.64120100000000002</v>
      </c>
      <c r="Z5279">
        <v>-6.9411130000000001E-2</v>
      </c>
      <c r="AA5279">
        <v>0.76422730000000005</v>
      </c>
      <c r="AB5279">
        <v>30</v>
      </c>
      <c r="AC5279">
        <v>13.3947</v>
      </c>
      <c r="AD5279">
        <v>-1.0923511003239901</v>
      </c>
      <c r="AE5279">
        <v>2.2872000000000101</v>
      </c>
      <c r="AF5279">
        <v>8.8412764763978302</v>
      </c>
      <c r="AG5279">
        <v>-1.0923511003239901</v>
      </c>
      <c r="AH5279">
        <v>10.2038019940172</v>
      </c>
      <c r="AI5279">
        <v>94.625552186844203</v>
      </c>
      <c r="AJ5279">
        <v>49.092090240254898</v>
      </c>
      <c r="AK5279">
        <v>13.5454411442224</v>
      </c>
      <c r="AL5279">
        <v>93.230722517435495</v>
      </c>
      <c r="AM5279">
        <v>70.205639329563198</v>
      </c>
      <c r="AN5279">
        <v>1.00000000088814</v>
      </c>
    </row>
    <row r="5280" spans="1:40" x14ac:dyDescent="0.25">
      <c r="A5280" t="str">
        <f>"20190305135736959"</f>
        <v>20190305135736959</v>
      </c>
      <c r="B5280" t="str">
        <f>"1551765456948160"</f>
        <v>1551765456948160</v>
      </c>
      <c r="C5280" t="s">
        <v>40</v>
      </c>
      <c r="D5280">
        <v>4.4613709999999998</v>
      </c>
      <c r="E5280">
        <v>0.64264279999999996</v>
      </c>
      <c r="F5280" t="s">
        <v>42</v>
      </c>
      <c r="G5280">
        <v>-167.93109999999999</v>
      </c>
      <c r="H5280" s="1">
        <v>-2.305377E-6</v>
      </c>
      <c r="I5280">
        <v>133.87860000000001</v>
      </c>
      <c r="J5280">
        <v>-183.51150000000001</v>
      </c>
      <c r="K5280">
        <v>1.0922449999999999</v>
      </c>
      <c r="L5280">
        <v>131.43819999999999</v>
      </c>
      <c r="M5280">
        <v>0.65097989999999994</v>
      </c>
      <c r="N5280">
        <v>-1.7942799999999998E-2</v>
      </c>
      <c r="O5280">
        <v>0.75888290000000003</v>
      </c>
      <c r="P5280">
        <v>0.86680219999999897</v>
      </c>
      <c r="Q5280">
        <v>-5.9097570000000002E-2</v>
      </c>
      <c r="R5280">
        <v>0.49513780000000002</v>
      </c>
      <c r="S5280">
        <v>3.1624759999999998</v>
      </c>
      <c r="T5280">
        <v>-0.21879409999999999</v>
      </c>
      <c r="U5280">
        <v>0.53385930000000004</v>
      </c>
      <c r="V5280">
        <v>0.33350570000000002</v>
      </c>
      <c r="W5280">
        <v>-5.6009789999999997E-2</v>
      </c>
      <c r="X5280">
        <v>0.9410828</v>
      </c>
      <c r="Y5280">
        <v>0.63771869999999997</v>
      </c>
      <c r="Z5280">
        <v>-5.8298000000000003E-2</v>
      </c>
      <c r="AA5280">
        <v>0.76805999999999996</v>
      </c>
      <c r="AB5280">
        <v>30</v>
      </c>
      <c r="AC5280">
        <v>15.580399999999999</v>
      </c>
      <c r="AD5280">
        <v>-1.0922473053769901</v>
      </c>
      <c r="AE5280">
        <v>2.4404000000000101</v>
      </c>
      <c r="AF5280">
        <v>10.187825852567</v>
      </c>
      <c r="AG5280">
        <v>-1.0922473053769901</v>
      </c>
      <c r="AH5280">
        <v>11.9391654354189</v>
      </c>
      <c r="AI5280">
        <v>93.980893066082203</v>
      </c>
      <c r="AJ5280">
        <v>49.5254959886976</v>
      </c>
      <c r="AK5280">
        <v>15.733037566618799</v>
      </c>
      <c r="AL5280">
        <v>93.210804864629594</v>
      </c>
      <c r="AM5280">
        <v>70.486433029861402</v>
      </c>
      <c r="AN5280">
        <v>0.99999999248208704</v>
      </c>
    </row>
    <row r="5281" spans="1:40" x14ac:dyDescent="0.25">
      <c r="A5281" t="str">
        <f>"20190305135736981"</f>
        <v>20190305135736981</v>
      </c>
      <c r="B5281" t="str">
        <f>"1551765456977440"</f>
        <v>1551765456977440</v>
      </c>
      <c r="C5281" t="s">
        <v>40</v>
      </c>
      <c r="D5281">
        <v>4.5242300000000002</v>
      </c>
      <c r="E5281">
        <v>0.64139619999999997</v>
      </c>
      <c r="F5281" t="s">
        <v>42</v>
      </c>
      <c r="G5281">
        <v>-167.3948</v>
      </c>
      <c r="H5281" s="1">
        <v>-2.4983249999999999E-6</v>
      </c>
      <c r="I5281">
        <v>133.92750000000001</v>
      </c>
      <c r="J5281">
        <v>-183.30340000000001</v>
      </c>
      <c r="K5281">
        <v>1.0921479999999999</v>
      </c>
      <c r="L5281">
        <v>131.65309999999999</v>
      </c>
      <c r="M5281">
        <v>0.66673509999999903</v>
      </c>
      <c r="N5281">
        <v>-1.7976240000000001E-2</v>
      </c>
      <c r="O5281">
        <v>0.74507789999999996</v>
      </c>
      <c r="P5281">
        <v>0.87483250000000001</v>
      </c>
      <c r="Q5281">
        <v>-5.8169489999999997E-2</v>
      </c>
      <c r="R5281">
        <v>0.48092049999999997</v>
      </c>
      <c r="S5281">
        <v>3.1669619999999998</v>
      </c>
      <c r="T5281">
        <v>-0.2146285</v>
      </c>
      <c r="U5281">
        <v>0.489151</v>
      </c>
      <c r="V5281">
        <v>0.32923289999999999</v>
      </c>
      <c r="W5281">
        <v>-5.4916989999999999E-2</v>
      </c>
      <c r="X5281">
        <v>0.9426504</v>
      </c>
      <c r="Y5281">
        <v>0.63244230000000001</v>
      </c>
      <c r="Z5281">
        <v>-5.6639639999999998E-2</v>
      </c>
      <c r="AA5281">
        <v>0.77253400000000005</v>
      </c>
      <c r="AB5281">
        <v>30</v>
      </c>
      <c r="AC5281">
        <v>15.9086</v>
      </c>
      <c r="AD5281">
        <v>-1.0921504983250001</v>
      </c>
      <c r="AE5281">
        <v>2.2744000000000102</v>
      </c>
      <c r="AF5281">
        <v>10.290865172518201</v>
      </c>
      <c r="AG5281">
        <v>-1.0921504983250001</v>
      </c>
      <c r="AH5281">
        <v>12.2468520009941</v>
      </c>
      <c r="AI5281">
        <v>93.905775850906196</v>
      </c>
      <c r="AJ5281">
        <v>49.960115658015503</v>
      </c>
      <c r="AK5281">
        <v>16.0337170563844</v>
      </c>
      <c r="AL5281">
        <v>93.148095553427495</v>
      </c>
      <c r="AM5281">
        <v>70.747581481570506</v>
      </c>
      <c r="AN5281">
        <v>0.99999997742661395</v>
      </c>
    </row>
    <row r="5282" spans="1:40" x14ac:dyDescent="0.25">
      <c r="A5282" t="str">
        <f>"20190305135737004"</f>
        <v>20190305135737004</v>
      </c>
      <c r="B5282" t="str">
        <f>"1551765456997935"</f>
        <v>1551765456997935</v>
      </c>
      <c r="C5282" t="s">
        <v>40</v>
      </c>
      <c r="D5282">
        <v>4.5124389999999996</v>
      </c>
      <c r="E5282">
        <v>0.64052069999999905</v>
      </c>
      <c r="F5282" t="s">
        <v>42</v>
      </c>
      <c r="G5282">
        <v>-166.85249999999999</v>
      </c>
      <c r="H5282" s="1">
        <v>-2.69566E-6</v>
      </c>
      <c r="I5282">
        <v>133.9684</v>
      </c>
      <c r="J5282">
        <v>-183.07769999999999</v>
      </c>
      <c r="K5282">
        <v>1.0920559999999999</v>
      </c>
      <c r="L5282">
        <v>131.87649999999999</v>
      </c>
      <c r="M5282">
        <v>0.68325449999999999</v>
      </c>
      <c r="N5282">
        <v>-1.801239E-2</v>
      </c>
      <c r="O5282">
        <v>0.729958199999999</v>
      </c>
      <c r="P5282">
        <v>0.88442799999999999</v>
      </c>
      <c r="Q5282">
        <v>-5.7646500000000003E-2</v>
      </c>
      <c r="R5282">
        <v>0.46310249999999997</v>
      </c>
      <c r="S5282">
        <v>3.1699679999999999</v>
      </c>
      <c r="T5282">
        <v>-0.2104491</v>
      </c>
      <c r="U5282">
        <v>0.44613649999999999</v>
      </c>
      <c r="V5282">
        <v>0.32725369999999998</v>
      </c>
      <c r="W5282">
        <v>-5.4332520000000002E-2</v>
      </c>
      <c r="X5282">
        <v>0.94337320000000002</v>
      </c>
      <c r="Y5282">
        <v>0.62557130000000005</v>
      </c>
      <c r="Z5282">
        <v>-5.4898620000000002E-2</v>
      </c>
      <c r="AA5282">
        <v>0.77823310000000001</v>
      </c>
      <c r="AB5282">
        <v>30</v>
      </c>
      <c r="AC5282">
        <v>16.225200000000001</v>
      </c>
      <c r="AD5282">
        <v>-1.09205869566</v>
      </c>
      <c r="AE5282">
        <v>2.0918999999999999</v>
      </c>
      <c r="AF5282">
        <v>10.3698978875919</v>
      </c>
      <c r="AG5282">
        <v>-1.09205869566</v>
      </c>
      <c r="AH5282">
        <v>12.559022361922</v>
      </c>
      <c r="AI5282">
        <v>93.836012558908706</v>
      </c>
      <c r="AJ5282">
        <v>50.453748233121303</v>
      </c>
      <c r="AK5282">
        <v>16.323492796614001</v>
      </c>
      <c r="AL5282">
        <v>93.114557742017197</v>
      </c>
      <c r="AM5282">
        <v>70.868473332413203</v>
      </c>
      <c r="AN5282">
        <v>1.0000000006857399</v>
      </c>
    </row>
    <row r="5283" spans="1:40" x14ac:dyDescent="0.25">
      <c r="A5283" t="str">
        <f>"20190305135737026"</f>
        <v>20190305135737026</v>
      </c>
      <c r="B5283" t="str">
        <f>"1551765457017455"</f>
        <v>1551765457017455</v>
      </c>
      <c r="C5283" t="s">
        <v>40</v>
      </c>
      <c r="D5283">
        <v>4.5542199999999999</v>
      </c>
      <c r="E5283">
        <v>0.63959750000000004</v>
      </c>
      <c r="F5283" t="s">
        <v>42</v>
      </c>
      <c r="G5283">
        <v>-166.5532</v>
      </c>
      <c r="H5283" s="1">
        <v>-2.830108E-6</v>
      </c>
      <c r="I5283">
        <v>133.89510000000001</v>
      </c>
      <c r="J5283">
        <v>-182.85740000000001</v>
      </c>
      <c r="K5283">
        <v>1.091982</v>
      </c>
      <c r="L5283">
        <v>132.08510000000001</v>
      </c>
      <c r="M5283">
        <v>0.69881899999999997</v>
      </c>
      <c r="N5283">
        <v>-1.804706E-2</v>
      </c>
      <c r="O5283">
        <v>0.71507080000000001</v>
      </c>
      <c r="P5283">
        <v>0.89243359999999905</v>
      </c>
      <c r="Q5283">
        <v>-5.6950090000000002E-2</v>
      </c>
      <c r="R5283">
        <v>0.44757019999999997</v>
      </c>
      <c r="S5283">
        <v>3.1752470000000002</v>
      </c>
      <c r="T5283">
        <v>-0.20984340000000001</v>
      </c>
      <c r="U5283">
        <v>0.38787840000000001</v>
      </c>
      <c r="V5283">
        <v>0.32348250000000001</v>
      </c>
      <c r="W5283">
        <v>-5.3478240000000003E-2</v>
      </c>
      <c r="X5283">
        <v>0.9447217</v>
      </c>
      <c r="Y5283">
        <v>0.62301960000000001</v>
      </c>
      <c r="Z5283">
        <v>-5.4390050000000002E-2</v>
      </c>
      <c r="AA5283">
        <v>0.78031300000000003</v>
      </c>
      <c r="AB5283">
        <v>30</v>
      </c>
      <c r="AC5283">
        <v>16.304200000000002</v>
      </c>
      <c r="AD5283">
        <v>-1.091984830108</v>
      </c>
      <c r="AE5283">
        <v>1.81</v>
      </c>
      <c r="AF5283">
        <v>10.3496277243555</v>
      </c>
      <c r="AG5283">
        <v>-1.091984830108</v>
      </c>
      <c r="AH5283">
        <v>12.634046864905899</v>
      </c>
      <c r="AI5283">
        <v>93.825200316979306</v>
      </c>
      <c r="AJ5283">
        <v>50.676163718798001</v>
      </c>
      <c r="AK5283">
        <v>16.368456405127901</v>
      </c>
      <c r="AL5283">
        <v>93.065539925863803</v>
      </c>
      <c r="AM5283">
        <v>71.098264714380406</v>
      </c>
      <c r="AN5283">
        <v>0.99999997020531795</v>
      </c>
    </row>
    <row r="5284" spans="1:40" x14ac:dyDescent="0.25">
      <c r="A5284" t="str">
        <f>"20190305135737047"</f>
        <v>20190305135737047</v>
      </c>
      <c r="B5284" t="str">
        <f>"1551765457037951"</f>
        <v>1551765457037951</v>
      </c>
      <c r="C5284" t="s">
        <v>40</v>
      </c>
      <c r="D5284">
        <v>4.5969610000000003</v>
      </c>
      <c r="E5284">
        <v>0.63832290000000003</v>
      </c>
      <c r="F5284" t="s">
        <v>42</v>
      </c>
      <c r="G5284">
        <v>-166.2876</v>
      </c>
      <c r="H5284" s="1">
        <v>-2.9441279999999998E-6</v>
      </c>
      <c r="I5284">
        <v>133.85</v>
      </c>
      <c r="J5284">
        <v>-182.6412</v>
      </c>
      <c r="K5284">
        <v>1.0919270000000001</v>
      </c>
      <c r="L5284">
        <v>132.28110000000001</v>
      </c>
      <c r="M5284">
        <v>0.71357139999999997</v>
      </c>
      <c r="N5284">
        <v>-1.8079580000000001E-2</v>
      </c>
      <c r="O5284">
        <v>0.70034919999999901</v>
      </c>
      <c r="P5284">
        <v>0.89997700000000003</v>
      </c>
      <c r="Q5284">
        <v>-5.4467370000000001E-2</v>
      </c>
      <c r="R5284">
        <v>0.43252109999999999</v>
      </c>
      <c r="S5284">
        <v>3.1784669999999999</v>
      </c>
      <c r="T5284">
        <v>-0.20946719999999999</v>
      </c>
      <c r="U5284">
        <v>0.33854679999999998</v>
      </c>
      <c r="V5284">
        <v>0.31986510000000001</v>
      </c>
      <c r="W5284">
        <v>-5.0833610000000001E-2</v>
      </c>
      <c r="X5284">
        <v>0.94609840000000001</v>
      </c>
      <c r="Y5284">
        <v>0.6187975</v>
      </c>
      <c r="Z5284">
        <v>-5.3863830000000001E-2</v>
      </c>
      <c r="AA5284">
        <v>0.78370169999999995</v>
      </c>
      <c r="AB5284">
        <v>30</v>
      </c>
      <c r="AC5284">
        <v>16.3536</v>
      </c>
      <c r="AD5284">
        <v>-1.0919299441279999</v>
      </c>
      <c r="AE5284">
        <v>1.56889999999998</v>
      </c>
      <c r="AF5284">
        <v>10.2899411446407</v>
      </c>
      <c r="AG5284">
        <v>-1.0919299441279999</v>
      </c>
      <c r="AH5284">
        <v>12.714160539124499</v>
      </c>
      <c r="AI5284">
        <v>93.819310686626594</v>
      </c>
      <c r="AJ5284">
        <v>51.015743239268197</v>
      </c>
      <c r="AK5284">
        <v>16.392836178577699</v>
      </c>
      <c r="AL5284">
        <v>92.913807252970102</v>
      </c>
      <c r="AM5284">
        <v>71.320190047458894</v>
      </c>
      <c r="AN5284">
        <v>0.99999996029310001</v>
      </c>
    </row>
    <row r="5285" spans="1:40" x14ac:dyDescent="0.25">
      <c r="A5285" t="str">
        <f>"20190305135737071"</f>
        <v>20190305135737071</v>
      </c>
      <c r="B5285" t="str">
        <f>"1551765457068208"</f>
        <v>1551765457068208</v>
      </c>
      <c r="C5285" t="s">
        <v>40</v>
      </c>
      <c r="D5285">
        <v>4.6004969999999998</v>
      </c>
      <c r="E5285">
        <v>0.63659239999999995</v>
      </c>
      <c r="F5285" t="s">
        <v>42</v>
      </c>
      <c r="G5285">
        <v>-165.7569</v>
      </c>
      <c r="H5285" s="1">
        <v>-3.150087E-6</v>
      </c>
      <c r="I5285">
        <v>133.84180000000001</v>
      </c>
      <c r="J5285">
        <v>-182.41200000000001</v>
      </c>
      <c r="K5285">
        <v>1.0918669999999999</v>
      </c>
      <c r="L5285">
        <v>132.47999999999999</v>
      </c>
      <c r="M5285">
        <v>0.7286648</v>
      </c>
      <c r="N5285">
        <v>-1.811138E-2</v>
      </c>
      <c r="O5285">
        <v>0.68463099999999999</v>
      </c>
      <c r="P5285">
        <v>0.90805349999999996</v>
      </c>
      <c r="Q5285">
        <v>-5.3044380000000002E-2</v>
      </c>
      <c r="R5285">
        <v>0.41548200000000002</v>
      </c>
      <c r="S5285">
        <v>3.1797179999999998</v>
      </c>
      <c r="T5285">
        <v>-0.2056364</v>
      </c>
      <c r="U5285">
        <v>0.29393010000000003</v>
      </c>
      <c r="V5285">
        <v>0.31719320000000001</v>
      </c>
      <c r="W5285">
        <v>-4.9291359999999999E-2</v>
      </c>
      <c r="X5285">
        <v>0.94707909999999995</v>
      </c>
      <c r="Y5285">
        <v>0.61270049999999998</v>
      </c>
      <c r="Z5285">
        <v>-5.2222619999999997E-2</v>
      </c>
      <c r="AA5285">
        <v>0.78858799999999996</v>
      </c>
      <c r="AB5285">
        <v>30</v>
      </c>
      <c r="AC5285">
        <v>16.655100000000001</v>
      </c>
      <c r="AD5285">
        <v>-1.0918701500869901</v>
      </c>
      <c r="AE5285">
        <v>1.3618000000000099</v>
      </c>
      <c r="AF5285">
        <v>10.3677470501593</v>
      </c>
      <c r="AG5285">
        <v>-1.0918701500869901</v>
      </c>
      <c r="AH5285">
        <v>13.014895246260201</v>
      </c>
      <c r="AI5285">
        <v>93.754287137962095</v>
      </c>
      <c r="AJ5285">
        <v>51.458953351028399</v>
      </c>
      <c r="AK5285">
        <v>16.675426758912799</v>
      </c>
      <c r="AL5285">
        <v>92.825331791878199</v>
      </c>
      <c r="AM5285">
        <v>71.483409525890593</v>
      </c>
      <c r="AN5285">
        <v>0.99999999297684905</v>
      </c>
    </row>
    <row r="5286" spans="1:40" x14ac:dyDescent="0.25">
      <c r="A5286" t="str">
        <f>"20190305135737085"</f>
        <v>20190305135737085</v>
      </c>
      <c r="B5286" t="str">
        <f>"1551765457077968"</f>
        <v>1551765457077968</v>
      </c>
      <c r="C5286" t="s">
        <v>40</v>
      </c>
      <c r="D5286">
        <v>4.5906500000000001</v>
      </c>
      <c r="E5286">
        <v>0.63599150000000004</v>
      </c>
      <c r="F5286" t="s">
        <v>42</v>
      </c>
      <c r="G5286">
        <v>-165.74250000000001</v>
      </c>
      <c r="H5286" s="1">
        <v>-3.1748180000000002E-6</v>
      </c>
      <c r="I5286">
        <v>133.7696</v>
      </c>
      <c r="J5286">
        <v>-182.24789999999999</v>
      </c>
      <c r="K5286">
        <v>1.0918369999999999</v>
      </c>
      <c r="L5286">
        <v>132.6165</v>
      </c>
      <c r="M5286">
        <v>0.73912029999999995</v>
      </c>
      <c r="N5286">
        <v>-1.8131930000000001E-2</v>
      </c>
      <c r="O5286">
        <v>0.67332939999999997</v>
      </c>
      <c r="P5286">
        <v>0.91384529999999997</v>
      </c>
      <c r="Q5286">
        <v>-5.3077369999999999E-2</v>
      </c>
      <c r="R5286">
        <v>0.40257870000000001</v>
      </c>
      <c r="S5286">
        <v>3.1790919999999998</v>
      </c>
      <c r="T5286">
        <v>-0.20823410000000001</v>
      </c>
      <c r="U5286">
        <v>0.2459412</v>
      </c>
      <c r="V5286">
        <v>0.31602029999999998</v>
      </c>
      <c r="W5286">
        <v>-4.9273480000000001E-2</v>
      </c>
      <c r="X5286">
        <v>0.94747199999999998</v>
      </c>
      <c r="Y5286">
        <v>0.61229239999999996</v>
      </c>
      <c r="Z5286">
        <v>-5.281019E-2</v>
      </c>
      <c r="AA5286">
        <v>0.788865699999999</v>
      </c>
      <c r="AB5286">
        <v>29</v>
      </c>
      <c r="AC5286">
        <v>16.505399999999899</v>
      </c>
      <c r="AD5286">
        <v>-1.091840174818</v>
      </c>
      <c r="AE5286">
        <v>1.15309999999999</v>
      </c>
      <c r="AF5286">
        <v>10.2184805964724</v>
      </c>
      <c r="AG5286">
        <v>-1.091840174818</v>
      </c>
      <c r="AH5286">
        <v>12.921755951473701</v>
      </c>
      <c r="AI5286">
        <v>93.791846879698895</v>
      </c>
      <c r="AJ5286">
        <v>51.663172690051901</v>
      </c>
      <c r="AK5286">
        <v>16.510034449911899</v>
      </c>
      <c r="AL5286">
        <v>92.824306223238906</v>
      </c>
      <c r="AM5286">
        <v>71.554368205835402</v>
      </c>
      <c r="AN5286">
        <v>0.99999994831369798</v>
      </c>
    </row>
    <row r="5287" spans="1:40" x14ac:dyDescent="0.25">
      <c r="A5287" t="str">
        <f>"20190305135737104"</f>
        <v>20190305135737104</v>
      </c>
      <c r="B5287" t="str">
        <f>"1551765457097487"</f>
        <v>1551765457097487</v>
      </c>
      <c r="C5287" t="s">
        <v>40</v>
      </c>
      <c r="D5287">
        <v>4.5934330000000001</v>
      </c>
      <c r="E5287">
        <v>0.63487539999999998</v>
      </c>
      <c r="F5287" t="s">
        <v>42</v>
      </c>
      <c r="G5287">
        <v>-165.7664</v>
      </c>
      <c r="H5287" s="1">
        <v>-3.1895530000000001E-6</v>
      </c>
      <c r="I5287">
        <v>133.6797</v>
      </c>
      <c r="J5287">
        <v>-182.05289999999999</v>
      </c>
      <c r="K5287">
        <v>1.0918060000000001</v>
      </c>
      <c r="L5287">
        <v>132.77359999999999</v>
      </c>
      <c r="M5287">
        <v>0.75120189999999998</v>
      </c>
      <c r="N5287">
        <v>-1.815348E-2</v>
      </c>
      <c r="O5287">
        <v>0.65982280000000004</v>
      </c>
      <c r="P5287">
        <v>0.91966020000000004</v>
      </c>
      <c r="Q5287">
        <v>-5.2663620000000001E-2</v>
      </c>
      <c r="R5287">
        <v>0.38916800000000001</v>
      </c>
      <c r="S5287">
        <v>3.1802060000000001</v>
      </c>
      <c r="T5287">
        <v>-0.21067710000000001</v>
      </c>
      <c r="U5287">
        <v>0.20515439999999999</v>
      </c>
      <c r="V5287">
        <v>0.31274239999999998</v>
      </c>
      <c r="W5287">
        <v>-4.8705539999999999E-2</v>
      </c>
      <c r="X5287">
        <v>0.9485884</v>
      </c>
      <c r="Y5287">
        <v>0.6080217</v>
      </c>
      <c r="Z5287">
        <v>-5.3054560000000001E-2</v>
      </c>
      <c r="AA5287">
        <v>0.79214569999999995</v>
      </c>
      <c r="AB5287">
        <v>29</v>
      </c>
      <c r="AC5287">
        <v>16.286499999999901</v>
      </c>
      <c r="AD5287">
        <v>-1.091809189553</v>
      </c>
      <c r="AE5287">
        <v>0.90610000000000901</v>
      </c>
      <c r="AF5287">
        <v>10.022297361534299</v>
      </c>
      <c r="AG5287">
        <v>-1.091809189553</v>
      </c>
      <c r="AH5287">
        <v>12.777186194207699</v>
      </c>
      <c r="AI5287">
        <v>93.846438383646799</v>
      </c>
      <c r="AJ5287">
        <v>51.889716675154197</v>
      </c>
      <c r="AK5287">
        <v>16.275594574419198</v>
      </c>
      <c r="AL5287">
        <v>92.791726405607207</v>
      </c>
      <c r="AM5287">
        <v>71.753004152481097</v>
      </c>
      <c r="AN5287">
        <v>0.99999999549950502</v>
      </c>
    </row>
    <row r="5288" spans="1:40" x14ac:dyDescent="0.25">
      <c r="A5288" t="str">
        <f>"20190305135737126"</f>
        <v>20190305135737126</v>
      </c>
      <c r="B5288" t="str">
        <f>"1551765457117615"</f>
        <v>1551765457117615</v>
      </c>
      <c r="C5288" t="s">
        <v>40</v>
      </c>
      <c r="D5288">
        <v>4.5685229999999999</v>
      </c>
      <c r="E5288">
        <v>0.63361899999999904</v>
      </c>
      <c r="F5288" t="s">
        <v>42</v>
      </c>
      <c r="G5288">
        <v>-165.78360000000001</v>
      </c>
      <c r="H5288" s="1">
        <v>-3.1975599999999998E-6</v>
      </c>
      <c r="I5288">
        <v>133.62479999999999</v>
      </c>
      <c r="J5288">
        <v>-181.81370000000001</v>
      </c>
      <c r="K5288">
        <v>1.091777</v>
      </c>
      <c r="L5288">
        <v>132.9588</v>
      </c>
      <c r="M5288">
        <v>0.76551420000000003</v>
      </c>
      <c r="N5288">
        <v>-1.8175710000000001E-2</v>
      </c>
      <c r="O5288">
        <v>0.64316229999999996</v>
      </c>
      <c r="P5288">
        <v>0.92645529999999998</v>
      </c>
      <c r="Q5288">
        <v>-5.0636540000000001E-2</v>
      </c>
      <c r="R5288">
        <v>0.37298340000000002</v>
      </c>
      <c r="S5288">
        <v>3.1794739999999999</v>
      </c>
      <c r="T5288">
        <v>-0.2133698</v>
      </c>
      <c r="U5288">
        <v>0.16635129999999901</v>
      </c>
      <c r="V5288">
        <v>0.30869740000000001</v>
      </c>
      <c r="W5288">
        <v>-4.6481410000000001E-2</v>
      </c>
      <c r="X5288">
        <v>0.95002390000000003</v>
      </c>
      <c r="Y5288">
        <v>0.60016449999999999</v>
      </c>
      <c r="Z5288">
        <v>-5.3117070000000002E-2</v>
      </c>
      <c r="AA5288">
        <v>0.79811100000000001</v>
      </c>
      <c r="AB5288">
        <v>29</v>
      </c>
      <c r="AC5288">
        <v>16.030100000000001</v>
      </c>
      <c r="AD5288">
        <v>-1.0917801975600001</v>
      </c>
      <c r="AE5288">
        <v>0.66599999999999604</v>
      </c>
      <c r="AF5288">
        <v>9.7565622968272692</v>
      </c>
      <c r="AG5288">
        <v>-1.0917801975600001</v>
      </c>
      <c r="AH5288">
        <v>12.643165891276301</v>
      </c>
      <c r="AI5288">
        <v>93.910914699990201</v>
      </c>
      <c r="AJ5288">
        <v>52.343110480811603</v>
      </c>
      <c r="AK5288">
        <v>16.007252593933401</v>
      </c>
      <c r="AL5288">
        <v>92.664148509325301</v>
      </c>
      <c r="AM5288">
        <v>71.999131392742598</v>
      </c>
      <c r="AN5288">
        <v>1.0000000084067699</v>
      </c>
    </row>
    <row r="5289" spans="1:40" x14ac:dyDescent="0.25">
      <c r="A5289" t="str">
        <f>"20190305135737148"</f>
        <v>20190305135737148</v>
      </c>
      <c r="B5289" t="str">
        <f>"1551765457138111"</f>
        <v>1551765457138111</v>
      </c>
      <c r="C5289" t="s">
        <v>40</v>
      </c>
      <c r="D5289">
        <v>4.137372</v>
      </c>
      <c r="E5289">
        <v>0.63302169999999902</v>
      </c>
      <c r="F5289" t="s">
        <v>42</v>
      </c>
      <c r="G5289">
        <v>-165.43039999999999</v>
      </c>
      <c r="H5289" s="1">
        <v>-3.3464190000000002E-6</v>
      </c>
      <c r="I5289">
        <v>133.5752</v>
      </c>
      <c r="J5289">
        <v>-181.57470000000001</v>
      </c>
      <c r="K5289">
        <v>1.0917559999999999</v>
      </c>
      <c r="L5289">
        <v>133.13560000000001</v>
      </c>
      <c r="M5289">
        <v>0.77925929999999999</v>
      </c>
      <c r="N5289">
        <v>-1.8192199999999999E-2</v>
      </c>
      <c r="O5289">
        <v>0.62643769999999999</v>
      </c>
      <c r="P5289">
        <v>0.93336359999999996</v>
      </c>
      <c r="Q5289">
        <v>-4.8594239999999997E-2</v>
      </c>
      <c r="R5289">
        <v>0.355628</v>
      </c>
      <c r="S5289">
        <v>3.1784210000000002</v>
      </c>
      <c r="T5289">
        <v>-0.21180869999999999</v>
      </c>
      <c r="U5289">
        <v>0.1195831</v>
      </c>
      <c r="V5289">
        <v>0.30601610000000001</v>
      </c>
      <c r="W5289">
        <v>-4.4304290000000003E-2</v>
      </c>
      <c r="X5289">
        <v>0.95099489999999998</v>
      </c>
      <c r="Y5289">
        <v>0.59461399999999998</v>
      </c>
      <c r="Z5289">
        <v>-5.2057529999999998E-2</v>
      </c>
      <c r="AA5289">
        <v>0.80232419999999904</v>
      </c>
      <c r="AB5289">
        <v>29</v>
      </c>
      <c r="AC5289">
        <v>16.144300000000001</v>
      </c>
      <c r="AD5289">
        <v>-1.0917593464190001</v>
      </c>
      <c r="AE5289">
        <v>0.439599999999984</v>
      </c>
      <c r="AF5289">
        <v>9.7279974055680505</v>
      </c>
      <c r="AG5289">
        <v>-1.0917593464190001</v>
      </c>
      <c r="AH5289">
        <v>12.799613346155001</v>
      </c>
      <c r="AI5289">
        <v>93.884930200410594</v>
      </c>
      <c r="AJ5289">
        <v>52.764339583463098</v>
      </c>
      <c r="AK5289">
        <v>16.113844165943199</v>
      </c>
      <c r="AL5289">
        <v>92.539279976867704</v>
      </c>
      <c r="AM5289">
        <v>72.1625922381739</v>
      </c>
      <c r="AN5289">
        <v>1.0000000116988099</v>
      </c>
    </row>
    <row r="5290" spans="1:40" x14ac:dyDescent="0.25">
      <c r="A5290" t="str">
        <f>"20190305135737171"</f>
        <v>20190305135737171</v>
      </c>
      <c r="B5290" t="str">
        <f>"1551765457168366"</f>
        <v>1551765457168366</v>
      </c>
      <c r="C5290" t="s">
        <v>40</v>
      </c>
      <c r="D5290">
        <v>4.4903050000000002</v>
      </c>
      <c r="E5290">
        <v>0.60801359999999904</v>
      </c>
      <c r="F5290" t="s">
        <v>42</v>
      </c>
      <c r="G5290">
        <v>-165.06720000000001</v>
      </c>
      <c r="H5290" s="1">
        <v>-3.5136269999999998E-6</v>
      </c>
      <c r="I5290">
        <v>133.4709</v>
      </c>
      <c r="J5290">
        <v>-181.32939999999999</v>
      </c>
      <c r="K5290">
        <v>1.0917429999999999</v>
      </c>
      <c r="L5290">
        <v>133.30860000000001</v>
      </c>
      <c r="M5290">
        <v>0.79279390000000005</v>
      </c>
      <c r="N5290">
        <v>-1.820095E-2</v>
      </c>
      <c r="O5290">
        <v>0.60921800000000004</v>
      </c>
      <c r="P5290">
        <v>0.94024750000000001</v>
      </c>
      <c r="Q5290">
        <v>-4.8424300000000003E-2</v>
      </c>
      <c r="R5290">
        <v>0.33703090000000002</v>
      </c>
      <c r="S5290">
        <v>3.1786500000000002</v>
      </c>
      <c r="T5290">
        <v>-0.21022730000000001</v>
      </c>
      <c r="U5290">
        <v>6.4559939999999996E-2</v>
      </c>
      <c r="V5290">
        <v>0.30407709999999999</v>
      </c>
      <c r="W5290">
        <v>-4.4036020000000002E-2</v>
      </c>
      <c r="X5290">
        <v>0.95162910000000001</v>
      </c>
      <c r="Y5290">
        <v>0.59094780000000002</v>
      </c>
      <c r="Z5290">
        <v>-5.1025580000000001E-2</v>
      </c>
      <c r="AA5290">
        <v>0.80509439999999999</v>
      </c>
      <c r="AB5290">
        <v>29</v>
      </c>
      <c r="AC5290">
        <v>16.262199999999901</v>
      </c>
      <c r="AD5290">
        <v>-1.0917465136269999</v>
      </c>
      <c r="AE5290">
        <v>0.16229999999998701</v>
      </c>
      <c r="AF5290">
        <v>9.7362976690486995</v>
      </c>
      <c r="AG5290">
        <v>-1.0917465136269999</v>
      </c>
      <c r="AH5290">
        <v>12.9353080662819</v>
      </c>
      <c r="AI5290">
        <v>93.857796338584706</v>
      </c>
      <c r="AJ5290">
        <v>53.031530875970503</v>
      </c>
      <c r="AK5290">
        <v>16.226817233208699</v>
      </c>
      <c r="AL5290">
        <v>92.523894254443306</v>
      </c>
      <c r="AM5290">
        <v>72.279592510550998</v>
      </c>
      <c r="AN5290">
        <v>0.99999999888433</v>
      </c>
    </row>
    <row r="5291" spans="1:40" x14ac:dyDescent="0.25">
      <c r="A5291" t="str">
        <f>"20190305135737186"</f>
        <v>20190305135737186</v>
      </c>
      <c r="B5291" t="str">
        <f>"1551765457178127"</f>
        <v>1551765457178127</v>
      </c>
      <c r="C5291" t="s">
        <v>40</v>
      </c>
      <c r="D5291">
        <v>4.4238600000000003</v>
      </c>
      <c r="E5291">
        <v>0.60771640000000005</v>
      </c>
      <c r="F5291" t="s">
        <v>42</v>
      </c>
      <c r="G5291">
        <v>-165.3006</v>
      </c>
      <c r="H5291" s="1">
        <v>-3.2069979999999999E-6</v>
      </c>
      <c r="I5291">
        <v>134.28639999999999</v>
      </c>
      <c r="J5291">
        <v>-181.14160000000001</v>
      </c>
      <c r="K5291">
        <v>1.0917479999999999</v>
      </c>
      <c r="L5291">
        <v>133.43539999999999</v>
      </c>
      <c r="M5291">
        <v>0.80276230000000004</v>
      </c>
      <c r="N5291">
        <v>-1.8200830000000001E-2</v>
      </c>
      <c r="O5291">
        <v>0.59602140000000003</v>
      </c>
      <c r="P5291">
        <v>0.94518340000000001</v>
      </c>
      <c r="Q5291">
        <v>-4.9153299999999997E-2</v>
      </c>
      <c r="R5291">
        <v>0.32281939999999998</v>
      </c>
      <c r="S5291">
        <v>3.1116790000000001</v>
      </c>
      <c r="T5291">
        <v>-0.21194199999999999</v>
      </c>
      <c r="U5291">
        <v>0.18983459999999999</v>
      </c>
      <c r="V5291">
        <v>0.30263089999999998</v>
      </c>
      <c r="W5291">
        <v>-4.4691309999999998E-2</v>
      </c>
      <c r="X5291">
        <v>0.9520594</v>
      </c>
      <c r="Y5291">
        <v>0.54399679999999995</v>
      </c>
      <c r="Z5291">
        <v>-5.009487E-2</v>
      </c>
      <c r="AA5291">
        <v>0.83759059999999896</v>
      </c>
      <c r="AB5291">
        <v>29</v>
      </c>
      <c r="AC5291">
        <v>15.840999999999999</v>
      </c>
      <c r="AD5291">
        <v>-1.091751206998</v>
      </c>
      <c r="AE5291">
        <v>0.85099999999999898</v>
      </c>
      <c r="AF5291">
        <v>8.7185819470462604</v>
      </c>
      <c r="AG5291">
        <v>-1.091751206998</v>
      </c>
      <c r="AH5291">
        <v>13.1636164736836</v>
      </c>
      <c r="AI5291">
        <v>93.955480743786694</v>
      </c>
      <c r="AJ5291">
        <v>56.4825268987355</v>
      </c>
      <c r="AK5291">
        <v>15.8267618460498</v>
      </c>
      <c r="AL5291">
        <v>92.561476764421698</v>
      </c>
      <c r="AM5291">
        <v>72.366112759817199</v>
      </c>
      <c r="AN5291">
        <v>0.99999993797634101</v>
      </c>
    </row>
    <row r="5292" spans="1:40" x14ac:dyDescent="0.25">
      <c r="A5292" t="str">
        <f>"20190305135737205"</f>
        <v>20190305135737205</v>
      </c>
      <c r="B5292" t="str">
        <f>"1551765457197647"</f>
        <v>1551765457197647</v>
      </c>
      <c r="C5292" t="s">
        <v>40</v>
      </c>
      <c r="D5292">
        <v>4.38232</v>
      </c>
      <c r="E5292">
        <v>0.60607250000000001</v>
      </c>
      <c r="F5292" t="s">
        <v>42</v>
      </c>
      <c r="G5292">
        <v>-164.99180000000001</v>
      </c>
      <c r="H5292" s="1">
        <v>-3.3514140000000002E-6</v>
      </c>
      <c r="I5292">
        <v>134.18940000000001</v>
      </c>
      <c r="J5292">
        <v>-180.94390000000001</v>
      </c>
      <c r="K5292">
        <v>1.0917539999999999</v>
      </c>
      <c r="L5292">
        <v>133.56399999999999</v>
      </c>
      <c r="M5292">
        <v>0.81290850000000003</v>
      </c>
      <c r="N5292">
        <v>-1.81937E-2</v>
      </c>
      <c r="O5292">
        <v>0.58210719999999905</v>
      </c>
      <c r="P5292">
        <v>0.9495981</v>
      </c>
      <c r="Q5292">
        <v>-5.1070209999999998E-2</v>
      </c>
      <c r="R5292">
        <v>0.30928169999999999</v>
      </c>
      <c r="S5292">
        <v>3.1134029999999999</v>
      </c>
      <c r="T5292">
        <v>-0.21047009999999999</v>
      </c>
      <c r="U5292">
        <v>0.14535519999999999</v>
      </c>
      <c r="V5292">
        <v>0.29970200000000002</v>
      </c>
      <c r="W5292">
        <v>-4.6465859999999998E-2</v>
      </c>
      <c r="X5292">
        <v>0.95290059999999999</v>
      </c>
      <c r="Y5292">
        <v>0.54156329999999997</v>
      </c>
      <c r="Z5292">
        <v>-4.9179760000000003E-2</v>
      </c>
      <c r="AA5292">
        <v>0.83922019999999997</v>
      </c>
      <c r="AB5292">
        <v>29</v>
      </c>
      <c r="AC5292">
        <v>15.9521</v>
      </c>
      <c r="AD5292">
        <v>-1.091757351414</v>
      </c>
      <c r="AE5292">
        <v>0.62540000000001295</v>
      </c>
      <c r="AF5292">
        <v>8.7380261528099403</v>
      </c>
      <c r="AG5292">
        <v>-1.091757351414</v>
      </c>
      <c r="AH5292">
        <v>13.2717847314469</v>
      </c>
      <c r="AI5292">
        <v>93.930445477273594</v>
      </c>
      <c r="AJ5292">
        <v>56.639444995390001</v>
      </c>
      <c r="AK5292">
        <v>15.9275015341209</v>
      </c>
      <c r="AL5292">
        <v>92.663256727369301</v>
      </c>
      <c r="AM5292">
        <v>72.540830634812295</v>
      </c>
      <c r="AN5292">
        <v>0.999999959214949</v>
      </c>
    </row>
    <row r="5293" spans="1:40" x14ac:dyDescent="0.25">
      <c r="A5293" t="str">
        <f>"20190305135737227"</f>
        <v>20190305135737227</v>
      </c>
      <c r="B5293" t="str">
        <f>"1551765457217762"</f>
        <v>1551765457217762</v>
      </c>
      <c r="C5293" t="s">
        <v>40</v>
      </c>
      <c r="D5293">
        <v>4.3490019999999996</v>
      </c>
      <c r="E5293">
        <v>0.60462459999999996</v>
      </c>
      <c r="F5293" t="s">
        <v>42</v>
      </c>
      <c r="G5293">
        <v>-166.4478</v>
      </c>
      <c r="H5293" s="1">
        <v>-2.8209419999999998E-6</v>
      </c>
      <c r="I5293">
        <v>134.08170000000001</v>
      </c>
      <c r="J5293">
        <v>-180.69030000000001</v>
      </c>
      <c r="K5293">
        <v>1.0917699999999999</v>
      </c>
      <c r="L5293">
        <v>133.7225</v>
      </c>
      <c r="M5293">
        <v>0.8254089</v>
      </c>
      <c r="N5293">
        <v>-1.8175609999999998E-2</v>
      </c>
      <c r="O5293">
        <v>0.56424259999999904</v>
      </c>
      <c r="P5293">
        <v>0.95502310000000001</v>
      </c>
      <c r="Q5293">
        <v>-5.3578180000000003E-2</v>
      </c>
      <c r="R5293">
        <v>0.29165099999999999</v>
      </c>
      <c r="S5293">
        <v>3.1104280000000002</v>
      </c>
      <c r="T5293">
        <v>-0.23425770000000001</v>
      </c>
      <c r="U5293">
        <v>0.111084</v>
      </c>
      <c r="V5293">
        <v>0.29638589999999998</v>
      </c>
      <c r="W5293">
        <v>-4.8807429999999999E-2</v>
      </c>
      <c r="X5293">
        <v>0.95382029999999995</v>
      </c>
      <c r="Y5293">
        <v>0.53192510000000004</v>
      </c>
      <c r="Z5293">
        <v>-5.437032E-2</v>
      </c>
      <c r="AA5293">
        <v>0.84504409999999897</v>
      </c>
      <c r="AB5293">
        <v>29</v>
      </c>
      <c r="AC5293">
        <v>14.2425</v>
      </c>
      <c r="AD5293">
        <v>-1.0917728209419999</v>
      </c>
      <c r="AE5293">
        <v>0.35920000000001501</v>
      </c>
      <c r="AF5293">
        <v>7.6958244226265604</v>
      </c>
      <c r="AG5293">
        <v>-1.0917728209419999</v>
      </c>
      <c r="AH5293">
        <v>11.890711395498601</v>
      </c>
      <c r="AI5293">
        <v>94.407736015522502</v>
      </c>
      <c r="AJ5293">
        <v>57.0885260108792</v>
      </c>
      <c r="AK5293">
        <v>14.205868467907299</v>
      </c>
      <c r="AL5293">
        <v>92.797571306985006</v>
      </c>
      <c r="AM5293">
        <v>72.7381215054601</v>
      </c>
      <c r="AN5293">
        <v>0.99999996581705197</v>
      </c>
    </row>
    <row r="5294" spans="1:40" x14ac:dyDescent="0.25">
      <c r="A5294" t="str">
        <f>"20190305135737248"</f>
        <v>20190305135737248</v>
      </c>
      <c r="B5294" t="str">
        <f>"1551765457238257"</f>
        <v>1551765457238257</v>
      </c>
      <c r="C5294" t="s">
        <v>40</v>
      </c>
      <c r="D5294">
        <v>4.3134629999999996</v>
      </c>
      <c r="E5294">
        <v>0.60292670000000004</v>
      </c>
      <c r="F5294" t="s">
        <v>42</v>
      </c>
      <c r="G5294">
        <v>-166.5932</v>
      </c>
      <c r="H5294" s="1">
        <v>-2.7831079999999999E-6</v>
      </c>
      <c r="I5294">
        <v>134.01400000000001</v>
      </c>
      <c r="J5294">
        <v>-180.44220000000001</v>
      </c>
      <c r="K5294">
        <v>1.0918159999999999</v>
      </c>
      <c r="L5294">
        <v>133.87020000000001</v>
      </c>
      <c r="M5294">
        <v>0.83705949999999996</v>
      </c>
      <c r="N5294">
        <v>-1.8144730000000001E-2</v>
      </c>
      <c r="O5294">
        <v>0.54681089999999999</v>
      </c>
      <c r="P5294">
        <v>0.95976439999999996</v>
      </c>
      <c r="Q5294">
        <v>-5.541372E-2</v>
      </c>
      <c r="R5294">
        <v>0.275285</v>
      </c>
      <c r="S5294">
        <v>3.1081539999999999</v>
      </c>
      <c r="T5294">
        <v>-0.24071679999999901</v>
      </c>
      <c r="U5294">
        <v>6.4270019999999997E-2</v>
      </c>
      <c r="V5294">
        <v>0.29256500000000002</v>
      </c>
      <c r="W5294">
        <v>-5.0445080000000003E-2</v>
      </c>
      <c r="X5294">
        <v>0.95491420000000005</v>
      </c>
      <c r="Y5294">
        <v>0.52675530000000004</v>
      </c>
      <c r="Z5294">
        <v>-5.513672E-2</v>
      </c>
      <c r="AA5294">
        <v>0.84822690000000001</v>
      </c>
      <c r="AB5294">
        <v>29</v>
      </c>
      <c r="AC5294">
        <v>13.849</v>
      </c>
      <c r="AD5294">
        <v>-1.091818783108</v>
      </c>
      <c r="AE5294">
        <v>0.14379999999999801</v>
      </c>
      <c r="AF5294">
        <v>7.4076063267852899</v>
      </c>
      <c r="AG5294">
        <v>-1.091818783108</v>
      </c>
      <c r="AH5294">
        <v>11.600894517168999</v>
      </c>
      <c r="AI5294">
        <v>94.535379177136804</v>
      </c>
      <c r="AJ5294">
        <v>57.440241898689699</v>
      </c>
      <c r="AK5294">
        <v>13.807441955201501</v>
      </c>
      <c r="AL5294">
        <v>92.891517244270901</v>
      </c>
      <c r="AM5294">
        <v>72.966071597680298</v>
      </c>
      <c r="AN5294">
        <v>1.0000000573414201</v>
      </c>
    </row>
    <row r="5295" spans="1:40" x14ac:dyDescent="0.25">
      <c r="A5295" t="str">
        <f>"20190305135737271"</f>
        <v>20190305135737271</v>
      </c>
      <c r="B5295" t="str">
        <f>"1551765457267538"</f>
        <v>1551765457267538</v>
      </c>
      <c r="C5295" t="s">
        <v>40</v>
      </c>
      <c r="D5295">
        <v>4.2689399999999997</v>
      </c>
      <c r="E5295">
        <v>0.60079799999999906</v>
      </c>
      <c r="F5295" t="s">
        <v>42</v>
      </c>
      <c r="G5295">
        <v>-167.11689999999999</v>
      </c>
      <c r="H5295" s="1">
        <v>-2.5940020000000001E-6</v>
      </c>
      <c r="I5295">
        <v>133.96899999999999</v>
      </c>
      <c r="J5295">
        <v>-180.18450000000001</v>
      </c>
      <c r="K5295">
        <v>1.091893</v>
      </c>
      <c r="L5295">
        <v>134.01599999999999</v>
      </c>
      <c r="M5295">
        <v>0.848545199999999</v>
      </c>
      <c r="N5295">
        <v>-1.8093600000000001E-2</v>
      </c>
      <c r="O5295">
        <v>0.52881350000000005</v>
      </c>
      <c r="P5295">
        <v>0.96412070000000005</v>
      </c>
      <c r="Q5295">
        <v>-5.695178E-2</v>
      </c>
      <c r="R5295">
        <v>0.25928319999999999</v>
      </c>
      <c r="S5295">
        <v>3.104492</v>
      </c>
      <c r="T5295">
        <v>-0.25436900000000001</v>
      </c>
      <c r="U5295">
        <v>2.3010249999999999E-2</v>
      </c>
      <c r="V5295">
        <v>0.28796280000000002</v>
      </c>
      <c r="W5295">
        <v>-5.1739880000000002E-2</v>
      </c>
      <c r="X5295">
        <v>0.95624290000000001</v>
      </c>
      <c r="Y5295">
        <v>0.5195727</v>
      </c>
      <c r="Z5295">
        <v>-5.7470109999999998E-2</v>
      </c>
      <c r="AA5295">
        <v>0.85249129999999995</v>
      </c>
      <c r="AB5295">
        <v>29</v>
      </c>
      <c r="AC5295">
        <v>13.067600000000001</v>
      </c>
      <c r="AD5295">
        <v>-1.0918955940019901</v>
      </c>
      <c r="AE5295">
        <v>-4.6999999999997003E-2</v>
      </c>
      <c r="AF5295">
        <v>6.9031465711240898</v>
      </c>
      <c r="AG5295">
        <v>-1.0918955940019901</v>
      </c>
      <c r="AH5295">
        <v>10.988685793544301</v>
      </c>
      <c r="AI5295">
        <v>94.809555755668697</v>
      </c>
      <c r="AJ5295">
        <v>57.8627592313238</v>
      </c>
      <c r="AK5295">
        <v>13.0229368438868</v>
      </c>
      <c r="AL5295">
        <v>92.965800902024398</v>
      </c>
      <c r="AM5295">
        <v>73.240860825327601</v>
      </c>
      <c r="AN5295">
        <v>1.0000000365833299</v>
      </c>
    </row>
    <row r="5296" spans="1:40" x14ac:dyDescent="0.25">
      <c r="A5296" t="str">
        <f>"20190305135737294"</f>
        <v>20190305135737294</v>
      </c>
      <c r="B5296" t="str">
        <f>"1551765457288037"</f>
        <v>1551765457288037</v>
      </c>
      <c r="C5296" t="s">
        <v>40</v>
      </c>
      <c r="D5296">
        <v>4.2112069999999999</v>
      </c>
      <c r="E5296">
        <v>0.59936489999999998</v>
      </c>
      <c r="F5296" t="s">
        <v>42</v>
      </c>
      <c r="G5296">
        <v>-167.4358</v>
      </c>
      <c r="H5296" s="1">
        <v>-2.4732579999999998E-6</v>
      </c>
      <c r="I5296">
        <v>133.9624</v>
      </c>
      <c r="J5296">
        <v>-179.9128</v>
      </c>
      <c r="K5296">
        <v>1.09202</v>
      </c>
      <c r="L5296">
        <v>134.1618</v>
      </c>
      <c r="M5296">
        <v>0.85998560000000002</v>
      </c>
      <c r="N5296">
        <v>-1.8017269999999998E-2</v>
      </c>
      <c r="O5296">
        <v>0.51000009999999996</v>
      </c>
      <c r="P5296">
        <v>0.96842550000000005</v>
      </c>
      <c r="Q5296">
        <v>-5.8570410000000003E-2</v>
      </c>
      <c r="R5296">
        <v>0.2423246</v>
      </c>
      <c r="S5296">
        <v>3.0994419999999998</v>
      </c>
      <c r="T5296">
        <v>-0.26545950000000001</v>
      </c>
      <c r="U5296">
        <v>-1.301575E-2</v>
      </c>
      <c r="V5296">
        <v>0.28359129999999999</v>
      </c>
      <c r="W5296">
        <v>-5.3117449999999997E-2</v>
      </c>
      <c r="X5296">
        <v>0.95747300000000002</v>
      </c>
      <c r="Y5296">
        <v>0.51043170000000004</v>
      </c>
      <c r="Z5296">
        <v>-5.8878359999999998E-2</v>
      </c>
      <c r="AA5296">
        <v>0.85790029999999995</v>
      </c>
      <c r="AB5296">
        <v>29</v>
      </c>
      <c r="AC5296">
        <v>12.477</v>
      </c>
      <c r="AD5296">
        <v>-1.0920224732579999</v>
      </c>
      <c r="AE5296">
        <v>-0.199399999999997</v>
      </c>
      <c r="AF5296">
        <v>6.4861406837138</v>
      </c>
      <c r="AG5296">
        <v>-1.0920224732579999</v>
      </c>
      <c r="AH5296">
        <v>10.5492825802641</v>
      </c>
      <c r="AI5296">
        <v>95.039412871059298</v>
      </c>
      <c r="AJ5296">
        <v>58.415058350854103</v>
      </c>
      <c r="AK5296">
        <v>12.4318098846986</v>
      </c>
      <c r="AL5296">
        <v>93.044838613817305</v>
      </c>
      <c r="AM5296">
        <v>73.501382152829606</v>
      </c>
      <c r="AN5296">
        <v>1.00000001732959</v>
      </c>
    </row>
    <row r="5297" spans="1:40" x14ac:dyDescent="0.25">
      <c r="A5297" t="str">
        <f>"20190305135737316"</f>
        <v>20190305135737316</v>
      </c>
      <c r="B5297" t="str">
        <f>"1551765457308209"</f>
        <v>1551765457308209</v>
      </c>
      <c r="C5297" t="s">
        <v>40</v>
      </c>
      <c r="D5297">
        <v>4.222683</v>
      </c>
      <c r="E5297">
        <v>0.59828319999999902</v>
      </c>
      <c r="F5297" t="s">
        <v>42</v>
      </c>
      <c r="G5297">
        <v>-167.46729999999999</v>
      </c>
      <c r="H5297" s="1">
        <v>-2.468508E-6</v>
      </c>
      <c r="I5297">
        <v>133.9349</v>
      </c>
      <c r="J5297">
        <v>-179.64709999999999</v>
      </c>
      <c r="K5297">
        <v>1.092182</v>
      </c>
      <c r="L5297">
        <v>134.29740000000001</v>
      </c>
      <c r="M5297">
        <v>0.87054069999999995</v>
      </c>
      <c r="N5297">
        <v>-1.792651E-2</v>
      </c>
      <c r="O5297">
        <v>0.49176979999999998</v>
      </c>
      <c r="P5297">
        <v>0.97211449999999999</v>
      </c>
      <c r="Q5297">
        <v>-6.0926899999999999E-2</v>
      </c>
      <c r="R5297">
        <v>0.22645390000000001</v>
      </c>
      <c r="S5297">
        <v>3.0954899999999999</v>
      </c>
      <c r="T5297">
        <v>-0.27161200000000002</v>
      </c>
      <c r="U5297">
        <v>-5.6457519999999997E-2</v>
      </c>
      <c r="V5297">
        <v>0.27893630000000003</v>
      </c>
      <c r="W5297">
        <v>-5.5220350000000001E-2</v>
      </c>
      <c r="X5297">
        <v>0.95872060000000003</v>
      </c>
      <c r="Y5297">
        <v>0.50426519999999997</v>
      </c>
      <c r="Z5297">
        <v>-5.9133959999999999E-2</v>
      </c>
      <c r="AA5297">
        <v>0.8615218</v>
      </c>
      <c r="AB5297">
        <v>29</v>
      </c>
      <c r="AC5297">
        <v>12.1798</v>
      </c>
      <c r="AD5297">
        <v>-1.092184468508</v>
      </c>
      <c r="AE5297">
        <v>-0.36250000000001098</v>
      </c>
      <c r="AF5297">
        <v>6.2559821422206303</v>
      </c>
      <c r="AG5297">
        <v>-1.092184468508</v>
      </c>
      <c r="AH5297">
        <v>10.3433231199255</v>
      </c>
      <c r="AI5297">
        <v>95.162781208005399</v>
      </c>
      <c r="AJ5297">
        <v>58.8330709699894</v>
      </c>
      <c r="AK5297">
        <v>12.1373190054566</v>
      </c>
      <c r="AL5297">
        <v>93.165503247339302</v>
      </c>
      <c r="AM5297">
        <v>73.777835856446103</v>
      </c>
      <c r="AN5297">
        <v>0.99999996768808497</v>
      </c>
    </row>
    <row r="5298" spans="1:40" x14ac:dyDescent="0.25">
      <c r="A5298" t="str">
        <f>"20190305135737338"</f>
        <v>20190305135737338</v>
      </c>
      <c r="B5298" t="str">
        <f>"1551765457327728"</f>
        <v>1551765457327728</v>
      </c>
      <c r="C5298" t="s">
        <v>40</v>
      </c>
      <c r="D5298">
        <v>4.2257699999999998</v>
      </c>
      <c r="E5298">
        <v>0.59764130000000004</v>
      </c>
      <c r="F5298" t="s">
        <v>42</v>
      </c>
      <c r="G5298">
        <v>-167.65039999999999</v>
      </c>
      <c r="H5298" s="1">
        <v>-2.4038319999999998E-6</v>
      </c>
      <c r="I5298">
        <v>133.91370000000001</v>
      </c>
      <c r="J5298">
        <v>-179.3905</v>
      </c>
      <c r="K5298">
        <v>1.092379</v>
      </c>
      <c r="L5298">
        <v>134.422</v>
      </c>
      <c r="M5298">
        <v>0.88013829999999904</v>
      </c>
      <c r="N5298">
        <v>-1.7828719999999999E-2</v>
      </c>
      <c r="O5298">
        <v>0.47438229999999998</v>
      </c>
      <c r="P5298">
        <v>0.97527819999999998</v>
      </c>
      <c r="Q5298">
        <v>-6.3218150000000001E-2</v>
      </c>
      <c r="R5298">
        <v>0.2117454</v>
      </c>
      <c r="S5298">
        <v>3.0914459999999999</v>
      </c>
      <c r="T5298">
        <v>-0.28144720000000001</v>
      </c>
      <c r="U5298">
        <v>-9.8892209999999994E-2</v>
      </c>
      <c r="V5298">
        <v>0.27424280000000001</v>
      </c>
      <c r="W5298">
        <v>-5.7246610000000003E-2</v>
      </c>
      <c r="X5298">
        <v>0.959955</v>
      </c>
      <c r="Y5298">
        <v>0.49876340000000002</v>
      </c>
      <c r="Z5298">
        <v>-6.0209869999999999E-2</v>
      </c>
      <c r="AA5298">
        <v>0.86464430000000003</v>
      </c>
      <c r="AB5298">
        <v>29</v>
      </c>
      <c r="AC5298">
        <v>11.7401</v>
      </c>
      <c r="AD5298">
        <v>-1.0923814038320001</v>
      </c>
      <c r="AE5298">
        <v>-0.50829999999999098</v>
      </c>
      <c r="AF5298">
        <v>5.9660707357382696</v>
      </c>
      <c r="AG5298">
        <v>-1.0923814038320001</v>
      </c>
      <c r="AH5298">
        <v>10.0069129001399</v>
      </c>
      <c r="AI5298">
        <v>95.356577995249694</v>
      </c>
      <c r="AJ5298">
        <v>59.196817349893898</v>
      </c>
      <c r="AK5298">
        <v>11.701521394513501</v>
      </c>
      <c r="AL5298">
        <v>93.281783488782395</v>
      </c>
      <c r="AM5298">
        <v>74.056262705165196</v>
      </c>
      <c r="AN5298">
        <v>0.99999994486666399</v>
      </c>
    </row>
    <row r="5299" spans="1:40" x14ac:dyDescent="0.25">
      <c r="A5299" t="str">
        <f>"20190305135737360"</f>
        <v>20190305135737360</v>
      </c>
      <c r="B5299" t="str">
        <f>"1551765457357985"</f>
        <v>1551765457357985</v>
      </c>
      <c r="C5299" t="s">
        <v>40</v>
      </c>
      <c r="D5299">
        <v>4.2280739999999897</v>
      </c>
      <c r="E5299">
        <v>0.58297060000000001</v>
      </c>
      <c r="F5299" t="s">
        <v>42</v>
      </c>
      <c r="G5299">
        <v>-167.69299999999899</v>
      </c>
      <c r="H5299" s="1">
        <v>-2.3939110000000002E-6</v>
      </c>
      <c r="I5299">
        <v>133.88939999999999</v>
      </c>
      <c r="J5299">
        <v>-179.11529999999999</v>
      </c>
      <c r="K5299">
        <v>1.092651</v>
      </c>
      <c r="L5299">
        <v>134.5489</v>
      </c>
      <c r="M5299">
        <v>0.88978040000000003</v>
      </c>
      <c r="N5299">
        <v>-1.7709619999999999E-2</v>
      </c>
      <c r="O5299">
        <v>0.45604539999999999</v>
      </c>
      <c r="P5299">
        <v>0.97827010000000003</v>
      </c>
      <c r="Q5299">
        <v>-6.4682480000000001E-2</v>
      </c>
      <c r="R5299">
        <v>0.19698740000000001</v>
      </c>
      <c r="S5299">
        <v>3.0878909999999999</v>
      </c>
      <c r="T5299">
        <v>-0.28836600000000001</v>
      </c>
      <c r="U5299">
        <v>-0.14057919999999999</v>
      </c>
      <c r="V5299">
        <v>0.26879429999999999</v>
      </c>
      <c r="W5299">
        <v>-5.8391499999999999E-2</v>
      </c>
      <c r="X5299">
        <v>0.96142609999999995</v>
      </c>
      <c r="Y5299">
        <v>0.49239090000000002</v>
      </c>
      <c r="Z5299">
        <v>-6.0375249999999998E-2</v>
      </c>
      <c r="AA5299">
        <v>0.86827759999999998</v>
      </c>
      <c r="AB5299">
        <v>29</v>
      </c>
      <c r="AC5299">
        <v>11.4223</v>
      </c>
      <c r="AD5299">
        <v>-1.0926533939109999</v>
      </c>
      <c r="AE5299">
        <v>-0.65950000000000797</v>
      </c>
      <c r="AF5299">
        <v>5.7444148987439902</v>
      </c>
      <c r="AG5299">
        <v>-1.0926533939109999</v>
      </c>
      <c r="AH5299">
        <v>9.7749713841351404</v>
      </c>
      <c r="AI5299">
        <v>95.504687211808402</v>
      </c>
      <c r="AJ5299">
        <v>59.558709095586103</v>
      </c>
      <c r="AK5299">
        <v>11.3904459758517</v>
      </c>
      <c r="AL5299">
        <v>93.347490450679999</v>
      </c>
      <c r="AM5299">
        <v>74.380137554766804</v>
      </c>
      <c r="AN5299">
        <v>1.00000004437297</v>
      </c>
    </row>
    <row r="5300" spans="1:40" x14ac:dyDescent="0.25">
      <c r="A5300" t="str">
        <f>"20190305135737383"</f>
        <v>20190305135737383</v>
      </c>
      <c r="B5300" t="str">
        <f>"1551765457377505"</f>
        <v>1551765457377505</v>
      </c>
      <c r="C5300" t="s">
        <v>40</v>
      </c>
      <c r="D5300">
        <v>4.1891870000000004</v>
      </c>
      <c r="E5300">
        <v>0.58230789999999999</v>
      </c>
      <c r="F5300" t="s">
        <v>42</v>
      </c>
      <c r="G5300">
        <v>-167.6378</v>
      </c>
      <c r="H5300" s="1">
        <v>-2.311108E-6</v>
      </c>
      <c r="I5300">
        <v>134.28030000000001</v>
      </c>
      <c r="J5300">
        <v>-178.84870000000001</v>
      </c>
      <c r="K5300">
        <v>1.092983</v>
      </c>
      <c r="L5300">
        <v>134.66569999999999</v>
      </c>
      <c r="M5300">
        <v>0.89848259999999902</v>
      </c>
      <c r="N5300">
        <v>-1.7576270000000001E-2</v>
      </c>
      <c r="O5300">
        <v>0.43865700000000002</v>
      </c>
      <c r="P5300">
        <v>0.9808289</v>
      </c>
      <c r="Q5300">
        <v>-6.4969520000000003E-2</v>
      </c>
      <c r="R5300">
        <v>0.18372079999999999</v>
      </c>
      <c r="S5300">
        <v>3.061798</v>
      </c>
      <c r="T5300">
        <v>-0.29148170000000001</v>
      </c>
      <c r="U5300">
        <v>-7.1640010000000004E-2</v>
      </c>
      <c r="V5300">
        <v>0.26314700000000002</v>
      </c>
      <c r="W5300">
        <v>-5.83394E-2</v>
      </c>
      <c r="X5300">
        <v>0.96299020000000002</v>
      </c>
      <c r="Y5300">
        <v>0.45598139999999998</v>
      </c>
      <c r="Z5300">
        <v>-5.8379199999999902E-2</v>
      </c>
      <c r="AA5300">
        <v>0.88807259999999999</v>
      </c>
      <c r="AB5300">
        <v>29</v>
      </c>
      <c r="AC5300">
        <v>11.210900000000001</v>
      </c>
      <c r="AD5300">
        <v>-1.0929853111079999</v>
      </c>
      <c r="AE5300">
        <v>-0.38539999999997498</v>
      </c>
      <c r="AF5300">
        <v>5.21531601638093</v>
      </c>
      <c r="AG5300">
        <v>-1.0929853111079999</v>
      </c>
      <c r="AH5300">
        <v>9.8121177812245097</v>
      </c>
      <c r="AI5300">
        <v>95.617574999079295</v>
      </c>
      <c r="AJ5300">
        <v>62.008556943606202</v>
      </c>
      <c r="AK5300">
        <v>11.1656523944478</v>
      </c>
      <c r="AL5300">
        <v>93.344500467998202</v>
      </c>
      <c r="AM5300">
        <v>74.716458753231606</v>
      </c>
      <c r="AN5300">
        <v>0.99999997724869905</v>
      </c>
    </row>
    <row r="5301" spans="1:40" x14ac:dyDescent="0.25">
      <c r="A5301" t="str">
        <f>"20190305135737405"</f>
        <v>20190305135737405</v>
      </c>
      <c r="B5301" t="str">
        <f>"1551765457398004"</f>
        <v>1551765457398004</v>
      </c>
      <c r="C5301" t="s">
        <v>40</v>
      </c>
      <c r="D5301">
        <v>4.1563939999999997</v>
      </c>
      <c r="E5301">
        <v>0.5761271</v>
      </c>
      <c r="F5301" t="s">
        <v>42</v>
      </c>
      <c r="G5301">
        <v>-167.3321</v>
      </c>
      <c r="H5301" s="1">
        <v>-2.4337429999999998E-6</v>
      </c>
      <c r="I5301">
        <v>134.26060000000001</v>
      </c>
      <c r="J5301">
        <v>-178.56489999999999</v>
      </c>
      <c r="K5301">
        <v>1.0934010000000001</v>
      </c>
      <c r="L5301">
        <v>134.78380000000001</v>
      </c>
      <c r="M5301">
        <v>0.90706500000000001</v>
      </c>
      <c r="N5301">
        <v>-1.7417269999999999E-2</v>
      </c>
      <c r="O5301">
        <v>0.42063030000000001</v>
      </c>
      <c r="P5301">
        <v>0.98335799999999995</v>
      </c>
      <c r="Q5301">
        <v>-6.5000489999999994E-2</v>
      </c>
      <c r="R5301">
        <v>0.16965229999999901</v>
      </c>
      <c r="S5301">
        <v>3.059555</v>
      </c>
      <c r="T5301">
        <v>-0.29036899999999999</v>
      </c>
      <c r="U5301">
        <v>-0.1076202</v>
      </c>
      <c r="V5301">
        <v>0.25776939999999998</v>
      </c>
      <c r="W5301">
        <v>-5.8024359999999997E-2</v>
      </c>
      <c r="X5301">
        <v>0.96446259999999995</v>
      </c>
      <c r="Y5301">
        <v>0.44877790000000001</v>
      </c>
      <c r="Z5301">
        <v>-5.6607190000000002E-2</v>
      </c>
      <c r="AA5301">
        <v>0.89184869999999905</v>
      </c>
      <c r="AB5301">
        <v>29</v>
      </c>
      <c r="AC5301">
        <v>11.2327999999999</v>
      </c>
      <c r="AD5301">
        <v>-1.0934034337430001</v>
      </c>
      <c r="AE5301">
        <v>-0.523200000000002</v>
      </c>
      <c r="AF5301">
        <v>5.1515153795799904</v>
      </c>
      <c r="AG5301">
        <v>-1.0934034337430001</v>
      </c>
      <c r="AH5301">
        <v>9.8769351825388103</v>
      </c>
      <c r="AI5301">
        <v>95.605861130212006</v>
      </c>
      <c r="AJ5301">
        <v>62.454795497445602</v>
      </c>
      <c r="AK5301">
        <v>11.1931894639125</v>
      </c>
      <c r="AL5301">
        <v>93.326419305437</v>
      </c>
      <c r="AM5301">
        <v>75.036453894523106</v>
      </c>
      <c r="AN5301">
        <v>0.99999999836426401</v>
      </c>
    </row>
    <row r="5302" spans="1:40" x14ac:dyDescent="0.25">
      <c r="A5302" t="str">
        <f>"20190305135737428"</f>
        <v>20190305135737428</v>
      </c>
      <c r="B5302" t="str">
        <f>"1551765457418177"</f>
        <v>1551765457418177</v>
      </c>
      <c r="C5302" t="s">
        <v>40</v>
      </c>
      <c r="D5302">
        <v>4.1111300000000002</v>
      </c>
      <c r="E5302">
        <v>0.57521529999999998</v>
      </c>
      <c r="F5302" t="s">
        <v>42</v>
      </c>
      <c r="G5302">
        <v>-165.48349999999999</v>
      </c>
      <c r="H5302" s="1">
        <v>-3.116754E-6</v>
      </c>
      <c r="I5302">
        <v>134.36160000000001</v>
      </c>
      <c r="J5302">
        <v>-178.29339999999999</v>
      </c>
      <c r="K5302">
        <v>1.093863</v>
      </c>
      <c r="L5302">
        <v>134.8912</v>
      </c>
      <c r="M5302">
        <v>0.91463079999999997</v>
      </c>
      <c r="N5302">
        <v>-1.7252159999999999E-2</v>
      </c>
      <c r="O5302">
        <v>0.4039218</v>
      </c>
      <c r="P5302">
        <v>0.98545959999999999</v>
      </c>
      <c r="Q5302">
        <v>-6.4465880000000003E-2</v>
      </c>
      <c r="R5302">
        <v>0.15720629999999999</v>
      </c>
      <c r="S5302">
        <v>3.0509029999999999</v>
      </c>
      <c r="T5302">
        <v>-0.25500990000000001</v>
      </c>
      <c r="U5302">
        <v>-9.8480219999999993E-2</v>
      </c>
      <c r="V5302">
        <v>0.2523687</v>
      </c>
      <c r="W5302">
        <v>-5.7136069999999997E-2</v>
      </c>
      <c r="X5302">
        <v>0.96594279999999999</v>
      </c>
      <c r="Y5302">
        <v>0.4306547</v>
      </c>
      <c r="Z5302">
        <v>-4.7582850000000003E-2</v>
      </c>
      <c r="AA5302">
        <v>0.9012616</v>
      </c>
      <c r="AB5302">
        <v>29</v>
      </c>
      <c r="AC5302">
        <v>12.809900000000001</v>
      </c>
      <c r="AD5302">
        <v>-1.093866116754</v>
      </c>
      <c r="AE5302">
        <v>-0.52959999999998697</v>
      </c>
      <c r="AF5302">
        <v>5.6185292635123103</v>
      </c>
      <c r="AG5302">
        <v>-1.093866116754</v>
      </c>
      <c r="AH5302">
        <v>11.420986643699001</v>
      </c>
      <c r="AI5302">
        <v>94.911955002481804</v>
      </c>
      <c r="AJ5302">
        <v>63.805221909061501</v>
      </c>
      <c r="AK5302">
        <v>12.775106656379799</v>
      </c>
      <c r="AL5302">
        <v>93.2754394748344</v>
      </c>
      <c r="AM5302">
        <v>75.357823072983606</v>
      </c>
      <c r="AN5302">
        <v>0.99999999205328705</v>
      </c>
    </row>
    <row r="5303" spans="1:40" x14ac:dyDescent="0.25">
      <c r="A5303" t="str">
        <f>"20190305135737451"</f>
        <v>20190305135737451</v>
      </c>
      <c r="B5303" t="str">
        <f>"1551765457447457"</f>
        <v>1551765457447457</v>
      </c>
      <c r="C5303" t="s">
        <v>40</v>
      </c>
      <c r="D5303">
        <v>4.2221859999999998</v>
      </c>
      <c r="E5303">
        <v>0.57316630000000002</v>
      </c>
      <c r="F5303" t="s">
        <v>42</v>
      </c>
      <c r="G5303">
        <v>-164.92150000000001</v>
      </c>
      <c r="H5303" s="1">
        <v>-3.3423569999999998E-6</v>
      </c>
      <c r="I5303">
        <v>134.32490000000001</v>
      </c>
      <c r="J5303">
        <v>-178.01779999999999</v>
      </c>
      <c r="K5303">
        <v>1.0943780000000001</v>
      </c>
      <c r="L5303">
        <v>134.99469999999999</v>
      </c>
      <c r="M5303">
        <v>0.92167600000000005</v>
      </c>
      <c r="N5303">
        <v>-1.707475E-2</v>
      </c>
      <c r="O5303">
        <v>0.3875846</v>
      </c>
      <c r="P5303">
        <v>0.98718700000000004</v>
      </c>
      <c r="Q5303">
        <v>-6.4936439999999998E-2</v>
      </c>
      <c r="R5303">
        <v>0.1457571</v>
      </c>
      <c r="S5303">
        <v>3.0485530000000001</v>
      </c>
      <c r="T5303">
        <v>-0.24938250000000001</v>
      </c>
      <c r="U5303">
        <v>-0.12910460000000001</v>
      </c>
      <c r="V5303">
        <v>0.24643470000000001</v>
      </c>
      <c r="W5303">
        <v>-5.7224289999999997E-2</v>
      </c>
      <c r="X5303">
        <v>0.96746849999999995</v>
      </c>
      <c r="Y5303">
        <v>0.42383290000000001</v>
      </c>
      <c r="Z5303">
        <v>-4.5257899999999997E-2</v>
      </c>
      <c r="AA5303">
        <v>0.904609</v>
      </c>
      <c r="AB5303">
        <v>29</v>
      </c>
      <c r="AC5303">
        <v>13.0962999999999</v>
      </c>
      <c r="AD5303">
        <v>-1.0943813423569999</v>
      </c>
      <c r="AE5303">
        <v>-0.66979999999997997</v>
      </c>
      <c r="AF5303">
        <v>5.65470919498547</v>
      </c>
      <c r="AG5303">
        <v>-1.0943813423569999</v>
      </c>
      <c r="AH5303">
        <v>11.730960005831401</v>
      </c>
      <c r="AI5303">
        <v>94.803640301041696</v>
      </c>
      <c r="AJ5303">
        <v>64.264401574174798</v>
      </c>
      <c r="AK5303">
        <v>13.068620021286399</v>
      </c>
      <c r="AL5303">
        <v>93.280502400130402</v>
      </c>
      <c r="AM5303">
        <v>75.709449996144002</v>
      </c>
      <c r="AN5303">
        <v>0.99999998961117198</v>
      </c>
    </row>
    <row r="5304" spans="1:40" x14ac:dyDescent="0.25">
      <c r="A5304" t="str">
        <f>"20190305135737473"</f>
        <v>20190305135737473</v>
      </c>
      <c r="B5304" t="str">
        <f>"1551765457467953"</f>
        <v>1551765457467953</v>
      </c>
      <c r="C5304" t="s">
        <v>40</v>
      </c>
      <c r="D5304">
        <v>4.2253720000000001</v>
      </c>
      <c r="E5304">
        <v>0.57212450000000004</v>
      </c>
      <c r="F5304" t="s">
        <v>42</v>
      </c>
      <c r="G5304">
        <v>-163.95849999999999</v>
      </c>
      <c r="H5304" s="1">
        <v>-3.7763249999999998E-6</v>
      </c>
      <c r="I5304">
        <v>134.31700000000001</v>
      </c>
      <c r="J5304">
        <v>-177.7413</v>
      </c>
      <c r="K5304">
        <v>1.094927</v>
      </c>
      <c r="L5304">
        <v>135.0933</v>
      </c>
      <c r="M5304">
        <v>0.92812930000000005</v>
      </c>
      <c r="N5304">
        <v>-1.6890120000000002E-2</v>
      </c>
      <c r="O5304">
        <v>0.3718746</v>
      </c>
      <c r="P5304">
        <v>0.98853800000000003</v>
      </c>
      <c r="Q5304">
        <v>-6.5907660000000007E-2</v>
      </c>
      <c r="R5304">
        <v>0.135827</v>
      </c>
      <c r="S5304">
        <v>3.0449830000000002</v>
      </c>
      <c r="T5304">
        <v>-0.2370234</v>
      </c>
      <c r="U5304">
        <v>-0.1467743</v>
      </c>
      <c r="V5304">
        <v>0.2397435</v>
      </c>
      <c r="W5304">
        <v>-5.7788079999999999E-2</v>
      </c>
      <c r="X5304">
        <v>0.96911480000000005</v>
      </c>
      <c r="Y5304">
        <v>0.41402070000000002</v>
      </c>
      <c r="Z5304">
        <v>-4.16254E-2</v>
      </c>
      <c r="AA5304">
        <v>0.90931519999999999</v>
      </c>
      <c r="AB5304">
        <v>29</v>
      </c>
      <c r="AC5304">
        <v>13.7828</v>
      </c>
      <c r="AD5304">
        <v>-1.094930776325</v>
      </c>
      <c r="AE5304">
        <v>-0.776299999999992</v>
      </c>
      <c r="AF5304">
        <v>5.8102614527231697</v>
      </c>
      <c r="AG5304">
        <v>-1.094930776325</v>
      </c>
      <c r="AH5304">
        <v>12.427138478459501</v>
      </c>
      <c r="AI5304">
        <v>94.563394207410099</v>
      </c>
      <c r="AJ5304">
        <v>64.941738605241397</v>
      </c>
      <c r="AK5304">
        <v>13.761968693350299</v>
      </c>
      <c r="AL5304">
        <v>93.312858858774504</v>
      </c>
      <c r="AM5304">
        <v>76.104911841404004</v>
      </c>
      <c r="AN5304">
        <v>0.99999995178068701</v>
      </c>
    </row>
    <row r="5305" spans="1:40" x14ac:dyDescent="0.25">
      <c r="A5305" t="str">
        <f>"20190305135737495"</f>
        <v>20190305135737495</v>
      </c>
      <c r="B5305" t="str">
        <f>"1551765457487473"</f>
        <v>1551765457487473</v>
      </c>
      <c r="C5305" t="s">
        <v>40</v>
      </c>
      <c r="D5305">
        <v>4.2278099999999998</v>
      </c>
      <c r="E5305">
        <v>0.57096939999999996</v>
      </c>
      <c r="F5305" t="s">
        <v>42</v>
      </c>
      <c r="G5305">
        <v>-163.6583</v>
      </c>
      <c r="H5305" s="1">
        <v>-3.9190659999999998E-6</v>
      </c>
      <c r="I5305">
        <v>134.3124</v>
      </c>
      <c r="J5305">
        <v>-177.46260000000001</v>
      </c>
      <c r="K5305">
        <v>1.0954539999999999</v>
      </c>
      <c r="L5305">
        <v>135.18799999999999</v>
      </c>
      <c r="M5305">
        <v>0.93410289999999996</v>
      </c>
      <c r="N5305">
        <v>-1.6708049999999999E-2</v>
      </c>
      <c r="O5305">
        <v>0.35661279999999901</v>
      </c>
      <c r="P5305">
        <v>0.98927169999999998</v>
      </c>
      <c r="Q5305">
        <v>-6.7094940000000006E-2</v>
      </c>
      <c r="R5305">
        <v>0.12976779999999999</v>
      </c>
      <c r="S5305">
        <v>3.0421749999999999</v>
      </c>
      <c r="T5305">
        <v>-0.23652319999999999</v>
      </c>
      <c r="U5305">
        <v>-0.1686859</v>
      </c>
      <c r="V5305">
        <v>0.22980010000000001</v>
      </c>
      <c r="W5305">
        <v>-5.8477540000000001E-2</v>
      </c>
      <c r="X5305">
        <v>0.97147939999999999</v>
      </c>
      <c r="Y5305">
        <v>0.40572780000000003</v>
      </c>
      <c r="Z5305">
        <v>-4.0361840000000003E-2</v>
      </c>
      <c r="AA5305">
        <v>0.91310230000000003</v>
      </c>
      <c r="AB5305">
        <v>29</v>
      </c>
      <c r="AC5305">
        <v>13.8043</v>
      </c>
      <c r="AD5305">
        <v>-1.0954579190659901</v>
      </c>
      <c r="AE5305">
        <v>-0.87559999999999105</v>
      </c>
      <c r="AF5305">
        <v>5.7057045747795403</v>
      </c>
      <c r="AG5305">
        <v>-1.0954579190659901</v>
      </c>
      <c r="AH5305">
        <v>12.5057045412993</v>
      </c>
      <c r="AI5305">
        <v>94.556492054830301</v>
      </c>
      <c r="AJ5305">
        <v>65.475244797492493</v>
      </c>
      <c r="AK5305">
        <v>13.789406761038601</v>
      </c>
      <c r="AL5305">
        <v>93.352428878366695</v>
      </c>
      <c r="AM5305">
        <v>76.691504446868095</v>
      </c>
      <c r="AN5305">
        <v>0.99999996663441004</v>
      </c>
    </row>
    <row r="5306" spans="1:40" x14ac:dyDescent="0.25">
      <c r="A5306" t="str">
        <f>"20190305135737527"</f>
        <v>20190305135737527</v>
      </c>
      <c r="B5306" t="str">
        <f>"1551765457517729"</f>
        <v>1551765457517729</v>
      </c>
      <c r="C5306" t="s">
        <v>40</v>
      </c>
      <c r="D5306">
        <v>4.3436709999999996</v>
      </c>
      <c r="E5306">
        <v>0.5699166</v>
      </c>
      <c r="F5306" t="s">
        <v>42</v>
      </c>
      <c r="G5306">
        <v>-163.50649999999999</v>
      </c>
      <c r="H5306" s="1">
        <v>-3.9803919999999998E-6</v>
      </c>
      <c r="I5306">
        <v>134.37129999999999</v>
      </c>
      <c r="J5306">
        <v>-177.05779999999999</v>
      </c>
      <c r="K5306">
        <v>1.096206</v>
      </c>
      <c r="L5306">
        <v>135.3177</v>
      </c>
      <c r="M5306">
        <v>0.94190560000000001</v>
      </c>
      <c r="N5306">
        <v>-1.6460869999999999E-2</v>
      </c>
      <c r="O5306">
        <v>0.3354742</v>
      </c>
      <c r="P5306">
        <v>0.99055479999999996</v>
      </c>
      <c r="Q5306">
        <v>-6.7540939999999994E-2</v>
      </c>
      <c r="R5306">
        <v>0.1193298</v>
      </c>
      <c r="S5306">
        <v>3.0397029999999998</v>
      </c>
      <c r="T5306">
        <v>-0.238595</v>
      </c>
      <c r="U5306">
        <v>-0.17788699999999999</v>
      </c>
      <c r="V5306">
        <v>0.2182231</v>
      </c>
      <c r="W5306">
        <v>-5.8351279999999998E-2</v>
      </c>
      <c r="X5306">
        <v>0.97415289999999999</v>
      </c>
      <c r="Y5306">
        <v>0.38792720000000003</v>
      </c>
      <c r="Z5306">
        <v>-3.8751569999999999E-2</v>
      </c>
      <c r="AA5306">
        <v>0.920875</v>
      </c>
      <c r="AB5306">
        <v>29</v>
      </c>
      <c r="AC5306">
        <v>13.5512999999999</v>
      </c>
      <c r="AD5306">
        <v>-1.096209980392</v>
      </c>
      <c r="AE5306">
        <v>-0.94640000000001101</v>
      </c>
      <c r="AF5306">
        <v>5.4030829310050104</v>
      </c>
      <c r="AG5306">
        <v>-1.096209980392</v>
      </c>
      <c r="AH5306">
        <v>12.3677006961495</v>
      </c>
      <c r="AI5306">
        <v>94.643500843395799</v>
      </c>
      <c r="AJ5306">
        <v>66.400905029339995</v>
      </c>
      <c r="AK5306">
        <v>13.5408641522602</v>
      </c>
      <c r="AL5306">
        <v>93.345182116983395</v>
      </c>
      <c r="AM5306">
        <v>77.373443425505101</v>
      </c>
      <c r="AN5306">
        <v>1.00000003291482</v>
      </c>
    </row>
    <row r="5307" spans="1:40" x14ac:dyDescent="0.25">
      <c r="A5307" t="str">
        <f>"20190305135737550"</f>
        <v>20190305135737550</v>
      </c>
      <c r="B5307" t="str">
        <f>"1551765457547985"</f>
        <v>1551765457547985</v>
      </c>
      <c r="C5307" t="s">
        <v>40</v>
      </c>
      <c r="D5307">
        <v>4.3132929999999998</v>
      </c>
      <c r="E5307">
        <v>0.54405309999999996</v>
      </c>
      <c r="F5307" t="s">
        <v>42</v>
      </c>
      <c r="G5307">
        <v>-163.29429999999999</v>
      </c>
      <c r="H5307" s="1">
        <v>-4.0749489999999996E-6</v>
      </c>
      <c r="I5307">
        <v>134.40369999999999</v>
      </c>
      <c r="J5307">
        <v>-176.77680000000001</v>
      </c>
      <c r="K5307">
        <v>1.096733</v>
      </c>
      <c r="L5307">
        <v>135.4024</v>
      </c>
      <c r="M5307">
        <v>0.94673260000000004</v>
      </c>
      <c r="N5307">
        <v>-1.6288939999999998E-2</v>
      </c>
      <c r="O5307">
        <v>0.32160870000000003</v>
      </c>
      <c r="P5307">
        <v>0.99121769999999998</v>
      </c>
      <c r="Q5307">
        <v>-6.7925509999999995E-2</v>
      </c>
      <c r="R5307">
        <v>0.1134624</v>
      </c>
      <c r="S5307">
        <v>3.0364230000000001</v>
      </c>
      <c r="T5307">
        <v>-0.2418382</v>
      </c>
      <c r="U5307">
        <v>-0.20162959999999999</v>
      </c>
      <c r="V5307">
        <v>0.20973900000000001</v>
      </c>
      <c r="W5307">
        <v>-5.8346990000000001E-2</v>
      </c>
      <c r="X5307">
        <v>0.97601490000000002</v>
      </c>
      <c r="Y5307">
        <v>0.38161210000000001</v>
      </c>
      <c r="Z5307">
        <v>-3.8255030000000002E-2</v>
      </c>
      <c r="AA5307">
        <v>0.92353059999999998</v>
      </c>
      <c r="AB5307">
        <v>29</v>
      </c>
      <c r="AC5307">
        <v>13.4825</v>
      </c>
      <c r="AD5307">
        <v>-1.096737074949</v>
      </c>
      <c r="AE5307">
        <v>-0.99870000000001302</v>
      </c>
      <c r="AF5307">
        <v>5.2477565405689104</v>
      </c>
      <c r="AG5307">
        <v>-1.096737074949</v>
      </c>
      <c r="AH5307">
        <v>12.363419244955301</v>
      </c>
      <c r="AI5307">
        <v>94.668235151816006</v>
      </c>
      <c r="AJ5307">
        <v>67.000799383198</v>
      </c>
      <c r="AK5307">
        <v>13.475752904649999</v>
      </c>
      <c r="AL5307">
        <v>93.344936168917897</v>
      </c>
      <c r="AM5307">
        <v>77.871966827088599</v>
      </c>
      <c r="AN5307">
        <v>0.99999995219253401</v>
      </c>
    </row>
    <row r="5308" spans="1:40" x14ac:dyDescent="0.25">
      <c r="A5308" t="str">
        <f>"20190305135737573"</f>
        <v>20190305135737573</v>
      </c>
      <c r="B5308" t="str">
        <f>"1551765457567505"</f>
        <v>1551765457567505</v>
      </c>
      <c r="C5308" t="s">
        <v>40</v>
      </c>
      <c r="D5308">
        <v>4.2581910000000001</v>
      </c>
      <c r="E5308">
        <v>0.54166139999999996</v>
      </c>
      <c r="F5308" t="s">
        <v>42</v>
      </c>
      <c r="G5308">
        <v>-160.2963</v>
      </c>
      <c r="H5308" s="1">
        <v>-5.3244079999999996E-6</v>
      </c>
      <c r="I5308">
        <v>135.34909999999999</v>
      </c>
      <c r="J5308">
        <v>-176.48650000000001</v>
      </c>
      <c r="K5308">
        <v>1.097334</v>
      </c>
      <c r="L5308">
        <v>135.4854</v>
      </c>
      <c r="M5308">
        <v>0.95122240000000002</v>
      </c>
      <c r="N5308">
        <v>-1.610543E-2</v>
      </c>
      <c r="O5308">
        <v>0.30808540000000001</v>
      </c>
      <c r="P5308">
        <v>0.99188229999999999</v>
      </c>
      <c r="Q5308">
        <v>-6.7216310000000001E-2</v>
      </c>
      <c r="R5308">
        <v>0.10794140000000001</v>
      </c>
      <c r="S5308">
        <v>3.0139309999999999</v>
      </c>
      <c r="T5308">
        <v>-0.20057030000000001</v>
      </c>
      <c r="U5308">
        <v>-9.7351069999999998E-3</v>
      </c>
      <c r="V5308">
        <v>0.2013808</v>
      </c>
      <c r="W5308">
        <v>-5.725243E-2</v>
      </c>
      <c r="X5308">
        <v>0.9778384</v>
      </c>
      <c r="Y5308">
        <v>0.30997409999999997</v>
      </c>
      <c r="Z5308">
        <v>-2.8009780000000001E-2</v>
      </c>
      <c r="AA5308">
        <v>0.95033230000000002</v>
      </c>
      <c r="AB5308">
        <v>29</v>
      </c>
      <c r="AC5308">
        <v>16.190200000000001</v>
      </c>
      <c r="AD5308">
        <v>-1.0973393244079901</v>
      </c>
      <c r="AE5308">
        <v>-0.136300000000005</v>
      </c>
      <c r="AF5308">
        <v>5.0948760934166604</v>
      </c>
      <c r="AG5308">
        <v>-1.0973393244079901</v>
      </c>
      <c r="AH5308">
        <v>15.29024450543</v>
      </c>
      <c r="AI5308">
        <v>93.895081854589606</v>
      </c>
      <c r="AJ5308">
        <v>71.571364963977999</v>
      </c>
      <c r="AK5308">
        <v>16.154055002877499</v>
      </c>
      <c r="AL5308">
        <v>93.282117310545402</v>
      </c>
      <c r="AM5308">
        <v>78.362929858407995</v>
      </c>
      <c r="AN5308">
        <v>1.0000000019320501</v>
      </c>
    </row>
    <row r="5309" spans="1:40" x14ac:dyDescent="0.25">
      <c r="A5309" t="str">
        <f>"20190305135737595"</f>
        <v>20190305135737595</v>
      </c>
      <c r="B5309" t="str">
        <f>"1551765457588001"</f>
        <v>1551765457588001</v>
      </c>
      <c r="C5309" t="s">
        <v>40</v>
      </c>
      <c r="D5309">
        <v>4.262238</v>
      </c>
      <c r="E5309">
        <v>0.54058589999999995</v>
      </c>
      <c r="F5309" t="s">
        <v>42</v>
      </c>
      <c r="G5309">
        <v>-160.66290000000001</v>
      </c>
      <c r="H5309" s="1">
        <v>-5.1348600000000003E-6</v>
      </c>
      <c r="I5309">
        <v>135.4408</v>
      </c>
      <c r="J5309">
        <v>-176.20660000000001</v>
      </c>
      <c r="K5309">
        <v>1.097915</v>
      </c>
      <c r="L5309">
        <v>135.56180000000001</v>
      </c>
      <c r="M5309">
        <v>0.95516679999999998</v>
      </c>
      <c r="N5309">
        <v>-1.5932459999999999E-2</v>
      </c>
      <c r="O5309">
        <v>0.295639599999999</v>
      </c>
      <c r="P5309">
        <v>0.99278270000000002</v>
      </c>
      <c r="Q5309">
        <v>-6.4676330000000004E-2</v>
      </c>
      <c r="R5309">
        <v>0.1009944</v>
      </c>
      <c r="S5309">
        <v>3.0113370000000002</v>
      </c>
      <c r="T5309">
        <v>-0.20883070000000001</v>
      </c>
      <c r="U5309">
        <v>-8.4838869999999903E-3</v>
      </c>
      <c r="V5309">
        <v>0.1956551</v>
      </c>
      <c r="W5309">
        <v>-5.4428740000000003E-2</v>
      </c>
      <c r="X5309">
        <v>0.97916119999999995</v>
      </c>
      <c r="Y5309">
        <v>0.29708800000000002</v>
      </c>
      <c r="Z5309">
        <v>-2.8144820000000001E-2</v>
      </c>
      <c r="AA5309">
        <v>0.95443520000000004</v>
      </c>
      <c r="AB5309">
        <v>29</v>
      </c>
      <c r="AC5309">
        <v>15.543699999999999</v>
      </c>
      <c r="AD5309">
        <v>-1.0979201348600001</v>
      </c>
      <c r="AE5309">
        <v>-0.121000000000009</v>
      </c>
      <c r="AF5309">
        <v>4.6881172832721996</v>
      </c>
      <c r="AG5309">
        <v>-1.0979201348600001</v>
      </c>
      <c r="AH5309">
        <v>14.7393986265363</v>
      </c>
      <c r="AI5309">
        <v>94.060310393151099</v>
      </c>
      <c r="AJ5309">
        <v>72.355846328180206</v>
      </c>
      <c r="AK5309">
        <v>15.505926097985499</v>
      </c>
      <c r="AL5309">
        <v>93.120078817848807</v>
      </c>
      <c r="AM5309">
        <v>78.700034580702606</v>
      </c>
      <c r="AN5309">
        <v>1.0000000307397101</v>
      </c>
    </row>
    <row r="5310" spans="1:40" x14ac:dyDescent="0.25">
      <c r="A5310" t="str">
        <f>"20190305135737618"</f>
        <v>20190305135737618</v>
      </c>
      <c r="B5310" t="str">
        <f>"1551765457607521"</f>
        <v>1551765457607521</v>
      </c>
      <c r="C5310" t="s">
        <v>40</v>
      </c>
      <c r="D5310">
        <v>4.2893339999999904</v>
      </c>
      <c r="E5310">
        <v>0.54016889999999995</v>
      </c>
      <c r="F5310" t="s">
        <v>42</v>
      </c>
      <c r="G5310">
        <v>-160.5341</v>
      </c>
      <c r="H5310" s="1">
        <v>-5.1942449999999999E-6</v>
      </c>
      <c r="I5310">
        <v>135.44909999999999</v>
      </c>
      <c r="J5310">
        <v>-175.92529999999999</v>
      </c>
      <c r="K5310">
        <v>1.0984940000000001</v>
      </c>
      <c r="L5310">
        <v>135.6352</v>
      </c>
      <c r="M5310">
        <v>0.95877699999999999</v>
      </c>
      <c r="N5310">
        <v>-1.5769140000000001E-2</v>
      </c>
      <c r="O5310">
        <v>0.28372180000000002</v>
      </c>
      <c r="P5310">
        <v>0.99346109999999999</v>
      </c>
      <c r="Q5310">
        <v>-6.4835589999999999E-2</v>
      </c>
      <c r="R5310">
        <v>9.3975370000000003E-2</v>
      </c>
      <c r="S5310">
        <v>3.010284</v>
      </c>
      <c r="T5310">
        <v>-0.21088280000000001</v>
      </c>
      <c r="U5310">
        <v>-2.165222E-2</v>
      </c>
      <c r="V5310">
        <v>0.19044759999999999</v>
      </c>
      <c r="W5310">
        <v>-5.4328550000000003E-2</v>
      </c>
      <c r="X5310">
        <v>0.98019290000000003</v>
      </c>
      <c r="Y5310">
        <v>0.289377299999999</v>
      </c>
      <c r="Z5310">
        <v>-2.7540740000000001E-2</v>
      </c>
      <c r="AA5310">
        <v>0.95681879999999997</v>
      </c>
      <c r="AB5310">
        <v>29</v>
      </c>
      <c r="AC5310">
        <v>15.3911999999999</v>
      </c>
      <c r="AD5310">
        <v>-1.098499194245</v>
      </c>
      <c r="AE5310">
        <v>-0.18610000000001001</v>
      </c>
      <c r="AF5310">
        <v>4.52277703361408</v>
      </c>
      <c r="AG5310">
        <v>-1.098499194245</v>
      </c>
      <c r="AH5310">
        <v>14.6312361435995</v>
      </c>
      <c r="AI5310">
        <v>94.102808949314905</v>
      </c>
      <c r="AJ5310">
        <v>72.822684638634399</v>
      </c>
      <c r="AK5310">
        <v>15.3536732955119</v>
      </c>
      <c r="AL5310">
        <v>93.114329942045202</v>
      </c>
      <c r="AM5310">
        <v>79.004652489886894</v>
      </c>
      <c r="AN5310">
        <v>1.00000000045063</v>
      </c>
    </row>
    <row r="5311" spans="1:40" x14ac:dyDescent="0.25">
      <c r="A5311" t="str">
        <f>"20190305135737640"</f>
        <v>20190305135737640</v>
      </c>
      <c r="B5311" t="str">
        <f>"1551765457637777"</f>
        <v>1551765457637777</v>
      </c>
      <c r="C5311" t="s">
        <v>40</v>
      </c>
      <c r="D5311">
        <v>4.3000619999999996</v>
      </c>
      <c r="E5311">
        <v>0.53879849999999996</v>
      </c>
      <c r="F5311" t="s">
        <v>42</v>
      </c>
      <c r="G5311">
        <v>-160.63079999999999</v>
      </c>
      <c r="H5311" s="1">
        <v>-5.1515160000000002E-6</v>
      </c>
      <c r="I5311">
        <v>135.4323</v>
      </c>
      <c r="J5311">
        <v>-175.64920000000001</v>
      </c>
      <c r="K5311">
        <v>1.0990610000000001</v>
      </c>
      <c r="L5311">
        <v>135.70419999999999</v>
      </c>
      <c r="M5311">
        <v>0.96199009999999996</v>
      </c>
      <c r="N5311">
        <v>-1.560953E-2</v>
      </c>
      <c r="O5311">
        <v>0.2726382</v>
      </c>
      <c r="P5311">
        <v>0.99366779999999999</v>
      </c>
      <c r="Q5311">
        <v>-6.8251829999999999E-2</v>
      </c>
      <c r="R5311">
        <v>8.9254219999999995E-2</v>
      </c>
      <c r="S5311">
        <v>3.00943</v>
      </c>
      <c r="T5311">
        <v>-0.2161479</v>
      </c>
      <c r="U5311">
        <v>-3.9932250000000002E-2</v>
      </c>
      <c r="V5311">
        <v>0.1837203</v>
      </c>
      <c r="W5311">
        <v>-5.7458040000000002E-2</v>
      </c>
      <c r="X5311">
        <v>0.98129789999999995</v>
      </c>
      <c r="Y5311">
        <v>0.28410669999999999</v>
      </c>
      <c r="Z5311">
        <v>-2.7495160000000001E-2</v>
      </c>
      <c r="AA5311">
        <v>0.95839830000000004</v>
      </c>
      <c r="AB5311">
        <v>29</v>
      </c>
      <c r="AC5311">
        <v>15.0184</v>
      </c>
      <c r="AD5311">
        <v>-1.0990661515160001</v>
      </c>
      <c r="AE5311">
        <v>-0.27189999999998798</v>
      </c>
      <c r="AF5311">
        <v>4.3334846323444403</v>
      </c>
      <c r="AG5311">
        <v>-1.0990661515160001</v>
      </c>
      <c r="AH5311">
        <v>14.2986205577735</v>
      </c>
      <c r="AI5311">
        <v>94.207159840573993</v>
      </c>
      <c r="AJ5311">
        <v>73.139511840358097</v>
      </c>
      <c r="AK5311">
        <v>14.9812411141185</v>
      </c>
      <c r="AL5311">
        <v>93.293917090260095</v>
      </c>
      <c r="AM5311">
        <v>79.395747175533401</v>
      </c>
      <c r="AN5311">
        <v>1.00000007176856</v>
      </c>
    </row>
    <row r="5312" spans="1:40" x14ac:dyDescent="0.25">
      <c r="A5312" t="str">
        <f>"20190305135737663"</f>
        <v>20190305135737663</v>
      </c>
      <c r="B5312" t="str">
        <f>"1551765457658273"</f>
        <v>1551765457658273</v>
      </c>
      <c r="C5312" t="s">
        <v>40</v>
      </c>
      <c r="D5312">
        <v>4.315124</v>
      </c>
      <c r="E5312">
        <v>0.53826149999999995</v>
      </c>
      <c r="F5312" t="s">
        <v>42</v>
      </c>
      <c r="G5312">
        <v>-161.64070000000001</v>
      </c>
      <c r="H5312" s="1">
        <v>-4.6623799999999999E-6</v>
      </c>
      <c r="I5312">
        <v>135.49870000000001</v>
      </c>
      <c r="J5312">
        <v>-175.36099999999999</v>
      </c>
      <c r="K5312">
        <v>1.0996760000000001</v>
      </c>
      <c r="L5312">
        <v>135.7732</v>
      </c>
      <c r="M5312">
        <v>0.96501519999999996</v>
      </c>
      <c r="N5312">
        <v>-1.5427720000000001E-2</v>
      </c>
      <c r="O5312">
        <v>0.26173999999999997</v>
      </c>
      <c r="P5312">
        <v>0.99386289999999999</v>
      </c>
      <c r="Q5312">
        <v>-7.0778720000000003E-2</v>
      </c>
      <c r="R5312">
        <v>8.5011279999999995E-2</v>
      </c>
      <c r="S5312">
        <v>3.0068820000000001</v>
      </c>
      <c r="T5312">
        <v>-0.2359098</v>
      </c>
      <c r="U5312">
        <v>-4.4097900000000002E-2</v>
      </c>
      <c r="V5312">
        <v>0.1767907</v>
      </c>
      <c r="W5312">
        <v>-5.9711739999999999E-2</v>
      </c>
      <c r="X5312">
        <v>0.98243550000000002</v>
      </c>
      <c r="Y5312">
        <v>0.27438319999999999</v>
      </c>
      <c r="Z5312">
        <v>-2.91305E-2</v>
      </c>
      <c r="AA5312">
        <v>0.96117909999999995</v>
      </c>
      <c r="AB5312">
        <v>28</v>
      </c>
      <c r="AC5312">
        <v>13.7202999999999</v>
      </c>
      <c r="AD5312">
        <v>-1.09968066238</v>
      </c>
      <c r="AE5312">
        <v>-0.27449999999998898</v>
      </c>
      <c r="AF5312">
        <v>3.8319003272975101</v>
      </c>
      <c r="AG5312">
        <v>-1.09968066238</v>
      </c>
      <c r="AH5312">
        <v>13.085985844098101</v>
      </c>
      <c r="AI5312">
        <v>94.610835821637394</v>
      </c>
      <c r="AJ5312">
        <v>73.678663986025498</v>
      </c>
      <c r="AK5312">
        <v>13.6797581553729</v>
      </c>
      <c r="AL5312">
        <v>93.423267096866695</v>
      </c>
      <c r="AM5312">
        <v>79.798720303054594</v>
      </c>
      <c r="AN5312">
        <v>0.99999997758028303</v>
      </c>
    </row>
    <row r="5313" spans="1:40" x14ac:dyDescent="0.25">
      <c r="A5313" t="str">
        <f>"20190305135737684"</f>
        <v>20190305135737684</v>
      </c>
      <c r="B5313" t="str">
        <f>"1551765457677793"</f>
        <v>1551765457677793</v>
      </c>
      <c r="C5313" t="s">
        <v>40</v>
      </c>
      <c r="D5313">
        <v>4.3331379999999999</v>
      </c>
      <c r="E5313">
        <v>0.53757460000000001</v>
      </c>
      <c r="F5313" t="s">
        <v>42</v>
      </c>
      <c r="G5313">
        <v>-161.90469999999999</v>
      </c>
      <c r="H5313" s="1">
        <v>-4.5308760000000003E-6</v>
      </c>
      <c r="I5313">
        <v>135.53639999999999</v>
      </c>
      <c r="J5313">
        <v>-175.08240000000001</v>
      </c>
      <c r="K5313">
        <v>1.1002940000000001</v>
      </c>
      <c r="L5313">
        <v>135.8373</v>
      </c>
      <c r="M5313">
        <v>0.96763880000000002</v>
      </c>
      <c r="N5313">
        <v>-1.5220249999999999E-2</v>
      </c>
      <c r="O5313">
        <v>0.25187979999999999</v>
      </c>
      <c r="P5313">
        <v>0.99433300000000002</v>
      </c>
      <c r="Q5313">
        <v>-6.9983379999999998E-2</v>
      </c>
      <c r="R5313">
        <v>8.0026890000000003E-2</v>
      </c>
      <c r="S5313">
        <v>3.0055689999999999</v>
      </c>
      <c r="T5313">
        <v>-0.2456216</v>
      </c>
      <c r="U5313">
        <v>-5.2886959999999997E-2</v>
      </c>
      <c r="V5313">
        <v>0.17181189999999999</v>
      </c>
      <c r="W5313">
        <v>-5.8730520000000001E-2</v>
      </c>
      <c r="X5313">
        <v>0.98337750000000002</v>
      </c>
      <c r="Y5313">
        <v>0.26729770000000003</v>
      </c>
      <c r="Z5313">
        <v>-2.947487E-2</v>
      </c>
      <c r="AA5313">
        <v>0.96316310000000005</v>
      </c>
      <c r="AB5313">
        <v>28</v>
      </c>
      <c r="AC5313">
        <v>13.1777</v>
      </c>
      <c r="AD5313">
        <v>-1.1002985308759901</v>
      </c>
      <c r="AE5313">
        <v>-0.30090000000001199</v>
      </c>
      <c r="AF5313">
        <v>3.5857911094706898</v>
      </c>
      <c r="AG5313">
        <v>-1.1002985308759901</v>
      </c>
      <c r="AH5313">
        <v>12.5892089267409</v>
      </c>
      <c r="AI5313">
        <v>94.804811482097094</v>
      </c>
      <c r="AJ5313">
        <v>74.101428700499696</v>
      </c>
      <c r="AK5313">
        <v>13.1360852668876</v>
      </c>
      <c r="AL5313">
        <v>93.366948558430494</v>
      </c>
      <c r="AM5313">
        <v>80.089537134964701</v>
      </c>
      <c r="AN5313">
        <v>0.99999995523366403</v>
      </c>
    </row>
    <row r="5314" spans="1:40" x14ac:dyDescent="0.25">
      <c r="A5314" t="str">
        <f>"20190305135737707"</f>
        <v>20190305135737707</v>
      </c>
      <c r="B5314" t="str">
        <f>"1551765457698289"</f>
        <v>1551765457698289</v>
      </c>
      <c r="C5314" t="s">
        <v>40</v>
      </c>
      <c r="D5314">
        <v>4.3582660000000004</v>
      </c>
      <c r="E5314">
        <v>0.53698440000000003</v>
      </c>
      <c r="F5314" t="s">
        <v>42</v>
      </c>
      <c r="G5314">
        <v>-161.69659999999999</v>
      </c>
      <c r="H5314" s="1">
        <v>-4.6254130000000004E-6</v>
      </c>
      <c r="I5314">
        <v>135.55799999999999</v>
      </c>
      <c r="J5314">
        <v>-174.80599999999899</v>
      </c>
      <c r="K5314">
        <v>1.1009249999999999</v>
      </c>
      <c r="L5314">
        <v>135.89869999999999</v>
      </c>
      <c r="M5314">
        <v>0.96996669999999996</v>
      </c>
      <c r="N5314">
        <v>-1.4983059999999999E-2</v>
      </c>
      <c r="O5314">
        <v>0.24277599999999999</v>
      </c>
      <c r="P5314">
        <v>0.99486529999999995</v>
      </c>
      <c r="Q5314">
        <v>-6.8424449999999998E-2</v>
      </c>
      <c r="R5314">
        <v>7.4573130000000001E-2</v>
      </c>
      <c r="S5314">
        <v>3.0047609999999998</v>
      </c>
      <c r="T5314">
        <v>-0.2469884</v>
      </c>
      <c r="U5314">
        <v>-6.2698359999999995E-2</v>
      </c>
      <c r="V5314">
        <v>0.1681098</v>
      </c>
      <c r="W5314">
        <v>-5.7051869999999998E-2</v>
      </c>
      <c r="X5314">
        <v>0.98411599999999999</v>
      </c>
      <c r="Y5314">
        <v>0.261411</v>
      </c>
      <c r="Z5314">
        <v>-2.8810829999999999E-2</v>
      </c>
      <c r="AA5314">
        <v>0.96479749999999997</v>
      </c>
      <c r="AB5314">
        <v>28</v>
      </c>
      <c r="AC5314">
        <v>13.1093999999999</v>
      </c>
      <c r="AD5314">
        <v>-1.1009296254130001</v>
      </c>
      <c r="AE5314">
        <v>-0.340699999999998</v>
      </c>
      <c r="AF5314">
        <v>3.4889200240656102</v>
      </c>
      <c r="AG5314">
        <v>-1.1009296254130001</v>
      </c>
      <c r="AH5314">
        <v>12.5459626288221</v>
      </c>
      <c r="AI5314">
        <v>94.832494396381705</v>
      </c>
      <c r="AJ5314">
        <v>74.459226493090497</v>
      </c>
      <c r="AK5314">
        <v>13.068503635008801</v>
      </c>
      <c r="AL5314">
        <v>93.270607061897493</v>
      </c>
      <c r="AM5314">
        <v>80.306122354843097</v>
      </c>
      <c r="AN5314">
        <v>1.0000000610912601</v>
      </c>
    </row>
    <row r="5315" spans="1:40" x14ac:dyDescent="0.25">
      <c r="A5315" t="str">
        <f>"20190305135737728"</f>
        <v>20190305135737728</v>
      </c>
      <c r="B5315" t="str">
        <f>"1551765457717809"</f>
        <v>1551765457717809</v>
      </c>
      <c r="C5315" t="s">
        <v>40</v>
      </c>
      <c r="D5315">
        <v>4.3275769999999998</v>
      </c>
      <c r="E5315">
        <v>0.53651409999999999</v>
      </c>
      <c r="F5315" t="s">
        <v>42</v>
      </c>
      <c r="G5315">
        <v>-161.37960000000001</v>
      </c>
      <c r="H5315" s="1">
        <v>-4.7739909999999999E-6</v>
      </c>
      <c r="I5315">
        <v>135.5652</v>
      </c>
      <c r="J5315">
        <v>-174.52889999999999</v>
      </c>
      <c r="K5315">
        <v>1.1015699999999999</v>
      </c>
      <c r="L5315">
        <v>135.95830000000001</v>
      </c>
      <c r="M5315">
        <v>0.97204259999999998</v>
      </c>
      <c r="N5315">
        <v>-1.4726609999999999E-2</v>
      </c>
      <c r="O5315">
        <v>0.23434240000000001</v>
      </c>
      <c r="P5315">
        <v>0.99515330000000002</v>
      </c>
      <c r="Q5315">
        <v>-6.8886310000000006E-2</v>
      </c>
      <c r="R5315">
        <v>7.0177000000000003E-2</v>
      </c>
      <c r="S5315">
        <v>3.0041660000000001</v>
      </c>
      <c r="T5315">
        <v>-0.24633430000000001</v>
      </c>
      <c r="U5315">
        <v>-7.4630740000000001E-2</v>
      </c>
      <c r="V5315">
        <v>0.16398209999999999</v>
      </c>
      <c r="W5315">
        <v>-5.7412650000000003E-2</v>
      </c>
      <c r="X5315">
        <v>0.98479119999999998</v>
      </c>
      <c r="Y5315">
        <v>0.25690360000000001</v>
      </c>
      <c r="Z5315">
        <v>-2.80001E-2</v>
      </c>
      <c r="AA5315">
        <v>0.96603130000000004</v>
      </c>
      <c r="AB5315">
        <v>28</v>
      </c>
      <c r="AC5315">
        <v>13.149299999999901</v>
      </c>
      <c r="AD5315">
        <v>-1.101574773991</v>
      </c>
      <c r="AE5315">
        <v>-0.393100000000003</v>
      </c>
      <c r="AF5315">
        <v>3.4398045058168498</v>
      </c>
      <c r="AG5315">
        <v>-1.101574773991</v>
      </c>
      <c r="AH5315">
        <v>12.6025679364396</v>
      </c>
      <c r="AI5315">
        <v>94.820015038645593</v>
      </c>
      <c r="AJ5315">
        <v>74.733285112889604</v>
      </c>
      <c r="AK5315">
        <v>13.1099367127956</v>
      </c>
      <c r="AL5315">
        <v>93.291312290413302</v>
      </c>
      <c r="AM5315">
        <v>80.546156020551805</v>
      </c>
      <c r="AN5315">
        <v>1.00000002454893</v>
      </c>
    </row>
    <row r="5316" spans="1:40" x14ac:dyDescent="0.25">
      <c r="A5316" t="str">
        <f>"20190305135737751"</f>
        <v>20190305135737751</v>
      </c>
      <c r="B5316" t="str">
        <f>"1551765457748066"</f>
        <v>1551765457748066</v>
      </c>
      <c r="C5316" t="s">
        <v>40</v>
      </c>
      <c r="D5316">
        <v>4.4212179999999996</v>
      </c>
      <c r="E5316">
        <v>0.53584279999999995</v>
      </c>
      <c r="F5316" t="s">
        <v>42</v>
      </c>
      <c r="G5316">
        <v>-161.2688</v>
      </c>
      <c r="H5316" s="1">
        <v>-4.8225549999999996E-6</v>
      </c>
      <c r="I5316">
        <v>135.58680000000001</v>
      </c>
      <c r="J5316">
        <v>-174.2424</v>
      </c>
      <c r="K5316">
        <v>1.1022320000000001</v>
      </c>
      <c r="L5316">
        <v>136.018</v>
      </c>
      <c r="M5316">
        <v>0.97392420000000002</v>
      </c>
      <c r="N5316">
        <v>-1.445365E-2</v>
      </c>
      <c r="O5316">
        <v>0.22641310000000001</v>
      </c>
      <c r="P5316">
        <v>0.99523709999999999</v>
      </c>
      <c r="Q5316">
        <v>-7.0012690000000002E-2</v>
      </c>
      <c r="R5316">
        <v>6.7834530000000004E-2</v>
      </c>
      <c r="S5316">
        <v>3.0032809999999999</v>
      </c>
      <c r="T5316">
        <v>-0.2494951</v>
      </c>
      <c r="U5316">
        <v>-8.4136959999999997E-2</v>
      </c>
      <c r="V5316">
        <v>0.15832969999999999</v>
      </c>
      <c r="W5316">
        <v>-5.8430820000000001E-2</v>
      </c>
      <c r="X5316">
        <v>0.98565590000000003</v>
      </c>
      <c r="Y5316">
        <v>0.25208340000000001</v>
      </c>
      <c r="Z5316">
        <v>-2.7654600000000001E-2</v>
      </c>
      <c r="AA5316">
        <v>0.96731029999999996</v>
      </c>
      <c r="AB5316">
        <v>28</v>
      </c>
      <c r="AC5316">
        <v>12.973599999999999</v>
      </c>
      <c r="AD5316">
        <v>-1.1022368225550001</v>
      </c>
      <c r="AE5316">
        <v>-0.43119999999998898</v>
      </c>
      <c r="AF5316">
        <v>3.3336631159112202</v>
      </c>
      <c r="AG5316">
        <v>-1.1022368225550001</v>
      </c>
      <c r="AH5316">
        <v>12.449220775545299</v>
      </c>
      <c r="AI5316">
        <v>94.888345291430696</v>
      </c>
      <c r="AJ5316">
        <v>75.008998739639196</v>
      </c>
      <c r="AK5316">
        <v>12.9348882369216</v>
      </c>
      <c r="AL5316">
        <v>93.349747309409295</v>
      </c>
      <c r="AM5316">
        <v>80.874316274760901</v>
      </c>
      <c r="AN5316">
        <v>1.0000000039163801</v>
      </c>
    </row>
    <row r="5317" spans="1:40" x14ac:dyDescent="0.25">
      <c r="A5317" t="str">
        <f>"20190305135737774"</f>
        <v>20190305135737774</v>
      </c>
      <c r="B5317" t="str">
        <f>"1551765457767585"</f>
        <v>1551765457767585</v>
      </c>
      <c r="C5317" t="s">
        <v>40</v>
      </c>
      <c r="D5317">
        <v>4.3890859999999998</v>
      </c>
      <c r="E5317">
        <v>0.53530959999999905</v>
      </c>
      <c r="F5317" t="s">
        <v>42</v>
      </c>
      <c r="G5317">
        <v>-161.30260000000001</v>
      </c>
      <c r="H5317" s="1">
        <v>-4.7960110000000004E-6</v>
      </c>
      <c r="I5317">
        <v>135.6463</v>
      </c>
      <c r="J5317">
        <v>-173.95359999999999</v>
      </c>
      <c r="K5317">
        <v>1.1028880000000001</v>
      </c>
      <c r="L5317">
        <v>136.07650000000001</v>
      </c>
      <c r="M5317">
        <v>0.97558500000000004</v>
      </c>
      <c r="N5317">
        <v>-1.4190309999999999E-2</v>
      </c>
      <c r="O5317">
        <v>0.21916330000000001</v>
      </c>
      <c r="P5317">
        <v>0.9954556</v>
      </c>
      <c r="Q5317">
        <v>-6.9452349999999996E-2</v>
      </c>
      <c r="R5317">
        <v>6.5151269999999997E-2</v>
      </c>
      <c r="S5317">
        <v>3.002243</v>
      </c>
      <c r="T5317">
        <v>-0.25573610000000002</v>
      </c>
      <c r="U5317">
        <v>-8.6227419999999999E-2</v>
      </c>
      <c r="V5317">
        <v>0.1537636</v>
      </c>
      <c r="W5317">
        <v>-5.7798530000000001E-2</v>
      </c>
      <c r="X5317">
        <v>0.98641570000000001</v>
      </c>
      <c r="Y5317">
        <v>0.2455273</v>
      </c>
      <c r="Z5317">
        <v>-2.7591750000000002E-2</v>
      </c>
      <c r="AA5317">
        <v>0.96899690000000005</v>
      </c>
      <c r="AB5317">
        <v>28</v>
      </c>
      <c r="AC5317">
        <v>12.6509999999999</v>
      </c>
      <c r="AD5317">
        <v>-1.10289279601099</v>
      </c>
      <c r="AE5317">
        <v>-0.43020000000001302</v>
      </c>
      <c r="AF5317">
        <v>3.1685992981370199</v>
      </c>
      <c r="AG5317">
        <v>-1.10289279601099</v>
      </c>
      <c r="AH5317">
        <v>12.156789469695701</v>
      </c>
      <c r="AI5317">
        <v>95.017097403769398</v>
      </c>
      <c r="AJ5317">
        <v>75.391204793951204</v>
      </c>
      <c r="AK5317">
        <v>12.611261802141399</v>
      </c>
      <c r="AL5317">
        <v>93.313458694345002</v>
      </c>
      <c r="AM5317">
        <v>81.1399726747008</v>
      </c>
      <c r="AN5317">
        <v>0.99999992398080195</v>
      </c>
    </row>
    <row r="5318" spans="1:40" x14ac:dyDescent="0.25">
      <c r="A5318" t="str">
        <f>"20190305135737796"</f>
        <v>20190305135737796</v>
      </c>
      <c r="B5318" t="str">
        <f>"1551765457788082"</f>
        <v>1551765457788082</v>
      </c>
      <c r="C5318" t="s">
        <v>40</v>
      </c>
      <c r="D5318">
        <v>4.4899060000000004</v>
      </c>
      <c r="E5318">
        <v>0.53486599999999995</v>
      </c>
      <c r="F5318" t="s">
        <v>42</v>
      </c>
      <c r="G5318">
        <v>-161.02340000000001</v>
      </c>
      <c r="H5318" s="1">
        <v>-4.9205700000000004E-6</v>
      </c>
      <c r="I5318">
        <v>135.68819999999999</v>
      </c>
      <c r="J5318">
        <v>-173.67679999999999</v>
      </c>
      <c r="K5318">
        <v>1.103437</v>
      </c>
      <c r="L5318">
        <v>136.1311</v>
      </c>
      <c r="M5318">
        <v>0.9770046</v>
      </c>
      <c r="N5318">
        <v>-1.395593E-2</v>
      </c>
      <c r="O5318">
        <v>0.21276100000000001</v>
      </c>
      <c r="P5318">
        <v>0.99579410000000002</v>
      </c>
      <c r="Q5318">
        <v>-6.7496609999999999E-2</v>
      </c>
      <c r="R5318">
        <v>6.1954160000000001E-2</v>
      </c>
      <c r="S5318">
        <v>3.0017399999999999</v>
      </c>
      <c r="T5318">
        <v>-0.2560365</v>
      </c>
      <c r="U5318">
        <v>-9.0148930000000002E-2</v>
      </c>
      <c r="V5318">
        <v>0.1505917</v>
      </c>
      <c r="W5318">
        <v>-5.5820549999999997E-2</v>
      </c>
      <c r="X5318">
        <v>0.98701879999999997</v>
      </c>
      <c r="Y5318">
        <v>0.2404695</v>
      </c>
      <c r="Z5318">
        <v>-2.6957689999999999E-2</v>
      </c>
      <c r="AA5318">
        <v>0.97028230000000004</v>
      </c>
      <c r="AB5318">
        <v>29</v>
      </c>
      <c r="AC5318">
        <v>12.6533999999999</v>
      </c>
      <c r="AD5318">
        <v>-1.1034419205699999</v>
      </c>
      <c r="AE5318">
        <v>-0.44290000000000801</v>
      </c>
      <c r="AF5318">
        <v>3.10161163826402</v>
      </c>
      <c r="AG5318">
        <v>-1.1034419205699999</v>
      </c>
      <c r="AH5318">
        <v>12.176904162741099</v>
      </c>
      <c r="AI5318">
        <v>95.018484422134193</v>
      </c>
      <c r="AJ5318">
        <v>75.709907467635801</v>
      </c>
      <c r="AK5318">
        <v>12.614062542070499</v>
      </c>
      <c r="AL5318">
        <v>93.199945348885095</v>
      </c>
      <c r="AM5318">
        <v>81.3251518687442</v>
      </c>
      <c r="AN5318">
        <v>0.99999995273231501</v>
      </c>
    </row>
    <row r="5319" spans="1:40" x14ac:dyDescent="0.25">
      <c r="A5319" t="str">
        <f>"20190305135737819"</f>
        <v>20190305135737819</v>
      </c>
      <c r="B5319" t="str">
        <f>"1551765457807601"</f>
        <v>1551765457807601</v>
      </c>
      <c r="C5319" t="s">
        <v>40</v>
      </c>
      <c r="D5319">
        <v>4.5363689999999997</v>
      </c>
      <c r="E5319">
        <v>0.53449899999999995</v>
      </c>
      <c r="F5319" t="s">
        <v>42</v>
      </c>
      <c r="G5319">
        <v>-160.53720000000001</v>
      </c>
      <c r="H5319" s="1">
        <v>-5.146568E-6</v>
      </c>
      <c r="I5319">
        <v>135.70959999999999</v>
      </c>
      <c r="J5319">
        <v>-173.39279999999999</v>
      </c>
      <c r="K5319">
        <v>1.1039350000000001</v>
      </c>
      <c r="L5319">
        <v>136.1859</v>
      </c>
      <c r="M5319">
        <v>0.97829540000000004</v>
      </c>
      <c r="N5319">
        <v>-1.3729730000000001E-2</v>
      </c>
      <c r="O5319">
        <v>0.20675979999999999</v>
      </c>
      <c r="P5319">
        <v>0.99602069999999998</v>
      </c>
      <c r="Q5319">
        <v>-6.6524769999999997E-2</v>
      </c>
      <c r="R5319">
        <v>5.9306070000000002E-2</v>
      </c>
      <c r="S5319">
        <v>3.0015719999999999</v>
      </c>
      <c r="T5319">
        <v>-0.25206709999999999</v>
      </c>
      <c r="U5319">
        <v>-9.6298220000000004E-2</v>
      </c>
      <c r="V5319">
        <v>0.14724779999999901</v>
      </c>
      <c r="W5319">
        <v>-5.4844270000000001E-2</v>
      </c>
      <c r="X5319">
        <v>0.98757799999999996</v>
      </c>
      <c r="Y5319">
        <v>0.2365758</v>
      </c>
      <c r="Z5319">
        <v>-2.5942320000000001E-2</v>
      </c>
      <c r="AA5319">
        <v>0.97126659999999998</v>
      </c>
      <c r="AB5319">
        <v>29</v>
      </c>
      <c r="AC5319">
        <v>12.8555999999999</v>
      </c>
      <c r="AD5319">
        <v>-1.1039401465680001</v>
      </c>
      <c r="AE5319">
        <v>-0.47630000000000899</v>
      </c>
      <c r="AF5319">
        <v>3.1014390238545699</v>
      </c>
      <c r="AG5319">
        <v>-1.1039401465680001</v>
      </c>
      <c r="AH5319">
        <v>12.3880459463902</v>
      </c>
      <c r="AI5319">
        <v>94.940672038381706</v>
      </c>
      <c r="AJ5319">
        <v>75.944484985284404</v>
      </c>
      <c r="AK5319">
        <v>12.8180064844643</v>
      </c>
      <c r="AL5319">
        <v>93.143922464024101</v>
      </c>
      <c r="AM5319">
        <v>81.519677058338303</v>
      </c>
      <c r="AN5319">
        <v>1.00000005732033</v>
      </c>
    </row>
    <row r="5320" spans="1:40" x14ac:dyDescent="0.25">
      <c r="A5320" t="str">
        <f>"20190305135737844"</f>
        <v>20190305135737844</v>
      </c>
      <c r="B5320" t="str">
        <f>"1551765457837857"</f>
        <v>1551765457837857</v>
      </c>
      <c r="C5320" t="s">
        <v>40</v>
      </c>
      <c r="D5320">
        <v>4.4565799999999998</v>
      </c>
      <c r="E5320">
        <v>0.53375790000000001</v>
      </c>
      <c r="F5320" t="s">
        <v>42</v>
      </c>
      <c r="G5320">
        <v>-160.1942</v>
      </c>
      <c r="H5320" s="1">
        <v>-5.3032889999999996E-6</v>
      </c>
      <c r="I5320">
        <v>135.74019999999999</v>
      </c>
      <c r="J5320">
        <v>-173.0753</v>
      </c>
      <c r="K5320">
        <v>1.104457</v>
      </c>
      <c r="L5320">
        <v>136.2457</v>
      </c>
      <c r="M5320">
        <v>0.97955369999999997</v>
      </c>
      <c r="N5320">
        <v>-1.3488669999999999E-2</v>
      </c>
      <c r="O5320">
        <v>0.20073050000000001</v>
      </c>
      <c r="P5320">
        <v>0.99621760000000004</v>
      </c>
      <c r="Q5320">
        <v>-6.5159670000000003E-2</v>
      </c>
      <c r="R5320">
        <v>5.7488909999999997E-2</v>
      </c>
      <c r="S5320">
        <v>3.0012509999999999</v>
      </c>
      <c r="T5320">
        <v>-0.25102659999999999</v>
      </c>
      <c r="U5320">
        <v>-0.10134890000000001</v>
      </c>
      <c r="V5320">
        <v>0.14306729999999901</v>
      </c>
      <c r="W5320">
        <v>-5.3476990000000002E-2</v>
      </c>
      <c r="X5320">
        <v>0.98826709999999995</v>
      </c>
      <c r="Y5320">
        <v>0.23226920000000001</v>
      </c>
      <c r="Z5320">
        <v>-2.5232589999999999E-2</v>
      </c>
      <c r="AA5320">
        <v>0.97232419999999997</v>
      </c>
      <c r="AB5320">
        <v>29</v>
      </c>
      <c r="AC5320">
        <v>12.8811</v>
      </c>
      <c r="AD5320">
        <v>-1.104462303289</v>
      </c>
      <c r="AE5320">
        <v>-0.50550000000001205</v>
      </c>
      <c r="AF5320">
        <v>3.0586222286760698</v>
      </c>
      <c r="AG5320">
        <v>-1.104462303289</v>
      </c>
      <c r="AH5320">
        <v>12.4261830743799</v>
      </c>
      <c r="AI5320">
        <v>94.932736097436205</v>
      </c>
      <c r="AJ5320">
        <v>76.1719164961563</v>
      </c>
      <c r="AK5320">
        <v>12.844649964679601</v>
      </c>
      <c r="AL5320">
        <v>93.065468262848</v>
      </c>
      <c r="AM5320">
        <v>81.762754275092206</v>
      </c>
      <c r="AN5320">
        <v>0.99999995086557802</v>
      </c>
    </row>
    <row r="5321" spans="1:40" x14ac:dyDescent="0.25">
      <c r="A5321" t="str">
        <f>"20190305135737870"</f>
        <v>20190305135737870</v>
      </c>
      <c r="B5321" t="str">
        <f>"1551765457857378"</f>
        <v>1551765457857378</v>
      </c>
      <c r="C5321" t="s">
        <v>40</v>
      </c>
      <c r="D5321">
        <v>4.5090899999999996</v>
      </c>
      <c r="E5321">
        <v>0.53340799999999999</v>
      </c>
      <c r="F5321" t="s">
        <v>42</v>
      </c>
      <c r="G5321">
        <v>-159.7517</v>
      </c>
      <c r="H5321" s="1">
        <v>-1.0866689999999999E-6</v>
      </c>
      <c r="I5321">
        <v>135.7972</v>
      </c>
      <c r="J5321">
        <v>-172.7611</v>
      </c>
      <c r="K5321">
        <v>1.1049719999999901</v>
      </c>
      <c r="L5321">
        <v>136.30369999999999</v>
      </c>
      <c r="M5321">
        <v>0.98063049999999996</v>
      </c>
      <c r="N5321">
        <v>-1.326945E-2</v>
      </c>
      <c r="O5321">
        <v>0.1954166</v>
      </c>
      <c r="P5321">
        <v>0.99630669999999999</v>
      </c>
      <c r="Q5321">
        <v>-6.4603140000000003E-2</v>
      </c>
      <c r="R5321">
        <v>5.6562040000000001E-2</v>
      </c>
      <c r="S5321">
        <v>3.000931</v>
      </c>
      <c r="T5321">
        <v>-0.24876119999999999</v>
      </c>
      <c r="U5321">
        <v>-0.1010132</v>
      </c>
      <c r="V5321">
        <v>0.13870639999999901</v>
      </c>
      <c r="W5321">
        <v>-5.2907530000000001E-2</v>
      </c>
      <c r="X5321">
        <v>0.98891929999999995</v>
      </c>
      <c r="Y5321">
        <v>0.2269467</v>
      </c>
      <c r="Z5321">
        <v>-2.439875E-2</v>
      </c>
      <c r="AA5321">
        <v>0.97360150000000001</v>
      </c>
      <c r="AB5321">
        <v>29</v>
      </c>
      <c r="AC5321">
        <v>13.009399999999999</v>
      </c>
      <c r="AD5321">
        <v>-1.10497308666899</v>
      </c>
      <c r="AE5321">
        <v>-0.50649999999998796</v>
      </c>
      <c r="AF5321">
        <v>3.01747404384427</v>
      </c>
      <c r="AG5321">
        <v>-1.10497308666899</v>
      </c>
      <c r="AH5321">
        <v>12.569012838212499</v>
      </c>
      <c r="AI5321">
        <v>94.885969732443698</v>
      </c>
      <c r="AJ5321">
        <v>76.500340328986496</v>
      </c>
      <c r="AK5321">
        <v>12.9732878968551</v>
      </c>
      <c r="AL5321">
        <v>93.032794118211598</v>
      </c>
      <c r="AM5321">
        <v>82.015746693681294</v>
      </c>
      <c r="AN5321">
        <v>1.0000000270220699</v>
      </c>
    </row>
    <row r="5322" spans="1:40" x14ac:dyDescent="0.25">
      <c r="A5322" t="str">
        <f>"20190305135737890"</f>
        <v>20190305135737890</v>
      </c>
      <c r="B5322" t="str">
        <f>"1551765457877874"</f>
        <v>1551765457877874</v>
      </c>
      <c r="C5322" t="s">
        <v>40</v>
      </c>
      <c r="D5322">
        <v>4.6085979999999998</v>
      </c>
      <c r="E5322">
        <v>0.53305139999999995</v>
      </c>
      <c r="F5322" t="s">
        <v>42</v>
      </c>
      <c r="G5322">
        <v>-159.44669999999999</v>
      </c>
      <c r="H5322" s="1">
        <v>-1.175009E-6</v>
      </c>
      <c r="I5322">
        <v>135.8553</v>
      </c>
      <c r="J5322">
        <v>-172.4999</v>
      </c>
      <c r="K5322">
        <v>1.1054120000000001</v>
      </c>
      <c r="L5322">
        <v>136.3511</v>
      </c>
      <c r="M5322">
        <v>0.98140559999999999</v>
      </c>
      <c r="N5322">
        <v>-1.310538E-2</v>
      </c>
      <c r="O5322">
        <v>0.1914981</v>
      </c>
      <c r="P5322">
        <v>0.99629380000000001</v>
      </c>
      <c r="Q5322">
        <v>-6.4678620000000006E-2</v>
      </c>
      <c r="R5322">
        <v>5.6705199999999997E-2</v>
      </c>
      <c r="S5322">
        <v>3.0007320000000002</v>
      </c>
      <c r="T5322">
        <v>-0.2490329</v>
      </c>
      <c r="U5322">
        <v>-0.101059</v>
      </c>
      <c r="V5322">
        <v>0.13466739999999999</v>
      </c>
      <c r="W5322">
        <v>-5.2957440000000001E-2</v>
      </c>
      <c r="X5322">
        <v>0.98947470000000004</v>
      </c>
      <c r="Y5322">
        <v>0.22309309999999999</v>
      </c>
      <c r="Z5322">
        <v>-2.3988329999999999E-2</v>
      </c>
      <c r="AA5322">
        <v>0.97450190000000003</v>
      </c>
      <c r="AB5322">
        <v>29</v>
      </c>
      <c r="AC5322">
        <v>13.0532</v>
      </c>
      <c r="AD5322">
        <v>-1.1054131750089999</v>
      </c>
      <c r="AE5322">
        <v>-0.49580000000000202</v>
      </c>
      <c r="AF5322">
        <v>2.9652650166619199</v>
      </c>
      <c r="AG5322">
        <v>-1.1054131750089999</v>
      </c>
      <c r="AH5322">
        <v>12.6262099652527</v>
      </c>
      <c r="AI5322">
        <v>94.871558575023599</v>
      </c>
      <c r="AJ5322">
        <v>76.783595355245694</v>
      </c>
      <c r="AK5322">
        <v>13.016755086931999</v>
      </c>
      <c r="AL5322">
        <v>93.035657876006198</v>
      </c>
      <c r="AM5322">
        <v>82.249670064950394</v>
      </c>
      <c r="AN5322">
        <v>0.99999999050710098</v>
      </c>
    </row>
    <row r="5323" spans="1:40" x14ac:dyDescent="0.25">
      <c r="A5323" t="str">
        <f>"20190305135737912"</f>
        <v>20190305135737912</v>
      </c>
      <c r="B5323" t="str">
        <f>"1551765457908130"</f>
        <v>1551765457908130</v>
      </c>
      <c r="C5323" t="s">
        <v>40</v>
      </c>
      <c r="D5323">
        <v>4.4935269999999896</v>
      </c>
      <c r="E5323">
        <v>0.5327307</v>
      </c>
      <c r="F5323" t="s">
        <v>42</v>
      </c>
      <c r="G5323">
        <v>-159.27019999999999</v>
      </c>
      <c r="H5323" s="1">
        <v>-1.21806E-6</v>
      </c>
      <c r="I5323">
        <v>135.91919999999999</v>
      </c>
      <c r="J5323">
        <v>-172.2286</v>
      </c>
      <c r="K5323">
        <v>1.1058490000000001</v>
      </c>
      <c r="L5323">
        <v>136.39959999999999</v>
      </c>
      <c r="M5323">
        <v>0.98210989999999998</v>
      </c>
      <c r="N5323">
        <v>-1.295166E-2</v>
      </c>
      <c r="O5323">
        <v>0.18786259999999999</v>
      </c>
      <c r="P5323">
        <v>0.99630529999999995</v>
      </c>
      <c r="Q5323">
        <v>-6.4323839999999993E-2</v>
      </c>
      <c r="R5323">
        <v>5.6907230000000003E-2</v>
      </c>
      <c r="S5323">
        <v>3.0004580000000001</v>
      </c>
      <c r="T5323">
        <v>-0.25070429999999999</v>
      </c>
      <c r="U5323">
        <v>-9.7930909999999996E-2</v>
      </c>
      <c r="V5323">
        <v>0.13086400000000001</v>
      </c>
      <c r="W5323">
        <v>-5.2579330000000001E-2</v>
      </c>
      <c r="X5323">
        <v>0.99000509999999997</v>
      </c>
      <c r="Y5323">
        <v>0.2184778</v>
      </c>
      <c r="Z5323">
        <v>-2.369622E-2</v>
      </c>
      <c r="AA5323">
        <v>0.97555420000000004</v>
      </c>
      <c r="AB5323">
        <v>29</v>
      </c>
      <c r="AC5323">
        <v>12.958399999999999</v>
      </c>
      <c r="AD5323">
        <v>-1.1058502180600001</v>
      </c>
      <c r="AE5323">
        <v>-0.48040000000000299</v>
      </c>
      <c r="AF5323">
        <v>2.8854631581802499</v>
      </c>
      <c r="AG5323">
        <v>-1.1058502180600001</v>
      </c>
      <c r="AH5323">
        <v>12.5461401472989</v>
      </c>
      <c r="AI5323">
        <v>94.909661782023903</v>
      </c>
      <c r="AJ5323">
        <v>77.047882083128798</v>
      </c>
      <c r="AK5323">
        <v>12.9210848978584</v>
      </c>
      <c r="AL5323">
        <v>93.0139634085361</v>
      </c>
      <c r="AM5323">
        <v>82.470001729571607</v>
      </c>
      <c r="AN5323">
        <v>1.0000000352326199</v>
      </c>
    </row>
    <row r="5324" spans="1:40" x14ac:dyDescent="0.25">
      <c r="A5324" t="str">
        <f>"20190305135737934"</f>
        <v>20190305135737934</v>
      </c>
      <c r="B5324" t="str">
        <f>"1551765457927649"</f>
        <v>1551765457927649</v>
      </c>
      <c r="C5324" t="s">
        <v>40</v>
      </c>
      <c r="D5324">
        <v>4.6307859999999996</v>
      </c>
      <c r="E5324">
        <v>0.53259330000000005</v>
      </c>
      <c r="F5324" t="s">
        <v>42</v>
      </c>
      <c r="G5324">
        <v>-159.01849999999999</v>
      </c>
      <c r="H5324" s="1">
        <v>-1.2870820000000001E-6</v>
      </c>
      <c r="I5324">
        <v>135.98179999999999</v>
      </c>
      <c r="J5324">
        <v>-171.947</v>
      </c>
      <c r="K5324">
        <v>1.106222</v>
      </c>
      <c r="L5324">
        <v>136.44929999999999</v>
      </c>
      <c r="M5324">
        <v>0.98276110000000005</v>
      </c>
      <c r="N5324">
        <v>-1.280938E-2</v>
      </c>
      <c r="O5324">
        <v>0.18443619999999999</v>
      </c>
      <c r="P5324">
        <v>0.99635609999999997</v>
      </c>
      <c r="Q5324">
        <v>-6.2598699999999993E-2</v>
      </c>
      <c r="R5324">
        <v>5.7932589999999999E-2</v>
      </c>
      <c r="S5324">
        <v>3.0003359999999999</v>
      </c>
      <c r="T5324">
        <v>-0.25116470000000002</v>
      </c>
      <c r="U5324">
        <v>-9.4879149999999995E-2</v>
      </c>
      <c r="V5324">
        <v>0.12647169999999999</v>
      </c>
      <c r="W5324">
        <v>-5.0840129999999997E-2</v>
      </c>
      <c r="X5324">
        <v>0.99066650000000001</v>
      </c>
      <c r="Y5324">
        <v>0.21410309999999999</v>
      </c>
      <c r="Z5324">
        <v>-2.330426E-2</v>
      </c>
      <c r="AA5324">
        <v>0.97653310000000004</v>
      </c>
      <c r="AB5324">
        <v>29</v>
      </c>
      <c r="AC5324">
        <v>12.9285</v>
      </c>
      <c r="AD5324">
        <v>-1.1062232870819999</v>
      </c>
      <c r="AE5324">
        <v>-0.46750000000000103</v>
      </c>
      <c r="AF5324">
        <v>2.8235124860932399</v>
      </c>
      <c r="AG5324">
        <v>-1.1062232870819999</v>
      </c>
      <c r="AH5324">
        <v>12.5288295283708</v>
      </c>
      <c r="AI5324">
        <v>94.9229662455745</v>
      </c>
      <c r="AJ5324">
        <v>77.299918142444795</v>
      </c>
      <c r="AK5324">
        <v>12.890598204543601</v>
      </c>
      <c r="AL5324">
        <v>92.914181300234702</v>
      </c>
      <c r="AM5324">
        <v>82.724788114458505</v>
      </c>
      <c r="AN5324">
        <v>0.99999996197077701</v>
      </c>
    </row>
    <row r="5325" spans="1:40" x14ac:dyDescent="0.25">
      <c r="A5325" t="str">
        <f>"20190305135737958"</f>
        <v>20190305135737958</v>
      </c>
      <c r="B5325" t="str">
        <f>"1551765457948146"</f>
        <v>1551765457948146</v>
      </c>
      <c r="C5325" t="s">
        <v>40</v>
      </c>
      <c r="D5325">
        <v>4.5507549999999997</v>
      </c>
      <c r="E5325">
        <v>0.53236969999999995</v>
      </c>
      <c r="F5325" t="s">
        <v>42</v>
      </c>
      <c r="G5325">
        <v>-158.37280000000001</v>
      </c>
      <c r="H5325" s="1">
        <v>-1.491476E-6</v>
      </c>
      <c r="I5325">
        <v>136.0394</v>
      </c>
      <c r="J5325">
        <v>-171.63120000000001</v>
      </c>
      <c r="K5325">
        <v>1.106538</v>
      </c>
      <c r="L5325">
        <v>136.5043</v>
      </c>
      <c r="M5325">
        <v>0.98340939999999999</v>
      </c>
      <c r="N5325">
        <v>-1.2668860000000001E-2</v>
      </c>
      <c r="O5325">
        <v>0.1809568</v>
      </c>
      <c r="P5325">
        <v>0.99647059999999998</v>
      </c>
      <c r="Q5325">
        <v>-6.1058670000000002E-2</v>
      </c>
      <c r="R5325">
        <v>5.7601720000000002E-2</v>
      </c>
      <c r="S5325">
        <v>3.0008699999999999</v>
      </c>
      <c r="T5325">
        <v>-0.24455440000000001</v>
      </c>
      <c r="U5325">
        <v>-9.0606690000000004E-2</v>
      </c>
      <c r="V5325">
        <v>0.1233604</v>
      </c>
      <c r="W5325">
        <v>-4.9318670000000002E-2</v>
      </c>
      <c r="X5325">
        <v>0.99113569999999995</v>
      </c>
      <c r="Y5325">
        <v>0.20934539999999999</v>
      </c>
      <c r="Z5325">
        <v>-2.221424E-2</v>
      </c>
      <c r="AA5325">
        <v>0.97758940000000005</v>
      </c>
      <c r="AB5325">
        <v>29</v>
      </c>
      <c r="AC5325">
        <v>13.2583999999999</v>
      </c>
      <c r="AD5325">
        <v>-1.1065394914760001</v>
      </c>
      <c r="AE5325">
        <v>-0.46489999999999998</v>
      </c>
      <c r="AF5325">
        <v>2.8368780693845901</v>
      </c>
      <c r="AG5325">
        <v>-1.1065394914760001</v>
      </c>
      <c r="AH5325">
        <v>12.865841827483701</v>
      </c>
      <c r="AI5325">
        <v>94.800919608775402</v>
      </c>
      <c r="AJ5325">
        <v>77.565429099594994</v>
      </c>
      <c r="AK5325">
        <v>13.221278030378899</v>
      </c>
      <c r="AL5325">
        <v>92.826898290341603</v>
      </c>
      <c r="AM5325">
        <v>82.905241572694806</v>
      </c>
      <c r="AN5325">
        <v>1.0000000476566</v>
      </c>
    </row>
    <row r="5326" spans="1:40" x14ac:dyDescent="0.25">
      <c r="A5326" t="str">
        <f>"20190305135737981"</f>
        <v>20190305135737981</v>
      </c>
      <c r="B5326" t="str">
        <f>"1551765457978402"</f>
        <v>1551765457978402</v>
      </c>
      <c r="C5326" t="s">
        <v>40</v>
      </c>
      <c r="D5326">
        <v>4.6402460000000003</v>
      </c>
      <c r="E5326">
        <v>0.53214989999999995</v>
      </c>
      <c r="F5326" t="s">
        <v>42</v>
      </c>
      <c r="G5326">
        <v>-157.79910000000001</v>
      </c>
      <c r="H5326" s="1">
        <v>-1.6731309999999999E-6</v>
      </c>
      <c r="I5326">
        <v>136.09039999999999</v>
      </c>
      <c r="J5326">
        <v>-171.35120000000001</v>
      </c>
      <c r="K5326">
        <v>1.106757</v>
      </c>
      <c r="L5326">
        <v>136.55240000000001</v>
      </c>
      <c r="M5326">
        <v>0.98392369999999996</v>
      </c>
      <c r="N5326">
        <v>-1.255852E-2</v>
      </c>
      <c r="O5326">
        <v>0.17814739999999901</v>
      </c>
      <c r="P5326">
        <v>0.99646619999999997</v>
      </c>
      <c r="Q5326">
        <v>-6.0758329999999999E-2</v>
      </c>
      <c r="R5326">
        <v>5.7997819999999999E-2</v>
      </c>
      <c r="S5326">
        <v>3.001099</v>
      </c>
      <c r="T5326">
        <v>-0.2400823</v>
      </c>
      <c r="U5326">
        <v>-8.9797970000000005E-2</v>
      </c>
      <c r="V5326">
        <v>0.12016689999999999</v>
      </c>
      <c r="W5326">
        <v>-4.9038980000000003E-2</v>
      </c>
      <c r="X5326">
        <v>0.99154180000000003</v>
      </c>
      <c r="Y5326">
        <v>0.2063489</v>
      </c>
      <c r="Z5326">
        <v>-2.147342E-2</v>
      </c>
      <c r="AA5326">
        <v>0.97824279999999997</v>
      </c>
      <c r="AB5326">
        <v>29</v>
      </c>
      <c r="AC5326">
        <v>13.5520999999999</v>
      </c>
      <c r="AD5326">
        <v>-1.106758673131</v>
      </c>
      <c r="AE5326">
        <v>-0.46200000000001701</v>
      </c>
      <c r="AF5326">
        <v>2.8500837600244</v>
      </c>
      <c r="AG5326">
        <v>-1.106758673131</v>
      </c>
      <c r="AH5326">
        <v>13.1652693108514</v>
      </c>
      <c r="AI5326">
        <v>94.6970576176207</v>
      </c>
      <c r="AJ5326">
        <v>77.784817907878804</v>
      </c>
      <c r="AK5326">
        <v>13.515628295678701</v>
      </c>
      <c r="AL5326">
        <v>92.810853889076697</v>
      </c>
      <c r="AM5326">
        <v>83.089910977540001</v>
      </c>
      <c r="AN5326">
        <v>1.0000000232811399</v>
      </c>
    </row>
    <row r="5327" spans="1:40" x14ac:dyDescent="0.25">
      <c r="A5327" t="str">
        <f>"20190305135738001"</f>
        <v>20190305135738001</v>
      </c>
      <c r="B5327" t="str">
        <f>"1551765457997921"</f>
        <v>1551765457997921</v>
      </c>
      <c r="C5327" t="s">
        <v>40</v>
      </c>
      <c r="D5327">
        <v>4.5835599999999896</v>
      </c>
      <c r="E5327">
        <v>0.53211309999999901</v>
      </c>
      <c r="F5327" t="s">
        <v>42</v>
      </c>
      <c r="G5327">
        <v>-157.32069999999999</v>
      </c>
      <c r="H5327" s="1">
        <v>-1.820817E-6</v>
      </c>
      <c r="I5327">
        <v>136.1473</v>
      </c>
      <c r="J5327">
        <v>-171.0916</v>
      </c>
      <c r="K5327">
        <v>1.106943</v>
      </c>
      <c r="L5327">
        <v>136.59649999999999</v>
      </c>
      <c r="M5327">
        <v>0.98435779999999995</v>
      </c>
      <c r="N5327">
        <v>-1.2467280000000001E-2</v>
      </c>
      <c r="O5327">
        <v>0.17573910000000001</v>
      </c>
      <c r="P5327">
        <v>0.99632779999999999</v>
      </c>
      <c r="Q5327">
        <v>-6.203264E-2</v>
      </c>
      <c r="R5327">
        <v>5.9019679999999998E-2</v>
      </c>
      <c r="S5327">
        <v>3.001236</v>
      </c>
      <c r="T5327">
        <v>-0.23674419999999999</v>
      </c>
      <c r="U5327">
        <v>-8.6654659999999994E-2</v>
      </c>
      <c r="V5327">
        <v>0.1167241</v>
      </c>
      <c r="W5327">
        <v>-5.0329550000000001E-2</v>
      </c>
      <c r="X5327">
        <v>0.99188829999999995</v>
      </c>
      <c r="Y5327">
        <v>0.2029783</v>
      </c>
      <c r="Z5327">
        <v>-2.0857270000000001E-2</v>
      </c>
      <c r="AA5327">
        <v>0.97896110000000003</v>
      </c>
      <c r="AB5327">
        <v>29</v>
      </c>
      <c r="AC5327">
        <v>13.770899999999999</v>
      </c>
      <c r="AD5327">
        <v>-1.1069448208170001</v>
      </c>
      <c r="AE5327">
        <v>-0.44919999999999</v>
      </c>
      <c r="AF5327">
        <v>2.8441241297270201</v>
      </c>
      <c r="AG5327">
        <v>-1.1069448208170001</v>
      </c>
      <c r="AH5327">
        <v>13.391164845669801</v>
      </c>
      <c r="AI5327">
        <v>94.622806283539504</v>
      </c>
      <c r="AJ5327">
        <v>78.009234931049605</v>
      </c>
      <c r="AK5327">
        <v>13.7345427599732</v>
      </c>
      <c r="AL5327">
        <v>92.884889640462106</v>
      </c>
      <c r="AM5327">
        <v>83.288376506158102</v>
      </c>
      <c r="AN5327">
        <v>0.99999998940045098</v>
      </c>
    </row>
    <row r="5328" spans="1:40" x14ac:dyDescent="0.25">
      <c r="A5328" t="str">
        <f>"20190305135738023"</f>
        <v>20190305135738023</v>
      </c>
      <c r="B5328" t="str">
        <f>"1551765458017442"</f>
        <v>1551765458017442</v>
      </c>
      <c r="C5328" t="s">
        <v>40</v>
      </c>
      <c r="D5328">
        <v>4.3681549999999998</v>
      </c>
      <c r="E5328">
        <v>0.5322076</v>
      </c>
      <c r="F5328" t="s">
        <v>42</v>
      </c>
      <c r="G5328">
        <v>-157.19749999999999</v>
      </c>
      <c r="H5328" s="1">
        <v>-1.8458810000000001E-6</v>
      </c>
      <c r="I5328">
        <v>136.2107</v>
      </c>
      <c r="J5328">
        <v>-170.8186</v>
      </c>
      <c r="K5328">
        <v>1.1071040000000001</v>
      </c>
      <c r="L5328">
        <v>136.64240000000001</v>
      </c>
      <c r="M5328">
        <v>0.98478069999999895</v>
      </c>
      <c r="N5328">
        <v>-1.2381959999999999E-2</v>
      </c>
      <c r="O5328">
        <v>0.17335989999999901</v>
      </c>
      <c r="P5328">
        <v>0.99624820000000003</v>
      </c>
      <c r="Q5328">
        <v>-6.219976E-2</v>
      </c>
      <c r="R5328">
        <v>6.0173850000000001E-2</v>
      </c>
      <c r="S5328">
        <v>3.0011139999999998</v>
      </c>
      <c r="T5328">
        <v>-0.23909830000000001</v>
      </c>
      <c r="U5328">
        <v>-8.3343509999999996E-2</v>
      </c>
      <c r="V5328">
        <v>0.11319709999999999</v>
      </c>
      <c r="W5328">
        <v>-5.0510590000000001E-2</v>
      </c>
      <c r="X5328">
        <v>0.99228780000000005</v>
      </c>
      <c r="Y5328">
        <v>0.19952780000000001</v>
      </c>
      <c r="Z5328">
        <v>-2.0764339999999999E-2</v>
      </c>
      <c r="AA5328">
        <v>0.97967210000000005</v>
      </c>
      <c r="AB5328">
        <v>29</v>
      </c>
      <c r="AC5328">
        <v>13.6211</v>
      </c>
      <c r="AD5328">
        <v>-1.1071058458809999</v>
      </c>
      <c r="AE5328">
        <v>-0.43170000000000602</v>
      </c>
      <c r="AF5328">
        <v>2.7684254824772498</v>
      </c>
      <c r="AG5328">
        <v>-1.1071058458809999</v>
      </c>
      <c r="AH5328">
        <v>13.252518214519201</v>
      </c>
      <c r="AI5328">
        <v>94.674908248862394</v>
      </c>
      <c r="AJ5328">
        <v>78.200703486083</v>
      </c>
      <c r="AK5328">
        <v>13.5837808445284</v>
      </c>
      <c r="AL5328">
        <v>92.895275675071503</v>
      </c>
      <c r="AM5328">
        <v>83.492009371078694</v>
      </c>
      <c r="AN5328">
        <v>0.99999999058969902</v>
      </c>
    </row>
    <row r="5329" spans="1:40" x14ac:dyDescent="0.25">
      <c r="A5329" t="str">
        <f>"20190305135738048"</f>
        <v>20190305135738048</v>
      </c>
      <c r="B5329" t="str">
        <f>"1551765458037938"</f>
        <v>1551765458037938</v>
      </c>
      <c r="C5329" t="s">
        <v>40</v>
      </c>
      <c r="D5329">
        <v>4.3548179999999999</v>
      </c>
      <c r="E5329">
        <v>0.55376340000000002</v>
      </c>
      <c r="F5329" t="s">
        <v>42</v>
      </c>
      <c r="G5329">
        <v>-156.88650000000001</v>
      </c>
      <c r="H5329" s="1">
        <v>-1.9364709999999998E-6</v>
      </c>
      <c r="I5329">
        <v>136.268</v>
      </c>
      <c r="J5329">
        <v>-170.49379999999999</v>
      </c>
      <c r="K5329">
        <v>1.107281</v>
      </c>
      <c r="L5329">
        <v>136.69630000000001</v>
      </c>
      <c r="M5329">
        <v>0.98525119999999999</v>
      </c>
      <c r="N5329">
        <v>-1.2293159999999999E-2</v>
      </c>
      <c r="O5329">
        <v>0.1706723</v>
      </c>
      <c r="P5329">
        <v>0.99639160000000004</v>
      </c>
      <c r="Q5329">
        <v>-6.0622740000000001E-2</v>
      </c>
      <c r="R5329">
        <v>5.9402320000000002E-2</v>
      </c>
      <c r="S5329">
        <v>3.0012819999999998</v>
      </c>
      <c r="T5329">
        <v>-0.23849319999999999</v>
      </c>
      <c r="U5329">
        <v>-8.0642699999999998E-2</v>
      </c>
      <c r="V5329">
        <v>0.11130429999999999</v>
      </c>
      <c r="W5329">
        <v>-4.8960789999999997E-2</v>
      </c>
      <c r="X5329">
        <v>0.99257960000000001</v>
      </c>
      <c r="Y5329">
        <v>0.19599520000000001</v>
      </c>
      <c r="Z5329">
        <v>-2.0375339999999999E-2</v>
      </c>
      <c r="AA5329">
        <v>0.98039319999999996</v>
      </c>
      <c r="AB5329">
        <v>29</v>
      </c>
      <c r="AC5329">
        <v>13.607299999999899</v>
      </c>
      <c r="AD5329">
        <v>-1.107282936471</v>
      </c>
      <c r="AE5329">
        <v>-0.42830000000000701</v>
      </c>
      <c r="AF5329">
        <v>2.7265429160788699</v>
      </c>
      <c r="AG5329">
        <v>-1.107282936471</v>
      </c>
      <c r="AH5329">
        <v>13.2468859082663</v>
      </c>
      <c r="AI5329">
        <v>94.680477756510598</v>
      </c>
      <c r="AJ5329">
        <v>78.369507605178697</v>
      </c>
      <c r="AK5329">
        <v>13.5698230659521</v>
      </c>
      <c r="AL5329">
        <v>92.806368513516603</v>
      </c>
      <c r="AM5329">
        <v>83.601786650496095</v>
      </c>
      <c r="AN5329">
        <v>1.00000003424603</v>
      </c>
    </row>
    <row r="5330" spans="1:40" x14ac:dyDescent="0.25">
      <c r="A5330" t="str">
        <f>"20190305135738072"</f>
        <v>20190305135738072</v>
      </c>
      <c r="B5330" t="str">
        <f>"1551765458068194"</f>
        <v>1551765458068194</v>
      </c>
      <c r="C5330" t="s">
        <v>40</v>
      </c>
      <c r="D5330">
        <v>3.4387379999999999</v>
      </c>
      <c r="E5330">
        <v>0.58103839999999995</v>
      </c>
      <c r="F5330" t="s">
        <v>42</v>
      </c>
      <c r="G5330">
        <v>-130.05410000000001</v>
      </c>
      <c r="H5330" s="1">
        <v>-5.3448829999999996E-6</v>
      </c>
      <c r="I5330">
        <v>133.4385</v>
      </c>
      <c r="J5330">
        <v>-170.20480000000001</v>
      </c>
      <c r="K5330">
        <v>1.1074139999999999</v>
      </c>
      <c r="L5330">
        <v>136.74369999999999</v>
      </c>
      <c r="M5330">
        <v>0.98564430000000003</v>
      </c>
      <c r="N5330">
        <v>-1.222556E-2</v>
      </c>
      <c r="O5330">
        <v>0.16839189999999901</v>
      </c>
      <c r="P5330">
        <v>0.9965714</v>
      </c>
      <c r="Q5330">
        <v>-5.9008129999999999E-2</v>
      </c>
      <c r="R5330">
        <v>5.7994839999999999E-2</v>
      </c>
      <c r="S5330">
        <v>3.0203250000000001</v>
      </c>
      <c r="T5330">
        <v>-8.2700010000000004E-2</v>
      </c>
      <c r="U5330">
        <v>-0.2433167</v>
      </c>
      <c r="V5330">
        <v>0.11044760000000001</v>
      </c>
      <c r="W5330">
        <v>-4.7374560000000003E-2</v>
      </c>
      <c r="X5330">
        <v>0.99275219999999997</v>
      </c>
      <c r="Y5330">
        <v>0.24686150000000001</v>
      </c>
      <c r="Z5330">
        <v>-7.4200769999999997E-3</v>
      </c>
      <c r="AA5330">
        <v>0.96902239999999995</v>
      </c>
      <c r="AB5330">
        <v>29</v>
      </c>
      <c r="AC5330">
        <v>40.150700000000001</v>
      </c>
      <c r="AD5330">
        <v>-1.1074193448830001</v>
      </c>
      <c r="AE5330">
        <v>-3.3051999999999802</v>
      </c>
      <c r="AF5330">
        <v>10.011987815429499</v>
      </c>
      <c r="AG5330">
        <v>-1.1074193448830001</v>
      </c>
      <c r="AH5330">
        <v>38.991193615226699</v>
      </c>
      <c r="AI5330">
        <v>91.575772767879599</v>
      </c>
      <c r="AJ5330">
        <v>75.598964894066299</v>
      </c>
      <c r="AK5330">
        <v>40.271323012310198</v>
      </c>
      <c r="AL5330">
        <v>92.715378765846197</v>
      </c>
      <c r="AM5330">
        <v>83.651724327513605</v>
      </c>
      <c r="AN5330">
        <v>0.99999997594289602</v>
      </c>
    </row>
    <row r="5331" spans="1:40" x14ac:dyDescent="0.25">
      <c r="A5331" t="str">
        <f>"20190305135738110"</f>
        <v>20190305135738110</v>
      </c>
      <c r="B5331" t="str">
        <f>"1551765458108210"</f>
        <v>1551765458108210</v>
      </c>
      <c r="C5331" t="s">
        <v>40</v>
      </c>
      <c r="D5331">
        <v>3.720926</v>
      </c>
      <c r="E5331">
        <v>0.58103839999999995</v>
      </c>
      <c r="F5331" t="s">
        <v>42</v>
      </c>
      <c r="G5331">
        <v>-141.08510000000001</v>
      </c>
      <c r="H5331" s="1">
        <v>-5.1144450000000003E-6</v>
      </c>
      <c r="I5331">
        <v>132.24420000000001</v>
      </c>
      <c r="J5331">
        <v>-169.71619999999999</v>
      </c>
      <c r="K5331">
        <v>1.107537</v>
      </c>
      <c r="L5331">
        <v>136.82249999999999</v>
      </c>
      <c r="M5331">
        <v>0.98627160000000003</v>
      </c>
      <c r="N5331">
        <v>-1.2118830000000001E-2</v>
      </c>
      <c r="O5331">
        <v>0.164686</v>
      </c>
      <c r="P5331">
        <v>0.99662569999999995</v>
      </c>
      <c r="Q5331">
        <v>-5.9880030000000001E-2</v>
      </c>
      <c r="R5331">
        <v>5.6140580000000002E-2</v>
      </c>
      <c r="S5331">
        <v>3.0307620000000002</v>
      </c>
      <c r="T5331">
        <v>-0.11525920000000001</v>
      </c>
      <c r="U5331">
        <v>-0.46829219999999999</v>
      </c>
      <c r="V5331">
        <v>0.10856540000000001</v>
      </c>
      <c r="W5331">
        <v>-4.8309579999999998E-2</v>
      </c>
      <c r="X5331">
        <v>0.99291479999999999</v>
      </c>
      <c r="Y5331">
        <v>0.3130348</v>
      </c>
      <c r="Z5331">
        <v>-1.2062140000000001E-2</v>
      </c>
      <c r="AA5331">
        <v>0.94966510000000004</v>
      </c>
      <c r="AB5331">
        <v>29</v>
      </c>
      <c r="AC5331">
        <v>28.631099999999901</v>
      </c>
      <c r="AD5331">
        <v>-1.1075421144449999</v>
      </c>
      <c r="AE5331">
        <v>-4.5782999999999801</v>
      </c>
      <c r="AF5331">
        <v>9.2178169112076702</v>
      </c>
      <c r="AG5331">
        <v>-1.1075421144449999</v>
      </c>
      <c r="AH5331">
        <v>27.446031212787599</v>
      </c>
      <c r="AI5331">
        <v>92.190703867618893</v>
      </c>
      <c r="AJ5331">
        <v>71.435248057548705</v>
      </c>
      <c r="AK5331">
        <v>28.973771371313202</v>
      </c>
      <c r="AL5331">
        <v>92.769012732527798</v>
      </c>
      <c r="AM5331">
        <v>83.760061845178598</v>
      </c>
      <c r="AN5331">
        <v>1.0000000308279799</v>
      </c>
    </row>
    <row r="5332" spans="1:40" x14ac:dyDescent="0.25">
      <c r="A5332" t="str">
        <f>"20190305135738177"</f>
        <v>20190305135738177</v>
      </c>
      <c r="B5332" t="str">
        <f>"1551765458167745"</f>
        <v>1551765458167745</v>
      </c>
      <c r="C5332" t="s">
        <v>40</v>
      </c>
      <c r="D5332">
        <v>4.3039959999999997</v>
      </c>
      <c r="E5332">
        <v>0.50438749999999999</v>
      </c>
      <c r="F5332" t="s">
        <v>42</v>
      </c>
      <c r="G5332">
        <v>-140.75120000000001</v>
      </c>
      <c r="H5332" s="1">
        <v>-5.2489059999999996E-6</v>
      </c>
      <c r="I5332">
        <v>132.2937</v>
      </c>
      <c r="J5332">
        <v>-168.86199999999999</v>
      </c>
      <c r="K5332">
        <v>1.107586</v>
      </c>
      <c r="L5332">
        <v>136.95590000000001</v>
      </c>
      <c r="M5332">
        <v>0.98731550000000001</v>
      </c>
      <c r="N5332">
        <v>-1.198217E-2</v>
      </c>
      <c r="O5332">
        <v>0.15831809999999999</v>
      </c>
      <c r="P5332">
        <v>0.99704619999999999</v>
      </c>
      <c r="Q5332">
        <v>-5.99856E-2</v>
      </c>
      <c r="R5332">
        <v>4.796417E-2</v>
      </c>
      <c r="S5332">
        <v>3.0298769999999999</v>
      </c>
      <c r="T5332">
        <v>-0.115854</v>
      </c>
      <c r="U5332">
        <v>-0.47372439999999999</v>
      </c>
      <c r="V5332">
        <v>0.1103029</v>
      </c>
      <c r="W5332">
        <v>-4.8550679999999999E-2</v>
      </c>
      <c r="X5332">
        <v>0.99271149999999997</v>
      </c>
      <c r="Y5332">
        <v>0.30861050000000001</v>
      </c>
      <c r="Z5332">
        <v>-1.1852639999999999E-2</v>
      </c>
      <c r="AA5332">
        <v>0.95111469999999998</v>
      </c>
      <c r="AB5332">
        <v>29</v>
      </c>
      <c r="AC5332">
        <v>28.110799999999902</v>
      </c>
      <c r="AD5332">
        <v>-1.107591248906</v>
      </c>
      <c r="AE5332">
        <v>-4.6622000000000101</v>
      </c>
      <c r="AF5332">
        <v>9.0405012985690707</v>
      </c>
      <c r="AG5332">
        <v>-1.107591248906</v>
      </c>
      <c r="AH5332">
        <v>26.977297015273098</v>
      </c>
      <c r="AI5332">
        <v>92.229323443499794</v>
      </c>
      <c r="AJ5332">
        <v>71.4732181343511</v>
      </c>
      <c r="AK5332">
        <v>28.473355551363198</v>
      </c>
      <c r="AL5332">
        <v>92.782843030653893</v>
      </c>
      <c r="AM5332">
        <v>83.659715767021495</v>
      </c>
      <c r="AN5332">
        <v>1.0000000102545601</v>
      </c>
    </row>
    <row r="5333" spans="1:40" x14ac:dyDescent="0.25">
      <c r="A5333" t="str">
        <f>"20190305135738198"</f>
        <v>20190305135738198</v>
      </c>
      <c r="B5333" t="str">
        <f>"1551765458188242"</f>
        <v>1551765458188242</v>
      </c>
      <c r="C5333" t="s">
        <v>40</v>
      </c>
      <c r="D5333">
        <v>4.3258479999999997</v>
      </c>
      <c r="E5333">
        <v>0.50574479999999999</v>
      </c>
      <c r="F5333" t="s">
        <v>42</v>
      </c>
      <c r="G5333">
        <v>-147.0907</v>
      </c>
      <c r="H5333" s="1">
        <v>-1.55919099999999E-6</v>
      </c>
      <c r="I5333">
        <v>137.76249999999999</v>
      </c>
      <c r="J5333">
        <v>-168.59299999999999</v>
      </c>
      <c r="K5333">
        <v>1.1075569999999999</v>
      </c>
      <c r="L5333">
        <v>136.9967</v>
      </c>
      <c r="M5333">
        <v>0.98764649999999998</v>
      </c>
      <c r="N5333">
        <v>-1.1949670000000001E-2</v>
      </c>
      <c r="O5333">
        <v>0.1562424</v>
      </c>
      <c r="P5333">
        <v>0.9970793</v>
      </c>
      <c r="Q5333">
        <v>-6.0550479999999997E-2</v>
      </c>
      <c r="R5333">
        <v>4.654838E-2</v>
      </c>
      <c r="S5333">
        <v>2.9943849999999999</v>
      </c>
      <c r="T5333">
        <v>-0.15233559999999999</v>
      </c>
      <c r="U5333">
        <v>0.110946699999999</v>
      </c>
      <c r="V5333">
        <v>0.1096153</v>
      </c>
      <c r="W5333">
        <v>-4.9150939999999997E-2</v>
      </c>
      <c r="X5333">
        <v>0.99275809999999998</v>
      </c>
      <c r="Y5333">
        <v>0.1192686</v>
      </c>
      <c r="Z5333">
        <v>-9.7821079999999994E-3</v>
      </c>
      <c r="AA5333">
        <v>0.99281379999999997</v>
      </c>
      <c r="AB5333">
        <v>29</v>
      </c>
      <c r="AC5333">
        <v>21.502299999999899</v>
      </c>
      <c r="AD5333">
        <v>-1.107558559191</v>
      </c>
      <c r="AE5333">
        <v>0.76579999999998405</v>
      </c>
      <c r="AF5333">
        <v>2.5965367305476001</v>
      </c>
      <c r="AG5333">
        <v>-1.107558559191</v>
      </c>
      <c r="AH5333">
        <v>21.301401294057101</v>
      </c>
      <c r="AI5333">
        <v>92.954562883015896</v>
      </c>
      <c r="AJ5333">
        <v>83.050210077496899</v>
      </c>
      <c r="AK5333">
        <v>21.4876333281629</v>
      </c>
      <c r="AL5333">
        <v>92.817276571574098</v>
      </c>
      <c r="AM5333">
        <v>83.699213975352905</v>
      </c>
      <c r="AN5333">
        <v>0.999999987006291</v>
      </c>
    </row>
    <row r="5334" spans="1:40" x14ac:dyDescent="0.25">
      <c r="A5334" t="str">
        <f>"20190305135738220"</f>
        <v>20190305135738220</v>
      </c>
      <c r="B5334" t="str">
        <f>"1551765458217522"</f>
        <v>1551765458217522</v>
      </c>
      <c r="C5334" t="s">
        <v>40</v>
      </c>
      <c r="D5334">
        <v>4.3322200000000004</v>
      </c>
      <c r="E5334">
        <v>0.50761690000000004</v>
      </c>
      <c r="F5334" t="s">
        <v>42</v>
      </c>
      <c r="G5334">
        <v>-147.56049999999999</v>
      </c>
      <c r="H5334" s="1">
        <v>-1.374434E-6</v>
      </c>
      <c r="I5334">
        <v>137.66800000000001</v>
      </c>
      <c r="J5334">
        <v>-168.3152</v>
      </c>
      <c r="K5334">
        <v>1.10749599999999</v>
      </c>
      <c r="L5334">
        <v>137.03819999999999</v>
      </c>
      <c r="M5334">
        <v>0.98799669999999895</v>
      </c>
      <c r="N5334">
        <v>-1.1921040000000001E-2</v>
      </c>
      <c r="O5334">
        <v>0.15401500000000001</v>
      </c>
      <c r="P5334">
        <v>0.99707380000000001</v>
      </c>
      <c r="Q5334">
        <v>-6.1654559999999997E-2</v>
      </c>
      <c r="R5334">
        <v>4.5196529999999999E-2</v>
      </c>
      <c r="S5334">
        <v>2.9947509999999999</v>
      </c>
      <c r="T5334">
        <v>-0.15770139999999999</v>
      </c>
      <c r="U5334">
        <v>9.5581050000000001E-2</v>
      </c>
      <c r="V5334">
        <v>0.1087021</v>
      </c>
      <c r="W5334">
        <v>-5.0292160000000002E-2</v>
      </c>
      <c r="X5334">
        <v>0.99280139999999995</v>
      </c>
      <c r="Y5334">
        <v>0.1220953</v>
      </c>
      <c r="Z5334">
        <v>-1.017233E-2</v>
      </c>
      <c r="AA5334">
        <v>0.99246630000000002</v>
      </c>
      <c r="AB5334">
        <v>29</v>
      </c>
      <c r="AC5334">
        <v>20.7547</v>
      </c>
      <c r="AD5334">
        <v>-1.10749737443399</v>
      </c>
      <c r="AE5334">
        <v>0.62980000000001701</v>
      </c>
      <c r="AF5334">
        <v>2.5671743503104101</v>
      </c>
      <c r="AG5334">
        <v>-1.10749737443399</v>
      </c>
      <c r="AH5334">
        <v>20.545587444713998</v>
      </c>
      <c r="AI5334">
        <v>93.061745477687495</v>
      </c>
      <c r="AJ5334">
        <v>82.8777955995387</v>
      </c>
      <c r="AK5334">
        <v>20.734948710514399</v>
      </c>
      <c r="AL5334">
        <v>92.882744506514996</v>
      </c>
      <c r="AM5334">
        <v>83.751558944476002</v>
      </c>
      <c r="AN5334">
        <v>1.0000000338719099</v>
      </c>
    </row>
    <row r="5335" spans="1:40" x14ac:dyDescent="0.25">
      <c r="A5335" t="str">
        <f>"20190305135738248"</f>
        <v>20190305135738248</v>
      </c>
      <c r="B5335" t="str">
        <f>"1551765458238018"</f>
        <v>1551765458238018</v>
      </c>
      <c r="C5335" t="s">
        <v>40</v>
      </c>
      <c r="D5335">
        <v>4.3370340000000001</v>
      </c>
      <c r="E5335">
        <v>0.50687380000000004</v>
      </c>
      <c r="F5335" t="s">
        <v>42</v>
      </c>
      <c r="G5335">
        <v>-146.37029999999999</v>
      </c>
      <c r="H5335" s="1">
        <v>-1.896241E-6</v>
      </c>
      <c r="I5335">
        <v>137.60489999999999</v>
      </c>
      <c r="J5335">
        <v>-167.96289999999999</v>
      </c>
      <c r="K5335">
        <v>1.1073820000000001</v>
      </c>
      <c r="L5335">
        <v>137.0898</v>
      </c>
      <c r="M5335">
        <v>0.98845769999999999</v>
      </c>
      <c r="N5335">
        <v>-1.190158E-2</v>
      </c>
      <c r="O5335">
        <v>0.1510291</v>
      </c>
      <c r="P5335">
        <v>0.99705589999999999</v>
      </c>
      <c r="Q5335">
        <v>-6.3179029999999997E-2</v>
      </c>
      <c r="R5335">
        <v>4.3454550000000002E-2</v>
      </c>
      <c r="S5335">
        <v>2.9959560000000001</v>
      </c>
      <c r="T5335">
        <v>-0.1511972</v>
      </c>
      <c r="U5335">
        <v>7.7362059999999996E-2</v>
      </c>
      <c r="V5335">
        <v>0.1074036</v>
      </c>
      <c r="W5335">
        <v>-5.1856449999999998E-2</v>
      </c>
      <c r="X5335">
        <v>0.99286220000000003</v>
      </c>
      <c r="Y5335">
        <v>0.12516469999999999</v>
      </c>
      <c r="Z5335">
        <v>-9.6891430000000008E-3</v>
      </c>
      <c r="AA5335">
        <v>0.99208870000000005</v>
      </c>
      <c r="AB5335">
        <v>29</v>
      </c>
      <c r="AC5335">
        <v>21.592600000000001</v>
      </c>
      <c r="AD5335">
        <v>-1.1073838962410001</v>
      </c>
      <c r="AE5335">
        <v>0.51509999999998901</v>
      </c>
      <c r="AF5335">
        <v>2.7449356375488101</v>
      </c>
      <c r="AG5335">
        <v>-1.1073838962410001</v>
      </c>
      <c r="AH5335">
        <v>21.366517494123102</v>
      </c>
      <c r="AI5335">
        <v>92.942729734273897</v>
      </c>
      <c r="AJ5335">
        <v>82.679365380225306</v>
      </c>
      <c r="AK5335">
        <v>21.570559579542799</v>
      </c>
      <c r="AL5335">
        <v>92.9724889980467</v>
      </c>
      <c r="AM5335">
        <v>83.825994858989603</v>
      </c>
      <c r="AN5335">
        <v>0.99999998644420096</v>
      </c>
    </row>
    <row r="5336" spans="1:40" x14ac:dyDescent="0.25">
      <c r="A5336" t="str">
        <f>"20190305135738274"</f>
        <v>20190305135738274</v>
      </c>
      <c r="B5336" t="str">
        <f>"1551765458268274"</f>
        <v>1551765458268274</v>
      </c>
      <c r="C5336" t="s">
        <v>40</v>
      </c>
      <c r="D5336">
        <v>4.3334769999999896</v>
      </c>
      <c r="E5336">
        <v>0.50590879999999905</v>
      </c>
      <c r="F5336" t="s">
        <v>42</v>
      </c>
      <c r="G5336">
        <v>-146.40110000000001</v>
      </c>
      <c r="H5336" s="1">
        <v>-1.8746119999999999E-6</v>
      </c>
      <c r="I5336">
        <v>137.65209999999999</v>
      </c>
      <c r="J5336">
        <v>-167.6498</v>
      </c>
      <c r="K5336">
        <v>1.1072409999999999</v>
      </c>
      <c r="L5336">
        <v>137.1345</v>
      </c>
      <c r="M5336">
        <v>0.98889360000000004</v>
      </c>
      <c r="N5336">
        <v>-1.1938819999999999E-2</v>
      </c>
      <c r="O5336">
        <v>0.1481452</v>
      </c>
      <c r="P5336">
        <v>0.99702500000000005</v>
      </c>
      <c r="Q5336">
        <v>-6.4557690000000001E-2</v>
      </c>
      <c r="R5336">
        <v>4.2114499999999999E-2</v>
      </c>
      <c r="S5336">
        <v>2.9957120000000002</v>
      </c>
      <c r="T5336">
        <v>-0.15385579999999999</v>
      </c>
      <c r="U5336">
        <v>7.8125E-2</v>
      </c>
      <c r="V5336">
        <v>0.1058062</v>
      </c>
      <c r="W5336">
        <v>-5.3224889999999997E-2</v>
      </c>
      <c r="X5336">
        <v>0.99296130000000005</v>
      </c>
      <c r="Y5336">
        <v>0.1220116</v>
      </c>
      <c r="Z5336">
        <v>-9.6638269999999998E-3</v>
      </c>
      <c r="AA5336">
        <v>0.99248159999999996</v>
      </c>
      <c r="AB5336">
        <v>29</v>
      </c>
      <c r="AC5336">
        <v>21.2486999999999</v>
      </c>
      <c r="AD5336">
        <v>-1.107242874612</v>
      </c>
      <c r="AE5336">
        <v>0.51759999999998696</v>
      </c>
      <c r="AF5336">
        <v>2.6290947520561598</v>
      </c>
      <c r="AG5336">
        <v>-1.107242874612</v>
      </c>
      <c r="AH5336">
        <v>21.033805970250899</v>
      </c>
      <c r="AI5336">
        <v>92.990107388763505</v>
      </c>
      <c r="AJ5336">
        <v>82.875334988082898</v>
      </c>
      <c r="AK5336">
        <v>21.226377919768399</v>
      </c>
      <c r="AL5336">
        <v>93.051003269690099</v>
      </c>
      <c r="AM5336">
        <v>83.917729012479896</v>
      </c>
      <c r="AN5336">
        <v>0.99999999208582102</v>
      </c>
    </row>
    <row r="5337" spans="1:40" x14ac:dyDescent="0.25">
      <c r="A5337" t="str">
        <f>"20190305135738293"</f>
        <v>20190305135738293</v>
      </c>
      <c r="B5337" t="str">
        <f>"1551765458287793"</f>
        <v>1551765458287793</v>
      </c>
      <c r="C5337" t="s">
        <v>40</v>
      </c>
      <c r="D5337">
        <v>4.3057790000000002</v>
      </c>
      <c r="E5337">
        <v>0.50514650000000005</v>
      </c>
      <c r="F5337" t="s">
        <v>42</v>
      </c>
      <c r="G5337">
        <v>-147.24100000000001</v>
      </c>
      <c r="H5337" s="1">
        <v>-1.507738E-6</v>
      </c>
      <c r="I5337">
        <v>137.6891</v>
      </c>
      <c r="J5337">
        <v>-167.39009999999999</v>
      </c>
      <c r="K5337">
        <v>1.107124</v>
      </c>
      <c r="L5337">
        <v>137.17070000000001</v>
      </c>
      <c r="M5337">
        <v>0.98927489999999996</v>
      </c>
      <c r="N5337">
        <v>-1.2057719999999999E-2</v>
      </c>
      <c r="O5337">
        <v>0.145567899999999</v>
      </c>
      <c r="P5337">
        <v>0.99698450000000005</v>
      </c>
      <c r="Q5337">
        <v>-6.5925810000000001E-2</v>
      </c>
      <c r="R5337">
        <v>4.0938910000000002E-2</v>
      </c>
      <c r="S5337">
        <v>2.9949949999999999</v>
      </c>
      <c r="T5337">
        <v>-0.1624881</v>
      </c>
      <c r="U5337">
        <v>8.1390379999999998E-2</v>
      </c>
      <c r="V5337">
        <v>0.1043531</v>
      </c>
      <c r="W5337">
        <v>-5.4502149999999999E-2</v>
      </c>
      <c r="X5337">
        <v>0.99304579999999998</v>
      </c>
      <c r="Y5337">
        <v>0.1183085</v>
      </c>
      <c r="Z5337">
        <v>-1.0026139999999999E-2</v>
      </c>
      <c r="AA5337">
        <v>0.99292630000000004</v>
      </c>
      <c r="AB5337">
        <v>29</v>
      </c>
      <c r="AC5337">
        <v>20.149099999999901</v>
      </c>
      <c r="AD5337">
        <v>-1.107125507738</v>
      </c>
      <c r="AE5337">
        <v>0.51839999999998498</v>
      </c>
      <c r="AF5337">
        <v>2.4131170383795499</v>
      </c>
      <c r="AG5337">
        <v>-1.107125507738</v>
      </c>
      <c r="AH5337">
        <v>19.9497226006544</v>
      </c>
      <c r="AI5337">
        <v>93.153476952531506</v>
      </c>
      <c r="AJ5337">
        <v>83.103013609263499</v>
      </c>
      <c r="AK5337">
        <v>20.1256128496467</v>
      </c>
      <c r="AL5337">
        <v>93.124291226548095</v>
      </c>
      <c r="AM5337">
        <v>84.001153854584103</v>
      </c>
      <c r="AN5337">
        <v>1.0000000073659301</v>
      </c>
    </row>
    <row r="5338" spans="1:40" x14ac:dyDescent="0.25">
      <c r="A5338" t="str">
        <f>"20190305135738312"</f>
        <v>20190305135738312</v>
      </c>
      <c r="B5338" t="str">
        <f>"1551765458308289"</f>
        <v>1551765458308289</v>
      </c>
      <c r="C5338" t="s">
        <v>40</v>
      </c>
      <c r="D5338">
        <v>4.321256</v>
      </c>
      <c r="E5338">
        <v>0.50459900000000002</v>
      </c>
      <c r="F5338" t="s">
        <v>42</v>
      </c>
      <c r="G5338">
        <v>-147.76329999999999</v>
      </c>
      <c r="H5338" s="1">
        <v>-1.2780789999999999E-6</v>
      </c>
      <c r="I5338">
        <v>137.72059999999999</v>
      </c>
      <c r="J5338">
        <v>-167.15199999999999</v>
      </c>
      <c r="K5338">
        <v>1.1070249999999999</v>
      </c>
      <c r="L5338">
        <v>137.20310000000001</v>
      </c>
      <c r="M5338">
        <v>0.98963979999999996</v>
      </c>
      <c r="N5338">
        <v>-1.218577E-2</v>
      </c>
      <c r="O5338">
        <v>0.14305470000000001</v>
      </c>
      <c r="P5338">
        <v>0.99692119999999995</v>
      </c>
      <c r="Q5338">
        <v>-6.7482100000000003E-2</v>
      </c>
      <c r="R5338">
        <v>3.9930159999999999E-2</v>
      </c>
      <c r="S5338">
        <v>2.9944609999999998</v>
      </c>
      <c r="T5338">
        <v>-0.1689137</v>
      </c>
      <c r="U5338">
        <v>8.3908079999999996E-2</v>
      </c>
      <c r="V5338">
        <v>0.10279679999999999</v>
      </c>
      <c r="W5338">
        <v>-5.5955020000000001E-2</v>
      </c>
      <c r="X5338">
        <v>0.99312730000000005</v>
      </c>
      <c r="Y5338">
        <v>0.11492719999999999</v>
      </c>
      <c r="Z5338">
        <v>-1.022873E-2</v>
      </c>
      <c r="AA5338">
        <v>0.99332120000000002</v>
      </c>
      <c r="AB5338">
        <v>29</v>
      </c>
      <c r="AC5338">
        <v>19.3887</v>
      </c>
      <c r="AD5338">
        <v>-1.1070262780789999</v>
      </c>
      <c r="AE5338">
        <v>0.51749999999998397</v>
      </c>
      <c r="AF5338">
        <v>2.2543300104696602</v>
      </c>
      <c r="AG5338">
        <v>-1.1070262780789999</v>
      </c>
      <c r="AH5338">
        <v>19.200739593136198</v>
      </c>
      <c r="AI5338">
        <v>93.277296421847197</v>
      </c>
      <c r="AJ5338">
        <v>83.303645450258301</v>
      </c>
      <c r="AK5338">
        <v>19.364294768978599</v>
      </c>
      <c r="AL5338">
        <v>93.207661853133501</v>
      </c>
      <c r="AM5338">
        <v>84.090462956122906</v>
      </c>
      <c r="AN5338">
        <v>0.99999999017936503</v>
      </c>
    </row>
    <row r="5339" spans="1:40" x14ac:dyDescent="0.25">
      <c r="A5339" t="str">
        <f>"20190305135738335"</f>
        <v>20190305135738335</v>
      </c>
      <c r="B5339" t="str">
        <f>"1551765458327890"</f>
        <v>1551765458327890</v>
      </c>
      <c r="C5339" t="s">
        <v>40</v>
      </c>
      <c r="D5339">
        <v>4.8098789999999996</v>
      </c>
      <c r="E5339">
        <v>0.50410770000000005</v>
      </c>
      <c r="F5339" t="s">
        <v>42</v>
      </c>
      <c r="G5339">
        <v>-148.24799999999999</v>
      </c>
      <c r="H5339" s="1">
        <v>-1.081334E-6</v>
      </c>
      <c r="I5339">
        <v>137.7406</v>
      </c>
      <c r="J5339">
        <v>-166.85169999999999</v>
      </c>
      <c r="K5339">
        <v>1.1068789999999999</v>
      </c>
      <c r="L5339">
        <v>137.24279999999999</v>
      </c>
      <c r="M5339">
        <v>0.99012480000000003</v>
      </c>
      <c r="N5339">
        <v>-1.233043E-2</v>
      </c>
      <c r="O5339">
        <v>0.13964550000000001</v>
      </c>
      <c r="P5339">
        <v>0.9969114</v>
      </c>
      <c r="Q5339">
        <v>-6.8783239999999995E-2</v>
      </c>
      <c r="R5339">
        <v>3.7903939999999997E-2</v>
      </c>
      <c r="S5339">
        <v>2.9939879999999999</v>
      </c>
      <c r="T5339">
        <v>-0.17532899999999901</v>
      </c>
      <c r="U5339">
        <v>8.5128780000000001E-2</v>
      </c>
      <c r="V5339">
        <v>0.1013534</v>
      </c>
      <c r="W5339">
        <v>-5.7145799999999997E-2</v>
      </c>
      <c r="X5339">
        <v>0.99320790000000003</v>
      </c>
      <c r="Y5339">
        <v>0.111079</v>
      </c>
      <c r="Z5339">
        <v>-1.035401E-2</v>
      </c>
      <c r="AA5339">
        <v>0.99375769999999997</v>
      </c>
      <c r="AB5339">
        <v>29</v>
      </c>
      <c r="AC5339">
        <v>18.6037</v>
      </c>
      <c r="AD5339">
        <v>-1.1068800813339901</v>
      </c>
      <c r="AE5339">
        <v>0.49780000000001201</v>
      </c>
      <c r="AF5339">
        <v>2.0977780717495</v>
      </c>
      <c r="AG5339">
        <v>-1.1068800813339901</v>
      </c>
      <c r="AH5339">
        <v>18.4257254870232</v>
      </c>
      <c r="AI5339">
        <v>93.415758123608896</v>
      </c>
      <c r="AJ5339">
        <v>83.504813864915903</v>
      </c>
      <c r="AK5339">
        <v>18.577761331115799</v>
      </c>
      <c r="AL5339">
        <v>93.275997706782704</v>
      </c>
      <c r="AM5339">
        <v>84.173335103170402</v>
      </c>
      <c r="AN5339">
        <v>1.0000000433858001</v>
      </c>
    </row>
    <row r="5340" spans="1:40" x14ac:dyDescent="0.25">
      <c r="A5340" t="str">
        <f>"20190305135738360"</f>
        <v>20190305135738360</v>
      </c>
      <c r="B5340" t="str">
        <f>"1551765458347410"</f>
        <v>1551765458347410</v>
      </c>
      <c r="C5340" t="s">
        <v>40</v>
      </c>
      <c r="D5340">
        <v>4.4217589999999998</v>
      </c>
      <c r="E5340">
        <v>0.50311799999999995</v>
      </c>
      <c r="F5340" t="s">
        <v>41</v>
      </c>
      <c r="G5340">
        <v>-165.92840000000001</v>
      </c>
      <c r="H5340">
        <v>1.047585</v>
      </c>
      <c r="I5340">
        <v>137.268</v>
      </c>
      <c r="J5340">
        <v>-166.5497</v>
      </c>
      <c r="K5340">
        <v>1.106725</v>
      </c>
      <c r="L5340">
        <v>137.28149999999999</v>
      </c>
      <c r="M5340">
        <v>0.99063409999999996</v>
      </c>
      <c r="N5340">
        <v>-1.247326E-2</v>
      </c>
      <c r="O5340">
        <v>0.13597300000000001</v>
      </c>
      <c r="P5340">
        <v>0.99702310000000005</v>
      </c>
      <c r="Q5340">
        <v>-6.8741570000000002E-2</v>
      </c>
      <c r="R5340">
        <v>3.4922040000000001E-2</v>
      </c>
      <c r="S5340">
        <v>2.9929350000000001</v>
      </c>
      <c r="T5340">
        <v>-0.1921551</v>
      </c>
      <c r="U5340">
        <v>8.2015989999999997E-2</v>
      </c>
      <c r="V5340">
        <v>0.10061929999999999</v>
      </c>
      <c r="W5340">
        <v>-5.6999950000000001E-2</v>
      </c>
      <c r="X5340">
        <v>0.99329089999999998</v>
      </c>
      <c r="Y5340">
        <v>0.1083481</v>
      </c>
      <c r="Z5340">
        <v>-1.1146329999999999E-2</v>
      </c>
      <c r="AA5340">
        <v>0.99405049999999995</v>
      </c>
      <c r="AB5340">
        <v>29</v>
      </c>
      <c r="AC5340">
        <v>0.62129999999998997</v>
      </c>
      <c r="AD5340">
        <v>-5.9139999999999901E-2</v>
      </c>
      <c r="AE5340">
        <v>-1.3499999999993399E-2</v>
      </c>
      <c r="AF5340">
        <v>9.6982876109150906E-2</v>
      </c>
      <c r="AG5340">
        <v>-5.9139999999999901E-2</v>
      </c>
      <c r="AH5340">
        <v>0.60818506488855195</v>
      </c>
      <c r="AI5340">
        <v>95.485117556266502</v>
      </c>
      <c r="AJ5340">
        <v>80.9397381879905</v>
      </c>
      <c r="AK5340">
        <v>0.61870210199408204</v>
      </c>
      <c r="AL5340">
        <v>93.2676275347239</v>
      </c>
      <c r="AM5340">
        <v>84.215730340413302</v>
      </c>
      <c r="AN5340">
        <v>1.0000000249276499</v>
      </c>
    </row>
    <row r="5341" spans="1:40" x14ac:dyDescent="0.25">
      <c r="A5341" t="str">
        <f>"20190305135738383"</f>
        <v>20190305135738383</v>
      </c>
      <c r="B5341" t="str">
        <f>"1551765458377666"</f>
        <v>1551765458377666</v>
      </c>
      <c r="C5341" t="s">
        <v>40</v>
      </c>
      <c r="D5341">
        <v>4.3717319999999997</v>
      </c>
      <c r="E5341">
        <v>0.50232860000000001</v>
      </c>
      <c r="F5341" t="s">
        <v>41</v>
      </c>
      <c r="G5341">
        <v>-165.67580000000001</v>
      </c>
      <c r="H5341">
        <v>1.0476490000000001</v>
      </c>
      <c r="I5341">
        <v>137.3048</v>
      </c>
      <c r="J5341">
        <v>-166.25370000000001</v>
      </c>
      <c r="K5341">
        <v>1.1065659999999999</v>
      </c>
      <c r="L5341">
        <v>137.31799999999899</v>
      </c>
      <c r="M5341">
        <v>0.99115200000000003</v>
      </c>
      <c r="N5341">
        <v>-1.2612089999999999E-2</v>
      </c>
      <c r="O5341">
        <v>0.13213150000000001</v>
      </c>
      <c r="P5341">
        <v>0.99716090000000002</v>
      </c>
      <c r="Q5341">
        <v>-6.8537000000000001E-2</v>
      </c>
      <c r="R5341">
        <v>3.119359E-2</v>
      </c>
      <c r="S5341">
        <v>2.9922179999999998</v>
      </c>
      <c r="T5341">
        <v>-0.20228280000000001</v>
      </c>
      <c r="U5341">
        <v>8.0123899999999998E-2</v>
      </c>
      <c r="V5341">
        <v>0.1004631</v>
      </c>
      <c r="W5341">
        <v>-5.6698829999999999E-2</v>
      </c>
      <c r="X5341">
        <v>0.99332390000000004</v>
      </c>
      <c r="Y5341">
        <v>0.1050796</v>
      </c>
      <c r="Z5341">
        <v>-1.143886E-2</v>
      </c>
      <c r="AA5341">
        <v>0.994398</v>
      </c>
      <c r="AB5341">
        <v>29</v>
      </c>
      <c r="AC5341">
        <v>0.57789999999999897</v>
      </c>
      <c r="AD5341">
        <v>-5.8916999999999803E-2</v>
      </c>
      <c r="AE5341">
        <v>-1.31999999999834E-2</v>
      </c>
      <c r="AF5341">
        <v>8.8529430264941797E-2</v>
      </c>
      <c r="AG5341">
        <v>-5.8916999999999803E-2</v>
      </c>
      <c r="AH5341">
        <v>0.56521630035513004</v>
      </c>
      <c r="AI5341">
        <v>95.879730009482401</v>
      </c>
      <c r="AJ5341">
        <v>81.098128034682901</v>
      </c>
      <c r="AK5341">
        <v>0.57513314901783896</v>
      </c>
      <c r="AL5341">
        <v>93.250346825552896</v>
      </c>
      <c r="AM5341">
        <v>84.224839584357596</v>
      </c>
      <c r="AN5341">
        <v>0.99999998104809396</v>
      </c>
    </row>
    <row r="5342" spans="1:40" x14ac:dyDescent="0.25">
      <c r="A5342" t="str">
        <f>"20190305135738404"</f>
        <v>20190305135738404</v>
      </c>
      <c r="B5342" t="str">
        <f>"1551765458398162"</f>
        <v>1551765458398162</v>
      </c>
      <c r="C5342" t="s">
        <v>40</v>
      </c>
      <c r="D5342">
        <v>4.4696569999999998</v>
      </c>
      <c r="E5342">
        <v>0.50164940000000002</v>
      </c>
      <c r="F5342" t="s">
        <v>41</v>
      </c>
      <c r="G5342">
        <v>-165.42169999999999</v>
      </c>
      <c r="H5342">
        <v>1.0486340000000001</v>
      </c>
      <c r="I5342">
        <v>137.33869999999999</v>
      </c>
      <c r="J5342">
        <v>-165.9768</v>
      </c>
      <c r="K5342">
        <v>1.1064179999999999</v>
      </c>
      <c r="L5342">
        <v>137.35079999999999</v>
      </c>
      <c r="M5342">
        <v>0.99165119999999896</v>
      </c>
      <c r="N5342">
        <v>-1.273417E-2</v>
      </c>
      <c r="O5342">
        <v>0.12831890000000001</v>
      </c>
      <c r="P5342">
        <v>0.99726300000000001</v>
      </c>
      <c r="Q5342">
        <v>-6.8821800000000002E-2</v>
      </c>
      <c r="R5342">
        <v>2.702558E-2</v>
      </c>
      <c r="S5342">
        <v>2.9918670000000001</v>
      </c>
      <c r="T5342">
        <v>-0.2083082</v>
      </c>
      <c r="U5342">
        <v>7.4752810000000003E-2</v>
      </c>
      <c r="V5342">
        <v>0.10076839999999999</v>
      </c>
      <c r="W5342">
        <v>-5.690535E-2</v>
      </c>
      <c r="X5342">
        <v>0.99328119999999998</v>
      </c>
      <c r="Y5342">
        <v>0.103017899999999</v>
      </c>
      <c r="Z5342">
        <v>-1.150201E-2</v>
      </c>
      <c r="AA5342">
        <v>0.99461299999999997</v>
      </c>
      <c r="AB5342">
        <v>28</v>
      </c>
      <c r="AC5342">
        <v>0.55510000000001003</v>
      </c>
      <c r="AD5342">
        <v>-5.7784000000000002E-2</v>
      </c>
      <c r="AE5342">
        <v>-1.21000000000037E-2</v>
      </c>
      <c r="AF5342">
        <v>8.2343689649364393E-2</v>
      </c>
      <c r="AG5342">
        <v>-5.7784000000000002E-2</v>
      </c>
      <c r="AH5342">
        <v>0.54307541181539298</v>
      </c>
      <c r="AI5342">
        <v>96.005372166752096</v>
      </c>
      <c r="AJ5342">
        <v>81.378211647330701</v>
      </c>
      <c r="AK5342">
        <v>0.55231365798749599</v>
      </c>
      <c r="AL5342">
        <v>93.262198572068598</v>
      </c>
      <c r="AM5342">
        <v>84.207161138294893</v>
      </c>
      <c r="AN5342">
        <v>1.0000000157853099</v>
      </c>
    </row>
    <row r="5343" spans="1:40" x14ac:dyDescent="0.25">
      <c r="A5343" t="str">
        <f>"20190305135738428"</f>
        <v>20190305135738428</v>
      </c>
      <c r="B5343" t="str">
        <f>"1551765458418191"</f>
        <v>1551765458418191</v>
      </c>
      <c r="C5343" t="s">
        <v>40</v>
      </c>
      <c r="D5343">
        <v>4.4793989999999999</v>
      </c>
      <c r="E5343">
        <v>0.50099799999999906</v>
      </c>
      <c r="F5343" t="s">
        <v>41</v>
      </c>
      <c r="G5343">
        <v>-165.16849999999999</v>
      </c>
      <c r="H5343">
        <v>1.0479270000000001</v>
      </c>
      <c r="I5343">
        <v>137.3689</v>
      </c>
      <c r="J5343">
        <v>-165.6694</v>
      </c>
      <c r="K5343">
        <v>1.106249</v>
      </c>
      <c r="L5343">
        <v>137.38589999999999</v>
      </c>
      <c r="M5343">
        <v>0.99221689999999996</v>
      </c>
      <c r="N5343">
        <v>-1.2859300000000001E-2</v>
      </c>
      <c r="O5343">
        <v>0.1238554</v>
      </c>
      <c r="P5343">
        <v>0.99732710000000002</v>
      </c>
      <c r="Q5343">
        <v>-6.9455310000000006E-2</v>
      </c>
      <c r="R5343">
        <v>2.2686789999999998E-2</v>
      </c>
      <c r="S5343">
        <v>2.9914700000000001</v>
      </c>
      <c r="T5343">
        <v>-0.2164326</v>
      </c>
      <c r="U5343">
        <v>6.7016599999999996E-2</v>
      </c>
      <c r="V5343">
        <v>0.10058640000000001</v>
      </c>
      <c r="W5343">
        <v>-5.7457309999999998E-2</v>
      </c>
      <c r="X5343">
        <v>0.99326780000000003</v>
      </c>
      <c r="Y5343">
        <v>0.10108200000000001</v>
      </c>
      <c r="Z5343">
        <v>-1.1635650000000001E-2</v>
      </c>
      <c r="AA5343">
        <v>0.99480999999999997</v>
      </c>
      <c r="AB5343">
        <v>28</v>
      </c>
      <c r="AC5343">
        <v>0.50090000000000101</v>
      </c>
      <c r="AD5343">
        <v>-5.8321999999999902E-2</v>
      </c>
      <c r="AE5343">
        <v>-1.69999999999959E-2</v>
      </c>
      <c r="AF5343">
        <v>7.7859067153204897E-2</v>
      </c>
      <c r="AG5343">
        <v>-5.8321999999999902E-2</v>
      </c>
      <c r="AH5343">
        <v>0.48832426945246798</v>
      </c>
      <c r="AI5343">
        <v>96.726571860272202</v>
      </c>
      <c r="AJ5343">
        <v>80.9409366815689</v>
      </c>
      <c r="AK5343">
        <v>0.49791975473790301</v>
      </c>
      <c r="AL5343">
        <v>93.293875615040506</v>
      </c>
      <c r="AM5343">
        <v>84.217475266764495</v>
      </c>
      <c r="AN5343">
        <v>0.99999994442711604</v>
      </c>
    </row>
    <row r="5344" spans="1:40" x14ac:dyDescent="0.25">
      <c r="A5344" t="str">
        <f>"20190305135738455"</f>
        <v>20190305135738455</v>
      </c>
      <c r="B5344" t="str">
        <f>"1551765458447470"</f>
        <v>1551765458447470</v>
      </c>
      <c r="C5344" t="s">
        <v>40</v>
      </c>
      <c r="D5344">
        <v>4.4105780000000001</v>
      </c>
      <c r="E5344">
        <v>0.50105749999999905</v>
      </c>
      <c r="F5344" t="s">
        <v>41</v>
      </c>
      <c r="G5344">
        <v>-164.9136</v>
      </c>
      <c r="H5344">
        <v>1.049569</v>
      </c>
      <c r="I5344">
        <v>137.4007</v>
      </c>
      <c r="J5344">
        <v>-165.33840000000001</v>
      </c>
      <c r="K5344">
        <v>1.10609</v>
      </c>
      <c r="L5344">
        <v>137.42150000000001</v>
      </c>
      <c r="M5344">
        <v>0.99283690000000002</v>
      </c>
      <c r="N5344">
        <v>-1.297979E-2</v>
      </c>
      <c r="O5344">
        <v>0.1187708</v>
      </c>
      <c r="P5344">
        <v>0.9974537</v>
      </c>
      <c r="Q5344">
        <v>-6.9091280000000005E-2</v>
      </c>
      <c r="R5344">
        <v>1.7678039999999999E-2</v>
      </c>
      <c r="S5344">
        <v>2.991104</v>
      </c>
      <c r="T5344">
        <v>-0.2242886</v>
      </c>
      <c r="U5344">
        <v>5.8837889999999997E-2</v>
      </c>
      <c r="V5344">
        <v>0.10046869999999999</v>
      </c>
      <c r="W5344">
        <v>-5.7015660000000003E-2</v>
      </c>
      <c r="X5344">
        <v>0.9933052</v>
      </c>
      <c r="Y5344">
        <v>9.8678710000000003E-2</v>
      </c>
      <c r="Z5344">
        <v>-1.166711E-2</v>
      </c>
      <c r="AA5344">
        <v>0.99505100000000002</v>
      </c>
      <c r="AB5344">
        <v>28</v>
      </c>
      <c r="AC5344">
        <v>0.42480000000000401</v>
      </c>
      <c r="AD5344">
        <v>-5.6521000000000002E-2</v>
      </c>
      <c r="AE5344">
        <v>-2.0800000000008301E-2</v>
      </c>
      <c r="AF5344">
        <v>6.9876750479968594E-2</v>
      </c>
      <c r="AG5344">
        <v>-5.6521000000000002E-2</v>
      </c>
      <c r="AH5344">
        <v>0.41204493965184902</v>
      </c>
      <c r="AI5344">
        <v>97.702008829825402</v>
      </c>
      <c r="AJ5344">
        <v>80.375051354944404</v>
      </c>
      <c r="AK5344">
        <v>0.42173263567257302</v>
      </c>
      <c r="AL5344">
        <v>93.268529255601294</v>
      </c>
      <c r="AM5344">
        <v>84.224411847984697</v>
      </c>
      <c r="AN5344">
        <v>0.99999998275598201</v>
      </c>
    </row>
    <row r="5345" spans="1:40" x14ac:dyDescent="0.25">
      <c r="A5345" t="str">
        <f>"20190305135738478"</f>
        <v>20190305135738478</v>
      </c>
      <c r="B5345" t="str">
        <f>"1551765458467967"</f>
        <v>1551765458467967</v>
      </c>
      <c r="C5345" t="s">
        <v>40</v>
      </c>
      <c r="D5345">
        <v>4.2955579999999998</v>
      </c>
      <c r="E5345">
        <v>0.50106390000000001</v>
      </c>
      <c r="F5345" t="s">
        <v>41</v>
      </c>
      <c r="G5345">
        <v>-164.41210000000001</v>
      </c>
      <c r="H5345">
        <v>1.0382340000000001</v>
      </c>
      <c r="I5345">
        <v>137.435</v>
      </c>
      <c r="J5345">
        <v>-165.0403</v>
      </c>
      <c r="K5345">
        <v>1.105958</v>
      </c>
      <c r="L5345">
        <v>137.452</v>
      </c>
      <c r="M5345">
        <v>0.99339500000000003</v>
      </c>
      <c r="N5345">
        <v>-1.307618E-2</v>
      </c>
      <c r="O5345">
        <v>0.113997</v>
      </c>
      <c r="P5345">
        <v>0.99756739999999999</v>
      </c>
      <c r="Q5345">
        <v>-6.8604940000000003E-2</v>
      </c>
      <c r="R5345">
        <v>1.2354260000000001E-2</v>
      </c>
      <c r="S5345">
        <v>2.991714</v>
      </c>
      <c r="T5345">
        <v>-0.2191072</v>
      </c>
      <c r="U5345">
        <v>4.3640140000000001E-2</v>
      </c>
      <c r="V5345">
        <v>0.1009844</v>
      </c>
      <c r="W5345">
        <v>-5.6472189999999998E-2</v>
      </c>
      <c r="X5345">
        <v>0.99328399999999994</v>
      </c>
      <c r="Y5345">
        <v>9.8987119999999998E-2</v>
      </c>
      <c r="Z5345">
        <v>-1.1098220000000001E-2</v>
      </c>
      <c r="AA5345">
        <v>0.99502679999999999</v>
      </c>
      <c r="AB5345">
        <v>28</v>
      </c>
      <c r="AC5345">
        <v>0.62819999999999199</v>
      </c>
      <c r="AD5345">
        <v>-6.7723999999999895E-2</v>
      </c>
      <c r="AE5345">
        <v>-1.69999999999959E-2</v>
      </c>
      <c r="AF5345">
        <v>8.7492091942228498E-2</v>
      </c>
      <c r="AG5345">
        <v>-6.7723999999999895E-2</v>
      </c>
      <c r="AH5345">
        <v>0.61502329616308204</v>
      </c>
      <c r="AI5345">
        <v>96.221732143054595</v>
      </c>
      <c r="AJ5345">
        <v>81.903532403507199</v>
      </c>
      <c r="AK5345">
        <v>0.624896040275284</v>
      </c>
      <c r="AL5345">
        <v>93.237340308669403</v>
      </c>
      <c r="AM5345">
        <v>84.194844987643293</v>
      </c>
      <c r="AN5345">
        <v>1.0000000309713699</v>
      </c>
    </row>
    <row r="5346" spans="1:40" x14ac:dyDescent="0.25">
      <c r="A5346" t="str">
        <f>"20190305135738503"</f>
        <v>20190305135738503</v>
      </c>
      <c r="B5346" t="str">
        <f>"1551765458498222"</f>
        <v>1551765458498222</v>
      </c>
      <c r="C5346" t="s">
        <v>40</v>
      </c>
      <c r="D5346">
        <v>4.7304919999999999</v>
      </c>
      <c r="E5346">
        <v>0.50081290000000001</v>
      </c>
      <c r="F5346" t="s">
        <v>41</v>
      </c>
      <c r="G5346">
        <v>-164.15719999999999</v>
      </c>
      <c r="H5346">
        <v>1.0409040000000001</v>
      </c>
      <c r="I5346">
        <v>137.46010000000001</v>
      </c>
      <c r="J5346">
        <v>-164.72470000000001</v>
      </c>
      <c r="K5346">
        <v>1.105834</v>
      </c>
      <c r="L5346">
        <v>137.48249999999999</v>
      </c>
      <c r="M5346">
        <v>0.99397780000000002</v>
      </c>
      <c r="N5346">
        <v>-1.316585E-2</v>
      </c>
      <c r="O5346">
        <v>0.1087885</v>
      </c>
      <c r="P5346">
        <v>0.99763170000000001</v>
      </c>
      <c r="Q5346">
        <v>-6.8468029999999999E-2</v>
      </c>
      <c r="R5346">
        <v>6.5792330000000003E-3</v>
      </c>
      <c r="S5346">
        <v>2.991806</v>
      </c>
      <c r="T5346">
        <v>-0.22039890000000001</v>
      </c>
      <c r="U5346">
        <v>2.7465819999999998E-2</v>
      </c>
      <c r="V5346">
        <v>0.1015148</v>
      </c>
      <c r="W5346">
        <v>-5.6280139999999999E-2</v>
      </c>
      <c r="X5346">
        <v>0.99324080000000003</v>
      </c>
      <c r="Y5346">
        <v>9.9153359999999996E-2</v>
      </c>
      <c r="Z5346">
        <v>-1.085817E-2</v>
      </c>
      <c r="AA5346">
        <v>0.99501289999999998</v>
      </c>
      <c r="AB5346">
        <v>28</v>
      </c>
      <c r="AC5346">
        <v>0.56750000000002299</v>
      </c>
      <c r="AD5346">
        <v>-6.4929999999999904E-2</v>
      </c>
      <c r="AE5346">
        <v>-2.2399999999976199E-2</v>
      </c>
      <c r="AF5346">
        <v>8.2925990709681194E-2</v>
      </c>
      <c r="AG5346">
        <v>-6.4929999999999904E-2</v>
      </c>
      <c r="AH5346">
        <v>0.55444743143310304</v>
      </c>
      <c r="AI5346">
        <v>96.606523337075501</v>
      </c>
      <c r="AJ5346">
        <v>81.493605037705194</v>
      </c>
      <c r="AK5346">
        <v>0.56436209923944003</v>
      </c>
      <c r="AL5346">
        <v>93.226319233638904</v>
      </c>
      <c r="AM5346">
        <v>84.164312407267204</v>
      </c>
      <c r="AN5346">
        <v>0.99999999778104898</v>
      </c>
    </row>
    <row r="5347" spans="1:40" x14ac:dyDescent="0.25">
      <c r="A5347" t="str">
        <f>"20190305135738535"</f>
        <v>20190305135738535</v>
      </c>
      <c r="B5347" t="str">
        <f>"1551765458527502"</f>
        <v>1551765458527502</v>
      </c>
      <c r="C5347" t="s">
        <v>40</v>
      </c>
      <c r="D5347">
        <v>4.5347629999999999</v>
      </c>
      <c r="E5347">
        <v>0.50066549999999999</v>
      </c>
      <c r="F5347" t="s">
        <v>41</v>
      </c>
      <c r="G5347">
        <v>-163.9014</v>
      </c>
      <c r="H5347">
        <v>1.0440179999999999</v>
      </c>
      <c r="I5347">
        <v>137.48570000000001</v>
      </c>
      <c r="J5347">
        <v>-164.32980000000001</v>
      </c>
      <c r="K5347">
        <v>1.105726</v>
      </c>
      <c r="L5347">
        <v>137.51820000000001</v>
      </c>
      <c r="M5347">
        <v>0.9946874</v>
      </c>
      <c r="N5347">
        <v>-1.326165E-2</v>
      </c>
      <c r="O5347">
        <v>0.10208299999999999</v>
      </c>
      <c r="P5347">
        <v>0.99746979999999996</v>
      </c>
      <c r="Q5347">
        <v>-7.106237E-2</v>
      </c>
      <c r="R5347">
        <v>1.9912110000000001E-3</v>
      </c>
      <c r="S5347">
        <v>2.9916230000000001</v>
      </c>
      <c r="T5347">
        <v>-0.22462460000000001</v>
      </c>
      <c r="U5347">
        <v>1.177979E-2</v>
      </c>
      <c r="V5347">
        <v>9.9330109999999999E-2</v>
      </c>
      <c r="W5347">
        <v>-5.87868E-2</v>
      </c>
      <c r="X5347">
        <v>0.99331650000000005</v>
      </c>
      <c r="Y5347">
        <v>9.7656729999999997E-2</v>
      </c>
      <c r="Z5347">
        <v>-1.0599249999999999E-2</v>
      </c>
      <c r="AA5347">
        <v>0.99516369999999998</v>
      </c>
      <c r="AB5347">
        <v>28</v>
      </c>
      <c r="AC5347">
        <v>0.42840000000001</v>
      </c>
      <c r="AD5347">
        <v>-6.1707999999999798E-2</v>
      </c>
      <c r="AE5347">
        <v>-3.2499999999998801E-2</v>
      </c>
      <c r="AF5347">
        <v>7.4528888971648805E-2</v>
      </c>
      <c r="AG5347">
        <v>-6.1707999999999798E-2</v>
      </c>
      <c r="AH5347">
        <v>0.41429680963391702</v>
      </c>
      <c r="AI5347">
        <v>98.339774568112603</v>
      </c>
      <c r="AJ5347">
        <v>79.801992368663505</v>
      </c>
      <c r="AK5347">
        <v>0.42544597662710398</v>
      </c>
      <c r="AL5347">
        <v>93.370178548200002</v>
      </c>
      <c r="AM5347">
        <v>84.289494812207195</v>
      </c>
      <c r="AN5347">
        <v>1.00000001388955</v>
      </c>
    </row>
    <row r="5348" spans="1:40" x14ac:dyDescent="0.25">
      <c r="A5348" t="str">
        <f>"20190305135738564"</f>
        <v>20190305135738564</v>
      </c>
      <c r="B5348" t="str">
        <f>"1551765458557758"</f>
        <v>1551765458557758</v>
      </c>
      <c r="C5348" t="s">
        <v>40</v>
      </c>
      <c r="D5348">
        <v>4.4589999999999996</v>
      </c>
      <c r="E5348">
        <v>0.50043400000000005</v>
      </c>
      <c r="F5348" t="s">
        <v>41</v>
      </c>
      <c r="G5348">
        <v>-163.39940000000001</v>
      </c>
      <c r="H5348">
        <v>1.0337689999999999</v>
      </c>
      <c r="I5348">
        <v>137.51779999999999</v>
      </c>
      <c r="J5348">
        <v>-163.94280000000001</v>
      </c>
      <c r="K5348">
        <v>1.1056509999999999</v>
      </c>
      <c r="L5348">
        <v>137.55029999999999</v>
      </c>
      <c r="M5348">
        <v>0.99535419999999997</v>
      </c>
      <c r="N5348">
        <v>-1.334051E-2</v>
      </c>
      <c r="O5348">
        <v>9.5351839999999993E-2</v>
      </c>
      <c r="P5348">
        <v>0.9974556</v>
      </c>
      <c r="Q5348">
        <v>-7.1231420000000004E-2</v>
      </c>
      <c r="R5348">
        <v>-2.8989699999999998E-3</v>
      </c>
      <c r="S5348">
        <v>2.9911349999999999</v>
      </c>
      <c r="T5348">
        <v>-0.23120109999999999</v>
      </c>
      <c r="U5348">
        <v>-8.8500979999999905E-4</v>
      </c>
      <c r="V5348">
        <v>9.7468230000000003E-2</v>
      </c>
      <c r="W5348">
        <v>-5.8878220000000002E-2</v>
      </c>
      <c r="X5348">
        <v>0.99349549999999998</v>
      </c>
      <c r="Y5348">
        <v>9.5128019999999994E-2</v>
      </c>
      <c r="Z5348">
        <v>-1.038559E-2</v>
      </c>
      <c r="AA5348">
        <v>0.99541089999999999</v>
      </c>
      <c r="AB5348">
        <v>28</v>
      </c>
      <c r="AC5348">
        <v>0.543399999999991</v>
      </c>
      <c r="AD5348">
        <v>-7.1881999999999696E-2</v>
      </c>
      <c r="AE5348">
        <v>-3.2499999999998801E-2</v>
      </c>
      <c r="AF5348">
        <v>8.2728233768456103E-2</v>
      </c>
      <c r="AG5348">
        <v>-7.1881999999999696E-2</v>
      </c>
      <c r="AH5348">
        <v>0.52860754333300997</v>
      </c>
      <c r="AI5348">
        <v>97.651775666675803</v>
      </c>
      <c r="AJ5348">
        <v>81.105236798465299</v>
      </c>
      <c r="AK5348">
        <v>0.53984897652492403</v>
      </c>
      <c r="AL5348">
        <v>93.375425648352206</v>
      </c>
      <c r="AM5348">
        <v>84.396850066491893</v>
      </c>
      <c r="AN5348">
        <v>1.00000000458497</v>
      </c>
    </row>
    <row r="5349" spans="1:40" x14ac:dyDescent="0.25">
      <c r="A5349" t="str">
        <f>"20190305135738588"</f>
        <v>20190305135738588</v>
      </c>
      <c r="B5349" t="str">
        <f>"1551765458578254"</f>
        <v>1551765458578254</v>
      </c>
      <c r="C5349" t="s">
        <v>40</v>
      </c>
      <c r="D5349">
        <v>4.5085769999999998</v>
      </c>
      <c r="E5349">
        <v>0.50040419999999997</v>
      </c>
      <c r="F5349" t="s">
        <v>41</v>
      </c>
      <c r="G5349">
        <v>-163.14169999999999</v>
      </c>
      <c r="H5349">
        <v>1.0433829999999999</v>
      </c>
      <c r="I5349">
        <v>137.54660000000001</v>
      </c>
      <c r="J5349">
        <v>-163.648</v>
      </c>
      <c r="K5349">
        <v>1.105613</v>
      </c>
      <c r="L5349">
        <v>137.57299999999901</v>
      </c>
      <c r="M5349">
        <v>0.99583759999999999</v>
      </c>
      <c r="N5349">
        <v>-1.3391709999999999E-2</v>
      </c>
      <c r="O5349">
        <v>9.0157440000000005E-2</v>
      </c>
      <c r="P5349">
        <v>0.99755689999999997</v>
      </c>
      <c r="Q5349">
        <v>-6.955604E-2</v>
      </c>
      <c r="R5349">
        <v>-6.4926259999999996E-3</v>
      </c>
      <c r="S5349">
        <v>2.9909970000000001</v>
      </c>
      <c r="T5349">
        <v>-0.232487</v>
      </c>
      <c r="U5349">
        <v>-1.3732909999999999E-2</v>
      </c>
      <c r="V5349">
        <v>9.5885230000000002E-2</v>
      </c>
      <c r="W5349">
        <v>-5.714549E-2</v>
      </c>
      <c r="X5349">
        <v>0.99375069999999999</v>
      </c>
      <c r="Y5349">
        <v>9.421823E-2</v>
      </c>
      <c r="Z5349">
        <v>-1.007161E-2</v>
      </c>
      <c r="AA5349">
        <v>0.99550059999999996</v>
      </c>
      <c r="AB5349">
        <v>28</v>
      </c>
      <c r="AC5349">
        <v>0.50630000000000996</v>
      </c>
      <c r="AD5349">
        <v>-6.2230000000000001E-2</v>
      </c>
      <c r="AE5349">
        <v>-2.6399999999966801E-2</v>
      </c>
      <c r="AF5349">
        <v>7.0875442090531995E-2</v>
      </c>
      <c r="AG5349">
        <v>-6.2230000000000001E-2</v>
      </c>
      <c r="AH5349">
        <v>0.49440849506763801</v>
      </c>
      <c r="AI5349">
        <v>97.102103308496893</v>
      </c>
      <c r="AJ5349">
        <v>81.842000368052197</v>
      </c>
      <c r="AK5349">
        <v>0.50332460816711</v>
      </c>
      <c r="AL5349">
        <v>93.275979995813401</v>
      </c>
      <c r="AM5349">
        <v>84.488693696155906</v>
      </c>
      <c r="AN5349">
        <v>1.00000001905499</v>
      </c>
    </row>
    <row r="5350" spans="1:40" x14ac:dyDescent="0.25">
      <c r="A5350" t="str">
        <f>"20190305135738610"</f>
        <v>20190305135738610</v>
      </c>
      <c r="B5350" t="str">
        <f>"1551765458597774"</f>
        <v>1551765458597774</v>
      </c>
      <c r="C5350" t="s">
        <v>40</v>
      </c>
      <c r="D5350">
        <v>4.4867569999999999</v>
      </c>
      <c r="E5350">
        <v>0.50044239999999995</v>
      </c>
      <c r="F5350" t="s">
        <v>41</v>
      </c>
      <c r="G5350">
        <v>-162.88460000000001</v>
      </c>
      <c r="H5350">
        <v>1.04803</v>
      </c>
      <c r="I5350">
        <v>137.5667</v>
      </c>
      <c r="J5350">
        <v>-163.3648</v>
      </c>
      <c r="K5350">
        <v>1.1055839999999999</v>
      </c>
      <c r="L5350">
        <v>137.5932</v>
      </c>
      <c r="M5350">
        <v>0.99628039999999995</v>
      </c>
      <c r="N5350">
        <v>-1.343447E-2</v>
      </c>
      <c r="O5350">
        <v>8.511676E-2</v>
      </c>
      <c r="P5350">
        <v>0.99764589999999997</v>
      </c>
      <c r="Q5350">
        <v>-6.7924479999999995E-2</v>
      </c>
      <c r="R5350">
        <v>-9.4482139999999999E-3</v>
      </c>
      <c r="S5350">
        <v>2.9914700000000001</v>
      </c>
      <c r="T5350">
        <v>-0.22558239999999999</v>
      </c>
      <c r="U5350">
        <v>-2.4108890000000001E-2</v>
      </c>
      <c r="V5350">
        <v>9.3822069999999994E-2</v>
      </c>
      <c r="W5350">
        <v>-5.545713E-2</v>
      </c>
      <c r="X5350">
        <v>0.99404320000000002</v>
      </c>
      <c r="Y5350">
        <v>9.2678490000000002E-2</v>
      </c>
      <c r="Z5350">
        <v>-9.3738869999999992E-3</v>
      </c>
      <c r="AA5350">
        <v>0.99565199999999998</v>
      </c>
      <c r="AB5350">
        <v>28</v>
      </c>
      <c r="AC5350">
        <v>0.48019999999999602</v>
      </c>
      <c r="AD5350">
        <v>-5.7554000000000098E-2</v>
      </c>
      <c r="AE5350">
        <v>-2.6499999999998601E-2</v>
      </c>
      <c r="AF5350">
        <v>6.6330622383840507E-2</v>
      </c>
      <c r="AG5350">
        <v>-5.7554000000000098E-2</v>
      </c>
      <c r="AH5350">
        <v>0.46947764640319301</v>
      </c>
      <c r="AI5350">
        <v>96.9210460273884</v>
      </c>
      <c r="AJ5350">
        <v>81.958136007902496</v>
      </c>
      <c r="AK5350">
        <v>0.477620639057934</v>
      </c>
      <c r="AL5350">
        <v>93.179090527884995</v>
      </c>
      <c r="AM5350">
        <v>84.608151099425299</v>
      </c>
      <c r="AN5350">
        <v>0.99999997877657998</v>
      </c>
    </row>
    <row r="5351" spans="1:40" x14ac:dyDescent="0.25">
      <c r="A5351" t="str">
        <f>"20190305135738633"</f>
        <v>20190305135738633</v>
      </c>
      <c r="B5351" t="str">
        <f>"1551765458628031"</f>
        <v>1551765458628031</v>
      </c>
      <c r="C5351" t="s">
        <v>40</v>
      </c>
      <c r="D5351">
        <v>4.6882129999999904</v>
      </c>
      <c r="E5351">
        <v>0.5006467</v>
      </c>
      <c r="F5351" t="s">
        <v>41</v>
      </c>
      <c r="G5351">
        <v>-162.38630000000001</v>
      </c>
      <c r="H5351">
        <v>1.0340560000000001</v>
      </c>
      <c r="I5351">
        <v>137.5822</v>
      </c>
      <c r="J5351">
        <v>-163.0745</v>
      </c>
      <c r="K5351">
        <v>1.1055699999999999</v>
      </c>
      <c r="L5351">
        <v>137.6122</v>
      </c>
      <c r="M5351">
        <v>0.99671109999999896</v>
      </c>
      <c r="N5351">
        <v>-1.347228E-2</v>
      </c>
      <c r="O5351">
        <v>7.9911250000000003E-2</v>
      </c>
      <c r="P5351">
        <v>0.99768190000000001</v>
      </c>
      <c r="Q5351">
        <v>-6.6801529999999998E-2</v>
      </c>
      <c r="R5351">
        <v>-1.298593E-2</v>
      </c>
      <c r="S5351">
        <v>2.9918670000000001</v>
      </c>
      <c r="T5351">
        <v>-0.21863930000000001</v>
      </c>
      <c r="U5351">
        <v>-3.311157E-2</v>
      </c>
      <c r="V5351">
        <v>9.2168849999999997E-2</v>
      </c>
      <c r="W5351">
        <v>-5.4284550000000001E-2</v>
      </c>
      <c r="X5351">
        <v>0.9942626</v>
      </c>
      <c r="Y5351">
        <v>9.0517319999999998E-2</v>
      </c>
      <c r="Z5351">
        <v>-8.6652259999999998E-3</v>
      </c>
      <c r="AA5351">
        <v>0.9958572</v>
      </c>
      <c r="AB5351">
        <v>28</v>
      </c>
      <c r="AC5351">
        <v>0.68819999999999404</v>
      </c>
      <c r="AD5351">
        <v>-7.15140000000003E-2</v>
      </c>
      <c r="AE5351">
        <v>-3.0000000000001099E-2</v>
      </c>
      <c r="AF5351">
        <v>8.3998630174417804E-2</v>
      </c>
      <c r="AG5351">
        <v>-7.15140000000003E-2</v>
      </c>
      <c r="AH5351">
        <v>0.67631204449550297</v>
      </c>
      <c r="AI5351">
        <v>95.990401995376203</v>
      </c>
      <c r="AJ5351">
        <v>82.920063277520001</v>
      </c>
      <c r="AK5351">
        <v>0.68525032185097601</v>
      </c>
      <c r="AL5351">
        <v>93.111805161309306</v>
      </c>
      <c r="AM5351">
        <v>84.703776782148395</v>
      </c>
      <c r="AN5351">
        <v>1.00000001351889</v>
      </c>
    </row>
    <row r="5352" spans="1:40" x14ac:dyDescent="0.25">
      <c r="A5352" t="str">
        <f>"20190305135738668"</f>
        <v>20190305135738668</v>
      </c>
      <c r="B5352" t="str">
        <f>"1551765458658286"</f>
        <v>1551765458658286</v>
      </c>
      <c r="C5352" t="s">
        <v>40</v>
      </c>
      <c r="D5352">
        <v>4.5168169999999996</v>
      </c>
      <c r="E5352">
        <v>0.50066529999999998</v>
      </c>
      <c r="F5352" t="s">
        <v>41</v>
      </c>
      <c r="G5352">
        <v>-162.13159999999999</v>
      </c>
      <c r="H5352">
        <v>1.0382129999999901</v>
      </c>
      <c r="I5352">
        <v>137.59790000000001</v>
      </c>
      <c r="J5352">
        <v>-162.63390000000001</v>
      </c>
      <c r="K5352">
        <v>1.1055459999999999</v>
      </c>
      <c r="L5352">
        <v>137.63829999999999</v>
      </c>
      <c r="M5352">
        <v>0.9973149</v>
      </c>
      <c r="N5352">
        <v>-1.351983E-2</v>
      </c>
      <c r="O5352">
        <v>7.1974079999999996E-2</v>
      </c>
      <c r="P5352">
        <v>0.99747940000000002</v>
      </c>
      <c r="Q5352">
        <v>-6.8222640000000001E-2</v>
      </c>
      <c r="R5352">
        <v>-1.9507070000000001E-2</v>
      </c>
      <c r="S5352">
        <v>2.9920650000000002</v>
      </c>
      <c r="T5352">
        <v>-0.21373400000000001</v>
      </c>
      <c r="U5352">
        <v>-4.527283E-2</v>
      </c>
      <c r="V5352">
        <v>9.0731019999999996E-2</v>
      </c>
      <c r="W5352">
        <v>-5.5649289999999997E-2</v>
      </c>
      <c r="X5352">
        <v>0.99431939999999996</v>
      </c>
      <c r="Y5352">
        <v>8.6679350000000002E-2</v>
      </c>
      <c r="Z5352">
        <v>-7.8380180000000004E-3</v>
      </c>
      <c r="AA5352">
        <v>0.99620540000000002</v>
      </c>
      <c r="AB5352">
        <v>28</v>
      </c>
      <c r="AC5352">
        <v>0.50230000000001895</v>
      </c>
      <c r="AD5352">
        <v>-6.7333000000000004E-2</v>
      </c>
      <c r="AE5352">
        <v>-4.0399999999976899E-2</v>
      </c>
      <c r="AF5352">
        <v>7.5110091364543899E-2</v>
      </c>
      <c r="AG5352">
        <v>-6.7333000000000004E-2</v>
      </c>
      <c r="AH5352">
        <v>0.48935226200187898</v>
      </c>
      <c r="AI5352">
        <v>97.744905307454502</v>
      </c>
      <c r="AJ5352">
        <v>81.273840283025805</v>
      </c>
      <c r="AK5352">
        <v>0.49964076599107199</v>
      </c>
      <c r="AL5352">
        <v>93.190117397024096</v>
      </c>
      <c r="AM5352">
        <v>84.786234871386199</v>
      </c>
      <c r="AN5352">
        <v>1.0000000153420501</v>
      </c>
    </row>
    <row r="5353" spans="1:40" x14ac:dyDescent="0.25">
      <c r="A5353" t="str">
        <f>"20190305135738700"</f>
        <v>20190305135738700</v>
      </c>
      <c r="B5353" t="str">
        <f>"1551765458687567"</f>
        <v>1551765458687567</v>
      </c>
      <c r="C5353" t="s">
        <v>40</v>
      </c>
      <c r="D5353">
        <v>4.6168950000000004</v>
      </c>
      <c r="E5353">
        <v>0.50036519999999995</v>
      </c>
      <c r="F5353" t="s">
        <v>41</v>
      </c>
      <c r="G5353">
        <v>-161.8706</v>
      </c>
      <c r="H5353">
        <v>1.0501879999999999</v>
      </c>
      <c r="I5353">
        <v>137.6216</v>
      </c>
      <c r="J5353">
        <v>-162.23079999999999</v>
      </c>
      <c r="K5353">
        <v>1.1055619999999999</v>
      </c>
      <c r="L5353">
        <v>137.65880000000001</v>
      </c>
      <c r="M5353">
        <v>0.99781330000000001</v>
      </c>
      <c r="N5353">
        <v>-1.355374E-2</v>
      </c>
      <c r="O5353">
        <v>6.4690940000000002E-2</v>
      </c>
      <c r="P5353">
        <v>0.99725549999999996</v>
      </c>
      <c r="Q5353">
        <v>-6.9291560000000002E-2</v>
      </c>
      <c r="R5353">
        <v>-2.6082500000000002E-2</v>
      </c>
      <c r="S5353">
        <v>2.9914860000000001</v>
      </c>
      <c r="T5353">
        <v>-0.21687329999999999</v>
      </c>
      <c r="U5353">
        <v>-6.4758300000000005E-2</v>
      </c>
      <c r="V5353">
        <v>9.0012579999999995E-2</v>
      </c>
      <c r="W5353">
        <v>-5.6677930000000001E-2</v>
      </c>
      <c r="X5353">
        <v>0.99432659999999995</v>
      </c>
      <c r="Y5353">
        <v>8.589919E-2</v>
      </c>
      <c r="Z5353">
        <v>-7.4978390000000001E-3</v>
      </c>
      <c r="AA5353">
        <v>0.99627560000000004</v>
      </c>
      <c r="AB5353">
        <v>28</v>
      </c>
      <c r="AC5353">
        <v>0.36019999999999103</v>
      </c>
      <c r="AD5353">
        <v>-5.5374000000000201E-2</v>
      </c>
      <c r="AE5353">
        <v>-3.7200000000012702E-2</v>
      </c>
      <c r="AF5353">
        <v>5.9045175862300403E-2</v>
      </c>
      <c r="AG5353">
        <v>-5.5374000000000201E-2</v>
      </c>
      <c r="AH5353">
        <v>0.34888046110552701</v>
      </c>
      <c r="AI5353">
        <v>98.8942907429863</v>
      </c>
      <c r="AJ5353">
        <v>80.394178450033806</v>
      </c>
      <c r="AK5353">
        <v>0.35814827768651197</v>
      </c>
      <c r="AL5353">
        <v>93.249147288660893</v>
      </c>
      <c r="AM5353">
        <v>84.827331693430807</v>
      </c>
      <c r="AN5353">
        <v>1.0000000198874499</v>
      </c>
    </row>
    <row r="5354" spans="1:40" x14ac:dyDescent="0.25">
      <c r="A5354" t="str">
        <f>"20190305135738720"</f>
        <v>20190305135738720</v>
      </c>
      <c r="B5354" t="str">
        <f>"1551765458708063"</f>
        <v>1551765458708063</v>
      </c>
      <c r="C5354" t="s">
        <v>40</v>
      </c>
      <c r="D5354">
        <v>4.6479200000000001</v>
      </c>
      <c r="E5354">
        <v>0.5006003</v>
      </c>
      <c r="F5354" t="s">
        <v>41</v>
      </c>
      <c r="G5354">
        <v>-161.3725</v>
      </c>
      <c r="H5354">
        <v>1.04169</v>
      </c>
      <c r="I5354">
        <v>137.63509999999999</v>
      </c>
      <c r="J5354">
        <v>-161.9751</v>
      </c>
      <c r="K5354">
        <v>1.105586</v>
      </c>
      <c r="L5354">
        <v>137.6705</v>
      </c>
      <c r="M5354">
        <v>0.99810189999999999</v>
      </c>
      <c r="N5354">
        <v>-1.357175E-2</v>
      </c>
      <c r="O5354">
        <v>6.0069789999999998E-2</v>
      </c>
      <c r="P5354">
        <v>0.99728159999999999</v>
      </c>
      <c r="Q5354">
        <v>-6.7692240000000001E-2</v>
      </c>
      <c r="R5354">
        <v>-2.911147E-2</v>
      </c>
      <c r="S5354">
        <v>2.9906160000000002</v>
      </c>
      <c r="T5354">
        <v>-0.22248270000000001</v>
      </c>
      <c r="U5354">
        <v>-8.2229609999999995E-2</v>
      </c>
      <c r="V5354">
        <v>8.8452320000000001E-2</v>
      </c>
      <c r="W5354">
        <v>-5.5041499999999903E-2</v>
      </c>
      <c r="X5354">
        <v>0.99455850000000001</v>
      </c>
      <c r="Y5354">
        <v>8.7093110000000001E-2</v>
      </c>
      <c r="Z5354">
        <v>-7.4728989999999999E-3</v>
      </c>
      <c r="AA5354">
        <v>0.9961721</v>
      </c>
      <c r="AB5354">
        <v>28</v>
      </c>
      <c r="AC5354">
        <v>0.60259999999999503</v>
      </c>
      <c r="AD5354">
        <v>-6.3895999999999897E-2</v>
      </c>
      <c r="AE5354">
        <v>-3.5400000000009799E-2</v>
      </c>
      <c r="AF5354">
        <v>7.0744791451559097E-2</v>
      </c>
      <c r="AG5354">
        <v>-6.3895999999999897E-2</v>
      </c>
      <c r="AH5354">
        <v>0.59274354397940798</v>
      </c>
      <c r="AI5354">
        <v>96.109528434989201</v>
      </c>
      <c r="AJ5354">
        <v>83.193862027701698</v>
      </c>
      <c r="AK5354">
        <v>0.60036025290053396</v>
      </c>
      <c r="AL5354">
        <v>93.155240202677604</v>
      </c>
      <c r="AM5354">
        <v>84.917698883039094</v>
      </c>
      <c r="AN5354">
        <v>0.99999999477894097</v>
      </c>
    </row>
    <row r="5355" spans="1:40" x14ac:dyDescent="0.25">
      <c r="A5355" t="str">
        <f>"20190305135738740"</f>
        <v>20190305135738740</v>
      </c>
      <c r="B5355" t="str">
        <f>"1551765458727583"</f>
        <v>1551765458727583</v>
      </c>
      <c r="C5355" t="s">
        <v>40</v>
      </c>
      <c r="D5355">
        <v>4.5063440000000003</v>
      </c>
      <c r="E5355">
        <v>0.50057399999999996</v>
      </c>
      <c r="F5355" t="s">
        <v>41</v>
      </c>
      <c r="G5355">
        <v>-161.11850000000001</v>
      </c>
      <c r="H5355">
        <v>1.043865</v>
      </c>
      <c r="I5355">
        <v>137.6438</v>
      </c>
      <c r="J5355">
        <v>-161.72069999999999</v>
      </c>
      <c r="K5355">
        <v>1.105613</v>
      </c>
      <c r="L5355">
        <v>137.6808</v>
      </c>
      <c r="M5355">
        <v>0.99836760000000002</v>
      </c>
      <c r="N5355">
        <v>-1.3587200000000001E-2</v>
      </c>
      <c r="O5355">
        <v>5.5476049999999999E-2</v>
      </c>
      <c r="P5355">
        <v>0.99732399999999999</v>
      </c>
      <c r="Q5355">
        <v>-6.5587190000000004E-2</v>
      </c>
      <c r="R5355">
        <v>-3.2297760000000002E-2</v>
      </c>
      <c r="S5355">
        <v>2.9908290000000002</v>
      </c>
      <c r="T5355">
        <v>-0.21546489999999999</v>
      </c>
      <c r="U5355">
        <v>-9.3109129999999998E-2</v>
      </c>
      <c r="V5355">
        <v>8.7083350000000004E-2</v>
      </c>
      <c r="W5355">
        <v>-5.2903029999999997E-2</v>
      </c>
      <c r="X5355">
        <v>0.99479530000000005</v>
      </c>
      <c r="Y5355">
        <v>8.6162970000000005E-2</v>
      </c>
      <c r="Z5355">
        <v>-6.9221630000000003E-3</v>
      </c>
      <c r="AA5355">
        <v>0.99625699999999995</v>
      </c>
      <c r="AB5355">
        <v>28</v>
      </c>
      <c r="AC5355">
        <v>0.60219999999998197</v>
      </c>
      <c r="AD5355">
        <v>-6.17479999999999E-2</v>
      </c>
      <c r="AE5355">
        <v>-3.7000000000006097E-2</v>
      </c>
      <c r="AF5355">
        <v>6.9624497739257205E-2</v>
      </c>
      <c r="AG5355">
        <v>-6.17479999999999E-2</v>
      </c>
      <c r="AH5355">
        <v>0.59300826065581802</v>
      </c>
      <c r="AI5355">
        <v>95.904331853788094</v>
      </c>
      <c r="AJ5355">
        <v>83.3036179918263</v>
      </c>
      <c r="AK5355">
        <v>0.60026592723182504</v>
      </c>
      <c r="AL5355">
        <v>93.0325361148941</v>
      </c>
      <c r="AM5355">
        <v>84.997139897060805</v>
      </c>
      <c r="AN5355">
        <v>0.99999996466624597</v>
      </c>
    </row>
    <row r="5356" spans="1:40" x14ac:dyDescent="0.25">
      <c r="A5356" t="str">
        <f>"20190305135738762"</f>
        <v>20190305135738762</v>
      </c>
      <c r="B5356" t="str">
        <f>"1551765458757838"</f>
        <v>1551765458757838</v>
      </c>
      <c r="C5356" t="s">
        <v>40</v>
      </c>
      <c r="D5356">
        <v>4.5244260000000001</v>
      </c>
      <c r="E5356">
        <v>0.50048409999999999</v>
      </c>
      <c r="F5356" t="s">
        <v>41</v>
      </c>
      <c r="G5356">
        <v>-160.8646</v>
      </c>
      <c r="H5356">
        <v>1.046014</v>
      </c>
      <c r="I5356">
        <v>137.6514</v>
      </c>
      <c r="J5356">
        <v>-161.441</v>
      </c>
      <c r="K5356">
        <v>1.105648</v>
      </c>
      <c r="L5356">
        <v>137.6908</v>
      </c>
      <c r="M5356">
        <v>0.99863449999999998</v>
      </c>
      <c r="N5356">
        <v>-1.360156E-2</v>
      </c>
      <c r="O5356">
        <v>5.0438650000000002E-2</v>
      </c>
      <c r="P5356">
        <v>0.99724040000000003</v>
      </c>
      <c r="Q5356">
        <v>-6.4620189999999994E-2</v>
      </c>
      <c r="R5356">
        <v>-3.6549230000000002E-2</v>
      </c>
      <c r="S5356">
        <v>2.9910429999999999</v>
      </c>
      <c r="T5356">
        <v>-0.20815649999999999</v>
      </c>
      <c r="U5356">
        <v>-0.1023712</v>
      </c>
      <c r="V5356">
        <v>8.6320330000000001E-2</v>
      </c>
      <c r="W5356">
        <v>-5.1910240000000003E-2</v>
      </c>
      <c r="X5356">
        <v>0.99491410000000002</v>
      </c>
      <c r="Y5356">
        <v>8.425378E-2</v>
      </c>
      <c r="Z5356">
        <v>-6.3206520000000004E-3</v>
      </c>
      <c r="AA5356">
        <v>0.99642430000000004</v>
      </c>
      <c r="AB5356">
        <v>28</v>
      </c>
      <c r="AC5356">
        <v>0.57640000000000602</v>
      </c>
      <c r="AD5356">
        <v>-5.9633999999999902E-2</v>
      </c>
      <c r="AE5356">
        <v>-3.9400000000000497E-2</v>
      </c>
      <c r="AF5356">
        <v>6.7704045990114897E-2</v>
      </c>
      <c r="AG5356">
        <v>-5.9633999999999902E-2</v>
      </c>
      <c r="AH5356">
        <v>0.56763115247125095</v>
      </c>
      <c r="AI5356">
        <v>95.955454204326401</v>
      </c>
      <c r="AJ5356">
        <v>83.198195752133003</v>
      </c>
      <c r="AK5356">
        <v>0.57475662419433804</v>
      </c>
      <c r="AL5356">
        <v>92.975575145382194</v>
      </c>
      <c r="AM5356">
        <v>85.041344362009994</v>
      </c>
      <c r="AN5356">
        <v>0.99999996938348701</v>
      </c>
    </row>
    <row r="5357" spans="1:40" x14ac:dyDescent="0.25">
      <c r="A5357" t="str">
        <f>"20190305135738788"</f>
        <v>20190305135738788</v>
      </c>
      <c r="B5357" t="str">
        <f>"1551765458778334"</f>
        <v>1551765458778334</v>
      </c>
      <c r="C5357" t="s">
        <v>40</v>
      </c>
      <c r="D5357">
        <v>4.6527070000000004</v>
      </c>
      <c r="E5357">
        <v>0.50061880000000003</v>
      </c>
      <c r="F5357" t="s">
        <v>41</v>
      </c>
      <c r="G5357">
        <v>-160.61019999999999</v>
      </c>
      <c r="H5357">
        <v>1.0489599999999999</v>
      </c>
      <c r="I5357">
        <v>137.65899999999999</v>
      </c>
      <c r="J5357">
        <v>-161.1199</v>
      </c>
      <c r="K5357">
        <v>1.1056779999999999</v>
      </c>
      <c r="L5357">
        <v>137.70070000000001</v>
      </c>
      <c r="M5357">
        <v>0.99890880000000004</v>
      </c>
      <c r="N5357">
        <v>-1.361506E-2</v>
      </c>
      <c r="O5357">
        <v>4.467583E-2</v>
      </c>
      <c r="P5357">
        <v>0.99710679999999996</v>
      </c>
      <c r="Q5357">
        <v>-6.417088E-2</v>
      </c>
      <c r="R5357">
        <v>-4.0744900000000001E-2</v>
      </c>
      <c r="S5357">
        <v>2.9908600000000001</v>
      </c>
      <c r="T5357">
        <v>-0.20400509999999999</v>
      </c>
      <c r="U5357">
        <v>-0.1143188</v>
      </c>
      <c r="V5357">
        <v>8.4775539999999996E-2</v>
      </c>
      <c r="W5357">
        <v>-5.1426409999999999E-2</v>
      </c>
      <c r="X5357">
        <v>0.99507210000000001</v>
      </c>
      <c r="Y5357">
        <v>8.2507839999999999E-2</v>
      </c>
      <c r="Z5357">
        <v>-5.8073419999999897E-3</v>
      </c>
      <c r="AA5357">
        <v>0.9965735</v>
      </c>
      <c r="AB5357">
        <v>28</v>
      </c>
      <c r="AC5357">
        <v>0.50970000000000903</v>
      </c>
      <c r="AD5357">
        <v>-5.6717999999999998E-2</v>
      </c>
      <c r="AE5357">
        <v>-4.1700000000019999E-2</v>
      </c>
      <c r="AF5357">
        <v>6.3648837561038299E-2</v>
      </c>
      <c r="AG5357">
        <v>-5.6717999999999998E-2</v>
      </c>
      <c r="AH5357">
        <v>0.501163379198723</v>
      </c>
      <c r="AI5357">
        <v>96.405821569287099</v>
      </c>
      <c r="AJ5357">
        <v>82.762060494127297</v>
      </c>
      <c r="AK5357">
        <v>0.50836290059046796</v>
      </c>
      <c r="AL5357">
        <v>92.947816483154398</v>
      </c>
      <c r="AM5357">
        <v>85.130423439773494</v>
      </c>
      <c r="AN5357">
        <v>1.0000000260130899</v>
      </c>
    </row>
    <row r="5358" spans="1:40" x14ac:dyDescent="0.25">
      <c r="A5358" t="str">
        <f>"20190305135738808"</f>
        <v>20190305135738808</v>
      </c>
      <c r="B5358" t="str">
        <f>"1551765458797855"</f>
        <v>1551765458797855</v>
      </c>
      <c r="C5358" t="s">
        <v>40</v>
      </c>
      <c r="D5358">
        <v>4.5233930000000004</v>
      </c>
      <c r="E5358">
        <v>0.5005598</v>
      </c>
      <c r="F5358" t="s">
        <v>42</v>
      </c>
      <c r="G5358">
        <v>-144.67490000000001</v>
      </c>
      <c r="H5358" s="1">
        <v>-2.7312619999999998E-6</v>
      </c>
      <c r="I5358">
        <v>136.99760000000001</v>
      </c>
      <c r="J5358">
        <v>-160.8554</v>
      </c>
      <c r="K5358">
        <v>1.105712</v>
      </c>
      <c r="L5358">
        <v>137.70740000000001</v>
      </c>
      <c r="M5358">
        <v>0.99910829999999995</v>
      </c>
      <c r="N5358">
        <v>-1.362375E-2</v>
      </c>
      <c r="O5358">
        <v>3.9964149999999997E-2</v>
      </c>
      <c r="P5358">
        <v>0.99704530000000002</v>
      </c>
      <c r="Q5358">
        <v>-6.3949339999999993E-2</v>
      </c>
      <c r="R5358">
        <v>-4.25595E-2</v>
      </c>
      <c r="S5358">
        <v>2.9905550000000001</v>
      </c>
      <c r="T5358">
        <v>-0.20106969999999999</v>
      </c>
      <c r="U5358">
        <v>-0.12785339999999901</v>
      </c>
      <c r="V5358">
        <v>8.1901479999999999E-2</v>
      </c>
      <c r="W5358">
        <v>-5.1160400000000002E-2</v>
      </c>
      <c r="X5358">
        <v>0.9953265</v>
      </c>
      <c r="Y5358">
        <v>8.2330029999999998E-2</v>
      </c>
      <c r="Z5358">
        <v>-5.4642400000000004E-3</v>
      </c>
      <c r="AA5358">
        <v>0.99659010000000003</v>
      </c>
      <c r="AB5358">
        <v>28</v>
      </c>
      <c r="AC5358">
        <v>16.180499999999899</v>
      </c>
      <c r="AD5358">
        <v>-1.1057147312619999</v>
      </c>
      <c r="AE5358">
        <v>-0.70980000000000099</v>
      </c>
      <c r="AF5358">
        <v>1.3496422371307699</v>
      </c>
      <c r="AG5358">
        <v>-1.1057147312619999</v>
      </c>
      <c r="AH5358">
        <v>16.0643282333934</v>
      </c>
      <c r="AI5358">
        <v>93.923703296045204</v>
      </c>
      <c r="AJ5358">
        <v>85.197581379854398</v>
      </c>
      <c r="AK5358">
        <v>16.1587988670376</v>
      </c>
      <c r="AL5358">
        <v>92.932555101711003</v>
      </c>
      <c r="AM5358">
        <v>85.295954892421193</v>
      </c>
      <c r="AN5358">
        <v>1.00000004027829</v>
      </c>
    </row>
    <row r="5359" spans="1:40" x14ac:dyDescent="0.25">
      <c r="A5359" t="str">
        <f>"20190305135738832"</f>
        <v>20190305135738832</v>
      </c>
      <c r="B5359" t="str">
        <f>"1551765458828111"</f>
        <v>1551765458828111</v>
      </c>
      <c r="C5359" t="s">
        <v>40</v>
      </c>
      <c r="D5359">
        <v>4.5273789999999998</v>
      </c>
      <c r="E5359">
        <v>0.50059449999999905</v>
      </c>
      <c r="F5359" t="s">
        <v>42</v>
      </c>
      <c r="G5359">
        <v>-144.31319999999999</v>
      </c>
      <c r="H5359" s="1">
        <v>-2.8908349999999998E-6</v>
      </c>
      <c r="I5359">
        <v>136.97280000000001</v>
      </c>
      <c r="J5359">
        <v>-160.57679999999999</v>
      </c>
      <c r="K5359">
        <v>1.1057619999999999</v>
      </c>
      <c r="L5359">
        <v>137.7131</v>
      </c>
      <c r="M5359">
        <v>0.99929239999999997</v>
      </c>
      <c r="N5359">
        <v>-1.362999E-2</v>
      </c>
      <c r="O5359">
        <v>3.505817E-2</v>
      </c>
      <c r="P5359">
        <v>0.99706539999999999</v>
      </c>
      <c r="Q5359">
        <v>-6.2170400000000001E-2</v>
      </c>
      <c r="R5359">
        <v>-4.4670349999999998E-2</v>
      </c>
      <c r="S5359">
        <v>2.990402</v>
      </c>
      <c r="T5359">
        <v>-0.19988359999999999</v>
      </c>
      <c r="U5359">
        <v>-0.13278199999999901</v>
      </c>
      <c r="V5359">
        <v>7.9149890000000001E-2</v>
      </c>
      <c r="W5359">
        <v>-4.9336379999999999E-2</v>
      </c>
      <c r="X5359">
        <v>0.99564109999999995</v>
      </c>
      <c r="Y5359">
        <v>7.9096899999999998E-2</v>
      </c>
      <c r="Z5359">
        <v>-5.0417969999999998E-3</v>
      </c>
      <c r="AA5359">
        <v>0.99685420000000002</v>
      </c>
      <c r="AB5359">
        <v>28</v>
      </c>
      <c r="AC5359">
        <v>16.263599999999901</v>
      </c>
      <c r="AD5359">
        <v>-1.105764890835</v>
      </c>
      <c r="AE5359">
        <v>-0.74029999999998997</v>
      </c>
      <c r="AF5359">
        <v>1.3040540751852701</v>
      </c>
      <c r="AG5359">
        <v>-1.105764890835</v>
      </c>
      <c r="AH5359">
        <v>16.153128430673</v>
      </c>
      <c r="AI5359">
        <v>93.903421886261199</v>
      </c>
      <c r="AJ5359">
        <v>85.3844788747693</v>
      </c>
      <c r="AK5359">
        <v>16.243362679033702</v>
      </c>
      <c r="AL5359">
        <v>92.827914393547104</v>
      </c>
      <c r="AM5359">
        <v>85.4547501556398</v>
      </c>
      <c r="AN5359">
        <v>0.999999991743863</v>
      </c>
    </row>
    <row r="5360" spans="1:40" x14ac:dyDescent="0.25">
      <c r="A5360" t="str">
        <f>"20190305135738857"</f>
        <v>20190305135738857</v>
      </c>
      <c r="B5360" t="str">
        <f>"1551765458847630"</f>
        <v>1551765458847630</v>
      </c>
      <c r="C5360" t="s">
        <v>40</v>
      </c>
      <c r="D5360">
        <v>4.540349</v>
      </c>
      <c r="E5360">
        <v>0.50054350000000003</v>
      </c>
      <c r="F5360" t="s">
        <v>41</v>
      </c>
      <c r="G5360">
        <v>-159.61000000000001</v>
      </c>
      <c r="H5360">
        <v>1.043023</v>
      </c>
      <c r="I5360">
        <v>137.66800000000001</v>
      </c>
      <c r="J5360">
        <v>-160.25120000000001</v>
      </c>
      <c r="K5360">
        <v>1.1058349999999999</v>
      </c>
      <c r="L5360">
        <v>137.71809999999999</v>
      </c>
      <c r="M5360">
        <v>0.99947379999999997</v>
      </c>
      <c r="N5360">
        <v>-1.363374E-2</v>
      </c>
      <c r="O5360">
        <v>2.9433830000000001E-2</v>
      </c>
      <c r="P5360">
        <v>0.99702950000000001</v>
      </c>
      <c r="Q5360">
        <v>-5.9358500000000002E-2</v>
      </c>
      <c r="R5360">
        <v>-4.9082639999999997E-2</v>
      </c>
      <c r="S5360">
        <v>2.9904790000000001</v>
      </c>
      <c r="T5360">
        <v>-0.19400800000000001</v>
      </c>
      <c r="U5360">
        <v>-0.1393433</v>
      </c>
      <c r="V5360">
        <v>7.7993290000000007E-2</v>
      </c>
      <c r="W5360">
        <v>-4.6492110000000003E-2</v>
      </c>
      <c r="X5360">
        <v>0.99586920000000001</v>
      </c>
      <c r="Y5360">
        <v>7.5698769999999999E-2</v>
      </c>
      <c r="Z5360">
        <v>-4.4744440000000002E-3</v>
      </c>
      <c r="AA5360">
        <v>0.99712069999999997</v>
      </c>
      <c r="AB5360">
        <v>28</v>
      </c>
      <c r="AC5360">
        <v>0.64119999999999699</v>
      </c>
      <c r="AD5360">
        <v>-6.2812000000000007E-2</v>
      </c>
      <c r="AE5360">
        <v>-5.0099999999986197E-2</v>
      </c>
      <c r="AF5360">
        <v>6.8301557650934902E-2</v>
      </c>
      <c r="AG5360">
        <v>-6.2812000000000007E-2</v>
      </c>
      <c r="AH5360">
        <v>0.633405971967827</v>
      </c>
      <c r="AI5360">
        <v>95.630816768283694</v>
      </c>
      <c r="AJ5360">
        <v>83.845451272558293</v>
      </c>
      <c r="AK5360">
        <v>0.64016683407222197</v>
      </c>
      <c r="AL5360">
        <v>92.664762349296396</v>
      </c>
      <c r="AM5360">
        <v>85.5219183782323</v>
      </c>
      <c r="AN5360">
        <v>0.99999996654295698</v>
      </c>
    </row>
    <row r="5361" spans="1:40" x14ac:dyDescent="0.25">
      <c r="A5361" t="str">
        <f>"20190305135738881"</f>
        <v>20190305135738881</v>
      </c>
      <c r="B5361" t="str">
        <f>"1551765458877886"</f>
        <v>1551765458877886</v>
      </c>
      <c r="C5361" t="s">
        <v>40</v>
      </c>
      <c r="D5361">
        <v>4.531542</v>
      </c>
      <c r="E5361">
        <v>0.50050249999999996</v>
      </c>
      <c r="F5361" t="s">
        <v>41</v>
      </c>
      <c r="G5361">
        <v>-159.35299999999901</v>
      </c>
      <c r="H5361">
        <v>1.050057</v>
      </c>
      <c r="I5361">
        <v>137.6722</v>
      </c>
      <c r="J5361">
        <v>-159.9453</v>
      </c>
      <c r="K5361">
        <v>1.105915</v>
      </c>
      <c r="L5361">
        <v>137.72130000000001</v>
      </c>
      <c r="M5361">
        <v>0.99961299999999997</v>
      </c>
      <c r="N5361">
        <v>-1.3635100000000001E-2</v>
      </c>
      <c r="O5361">
        <v>2.4251169999999999E-2</v>
      </c>
      <c r="P5361">
        <v>0.99685820000000003</v>
      </c>
      <c r="Q5361">
        <v>-5.7961449999999998E-2</v>
      </c>
      <c r="R5361">
        <v>-5.3984749999999998E-2</v>
      </c>
      <c r="S5361">
        <v>2.990402</v>
      </c>
      <c r="T5361">
        <v>-0.18562200000000001</v>
      </c>
      <c r="U5361">
        <v>-0.1521149</v>
      </c>
      <c r="V5361">
        <v>7.7750910000000006E-2</v>
      </c>
      <c r="W5361">
        <v>-4.5074500000000003E-2</v>
      </c>
      <c r="X5361">
        <v>0.99595339999999999</v>
      </c>
      <c r="Y5361">
        <v>7.4805510000000006E-2</v>
      </c>
      <c r="Z5361">
        <v>-4.001742E-3</v>
      </c>
      <c r="AA5361">
        <v>0.99719009999999997</v>
      </c>
      <c r="AB5361">
        <v>28</v>
      </c>
      <c r="AC5361">
        <v>0.59230000000002203</v>
      </c>
      <c r="AD5361">
        <v>-5.5857999999999901E-2</v>
      </c>
      <c r="AE5361">
        <v>-4.91000000000099E-2</v>
      </c>
      <c r="AF5361">
        <v>6.2895298610323905E-2</v>
      </c>
      <c r="AG5361">
        <v>-5.5857999999999901E-2</v>
      </c>
      <c r="AH5361">
        <v>0.58576084439824105</v>
      </c>
      <c r="AI5361">
        <v>95.416292557400595</v>
      </c>
      <c r="AJ5361">
        <v>83.871421563713298</v>
      </c>
      <c r="AK5361">
        <v>0.59176997353821703</v>
      </c>
      <c r="AL5361">
        <v>92.583453807146498</v>
      </c>
      <c r="AM5361">
        <v>85.536154474396994</v>
      </c>
      <c r="AN5361">
        <v>1.00000004476381</v>
      </c>
    </row>
    <row r="5362" spans="1:40" x14ac:dyDescent="0.25">
      <c r="A5362" t="str">
        <f>"20190305135738914"</f>
        <v>20190305135738914</v>
      </c>
      <c r="B5362" t="str">
        <f>"1551765458908142"</f>
        <v>1551765458908142</v>
      </c>
      <c r="C5362" t="s">
        <v>40</v>
      </c>
      <c r="D5362">
        <v>4.5346209999999996</v>
      </c>
      <c r="E5362">
        <v>0.50037259999999995</v>
      </c>
      <c r="F5362" t="s">
        <v>42</v>
      </c>
      <c r="G5362">
        <v>-141.76519999999999</v>
      </c>
      <c r="H5362" s="1">
        <v>-4.0308380000000002E-6</v>
      </c>
      <c r="I5362">
        <v>136.70820000000001</v>
      </c>
      <c r="J5362">
        <v>-159.53710000000001</v>
      </c>
      <c r="K5362">
        <v>1.106023</v>
      </c>
      <c r="L5362">
        <v>137.7234</v>
      </c>
      <c r="M5362">
        <v>0.99975259999999999</v>
      </c>
      <c r="N5362">
        <v>-1.3633320000000001E-2</v>
      </c>
      <c r="O5362">
        <v>1.758024E-2</v>
      </c>
      <c r="P5362">
        <v>0.99647490000000005</v>
      </c>
      <c r="Q5362">
        <v>-6.0340209999999998E-2</v>
      </c>
      <c r="R5362">
        <v>-5.8285780000000002E-2</v>
      </c>
      <c r="S5362">
        <v>2.9898530000000001</v>
      </c>
      <c r="T5362">
        <v>-0.18187619999999999</v>
      </c>
      <c r="U5362">
        <v>-0.1666107</v>
      </c>
      <c r="V5362">
        <v>7.5396980000000002E-2</v>
      </c>
      <c r="W5362">
        <v>-4.7407020000000001E-2</v>
      </c>
      <c r="X5362">
        <v>0.99602599999999997</v>
      </c>
      <c r="Y5362">
        <v>7.3000770000000006E-2</v>
      </c>
      <c r="Z5362">
        <v>-3.543577E-3</v>
      </c>
      <c r="AA5362">
        <v>0.99732560000000003</v>
      </c>
      <c r="AB5362">
        <v>28</v>
      </c>
      <c r="AC5362">
        <v>17.771899999999999</v>
      </c>
      <c r="AD5362">
        <v>-1.106027030838</v>
      </c>
      <c r="AE5362">
        <v>-1.0151999999999901</v>
      </c>
      <c r="AF5362">
        <v>1.3224011616263001</v>
      </c>
      <c r="AG5362">
        <v>-1.106027030838</v>
      </c>
      <c r="AH5362">
        <v>17.683037618850101</v>
      </c>
      <c r="AI5362">
        <v>93.569095949690904</v>
      </c>
      <c r="AJ5362">
        <v>85.723176486038398</v>
      </c>
      <c r="AK5362">
        <v>17.7668753599186</v>
      </c>
      <c r="AL5362">
        <v>92.717240718419205</v>
      </c>
      <c r="AM5362">
        <v>85.671091211859206</v>
      </c>
      <c r="AN5362">
        <v>0.99999996140719905</v>
      </c>
    </row>
    <row r="5363" spans="1:40" x14ac:dyDescent="0.25">
      <c r="A5363" t="str">
        <f>"20190305135738947"</f>
        <v>20190305135738947</v>
      </c>
      <c r="B5363" t="str">
        <f>"1551765458938399"</f>
        <v>1551765458938399</v>
      </c>
      <c r="C5363" t="s">
        <v>40</v>
      </c>
      <c r="D5363">
        <v>4.5633309999999998</v>
      </c>
      <c r="E5363">
        <v>0.50034899999999904</v>
      </c>
      <c r="F5363" t="s">
        <v>41</v>
      </c>
      <c r="G5363">
        <v>-158.60509999999999</v>
      </c>
      <c r="H5363">
        <v>1.04677</v>
      </c>
      <c r="I5363">
        <v>137.66759999999999</v>
      </c>
      <c r="J5363">
        <v>-159.1302</v>
      </c>
      <c r="K5363">
        <v>1.106201</v>
      </c>
      <c r="L5363">
        <v>137.72309999999999</v>
      </c>
      <c r="M5363">
        <v>0.99984329999999999</v>
      </c>
      <c r="N5363">
        <v>-1.362619E-2</v>
      </c>
      <c r="O5363">
        <v>1.1297639999999999E-2</v>
      </c>
      <c r="P5363">
        <v>0.99601379999999995</v>
      </c>
      <c r="Q5363">
        <v>-6.2947009999999998E-2</v>
      </c>
      <c r="R5363">
        <v>-6.3198530000000003E-2</v>
      </c>
      <c r="S5363">
        <v>2.988693</v>
      </c>
      <c r="T5363">
        <v>-0.18997549999999999</v>
      </c>
      <c r="U5363">
        <v>-0.17851259999999999</v>
      </c>
      <c r="V5363">
        <v>7.4049399999999904E-2</v>
      </c>
      <c r="W5363">
        <v>-4.9975829999999999E-2</v>
      </c>
      <c r="X5363">
        <v>0.99600149999999998</v>
      </c>
      <c r="Y5363">
        <v>7.071094E-2</v>
      </c>
      <c r="Z5363">
        <v>-3.2890409999999999E-3</v>
      </c>
      <c r="AA5363">
        <v>0.99749140000000003</v>
      </c>
      <c r="AB5363">
        <v>28</v>
      </c>
      <c r="AC5363">
        <v>0.525100000000008</v>
      </c>
      <c r="AD5363">
        <v>-5.9430999999999998E-2</v>
      </c>
      <c r="AE5363">
        <v>-5.5499999999994998E-2</v>
      </c>
      <c r="AF5363">
        <v>6.0660930025972601E-2</v>
      </c>
      <c r="AG5363">
        <v>-5.9430999999999998E-2</v>
      </c>
      <c r="AH5363">
        <v>0.51787877607400201</v>
      </c>
      <c r="AI5363">
        <v>96.502469465619896</v>
      </c>
      <c r="AJ5363">
        <v>83.319190544173296</v>
      </c>
      <c r="AK5363">
        <v>0.52479540670676805</v>
      </c>
      <c r="AL5363">
        <v>92.864597574673198</v>
      </c>
      <c r="AM5363">
        <v>85.748071853072503</v>
      </c>
      <c r="AN5363">
        <v>0.99999994261339697</v>
      </c>
    </row>
    <row r="5364" spans="1:40" x14ac:dyDescent="0.25">
      <c r="A5364" t="str">
        <f>"20190305135738971"</f>
        <v>20190305135738971</v>
      </c>
      <c r="B5364" t="str">
        <f>"1551765458957919"</f>
        <v>1551765458957919</v>
      </c>
      <c r="C5364" t="s">
        <v>40</v>
      </c>
      <c r="D5364">
        <v>4.5327849999999996</v>
      </c>
      <c r="E5364">
        <v>0.50022879999999903</v>
      </c>
      <c r="F5364" t="s">
        <v>42</v>
      </c>
      <c r="G5364">
        <v>-142.68520000000001</v>
      </c>
      <c r="H5364" s="1">
        <v>-3.6448709999999999E-6</v>
      </c>
      <c r="I5364">
        <v>136.6591</v>
      </c>
      <c r="J5364">
        <v>-158.82830000000001</v>
      </c>
      <c r="K5364">
        <v>1.106358</v>
      </c>
      <c r="L5364">
        <v>137.7216</v>
      </c>
      <c r="M5364">
        <v>0.99988370000000004</v>
      </c>
      <c r="N5364">
        <v>-1.361969E-2</v>
      </c>
      <c r="O5364">
        <v>6.8746980000000003E-3</v>
      </c>
      <c r="P5364">
        <v>0.9956931</v>
      </c>
      <c r="Q5364">
        <v>-6.4685709999999993E-2</v>
      </c>
      <c r="R5364">
        <v>-6.6416219999999998E-2</v>
      </c>
      <c r="S5364">
        <v>2.9870610000000002</v>
      </c>
      <c r="T5364">
        <v>-0.20093050000000001</v>
      </c>
      <c r="U5364">
        <v>-0.19326779999999999</v>
      </c>
      <c r="V5364">
        <v>7.2866920000000002E-2</v>
      </c>
      <c r="W5364">
        <v>-5.1684380000000002E-2</v>
      </c>
      <c r="X5364">
        <v>0.99600160000000004</v>
      </c>
      <c r="Y5364">
        <v>7.1223359999999999E-2</v>
      </c>
      <c r="Z5364">
        <v>-3.2445109999999998E-3</v>
      </c>
      <c r="AA5364">
        <v>0.99745510000000004</v>
      </c>
      <c r="AB5364">
        <v>28</v>
      </c>
      <c r="AC5364">
        <v>16.1431</v>
      </c>
      <c r="AD5364">
        <v>-1.1063616448710001</v>
      </c>
      <c r="AE5364">
        <v>-1.0625</v>
      </c>
      <c r="AF5364">
        <v>1.16800167155324</v>
      </c>
      <c r="AG5364">
        <v>-1.1063616448710001</v>
      </c>
      <c r="AH5364">
        <v>16.0603035712512</v>
      </c>
      <c r="AI5364">
        <v>93.930416120101597</v>
      </c>
      <c r="AJ5364">
        <v>85.840430123755795</v>
      </c>
      <c r="AK5364">
        <v>16.140681980472099</v>
      </c>
      <c r="AL5364">
        <v>92.962616759855194</v>
      </c>
      <c r="AM5364">
        <v>85.815727356861998</v>
      </c>
      <c r="AN5364">
        <v>1.0000000251844099</v>
      </c>
    </row>
    <row r="5365" spans="1:40" x14ac:dyDescent="0.25">
      <c r="A5365" t="str">
        <f>"20190305135738994"</f>
        <v>20190305135738994</v>
      </c>
      <c r="B5365" t="str">
        <f>"1551765458988175"</f>
        <v>1551765458988175</v>
      </c>
      <c r="C5365" t="s">
        <v>40</v>
      </c>
      <c r="D5365">
        <v>4.5536839999999996</v>
      </c>
      <c r="E5365">
        <v>0.50006309999999998</v>
      </c>
      <c r="F5365" t="s">
        <v>41</v>
      </c>
      <c r="G5365">
        <v>-157.8623</v>
      </c>
      <c r="H5365">
        <v>1.03942</v>
      </c>
      <c r="I5365">
        <v>137.65620000000001</v>
      </c>
      <c r="J5365">
        <v>-158.547</v>
      </c>
      <c r="K5365">
        <v>1.1065259999999999</v>
      </c>
      <c r="L5365">
        <v>137.7191</v>
      </c>
      <c r="M5365">
        <v>0.99990290000000004</v>
      </c>
      <c r="N5365">
        <v>-1.361219E-2</v>
      </c>
      <c r="O5365">
        <v>2.9910100000000001E-3</v>
      </c>
      <c r="P5365">
        <v>0.99555510000000003</v>
      </c>
      <c r="Q5365">
        <v>-6.4812830000000002E-2</v>
      </c>
      <c r="R5365">
        <v>-6.8334300000000001E-2</v>
      </c>
      <c r="S5365">
        <v>2.9860690000000001</v>
      </c>
      <c r="T5365">
        <v>-0.20688889999999999</v>
      </c>
      <c r="U5365">
        <v>-0.2020874</v>
      </c>
      <c r="V5365">
        <v>7.0937189999999997E-2</v>
      </c>
      <c r="W5365">
        <v>-5.177528E-2</v>
      </c>
      <c r="X5365">
        <v>0.99613609999999997</v>
      </c>
      <c r="Y5365">
        <v>7.0300879999999996E-2</v>
      </c>
      <c r="Z5365">
        <v>-3.075553E-3</v>
      </c>
      <c r="AA5365">
        <v>0.99752110000000005</v>
      </c>
      <c r="AB5365">
        <v>28</v>
      </c>
      <c r="AC5365">
        <v>0.68469999999999198</v>
      </c>
      <c r="AD5365">
        <v>-6.7106000000000096E-2</v>
      </c>
      <c r="AE5365">
        <v>-6.2899999999984801E-2</v>
      </c>
      <c r="AF5365">
        <v>6.4335051115178593E-2</v>
      </c>
      <c r="AG5365">
        <v>-6.7106000000000096E-2</v>
      </c>
      <c r="AH5365">
        <v>0.67805024683620696</v>
      </c>
      <c r="AI5365">
        <v>95.626994910486999</v>
      </c>
      <c r="AJ5365">
        <v>84.579863921271198</v>
      </c>
      <c r="AK5365">
        <v>0.68439341849015001</v>
      </c>
      <c r="AL5365">
        <v>92.967832160437794</v>
      </c>
      <c r="AM5365">
        <v>85.926709247202794</v>
      </c>
      <c r="AN5365">
        <v>0.99999994713369</v>
      </c>
    </row>
    <row r="5366" spans="1:40" x14ac:dyDescent="0.25">
      <c r="A5366" t="str">
        <f>"20190305135739016"</f>
        <v>20190305135739016</v>
      </c>
      <c r="B5366" t="str">
        <f>"1551765459007695"</f>
        <v>1551765459007695</v>
      </c>
      <c r="C5366" t="s">
        <v>40</v>
      </c>
      <c r="D5366">
        <v>4.5169709999999998</v>
      </c>
      <c r="E5366">
        <v>0.50002429999999998</v>
      </c>
      <c r="F5366" t="s">
        <v>41</v>
      </c>
      <c r="G5366">
        <v>-157.61240000000001</v>
      </c>
      <c r="H5366">
        <v>1.041334</v>
      </c>
      <c r="I5366">
        <v>137.65430000000001</v>
      </c>
      <c r="J5366">
        <v>-158.26499999999999</v>
      </c>
      <c r="K5366">
        <v>1.1066959999999999</v>
      </c>
      <c r="L5366">
        <v>137.7157</v>
      </c>
      <c r="M5366">
        <v>0.99990730000000005</v>
      </c>
      <c r="N5366">
        <v>-1.360398E-2</v>
      </c>
      <c r="O5366">
        <v>-7.1396130000000004E-4</v>
      </c>
      <c r="P5366">
        <v>0.99552759999999996</v>
      </c>
      <c r="Q5366">
        <v>-6.4205360000000003E-2</v>
      </c>
      <c r="R5366">
        <v>-6.9303030000000002E-2</v>
      </c>
      <c r="S5366">
        <v>2.9856569999999998</v>
      </c>
      <c r="T5366">
        <v>-0.2082707</v>
      </c>
      <c r="U5366">
        <v>-0.20658869999999999</v>
      </c>
      <c r="V5366">
        <v>6.8240490000000001E-2</v>
      </c>
      <c r="W5366">
        <v>-5.1128229999999997E-2</v>
      </c>
      <c r="X5366">
        <v>0.99635790000000002</v>
      </c>
      <c r="Y5366">
        <v>6.812037E-2</v>
      </c>
      <c r="Z5366">
        <v>-2.7948389999999999E-3</v>
      </c>
      <c r="AA5366">
        <v>0.99767320000000004</v>
      </c>
      <c r="AB5366">
        <v>28</v>
      </c>
      <c r="AC5366">
        <v>0.65259999999997798</v>
      </c>
      <c r="AD5366">
        <v>-6.5361999999999906E-2</v>
      </c>
      <c r="AE5366">
        <v>-6.1399999999991899E-2</v>
      </c>
      <c r="AF5366">
        <v>6.0334092200655103E-2</v>
      </c>
      <c r="AG5366">
        <v>-6.5361999999999906E-2</v>
      </c>
      <c r="AH5366">
        <v>0.64621815591673704</v>
      </c>
      <c r="AI5366">
        <v>95.750721665720107</v>
      </c>
      <c r="AJ5366">
        <v>84.666048220658993</v>
      </c>
      <c r="AK5366">
        <v>0.65231150439196195</v>
      </c>
      <c r="AL5366">
        <v>92.930709708892707</v>
      </c>
      <c r="AM5366">
        <v>86.081934395354097</v>
      </c>
      <c r="AN5366">
        <v>0.99999996263539004</v>
      </c>
    </row>
    <row r="5367" spans="1:40" x14ac:dyDescent="0.25">
      <c r="A5367" t="str">
        <f>"20190305135739048"</f>
        <v>20190305135739048</v>
      </c>
      <c r="B5367" t="str">
        <f>"1551765459037992"</f>
        <v>1551765459037992</v>
      </c>
      <c r="C5367" t="s">
        <v>40</v>
      </c>
      <c r="D5367">
        <v>4.8269780000000004</v>
      </c>
      <c r="E5367">
        <v>0.50001030000000002</v>
      </c>
      <c r="F5367" t="s">
        <v>41</v>
      </c>
      <c r="G5367">
        <v>-157.36160000000001</v>
      </c>
      <c r="H5367">
        <v>1.044208</v>
      </c>
      <c r="I5367">
        <v>137.6523</v>
      </c>
      <c r="J5367">
        <v>-157.8588</v>
      </c>
      <c r="K5367">
        <v>1.106954</v>
      </c>
      <c r="L5367">
        <v>137.70939999999999</v>
      </c>
      <c r="M5367">
        <v>0.99989119999999998</v>
      </c>
      <c r="N5367">
        <v>-1.359203E-2</v>
      </c>
      <c r="O5367">
        <v>-5.7299880000000001E-3</v>
      </c>
      <c r="P5367">
        <v>0.99594459999999996</v>
      </c>
      <c r="Q5367">
        <v>-5.9336640000000003E-2</v>
      </c>
      <c r="R5367">
        <v>-6.7626720000000001E-2</v>
      </c>
      <c r="S5367">
        <v>2.9855960000000001</v>
      </c>
      <c r="T5367">
        <v>-0.20650260000000001</v>
      </c>
      <c r="U5367">
        <v>-0.20913699999999999</v>
      </c>
      <c r="V5367">
        <v>6.1623980000000002E-2</v>
      </c>
      <c r="W5367">
        <v>-4.6184669999999997E-2</v>
      </c>
      <c r="X5367">
        <v>0.99703030000000004</v>
      </c>
      <c r="Y5367">
        <v>6.3986379999999995E-2</v>
      </c>
      <c r="Z5367">
        <v>-2.3259130000000002E-3</v>
      </c>
      <c r="AA5367">
        <v>0.9979481</v>
      </c>
      <c r="AB5367">
        <v>28</v>
      </c>
      <c r="AC5367">
        <v>0.49719999999999198</v>
      </c>
      <c r="AD5367">
        <v>-6.2745999999999899E-2</v>
      </c>
      <c r="AE5367">
        <v>-5.7099999999991199E-2</v>
      </c>
      <c r="AF5367">
        <v>5.3410303278934E-2</v>
      </c>
      <c r="AG5367">
        <v>-6.2745999999999899E-2</v>
      </c>
      <c r="AH5367">
        <v>0.48981967093234902</v>
      </c>
      <c r="AI5367">
        <v>97.257290949155802</v>
      </c>
      <c r="AJ5367">
        <v>83.777011171644901</v>
      </c>
      <c r="AK5367">
        <v>0.496702155264724</v>
      </c>
      <c r="AL5367">
        <v>92.647128359085499</v>
      </c>
      <c r="AM5367">
        <v>86.463188561445193</v>
      </c>
      <c r="AN5367">
        <v>0.99999997888606895</v>
      </c>
    </row>
    <row r="5368" spans="1:40" x14ac:dyDescent="0.25">
      <c r="A5368" t="str">
        <f>"20190305135739082"</f>
        <v>20190305135739082</v>
      </c>
      <c r="B5368" t="str">
        <f>"1551765459078008"</f>
        <v>1551765459078008</v>
      </c>
      <c r="C5368" t="s">
        <v>40</v>
      </c>
      <c r="D5368">
        <v>4.6124890000000001</v>
      </c>
      <c r="E5368">
        <v>0.48860979999999998</v>
      </c>
      <c r="F5368" t="s">
        <v>42</v>
      </c>
      <c r="G5368">
        <v>-140.6925</v>
      </c>
      <c r="H5368" s="1">
        <v>-4.521469E-6</v>
      </c>
      <c r="I5368">
        <v>136.53649999999999</v>
      </c>
      <c r="J5368">
        <v>-157.44489999999999</v>
      </c>
      <c r="K5368">
        <v>1.1072059999999999</v>
      </c>
      <c r="L5368">
        <v>137.7013</v>
      </c>
      <c r="M5368">
        <v>0.99985449999999998</v>
      </c>
      <c r="N5368">
        <v>-1.357774E-2</v>
      </c>
      <c r="O5368">
        <v>-1.033244E-2</v>
      </c>
      <c r="P5368">
        <v>0.99586949999999996</v>
      </c>
      <c r="Q5368">
        <v>-5.5832819999999998E-2</v>
      </c>
      <c r="R5368">
        <v>-7.1603920000000001E-2</v>
      </c>
      <c r="S5368">
        <v>2.9868769999999998</v>
      </c>
      <c r="T5368">
        <v>-0.192607</v>
      </c>
      <c r="U5368">
        <v>-0.204071</v>
      </c>
      <c r="V5368">
        <v>6.1062060000000001E-2</v>
      </c>
      <c r="W5368">
        <v>-4.265273E-2</v>
      </c>
      <c r="X5368">
        <v>0.99722219999999995</v>
      </c>
      <c r="Y5368">
        <v>5.7719369999999999E-2</v>
      </c>
      <c r="Z5368">
        <v>-1.7250099999999999E-3</v>
      </c>
      <c r="AA5368">
        <v>0.99833139999999998</v>
      </c>
      <c r="AB5368">
        <v>28</v>
      </c>
      <c r="AC5368">
        <v>16.752399999999898</v>
      </c>
      <c r="AD5368">
        <v>-1.107210521469</v>
      </c>
      <c r="AE5368">
        <v>-1.16480000000001</v>
      </c>
      <c r="AF5368">
        <v>0.98733652559138796</v>
      </c>
      <c r="AG5368">
        <v>-1.107210521469</v>
      </c>
      <c r="AH5368">
        <v>16.690982502930598</v>
      </c>
      <c r="AI5368">
        <v>93.788600548286198</v>
      </c>
      <c r="AJ5368">
        <v>86.614676764458196</v>
      </c>
      <c r="AK5368">
        <v>16.756779089871401</v>
      </c>
      <c r="AL5368">
        <v>92.444563075360094</v>
      </c>
      <c r="AM5368">
        <v>86.496031058953704</v>
      </c>
      <c r="AN5368">
        <v>0.99999997336036694</v>
      </c>
    </row>
    <row r="5369" spans="1:40" x14ac:dyDescent="0.25">
      <c r="A5369" t="str">
        <f>"20190305135739105"</f>
        <v>20190305135739105</v>
      </c>
      <c r="B5369" t="str">
        <f>"1551765459097528"</f>
        <v>1551765459097528</v>
      </c>
      <c r="C5369" t="s">
        <v>40</v>
      </c>
      <c r="D5369">
        <v>4.5235219999999998</v>
      </c>
      <c r="E5369">
        <v>0.48980639999999998</v>
      </c>
      <c r="F5369" t="s">
        <v>41</v>
      </c>
      <c r="G5369">
        <v>-156.66</v>
      </c>
      <c r="H5369">
        <v>0.95762460000000005</v>
      </c>
      <c r="I5369">
        <v>137.66130000000001</v>
      </c>
      <c r="J5369">
        <v>-157.15690000000001</v>
      </c>
      <c r="K5369">
        <v>1.107386</v>
      </c>
      <c r="L5369">
        <v>137.69489999999999</v>
      </c>
      <c r="M5369">
        <v>0.99982040000000005</v>
      </c>
      <c r="N5369">
        <v>-1.356684E-2</v>
      </c>
      <c r="O5369">
        <v>-1.324155E-2</v>
      </c>
      <c r="P5369">
        <v>0.99567159999999999</v>
      </c>
      <c r="Q5369">
        <v>-5.5690820000000002E-2</v>
      </c>
      <c r="R5369">
        <v>-7.4409400000000001E-2</v>
      </c>
      <c r="S5369">
        <v>2.969849</v>
      </c>
      <c r="T5369">
        <v>-0.56595050000000002</v>
      </c>
      <c r="U5369">
        <v>-0.15109249999999999</v>
      </c>
      <c r="V5369">
        <v>6.0990870000000003E-2</v>
      </c>
      <c r="W5369">
        <v>-4.2492370000000002E-2</v>
      </c>
      <c r="X5369">
        <v>0.99723349999999999</v>
      </c>
      <c r="Y5369">
        <v>3.7071E-2</v>
      </c>
      <c r="Z5369">
        <v>-1.431596E-3</v>
      </c>
      <c r="AA5369">
        <v>0.99931159999999997</v>
      </c>
      <c r="AB5369">
        <v>28</v>
      </c>
      <c r="AC5369">
        <v>0.49690000000001</v>
      </c>
      <c r="AD5369">
        <v>-0.14976139999999999</v>
      </c>
      <c r="AE5369">
        <v>-3.3599999999978501E-2</v>
      </c>
      <c r="AF5369">
        <v>2.47763611616303E-2</v>
      </c>
      <c r="AG5369">
        <v>-0.14976139999999999</v>
      </c>
      <c r="AH5369">
        <v>0.45606267229027297</v>
      </c>
      <c r="AI5369">
        <v>108.154083132171</v>
      </c>
      <c r="AJ5369">
        <v>86.890368575852094</v>
      </c>
      <c r="AK5369">
        <v>0.48066152962237002</v>
      </c>
      <c r="AL5369">
        <v>92.435366549321898</v>
      </c>
      <c r="AM5369">
        <v>86.500145606472898</v>
      </c>
      <c r="AN5369">
        <v>1.0000000706269001</v>
      </c>
    </row>
    <row r="5370" spans="1:40" x14ac:dyDescent="0.25">
      <c r="A5370" t="str">
        <f>"20190305135739126"</f>
        <v>20190305135739126</v>
      </c>
      <c r="B5370" t="str">
        <f>"1551765459117570"</f>
        <v>1551765459117570</v>
      </c>
      <c r="C5370" t="s">
        <v>40</v>
      </c>
      <c r="D5370">
        <v>4.5763119999999997</v>
      </c>
      <c r="E5370">
        <v>0.4895004</v>
      </c>
      <c r="F5370" t="s">
        <v>41</v>
      </c>
      <c r="G5370">
        <v>-156.4169</v>
      </c>
      <c r="H5370">
        <v>0.94874499999999995</v>
      </c>
      <c r="I5370">
        <v>137.6516</v>
      </c>
      <c r="J5370">
        <v>-156.89599999999999</v>
      </c>
      <c r="K5370">
        <v>1.107561</v>
      </c>
      <c r="L5370">
        <v>137.68870000000001</v>
      </c>
      <c r="M5370">
        <v>0.99978590000000001</v>
      </c>
      <c r="N5370">
        <v>-1.355693E-2</v>
      </c>
      <c r="O5370">
        <v>-1.5634510000000001E-2</v>
      </c>
      <c r="P5370">
        <v>0.99544440000000001</v>
      </c>
      <c r="Q5370">
        <v>-5.783576E-2</v>
      </c>
      <c r="R5370">
        <v>-7.579922E-2</v>
      </c>
      <c r="S5370">
        <v>2.964569</v>
      </c>
      <c r="T5370">
        <v>-0.63551759999999902</v>
      </c>
      <c r="U5370">
        <v>-0.1730042</v>
      </c>
      <c r="V5370">
        <v>6.0008060000000002E-2</v>
      </c>
      <c r="W5370">
        <v>-4.4614389999999997E-2</v>
      </c>
      <c r="X5370">
        <v>0.99720039999999999</v>
      </c>
      <c r="Y5370">
        <v>4.194109E-2</v>
      </c>
      <c r="Z5370">
        <v>-1.628121E-3</v>
      </c>
      <c r="AA5370">
        <v>0.99911870000000003</v>
      </c>
      <c r="AB5370">
        <v>28</v>
      </c>
      <c r="AC5370">
        <v>0.47910000000001601</v>
      </c>
      <c r="AD5370">
        <v>-0.15881599999999901</v>
      </c>
      <c r="AE5370">
        <v>-3.7100000000009403E-2</v>
      </c>
      <c r="AF5370">
        <v>2.6689052402875699E-2</v>
      </c>
      <c r="AG5370">
        <v>-0.15881599999999901</v>
      </c>
      <c r="AH5370">
        <v>0.43239162845850299</v>
      </c>
      <c r="AI5370">
        <v>110.132884391058</v>
      </c>
      <c r="AJ5370">
        <v>86.467941556419106</v>
      </c>
      <c r="AK5370">
        <v>0.46140800571203799</v>
      </c>
      <c r="AL5370">
        <v>92.557064951342596</v>
      </c>
      <c r="AM5370">
        <v>86.556291589154796</v>
      </c>
      <c r="AN5370">
        <v>1.0000000244100899</v>
      </c>
    </row>
    <row r="5371" spans="1:40" x14ac:dyDescent="0.25">
      <c r="A5371" t="str">
        <f>"20190305135739146"</f>
        <v>20190305135739146</v>
      </c>
      <c r="B5371" t="str">
        <f>"1551765459138051"</f>
        <v>1551765459138051</v>
      </c>
      <c r="C5371" t="s">
        <v>40</v>
      </c>
      <c r="D5371">
        <v>4.5830820000000001</v>
      </c>
      <c r="E5371">
        <v>0.48978110000000002</v>
      </c>
      <c r="F5371" t="s">
        <v>41</v>
      </c>
      <c r="G5371">
        <v>-156.17099999999999</v>
      </c>
      <c r="H5371">
        <v>0.94578640000000003</v>
      </c>
      <c r="I5371">
        <v>137.6454</v>
      </c>
      <c r="J5371">
        <v>-156.64449999999999</v>
      </c>
      <c r="K5371">
        <v>1.107739</v>
      </c>
      <c r="L5371">
        <v>137.6824</v>
      </c>
      <c r="M5371">
        <v>0.99975199999999997</v>
      </c>
      <c r="N5371">
        <v>-1.3547190000000001E-2</v>
      </c>
      <c r="O5371">
        <v>-1.7675710000000001E-2</v>
      </c>
      <c r="P5371">
        <v>0.99519089999999999</v>
      </c>
      <c r="Q5371">
        <v>-6.0742669999999999E-2</v>
      </c>
      <c r="R5371">
        <v>-7.6849559999999997E-2</v>
      </c>
      <c r="S5371">
        <v>2.9619140000000002</v>
      </c>
      <c r="T5371">
        <v>-0.66094180000000002</v>
      </c>
      <c r="U5371">
        <v>-0.17622380000000001</v>
      </c>
      <c r="V5371">
        <v>5.9037609999999997E-2</v>
      </c>
      <c r="W5371">
        <v>-4.7497570000000003E-2</v>
      </c>
      <c r="X5371">
        <v>0.99712509999999999</v>
      </c>
      <c r="Y5371">
        <v>4.1049580000000002E-2</v>
      </c>
      <c r="Z5371">
        <v>-1.146626E-3</v>
      </c>
      <c r="AA5371">
        <v>0.9991565</v>
      </c>
      <c r="AB5371">
        <v>28</v>
      </c>
      <c r="AC5371">
        <v>0.47350000000000098</v>
      </c>
      <c r="AD5371">
        <v>-0.1619526</v>
      </c>
      <c r="AE5371">
        <v>-3.7000000000006097E-2</v>
      </c>
      <c r="AF5371">
        <v>2.56423930392785E-2</v>
      </c>
      <c r="AG5371">
        <v>-0.1619526</v>
      </c>
      <c r="AH5371">
        <v>0.42469769509675098</v>
      </c>
      <c r="AI5371">
        <v>110.838976795373</v>
      </c>
      <c r="AJ5371">
        <v>86.5447906008133</v>
      </c>
      <c r="AK5371">
        <v>0.45525191837930101</v>
      </c>
      <c r="AL5371">
        <v>92.722434701381005</v>
      </c>
      <c r="AM5371">
        <v>86.6115971523231</v>
      </c>
      <c r="AN5371">
        <v>0.999999961800212</v>
      </c>
    </row>
    <row r="5372" spans="1:40" x14ac:dyDescent="0.25">
      <c r="A5372" t="str">
        <f>"20190305135739183"</f>
        <v>20190305135739183</v>
      </c>
      <c r="B5372" t="str">
        <f>"1551765459178067"</f>
        <v>1551765459178067</v>
      </c>
      <c r="C5372" t="s">
        <v>40</v>
      </c>
      <c r="D5372">
        <v>4.5899839999999896</v>
      </c>
      <c r="E5372">
        <v>0.49007309999999998</v>
      </c>
      <c r="F5372" t="s">
        <v>41</v>
      </c>
      <c r="G5372">
        <v>-155.9256</v>
      </c>
      <c r="H5372">
        <v>0.94260900000000003</v>
      </c>
      <c r="I5372">
        <v>137.6377</v>
      </c>
      <c r="J5372">
        <v>-156.20249999999999</v>
      </c>
      <c r="K5372">
        <v>1.108096</v>
      </c>
      <c r="L5372">
        <v>137.67070000000001</v>
      </c>
      <c r="M5372">
        <v>0.99969730000000001</v>
      </c>
      <c r="N5372">
        <v>-1.353014E-2</v>
      </c>
      <c r="O5372">
        <v>-2.0553579999999998E-2</v>
      </c>
      <c r="P5372">
        <v>0.99458199999999997</v>
      </c>
      <c r="Q5372">
        <v>-6.6882250000000004E-2</v>
      </c>
      <c r="R5372">
        <v>-7.9583780000000007E-2</v>
      </c>
      <c r="S5372">
        <v>2.9588779999999999</v>
      </c>
      <c r="T5372">
        <v>-0.67963090000000004</v>
      </c>
      <c r="U5372">
        <v>-0.18301390000000001</v>
      </c>
      <c r="V5372">
        <v>5.8942229999999998E-2</v>
      </c>
      <c r="W5372">
        <v>-5.3599220000000003E-2</v>
      </c>
      <c r="X5372">
        <v>0.99682139999999997</v>
      </c>
      <c r="Y5372">
        <v>4.0561460000000001E-2</v>
      </c>
      <c r="Z5372">
        <v>-4.9211989999999896E-4</v>
      </c>
      <c r="AA5372">
        <v>0.99917690000000003</v>
      </c>
      <c r="AB5372">
        <v>28</v>
      </c>
      <c r="AC5372">
        <v>0.27689999999998299</v>
      </c>
      <c r="AD5372">
        <v>-0.165486999999999</v>
      </c>
      <c r="AE5372">
        <v>-3.3000000000015399E-2</v>
      </c>
      <c r="AF5372">
        <v>2.0190616459962701E-2</v>
      </c>
      <c r="AG5372">
        <v>-0.165486999999999</v>
      </c>
      <c r="AH5372">
        <v>0.20523977227941301</v>
      </c>
      <c r="AI5372">
        <v>128.744848010884</v>
      </c>
      <c r="AJ5372">
        <v>84.381562879340393</v>
      </c>
      <c r="AK5372">
        <v>0.26441817692310499</v>
      </c>
      <c r="AL5372">
        <v>93.072481485402605</v>
      </c>
      <c r="AM5372">
        <v>86.616030384659197</v>
      </c>
      <c r="AN5372">
        <v>0.99999998317996996</v>
      </c>
    </row>
    <row r="5373" spans="1:40" x14ac:dyDescent="0.25">
      <c r="A5373" t="str">
        <f>"20190305135739212"</f>
        <v>20190305135739212</v>
      </c>
      <c r="B5373" t="str">
        <f>"1551765459208324"</f>
        <v>1551765459208324</v>
      </c>
      <c r="C5373" t="s">
        <v>40</v>
      </c>
      <c r="D5373">
        <v>4.6504709999999996</v>
      </c>
      <c r="E5373">
        <v>0.48985329999999999</v>
      </c>
      <c r="F5373" t="s">
        <v>41</v>
      </c>
      <c r="G5373">
        <v>-155.44059999999999</v>
      </c>
      <c r="H5373">
        <v>0.92619940000000001</v>
      </c>
      <c r="I5373">
        <v>137.62020000000001</v>
      </c>
      <c r="J5373">
        <v>-155.84690000000001</v>
      </c>
      <c r="K5373">
        <v>1.1083989999999999</v>
      </c>
      <c r="L5373">
        <v>137.6611</v>
      </c>
      <c r="M5373">
        <v>0.99965979999999999</v>
      </c>
      <c r="N5373">
        <v>-1.351779E-2</v>
      </c>
      <c r="O5373">
        <v>-2.230555E-2</v>
      </c>
      <c r="P5373">
        <v>0.99436979999999997</v>
      </c>
      <c r="Q5373">
        <v>-6.8535949999999998E-2</v>
      </c>
      <c r="R5373">
        <v>-8.0819139999999998E-2</v>
      </c>
      <c r="S5373">
        <v>2.9533079999999998</v>
      </c>
      <c r="T5373">
        <v>-0.70505519999999999</v>
      </c>
      <c r="U5373">
        <v>-0.19528200000000001</v>
      </c>
      <c r="V5373">
        <v>5.8473659999999997E-2</v>
      </c>
      <c r="W5373">
        <v>-5.521918E-2</v>
      </c>
      <c r="X5373">
        <v>0.9967606</v>
      </c>
      <c r="Y5373">
        <v>4.2986110000000001E-2</v>
      </c>
      <c r="Z5373">
        <v>-4.0266759999999999E-4</v>
      </c>
      <c r="AA5373">
        <v>0.99907559999999995</v>
      </c>
      <c r="AB5373">
        <v>28</v>
      </c>
      <c r="AC5373">
        <v>0.40630000000001498</v>
      </c>
      <c r="AD5373">
        <v>-0.18219959999999899</v>
      </c>
      <c r="AE5373">
        <v>-4.0899999999993497E-2</v>
      </c>
      <c r="AF5373">
        <v>2.65422754833489E-2</v>
      </c>
      <c r="AG5373">
        <v>-0.18219959999999899</v>
      </c>
      <c r="AH5373">
        <v>0.339520362002112</v>
      </c>
      <c r="AI5373">
        <v>118.14704269248099</v>
      </c>
      <c r="AJ5373">
        <v>85.529948054238801</v>
      </c>
      <c r="AK5373">
        <v>0.38623213595199302</v>
      </c>
      <c r="AL5373">
        <v>93.165435974026394</v>
      </c>
      <c r="AM5373">
        <v>86.642665670525602</v>
      </c>
      <c r="AN5373">
        <v>1.00000001023301</v>
      </c>
    </row>
    <row r="5374" spans="1:40" x14ac:dyDescent="0.25">
      <c r="A5374" t="str">
        <f>"20190305135739235"</f>
        <v>20190305135739235</v>
      </c>
      <c r="B5374" t="str">
        <f>"1551765459227843"</f>
        <v>1551765459227843</v>
      </c>
      <c r="C5374" t="s">
        <v>40</v>
      </c>
      <c r="D5374">
        <v>4.6330850000000003</v>
      </c>
      <c r="E5374">
        <v>0.48955349999999997</v>
      </c>
      <c r="F5374" t="s">
        <v>41</v>
      </c>
      <c r="G5374">
        <v>-154.9631</v>
      </c>
      <c r="H5374">
        <v>0.89533259999999903</v>
      </c>
      <c r="I5374">
        <v>137.60169999999999</v>
      </c>
      <c r="J5374">
        <v>-155.5472</v>
      </c>
      <c r="K5374">
        <v>1.108635</v>
      </c>
      <c r="L5374">
        <v>137.65309999999999</v>
      </c>
      <c r="M5374">
        <v>0.99963619999999997</v>
      </c>
      <c r="N5374">
        <v>-1.350784E-2</v>
      </c>
      <c r="O5374">
        <v>-2.3343780000000001E-2</v>
      </c>
      <c r="P5374">
        <v>0.99426570000000003</v>
      </c>
      <c r="Q5374">
        <v>-7.0578870000000002E-2</v>
      </c>
      <c r="R5374">
        <v>-8.0340309999999998E-2</v>
      </c>
      <c r="S5374">
        <v>2.9518279999999999</v>
      </c>
      <c r="T5374">
        <v>-0.71163379999999998</v>
      </c>
      <c r="U5374">
        <v>-0.1981049</v>
      </c>
      <c r="V5374">
        <v>5.6991769999999997E-2</v>
      </c>
      <c r="W5374">
        <v>-5.7234640000000003E-2</v>
      </c>
      <c r="X5374">
        <v>0.99673270000000003</v>
      </c>
      <c r="Y5374">
        <v>4.2947739999999998E-2</v>
      </c>
      <c r="Z5374">
        <v>-1.6309549999999999E-4</v>
      </c>
      <c r="AA5374">
        <v>0.99907729999999995</v>
      </c>
      <c r="AB5374">
        <v>27</v>
      </c>
      <c r="AC5374">
        <v>0.58410000000000595</v>
      </c>
      <c r="AD5374">
        <v>-0.2133024</v>
      </c>
      <c r="AE5374">
        <v>-5.1400000000000903E-2</v>
      </c>
      <c r="AF5374">
        <v>3.3337946076313199E-2</v>
      </c>
      <c r="AG5374">
        <v>-0.2133024</v>
      </c>
      <c r="AH5374">
        <v>0.51675697096635098</v>
      </c>
      <c r="AI5374">
        <v>112.38749256455399</v>
      </c>
      <c r="AJ5374">
        <v>86.308747985923304</v>
      </c>
      <c r="AK5374">
        <v>0.560042051578866</v>
      </c>
      <c r="AL5374">
        <v>93.281096447554006</v>
      </c>
      <c r="AM5374">
        <v>86.727471425017498</v>
      </c>
      <c r="AN5374">
        <v>0.99999997055647505</v>
      </c>
    </row>
    <row r="5375" spans="1:40" x14ac:dyDescent="0.25">
      <c r="A5375" t="str">
        <f>"20190305135739259"</f>
        <v>20190305135739259</v>
      </c>
      <c r="B5375" t="str">
        <f>"1551765459248340"</f>
        <v>1551765459248340</v>
      </c>
      <c r="C5375" t="s">
        <v>40</v>
      </c>
      <c r="D5375">
        <v>4.5908110000000004</v>
      </c>
      <c r="E5375">
        <v>0.48964449999999998</v>
      </c>
      <c r="F5375" t="s">
        <v>41</v>
      </c>
      <c r="G5375">
        <v>-154.7131</v>
      </c>
      <c r="H5375">
        <v>0.90526439999999997</v>
      </c>
      <c r="I5375">
        <v>137.59790000000001</v>
      </c>
      <c r="J5375">
        <v>-155.2595</v>
      </c>
      <c r="K5375">
        <v>1.108833</v>
      </c>
      <c r="L5375">
        <v>137.64529999999999</v>
      </c>
      <c r="M5375">
        <v>0.99961990000000001</v>
      </c>
      <c r="N5375">
        <v>-1.349885E-2</v>
      </c>
      <c r="O5375">
        <v>-2.4038779999999999E-2</v>
      </c>
      <c r="P5375">
        <v>0.99428830000000001</v>
      </c>
      <c r="Q5375">
        <v>-7.2310079999999999E-2</v>
      </c>
      <c r="R5375">
        <v>-7.8499669999999994E-2</v>
      </c>
      <c r="S5375">
        <v>2.9504700000000001</v>
      </c>
      <c r="T5375">
        <v>-0.71934580000000004</v>
      </c>
      <c r="U5375">
        <v>-0.1952362</v>
      </c>
      <c r="V5375">
        <v>5.4485619999999998E-2</v>
      </c>
      <c r="W5375">
        <v>-5.8941250000000001E-2</v>
      </c>
      <c r="X5375">
        <v>0.99677340000000003</v>
      </c>
      <c r="Y5375">
        <v>4.1369320000000001E-2</v>
      </c>
      <c r="Z5375">
        <v>1.9994150000000001E-4</v>
      </c>
      <c r="AA5375">
        <v>0.99914389999999997</v>
      </c>
      <c r="AB5375">
        <v>27</v>
      </c>
      <c r="AC5375">
        <v>0.54640000000000499</v>
      </c>
      <c r="AD5375">
        <v>-0.20356859999999999</v>
      </c>
      <c r="AE5375">
        <v>-4.7399999999981901E-2</v>
      </c>
      <c r="AF5375">
        <v>3.0103109077942902E-2</v>
      </c>
      <c r="AG5375">
        <v>-0.20356859999999999</v>
      </c>
      <c r="AH5375">
        <v>0.481101823457527</v>
      </c>
      <c r="AI5375">
        <v>112.894532270504</v>
      </c>
      <c r="AJ5375">
        <v>86.419603164653694</v>
      </c>
      <c r="AK5375">
        <v>0.52326411745530199</v>
      </c>
      <c r="AL5375">
        <v>93.3790433592618</v>
      </c>
      <c r="AM5375">
        <v>86.871212260668997</v>
      </c>
      <c r="AN5375">
        <v>0.99999998234295295</v>
      </c>
    </row>
    <row r="5376" spans="1:40" x14ac:dyDescent="0.25">
      <c r="A5376" t="str">
        <f>"20190305135739286"</f>
        <v>20190305135739286</v>
      </c>
      <c r="B5376" t="str">
        <f>"1551765459277619"</f>
        <v>1551765459277619</v>
      </c>
      <c r="C5376" t="s">
        <v>40</v>
      </c>
      <c r="D5376">
        <v>4.6021799999999997</v>
      </c>
      <c r="E5376">
        <v>0.4899481</v>
      </c>
      <c r="F5376" t="s">
        <v>41</v>
      </c>
      <c r="G5376">
        <v>-154.46369999999999</v>
      </c>
      <c r="H5376">
        <v>0.91442500000000004</v>
      </c>
      <c r="I5376">
        <v>137.59370000000001</v>
      </c>
      <c r="J5376">
        <v>-154.92959999999999</v>
      </c>
      <c r="K5376">
        <v>1.1090599999999999</v>
      </c>
      <c r="L5376">
        <v>137.63659999999999</v>
      </c>
      <c r="M5376">
        <v>0.99960910000000003</v>
      </c>
      <c r="N5376">
        <v>-1.348942E-2</v>
      </c>
      <c r="O5376">
        <v>-2.448879E-2</v>
      </c>
      <c r="P5376">
        <v>0.99435090000000004</v>
      </c>
      <c r="Q5376">
        <v>-7.4424009999999999E-2</v>
      </c>
      <c r="R5376">
        <v>-7.5679880000000005E-2</v>
      </c>
      <c r="S5376">
        <v>2.9497680000000002</v>
      </c>
      <c r="T5376">
        <v>-0.72059740000000005</v>
      </c>
      <c r="U5376">
        <v>-0.19078059999999999</v>
      </c>
      <c r="V5376">
        <v>5.124869E-2</v>
      </c>
      <c r="W5376">
        <v>-6.1030029999999999E-2</v>
      </c>
      <c r="X5376">
        <v>0.99681940000000002</v>
      </c>
      <c r="Y5376">
        <v>3.9499729999999997E-2</v>
      </c>
      <c r="Z5376">
        <v>5.4179599999999999E-4</v>
      </c>
      <c r="AA5376">
        <v>0.99921939999999998</v>
      </c>
      <c r="AB5376">
        <v>27</v>
      </c>
      <c r="AC5376">
        <v>0.46590000000000398</v>
      </c>
      <c r="AD5376">
        <v>-0.194634999999999</v>
      </c>
      <c r="AE5376">
        <v>-4.2899999999974597E-2</v>
      </c>
      <c r="AF5376">
        <v>2.6833104302240601E-2</v>
      </c>
      <c r="AG5376">
        <v>-0.194634999999999</v>
      </c>
      <c r="AH5376">
        <v>0.397943859069881</v>
      </c>
      <c r="AI5376">
        <v>116.012076415404</v>
      </c>
      <c r="AJ5376">
        <v>86.142420971202199</v>
      </c>
      <c r="AK5376">
        <v>0.443804138875387</v>
      </c>
      <c r="AL5376">
        <v>93.498937484824296</v>
      </c>
      <c r="AM5376">
        <v>87.056888522676104</v>
      </c>
      <c r="AN5376">
        <v>1.00000000450243</v>
      </c>
    </row>
    <row r="5377" spans="1:40" x14ac:dyDescent="0.25">
      <c r="A5377" t="str">
        <f>"20190305135739315"</f>
        <v>20190305135739315</v>
      </c>
      <c r="B5377" t="str">
        <f>"1551765459307876"</f>
        <v>1551765459307876</v>
      </c>
      <c r="C5377" t="s">
        <v>40</v>
      </c>
      <c r="D5377">
        <v>4.5947449999999996</v>
      </c>
      <c r="E5377">
        <v>0.4901874</v>
      </c>
      <c r="F5377" t="s">
        <v>41</v>
      </c>
      <c r="G5377">
        <v>-154.21010000000001</v>
      </c>
      <c r="H5377">
        <v>0.93303820000000004</v>
      </c>
      <c r="I5377">
        <v>137.5915</v>
      </c>
      <c r="J5377">
        <v>-154.56799999999899</v>
      </c>
      <c r="K5377">
        <v>1.109327</v>
      </c>
      <c r="L5377">
        <v>137.62729999999999</v>
      </c>
      <c r="M5377">
        <v>0.99960669999999996</v>
      </c>
      <c r="N5377">
        <v>-1.348512E-2</v>
      </c>
      <c r="O5377">
        <v>-2.4588889999999999E-2</v>
      </c>
      <c r="P5377">
        <v>0.99480290000000005</v>
      </c>
      <c r="Q5377">
        <v>-7.4091649999999995E-2</v>
      </c>
      <c r="R5377">
        <v>-6.9842790000000002E-2</v>
      </c>
      <c r="S5377">
        <v>2.948944</v>
      </c>
      <c r="T5377">
        <v>-0.72141189999999999</v>
      </c>
      <c r="U5377">
        <v>-0.18489069999999999</v>
      </c>
      <c r="V5377">
        <v>4.5338669999999998E-2</v>
      </c>
      <c r="W5377">
        <v>-6.0665440000000001E-2</v>
      </c>
      <c r="X5377">
        <v>0.99712800000000001</v>
      </c>
      <c r="Y5377">
        <v>3.749334E-2</v>
      </c>
      <c r="Z5377">
        <v>8.217837E-4</v>
      </c>
      <c r="AA5377">
        <v>0.99929650000000003</v>
      </c>
      <c r="AB5377">
        <v>27</v>
      </c>
      <c r="AC5377">
        <v>0.35789999999997202</v>
      </c>
      <c r="AD5377">
        <v>-0.1762888</v>
      </c>
      <c r="AE5377">
        <v>-3.5799999999994697E-2</v>
      </c>
      <c r="AF5377">
        <v>2.1760730233738899E-2</v>
      </c>
      <c r="AG5377">
        <v>-0.1762888</v>
      </c>
      <c r="AH5377">
        <v>0.28920129764046398</v>
      </c>
      <c r="AI5377">
        <v>121.293449614968</v>
      </c>
      <c r="AJ5377">
        <v>85.696931597256295</v>
      </c>
      <c r="AK5377">
        <v>0.33939455054946599</v>
      </c>
      <c r="AL5377">
        <v>93.478009011434196</v>
      </c>
      <c r="AM5377">
        <v>87.396596586065002</v>
      </c>
      <c r="AN5377">
        <v>1.0000000694958699</v>
      </c>
    </row>
    <row r="5378" spans="1:40" x14ac:dyDescent="0.25">
      <c r="A5378" t="str">
        <f>"20190305135739346"</f>
        <v>20190305135739346</v>
      </c>
      <c r="B5378" t="str">
        <f>"1551765459338131"</f>
        <v>1551765459338131</v>
      </c>
      <c r="C5378" t="s">
        <v>40</v>
      </c>
      <c r="D5378">
        <v>4.590509</v>
      </c>
      <c r="E5378">
        <v>0.49050539999999998</v>
      </c>
      <c r="F5378" t="s">
        <v>41</v>
      </c>
      <c r="G5378">
        <v>-153.73320000000001</v>
      </c>
      <c r="H5378">
        <v>0.90655280000000005</v>
      </c>
      <c r="I5378">
        <v>137.5796</v>
      </c>
      <c r="J5378">
        <v>-154.19290000000001</v>
      </c>
      <c r="K5378">
        <v>1.1095790000000001</v>
      </c>
      <c r="L5378">
        <v>137.6181</v>
      </c>
      <c r="M5378">
        <v>0.99961080000000002</v>
      </c>
      <c r="N5378">
        <v>-1.3565320000000001E-2</v>
      </c>
      <c r="O5378">
        <v>-2.437226E-2</v>
      </c>
      <c r="P5378">
        <v>0.9951023</v>
      </c>
      <c r="Q5378">
        <v>-7.2836730000000002E-2</v>
      </c>
      <c r="R5378">
        <v>-6.6828529999999997E-2</v>
      </c>
      <c r="S5378">
        <v>2.9504389999999998</v>
      </c>
      <c r="T5378">
        <v>-0.71668599999999905</v>
      </c>
      <c r="U5378">
        <v>-0.1687622</v>
      </c>
      <c r="V5378">
        <v>4.2565329999999998E-2</v>
      </c>
      <c r="W5378">
        <v>-5.9304610000000001E-2</v>
      </c>
      <c r="X5378">
        <v>0.997332</v>
      </c>
      <c r="Y5378">
        <v>3.2390670000000003E-2</v>
      </c>
      <c r="Z5378">
        <v>1.4056170000000001E-3</v>
      </c>
      <c r="AA5378">
        <v>0.99947430000000004</v>
      </c>
      <c r="AB5378">
        <v>27</v>
      </c>
      <c r="AC5378">
        <v>0.459699999999998</v>
      </c>
      <c r="AD5378">
        <v>-0.20302619999999999</v>
      </c>
      <c r="AE5378">
        <v>-3.8499999999999E-2</v>
      </c>
      <c r="AF5378">
        <v>2.2856415709214699E-2</v>
      </c>
      <c r="AG5378">
        <v>-0.20302619999999999</v>
      </c>
      <c r="AH5378">
        <v>0.38577830524878398</v>
      </c>
      <c r="AI5378">
        <v>117.715442998062</v>
      </c>
      <c r="AJ5378">
        <v>86.609329674656493</v>
      </c>
      <c r="AK5378">
        <v>0.436539751255411</v>
      </c>
      <c r="AL5378">
        <v>93.399898840522496</v>
      </c>
      <c r="AM5378">
        <v>87.556145194308797</v>
      </c>
      <c r="AN5378">
        <v>0.99999998115462996</v>
      </c>
    </row>
    <row r="5379" spans="1:40" x14ac:dyDescent="0.25">
      <c r="A5379" t="str">
        <f>"20190305135739374"</f>
        <v>20190305135739374</v>
      </c>
      <c r="B5379" t="str">
        <f>"1551765459368387"</f>
        <v>1551765459368387</v>
      </c>
      <c r="C5379" t="s">
        <v>40</v>
      </c>
      <c r="D5379">
        <v>4.5094729999999998</v>
      </c>
      <c r="E5379">
        <v>0.49082989999999999</v>
      </c>
      <c r="F5379" t="s">
        <v>41</v>
      </c>
      <c r="G5379">
        <v>-153.4753</v>
      </c>
      <c r="H5379">
        <v>0.93707629999999997</v>
      </c>
      <c r="I5379">
        <v>137.5787</v>
      </c>
      <c r="J5379">
        <v>-153.86099999999999</v>
      </c>
      <c r="K5379">
        <v>1.109772</v>
      </c>
      <c r="L5379">
        <v>137.6103</v>
      </c>
      <c r="M5379">
        <v>0.99961849999999997</v>
      </c>
      <c r="N5379">
        <v>-1.373912E-2</v>
      </c>
      <c r="O5379">
        <v>-2.3960499999999999E-2</v>
      </c>
      <c r="P5379">
        <v>0.99542949999999997</v>
      </c>
      <c r="Q5379">
        <v>-7.1562459999999994E-2</v>
      </c>
      <c r="R5379">
        <v>-6.3236470000000003E-2</v>
      </c>
      <c r="S5379">
        <v>2.9519959999999998</v>
      </c>
      <c r="T5379">
        <v>-0.70962080000000005</v>
      </c>
      <c r="U5379">
        <v>-0.1615906</v>
      </c>
      <c r="V5379">
        <v>3.9396109999999998E-2</v>
      </c>
      <c r="W5379">
        <v>-5.7841440000000001E-2</v>
      </c>
      <c r="X5379">
        <v>0.9975482</v>
      </c>
      <c r="Y5379">
        <v>3.0405359999999999E-2</v>
      </c>
      <c r="Z5379">
        <v>1.53605E-3</v>
      </c>
      <c r="AA5379">
        <v>0.99953650000000005</v>
      </c>
      <c r="AB5379">
        <v>27</v>
      </c>
      <c r="AC5379">
        <v>0.385699999999985</v>
      </c>
      <c r="AD5379">
        <v>-0.17269569999999901</v>
      </c>
      <c r="AE5379">
        <v>-3.1599999999997401E-2</v>
      </c>
      <c r="AF5379">
        <v>1.86370983314533E-2</v>
      </c>
      <c r="AG5379">
        <v>-0.17269569999999901</v>
      </c>
      <c r="AH5379">
        <v>0.32218630812193</v>
      </c>
      <c r="AI5379">
        <v>118.152009611472</v>
      </c>
      <c r="AJ5379">
        <v>86.689373797079895</v>
      </c>
      <c r="AK5379">
        <v>0.36602617853637998</v>
      </c>
      <c r="AL5379">
        <v>93.3159209630997</v>
      </c>
      <c r="AM5379">
        <v>87.738396600018305</v>
      </c>
      <c r="AN5379">
        <v>1.0000000484938201</v>
      </c>
    </row>
    <row r="5380" spans="1:40" x14ac:dyDescent="0.25">
      <c r="A5380" t="str">
        <f>"20190305135739405"</f>
        <v>20190305135739405</v>
      </c>
      <c r="B5380" t="str">
        <f>"1551765459397667"</f>
        <v>1551765459397667</v>
      </c>
      <c r="C5380" t="s">
        <v>40</v>
      </c>
      <c r="D5380">
        <v>4.4952769999999997</v>
      </c>
      <c r="E5380">
        <v>0.49118030000000001</v>
      </c>
      <c r="F5380" t="s">
        <v>41</v>
      </c>
      <c r="G5380">
        <v>-153.00380000000001</v>
      </c>
      <c r="H5380">
        <v>0.90603650000000002</v>
      </c>
      <c r="I5380">
        <v>137.5659</v>
      </c>
      <c r="J5380">
        <v>-153.4742</v>
      </c>
      <c r="K5380">
        <v>1.1099920000000001</v>
      </c>
      <c r="L5380">
        <v>137.60159999999999</v>
      </c>
      <c r="M5380">
        <v>0.99962969999999896</v>
      </c>
      <c r="N5380">
        <v>-1.410145E-2</v>
      </c>
      <c r="O5380">
        <v>-2.3276169999999999E-2</v>
      </c>
      <c r="P5380">
        <v>0.99602199999999996</v>
      </c>
      <c r="Q5380">
        <v>-6.9854330000000006E-2</v>
      </c>
      <c r="R5380">
        <v>-5.5325970000000002E-2</v>
      </c>
      <c r="S5380">
        <v>2.9536129999999998</v>
      </c>
      <c r="T5380">
        <v>-0.70200560000000001</v>
      </c>
      <c r="U5380">
        <v>-0.15270999999999901</v>
      </c>
      <c r="V5380">
        <v>3.2170289999999997E-2</v>
      </c>
      <c r="W5380">
        <v>-5.576151E-2</v>
      </c>
      <c r="X5380">
        <v>0.99792570000000003</v>
      </c>
      <c r="Y5380">
        <v>2.8115609999999999E-2</v>
      </c>
      <c r="Z5380">
        <v>1.633202E-3</v>
      </c>
      <c r="AA5380">
        <v>0.99960329999999997</v>
      </c>
      <c r="AB5380">
        <v>27</v>
      </c>
      <c r="AC5380">
        <v>0.470399999999983</v>
      </c>
      <c r="AD5380">
        <v>-0.20395550000000001</v>
      </c>
      <c r="AE5380">
        <v>-3.5699999999991398E-2</v>
      </c>
      <c r="AF5380">
        <v>2.0844076716300099E-2</v>
      </c>
      <c r="AG5380">
        <v>-0.20395550000000001</v>
      </c>
      <c r="AH5380">
        <v>0.39691464417144301</v>
      </c>
      <c r="AI5380">
        <v>117.164408886833</v>
      </c>
      <c r="AJ5380">
        <v>86.993858569617103</v>
      </c>
      <c r="AK5380">
        <v>0.44673656249757299</v>
      </c>
      <c r="AL5380">
        <v>93.196557215655801</v>
      </c>
      <c r="AM5380">
        <v>88.153586256632394</v>
      </c>
      <c r="AN5380">
        <v>0.99999998813832702</v>
      </c>
    </row>
    <row r="5381" spans="1:40" x14ac:dyDescent="0.25">
      <c r="A5381" t="str">
        <f>"20190305135739436"</f>
        <v>20190305135739436</v>
      </c>
      <c r="B5381" t="str">
        <f>"1551765459427923"</f>
        <v>1551765459427923</v>
      </c>
      <c r="C5381" t="s">
        <v>40</v>
      </c>
      <c r="D5381">
        <v>4.4852660000000002</v>
      </c>
      <c r="E5381">
        <v>0.49164609999999898</v>
      </c>
      <c r="F5381" t="s">
        <v>41</v>
      </c>
      <c r="G5381">
        <v>-152.7467</v>
      </c>
      <c r="H5381">
        <v>0.9388282</v>
      </c>
      <c r="I5381">
        <v>137.5694</v>
      </c>
      <c r="J5381">
        <v>-153.10810000000001</v>
      </c>
      <c r="K5381">
        <v>1.110166</v>
      </c>
      <c r="L5381">
        <v>137.59389999999999</v>
      </c>
      <c r="M5381">
        <v>0.99964140000000001</v>
      </c>
      <c r="N5381">
        <v>-1.454801E-2</v>
      </c>
      <c r="O5381">
        <v>-2.2482430000000001E-2</v>
      </c>
      <c r="P5381">
        <v>0.99627940000000004</v>
      </c>
      <c r="Q5381">
        <v>-6.9959289999999993E-2</v>
      </c>
      <c r="R5381">
        <v>-5.0331260000000003E-2</v>
      </c>
      <c r="S5381">
        <v>2.9559479999999998</v>
      </c>
      <c r="T5381">
        <v>-0.69543310000000003</v>
      </c>
      <c r="U5381">
        <v>-0.1307373</v>
      </c>
      <c r="V5381">
        <v>2.797324E-2</v>
      </c>
      <c r="W5381">
        <v>-5.5416899999999998E-2</v>
      </c>
      <c r="X5381">
        <v>0.99807140000000005</v>
      </c>
      <c r="Y5381">
        <v>2.1623679999999999E-2</v>
      </c>
      <c r="Z5381">
        <v>2.2239759999999999E-3</v>
      </c>
      <c r="AA5381">
        <v>0.99976370000000003</v>
      </c>
      <c r="AB5381">
        <v>27</v>
      </c>
      <c r="AC5381">
        <v>0.361400000000003</v>
      </c>
      <c r="AD5381">
        <v>-0.17133780000000001</v>
      </c>
      <c r="AE5381">
        <v>-2.4499999999988999E-2</v>
      </c>
      <c r="AF5381">
        <v>1.33752510393873E-2</v>
      </c>
      <c r="AG5381">
        <v>-0.17133780000000001</v>
      </c>
      <c r="AH5381">
        <v>0.29570027588172998</v>
      </c>
      <c r="AI5381">
        <v>120.06392355223601</v>
      </c>
      <c r="AJ5381">
        <v>87.410136221451793</v>
      </c>
      <c r="AK5381">
        <v>0.34201490056098099</v>
      </c>
      <c r="AL5381">
        <v>93.176781814408201</v>
      </c>
      <c r="AM5381">
        <v>88.394574656283496</v>
      </c>
      <c r="AN5381">
        <v>1.0000000272298299</v>
      </c>
    </row>
    <row r="5382" spans="1:40" x14ac:dyDescent="0.25">
      <c r="A5382" t="str">
        <f>"20190305135739458"</f>
        <v>20190305135739458</v>
      </c>
      <c r="B5382" t="str">
        <f>"1551765459447443"</f>
        <v>1551765459447443</v>
      </c>
      <c r="C5382" t="s">
        <v>40</v>
      </c>
      <c r="D5382">
        <v>4.4668429999999999</v>
      </c>
      <c r="E5382">
        <v>0.49217280000000002</v>
      </c>
      <c r="F5382" t="s">
        <v>41</v>
      </c>
      <c r="G5382">
        <v>-152.27670000000001</v>
      </c>
      <c r="H5382">
        <v>0.91549400000000003</v>
      </c>
      <c r="I5382">
        <v>137.56049999999999</v>
      </c>
      <c r="J5382">
        <v>-152.84610000000001</v>
      </c>
      <c r="K5382">
        <v>1.1102890000000001</v>
      </c>
      <c r="L5382">
        <v>137.58869999999999</v>
      </c>
      <c r="M5382">
        <v>0.9996505</v>
      </c>
      <c r="N5382">
        <v>-1.491927E-2</v>
      </c>
      <c r="O5382">
        <v>-2.182533E-2</v>
      </c>
      <c r="P5382">
        <v>0.99651480000000003</v>
      </c>
      <c r="Q5382">
        <v>-6.9846920000000007E-2</v>
      </c>
      <c r="R5382">
        <v>-4.5604079999999998E-2</v>
      </c>
      <c r="S5382">
        <v>2.9565890000000001</v>
      </c>
      <c r="T5382">
        <v>-0.69228400000000001</v>
      </c>
      <c r="U5382">
        <v>-0.118759199999999</v>
      </c>
      <c r="V5382">
        <v>2.3904999999999999E-2</v>
      </c>
      <c r="W5382">
        <v>-5.4932960000000003E-2</v>
      </c>
      <c r="X5382">
        <v>0.99820390000000003</v>
      </c>
      <c r="Y5382">
        <v>1.830532E-2</v>
      </c>
      <c r="Z5382">
        <v>2.4656750000000001E-3</v>
      </c>
      <c r="AA5382">
        <v>0.99982939999999998</v>
      </c>
      <c r="AB5382">
        <v>27</v>
      </c>
      <c r="AC5382">
        <v>0.56940000000000102</v>
      </c>
      <c r="AD5382">
        <v>-0.194794999999999</v>
      </c>
      <c r="AE5382">
        <v>-2.8199999999998199E-2</v>
      </c>
      <c r="AF5382">
        <v>1.4116459273985599E-2</v>
      </c>
      <c r="AG5382">
        <v>-0.194794999999999</v>
      </c>
      <c r="AH5382">
        <v>0.51030212697163702</v>
      </c>
      <c r="AI5382">
        <v>110.885797734836</v>
      </c>
      <c r="AJ5382">
        <v>88.415434155070201</v>
      </c>
      <c r="AK5382">
        <v>0.54639969549699596</v>
      </c>
      <c r="AL5382">
        <v>93.149011713568299</v>
      </c>
      <c r="AM5382">
        <v>88.628142142623005</v>
      </c>
      <c r="AN5382">
        <v>1.0000000525472801</v>
      </c>
    </row>
    <row r="5383" spans="1:40" x14ac:dyDescent="0.25">
      <c r="A5383" t="str">
        <f>"20190305135739485"</f>
        <v>20190305135739485</v>
      </c>
      <c r="B5383" t="str">
        <f>"1551765459477699"</f>
        <v>1551765459477699</v>
      </c>
      <c r="C5383" t="s">
        <v>40</v>
      </c>
      <c r="D5383">
        <v>4.4590959999999997</v>
      </c>
      <c r="E5383">
        <v>0.49282379999999998</v>
      </c>
      <c r="F5383" t="s">
        <v>41</v>
      </c>
      <c r="G5383">
        <v>-152.03550000000001</v>
      </c>
      <c r="H5383">
        <v>0.92039119999999996</v>
      </c>
      <c r="I5383">
        <v>137.559</v>
      </c>
      <c r="J5383">
        <v>-152.52500000000001</v>
      </c>
      <c r="K5383">
        <v>1.110447</v>
      </c>
      <c r="L5383">
        <v>137.58269999999999</v>
      </c>
      <c r="M5383">
        <v>0.99966279999999996</v>
      </c>
      <c r="N5383">
        <v>-1.540881E-2</v>
      </c>
      <c r="O5383">
        <v>-2.0906569999999999E-2</v>
      </c>
      <c r="P5383">
        <v>0.99671860000000001</v>
      </c>
      <c r="Q5383">
        <v>-6.9211579999999995E-2</v>
      </c>
      <c r="R5383">
        <v>-4.1976369999999999E-2</v>
      </c>
      <c r="S5383">
        <v>2.957001</v>
      </c>
      <c r="T5383">
        <v>-0.692778</v>
      </c>
      <c r="U5383">
        <v>-0.1077881</v>
      </c>
      <c r="V5383">
        <v>2.1199619999999999E-2</v>
      </c>
      <c r="W5383">
        <v>-5.380629E-2</v>
      </c>
      <c r="X5383">
        <v>0.9983263</v>
      </c>
      <c r="Y5383">
        <v>1.556833E-2</v>
      </c>
      <c r="Z5383">
        <v>2.5918220000000001E-3</v>
      </c>
      <c r="AA5383">
        <v>0.99987539999999997</v>
      </c>
      <c r="AB5383">
        <v>27</v>
      </c>
      <c r="AC5383">
        <v>0.489499999999992</v>
      </c>
      <c r="AD5383">
        <v>-0.190055799999999</v>
      </c>
      <c r="AE5383">
        <v>-2.3699999999990898E-2</v>
      </c>
      <c r="AF5383">
        <v>1.1700165666253599E-2</v>
      </c>
      <c r="AG5383">
        <v>-0.190055799999999</v>
      </c>
      <c r="AH5383">
        <v>0.425842913901745</v>
      </c>
      <c r="AI5383">
        <v>114.043398608275</v>
      </c>
      <c r="AJ5383">
        <v>88.426176693447402</v>
      </c>
      <c r="AK5383">
        <v>0.466476460617882</v>
      </c>
      <c r="AL5383">
        <v>93.084362905526802</v>
      </c>
      <c r="AM5383">
        <v>88.783497712152496</v>
      </c>
      <c r="AN5383">
        <v>0.99999997100169802</v>
      </c>
    </row>
    <row r="5384" spans="1:40" x14ac:dyDescent="0.25">
      <c r="A5384" t="str">
        <f>"20190305135739506"</f>
        <v>20190305135739506</v>
      </c>
      <c r="B5384" t="str">
        <f>"1551765459498195"</f>
        <v>1551765459498195</v>
      </c>
      <c r="C5384" t="s">
        <v>40</v>
      </c>
      <c r="D5384">
        <v>4.4354069999999997</v>
      </c>
      <c r="E5384">
        <v>0.50296059999999998</v>
      </c>
      <c r="F5384" t="s">
        <v>41</v>
      </c>
      <c r="G5384">
        <v>-151.78919999999999</v>
      </c>
      <c r="H5384">
        <v>0.93879389999999996</v>
      </c>
      <c r="I5384">
        <v>137.5575</v>
      </c>
      <c r="J5384">
        <v>-152.2646</v>
      </c>
      <c r="K5384">
        <v>1.1105959999999999</v>
      </c>
      <c r="L5384">
        <v>137.57810000000001</v>
      </c>
      <c r="M5384">
        <v>0.99967490000000003</v>
      </c>
      <c r="N5384">
        <v>-1.5809299999999998E-2</v>
      </c>
      <c r="O5384">
        <v>-2.0011609999999999E-2</v>
      </c>
      <c r="P5384">
        <v>0.99693509999999996</v>
      </c>
      <c r="Q5384">
        <v>-6.7700910000000003E-2</v>
      </c>
      <c r="R5384">
        <v>-3.9207649999999997E-2</v>
      </c>
      <c r="S5384">
        <v>2.9577330000000002</v>
      </c>
      <c r="T5384">
        <v>-0.69002659999999905</v>
      </c>
      <c r="U5384">
        <v>-0.1011353</v>
      </c>
      <c r="V5384">
        <v>1.9328740000000001E-2</v>
      </c>
      <c r="W5384">
        <v>-5.1891960000000001E-2</v>
      </c>
      <c r="X5384">
        <v>0.99846570000000001</v>
      </c>
      <c r="Y5384">
        <v>1.422255E-2</v>
      </c>
      <c r="Z5384">
        <v>2.5417719999999999E-3</v>
      </c>
      <c r="AA5384">
        <v>0.9998956</v>
      </c>
      <c r="AB5384">
        <v>27</v>
      </c>
      <c r="AC5384">
        <v>0.47540000000000698</v>
      </c>
      <c r="AD5384">
        <v>-0.17180209999999899</v>
      </c>
      <c r="AE5384">
        <v>-2.06000000000017E-2</v>
      </c>
      <c r="AF5384">
        <v>9.8032723518979292E-3</v>
      </c>
      <c r="AG5384">
        <v>-0.17180209999999899</v>
      </c>
      <c r="AH5384">
        <v>0.42085676393481802</v>
      </c>
      <c r="AI5384">
        <v>112.200822262754</v>
      </c>
      <c r="AJ5384">
        <v>88.665615897056696</v>
      </c>
      <c r="AK5384">
        <v>0.45467843742902803</v>
      </c>
      <c r="AL5384">
        <v>92.974526080644694</v>
      </c>
      <c r="AM5384">
        <v>88.890981515880199</v>
      </c>
      <c r="AN5384">
        <v>1.00000006488955</v>
      </c>
    </row>
    <row r="5385" spans="1:40" x14ac:dyDescent="0.25">
      <c r="A5385" t="str">
        <f>"20190305135739540"</f>
        <v>20190305135739540</v>
      </c>
      <c r="B5385" t="str">
        <f>"1551765459527475"</f>
        <v>1551765459527475</v>
      </c>
      <c r="C5385" t="s">
        <v>40</v>
      </c>
      <c r="D5385">
        <v>4.4300600000000001</v>
      </c>
      <c r="E5385">
        <v>0.50494280000000002</v>
      </c>
      <c r="F5385" t="s">
        <v>41</v>
      </c>
      <c r="G5385">
        <v>-151.5521</v>
      </c>
      <c r="H5385">
        <v>0.94190260000000003</v>
      </c>
      <c r="I5385">
        <v>137.5359</v>
      </c>
      <c r="J5385">
        <v>-151.887</v>
      </c>
      <c r="K5385">
        <v>1.1108359999999999</v>
      </c>
      <c r="L5385">
        <v>137.57239999999999</v>
      </c>
      <c r="M5385">
        <v>0.99969819999999998</v>
      </c>
      <c r="N5385">
        <v>-1.6378790000000001E-2</v>
      </c>
      <c r="O5385">
        <v>-1.83159E-2</v>
      </c>
      <c r="P5385">
        <v>0.99705370000000004</v>
      </c>
      <c r="Q5385">
        <v>-6.6734870000000002E-2</v>
      </c>
      <c r="R5385">
        <v>-3.7822340000000003E-2</v>
      </c>
      <c r="S5385">
        <v>2.9548489999999998</v>
      </c>
      <c r="T5385">
        <v>-0.69974729999999996</v>
      </c>
      <c r="U5385">
        <v>-0.17446900000000001</v>
      </c>
      <c r="V5385">
        <v>1.9656199999999999E-2</v>
      </c>
      <c r="W5385">
        <v>-5.034607E-2</v>
      </c>
      <c r="X5385">
        <v>0.99853840000000005</v>
      </c>
      <c r="Y5385">
        <v>3.9905080000000002E-2</v>
      </c>
      <c r="Z5385">
        <v>-1.0105960000000001E-3</v>
      </c>
      <c r="AA5385">
        <v>0.99920299999999995</v>
      </c>
      <c r="AB5385">
        <v>27</v>
      </c>
      <c r="AC5385">
        <v>0.33490000000000397</v>
      </c>
      <c r="AD5385">
        <v>-0.16893340000000001</v>
      </c>
      <c r="AE5385">
        <v>-3.6499999999989499E-2</v>
      </c>
      <c r="AF5385">
        <v>2.42588724851742E-2</v>
      </c>
      <c r="AG5385">
        <v>-0.16893340000000001</v>
      </c>
      <c r="AH5385">
        <v>0.26809636368477102</v>
      </c>
      <c r="AI5385">
        <v>122.11065789724999</v>
      </c>
      <c r="AJ5385">
        <v>84.829634786802799</v>
      </c>
      <c r="AK5385">
        <v>0.31780913572584502</v>
      </c>
      <c r="AL5385">
        <v>92.885837295395206</v>
      </c>
      <c r="AM5385">
        <v>88.872279858186999</v>
      </c>
      <c r="AN5385">
        <v>1.00000001461872</v>
      </c>
    </row>
    <row r="5386" spans="1:40" x14ac:dyDescent="0.25">
      <c r="A5386" t="str">
        <f>"20190305135739570"</f>
        <v>20190305135739570</v>
      </c>
      <c r="B5386" t="str">
        <f>"1551765459557732"</f>
        <v>1551765459557732</v>
      </c>
      <c r="C5386" t="s">
        <v>40</v>
      </c>
      <c r="D5386">
        <v>4.4290250000000002</v>
      </c>
      <c r="E5386">
        <v>0.50517559999999995</v>
      </c>
      <c r="F5386" t="s">
        <v>41</v>
      </c>
      <c r="G5386">
        <v>-151.0874</v>
      </c>
      <c r="H5386">
        <v>0.9326719</v>
      </c>
      <c r="I5386">
        <v>137.52269999999999</v>
      </c>
      <c r="J5386">
        <v>-151.52520000000001</v>
      </c>
      <c r="K5386">
        <v>1.1111219999999999</v>
      </c>
      <c r="L5386">
        <v>137.56809999999999</v>
      </c>
      <c r="M5386">
        <v>0.99972519999999998</v>
      </c>
      <c r="N5386">
        <v>-1.6908579999999999E-2</v>
      </c>
      <c r="O5386">
        <v>-1.623848E-2</v>
      </c>
      <c r="P5386">
        <v>0.9969981</v>
      </c>
      <c r="Q5386">
        <v>-6.8182450000000006E-2</v>
      </c>
      <c r="R5386">
        <v>-3.6684969999999997E-2</v>
      </c>
      <c r="S5386">
        <v>2.9577789999999999</v>
      </c>
      <c r="T5386">
        <v>-0.65910729999999995</v>
      </c>
      <c r="U5386">
        <v>-0.1832733</v>
      </c>
      <c r="V5386">
        <v>2.062545E-2</v>
      </c>
      <c r="W5386">
        <v>-5.1251949999999998E-2</v>
      </c>
      <c r="X5386">
        <v>0.99847280000000005</v>
      </c>
      <c r="Y5386">
        <v>4.478592E-2</v>
      </c>
      <c r="Z5386">
        <v>-2.0094090000000002E-3</v>
      </c>
      <c r="AA5386">
        <v>0.99899459999999995</v>
      </c>
      <c r="AB5386">
        <v>26</v>
      </c>
      <c r="AC5386">
        <v>0.43780000000001001</v>
      </c>
      <c r="AD5386">
        <v>-0.178450099999999</v>
      </c>
      <c r="AE5386">
        <v>-4.5400000000000697E-2</v>
      </c>
      <c r="AF5386">
        <v>3.28792507476868E-2</v>
      </c>
      <c r="AG5386">
        <v>-0.178450099999999</v>
      </c>
      <c r="AH5386">
        <v>0.37657924271154097</v>
      </c>
      <c r="AI5386">
        <v>115.27084302363301</v>
      </c>
      <c r="AJ5386">
        <v>85.010141387803301</v>
      </c>
      <c r="AK5386">
        <v>0.41801603959768902</v>
      </c>
      <c r="AL5386">
        <v>92.937807386286707</v>
      </c>
      <c r="AM5386">
        <v>88.816609536466999</v>
      </c>
      <c r="AN5386">
        <v>1.00000005195317</v>
      </c>
    </row>
    <row r="5387" spans="1:40" x14ac:dyDescent="0.25">
      <c r="A5387" t="str">
        <f>"20190305135739591"</f>
        <v>20190305135739591</v>
      </c>
      <c r="B5387" t="str">
        <f>"1551765459587987"</f>
        <v>1551765459587987</v>
      </c>
      <c r="C5387" t="s">
        <v>40</v>
      </c>
      <c r="D5387">
        <v>4.4954219999999996</v>
      </c>
      <c r="E5387">
        <v>0.5054014</v>
      </c>
      <c r="F5387" t="s">
        <v>41</v>
      </c>
      <c r="G5387">
        <v>-150.63220000000001</v>
      </c>
      <c r="H5387">
        <v>0.91308429999999996</v>
      </c>
      <c r="I5387">
        <v>137.51329999999999</v>
      </c>
      <c r="J5387">
        <v>-151.2766</v>
      </c>
      <c r="K5387">
        <v>1.1113139999999999</v>
      </c>
      <c r="L5387">
        <v>137.5659</v>
      </c>
      <c r="M5387">
        <v>0.99974629999999998</v>
      </c>
      <c r="N5387">
        <v>-1.724987E-2</v>
      </c>
      <c r="O5387">
        <v>-1.4487969999999999E-2</v>
      </c>
      <c r="P5387">
        <v>0.99682150000000003</v>
      </c>
      <c r="Q5387">
        <v>-7.0477170000000006E-2</v>
      </c>
      <c r="R5387">
        <v>-3.715069E-2</v>
      </c>
      <c r="S5387">
        <v>2.9575200000000001</v>
      </c>
      <c r="T5387">
        <v>-0.65601419999999999</v>
      </c>
      <c r="U5387">
        <v>-0.18124390000000001</v>
      </c>
      <c r="V5387">
        <v>2.286786E-2</v>
      </c>
      <c r="W5387">
        <v>-5.3193409999999997E-2</v>
      </c>
      <c r="X5387">
        <v>0.99832240000000005</v>
      </c>
      <c r="Y5387">
        <v>4.5799039999999999E-2</v>
      </c>
      <c r="Z5387">
        <v>-2.4896430000000002E-3</v>
      </c>
      <c r="AA5387">
        <v>0.99894760000000005</v>
      </c>
      <c r="AB5387">
        <v>26</v>
      </c>
      <c r="AC5387">
        <v>0.64439999999998998</v>
      </c>
      <c r="AD5387">
        <v>-0.19822969999999901</v>
      </c>
      <c r="AE5387">
        <v>-5.2600000000012401E-2</v>
      </c>
      <c r="AF5387">
        <v>3.9540143582093797E-2</v>
      </c>
      <c r="AG5387">
        <v>-0.19822969999999901</v>
      </c>
      <c r="AH5387">
        <v>0.58966423934484502</v>
      </c>
      <c r="AI5387">
        <v>108.542513957468</v>
      </c>
      <c r="AJ5387">
        <v>86.163754205940904</v>
      </c>
      <c r="AK5387">
        <v>0.62334769758034503</v>
      </c>
      <c r="AL5387">
        <v>93.049196874911402</v>
      </c>
      <c r="AM5387">
        <v>88.687795868420807</v>
      </c>
      <c r="AN5387">
        <v>1.00000004611508</v>
      </c>
    </row>
    <row r="5388" spans="1:40" x14ac:dyDescent="0.25">
      <c r="A5388" t="str">
        <f>"20190305135739615"</f>
        <v>20190305135739615</v>
      </c>
      <c r="B5388" t="str">
        <f>"1551765459607508"</f>
        <v>1551765459607508</v>
      </c>
      <c r="C5388" t="s">
        <v>40</v>
      </c>
      <c r="D5388">
        <v>4.4662179999999996</v>
      </c>
      <c r="E5388">
        <v>0.50580040000000004</v>
      </c>
      <c r="F5388" t="s">
        <v>41</v>
      </c>
      <c r="G5388">
        <v>-150.4008</v>
      </c>
      <c r="H5388">
        <v>0.91571749999999996</v>
      </c>
      <c r="I5388">
        <v>137.51130000000001</v>
      </c>
      <c r="J5388">
        <v>-151</v>
      </c>
      <c r="K5388">
        <v>1.1115109999999999</v>
      </c>
      <c r="L5388">
        <v>137.56440000000001</v>
      </c>
      <c r="M5388">
        <v>0.99976969999999998</v>
      </c>
      <c r="N5388">
        <v>-1.7609139999999999E-2</v>
      </c>
      <c r="O5388">
        <v>-1.226154E-2</v>
      </c>
      <c r="P5388">
        <v>0.99672939999999999</v>
      </c>
      <c r="Q5388">
        <v>-7.19225E-2</v>
      </c>
      <c r="R5388">
        <v>-3.6847100000000001E-2</v>
      </c>
      <c r="S5388">
        <v>2.9560240000000002</v>
      </c>
      <c r="T5388">
        <v>-0.660213099999999</v>
      </c>
      <c r="U5388">
        <v>-0.18418880000000001</v>
      </c>
      <c r="V5388">
        <v>2.481249E-2</v>
      </c>
      <c r="W5388">
        <v>-5.4265979999999998E-2</v>
      </c>
      <c r="X5388">
        <v>0.99821819999999895</v>
      </c>
      <c r="Y5388">
        <v>4.8902569999999999E-2</v>
      </c>
      <c r="Z5388">
        <v>-3.3371770000000002E-3</v>
      </c>
      <c r="AA5388">
        <v>0.99879799999999996</v>
      </c>
      <c r="AB5388">
        <v>26</v>
      </c>
      <c r="AC5388">
        <v>0.59919999999999596</v>
      </c>
      <c r="AD5388">
        <v>-0.19579350000000001</v>
      </c>
      <c r="AE5388">
        <v>-5.3100000000000501E-2</v>
      </c>
      <c r="AF5388">
        <v>4.1365531432272402E-2</v>
      </c>
      <c r="AG5388">
        <v>-0.19579350000000001</v>
      </c>
      <c r="AH5388">
        <v>0.54235012707863495</v>
      </c>
      <c r="AI5388">
        <v>109.79704674899</v>
      </c>
      <c r="AJ5388">
        <v>85.638443763818401</v>
      </c>
      <c r="AK5388">
        <v>0.57809156902270797</v>
      </c>
      <c r="AL5388">
        <v>93.110739601828001</v>
      </c>
      <c r="AM5388">
        <v>88.576104632045002</v>
      </c>
      <c r="AN5388">
        <v>1.0000000155283</v>
      </c>
    </row>
    <row r="5389" spans="1:40" x14ac:dyDescent="0.25">
      <c r="A5389" t="str">
        <f>"20190305135739635"</f>
        <v>20190305135739635</v>
      </c>
      <c r="B5389" t="str">
        <f>"1551765459628004"</f>
        <v>1551765459628004</v>
      </c>
      <c r="C5389" t="s">
        <v>40</v>
      </c>
      <c r="D5389">
        <v>4.5373979999999996</v>
      </c>
      <c r="E5389">
        <v>0.50542790000000004</v>
      </c>
      <c r="F5389" t="s">
        <v>41</v>
      </c>
      <c r="G5389">
        <v>-150.16730000000001</v>
      </c>
      <c r="H5389">
        <v>0.92496100000000003</v>
      </c>
      <c r="I5389">
        <v>137.51179999999999</v>
      </c>
      <c r="J5389">
        <v>-150.77260000000001</v>
      </c>
      <c r="K5389">
        <v>1.111656</v>
      </c>
      <c r="L5389">
        <v>137.56379999999999</v>
      </c>
      <c r="M5389">
        <v>0.9997876</v>
      </c>
      <c r="N5389">
        <v>-1.789E-2</v>
      </c>
      <c r="O5389">
        <v>-1.023321E-2</v>
      </c>
      <c r="P5389">
        <v>0.99665170000000003</v>
      </c>
      <c r="Q5389">
        <v>-7.2976959999999994E-2</v>
      </c>
      <c r="R5389">
        <v>-3.6877470000000002E-2</v>
      </c>
      <c r="S5389">
        <v>2.9551850000000002</v>
      </c>
      <c r="T5389">
        <v>-0.6622403</v>
      </c>
      <c r="U5389">
        <v>-0.1859894</v>
      </c>
      <c r="V5389">
        <v>2.6886409999999999E-2</v>
      </c>
      <c r="W5389">
        <v>-5.5026470000000001E-2</v>
      </c>
      <c r="X5389">
        <v>0.99812290000000004</v>
      </c>
      <c r="Y5389">
        <v>5.1433590000000001E-2</v>
      </c>
      <c r="Z5389">
        <v>-4.0717359999999899E-3</v>
      </c>
      <c r="AA5389">
        <v>0.99866809999999995</v>
      </c>
      <c r="AB5389">
        <v>26</v>
      </c>
      <c r="AC5389">
        <v>0.60529999999999895</v>
      </c>
      <c r="AD5389">
        <v>-0.186694999999999</v>
      </c>
      <c r="AE5389">
        <v>-5.1999999999992497E-2</v>
      </c>
      <c r="AF5389">
        <v>4.1850036153020097E-2</v>
      </c>
      <c r="AG5389">
        <v>-0.186694999999999</v>
      </c>
      <c r="AH5389">
        <v>0.55352834176425603</v>
      </c>
      <c r="AI5389">
        <v>108.58891707948</v>
      </c>
      <c r="AJ5389">
        <v>85.676324054152701</v>
      </c>
      <c r="AK5389">
        <v>0.58566208148325305</v>
      </c>
      <c r="AL5389">
        <v>93.154377542065703</v>
      </c>
      <c r="AM5389">
        <v>88.456998240521997</v>
      </c>
      <c r="AN5389">
        <v>1.0000000574738701</v>
      </c>
    </row>
    <row r="5390" spans="1:40" x14ac:dyDescent="0.25">
      <c r="A5390" t="str">
        <f>"20190305135739659"</f>
        <v>20190305135739659</v>
      </c>
      <c r="B5390" t="str">
        <f>"1551765459648500"</f>
        <v>1551765459648500</v>
      </c>
      <c r="C5390" t="s">
        <v>40</v>
      </c>
      <c r="D5390">
        <v>4.4839260000000003</v>
      </c>
      <c r="E5390">
        <v>0.50550439999999996</v>
      </c>
      <c r="F5390" t="s">
        <v>41</v>
      </c>
      <c r="G5390">
        <v>-149.94049999999999</v>
      </c>
      <c r="H5390">
        <v>0.92300439999999995</v>
      </c>
      <c r="I5390">
        <v>137.512</v>
      </c>
      <c r="J5390">
        <v>-150.505</v>
      </c>
      <c r="K5390">
        <v>1.111837</v>
      </c>
      <c r="L5390">
        <v>137.56389999999999</v>
      </c>
      <c r="M5390">
        <v>0.99980460000000004</v>
      </c>
      <c r="N5390">
        <v>-1.8230469999999999E-2</v>
      </c>
      <c r="O5390">
        <v>-7.6451519999999997E-3</v>
      </c>
      <c r="P5390">
        <v>0.99667510000000004</v>
      </c>
      <c r="Q5390">
        <v>-7.3493820000000001E-2</v>
      </c>
      <c r="R5390">
        <v>-3.5180290000000003E-2</v>
      </c>
      <c r="S5390">
        <v>2.9542540000000002</v>
      </c>
      <c r="T5390">
        <v>-0.66984889999999997</v>
      </c>
      <c r="U5390">
        <v>-0.18363950000000001</v>
      </c>
      <c r="V5390">
        <v>2.778798E-2</v>
      </c>
      <c r="W5390">
        <v>-5.5192249999999998E-2</v>
      </c>
      <c r="X5390">
        <v>0.998089</v>
      </c>
      <c r="Y5390">
        <v>5.3117049999999999E-2</v>
      </c>
      <c r="Z5390">
        <v>-4.8597509999999998E-3</v>
      </c>
      <c r="AA5390">
        <v>0.99857649999999998</v>
      </c>
      <c r="AB5390">
        <v>26</v>
      </c>
      <c r="AC5390">
        <v>0.56450000000000899</v>
      </c>
      <c r="AD5390">
        <v>-0.18883259999999999</v>
      </c>
      <c r="AE5390">
        <v>-5.1899999999989101E-2</v>
      </c>
      <c r="AF5390">
        <v>4.2829655125018899E-2</v>
      </c>
      <c r="AG5390">
        <v>-0.18883259999999999</v>
      </c>
      <c r="AH5390">
        <v>0.50846099763366603</v>
      </c>
      <c r="AI5390">
        <v>110.30800791297401</v>
      </c>
      <c r="AJ5390">
        <v>85.185119068527698</v>
      </c>
      <c r="AK5390">
        <v>0.54408153460259101</v>
      </c>
      <c r="AL5390">
        <v>93.1638906614738</v>
      </c>
      <c r="AM5390">
        <v>88.405229598448898</v>
      </c>
      <c r="AN5390">
        <v>1.00000000410677</v>
      </c>
    </row>
    <row r="5391" spans="1:40" x14ac:dyDescent="0.25">
      <c r="A5391" t="str">
        <f>"20190305135739697"</f>
        <v>20190305135739697</v>
      </c>
      <c r="B5391" t="str">
        <f>"1551765459687540"</f>
        <v>1551765459687540</v>
      </c>
      <c r="C5391" t="s">
        <v>40</v>
      </c>
      <c r="D5391">
        <v>4.3352440000000003</v>
      </c>
      <c r="E5391">
        <v>0.50530509999999995</v>
      </c>
      <c r="F5391" t="s">
        <v>41</v>
      </c>
      <c r="G5391">
        <v>-149.71010000000001</v>
      </c>
      <c r="H5391">
        <v>0.93139300000000003</v>
      </c>
      <c r="I5391">
        <v>137.5154</v>
      </c>
      <c r="J5391">
        <v>-150.0814</v>
      </c>
      <c r="K5391">
        <v>1.1120920000000001</v>
      </c>
      <c r="L5391">
        <v>137.566</v>
      </c>
      <c r="M5391">
        <v>0.99981710000000001</v>
      </c>
      <c r="N5391">
        <v>-1.884709E-2</v>
      </c>
      <c r="O5391">
        <v>-3.273761E-3</v>
      </c>
      <c r="P5391">
        <v>0.99713439999999998</v>
      </c>
      <c r="Q5391">
        <v>-6.8864099999999998E-2</v>
      </c>
      <c r="R5391">
        <v>-3.1319260000000002E-2</v>
      </c>
      <c r="S5391">
        <v>2.9541930000000001</v>
      </c>
      <c r="T5391">
        <v>-0.67076269999999905</v>
      </c>
      <c r="U5391">
        <v>-0.1797638</v>
      </c>
      <c r="V5391">
        <v>2.8278560000000001E-2</v>
      </c>
      <c r="W5391">
        <v>-4.9930599999999999E-2</v>
      </c>
      <c r="X5391">
        <v>0.99835229999999997</v>
      </c>
      <c r="Y5391">
        <v>5.5997819999999997E-2</v>
      </c>
      <c r="Z5391">
        <v>-6.1348419999999997E-3</v>
      </c>
      <c r="AA5391">
        <v>0.99841210000000002</v>
      </c>
      <c r="AB5391">
        <v>26</v>
      </c>
      <c r="AC5391">
        <v>0.37129999999999003</v>
      </c>
      <c r="AD5391">
        <v>-0.180699</v>
      </c>
      <c r="AE5391">
        <v>-5.0600000000002802E-2</v>
      </c>
      <c r="AF5391">
        <v>4.0067307290443097E-2</v>
      </c>
      <c r="AG5391">
        <v>-0.180699</v>
      </c>
      <c r="AH5391">
        <v>0.30138425970845001</v>
      </c>
      <c r="AI5391">
        <v>120.72446871148</v>
      </c>
      <c r="AJ5391">
        <v>82.427260639476202</v>
      </c>
      <c r="AK5391">
        <v>0.35368063237123598</v>
      </c>
      <c r="AL5391">
        <v>92.862002601487205</v>
      </c>
      <c r="AM5391">
        <v>88.3775176054518</v>
      </c>
      <c r="AN5391">
        <v>1.0000000283436601</v>
      </c>
    </row>
    <row r="5392" spans="1:40" x14ac:dyDescent="0.25">
      <c r="A5392" t="str">
        <f>"20190305135739740"</f>
        <v>20190305135739740</v>
      </c>
      <c r="B5392" t="str">
        <f>"1551765459727556"</f>
        <v>1551765459727556</v>
      </c>
      <c r="C5392" t="s">
        <v>40</v>
      </c>
      <c r="D5392">
        <v>4.4994339999999999</v>
      </c>
      <c r="E5392">
        <v>0.50520449999999995</v>
      </c>
      <c r="F5392" t="s">
        <v>41</v>
      </c>
      <c r="G5392">
        <v>-149.26390000000001</v>
      </c>
      <c r="H5392">
        <v>0.92795309999999998</v>
      </c>
      <c r="I5392">
        <v>137.5197</v>
      </c>
      <c r="J5392">
        <v>-149.60550000000001</v>
      </c>
      <c r="K5392">
        <v>1.1122270000000001</v>
      </c>
      <c r="L5392">
        <v>137.571</v>
      </c>
      <c r="M5392">
        <v>0.99980559999999996</v>
      </c>
      <c r="N5392">
        <v>-1.9634829999999999E-2</v>
      </c>
      <c r="O5392">
        <v>1.8184169999999999E-3</v>
      </c>
      <c r="P5392">
        <v>0.99762399999999996</v>
      </c>
      <c r="Q5392">
        <v>-6.3034989999999999E-2</v>
      </c>
      <c r="R5392">
        <v>-2.7807080000000001E-2</v>
      </c>
      <c r="S5392">
        <v>2.9573670000000001</v>
      </c>
      <c r="T5392">
        <v>-0.66625419999999902</v>
      </c>
      <c r="U5392">
        <v>-0.16696169999999999</v>
      </c>
      <c r="V5392">
        <v>2.9818600000000001E-2</v>
      </c>
      <c r="W5392">
        <v>-4.3300619999999998E-2</v>
      </c>
      <c r="X5392">
        <v>0.99861699999999998</v>
      </c>
      <c r="Y5392">
        <v>5.6603349999999997E-2</v>
      </c>
      <c r="Z5392">
        <v>-7.2249180000000003E-3</v>
      </c>
      <c r="AA5392">
        <v>0.9983706</v>
      </c>
      <c r="AB5392">
        <v>25</v>
      </c>
      <c r="AC5392">
        <v>0.34159999999999902</v>
      </c>
      <c r="AD5392">
        <v>-0.18427389999999999</v>
      </c>
      <c r="AE5392">
        <v>-5.1299999999997598E-2</v>
      </c>
      <c r="AF5392">
        <v>4.0418780664132903E-2</v>
      </c>
      <c r="AG5392">
        <v>-0.18427389999999999</v>
      </c>
      <c r="AH5392">
        <v>0.26585016946780299</v>
      </c>
      <c r="AI5392">
        <v>124.42185316158</v>
      </c>
      <c r="AJ5392">
        <v>81.355184669400003</v>
      </c>
      <c r="AK5392">
        <v>0.32598598230237602</v>
      </c>
      <c r="AL5392">
        <v>92.4817186959162</v>
      </c>
      <c r="AM5392">
        <v>88.289662168191597</v>
      </c>
      <c r="AN5392">
        <v>1.0000000026436699</v>
      </c>
    </row>
    <row r="5393" spans="1:40" x14ac:dyDescent="0.25">
      <c r="A5393" t="str">
        <f>"20190305135739768"</f>
        <v>20190305135739768</v>
      </c>
      <c r="B5393" t="str">
        <f>"1551765459757811"</f>
        <v>1551765459757811</v>
      </c>
      <c r="C5393" t="s">
        <v>40</v>
      </c>
      <c r="D5393">
        <v>4.5142129999999998</v>
      </c>
      <c r="E5393">
        <v>0.5051909</v>
      </c>
      <c r="F5393" t="s">
        <v>41</v>
      </c>
      <c r="G5393">
        <v>-148.81649999999999</v>
      </c>
      <c r="H5393">
        <v>0.93990169999999995</v>
      </c>
      <c r="I5393">
        <v>137.52979999999999</v>
      </c>
      <c r="J5393">
        <v>-149.2953</v>
      </c>
      <c r="K5393">
        <v>1.112242</v>
      </c>
      <c r="L5393">
        <v>137.57560000000001</v>
      </c>
      <c r="M5393">
        <v>0.99978330000000004</v>
      </c>
      <c r="N5393">
        <v>-2.0179200000000001E-2</v>
      </c>
      <c r="O5393">
        <v>5.1173109999999898E-3</v>
      </c>
      <c r="P5393">
        <v>0.99756429999999996</v>
      </c>
      <c r="Q5393">
        <v>-6.5008300000000005E-2</v>
      </c>
      <c r="R5393">
        <v>-2.5284239999999999E-2</v>
      </c>
      <c r="S5393">
        <v>2.9619749999999998</v>
      </c>
      <c r="T5393">
        <v>-0.647262</v>
      </c>
      <c r="U5393">
        <v>-0.15351870000000001</v>
      </c>
      <c r="V5393">
        <v>3.0589000000000002E-2</v>
      </c>
      <c r="W5393">
        <v>-4.4732349999999997E-2</v>
      </c>
      <c r="X5393">
        <v>0.99853060000000005</v>
      </c>
      <c r="Y5393">
        <v>5.5345770000000002E-2</v>
      </c>
      <c r="Z5393">
        <v>-7.541173E-3</v>
      </c>
      <c r="AA5393">
        <v>0.99843879999999996</v>
      </c>
      <c r="AB5393">
        <v>25</v>
      </c>
      <c r="AC5393">
        <v>0.478800000000006</v>
      </c>
      <c r="AD5393">
        <v>-0.172340299999999</v>
      </c>
      <c r="AE5393">
        <v>-4.5800000000014003E-2</v>
      </c>
      <c r="AF5393">
        <v>4.2760339711921003E-2</v>
      </c>
      <c r="AG5393">
        <v>-0.172340299999999</v>
      </c>
      <c r="AH5393">
        <v>0.42411046472611202</v>
      </c>
      <c r="AI5393">
        <v>112.01384443341399</v>
      </c>
      <c r="AJ5393">
        <v>84.242689647903902</v>
      </c>
      <c r="AK5393">
        <v>0.459781809064438</v>
      </c>
      <c r="AL5393">
        <v>92.563830340732693</v>
      </c>
      <c r="AM5393">
        <v>88.245349052603203</v>
      </c>
      <c r="AN5393">
        <v>1.0000000145969401</v>
      </c>
    </row>
    <row r="5394" spans="1:40" x14ac:dyDescent="0.25">
      <c r="A5394" t="str">
        <f>"20190305135739792"</f>
        <v>20190305135739792</v>
      </c>
      <c r="B5394" t="str">
        <f>"1551765459788067"</f>
        <v>1551765459788067</v>
      </c>
      <c r="C5394" t="s">
        <v>40</v>
      </c>
      <c r="D5394">
        <v>4.4920619999999998</v>
      </c>
      <c r="E5394">
        <v>0.50498290000000001</v>
      </c>
      <c r="F5394" t="s">
        <v>41</v>
      </c>
      <c r="G5394">
        <v>-148.59010000000001</v>
      </c>
      <c r="H5394">
        <v>0.95660129999999999</v>
      </c>
      <c r="I5394">
        <v>137.54079999999999</v>
      </c>
      <c r="J5394">
        <v>-149.03649999999999</v>
      </c>
      <c r="K5394">
        <v>1.112206</v>
      </c>
      <c r="L5394">
        <v>137.58019999999999</v>
      </c>
      <c r="M5394">
        <v>0.99975610000000004</v>
      </c>
      <c r="N5394">
        <v>-2.0670299999999999E-2</v>
      </c>
      <c r="O5394">
        <v>7.7837480000000001E-3</v>
      </c>
      <c r="P5394">
        <v>0.99723949999999995</v>
      </c>
      <c r="Q5394">
        <v>-7.061402E-2</v>
      </c>
      <c r="R5394">
        <v>-2.2962799999999998E-2</v>
      </c>
      <c r="S5394">
        <v>2.9610289999999999</v>
      </c>
      <c r="T5394">
        <v>-0.6535571</v>
      </c>
      <c r="U5394">
        <v>-0.14601140000000001</v>
      </c>
      <c r="V5394">
        <v>3.0938920000000002E-2</v>
      </c>
      <c r="W5394">
        <v>-4.9858510000000002E-2</v>
      </c>
      <c r="X5394">
        <v>0.99827690000000002</v>
      </c>
      <c r="Y5394">
        <v>5.5413459999999998E-2</v>
      </c>
      <c r="Z5394">
        <v>-8.1573140000000006E-3</v>
      </c>
      <c r="AA5394">
        <v>0.99843020000000005</v>
      </c>
      <c r="AB5394">
        <v>25</v>
      </c>
      <c r="AC5394">
        <v>0.44639999999998198</v>
      </c>
      <c r="AD5394">
        <v>-0.15560469999999901</v>
      </c>
      <c r="AE5394">
        <v>-3.9400000000000497E-2</v>
      </c>
      <c r="AF5394">
        <v>3.8261192157042899E-2</v>
      </c>
      <c r="AG5394">
        <v>-0.15560469999999901</v>
      </c>
      <c r="AH5394">
        <v>0.39808408758046498</v>
      </c>
      <c r="AI5394">
        <v>111.260561837964</v>
      </c>
      <c r="AJ5394">
        <v>84.509974894396706</v>
      </c>
      <c r="AK5394">
        <v>0.42912432029907099</v>
      </c>
      <c r="AL5394">
        <v>92.857867283698894</v>
      </c>
      <c r="AM5394">
        <v>88.224838918300307</v>
      </c>
      <c r="AN5394">
        <v>0.999999928431895</v>
      </c>
    </row>
    <row r="5395" spans="1:40" x14ac:dyDescent="0.25">
      <c r="A5395" t="str">
        <f>"20190305135739816"</f>
        <v>20190305135739816</v>
      </c>
      <c r="B5395" t="str">
        <f>"1551765459807588"</f>
        <v>1551765459807588</v>
      </c>
      <c r="C5395" t="s">
        <v>40</v>
      </c>
      <c r="D5395">
        <v>4.5144729999999997</v>
      </c>
      <c r="E5395">
        <v>0.50493009999999905</v>
      </c>
      <c r="F5395" t="s">
        <v>41</v>
      </c>
      <c r="G5395">
        <v>-148.17939999999999</v>
      </c>
      <c r="H5395">
        <v>0.91736790000000001</v>
      </c>
      <c r="I5395">
        <v>137.5403</v>
      </c>
      <c r="J5395">
        <v>-148.7784</v>
      </c>
      <c r="K5395">
        <v>1.1121589999999999</v>
      </c>
      <c r="L5395">
        <v>137.5855</v>
      </c>
      <c r="M5395">
        <v>0.99972090000000002</v>
      </c>
      <c r="N5395">
        <v>-2.1259739999999999E-2</v>
      </c>
      <c r="O5395">
        <v>1.0308670000000001E-2</v>
      </c>
      <c r="P5395">
        <v>0.99691490000000005</v>
      </c>
      <c r="Q5395">
        <v>-7.5884579999999993E-2</v>
      </c>
      <c r="R5395">
        <v>-2.0063230000000001E-2</v>
      </c>
      <c r="S5395">
        <v>2.9575040000000001</v>
      </c>
      <c r="T5395">
        <v>-0.67229879999999997</v>
      </c>
      <c r="U5395">
        <v>-0.13789370000000001</v>
      </c>
      <c r="V5395">
        <v>3.0559090000000001E-2</v>
      </c>
      <c r="W5395">
        <v>-5.4557349999999998E-2</v>
      </c>
      <c r="X5395">
        <v>0.99804289999999996</v>
      </c>
      <c r="Y5395">
        <v>5.5117859999999998E-2</v>
      </c>
      <c r="Z5395">
        <v>-8.873087E-3</v>
      </c>
      <c r="AA5395">
        <v>0.99844040000000001</v>
      </c>
      <c r="AB5395">
        <v>24</v>
      </c>
      <c r="AC5395">
        <v>0.59900000000001796</v>
      </c>
      <c r="AD5395">
        <v>-0.19479109999999999</v>
      </c>
      <c r="AE5395">
        <v>-4.5199999999994099E-2</v>
      </c>
      <c r="AF5395">
        <v>4.6485798472447999E-2</v>
      </c>
      <c r="AG5395">
        <v>-0.19479109999999999</v>
      </c>
      <c r="AH5395">
        <v>0.54155622919570301</v>
      </c>
      <c r="AI5395">
        <v>109.71614866179701</v>
      </c>
      <c r="AJ5395">
        <v>85.093903057483203</v>
      </c>
      <c r="AK5395">
        <v>0.57739730816786705</v>
      </c>
      <c r="AL5395">
        <v>93.127458700788196</v>
      </c>
      <c r="AM5395">
        <v>88.246207635051405</v>
      </c>
      <c r="AN5395">
        <v>0.99999999633053005</v>
      </c>
    </row>
    <row r="5396" spans="1:40" x14ac:dyDescent="0.25">
      <c r="A5396" t="str">
        <f>"20190305135739838"</f>
        <v>20190305135739838</v>
      </c>
      <c r="B5396" t="str">
        <f>"1551765459828084"</f>
        <v>1551765459828084</v>
      </c>
      <c r="C5396" t="s">
        <v>40</v>
      </c>
      <c r="D5396">
        <v>4.4692819999999998</v>
      </c>
      <c r="E5396">
        <v>0.50478970000000001</v>
      </c>
      <c r="F5396" t="s">
        <v>41</v>
      </c>
      <c r="G5396">
        <v>-147.965</v>
      </c>
      <c r="H5396">
        <v>0.92258309999999999</v>
      </c>
      <c r="I5396">
        <v>137.5498</v>
      </c>
      <c r="J5396">
        <v>-148.53880000000001</v>
      </c>
      <c r="K5396">
        <v>1.1121190000000001</v>
      </c>
      <c r="L5396">
        <v>137.5909</v>
      </c>
      <c r="M5396">
        <v>0.99968179999999995</v>
      </c>
      <c r="N5396">
        <v>-2.189431E-2</v>
      </c>
      <c r="O5396">
        <v>1.2536500000000001E-2</v>
      </c>
      <c r="P5396">
        <v>0.99664940000000002</v>
      </c>
      <c r="Q5396">
        <v>-7.9924700000000001E-2</v>
      </c>
      <c r="R5396">
        <v>-1.7381770000000001E-2</v>
      </c>
      <c r="S5396">
        <v>2.9542540000000002</v>
      </c>
      <c r="T5396">
        <v>-0.68868769999999901</v>
      </c>
      <c r="U5396">
        <v>-0.12936400000000001</v>
      </c>
      <c r="V5396">
        <v>3.009179E-2</v>
      </c>
      <c r="W5396">
        <v>-5.7980539999999997E-2</v>
      </c>
      <c r="X5396">
        <v>0.99786410000000003</v>
      </c>
      <c r="Y5396">
        <v>5.439898E-2</v>
      </c>
      <c r="Z5396">
        <v>-9.4699510000000008E-3</v>
      </c>
      <c r="AA5396">
        <v>0.99847439999999998</v>
      </c>
      <c r="AB5396">
        <v>24</v>
      </c>
      <c r="AC5396">
        <v>0.57380000000000497</v>
      </c>
      <c r="AD5396">
        <v>-0.18953590000000001</v>
      </c>
      <c r="AE5396">
        <v>-4.1100000000000102E-2</v>
      </c>
      <c r="AF5396">
        <v>4.3563061576184003E-2</v>
      </c>
      <c r="AG5396">
        <v>-0.18953590000000001</v>
      </c>
      <c r="AH5396">
        <v>0.51710637699878104</v>
      </c>
      <c r="AI5396">
        <v>110.064113357645</v>
      </c>
      <c r="AJ5396">
        <v>85.184550001857701</v>
      </c>
      <c r="AK5396">
        <v>0.55246773919886505</v>
      </c>
      <c r="AL5396">
        <v>93.323904330093598</v>
      </c>
      <c r="AM5396">
        <v>88.272700450915494</v>
      </c>
      <c r="AN5396">
        <v>1.0000000104564499</v>
      </c>
    </row>
    <row r="5397" spans="1:40" x14ac:dyDescent="0.25">
      <c r="A5397" t="str">
        <f>"20190305135739860"</f>
        <v>20190305135739860</v>
      </c>
      <c r="B5397" t="str">
        <f>"1551765459847604"</f>
        <v>1551765459847604</v>
      </c>
      <c r="C5397" t="s">
        <v>40</v>
      </c>
      <c r="D5397">
        <v>4.532629</v>
      </c>
      <c r="E5397">
        <v>0.50469830000000004</v>
      </c>
      <c r="F5397" t="s">
        <v>41</v>
      </c>
      <c r="G5397">
        <v>-147.75399999999999</v>
      </c>
      <c r="H5397">
        <v>0.92578110000000002</v>
      </c>
      <c r="I5397">
        <v>137.55860000000001</v>
      </c>
      <c r="J5397">
        <v>-148.3142</v>
      </c>
      <c r="K5397">
        <v>1.112093</v>
      </c>
      <c r="L5397">
        <v>137.59630000000001</v>
      </c>
      <c r="M5397">
        <v>0.99964090000000005</v>
      </c>
      <c r="N5397">
        <v>-2.2543000000000001E-2</v>
      </c>
      <c r="O5397">
        <v>1.449609E-2</v>
      </c>
      <c r="P5397">
        <v>0.99659569999999997</v>
      </c>
      <c r="Q5397">
        <v>-8.1122600000000003E-2</v>
      </c>
      <c r="R5397">
        <v>-1.471014E-2</v>
      </c>
      <c r="S5397">
        <v>2.9517669999999998</v>
      </c>
      <c r="T5397">
        <v>-0.70093700000000003</v>
      </c>
      <c r="U5397">
        <v>-0.1211395</v>
      </c>
      <c r="V5397">
        <v>2.9357879999999999E-2</v>
      </c>
      <c r="W5397">
        <v>-5.8543680000000001E-2</v>
      </c>
      <c r="X5397">
        <v>0.99785310000000005</v>
      </c>
      <c r="Y5397">
        <v>5.3527180000000001E-2</v>
      </c>
      <c r="Z5397">
        <v>-9.9496770000000005E-3</v>
      </c>
      <c r="AA5397">
        <v>0.99851679999999998</v>
      </c>
      <c r="AB5397">
        <v>24</v>
      </c>
      <c r="AC5397">
        <v>0.56020000000000802</v>
      </c>
      <c r="AD5397">
        <v>-0.1863119</v>
      </c>
      <c r="AE5397">
        <v>-3.7700000000000899E-2</v>
      </c>
      <c r="AF5397">
        <v>4.1274062183766502E-2</v>
      </c>
      <c r="AG5397">
        <v>-0.1863119</v>
      </c>
      <c r="AH5397">
        <v>0.50408854028523598</v>
      </c>
      <c r="AI5397">
        <v>110.222223816111</v>
      </c>
      <c r="AJ5397">
        <v>85.319143670432894</v>
      </c>
      <c r="AK5397">
        <v>0.53899993389392797</v>
      </c>
      <c r="AL5397">
        <v>93.356224717309502</v>
      </c>
      <c r="AM5397">
        <v>88.314784475120206</v>
      </c>
      <c r="AN5397">
        <v>1.0000000283828201</v>
      </c>
    </row>
    <row r="5398" spans="1:40" x14ac:dyDescent="0.25">
      <c r="A5398" t="str">
        <f>"20190305135739886"</f>
        <v>20190305135739886</v>
      </c>
      <c r="B5398" t="str">
        <f>"1551765459877860"</f>
        <v>1551765459877860</v>
      </c>
      <c r="C5398" t="s">
        <v>40</v>
      </c>
      <c r="D5398">
        <v>4.5478189999999996</v>
      </c>
      <c r="E5398">
        <v>0.50462099999999999</v>
      </c>
      <c r="F5398" t="s">
        <v>41</v>
      </c>
      <c r="G5398">
        <v>-147.54570000000001</v>
      </c>
      <c r="H5398">
        <v>0.92883749999999998</v>
      </c>
      <c r="I5398">
        <v>137.5669</v>
      </c>
      <c r="J5398">
        <v>-148.05529999999999</v>
      </c>
      <c r="K5398">
        <v>1.112098</v>
      </c>
      <c r="L5398">
        <v>137.60290000000001</v>
      </c>
      <c r="M5398">
        <v>0.99958829999999999</v>
      </c>
      <c r="N5398">
        <v>-2.3418520000000002E-2</v>
      </c>
      <c r="O5398">
        <v>1.6576230000000001E-2</v>
      </c>
      <c r="P5398">
        <v>0.99668190000000001</v>
      </c>
      <c r="Q5398">
        <v>-8.0510150000000003E-2</v>
      </c>
      <c r="R5398">
        <v>-1.1984969999999999E-2</v>
      </c>
      <c r="S5398">
        <v>2.951263</v>
      </c>
      <c r="T5398">
        <v>-0.70376459999999996</v>
      </c>
      <c r="U5398">
        <v>-0.11277769999999999</v>
      </c>
      <c r="V5398">
        <v>2.8682050000000001E-2</v>
      </c>
      <c r="W5398">
        <v>-5.706841E-2</v>
      </c>
      <c r="X5398">
        <v>0.99795820000000002</v>
      </c>
      <c r="Y5398">
        <v>5.2745029999999998E-2</v>
      </c>
      <c r="Z5398">
        <v>-1.0340739999999999E-2</v>
      </c>
      <c r="AA5398">
        <v>0.99855450000000001</v>
      </c>
      <c r="AB5398">
        <v>23</v>
      </c>
      <c r="AC5398">
        <v>0.50959999999997696</v>
      </c>
      <c r="AD5398">
        <v>-0.18326049999999999</v>
      </c>
      <c r="AE5398">
        <v>-3.6000000000001302E-2</v>
      </c>
      <c r="AF5398">
        <v>3.9377455738264802E-2</v>
      </c>
      <c r="AG5398">
        <v>-0.18326049999999999</v>
      </c>
      <c r="AH5398">
        <v>0.45090924965322599</v>
      </c>
      <c r="AI5398">
        <v>112.042207588956</v>
      </c>
      <c r="AJ5398">
        <v>85.009078445782194</v>
      </c>
      <c r="AK5398">
        <v>0.48831766945657901</v>
      </c>
      <c r="AL5398">
        <v>93.271556427644498</v>
      </c>
      <c r="AM5398">
        <v>88.3537304982015</v>
      </c>
      <c r="AN5398">
        <v>1.00000001617968</v>
      </c>
    </row>
    <row r="5399" spans="1:40" x14ac:dyDescent="0.25">
      <c r="A5399" t="str">
        <f>"20190305135739915"</f>
        <v>20190305135739915</v>
      </c>
      <c r="B5399" t="str">
        <f>"1551765459908116"</f>
        <v>1551765459908116</v>
      </c>
      <c r="C5399" t="s">
        <v>40</v>
      </c>
      <c r="D5399">
        <v>4.5404600000000004</v>
      </c>
      <c r="E5399">
        <v>0.50453789999999998</v>
      </c>
      <c r="F5399" t="s">
        <v>41</v>
      </c>
      <c r="G5399">
        <v>-147.33539999999999</v>
      </c>
      <c r="H5399">
        <v>0.94141949999999996</v>
      </c>
      <c r="I5399">
        <v>137.57749999999999</v>
      </c>
      <c r="J5399">
        <v>-147.76439999999999</v>
      </c>
      <c r="K5399">
        <v>1.1121030000000001</v>
      </c>
      <c r="L5399">
        <v>137.61080000000001</v>
      </c>
      <c r="M5399">
        <v>0.99952479999999999</v>
      </c>
      <c r="N5399">
        <v>-2.451907E-2</v>
      </c>
      <c r="O5399">
        <v>1.868622E-2</v>
      </c>
      <c r="P5399">
        <v>0.99687289999999995</v>
      </c>
      <c r="Q5399">
        <v>-7.8441940000000002E-2</v>
      </c>
      <c r="R5399">
        <v>-9.5599159999999999E-3</v>
      </c>
      <c r="S5399">
        <v>2.9522249999999999</v>
      </c>
      <c r="T5399">
        <v>-0.70006290000000004</v>
      </c>
      <c r="U5399">
        <v>-0.1041107</v>
      </c>
      <c r="V5399">
        <v>2.8331490000000001E-2</v>
      </c>
      <c r="W5399">
        <v>-5.3911300000000002E-2</v>
      </c>
      <c r="X5399">
        <v>0.99814369999999997</v>
      </c>
      <c r="Y5399">
        <v>5.191018E-2</v>
      </c>
      <c r="Z5399">
        <v>-1.0631939999999999E-2</v>
      </c>
      <c r="AA5399">
        <v>0.99859520000000002</v>
      </c>
      <c r="AB5399">
        <v>23</v>
      </c>
      <c r="AC5399">
        <v>0.42900000000000199</v>
      </c>
      <c r="AD5399">
        <v>-0.17068349999999999</v>
      </c>
      <c r="AE5399">
        <v>-3.33000000000254E-2</v>
      </c>
      <c r="AF5399">
        <v>3.56962654200959E-2</v>
      </c>
      <c r="AG5399">
        <v>-0.17068349999999999</v>
      </c>
      <c r="AH5399">
        <v>0.37007263806902502</v>
      </c>
      <c r="AI5399">
        <v>114.65916819308001</v>
      </c>
      <c r="AJ5399">
        <v>84.490439704296406</v>
      </c>
      <c r="AK5399">
        <v>0.40909758980536598</v>
      </c>
      <c r="AL5399">
        <v>93.090388272558201</v>
      </c>
      <c r="AM5399">
        <v>88.374142843185197</v>
      </c>
      <c r="AN5399">
        <v>0.99999997372149896</v>
      </c>
    </row>
    <row r="5400" spans="1:40" x14ac:dyDescent="0.25">
      <c r="A5400" t="str">
        <f>"20190305135739941"</f>
        <v>20190305135739941</v>
      </c>
      <c r="B5400" t="str">
        <f>"1551765459927636"</f>
        <v>1551765459927636</v>
      </c>
      <c r="C5400" t="s">
        <v>40</v>
      </c>
      <c r="D5400">
        <v>4.5457349999999996</v>
      </c>
      <c r="E5400">
        <v>0.50448499999999996</v>
      </c>
      <c r="F5400" t="s">
        <v>41</v>
      </c>
      <c r="G5400">
        <v>-146.9468</v>
      </c>
      <c r="H5400">
        <v>0.92064610000000002</v>
      </c>
      <c r="I5400">
        <v>137.58420000000001</v>
      </c>
      <c r="J5400">
        <v>-147.50360000000001</v>
      </c>
      <c r="K5400">
        <v>1.1121030000000001</v>
      </c>
      <c r="L5400">
        <v>137.6182</v>
      </c>
      <c r="M5400">
        <v>0.99946449999999998</v>
      </c>
      <c r="N5400">
        <v>-2.55623E-2</v>
      </c>
      <c r="O5400">
        <v>2.0436559999999999E-2</v>
      </c>
      <c r="P5400">
        <v>0.99720589999999998</v>
      </c>
      <c r="Q5400">
        <v>-7.4305499999999997E-2</v>
      </c>
      <c r="R5400">
        <v>-7.7187879999999999E-3</v>
      </c>
      <c r="S5400">
        <v>2.954056</v>
      </c>
      <c r="T5400">
        <v>-0.69172239999999996</v>
      </c>
      <c r="U5400">
        <v>-9.6160889999999999E-2</v>
      </c>
      <c r="V5400">
        <v>2.82098E-2</v>
      </c>
      <c r="W5400">
        <v>-4.8738190000000001E-2</v>
      </c>
      <c r="X5400">
        <v>0.99841310000000005</v>
      </c>
      <c r="Y5400">
        <v>5.09895E-2</v>
      </c>
      <c r="Z5400">
        <v>-1.0754720000000001E-2</v>
      </c>
      <c r="AA5400">
        <v>0.99864129999999995</v>
      </c>
      <c r="AB5400">
        <v>22</v>
      </c>
      <c r="AC5400">
        <v>0.55680000000000895</v>
      </c>
      <c r="AD5400">
        <v>-0.19145690000000001</v>
      </c>
      <c r="AE5400">
        <v>-3.3999999999991801E-2</v>
      </c>
      <c r="AF5400">
        <v>4.05939231298241E-2</v>
      </c>
      <c r="AG5400">
        <v>-0.19145690000000001</v>
      </c>
      <c r="AH5400">
        <v>0.49739756853860501</v>
      </c>
      <c r="AI5400">
        <v>110.988897126729</v>
      </c>
      <c r="AJ5400">
        <v>85.334281340855995</v>
      </c>
      <c r="AK5400">
        <v>0.534516559463592</v>
      </c>
      <c r="AL5400">
        <v>92.793599433268696</v>
      </c>
      <c r="AM5400">
        <v>88.381559120661805</v>
      </c>
      <c r="AN5400">
        <v>0.99999996111606204</v>
      </c>
    </row>
    <row r="5401" spans="1:40" x14ac:dyDescent="0.25">
      <c r="A5401" t="str">
        <f>"20190305135739974"</f>
        <v>20190305135739974</v>
      </c>
      <c r="B5401" t="str">
        <f>"1551765459967652"</f>
        <v>1551765459967652</v>
      </c>
      <c r="C5401" t="s">
        <v>40</v>
      </c>
      <c r="D5401">
        <v>4.5616440000000003</v>
      </c>
      <c r="E5401">
        <v>0.50437319999999997</v>
      </c>
      <c r="F5401" t="s">
        <v>41</v>
      </c>
      <c r="G5401">
        <v>-146.74350000000001</v>
      </c>
      <c r="H5401">
        <v>0.93783240000000001</v>
      </c>
      <c r="I5401">
        <v>137.595</v>
      </c>
      <c r="J5401">
        <v>-147.19479999999999</v>
      </c>
      <c r="K5401">
        <v>1.1121179999999999</v>
      </c>
      <c r="L5401">
        <v>137.62719999999999</v>
      </c>
      <c r="M5401">
        <v>0.99938939999999998</v>
      </c>
      <c r="N5401">
        <v>-2.6848919999999998E-2</v>
      </c>
      <c r="O5401">
        <v>2.236494E-2</v>
      </c>
      <c r="P5401">
        <v>0.99722820000000001</v>
      </c>
      <c r="Q5401">
        <v>-7.414925E-2</v>
      </c>
      <c r="R5401">
        <v>-6.1710609999999898E-3</v>
      </c>
      <c r="S5401">
        <v>2.9571689999999999</v>
      </c>
      <c r="T5401">
        <v>-0.67818210000000001</v>
      </c>
      <c r="U5401">
        <v>-8.9431759999999999E-2</v>
      </c>
      <c r="V5401">
        <v>2.856498E-2</v>
      </c>
      <c r="W5401">
        <v>-4.7307469999999997E-2</v>
      </c>
      <c r="X5401">
        <v>0.99847189999999997</v>
      </c>
      <c r="Y5401">
        <v>5.0659320000000001E-2</v>
      </c>
      <c r="Z5401">
        <v>-1.089207E-2</v>
      </c>
      <c r="AA5401">
        <v>0.99865660000000001</v>
      </c>
      <c r="AB5401">
        <v>22</v>
      </c>
      <c r="AC5401">
        <v>0.451299999999974</v>
      </c>
      <c r="AD5401">
        <v>-0.17428559999999901</v>
      </c>
      <c r="AE5401">
        <v>-3.2199999999988897E-2</v>
      </c>
      <c r="AF5401">
        <v>3.6824682624779601E-2</v>
      </c>
      <c r="AG5401">
        <v>-0.17428559999999901</v>
      </c>
      <c r="AH5401">
        <v>0.39226132205173098</v>
      </c>
      <c r="AI5401">
        <v>113.86291699645101</v>
      </c>
      <c r="AJ5401">
        <v>84.636908810804798</v>
      </c>
      <c r="AK5401">
        <v>0.43081373283072999</v>
      </c>
      <c r="AL5401">
        <v>92.711530289907699</v>
      </c>
      <c r="AM5401">
        <v>88.361289381560994</v>
      </c>
      <c r="AN5401">
        <v>1.0000000449449</v>
      </c>
    </row>
    <row r="5402" spans="1:40" x14ac:dyDescent="0.25">
      <c r="A5402" t="str">
        <f>"20190305135739998"</f>
        <v>20190305135739998</v>
      </c>
      <c r="B5402" t="str">
        <f>"1551765459988148"</f>
        <v>1551765459988148</v>
      </c>
      <c r="C5402" t="s">
        <v>40</v>
      </c>
      <c r="D5402">
        <v>4.5724869999999997</v>
      </c>
      <c r="E5402">
        <v>0.50437319999999997</v>
      </c>
      <c r="F5402" t="s">
        <v>41</v>
      </c>
      <c r="G5402">
        <v>-146.37100000000001</v>
      </c>
      <c r="H5402">
        <v>0.92407039999999996</v>
      </c>
      <c r="I5402">
        <v>137.6037</v>
      </c>
      <c r="J5402">
        <v>-146.96430000000001</v>
      </c>
      <c r="K5402">
        <v>1.112147</v>
      </c>
      <c r="L5402">
        <v>137.63419999999999</v>
      </c>
      <c r="M5402">
        <v>0.99933280000000002</v>
      </c>
      <c r="N5402">
        <v>-2.779295E-2</v>
      </c>
      <c r="O5402">
        <v>2.3694860000000002E-2</v>
      </c>
      <c r="P5402">
        <v>0.997174</v>
      </c>
      <c r="Q5402">
        <v>-7.498631E-2</v>
      </c>
      <c r="R5402">
        <v>-4.587196E-3</v>
      </c>
      <c r="S5402">
        <v>2.957611</v>
      </c>
      <c r="T5402">
        <v>-0.6752148</v>
      </c>
      <c r="U5402">
        <v>-8.3908079999999996E-2</v>
      </c>
      <c r="V5402">
        <v>2.829808E-2</v>
      </c>
      <c r="W5402">
        <v>-4.720883E-2</v>
      </c>
      <c r="X5402">
        <v>0.99848409999999999</v>
      </c>
      <c r="Y5402">
        <v>5.0125450000000002E-2</v>
      </c>
      <c r="Z5402">
        <v>-1.104338E-2</v>
      </c>
      <c r="AA5402">
        <v>0.99868179999999995</v>
      </c>
      <c r="AB5402">
        <v>21</v>
      </c>
      <c r="AC5402">
        <v>0.59329999999999905</v>
      </c>
      <c r="AD5402">
        <v>-0.18807660000000001</v>
      </c>
      <c r="AE5402">
        <v>-3.04999999999893E-2</v>
      </c>
      <c r="AF5402">
        <v>4.0496295891201101E-2</v>
      </c>
      <c r="AG5402">
        <v>-0.18807660000000001</v>
      </c>
      <c r="AH5402">
        <v>0.53844486410868697</v>
      </c>
      <c r="AI5402">
        <v>109.20385079550699</v>
      </c>
      <c r="AJ5402">
        <v>85.698897108112305</v>
      </c>
      <c r="AK5402">
        <v>0.57178285138108997</v>
      </c>
      <c r="AL5402">
        <v>92.705872498321398</v>
      </c>
      <c r="AM5402">
        <v>88.376612445592102</v>
      </c>
      <c r="AN5402">
        <v>0.99999997645723204</v>
      </c>
    </row>
    <row r="5403" spans="1:40" x14ac:dyDescent="0.25">
      <c r="A5403" t="str">
        <f>"20190305135740023"</f>
        <v>20190305135740023</v>
      </c>
      <c r="B5403" t="str">
        <f>"1551765460018404"</f>
        <v>1551765460018404</v>
      </c>
      <c r="C5403" t="s">
        <v>40</v>
      </c>
      <c r="D5403">
        <v>4.5926679999999998</v>
      </c>
      <c r="E5403">
        <v>0.50436970000000003</v>
      </c>
      <c r="F5403" t="s">
        <v>41</v>
      </c>
      <c r="G5403">
        <v>-146.18199999999999</v>
      </c>
      <c r="H5403">
        <v>0.93285490000000004</v>
      </c>
      <c r="I5403">
        <v>137.61320000000001</v>
      </c>
      <c r="J5403">
        <v>-146.74469999999999</v>
      </c>
      <c r="K5403">
        <v>1.11222</v>
      </c>
      <c r="L5403">
        <v>137.64099999999999</v>
      </c>
      <c r="M5403">
        <v>0.99927410000000005</v>
      </c>
      <c r="N5403">
        <v>-2.8839879999999998E-2</v>
      </c>
      <c r="O5403">
        <v>2.4896560000000002E-2</v>
      </c>
      <c r="P5403">
        <v>0.99713529999999995</v>
      </c>
      <c r="Q5403">
        <v>-7.5569170000000005E-2</v>
      </c>
      <c r="R5403">
        <v>-3.2568850000000002E-3</v>
      </c>
      <c r="S5403">
        <v>2.9571529999999999</v>
      </c>
      <c r="T5403">
        <v>-0.67776990000000004</v>
      </c>
      <c r="U5403">
        <v>-7.9071039999999995E-2</v>
      </c>
      <c r="V5403">
        <v>2.8158610000000001E-2</v>
      </c>
      <c r="W5403">
        <v>-4.6751309999999997E-2</v>
      </c>
      <c r="X5403">
        <v>0.9985096</v>
      </c>
      <c r="Y5403">
        <v>4.9672470000000003E-2</v>
      </c>
      <c r="Z5403">
        <v>-1.126769E-2</v>
      </c>
      <c r="AA5403">
        <v>0.99870199999999998</v>
      </c>
      <c r="AB5403">
        <v>21</v>
      </c>
      <c r="AC5403">
        <v>0.562699999999978</v>
      </c>
      <c r="AD5403">
        <v>-0.179365099999999</v>
      </c>
      <c r="AE5403">
        <v>-2.7799999999984899E-2</v>
      </c>
      <c r="AF5403">
        <v>3.7959002241215199E-2</v>
      </c>
      <c r="AG5403">
        <v>-0.179365099999999</v>
      </c>
      <c r="AH5403">
        <v>0.51012694785803303</v>
      </c>
      <c r="AI5403">
        <v>109.322674125601</v>
      </c>
      <c r="AJ5403">
        <v>85.744412629601001</v>
      </c>
      <c r="AK5403">
        <v>0.54207216113734502</v>
      </c>
      <c r="AL5403">
        <v>92.679629474316997</v>
      </c>
      <c r="AM5403">
        <v>88.384650460536804</v>
      </c>
      <c r="AN5403">
        <v>1.0000000067979999</v>
      </c>
    </row>
    <row r="5404" spans="1:40" x14ac:dyDescent="0.25">
      <c r="A5404" t="str">
        <f>"20190305135740043"</f>
        <v>20190305135740043</v>
      </c>
      <c r="B5404" t="str">
        <f>"1551765460037924"</f>
        <v>1551765460037924</v>
      </c>
      <c r="C5404" t="s">
        <v>40</v>
      </c>
      <c r="D5404">
        <v>4.6431709999999997</v>
      </c>
      <c r="E5404">
        <v>0.53077559999999901</v>
      </c>
      <c r="F5404" t="s">
        <v>41</v>
      </c>
      <c r="G5404">
        <v>-145.99780000000001</v>
      </c>
      <c r="H5404">
        <v>0.94081029999999999</v>
      </c>
      <c r="I5404">
        <v>137.62190000000001</v>
      </c>
      <c r="J5404">
        <v>-146.55889999999999</v>
      </c>
      <c r="K5404">
        <v>1.1123240000000001</v>
      </c>
      <c r="L5404">
        <v>137.64699999999999</v>
      </c>
      <c r="M5404">
        <v>0.99921800000000005</v>
      </c>
      <c r="N5404">
        <v>-2.9886320000000001E-2</v>
      </c>
      <c r="O5404">
        <v>2.5890969999999999E-2</v>
      </c>
      <c r="P5404">
        <v>0.99712049999999997</v>
      </c>
      <c r="Q5404">
        <v>-7.5806509999999994E-2</v>
      </c>
      <c r="R5404">
        <v>-2.1668600000000001E-3</v>
      </c>
      <c r="S5404">
        <v>2.9569399999999999</v>
      </c>
      <c r="T5404">
        <v>-0.67873070000000002</v>
      </c>
      <c r="U5404">
        <v>-7.530212E-2</v>
      </c>
      <c r="V5404">
        <v>2.80545E-2</v>
      </c>
      <c r="W5404">
        <v>-4.5947090000000003E-2</v>
      </c>
      <c r="X5404">
        <v>0.99854989999999999</v>
      </c>
      <c r="Y5404">
        <v>4.9379340000000001E-2</v>
      </c>
      <c r="Z5404">
        <v>-1.144305E-2</v>
      </c>
      <c r="AA5404">
        <v>0.99871460000000001</v>
      </c>
      <c r="AB5404">
        <v>21</v>
      </c>
      <c r="AC5404">
        <v>0.56109999999998195</v>
      </c>
      <c r="AD5404">
        <v>-0.17151369999999899</v>
      </c>
      <c r="AE5404">
        <v>-2.5100000000009001E-2</v>
      </c>
      <c r="AF5404">
        <v>3.6245590902106398E-2</v>
      </c>
      <c r="AG5404">
        <v>-0.17151369999999899</v>
      </c>
      <c r="AH5404">
        <v>0.51247342832865095</v>
      </c>
      <c r="AI5404">
        <v>108.46129242012501</v>
      </c>
      <c r="AJ5404">
        <v>85.954391288446203</v>
      </c>
      <c r="AK5404">
        <v>0.54162690746532705</v>
      </c>
      <c r="AL5404">
        <v>92.633501383336807</v>
      </c>
      <c r="AM5404">
        <v>88.390684616136994</v>
      </c>
      <c r="AN5404">
        <v>1.00000004641986</v>
      </c>
    </row>
    <row r="5405" spans="1:40" x14ac:dyDescent="0.25">
      <c r="A5405" t="str">
        <f>"20190305135740075"</f>
        <v>20190305135740075</v>
      </c>
      <c r="B5405" t="str">
        <f>"1551765460068183"</f>
        <v>1551765460068183</v>
      </c>
      <c r="C5405" t="s">
        <v>40</v>
      </c>
      <c r="D5405">
        <v>4.574147</v>
      </c>
      <c r="E5405">
        <v>0.53779759999999999</v>
      </c>
      <c r="F5405" t="s">
        <v>41</v>
      </c>
      <c r="G5405">
        <v>-145.8237</v>
      </c>
      <c r="H5405">
        <v>0.93472670000000002</v>
      </c>
      <c r="I5405">
        <v>137.57599999999999</v>
      </c>
      <c r="J5405">
        <v>-146.28280000000001</v>
      </c>
      <c r="K5405">
        <v>1.112387</v>
      </c>
      <c r="L5405">
        <v>137.65620000000001</v>
      </c>
      <c r="M5405">
        <v>0.99914130000000001</v>
      </c>
      <c r="N5405">
        <v>-3.1055139999999998E-2</v>
      </c>
      <c r="O5405">
        <v>2.7431279999999999E-2</v>
      </c>
      <c r="P5405">
        <v>0.99709429999999999</v>
      </c>
      <c r="Q5405">
        <v>-7.612534E-2</v>
      </c>
      <c r="R5405">
        <v>-2.7940080000000002E-3</v>
      </c>
      <c r="S5405">
        <v>2.9537810000000002</v>
      </c>
      <c r="T5405">
        <v>-0.71354680000000004</v>
      </c>
      <c r="U5405">
        <v>-0.28503420000000002</v>
      </c>
      <c r="V5405">
        <v>3.021368E-2</v>
      </c>
      <c r="W5405">
        <v>-4.510045E-2</v>
      </c>
      <c r="X5405">
        <v>0.99852540000000001</v>
      </c>
      <c r="Y5405">
        <v>0.11889619999999999</v>
      </c>
      <c r="Z5405">
        <v>-2.1686299999999999E-2</v>
      </c>
      <c r="AA5405">
        <v>0.99266980000000005</v>
      </c>
      <c r="AB5405">
        <v>20</v>
      </c>
      <c r="AC5405">
        <v>0.459100000000006</v>
      </c>
      <c r="AD5405">
        <v>-0.17766029999999999</v>
      </c>
      <c r="AE5405">
        <v>-8.0200000000019103E-2</v>
      </c>
      <c r="AF5405">
        <v>8.0999153215326497E-2</v>
      </c>
      <c r="AG5405">
        <v>-0.17766029999999999</v>
      </c>
      <c r="AH5405">
        <v>0.39877755110839203</v>
      </c>
      <c r="AI5405">
        <v>113.585934221889</v>
      </c>
      <c r="AJ5405">
        <v>78.5183586942033</v>
      </c>
      <c r="AK5405">
        <v>0.44401304067076203</v>
      </c>
      <c r="AL5405">
        <v>92.584942402261305</v>
      </c>
      <c r="AM5405">
        <v>88.266855984552805</v>
      </c>
      <c r="AN5405">
        <v>0.99999994574725004</v>
      </c>
    </row>
    <row r="5406" spans="1:40" x14ac:dyDescent="0.25">
      <c r="A5406" t="str">
        <f>"20190305135740119"</f>
        <v>20190305135740119</v>
      </c>
      <c r="B5406" t="str">
        <f>"1551765460108195"</f>
        <v>1551765460108195</v>
      </c>
      <c r="C5406" t="s">
        <v>40</v>
      </c>
      <c r="D5406">
        <v>4.8183309999999997</v>
      </c>
      <c r="E5406">
        <v>0.53887959999999901</v>
      </c>
      <c r="F5406" t="s">
        <v>41</v>
      </c>
      <c r="G5406">
        <v>-145.48939999999999</v>
      </c>
      <c r="H5406">
        <v>0.9155664</v>
      </c>
      <c r="I5406">
        <v>137.56360000000001</v>
      </c>
      <c r="J5406">
        <v>-145.9151</v>
      </c>
      <c r="K5406">
        <v>1.1123130000000001</v>
      </c>
      <c r="L5406">
        <v>137.66909999999999</v>
      </c>
      <c r="M5406">
        <v>0.99906139999999999</v>
      </c>
      <c r="N5406">
        <v>-3.165391E-2</v>
      </c>
      <c r="O5406">
        <v>2.9573240000000001E-2</v>
      </c>
      <c r="P5406">
        <v>0.99706740000000005</v>
      </c>
      <c r="Q5406">
        <v>-7.6510679999999998E-2</v>
      </c>
      <c r="R5406">
        <v>-1.6678789999999999E-3</v>
      </c>
      <c r="S5406">
        <v>2.9518589999999998</v>
      </c>
      <c r="T5406">
        <v>-0.73227019999999998</v>
      </c>
      <c r="U5406">
        <v>-0.34429929999999997</v>
      </c>
      <c r="V5406">
        <v>3.1226500000000001E-2</v>
      </c>
      <c r="W5406">
        <v>-4.4886389999999998E-2</v>
      </c>
      <c r="X5406">
        <v>0.9985039</v>
      </c>
      <c r="Y5406">
        <v>0.13977690000000001</v>
      </c>
      <c r="Z5406">
        <v>-2.5565279999999999E-2</v>
      </c>
      <c r="AA5406">
        <v>0.98985299999999998</v>
      </c>
      <c r="AB5406">
        <v>19</v>
      </c>
      <c r="AC5406">
        <v>0.42570000000000602</v>
      </c>
      <c r="AD5406">
        <v>-0.19674659999999899</v>
      </c>
      <c r="AE5406">
        <v>-0.105499999999977</v>
      </c>
      <c r="AF5406">
        <v>9.8272752644351202E-2</v>
      </c>
      <c r="AG5406">
        <v>-0.19674659999999899</v>
      </c>
      <c r="AH5406">
        <v>0.35162919267380499</v>
      </c>
      <c r="AI5406">
        <v>118.319288840499</v>
      </c>
      <c r="AJ5406">
        <v>74.385471830447003</v>
      </c>
      <c r="AK5406">
        <v>0.41474069931017099</v>
      </c>
      <c r="AL5406">
        <v>92.572665196218296</v>
      </c>
      <c r="AM5406">
        <v>88.208756392308999</v>
      </c>
      <c r="AN5406">
        <v>0.99999996031234495</v>
      </c>
    </row>
    <row r="5407" spans="1:40" x14ac:dyDescent="0.25">
      <c r="A5407" t="str">
        <f>"20190305135740151"</f>
        <v>20190305135740151</v>
      </c>
      <c r="B5407" t="str">
        <f>"1551765460148212"</f>
        <v>1551765460148212</v>
      </c>
      <c r="C5407" t="s">
        <v>40</v>
      </c>
      <c r="D5407">
        <v>4.6518610000000002</v>
      </c>
      <c r="E5407">
        <v>0.53852769999999905</v>
      </c>
      <c r="F5407" t="s">
        <v>41</v>
      </c>
      <c r="G5407">
        <v>-145.155</v>
      </c>
      <c r="H5407">
        <v>0.92422340000000003</v>
      </c>
      <c r="I5407">
        <v>137.57900000000001</v>
      </c>
      <c r="J5407">
        <v>-145.66370000000001</v>
      </c>
      <c r="K5407">
        <v>1.1123369999999999</v>
      </c>
      <c r="L5407">
        <v>137.67850000000001</v>
      </c>
      <c r="M5407">
        <v>0.99899729999999998</v>
      </c>
      <c r="N5407">
        <v>-3.2227749999999999E-2</v>
      </c>
      <c r="O5407">
        <v>3.1078459999999999E-2</v>
      </c>
      <c r="P5407">
        <v>0.99708439999999998</v>
      </c>
      <c r="Q5407">
        <v>-7.6280790000000001E-2</v>
      </c>
      <c r="R5407">
        <v>-2.0171709999999999E-3</v>
      </c>
      <c r="S5407">
        <v>2.9521790000000001</v>
      </c>
      <c r="T5407">
        <v>-0.73048159999999995</v>
      </c>
      <c r="U5407">
        <v>-0.349823</v>
      </c>
      <c r="V5407">
        <v>3.3075739999999999E-2</v>
      </c>
      <c r="W5407">
        <v>-4.4083289999999997E-2</v>
      </c>
      <c r="X5407">
        <v>0.99848020000000004</v>
      </c>
      <c r="Y5407">
        <v>0.14296110000000001</v>
      </c>
      <c r="Z5407">
        <v>-2.6284539999999999E-2</v>
      </c>
      <c r="AA5407">
        <v>0.98937920000000001</v>
      </c>
      <c r="AB5407">
        <v>19</v>
      </c>
      <c r="AC5407">
        <v>0.50870000000000404</v>
      </c>
      <c r="AD5407">
        <v>-0.18811359999999999</v>
      </c>
      <c r="AE5407">
        <v>-9.9500000000006097E-2</v>
      </c>
      <c r="AF5407">
        <v>0.101854658122494</v>
      </c>
      <c r="AG5407">
        <v>-0.18811359999999999</v>
      </c>
      <c r="AH5407">
        <v>0.44654643746011202</v>
      </c>
      <c r="AI5407">
        <v>112.328671215919</v>
      </c>
      <c r="AJ5407">
        <v>77.150986006183402</v>
      </c>
      <c r="AK5407">
        <v>0.49514121086264701</v>
      </c>
      <c r="AL5407">
        <v>92.526605191524496</v>
      </c>
      <c r="AM5407">
        <v>88.102708922925999</v>
      </c>
      <c r="AN5407">
        <v>1.0000000254129</v>
      </c>
    </row>
    <row r="5408" spans="1:40" x14ac:dyDescent="0.25">
      <c r="A5408" t="str">
        <f>"20190305135740175"</f>
        <v>20190305135740175</v>
      </c>
      <c r="B5408" t="str">
        <f>"1551765460167733"</f>
        <v>1551765460167733</v>
      </c>
      <c r="C5408" t="s">
        <v>40</v>
      </c>
      <c r="D5408">
        <v>4.573823</v>
      </c>
      <c r="E5408">
        <v>0.53857529999999998</v>
      </c>
      <c r="F5408" t="s">
        <v>41</v>
      </c>
      <c r="G5408">
        <v>-144.84530000000001</v>
      </c>
      <c r="H5408">
        <v>0.91197620000000001</v>
      </c>
      <c r="I5408">
        <v>137.5821</v>
      </c>
      <c r="J5408">
        <v>-145.4777</v>
      </c>
      <c r="K5408">
        <v>1.1123730000000001</v>
      </c>
      <c r="L5408">
        <v>137.6857</v>
      </c>
      <c r="M5408">
        <v>0.99894260000000001</v>
      </c>
      <c r="N5408">
        <v>-3.2783710000000001E-2</v>
      </c>
      <c r="O5408">
        <v>3.2236130000000002E-2</v>
      </c>
      <c r="P5408">
        <v>0.99709780000000003</v>
      </c>
      <c r="Q5408">
        <v>-7.6114180000000004E-2</v>
      </c>
      <c r="R5408">
        <v>-1.7754540000000001E-3</v>
      </c>
      <c r="S5408">
        <v>2.952744</v>
      </c>
      <c r="T5408">
        <v>-0.72299190000000002</v>
      </c>
      <c r="U5408">
        <v>-0.3472595</v>
      </c>
      <c r="V5408">
        <v>3.3985830000000002E-2</v>
      </c>
      <c r="W5408">
        <v>-4.3363209999999999E-2</v>
      </c>
      <c r="X5408">
        <v>0.99848119999999996</v>
      </c>
      <c r="Y5408">
        <v>0.1433045</v>
      </c>
      <c r="Z5408">
        <v>-2.634363E-2</v>
      </c>
      <c r="AA5408">
        <v>0.98932799999999999</v>
      </c>
      <c r="AB5408">
        <v>18</v>
      </c>
      <c r="AC5408">
        <v>0.63239999999998897</v>
      </c>
      <c r="AD5408">
        <v>-0.20039680000000001</v>
      </c>
      <c r="AE5408">
        <v>-0.1036</v>
      </c>
      <c r="AF5408">
        <v>0.112902415261752</v>
      </c>
      <c r="AG5408">
        <v>-0.20039680000000001</v>
      </c>
      <c r="AH5408">
        <v>0.57272272480880304</v>
      </c>
      <c r="AI5408">
        <v>108.947093920375</v>
      </c>
      <c r="AJ5408">
        <v>78.848116166302802</v>
      </c>
      <c r="AK5408">
        <v>0.61718486074643497</v>
      </c>
      <c r="AL5408">
        <v>92.485308078350997</v>
      </c>
      <c r="AM5408">
        <v>88.050546020231806</v>
      </c>
      <c r="AN5408">
        <v>1.0000000556878601</v>
      </c>
    </row>
    <row r="5409" spans="1:40" x14ac:dyDescent="0.25">
      <c r="A5409" t="str">
        <f>"20190305135740197"</f>
        <v>20190305135740197</v>
      </c>
      <c r="B5409" t="str">
        <f>"1551765460188228"</f>
        <v>1551765460188228</v>
      </c>
      <c r="C5409" t="s">
        <v>40</v>
      </c>
      <c r="D5409">
        <v>4.6078089999999996</v>
      </c>
      <c r="E5409">
        <v>0.5385008</v>
      </c>
      <c r="F5409" t="s">
        <v>41</v>
      </c>
      <c r="G5409">
        <v>-144.6908</v>
      </c>
      <c r="H5409">
        <v>0.91890649999999996</v>
      </c>
      <c r="I5409">
        <v>137.5933</v>
      </c>
      <c r="J5409">
        <v>-145.3057</v>
      </c>
      <c r="K5409">
        <v>1.112406</v>
      </c>
      <c r="L5409">
        <v>137.6926</v>
      </c>
      <c r="M5409">
        <v>0.99889190000000005</v>
      </c>
      <c r="N5409">
        <v>-3.324713E-2</v>
      </c>
      <c r="O5409">
        <v>3.3308749999999998E-2</v>
      </c>
      <c r="P5409">
        <v>0.99703370000000002</v>
      </c>
      <c r="Q5409">
        <v>-7.6930129999999999E-2</v>
      </c>
      <c r="R5409">
        <v>-2.3287120000000001E-3</v>
      </c>
      <c r="S5409">
        <v>2.9527130000000001</v>
      </c>
      <c r="T5409">
        <v>-0.72594080000000005</v>
      </c>
      <c r="U5409">
        <v>-0.34666439999999998</v>
      </c>
      <c r="V5409">
        <v>3.5604909999999997E-2</v>
      </c>
      <c r="W5409">
        <v>-4.3720090000000003E-2</v>
      </c>
      <c r="X5409">
        <v>0.9984092</v>
      </c>
      <c r="Y5409">
        <v>0.1440736</v>
      </c>
      <c r="Z5409">
        <v>-2.6792699999999999E-2</v>
      </c>
      <c r="AA5409">
        <v>0.98920419999999998</v>
      </c>
      <c r="AB5409">
        <v>17</v>
      </c>
      <c r="AC5409">
        <v>0.614900000000005</v>
      </c>
      <c r="AD5409">
        <v>-0.19349949999999999</v>
      </c>
      <c r="AE5409">
        <v>-9.92999999999995E-2</v>
      </c>
      <c r="AF5409">
        <v>0.109198983003921</v>
      </c>
      <c r="AG5409">
        <v>-0.19349949999999999</v>
      </c>
      <c r="AH5409">
        <v>0.55744984104868101</v>
      </c>
      <c r="AI5409">
        <v>108.810965505051</v>
      </c>
      <c r="AJ5409">
        <v>78.916660736608506</v>
      </c>
      <c r="AK5409">
        <v>0.60009732516862702</v>
      </c>
      <c r="AL5409">
        <v>92.505775237025503</v>
      </c>
      <c r="AM5409">
        <v>87.957604020713504</v>
      </c>
      <c r="AN5409">
        <v>1.0000000432651699</v>
      </c>
    </row>
    <row r="5410" spans="1:40" x14ac:dyDescent="0.25">
      <c r="A5410" t="str">
        <f>"20190305135740218"</f>
        <v>20190305135740218</v>
      </c>
      <c r="B5410" t="str">
        <f>"1551765460207748"</f>
        <v>1551765460207748</v>
      </c>
      <c r="C5410" t="s">
        <v>40</v>
      </c>
      <c r="D5410">
        <v>4.5537669999999997</v>
      </c>
      <c r="E5410">
        <v>0.53855469999999905</v>
      </c>
      <c r="F5410" t="s">
        <v>41</v>
      </c>
      <c r="G5410">
        <v>-144.54089999999999</v>
      </c>
      <c r="H5410">
        <v>0.92270390000000002</v>
      </c>
      <c r="I5410">
        <v>137.60239999999999</v>
      </c>
      <c r="J5410">
        <v>-145.15649999999999</v>
      </c>
      <c r="K5410">
        <v>1.1124130000000001</v>
      </c>
      <c r="L5410">
        <v>137.6987</v>
      </c>
      <c r="M5410">
        <v>0.99885049999999997</v>
      </c>
      <c r="N5410">
        <v>-3.3582599999999997E-2</v>
      </c>
      <c r="O5410">
        <v>3.420488E-2</v>
      </c>
      <c r="P5410">
        <v>0.99701969999999995</v>
      </c>
      <c r="Q5410">
        <v>-7.7116959999999998E-2</v>
      </c>
      <c r="R5410">
        <v>-2.1330049999999999E-3</v>
      </c>
      <c r="S5410">
        <v>2.9516140000000002</v>
      </c>
      <c r="T5410">
        <v>-0.73208450000000003</v>
      </c>
      <c r="U5410">
        <v>-0.34814450000000002</v>
      </c>
      <c r="V5410">
        <v>3.6300209999999999E-2</v>
      </c>
      <c r="W5410">
        <v>-4.3574509999999997E-2</v>
      </c>
      <c r="X5410">
        <v>0.99839049999999996</v>
      </c>
      <c r="Y5410">
        <v>0.14533190000000001</v>
      </c>
      <c r="Z5410">
        <v>-2.738848E-2</v>
      </c>
      <c r="AA5410">
        <v>0.98900379999999999</v>
      </c>
      <c r="AB5410">
        <v>17</v>
      </c>
      <c r="AC5410">
        <v>0.61560000000000004</v>
      </c>
      <c r="AD5410">
        <v>-0.18970909999999899</v>
      </c>
      <c r="AE5410">
        <v>-9.6300000000013597E-2</v>
      </c>
      <c r="AF5410">
        <v>0.107359752367799</v>
      </c>
      <c r="AG5410">
        <v>-0.18970909999999899</v>
      </c>
      <c r="AH5410">
        <v>0.56002894398158298</v>
      </c>
      <c r="AI5410">
        <v>108.401801277947</v>
      </c>
      <c r="AJ5410">
        <v>79.147835720740503</v>
      </c>
      <c r="AK5410">
        <v>0.600955969392444</v>
      </c>
      <c r="AL5410">
        <v>92.497426227213893</v>
      </c>
      <c r="AM5410">
        <v>87.917715498784901</v>
      </c>
      <c r="AN5410">
        <v>1.00000001682901</v>
      </c>
    </row>
    <row r="5411" spans="1:40" x14ac:dyDescent="0.25">
      <c r="A5411" t="str">
        <f>"20190305135740255"</f>
        <v>20190305135740255</v>
      </c>
      <c r="B5411" t="str">
        <f>"1551765460247767"</f>
        <v>1551765460247767</v>
      </c>
      <c r="C5411" t="s">
        <v>40</v>
      </c>
      <c r="D5411">
        <v>4.5603089999999904</v>
      </c>
      <c r="E5411">
        <v>0.53778199999999998</v>
      </c>
      <c r="F5411" t="s">
        <v>41</v>
      </c>
      <c r="G5411">
        <v>-144.39619999999999</v>
      </c>
      <c r="H5411">
        <v>0.92322870000000001</v>
      </c>
      <c r="I5411">
        <v>137.60890000000001</v>
      </c>
      <c r="J5411">
        <v>-144.8981</v>
      </c>
      <c r="K5411">
        <v>1.112398</v>
      </c>
      <c r="L5411">
        <v>137.70949999999999</v>
      </c>
      <c r="M5411">
        <v>0.99878250000000002</v>
      </c>
      <c r="N5411">
        <v>-3.4138699999999897E-2</v>
      </c>
      <c r="O5411">
        <v>3.5612560000000001E-2</v>
      </c>
      <c r="P5411">
        <v>0.99711229999999995</v>
      </c>
      <c r="Q5411">
        <v>-7.5929209999999997E-2</v>
      </c>
      <c r="R5411">
        <v>-1.20414E-3</v>
      </c>
      <c r="S5411">
        <v>2.951416</v>
      </c>
      <c r="T5411">
        <v>-0.73445059999999995</v>
      </c>
      <c r="U5411">
        <v>-0.34829710000000003</v>
      </c>
      <c r="V5411">
        <v>3.6769759999999999E-2</v>
      </c>
      <c r="W5411">
        <v>-4.1836520000000002E-2</v>
      </c>
      <c r="X5411">
        <v>0.99844770000000005</v>
      </c>
      <c r="Y5411">
        <v>0.14666379999999901</v>
      </c>
      <c r="Z5411">
        <v>-2.7977430000000001E-2</v>
      </c>
      <c r="AA5411">
        <v>0.98879070000000002</v>
      </c>
      <c r="AB5411">
        <v>17</v>
      </c>
      <c r="AC5411">
        <v>0.50190000000000601</v>
      </c>
      <c r="AD5411">
        <v>-0.18916930000000001</v>
      </c>
      <c r="AE5411">
        <v>-0.10059999999998499</v>
      </c>
      <c r="AF5411">
        <v>0.104190956799337</v>
      </c>
      <c r="AG5411">
        <v>-0.18916930000000001</v>
      </c>
      <c r="AH5411">
        <v>0.43815678746070802</v>
      </c>
      <c r="AI5411">
        <v>112.78370774795501</v>
      </c>
      <c r="AJ5411">
        <v>76.623849246517594</v>
      </c>
      <c r="AK5411">
        <v>0.48848966205963901</v>
      </c>
      <c r="AL5411">
        <v>92.397755692707307</v>
      </c>
      <c r="AM5411">
        <v>87.8909256561208</v>
      </c>
      <c r="AN5411">
        <v>1.0000000596457199</v>
      </c>
    </row>
    <row r="5412" spans="1:40" x14ac:dyDescent="0.25">
      <c r="A5412" t="str">
        <f>"20190305135740285"</f>
        <v>20190305135740285</v>
      </c>
      <c r="B5412" t="str">
        <f>"1551765460278019"</f>
        <v>1551765460278019</v>
      </c>
      <c r="C5412" t="s">
        <v>40</v>
      </c>
      <c r="D5412">
        <v>4.5283980000000001</v>
      </c>
      <c r="E5412">
        <v>0.53718750000000004</v>
      </c>
      <c r="F5412" t="s">
        <v>41</v>
      </c>
      <c r="G5412">
        <v>-144.12</v>
      </c>
      <c r="H5412">
        <v>0.92022029999999999</v>
      </c>
      <c r="I5412">
        <v>137.62</v>
      </c>
      <c r="J5412">
        <v>-144.691</v>
      </c>
      <c r="K5412">
        <v>1.112368</v>
      </c>
      <c r="L5412">
        <v>137.7183</v>
      </c>
      <c r="M5412">
        <v>0.9987298</v>
      </c>
      <c r="N5412">
        <v>-3.4648900000000003E-2</v>
      </c>
      <c r="O5412">
        <v>3.6581900000000001E-2</v>
      </c>
      <c r="P5412">
        <v>0.99722730000000004</v>
      </c>
      <c r="Q5412">
        <v>-7.4414569999999999E-2</v>
      </c>
      <c r="R5412">
        <v>3.9464699999999998E-4</v>
      </c>
      <c r="S5412">
        <v>2.9527130000000001</v>
      </c>
      <c r="T5412">
        <v>-0.72936020000000001</v>
      </c>
      <c r="U5412">
        <v>-0.3392944</v>
      </c>
      <c r="V5412">
        <v>3.613073E-2</v>
      </c>
      <c r="W5412">
        <v>-3.9819189999999997E-2</v>
      </c>
      <c r="X5412">
        <v>0.99855349999999998</v>
      </c>
      <c r="Y5412">
        <v>0.1447175</v>
      </c>
      <c r="Z5412">
        <v>-2.7742079999999999E-2</v>
      </c>
      <c r="AA5412">
        <v>0.98908399999999996</v>
      </c>
      <c r="AB5412">
        <v>16</v>
      </c>
      <c r="AC5412">
        <v>0.57099999999999795</v>
      </c>
      <c r="AD5412">
        <v>-0.19214769999999901</v>
      </c>
      <c r="AE5412">
        <v>-9.8299999999994697E-2</v>
      </c>
      <c r="AF5412">
        <v>0.107330701081497</v>
      </c>
      <c r="AG5412">
        <v>-0.19214769999999901</v>
      </c>
      <c r="AH5412">
        <v>0.51083726490411396</v>
      </c>
      <c r="AI5412">
        <v>110.208933576227</v>
      </c>
      <c r="AJ5412">
        <v>78.134326111442405</v>
      </c>
      <c r="AK5412">
        <v>0.556233160845928</v>
      </c>
      <c r="AL5412">
        <v>92.282074763240402</v>
      </c>
      <c r="AM5412">
        <v>87.927766884428905</v>
      </c>
      <c r="AN5412">
        <v>1.00000004495241</v>
      </c>
    </row>
    <row r="5413" spans="1:40" x14ac:dyDescent="0.25">
      <c r="A5413" t="str">
        <f>"20190305135740321"</f>
        <v>20190305135740321</v>
      </c>
      <c r="B5413" t="str">
        <f>"1551765460318036"</f>
        <v>1551765460318036</v>
      </c>
      <c r="C5413" t="s">
        <v>40</v>
      </c>
      <c r="D5413">
        <v>4.4605030000000001</v>
      </c>
      <c r="E5413">
        <v>0.53654179999999996</v>
      </c>
      <c r="F5413" t="s">
        <v>41</v>
      </c>
      <c r="G5413">
        <v>-143.97919999999999</v>
      </c>
      <c r="H5413">
        <v>0.93777860000000002</v>
      </c>
      <c r="I5413">
        <v>137.6388</v>
      </c>
      <c r="J5413">
        <v>-144.465</v>
      </c>
      <c r="K5413">
        <v>1.1123209999999999</v>
      </c>
      <c r="L5413">
        <v>137.7278</v>
      </c>
      <c r="M5413">
        <v>0.99867919999999999</v>
      </c>
      <c r="N5413">
        <v>-3.523391E-2</v>
      </c>
      <c r="O5413">
        <v>3.7397479999999997E-2</v>
      </c>
      <c r="P5413">
        <v>0.99737989999999999</v>
      </c>
      <c r="Q5413">
        <v>-7.2292330000000002E-2</v>
      </c>
      <c r="R5413">
        <v>2.6817899999999999E-3</v>
      </c>
      <c r="S5413">
        <v>2.9544069999999998</v>
      </c>
      <c r="T5413">
        <v>-0.72464849999999903</v>
      </c>
      <c r="U5413">
        <v>-0.3298645</v>
      </c>
      <c r="V5413">
        <v>3.4650800000000002E-2</v>
      </c>
      <c r="W5413">
        <v>-3.7119390000000002E-2</v>
      </c>
      <c r="X5413">
        <v>0.99870990000000004</v>
      </c>
      <c r="Y5413">
        <v>0.1424706</v>
      </c>
      <c r="Z5413">
        <v>-2.7444010000000001E-2</v>
      </c>
      <c r="AA5413">
        <v>0.98941849999999998</v>
      </c>
      <c r="AB5413">
        <v>15</v>
      </c>
      <c r="AC5413">
        <v>0.485800000000011</v>
      </c>
      <c r="AD5413">
        <v>-0.17454239999999899</v>
      </c>
      <c r="AE5413">
        <v>-8.8999999999998594E-2</v>
      </c>
      <c r="AF5413">
        <v>9.5223569303018299E-2</v>
      </c>
      <c r="AG5413">
        <v>-0.17454239999999899</v>
      </c>
      <c r="AH5413">
        <v>0.42859886492278998</v>
      </c>
      <c r="AI5413">
        <v>111.68009726</v>
      </c>
      <c r="AJ5413">
        <v>77.473819483453298</v>
      </c>
      <c r="AK5413">
        <v>0.47247176059704399</v>
      </c>
      <c r="AL5413">
        <v>92.127273095305895</v>
      </c>
      <c r="AM5413">
        <v>88.012887895681203</v>
      </c>
      <c r="AN5413">
        <v>0.99999999570631104</v>
      </c>
    </row>
    <row r="5414" spans="1:40" x14ac:dyDescent="0.25">
      <c r="A5414" t="str">
        <f>"20190305135740351"</f>
        <v>20190305135740351</v>
      </c>
      <c r="B5414" t="str">
        <f>"1551765460348292"</f>
        <v>1551765460348292</v>
      </c>
      <c r="C5414" t="s">
        <v>40</v>
      </c>
      <c r="D5414">
        <v>4.4151249999999997</v>
      </c>
      <c r="E5414">
        <v>0.53632659999999999</v>
      </c>
      <c r="F5414" t="s">
        <v>41</v>
      </c>
      <c r="G5414">
        <v>-143.7276</v>
      </c>
      <c r="H5414">
        <v>0.9330254</v>
      </c>
      <c r="I5414">
        <v>137.6489</v>
      </c>
      <c r="J5414">
        <v>-144.2843</v>
      </c>
      <c r="K5414">
        <v>1.112285</v>
      </c>
      <c r="L5414">
        <v>137.73519999999999</v>
      </c>
      <c r="M5414">
        <v>0.99864569999999997</v>
      </c>
      <c r="N5414">
        <v>-3.5755160000000001E-2</v>
      </c>
      <c r="O5414">
        <v>3.7796419999999997E-2</v>
      </c>
      <c r="P5414">
        <v>0.99738590000000005</v>
      </c>
      <c r="Q5414">
        <v>-7.2167850000000006E-2</v>
      </c>
      <c r="R5414">
        <v>3.683731E-3</v>
      </c>
      <c r="S5414">
        <v>2.956604</v>
      </c>
      <c r="T5414">
        <v>-0.71890149999999997</v>
      </c>
      <c r="U5414">
        <v>-0.31607059999999998</v>
      </c>
      <c r="V5414">
        <v>3.4038470000000001E-2</v>
      </c>
      <c r="W5414">
        <v>-3.6482550000000002E-2</v>
      </c>
      <c r="X5414">
        <v>0.99875440000000004</v>
      </c>
      <c r="Y5414">
        <v>0.13843269999999999</v>
      </c>
      <c r="Z5414">
        <v>-2.6771679999999999E-2</v>
      </c>
      <c r="AA5414">
        <v>0.9900099</v>
      </c>
      <c r="AB5414">
        <v>14</v>
      </c>
      <c r="AC5414">
        <v>0.55670000000000597</v>
      </c>
      <c r="AD5414">
        <v>-0.17925959999999899</v>
      </c>
      <c r="AE5414">
        <v>-8.6299999999994201E-2</v>
      </c>
      <c r="AF5414">
        <v>9.7428071214167605E-2</v>
      </c>
      <c r="AG5414">
        <v>-0.17925959999999899</v>
      </c>
      <c r="AH5414">
        <v>0.50218945586351504</v>
      </c>
      <c r="AI5414">
        <v>109.311600721833</v>
      </c>
      <c r="AJ5414">
        <v>79.020633575928301</v>
      </c>
      <c r="AK5414">
        <v>0.542052103430257</v>
      </c>
      <c r="AL5414">
        <v>92.090760165063301</v>
      </c>
      <c r="AM5414">
        <v>88.048062550743495</v>
      </c>
      <c r="AN5414">
        <v>0.999999972706901</v>
      </c>
    </row>
    <row r="5415" spans="1:40" x14ac:dyDescent="0.25">
      <c r="A5415" t="str">
        <f>"20190305135740374"</f>
        <v>20190305135740374</v>
      </c>
      <c r="B5415" t="str">
        <f>"1551765460367812"</f>
        <v>1551765460367812</v>
      </c>
      <c r="C5415" t="s">
        <v>40</v>
      </c>
      <c r="D5415">
        <v>4.401707</v>
      </c>
      <c r="E5415">
        <v>0.53623169999999898</v>
      </c>
      <c r="F5415" t="s">
        <v>41</v>
      </c>
      <c r="G5415">
        <v>-143.4958</v>
      </c>
      <c r="H5415">
        <v>0.92092050000000003</v>
      </c>
      <c r="I5415">
        <v>137.65209999999999</v>
      </c>
      <c r="J5415">
        <v>-144.14570000000001</v>
      </c>
      <c r="K5415">
        <v>1.1122799999999999</v>
      </c>
      <c r="L5415">
        <v>137.7407</v>
      </c>
      <c r="M5415">
        <v>0.99862340000000005</v>
      </c>
      <c r="N5415">
        <v>-3.623788E-2</v>
      </c>
      <c r="O5415">
        <v>3.792367E-2</v>
      </c>
      <c r="P5415">
        <v>0.99735359999999995</v>
      </c>
      <c r="Q5415">
        <v>-7.2588979999999997E-2</v>
      </c>
      <c r="R5415">
        <v>4.1182800000000002E-3</v>
      </c>
      <c r="S5415">
        <v>2.9570919999999998</v>
      </c>
      <c r="T5415">
        <v>-0.71772429999999998</v>
      </c>
      <c r="U5415">
        <v>-0.31109619999999999</v>
      </c>
      <c r="V5415">
        <v>3.3723429999999999E-2</v>
      </c>
      <c r="W5415">
        <v>-3.6428269999999999E-2</v>
      </c>
      <c r="X5415">
        <v>0.99876710000000002</v>
      </c>
      <c r="Y5415">
        <v>0.13695470000000001</v>
      </c>
      <c r="Z5415">
        <v>-2.6566780000000002E-2</v>
      </c>
      <c r="AA5415">
        <v>0.99022100000000002</v>
      </c>
      <c r="AB5415">
        <v>14</v>
      </c>
      <c r="AC5415">
        <v>0.64990000000000203</v>
      </c>
      <c r="AD5415">
        <v>-0.19135949999999899</v>
      </c>
      <c r="AE5415">
        <v>-8.8600000000013696E-2</v>
      </c>
      <c r="AF5415">
        <v>0.104319728653459</v>
      </c>
      <c r="AG5415">
        <v>-0.19135949999999899</v>
      </c>
      <c r="AH5415">
        <v>0.59539240709127506</v>
      </c>
      <c r="AI5415">
        <v>107.566643192678</v>
      </c>
      <c r="AJ5415">
        <v>80.061984629553905</v>
      </c>
      <c r="AK5415">
        <v>0.63402932301946702</v>
      </c>
      <c r="AL5415">
        <v>92.087648015389306</v>
      </c>
      <c r="AM5415">
        <v>88.066139322477994</v>
      </c>
      <c r="AN5415">
        <v>1.00000000431428</v>
      </c>
    </row>
    <row r="5416" spans="1:40" x14ac:dyDescent="0.25">
      <c r="A5416" t="str">
        <f>"20190305135740411"</f>
        <v>20190305135740411</v>
      </c>
      <c r="B5416" t="str">
        <f>"1551765460398069"</f>
        <v>1551765460398069</v>
      </c>
      <c r="C5416" t="s">
        <v>40</v>
      </c>
      <c r="D5416">
        <v>4.3447339999999999</v>
      </c>
      <c r="E5416">
        <v>0.5361804</v>
      </c>
      <c r="F5416" t="s">
        <v>41</v>
      </c>
      <c r="G5416">
        <v>-143.38120000000001</v>
      </c>
      <c r="H5416">
        <v>0.92642780000000002</v>
      </c>
      <c r="I5416">
        <v>137.66079999999999</v>
      </c>
      <c r="J5416">
        <v>-143.94890000000001</v>
      </c>
      <c r="K5416">
        <v>1.11232</v>
      </c>
      <c r="L5416">
        <v>137.7482</v>
      </c>
      <c r="M5416">
        <v>0.99859569999999998</v>
      </c>
      <c r="N5416">
        <v>-3.6991509999999998E-2</v>
      </c>
      <c r="O5416">
        <v>3.7922740000000003E-2</v>
      </c>
      <c r="P5416">
        <v>0.99734889999999998</v>
      </c>
      <c r="Q5416">
        <v>-7.2648820000000003E-2</v>
      </c>
      <c r="R5416">
        <v>4.1473669999999999E-3</v>
      </c>
      <c r="S5416">
        <v>2.956909</v>
      </c>
      <c r="T5416">
        <v>-0.71885359999999998</v>
      </c>
      <c r="U5416">
        <v>-0.30859379999999997</v>
      </c>
      <c r="V5416">
        <v>3.3687000000000002E-2</v>
      </c>
      <c r="W5416">
        <v>-3.5742280000000001E-2</v>
      </c>
      <c r="X5416">
        <v>0.99879309999999999</v>
      </c>
      <c r="Y5416">
        <v>0.13613539999999999</v>
      </c>
      <c r="Z5416">
        <v>-2.6519170000000002E-2</v>
      </c>
      <c r="AA5416">
        <v>0.99033519999999997</v>
      </c>
      <c r="AB5416">
        <v>13</v>
      </c>
      <c r="AC5416">
        <v>0.56770000000000198</v>
      </c>
      <c r="AD5416">
        <v>-0.18589219999999901</v>
      </c>
      <c r="AE5416">
        <v>-8.7400000000002295E-2</v>
      </c>
      <c r="AF5416">
        <v>9.8557640562674007E-2</v>
      </c>
      <c r="AG5416">
        <v>-0.18589219999999901</v>
      </c>
      <c r="AH5416">
        <v>0.51050433170213205</v>
      </c>
      <c r="AI5416">
        <v>109.673616884455</v>
      </c>
      <c r="AJ5416">
        <v>79.072947172569798</v>
      </c>
      <c r="AK5416">
        <v>0.55216319256245405</v>
      </c>
      <c r="AL5416">
        <v>92.048318096114997</v>
      </c>
      <c r="AM5416">
        <v>88.068277055683794</v>
      </c>
      <c r="AN5416">
        <v>0.99999999057810396</v>
      </c>
    </row>
    <row r="5417" spans="1:40" x14ac:dyDescent="0.25">
      <c r="A5417" t="str">
        <f>"20190305135740445"</f>
        <v>20190305135740445</v>
      </c>
      <c r="B5417" t="str">
        <f>"1551765460438084"</f>
        <v>1551765460438084</v>
      </c>
      <c r="C5417" t="s">
        <v>40</v>
      </c>
      <c r="D5417">
        <v>4.3672420000000001</v>
      </c>
      <c r="E5417">
        <v>0.5360509</v>
      </c>
      <c r="F5417" t="s">
        <v>41</v>
      </c>
      <c r="G5417">
        <v>-143.1712</v>
      </c>
      <c r="H5417">
        <v>0.92316640000000005</v>
      </c>
      <c r="I5417">
        <v>137.66730000000001</v>
      </c>
      <c r="J5417">
        <v>-143.77269999999999</v>
      </c>
      <c r="K5417">
        <v>1.1123689999999999</v>
      </c>
      <c r="L5417">
        <v>137.75479999999999</v>
      </c>
      <c r="M5417">
        <v>0.99857960000000001</v>
      </c>
      <c r="N5417">
        <v>-3.7600420000000002E-2</v>
      </c>
      <c r="O5417">
        <v>3.7752969999999997E-2</v>
      </c>
      <c r="P5417">
        <v>0.99735300000000005</v>
      </c>
      <c r="Q5417">
        <v>-7.2608430000000002E-2</v>
      </c>
      <c r="R5417">
        <v>3.9142680000000003E-3</v>
      </c>
      <c r="S5417">
        <v>2.9568629999999998</v>
      </c>
      <c r="T5417">
        <v>-0.71918850000000001</v>
      </c>
      <c r="U5417">
        <v>-0.30737300000000001</v>
      </c>
      <c r="V5417">
        <v>3.3749630000000003E-2</v>
      </c>
      <c r="W5417">
        <v>-3.5095269999999998E-2</v>
      </c>
      <c r="X5417">
        <v>0.99881390000000003</v>
      </c>
      <c r="Y5417">
        <v>0.13557649999999999</v>
      </c>
      <c r="Z5417">
        <v>-2.64392E-2</v>
      </c>
      <c r="AA5417">
        <v>0.99041400000000002</v>
      </c>
      <c r="AB5417">
        <v>12</v>
      </c>
      <c r="AC5417">
        <v>0.60149999999998705</v>
      </c>
      <c r="AD5417">
        <v>-0.189202599999999</v>
      </c>
      <c r="AE5417">
        <v>-8.7499999999977193E-2</v>
      </c>
      <c r="AF5417">
        <v>0.100431033251787</v>
      </c>
      <c r="AG5417">
        <v>-0.189202599999999</v>
      </c>
      <c r="AH5417">
        <v>0.54496230069211904</v>
      </c>
      <c r="AI5417">
        <v>108.85170694475001</v>
      </c>
      <c r="AJ5417">
        <v>79.558127680548196</v>
      </c>
      <c r="AK5417">
        <v>0.58554925109885403</v>
      </c>
      <c r="AL5417">
        <v>92.011223937531298</v>
      </c>
      <c r="AM5417">
        <v>88.064728646463195</v>
      </c>
      <c r="AN5417">
        <v>0.99999996116735901</v>
      </c>
    </row>
    <row r="5418" spans="1:40" x14ac:dyDescent="0.25">
      <c r="A5418" t="str">
        <f>"20190305135740468"</f>
        <v>20190305135740468</v>
      </c>
      <c r="B5418" t="str">
        <f>"1551765460458580"</f>
        <v>1551765460458580</v>
      </c>
      <c r="C5418" t="s">
        <v>40</v>
      </c>
      <c r="D5418">
        <v>4.3429200000000003</v>
      </c>
      <c r="E5418">
        <v>0.53603040000000002</v>
      </c>
      <c r="F5418" t="s">
        <v>41</v>
      </c>
      <c r="G5418">
        <v>-143.06389999999999</v>
      </c>
      <c r="H5418">
        <v>0.94017269999999997</v>
      </c>
      <c r="I5418">
        <v>137.68119999999999</v>
      </c>
      <c r="J5418">
        <v>-143.66399999999999</v>
      </c>
      <c r="K5418">
        <v>1.112527</v>
      </c>
      <c r="L5418">
        <v>137.7587</v>
      </c>
      <c r="M5418">
        <v>0.99855660000000002</v>
      </c>
      <c r="N5418">
        <v>-3.83497E-2</v>
      </c>
      <c r="O5418">
        <v>3.7606649999999998E-2</v>
      </c>
      <c r="P5418">
        <v>0.99733079999999996</v>
      </c>
      <c r="Q5418">
        <v>-7.2951680000000005E-2</v>
      </c>
      <c r="R5418">
        <v>3.1197389999999998E-3</v>
      </c>
      <c r="S5418">
        <v>2.9568940000000001</v>
      </c>
      <c r="T5418">
        <v>-0.7183311</v>
      </c>
      <c r="U5418">
        <v>-0.30683899999999997</v>
      </c>
      <c r="V5418">
        <v>3.439946E-2</v>
      </c>
      <c r="W5418">
        <v>-3.4689989999999997E-2</v>
      </c>
      <c r="X5418">
        <v>0.99880590000000002</v>
      </c>
      <c r="Y5418">
        <v>0.135273</v>
      </c>
      <c r="Z5418">
        <v>-2.6362110000000001E-2</v>
      </c>
      <c r="AA5418">
        <v>0.99045760000000005</v>
      </c>
      <c r="AB5418">
        <v>12</v>
      </c>
      <c r="AC5418">
        <v>0.60009999999999697</v>
      </c>
      <c r="AD5418">
        <v>-0.17235429999999999</v>
      </c>
      <c r="AE5418">
        <v>-7.7500000000014696E-2</v>
      </c>
      <c r="AF5418">
        <v>9.2522552778800102E-2</v>
      </c>
      <c r="AG5418">
        <v>-0.17235429999999999</v>
      </c>
      <c r="AH5418">
        <v>0.55197333042076901</v>
      </c>
      <c r="AI5418">
        <v>107.116467572468</v>
      </c>
      <c r="AJ5418">
        <v>80.484461246102896</v>
      </c>
      <c r="AK5418">
        <v>0.58561163324936705</v>
      </c>
      <c r="AL5418">
        <v>91.987988932722303</v>
      </c>
      <c r="AM5418">
        <v>88.027479464501695</v>
      </c>
      <c r="AN5418">
        <v>0.99999997206464997</v>
      </c>
    </row>
    <row r="5419" spans="1:40" x14ac:dyDescent="0.25">
      <c r="A5419" t="str">
        <f>"20190305135740494"</f>
        <v>20190305135740494</v>
      </c>
      <c r="B5419" t="str">
        <f>"1551765460487860"</f>
        <v>1551765460487860</v>
      </c>
      <c r="C5419" t="s">
        <v>40</v>
      </c>
      <c r="D5419">
        <v>4.3263920000000002</v>
      </c>
      <c r="E5419">
        <v>0.53602830000000001</v>
      </c>
      <c r="F5419" t="s">
        <v>41</v>
      </c>
      <c r="G5419">
        <v>-142.96879999999999</v>
      </c>
      <c r="H5419">
        <v>0.94343140000000003</v>
      </c>
      <c r="I5419">
        <v>137.6859</v>
      </c>
      <c r="J5419">
        <v>-143.55240000000001</v>
      </c>
      <c r="K5419">
        <v>1.112792</v>
      </c>
      <c r="L5419">
        <v>137.7627</v>
      </c>
      <c r="M5419">
        <v>0.99851440000000002</v>
      </c>
      <c r="N5419">
        <v>-3.9592559999999999E-2</v>
      </c>
      <c r="O5419">
        <v>3.7438649999999997E-2</v>
      </c>
      <c r="P5419">
        <v>0.99724069999999998</v>
      </c>
      <c r="Q5419">
        <v>-7.4214290000000002E-2</v>
      </c>
      <c r="R5419">
        <v>1.886382E-3</v>
      </c>
      <c r="S5419">
        <v>2.9564059999999999</v>
      </c>
      <c r="T5419">
        <v>-0.71914369999999905</v>
      </c>
      <c r="U5419">
        <v>-0.30874629999999997</v>
      </c>
      <c r="V5419">
        <v>3.5465679999999999E-2</v>
      </c>
      <c r="W5419">
        <v>-3.4711819999999997E-2</v>
      </c>
      <c r="X5419">
        <v>0.99876790000000004</v>
      </c>
      <c r="Y5419">
        <v>0.13572110000000001</v>
      </c>
      <c r="Z5419">
        <v>-2.6462059999999999E-2</v>
      </c>
      <c r="AA5419">
        <v>0.99039359999999999</v>
      </c>
      <c r="AB5419">
        <v>11</v>
      </c>
      <c r="AC5419">
        <v>0.58360000000001799</v>
      </c>
      <c r="AD5419">
        <v>-0.169360599999999</v>
      </c>
      <c r="AE5419">
        <v>-7.67999999999915E-2</v>
      </c>
      <c r="AF5419">
        <v>9.10731645064385E-2</v>
      </c>
      <c r="AG5419">
        <v>-0.169360599999999</v>
      </c>
      <c r="AH5419">
        <v>0.535945830590703</v>
      </c>
      <c r="AI5419">
        <v>107.303755397562</v>
      </c>
      <c r="AJ5419">
        <v>80.355864259964093</v>
      </c>
      <c r="AK5419">
        <v>0.56939904061487101</v>
      </c>
      <c r="AL5419">
        <v>91.989240355007695</v>
      </c>
      <c r="AM5419">
        <v>87.966313945421803</v>
      </c>
      <c r="AN5419">
        <v>1.0000000214879901</v>
      </c>
    </row>
    <row r="5420" spans="1:40" x14ac:dyDescent="0.25">
      <c r="A5420" t="str">
        <f>"20190305135740522"</f>
        <v>20190305135740522</v>
      </c>
      <c r="B5420" t="str">
        <f>"1551765460518116"</f>
        <v>1551765460518116</v>
      </c>
      <c r="C5420" t="s">
        <v>40</v>
      </c>
      <c r="D5420">
        <v>4.3011049999999997</v>
      </c>
      <c r="E5420">
        <v>0.53604799999999997</v>
      </c>
      <c r="F5420" t="s">
        <v>41</v>
      </c>
      <c r="G5420">
        <v>-142.80590000000001</v>
      </c>
      <c r="H5420">
        <v>0.93025000000000002</v>
      </c>
      <c r="I5420">
        <v>137.68369999999999</v>
      </c>
      <c r="J5420">
        <v>-143.43600000000001</v>
      </c>
      <c r="K5420">
        <v>1.113035</v>
      </c>
      <c r="L5420">
        <v>137.76679999999999</v>
      </c>
      <c r="M5420">
        <v>0.99846429999999997</v>
      </c>
      <c r="N5420">
        <v>-4.099672E-2</v>
      </c>
      <c r="O5420">
        <v>3.7263200000000003E-2</v>
      </c>
      <c r="P5420">
        <v>0.99700299999999997</v>
      </c>
      <c r="Q5420">
        <v>-7.7366779999999996E-2</v>
      </c>
      <c r="R5420">
        <v>-2.2752720000000001E-4</v>
      </c>
      <c r="S5420">
        <v>2.9551090000000002</v>
      </c>
      <c r="T5420">
        <v>-0.722711199999999</v>
      </c>
      <c r="U5420">
        <v>-0.31213380000000002</v>
      </c>
      <c r="V5420">
        <v>3.7398920000000002E-2</v>
      </c>
      <c r="W5420">
        <v>-3.646804E-2</v>
      </c>
      <c r="X5420">
        <v>0.99863480000000004</v>
      </c>
      <c r="Y5420">
        <v>0.13662189999999999</v>
      </c>
      <c r="Z5420">
        <v>-2.6731209999999998E-2</v>
      </c>
      <c r="AA5420">
        <v>0.99026250000000005</v>
      </c>
      <c r="AB5420">
        <v>10</v>
      </c>
      <c r="AC5420">
        <v>0.630099999999998</v>
      </c>
      <c r="AD5420">
        <v>-0.182785</v>
      </c>
      <c r="AE5420">
        <v>-8.31000000000017E-2</v>
      </c>
      <c r="AF5420">
        <v>9.8402341384475595E-2</v>
      </c>
      <c r="AG5420">
        <v>-0.182785</v>
      </c>
      <c r="AH5420">
        <v>0.57869678271853398</v>
      </c>
      <c r="AI5420">
        <v>107.295889388291</v>
      </c>
      <c r="AJ5420">
        <v>80.349655990308804</v>
      </c>
      <c r="AK5420">
        <v>0.61480349978161997</v>
      </c>
      <c r="AL5420">
        <v>92.089928128922395</v>
      </c>
      <c r="AM5420">
        <v>87.855272665168997</v>
      </c>
      <c r="AN5420">
        <v>1.00000003046482</v>
      </c>
    </row>
    <row r="5421" spans="1:40" x14ac:dyDescent="0.25">
      <c r="A5421" t="str">
        <f>"20190305135740562"</f>
        <v>20190305135740562</v>
      </c>
      <c r="B5421" t="str">
        <f>"1551765460548373"</f>
        <v>1551765460548373</v>
      </c>
      <c r="C5421" t="s">
        <v>40</v>
      </c>
      <c r="D5421">
        <v>4.3511550000000003</v>
      </c>
      <c r="E5421">
        <v>0.53609219999999902</v>
      </c>
      <c r="F5421" t="s">
        <v>41</v>
      </c>
      <c r="G5421">
        <v>-142.72620000000001</v>
      </c>
      <c r="H5421">
        <v>0.93720709999999996</v>
      </c>
      <c r="I5421">
        <v>137.68989999999999</v>
      </c>
      <c r="J5421">
        <v>-143.2998</v>
      </c>
      <c r="K5421">
        <v>1.112967</v>
      </c>
      <c r="L5421">
        <v>137.77160000000001</v>
      </c>
      <c r="M5421">
        <v>0.99845329999999999</v>
      </c>
      <c r="N5421">
        <v>-4.1404919999999998E-2</v>
      </c>
      <c r="O5421">
        <v>3.7107189999999998E-2</v>
      </c>
      <c r="P5421">
        <v>0.9968032</v>
      </c>
      <c r="Q5421">
        <v>-7.9880989999999999E-2</v>
      </c>
      <c r="R5421">
        <v>-1.6081680000000001E-3</v>
      </c>
      <c r="S5421">
        <v>2.952194</v>
      </c>
      <c r="T5421">
        <v>-0.73137810000000003</v>
      </c>
      <c r="U5421">
        <v>-0.31947330000000002</v>
      </c>
      <c r="V5421">
        <v>3.8619880000000002E-2</v>
      </c>
      <c r="W5421">
        <v>-3.857841E-2</v>
      </c>
      <c r="X5421">
        <v>0.99850899999999998</v>
      </c>
      <c r="Y5421">
        <v>0.13879279999999999</v>
      </c>
      <c r="Z5421">
        <v>-2.734224E-2</v>
      </c>
      <c r="AA5421">
        <v>0.98994389999999999</v>
      </c>
      <c r="AB5421">
        <v>9</v>
      </c>
      <c r="AC5421">
        <v>0.573599999999999</v>
      </c>
      <c r="AD5421">
        <v>-0.1757599</v>
      </c>
      <c r="AE5421">
        <v>-8.1700000000012096E-2</v>
      </c>
      <c r="AF5421">
        <v>9.4271400002220604E-2</v>
      </c>
      <c r="AG5421">
        <v>-0.1757599</v>
      </c>
      <c r="AH5421">
        <v>0.52212247594056804</v>
      </c>
      <c r="AI5421">
        <v>108.328456381309</v>
      </c>
      <c r="AJ5421">
        <v>79.765273083756199</v>
      </c>
      <c r="AK5421">
        <v>0.55891906318240603</v>
      </c>
      <c r="AL5421">
        <v>92.210928710121095</v>
      </c>
      <c r="AM5421">
        <v>87.785043774511294</v>
      </c>
      <c r="AN5421">
        <v>1.0000000059651699</v>
      </c>
    </row>
    <row r="5422" spans="1:40" x14ac:dyDescent="0.25">
      <c r="A5422" t="str">
        <f>"20190305135740601"</f>
        <v>20190305135740601</v>
      </c>
      <c r="B5422" t="str">
        <f>"1551765460588389"</f>
        <v>1551765460588389</v>
      </c>
      <c r="C5422" t="s">
        <v>40</v>
      </c>
      <c r="D5422">
        <v>4.2877130000000001</v>
      </c>
      <c r="E5422">
        <v>0.53610159999999996</v>
      </c>
      <c r="F5422" t="s">
        <v>41</v>
      </c>
      <c r="G5422">
        <v>-142.58529999999999</v>
      </c>
      <c r="H5422">
        <v>0.93410919999999997</v>
      </c>
      <c r="I5422">
        <v>137.69299999999899</v>
      </c>
      <c r="J5422">
        <v>-143.17019999999999</v>
      </c>
      <c r="K5422">
        <v>1.1126849999999999</v>
      </c>
      <c r="L5422">
        <v>137.77629999999999</v>
      </c>
      <c r="M5422">
        <v>0.99848859999999995</v>
      </c>
      <c r="N5422">
        <v>-4.059157E-2</v>
      </c>
      <c r="O5422">
        <v>3.7053170000000003E-2</v>
      </c>
      <c r="P5422">
        <v>0.99698200000000003</v>
      </c>
      <c r="Q5422">
        <v>-7.76062E-2</v>
      </c>
      <c r="R5422">
        <v>-2.0347009999999999E-3</v>
      </c>
      <c r="S5422">
        <v>2.9499209999999998</v>
      </c>
      <c r="T5422">
        <v>-0.73848440000000004</v>
      </c>
      <c r="U5422">
        <v>-0.32424930000000002</v>
      </c>
      <c r="V5422">
        <v>3.9002009999999997E-2</v>
      </c>
      <c r="W5422">
        <v>-3.7107510000000003E-2</v>
      </c>
      <c r="X5422">
        <v>0.99854989999999999</v>
      </c>
      <c r="Y5422">
        <v>0.1402485</v>
      </c>
      <c r="Z5422">
        <v>-2.7775729999999998E-2</v>
      </c>
      <c r="AA5422">
        <v>0.98972669999999996</v>
      </c>
      <c r="AB5422">
        <v>8</v>
      </c>
      <c r="AC5422">
        <v>0.58490000000000397</v>
      </c>
      <c r="AD5422">
        <v>-0.17857580000000001</v>
      </c>
      <c r="AE5422">
        <v>-8.3300000000008298E-2</v>
      </c>
      <c r="AF5422">
        <v>9.61487226345146E-2</v>
      </c>
      <c r="AG5422">
        <v>-0.17857580000000001</v>
      </c>
      <c r="AH5422">
        <v>0.53273714538636796</v>
      </c>
      <c r="AI5422">
        <v>108.256422719418</v>
      </c>
      <c r="AJ5422">
        <v>79.769356029998505</v>
      </c>
      <c r="AK5422">
        <v>0.57003750691012001</v>
      </c>
      <c r="AL5422">
        <v>92.126591914453002</v>
      </c>
      <c r="AM5422">
        <v>87.763241249517407</v>
      </c>
      <c r="AN5422">
        <v>1.0000000134362199</v>
      </c>
    </row>
    <row r="5423" spans="1:40" x14ac:dyDescent="0.25">
      <c r="A5423" t="str">
        <f>"20190305135740635"</f>
        <v>20190305135740635</v>
      </c>
      <c r="B5423" t="str">
        <f>"1551765460627835"</f>
        <v>1551765460627835</v>
      </c>
      <c r="C5423" t="s">
        <v>40</v>
      </c>
      <c r="D5423">
        <v>4.3616190000000001</v>
      </c>
      <c r="E5423">
        <v>0.53609410000000002</v>
      </c>
      <c r="F5423" t="s">
        <v>41</v>
      </c>
      <c r="G5423">
        <v>-142.45599999999999</v>
      </c>
      <c r="H5423">
        <v>0.93572219999999995</v>
      </c>
      <c r="I5423">
        <v>137.69749999999999</v>
      </c>
      <c r="J5423">
        <v>-143.06829999999999</v>
      </c>
      <c r="K5423">
        <v>1.1126769999999999</v>
      </c>
      <c r="L5423">
        <v>137.78</v>
      </c>
      <c r="M5423">
        <v>0.99849670000000001</v>
      </c>
      <c r="N5423">
        <v>-4.0398580000000003E-2</v>
      </c>
      <c r="O5423">
        <v>3.7048039999999997E-2</v>
      </c>
      <c r="P5423">
        <v>0.99704099999999996</v>
      </c>
      <c r="Q5423">
        <v>-7.6846800000000007E-2</v>
      </c>
      <c r="R5423">
        <v>-2.0351000000000002E-3</v>
      </c>
      <c r="S5423">
        <v>2.9514619999999998</v>
      </c>
      <c r="T5423">
        <v>-0.73141400000000001</v>
      </c>
      <c r="U5423">
        <v>-0.32519530000000002</v>
      </c>
      <c r="V5423">
        <v>3.9001870000000001E-2</v>
      </c>
      <c r="W5423">
        <v>-3.6536239999999998E-2</v>
      </c>
      <c r="X5423">
        <v>0.99857099999999999</v>
      </c>
      <c r="Y5423">
        <v>0.14060129999999901</v>
      </c>
      <c r="Z5423">
        <v>-2.755838E-2</v>
      </c>
      <c r="AA5423">
        <v>0.98968270000000003</v>
      </c>
      <c r="AB5423">
        <v>7</v>
      </c>
      <c r="AC5423">
        <v>0.61229999999997597</v>
      </c>
      <c r="AD5423">
        <v>-0.1769548</v>
      </c>
      <c r="AE5423">
        <v>-8.2500000000010204E-2</v>
      </c>
      <c r="AF5423">
        <v>9.71748791907774E-2</v>
      </c>
      <c r="AG5423">
        <v>-0.1769548</v>
      </c>
      <c r="AH5423">
        <v>0.56266365187938405</v>
      </c>
      <c r="AI5423">
        <v>107.218572999682</v>
      </c>
      <c r="AJ5423">
        <v>80.201385239225601</v>
      </c>
      <c r="AK5423">
        <v>0.59778452935403703</v>
      </c>
      <c r="AL5423">
        <v>92.093838281871399</v>
      </c>
      <c r="AM5423">
        <v>87.763296485314498</v>
      </c>
      <c r="AN5423">
        <v>1.0000000423689099</v>
      </c>
    </row>
    <row r="5424" spans="1:40" x14ac:dyDescent="0.25">
      <c r="A5424" t="str">
        <f>"20190305135740680"</f>
        <v>20190305135740680</v>
      </c>
      <c r="B5424" t="str">
        <f>"1551765460667827"</f>
        <v>1551765460667827</v>
      </c>
      <c r="C5424" t="s">
        <v>40</v>
      </c>
      <c r="D5424">
        <v>4.3841190000000001</v>
      </c>
      <c r="E5424">
        <v>0.53623799999999999</v>
      </c>
      <c r="F5424" t="s">
        <v>41</v>
      </c>
      <c r="G5424">
        <v>-142.34649999999999</v>
      </c>
      <c r="H5424">
        <v>0.93447199999999997</v>
      </c>
      <c r="I5424">
        <v>137.70050000000001</v>
      </c>
      <c r="J5424">
        <v>-142.96010000000001</v>
      </c>
      <c r="K5424">
        <v>1.112703</v>
      </c>
      <c r="L5424">
        <v>137.78399999999999</v>
      </c>
      <c r="M5424">
        <v>0.99849929999999998</v>
      </c>
      <c r="N5424">
        <v>-4.0322799999999999E-2</v>
      </c>
      <c r="O5424">
        <v>3.7060019999999999E-2</v>
      </c>
      <c r="P5424">
        <v>0.99709510000000001</v>
      </c>
      <c r="Q5424">
        <v>-7.6155589999999995E-2</v>
      </c>
      <c r="R5424">
        <v>-1.4107189999999999E-3</v>
      </c>
      <c r="S5424">
        <v>2.9520870000000001</v>
      </c>
      <c r="T5424">
        <v>-0.7288597</v>
      </c>
      <c r="U5424">
        <v>-0.32456970000000002</v>
      </c>
      <c r="V5424">
        <v>3.8392799999999998E-2</v>
      </c>
      <c r="W5424">
        <v>-3.5917030000000003E-2</v>
      </c>
      <c r="X5424">
        <v>0.99861710000000004</v>
      </c>
      <c r="Y5424">
        <v>0.14042950000000001</v>
      </c>
      <c r="Z5424">
        <v>-2.743957E-2</v>
      </c>
      <c r="AA5424">
        <v>0.98971039999999999</v>
      </c>
      <c r="AB5424">
        <v>6</v>
      </c>
      <c r="AC5424">
        <v>0.61360000000001902</v>
      </c>
      <c r="AD5424">
        <v>-0.178231</v>
      </c>
      <c r="AE5424">
        <v>-8.3499999999986502E-2</v>
      </c>
      <c r="AF5424">
        <v>9.8076656619528205E-2</v>
      </c>
      <c r="AG5424">
        <v>-0.178231</v>
      </c>
      <c r="AH5424">
        <v>0.56340934945629195</v>
      </c>
      <c r="AI5424">
        <v>107.310005742309</v>
      </c>
      <c r="AJ5424">
        <v>80.125070412161094</v>
      </c>
      <c r="AK5424">
        <v>0.59901203242458101</v>
      </c>
      <c r="AL5424">
        <v>92.058336790223805</v>
      </c>
      <c r="AM5424">
        <v>87.798292704090301</v>
      </c>
      <c r="AN5424">
        <v>1.0000000762741299</v>
      </c>
    </row>
    <row r="5425" spans="1:40" x14ac:dyDescent="0.25">
      <c r="A5425" t="str">
        <f>"20190305135740720"</f>
        <v>20190305135740720</v>
      </c>
      <c r="B5425" t="str">
        <f>"1551765460707843"</f>
        <v>1551765460707843</v>
      </c>
      <c r="C5425" t="s">
        <v>40</v>
      </c>
      <c r="D5425">
        <v>4.3650849999999997</v>
      </c>
      <c r="E5425">
        <v>0.540354</v>
      </c>
      <c r="F5425" t="s">
        <v>41</v>
      </c>
      <c r="G5425">
        <v>-142.2517</v>
      </c>
      <c r="H5425">
        <v>0.93773260000000003</v>
      </c>
      <c r="I5425">
        <v>137.70660000000001</v>
      </c>
      <c r="J5425">
        <v>-142.87860000000001</v>
      </c>
      <c r="K5425">
        <v>1.1126389999999999</v>
      </c>
      <c r="L5425">
        <v>137.78710000000001</v>
      </c>
      <c r="M5425">
        <v>0.99851100000000004</v>
      </c>
      <c r="N5425">
        <v>-4.0015290000000002E-2</v>
      </c>
      <c r="O5425">
        <v>3.707862E-2</v>
      </c>
      <c r="P5425">
        <v>0.99706450000000002</v>
      </c>
      <c r="Q5425">
        <v>-7.6544039999999994E-2</v>
      </c>
      <c r="R5425">
        <v>-1.9288210000000001E-3</v>
      </c>
      <c r="S5425">
        <v>2.9525760000000001</v>
      </c>
      <c r="T5425">
        <v>-0.72933890000000001</v>
      </c>
      <c r="U5425">
        <v>-0.322403</v>
      </c>
      <c r="V5425">
        <v>3.8926629999999997E-2</v>
      </c>
      <c r="W5425">
        <v>-3.6615479999999999E-2</v>
      </c>
      <c r="X5425">
        <v>0.99857099999999999</v>
      </c>
      <c r="Y5425">
        <v>0.1397332</v>
      </c>
      <c r="Z5425">
        <v>-2.7347110000000001E-2</v>
      </c>
      <c r="AA5425">
        <v>0.98981149999999996</v>
      </c>
      <c r="AB5425">
        <v>5</v>
      </c>
      <c r="AC5425">
        <v>0.62690000000000601</v>
      </c>
      <c r="AD5425">
        <v>-0.17490639999999999</v>
      </c>
      <c r="AE5425">
        <v>-8.0500000000000599E-2</v>
      </c>
      <c r="AF5425">
        <v>9.6330812275937303E-2</v>
      </c>
      <c r="AG5425">
        <v>-0.17490639999999999</v>
      </c>
      <c r="AH5425">
        <v>0.57913144135424699</v>
      </c>
      <c r="AI5425">
        <v>106.589937032856</v>
      </c>
      <c r="AJ5425">
        <v>80.556073560732102</v>
      </c>
      <c r="AK5425">
        <v>0.61258885112263495</v>
      </c>
      <c r="AL5425">
        <v>92.098381509284096</v>
      </c>
      <c r="AM5425">
        <v>87.767607025842594</v>
      </c>
      <c r="AN5425">
        <v>1.0000000089698899</v>
      </c>
    </row>
    <row r="5426" spans="1:40" x14ac:dyDescent="0.25">
      <c r="A5426" t="str">
        <f>"20190305135740755"</f>
        <v>20190305135740755</v>
      </c>
      <c r="B5426" t="str">
        <f>"1551765460748366"</f>
        <v>1551765460748366</v>
      </c>
      <c r="C5426" t="s">
        <v>40</v>
      </c>
      <c r="D5426">
        <v>4.3647410000000004</v>
      </c>
      <c r="E5426">
        <v>0.53603319999999999</v>
      </c>
      <c r="F5426" t="s">
        <v>41</v>
      </c>
      <c r="G5426">
        <v>-142.17740000000001</v>
      </c>
      <c r="H5426">
        <v>0.93086619999999998</v>
      </c>
      <c r="I5426">
        <v>137.70169999999999</v>
      </c>
      <c r="J5426">
        <v>-142.8202</v>
      </c>
      <c r="K5426">
        <v>1.1126320000000001</v>
      </c>
      <c r="L5426">
        <v>137.7893</v>
      </c>
      <c r="M5426">
        <v>0.99851909999999999</v>
      </c>
      <c r="N5426">
        <v>-3.981142E-2</v>
      </c>
      <c r="O5426">
        <v>3.7080729999999999E-2</v>
      </c>
      <c r="P5426">
        <v>0.99705339999999998</v>
      </c>
      <c r="Q5426">
        <v>-7.6694709999999999E-2</v>
      </c>
      <c r="R5426">
        <v>-1.63927E-3</v>
      </c>
      <c r="S5426">
        <v>2.9494319999999998</v>
      </c>
      <c r="T5426">
        <v>-0.76456550000000001</v>
      </c>
      <c r="U5426">
        <v>-0.35868840000000002</v>
      </c>
      <c r="V5426">
        <v>3.8637579999999998E-2</v>
      </c>
      <c r="W5426">
        <v>-3.6970749999999997E-2</v>
      </c>
      <c r="X5426">
        <v>0.99856909999999999</v>
      </c>
      <c r="Y5426">
        <v>0.1509007</v>
      </c>
      <c r="Z5426">
        <v>-3.0220899999999998E-2</v>
      </c>
      <c r="AA5426">
        <v>0.98808689999999999</v>
      </c>
      <c r="AB5426">
        <v>5</v>
      </c>
      <c r="AC5426">
        <v>0.64279999999999404</v>
      </c>
      <c r="AD5426">
        <v>-0.18176580000000001</v>
      </c>
      <c r="AE5426">
        <v>-8.7600000000008907E-2</v>
      </c>
      <c r="AF5426">
        <v>0.10328590653363801</v>
      </c>
      <c r="AG5426">
        <v>-0.18176580000000001</v>
      </c>
      <c r="AH5426">
        <v>0.59258708652314596</v>
      </c>
      <c r="AI5426">
        <v>106.813610192832</v>
      </c>
      <c r="AJ5426">
        <v>80.112864177729506</v>
      </c>
      <c r="AK5426">
        <v>0.62838383146935395</v>
      </c>
      <c r="AL5426">
        <v>92.1187508485433</v>
      </c>
      <c r="AM5426">
        <v>87.784162880379398</v>
      </c>
      <c r="AN5426">
        <v>0.999999973209314</v>
      </c>
    </row>
    <row r="5427" spans="1:40" x14ac:dyDescent="0.25">
      <c r="A5427" t="str">
        <f>"20190305135740786"</f>
        <v>20190305135740786</v>
      </c>
      <c r="B5427" t="str">
        <f>"1551765460777647"</f>
        <v>1551765460777647</v>
      </c>
      <c r="C5427" t="s">
        <v>40</v>
      </c>
      <c r="D5427">
        <v>4.4298719999999996</v>
      </c>
      <c r="E5427">
        <v>0.5358134</v>
      </c>
      <c r="F5427" t="s">
        <v>41</v>
      </c>
      <c r="G5427">
        <v>-142.11320000000001</v>
      </c>
      <c r="H5427">
        <v>0.93861220000000001</v>
      </c>
      <c r="I5427">
        <v>137.7122</v>
      </c>
      <c r="J5427">
        <v>-142.77889999999999</v>
      </c>
      <c r="K5427">
        <v>1.11264599999999</v>
      </c>
      <c r="L5427">
        <v>137.79079999999999</v>
      </c>
      <c r="M5427">
        <v>0.99852470000000004</v>
      </c>
      <c r="N5427">
        <v>-3.9682660000000002E-2</v>
      </c>
      <c r="O5427">
        <v>3.706636E-2</v>
      </c>
      <c r="P5427">
        <v>0.9971236</v>
      </c>
      <c r="Q5427">
        <v>-7.576919E-2</v>
      </c>
      <c r="R5427">
        <v>-1.8619649999999999E-3</v>
      </c>
      <c r="S5427">
        <v>2.952423</v>
      </c>
      <c r="T5427">
        <v>-0.7266939</v>
      </c>
      <c r="U5427">
        <v>-0.32168580000000002</v>
      </c>
      <c r="V5427">
        <v>3.884808E-2</v>
      </c>
      <c r="W5427">
        <v>-3.6172759999999998E-2</v>
      </c>
      <c r="X5427">
        <v>0.99859019999999998</v>
      </c>
      <c r="Y5427">
        <v>0.13953689999999999</v>
      </c>
      <c r="Z5427">
        <v>-2.7215E-2</v>
      </c>
      <c r="AA5427">
        <v>0.98984280000000002</v>
      </c>
      <c r="AB5427">
        <v>4</v>
      </c>
      <c r="AC5427">
        <v>0.66569999999998597</v>
      </c>
      <c r="AD5427">
        <v>-0.17403379999999899</v>
      </c>
      <c r="AE5427">
        <v>-7.8599999999994397E-2</v>
      </c>
      <c r="AF5427">
        <v>9.6720874498202797E-2</v>
      </c>
      <c r="AG5427">
        <v>-0.17403379999999899</v>
      </c>
      <c r="AH5427">
        <v>0.62050073173115305</v>
      </c>
      <c r="AI5427">
        <v>105.48947157454499</v>
      </c>
      <c r="AJ5427">
        <v>81.140286796198396</v>
      </c>
      <c r="AK5427">
        <v>0.65166237361461499</v>
      </c>
      <c r="AL5427">
        <v>92.072998694154194</v>
      </c>
      <c r="AM5427">
        <v>87.772150017814894</v>
      </c>
      <c r="AN5427">
        <v>1.0000000147108701</v>
      </c>
    </row>
    <row r="5428" spans="1:40" x14ac:dyDescent="0.25">
      <c r="A5428" t="str">
        <f>"20190305135740813"</f>
        <v>20190305135740813</v>
      </c>
      <c r="B5428" t="str">
        <f>"1551765460807902"</f>
        <v>1551765460807902</v>
      </c>
      <c r="C5428" t="s">
        <v>40</v>
      </c>
      <c r="D5428">
        <v>4.4162080000000001</v>
      </c>
      <c r="E5428">
        <v>0.53554080000000004</v>
      </c>
      <c r="F5428" t="s">
        <v>41</v>
      </c>
      <c r="G5428">
        <v>-142.08670000000001</v>
      </c>
      <c r="H5428">
        <v>0.94342009999999998</v>
      </c>
      <c r="I5428">
        <v>137.71539999999999</v>
      </c>
      <c r="J5428">
        <v>-142.75120000000001</v>
      </c>
      <c r="K5428">
        <v>1.112638</v>
      </c>
      <c r="L5428">
        <v>137.79179999999999</v>
      </c>
      <c r="M5428">
        <v>0.99853270000000005</v>
      </c>
      <c r="N5428">
        <v>-3.9496759999999999E-2</v>
      </c>
      <c r="O5428">
        <v>3.7051010000000002E-2</v>
      </c>
      <c r="P5428">
        <v>0.99718899999999999</v>
      </c>
      <c r="Q5428">
        <v>-7.4928079999999994E-2</v>
      </c>
      <c r="R5428">
        <v>-4.438488E-4</v>
      </c>
      <c r="S5428">
        <v>2.9531860000000001</v>
      </c>
      <c r="T5428">
        <v>-0.72203700000000004</v>
      </c>
      <c r="U5428">
        <v>-0.32109070000000001</v>
      </c>
      <c r="V5428">
        <v>3.7417220000000001E-2</v>
      </c>
      <c r="W5428">
        <v>-3.5513650000000001E-2</v>
      </c>
      <c r="X5428">
        <v>0.99866849999999996</v>
      </c>
      <c r="Y5428">
        <v>0.1393751</v>
      </c>
      <c r="Z5428">
        <v>-2.7014860000000002E-2</v>
      </c>
      <c r="AA5428">
        <v>0.9898711</v>
      </c>
      <c r="AB5428">
        <v>3</v>
      </c>
      <c r="AC5428">
        <v>0.66450000000000298</v>
      </c>
      <c r="AD5428">
        <v>-0.1692179</v>
      </c>
      <c r="AE5428">
        <v>-7.6400000000006602E-2</v>
      </c>
      <c r="AF5428">
        <v>9.49124132074112E-2</v>
      </c>
      <c r="AG5428">
        <v>-0.1692179</v>
      </c>
      <c r="AH5428">
        <v>0.62143641464709298</v>
      </c>
      <c r="AI5428">
        <v>105.065764897896</v>
      </c>
      <c r="AJ5428">
        <v>81.316281759279605</v>
      </c>
      <c r="AK5428">
        <v>0.65101941699975296</v>
      </c>
      <c r="AL5428">
        <v>92.035210179513498</v>
      </c>
      <c r="AM5428">
        <v>87.854296531603595</v>
      </c>
      <c r="AN5428">
        <v>1.0000000202905499</v>
      </c>
    </row>
    <row r="5429" spans="1:40" x14ac:dyDescent="0.25">
      <c r="A5429" t="str">
        <f>"20190305135740851"</f>
        <v>20190305135740851</v>
      </c>
      <c r="B5429" t="str">
        <f>"1551765460847918"</f>
        <v>1551765460847918</v>
      </c>
      <c r="C5429" t="s">
        <v>40</v>
      </c>
      <c r="D5429">
        <v>4.4509150000000002</v>
      </c>
      <c r="E5429">
        <v>0.53541430000000001</v>
      </c>
      <c r="F5429" t="s">
        <v>41</v>
      </c>
      <c r="G5429">
        <v>-142.0505</v>
      </c>
      <c r="H5429">
        <v>0.94209589999999999</v>
      </c>
      <c r="I5429">
        <v>137.71680000000001</v>
      </c>
      <c r="J5429">
        <v>-142.72280000000001</v>
      </c>
      <c r="K5429">
        <v>1.1125240000000001</v>
      </c>
      <c r="L5429">
        <v>137.7929</v>
      </c>
      <c r="M5429">
        <v>0.99856049999999996</v>
      </c>
      <c r="N5429">
        <v>-3.879809E-2</v>
      </c>
      <c r="O5429">
        <v>3.7035440000000003E-2</v>
      </c>
      <c r="P5429">
        <v>0.99726689999999996</v>
      </c>
      <c r="Q5429">
        <v>-7.3852790000000001E-2</v>
      </c>
      <c r="R5429">
        <v>2.109999E-3</v>
      </c>
      <c r="S5429">
        <v>2.9542999999999999</v>
      </c>
      <c r="T5429">
        <v>-0.71905859999999899</v>
      </c>
      <c r="U5429">
        <v>-0.31539919999999999</v>
      </c>
      <c r="V5429">
        <v>3.4851529999999999E-2</v>
      </c>
      <c r="W5429">
        <v>-3.5130660000000001E-2</v>
      </c>
      <c r="X5429">
        <v>0.99877479999999996</v>
      </c>
      <c r="Y5429">
        <v>0.1375479</v>
      </c>
      <c r="Z5429">
        <v>-2.6622130000000001E-2</v>
      </c>
      <c r="AA5429">
        <v>0.9901373</v>
      </c>
      <c r="AB5429">
        <v>2</v>
      </c>
      <c r="AC5429">
        <v>0.672300000000007</v>
      </c>
      <c r="AD5429">
        <v>-0.170428099999999</v>
      </c>
      <c r="AE5429">
        <v>-7.6099999999996698E-2</v>
      </c>
      <c r="AF5429">
        <v>9.4941430990106004E-2</v>
      </c>
      <c r="AG5429">
        <v>-0.170428099999999</v>
      </c>
      <c r="AH5429">
        <v>0.62910148877989203</v>
      </c>
      <c r="AI5429">
        <v>104.995971869136</v>
      </c>
      <c r="AJ5429">
        <v>81.417917636493897</v>
      </c>
      <c r="AK5429">
        <v>0.65865643227188997</v>
      </c>
      <c r="AL5429">
        <v>92.013252915406198</v>
      </c>
      <c r="AM5429">
        <v>88.001515747286106</v>
      </c>
      <c r="AN5429">
        <v>0.99999994676520598</v>
      </c>
    </row>
    <row r="5430" spans="1:40" x14ac:dyDescent="0.25">
      <c r="A5430" t="str">
        <f>"20190305135740880"</f>
        <v>20190305135740880</v>
      </c>
      <c r="B5430" t="str">
        <f>"1551765460868414"</f>
        <v>1551765460868414</v>
      </c>
      <c r="C5430" t="s">
        <v>40</v>
      </c>
      <c r="D5430">
        <v>4.4361059999999997</v>
      </c>
      <c r="E5430">
        <v>0.5380587</v>
      </c>
      <c r="F5430" t="s">
        <v>41</v>
      </c>
      <c r="G5430">
        <v>-142.02500000000001</v>
      </c>
      <c r="H5430">
        <v>0.94383760000000005</v>
      </c>
      <c r="I5430">
        <v>137.72020000000001</v>
      </c>
      <c r="J5430">
        <v>-142.7081</v>
      </c>
      <c r="K5430">
        <v>1.1123369999999999</v>
      </c>
      <c r="L5430">
        <v>137.79339999999999</v>
      </c>
      <c r="M5430">
        <v>0.99860289999999996</v>
      </c>
      <c r="N5430">
        <v>-3.7698500000000003E-2</v>
      </c>
      <c r="O5430">
        <v>3.7029310000000003E-2</v>
      </c>
      <c r="P5430">
        <v>0.99737350000000002</v>
      </c>
      <c r="Q5430">
        <v>-7.2269970000000003E-2</v>
      </c>
      <c r="R5430">
        <v>4.7798859999999997E-3</v>
      </c>
      <c r="S5430">
        <v>2.955978</v>
      </c>
      <c r="T5430">
        <v>-0.71464259999999902</v>
      </c>
      <c r="U5430">
        <v>-0.30729679999999998</v>
      </c>
      <c r="V5430">
        <v>3.2180100000000003E-2</v>
      </c>
      <c r="W5430">
        <v>-3.4639820000000002E-2</v>
      </c>
      <c r="X5430">
        <v>0.99888160000000004</v>
      </c>
      <c r="Y5430">
        <v>0.13495989999999999</v>
      </c>
      <c r="Z5430">
        <v>-2.606352E-2</v>
      </c>
      <c r="AA5430">
        <v>0.99050819999999995</v>
      </c>
      <c r="AB5430">
        <v>2</v>
      </c>
      <c r="AC5430">
        <v>0.68309999999999504</v>
      </c>
      <c r="AD5430">
        <v>-0.16849939999999999</v>
      </c>
      <c r="AE5430">
        <v>-7.3199999999985693E-2</v>
      </c>
      <c r="AF5430">
        <v>9.2875539820910596E-2</v>
      </c>
      <c r="AG5430">
        <v>-0.16849939999999999</v>
      </c>
      <c r="AH5430">
        <v>0.64133882975920697</v>
      </c>
      <c r="AI5430">
        <v>104.575202131726</v>
      </c>
      <c r="AJ5430">
        <v>81.759989488753902</v>
      </c>
      <c r="AK5430">
        <v>0.66957703683317404</v>
      </c>
      <c r="AL5430">
        <v>91.985112691951102</v>
      </c>
      <c r="AM5430">
        <v>88.1547898806744</v>
      </c>
      <c r="AN5430">
        <v>0.99999996339209996</v>
      </c>
    </row>
    <row r="5431" spans="1:40" x14ac:dyDescent="0.25">
      <c r="A5431" t="str">
        <f>"20190305135740926"</f>
        <v>20190305135740926</v>
      </c>
      <c r="B5431" t="str">
        <f>"1551765460918191"</f>
        <v>1551765460918191</v>
      </c>
      <c r="C5431" t="s">
        <v>40</v>
      </c>
      <c r="D5431">
        <v>4.5608180000000003</v>
      </c>
      <c r="E5431">
        <v>0.53849760000000002</v>
      </c>
      <c r="F5431" t="s">
        <v>41</v>
      </c>
      <c r="G5431">
        <v>-142.01779999999999</v>
      </c>
      <c r="H5431">
        <v>0.94003959999999998</v>
      </c>
      <c r="I5431">
        <v>137.7182</v>
      </c>
      <c r="J5431">
        <v>-142.69059999999999</v>
      </c>
      <c r="K5431">
        <v>1.1118729999999999</v>
      </c>
      <c r="L5431">
        <v>137.79409999999999</v>
      </c>
      <c r="M5431">
        <v>0.99870300000000001</v>
      </c>
      <c r="N5431">
        <v>-3.4950299999999997E-2</v>
      </c>
      <c r="O5431">
        <v>3.7025860000000001E-2</v>
      </c>
      <c r="P5431">
        <v>0.99760329999999997</v>
      </c>
      <c r="Q5431">
        <v>-6.8875580000000006E-2</v>
      </c>
      <c r="R5431">
        <v>6.6230869999999997E-3</v>
      </c>
      <c r="S5431">
        <v>2.9559630000000001</v>
      </c>
      <c r="T5431">
        <v>-0.737819</v>
      </c>
      <c r="U5431">
        <v>-0.32200620000000002</v>
      </c>
      <c r="V5431">
        <v>3.0339939999999999E-2</v>
      </c>
      <c r="W5431">
        <v>-3.3983399999999997E-2</v>
      </c>
      <c r="X5431">
        <v>0.99896169999999995</v>
      </c>
      <c r="Y5431">
        <v>0.13937189999999999</v>
      </c>
      <c r="Z5431">
        <v>-2.7373749999999999E-2</v>
      </c>
      <c r="AA5431">
        <v>0.98986169999999996</v>
      </c>
      <c r="AB5431">
        <v>1</v>
      </c>
      <c r="AC5431">
        <v>0.67279999999999496</v>
      </c>
      <c r="AD5431">
        <v>-0.171833399999999</v>
      </c>
      <c r="AE5431">
        <v>-7.5899999999990003E-2</v>
      </c>
      <c r="AF5431">
        <v>9.4676065055749603E-2</v>
      </c>
      <c r="AG5431">
        <v>-0.171833399999999</v>
      </c>
      <c r="AH5431">
        <v>0.62901169319139305</v>
      </c>
      <c r="AI5431">
        <v>105.116898720218</v>
      </c>
      <c r="AJ5431">
        <v>81.440345590517197</v>
      </c>
      <c r="AK5431">
        <v>0.65889755259941896</v>
      </c>
      <c r="AL5431">
        <v>91.9474804994002</v>
      </c>
      <c r="AM5431">
        <v>88.260377441768995</v>
      </c>
      <c r="AN5431">
        <v>0.99999993075082405</v>
      </c>
    </row>
    <row r="5432" spans="1:40" x14ac:dyDescent="0.25">
      <c r="A5432" t="str">
        <f>"20190305135740966"</f>
        <v>20190305135740966</v>
      </c>
      <c r="B5432" t="str">
        <f>"1551765460958207"</f>
        <v>1551765460958207</v>
      </c>
      <c r="C5432" t="s">
        <v>40</v>
      </c>
      <c r="D5432">
        <v>4.4198829999999996</v>
      </c>
      <c r="E5432">
        <v>0.53955319999999996</v>
      </c>
      <c r="F5432" t="s">
        <v>41</v>
      </c>
      <c r="G5432">
        <v>-142.00290000000001</v>
      </c>
      <c r="H5432">
        <v>0.94226350000000003</v>
      </c>
      <c r="I5432">
        <v>137.71960000000001</v>
      </c>
      <c r="J5432">
        <v>-142.6808</v>
      </c>
      <c r="K5432">
        <v>1.1114740000000001</v>
      </c>
      <c r="L5432">
        <v>137.7944</v>
      </c>
      <c r="M5432">
        <v>0.99879530000000005</v>
      </c>
      <c r="N5432">
        <v>-3.2196160000000001E-2</v>
      </c>
      <c r="O5432">
        <v>3.703041E-2</v>
      </c>
      <c r="P5432">
        <v>0.99781359999999997</v>
      </c>
      <c r="Q5432">
        <v>-6.5681550000000005E-2</v>
      </c>
      <c r="R5432">
        <v>7.3276259999999899E-3</v>
      </c>
      <c r="S5432">
        <v>2.958939</v>
      </c>
      <c r="T5432">
        <v>-0.72986609999999996</v>
      </c>
      <c r="U5432">
        <v>-0.3203125</v>
      </c>
      <c r="V5432">
        <v>2.9645029999999999E-2</v>
      </c>
      <c r="W5432">
        <v>-3.353602E-2</v>
      </c>
      <c r="X5432">
        <v>0.99899769999999999</v>
      </c>
      <c r="Y5432">
        <v>0.13887620000000001</v>
      </c>
      <c r="Z5432">
        <v>-2.6911290000000001E-2</v>
      </c>
      <c r="AA5432">
        <v>0.98994400000000005</v>
      </c>
      <c r="AB5432">
        <v>1</v>
      </c>
      <c r="AC5432">
        <v>0.67789999999999395</v>
      </c>
      <c r="AD5432">
        <v>-0.16921050000000001</v>
      </c>
      <c r="AE5432">
        <v>-7.4799999999981895E-2</v>
      </c>
      <c r="AF5432">
        <v>9.4073809819468904E-2</v>
      </c>
      <c r="AG5432">
        <v>-0.16921050000000001</v>
      </c>
      <c r="AH5432">
        <v>0.63554207448535205</v>
      </c>
      <c r="AI5432">
        <v>104.755262684881</v>
      </c>
      <c r="AJ5432">
        <v>81.5801388484429</v>
      </c>
      <c r="AK5432">
        <v>0.66437625141582601</v>
      </c>
      <c r="AL5432">
        <v>91.921832857714406</v>
      </c>
      <c r="AM5432">
        <v>88.300259556585303</v>
      </c>
      <c r="AN5432">
        <v>0.99999994852321406</v>
      </c>
    </row>
    <row r="5433" spans="1:40" x14ac:dyDescent="0.25">
      <c r="A5433" t="str">
        <f>"20190305135740999"</f>
        <v>20190305135740999</v>
      </c>
      <c r="B5433" t="str">
        <f>"1551765460988463"</f>
        <v>1551765460988463</v>
      </c>
      <c r="C5433" t="s">
        <v>40</v>
      </c>
      <c r="D5433">
        <v>4.4551530000000001</v>
      </c>
      <c r="E5433">
        <v>0.53989180000000003</v>
      </c>
      <c r="F5433" t="s">
        <v>41</v>
      </c>
      <c r="G5433">
        <v>-141.9931</v>
      </c>
      <c r="H5433">
        <v>0.94294109999999998</v>
      </c>
      <c r="I5433">
        <v>137.7184</v>
      </c>
      <c r="J5433">
        <v>-142.67490000000001</v>
      </c>
      <c r="K5433">
        <v>1.111189</v>
      </c>
      <c r="L5433">
        <v>137.79470000000001</v>
      </c>
      <c r="M5433">
        <v>0.9988686</v>
      </c>
      <c r="N5433">
        <v>-2.9839109999999999E-2</v>
      </c>
      <c r="O5433">
        <v>3.7032950000000002E-2</v>
      </c>
      <c r="P5433">
        <v>0.99784419999999996</v>
      </c>
      <c r="Q5433">
        <v>-6.5205490000000005E-2</v>
      </c>
      <c r="R5433">
        <v>7.4616309999999998E-3</v>
      </c>
      <c r="S5433">
        <v>2.9611969999999999</v>
      </c>
      <c r="T5433">
        <v>-0.72577460000000005</v>
      </c>
      <c r="U5433">
        <v>-0.3269958</v>
      </c>
      <c r="V5433">
        <v>2.951179E-2</v>
      </c>
      <c r="W5433">
        <v>-3.5414859999999999E-2</v>
      </c>
      <c r="X5433">
        <v>0.99893679999999996</v>
      </c>
      <c r="Y5433">
        <v>0.14102300000000001</v>
      </c>
      <c r="Z5433">
        <v>-2.6959239999999999E-2</v>
      </c>
      <c r="AA5433">
        <v>0.98963920000000005</v>
      </c>
      <c r="AB5433">
        <v>1</v>
      </c>
      <c r="AC5433">
        <v>0.68180000000000895</v>
      </c>
      <c r="AD5433">
        <v>-0.16824790000000001</v>
      </c>
      <c r="AE5433">
        <v>-7.6300000000003296E-2</v>
      </c>
      <c r="AF5433">
        <v>9.5749338547165705E-2</v>
      </c>
      <c r="AG5433">
        <v>-0.16824790000000001</v>
      </c>
      <c r="AH5433">
        <v>0.64001315879781695</v>
      </c>
      <c r="AI5433">
        <v>104.57360124754</v>
      </c>
      <c r="AJ5433">
        <v>81.491354614347699</v>
      </c>
      <c r="AK5433">
        <v>0.66864948599470997</v>
      </c>
      <c r="AL5433">
        <v>92.029546521162004</v>
      </c>
      <c r="AM5433">
        <v>88.307791513456493</v>
      </c>
      <c r="AN5433">
        <v>0.99999994422603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TxtToExcel_Tem_Txt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吕泽众</dc:creator>
  <cp:lastModifiedBy>吕泽众</cp:lastModifiedBy>
  <dcterms:created xsi:type="dcterms:W3CDTF">2020-05-20T14:50:29Z</dcterms:created>
  <dcterms:modified xsi:type="dcterms:W3CDTF">2020-05-20T14:50:29Z</dcterms:modified>
</cp:coreProperties>
</file>